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ntiment" sheetId="1" r:id="rId4"/>
    <sheet state="visible" name="Daily analysis" sheetId="2" r:id="rId5"/>
    <sheet state="visible" name="Weekly analysis" sheetId="3" r:id="rId6"/>
  </sheets>
  <definedNames>
    <definedName hidden="1" localSheetId="0" name="_xlnm._FilterDatabase">Sentiment!$A$1:$T$5245</definedName>
    <definedName hidden="1" localSheetId="1" name="_xlnm._FilterDatabase">'Daily analysis'!$A$1:$Q$365</definedName>
    <definedName hidden="1" localSheetId="2" name="_xlnm._FilterDatabase">'Weekly analysis'!$A$1:$O$54</definedName>
  </definedNames>
  <calcPr/>
</workbook>
</file>

<file path=xl/sharedStrings.xml><?xml version="1.0" encoding="utf-8"?>
<sst xmlns="http://schemas.openxmlformats.org/spreadsheetml/2006/main" count="56839" uniqueCount="37240">
  <si>
    <t>Raw + URL</t>
  </si>
  <si>
    <t>Source</t>
  </si>
  <si>
    <t>Date</t>
  </si>
  <si>
    <t>Headlines in Spanish</t>
  </si>
  <si>
    <t>Snippet in Spanish</t>
  </si>
  <si>
    <t>Headlines in English</t>
  </si>
  <si>
    <t>Snippet in English</t>
  </si>
  <si>
    <t>Topic</t>
  </si>
  <si>
    <t>Topic in Spanish</t>
  </si>
  <si>
    <t>Related</t>
  </si>
  <si>
    <t>ChatGPT's sentiment</t>
  </si>
  <si>
    <t>Keywords in English</t>
  </si>
  <si>
    <t>Keywords in Spanish</t>
  </si>
  <si>
    <t>Reasoning by ChatGPT</t>
  </si>
  <si>
    <t>Reasoning by ChatGPT in Spanish</t>
  </si>
  <si>
    <t>DeepSeek's sentiment</t>
  </si>
  <si>
    <t>Keywords DeepSeek</t>
  </si>
  <si>
    <t>Keywords DeepSeek in Spanish</t>
  </si>
  <si>
    <t>Reasoning DeepSeek</t>
  </si>
  <si>
    <t>Reasoning DeepSeek in Spanish</t>
  </si>
  <si>
    <r>
      <rPr>
        <rFont val="Arial"/>
        <color rgb="FF1155CC"/>
        <sz val="9.0"/>
        <u/>
      </rPr>
      <t>Guía Repsol</t>
    </r>
    <r>
      <rPr>
        <rFont val="Arial"/>
        <color rgb="FF1155CC"/>
        <sz val="15.0"/>
        <u/>
      </rPr>
      <t>Los ‘aguarales’ de Valpalmas: chimeneas de hadas a una hora de Zaragoza</t>
    </r>
    <r>
      <rPr>
        <rFont val="Arial"/>
        <color rgb="FF1155CC"/>
        <sz val="11.0"/>
        <u/>
      </rPr>
      <t>El agua erosionando el suelo y haciendo las veces de escultor que modela figuras de barro con vida propia en continua transformación.</t>
    </r>
    <r>
      <rPr>
        <rFont val="Arial"/>
        <color rgb="FF1155CC"/>
        <sz val="12.0"/>
        <u/>
      </rPr>
      <t>.</t>
    </r>
    <r>
      <rPr>
        <rFont val="Arial"/>
        <color rgb="FF1155CC"/>
        <sz val="11.0"/>
        <u/>
      </rPr>
      <t>1 ene 2024</t>
    </r>
  </si>
  <si>
    <t>Guía Repsol</t>
  </si>
  <si>
    <t>Los ‘aguarales’ de Valpalmas: chimeneas de hadas a una hora de Zaragoza</t>
  </si>
  <si>
    <t>El agua erosionando el suelo y haciendo las veces de escultor que modela figuras de barro con vida propia en continua transformación.</t>
  </si>
  <si>
    <t>The 'aguarales' of Valpalmas: fairy chimneys of Zaragoza</t>
  </si>
  <si>
    <t>The water eroding the soil and acting as a sculptor has created the so-called 'aguarales' in Valpalmas</t>
  </si>
  <si>
    <t>Other</t>
  </si>
  <si>
    <t>NO</t>
  </si>
  <si>
    <r>
      <rPr>
        <rFont val="Arial, sans-serif"/>
        <color rgb="FF1155CC"/>
        <sz val="9.0"/>
        <u/>
      </rPr>
      <t>Pacto Mundial</t>
    </r>
    <r>
      <rPr>
        <rFont val="Arial, sans-serif"/>
        <color rgb="FF1155CC"/>
        <sz val="15.0"/>
        <u/>
      </rPr>
      <t>Derechos humanos: clave en la sostenibilidad empresarial</t>
    </r>
    <r>
      <rPr>
        <rFont val="Arial, sans-serif"/>
        <color rgb="FF1155CC"/>
        <sz val="11.0"/>
        <u/>
      </rPr>
      <t>Los derechos humanos son clave para seguir avanzando en sostenibilidad. Nos lo cuenta Clara Rey, directora de sostenibilidad de Repsol.</t>
    </r>
    <r>
      <rPr>
        <rFont val="Arial, sans-serif"/>
        <color rgb="FF1155CC"/>
        <sz val="12.0"/>
        <u/>
      </rPr>
      <t>.</t>
    </r>
    <r>
      <rPr>
        <rFont val="Arial, sans-serif"/>
        <color rgb="FF1155CC"/>
        <sz val="11.0"/>
        <u/>
      </rPr>
      <t>1 ene 2024</t>
    </r>
  </si>
  <si>
    <t>Pacto Mundial</t>
  </si>
  <si>
    <t>Derechos humanos: clave en la sostenibilidad empresarial</t>
  </si>
  <si>
    <t>Los derechos humanos son clave para seguir avanzando en sostenibilidad. Nos lo cuenta Clara Rey, directora de sostenibilidad de Repsol.</t>
  </si>
  <si>
    <t>Human rights: key to business sustainability</t>
  </si>
  <si>
    <t>Human rights are key to continuing to advance in business sustainability and social responsibility.</t>
  </si>
  <si>
    <t>Corporate Social Responsibility</t>
  </si>
  <si>
    <t>YES</t>
  </si>
  <si>
    <t>human rights, business sustainability</t>
  </si>
  <si>
    <t>derechos humanos, sostenibilidad empresarial</t>
  </si>
  <si>
    <t>Corporate sustainability topics can positively impact Repsol’s ESG perception.</t>
  </si>
  <si>
    <t>derechos humanos, sostenibilidad</t>
  </si>
  <si>
    <t>Positive focus on Repsol's commitment to sustainability and human rights.</t>
  </si>
  <si>
    <t>Foco positivo en el compromiso de Repsol con la sostenibilidad y los derechos humanos.</t>
  </si>
  <si>
    <r>
      <rPr>
        <rFont val="Arial, sans-serif"/>
        <color rgb="FF1155CC"/>
        <sz val="9.0"/>
        <u/>
      </rPr>
      <t>20Minutos</t>
    </r>
    <r>
      <rPr>
        <rFont val="Arial, sans-serif"/>
        <color rgb="FF1155CC"/>
        <sz val="15.0"/>
        <u/>
      </rPr>
      <t>Si eres cliente de uno de estos bancos, te podrás beneficiar de descuentos de hasta el 5% al repostar gasolina</t>
    </r>
    <r>
      <rPr>
        <rFont val="Arial, sans-serif"/>
        <color rgb="FF1155CC"/>
        <sz val="11.0"/>
        <u/>
      </rPr>
      <t>Con el nivel de precios al que se encuentran los combustibles en las gasolineras de España, esta medida te permite beneficiarte a la hora de llenar el...</t>
    </r>
    <r>
      <rPr>
        <rFont val="Arial, sans-serif"/>
        <color rgb="FF1155CC"/>
        <sz val="12.0"/>
        <u/>
      </rPr>
      <t>.</t>
    </r>
    <r>
      <rPr>
        <rFont val="Arial, sans-serif"/>
        <color rgb="FF1155CC"/>
        <sz val="11.0"/>
        <u/>
      </rPr>
      <t>1 ene 2024</t>
    </r>
  </si>
  <si>
    <t>20Minutos</t>
  </si>
  <si>
    <t>Descuentos de hasta el 5% al repostar gasolina para clientes de estos bancos</t>
  </si>
  <si>
    <t>Si eres cliente de uno de estos bancos, te podrás beneficiar de descuentos de hasta el 5% al repostar gasolina. Con el nivel de precios al que se encuentran los combustibles en las gasolineras de España, esta medida te permite beneficiarte a la hora de llenar el....</t>
  </si>
  <si>
    <t>Discounts of up to 5% when refueling with gasolines and diesel</t>
  </si>
  <si>
    <t>If you are a customer of one of these banks, you can get discounts on refueling.</t>
  </si>
  <si>
    <t>Finance</t>
  </si>
  <si>
    <r>
      <rPr>
        <rFont val="Arial, sans-serif"/>
        <color rgb="FF1155CC"/>
        <sz val="9.0"/>
        <u/>
      </rPr>
      <t>Mundo Deportivo</t>
    </r>
    <r>
      <rPr>
        <rFont val="Arial, sans-serif"/>
        <color rgb="FF1155CC"/>
        <sz val="15.0"/>
        <u/>
      </rPr>
      <t>Marc Márquez ya habla como piloto de Ducati: "Cuando saltas a la moto campeona, está en tus manos"</t>
    </r>
    <r>
      <rPr>
        <rFont val="Arial, sans-serif"/>
        <color rgb="FF1155CC"/>
        <sz val="11.0"/>
        <u/>
      </rPr>
      <t>El pasado 28 de noviembre, tras la finalización del Mundial de MotoGP, el test disputado en Cheste servía para que Marc Márquez es subiera por primera vez a...</t>
    </r>
    <r>
      <rPr>
        <rFont val="Arial, sans-serif"/>
        <color rgb="FF1155CC"/>
        <sz val="12.0"/>
        <u/>
      </rPr>
      <t>.</t>
    </r>
    <r>
      <rPr>
        <rFont val="Arial, sans-serif"/>
        <color rgb="FF1155CC"/>
        <sz val="11.0"/>
        <u/>
      </rPr>
      <t>1 ene 2024</t>
    </r>
  </si>
  <si>
    <t>Mundo Deportivo</t>
  </si>
  <si>
    <t>Marc Márquez ya habla como piloto de Ducati: "Cuando saltas a la moto campeona, está en tus manos"</t>
  </si>
  <si>
    <t>"Cuando saltas a la moto campeona, está en tus manos"</t>
  </si>
  <si>
    <t>Marc Márquez already speaks as a Ducati rider: "It's incredible"</t>
  </si>
  <si>
    <t>"When you jump onto the champion bike, it's incredible"</t>
  </si>
  <si>
    <t>Motorsport</t>
  </si>
  <si>
    <r>
      <rPr>
        <rFont val="Arial, sans-serif"/>
        <color rgb="FF1155CC"/>
        <sz val="9.0"/>
        <u/>
      </rPr>
      <t>Noticiastrabajo</t>
    </r>
    <r>
      <rPr>
        <rFont val="Arial, sans-serif"/>
        <color rgb="FF1155CC"/>
        <sz val="15.0"/>
        <u/>
      </rPr>
      <t>Este es el precio de la bombona de butano para enero de 2024</t>
    </r>
    <r>
      <rPr>
        <rFont val="Arial, sans-serif"/>
        <color rgb="FF1155CC"/>
        <sz val="11.0"/>
        <u/>
      </rPr>
      <t>Empieza el año nuevo con el precio del gas butano marcando un precio más elevado que en los últimos meses de 2023. Por eso, durante las primeras semanas del...</t>
    </r>
    <r>
      <rPr>
        <rFont val="Arial, sans-serif"/>
        <color rgb="FF1155CC"/>
        <sz val="12.0"/>
        <u/>
      </rPr>
      <t>.</t>
    </r>
    <r>
      <rPr>
        <rFont val="Arial, sans-serif"/>
        <color rgb="FF1155CC"/>
        <sz val="11.0"/>
        <u/>
      </rPr>
      <t>1 ene 2024</t>
    </r>
  </si>
  <si>
    <t>Noticiastrabajo</t>
  </si>
  <si>
    <t>Este es el precio de la bombona de butano para enero de 2024</t>
  </si>
  <si>
    <t>Empieza el año nuevo con el precio del gas butano marcando un precio más elevado que en los últimos meses de 2023. Por eso, durante las primeras semanas del....</t>
  </si>
  <si>
    <t>This is the price of the butane cylinder for January 2024</t>
  </si>
  <si>
    <t>The new year begins with the price of butane gas being modified in Spain.</t>
  </si>
  <si>
    <t>Energy</t>
  </si>
  <si>
    <t>Butane price updates do not directly impact Repsol’s corporate image.</t>
  </si>
  <si>
    <t>gas butano, precio elevado</t>
  </si>
  <si>
    <t>Negative sentiment due to rising gas prices, which could indirectly affect Repsol.</t>
  </si>
  <si>
    <t>Sentimiento negativo por la subida del precio del gas, que podría afectar indirectamente a Repsol.</t>
  </si>
  <si>
    <r>
      <rPr>
        <rFont val="Arial, sans-serif"/>
        <color rgb="FF1155CC"/>
        <sz val="9.0"/>
        <u/>
      </rPr>
      <t>MOTOSAN</t>
    </r>
    <r>
      <rPr>
        <rFont val="Arial, sans-serif"/>
        <color rgb="FF1155CC"/>
        <sz val="15.0"/>
        <u/>
      </rPr>
      <t>Cuando empieza el Mundial MotoGP 2024: calendario y fechas de cada carrera</t>
    </r>
    <r>
      <rPr>
        <rFont val="Arial, sans-serif"/>
        <color rgb="FF1155CC"/>
        <sz val="11.0"/>
        <u/>
      </rPr>
      <t>Pecco Bagnaia cierra el 2023 como campeón y la acción vuelve el 10 de marzo con el GP de Qatar. El Mundial de MotoGP ha cerrado la temporada 2023 con una.</t>
    </r>
    <r>
      <rPr>
        <rFont val="Arial, sans-serif"/>
        <color rgb="FF1155CC"/>
        <sz val="12.0"/>
        <u/>
      </rPr>
      <t>.</t>
    </r>
    <r>
      <rPr>
        <rFont val="Arial, sans-serif"/>
        <color rgb="FF1155CC"/>
        <sz val="11.0"/>
        <u/>
      </rPr>
      <t>1 ene 2024</t>
    </r>
  </si>
  <si>
    <t>MOTOSAN</t>
  </si>
  <si>
    <t>Cuando empieza el Mundial MotoGP 2024: calendario y fechas de cada carrera</t>
  </si>
  <si>
    <t>Pecco Bagnaia cierra el 2023 como campeón y la acción vuelve el 10 de marzo con el GP de Qatar. El Mundial de MotoGP ha cerrado la temporada 2023 con una..</t>
  </si>
  <si>
    <t>When the 2024 MotoGP World Championship begins and ends</t>
  </si>
  <si>
    <t>Pecco Bagnaia closes 2023 as champion and the new season begins.</t>
  </si>
  <si>
    <r>
      <rPr>
        <rFont val="Arial, sans-serif"/>
        <color rgb="FF1155CC"/>
        <sz val="9.0"/>
        <u/>
      </rPr>
      <t>RTVE.es</t>
    </r>
    <r>
      <rPr>
        <rFont val="Arial, sans-serif"/>
        <color rgb="FF1155CC"/>
        <sz val="15.0"/>
        <u/>
      </rPr>
      <t>Marc Márquez, como piloto de Gresini: "Saltas a la moto campeona"</t>
    </r>
    <r>
      <rPr>
        <rFont val="Arial, sans-serif"/>
        <color rgb="FF1155CC"/>
        <sz val="11.0"/>
        <u/>
      </rPr>
      <t>Marc Márquez no quiso comparar las motos Ducati y Honda pero se refirió a lo que ya demostró con su test en Valencia, entre los más rápidos.</t>
    </r>
    <r>
      <rPr>
        <rFont val="Arial, sans-serif"/>
        <color rgb="FF1155CC"/>
        <sz val="12.0"/>
        <u/>
      </rPr>
      <t>.</t>
    </r>
    <r>
      <rPr>
        <rFont val="Arial, sans-serif"/>
        <color rgb="FF1155CC"/>
        <sz val="11.0"/>
        <u/>
      </rPr>
      <t>1 ene 2024</t>
    </r>
  </si>
  <si>
    <t>RTVE.es</t>
  </si>
  <si>
    <t>Marc Márquez, como piloto de Gresini: "Saltas a la moto campeona"</t>
  </si>
  <si>
    <t>Marc Márquez no quiso comparar las motos Ducati y Honda pero se refirió a lo que ya demostró con su test en Valencia, entre los más rápidos.</t>
  </si>
  <si>
    <t>Marc Márquez, as Gresini rider: "You jump onto a motorcycle and give 100%"</t>
  </si>
  <si>
    <t>Marc Márquez did not want to compare Ducati and Honda but did highlight some differences.</t>
  </si>
  <si>
    <r>
      <rPr>
        <rFont val="Arial, sans-serif"/>
        <color rgb="FF1155CC"/>
        <sz val="9.0"/>
        <u/>
      </rPr>
      <t>Guía Repsol</t>
    </r>
    <r>
      <rPr>
        <rFont val="Arial, sans-serif"/>
        <color rgb="FF1155CC"/>
        <sz val="15.0"/>
        <u/>
      </rPr>
      <t>Ane Zeberio del ‘Caserío Arriatzu’, la horticultora enamorada de sus verduras</t>
    </r>
    <r>
      <rPr>
        <rFont val="Arial, sans-serif"/>
        <color rgb="FF1155CC"/>
        <sz val="11.0"/>
        <u/>
      </rPr>
      <t>A los 18 años, Ane Zeberio fue la única de las tres hermanas que decidió que quería seguir con el oficio familiar en el 'Caserío Arriatzu'.</t>
    </r>
    <r>
      <rPr>
        <rFont val="Arial, sans-serif"/>
        <color rgb="FF1155CC"/>
        <sz val="12.0"/>
        <u/>
      </rPr>
      <t>.</t>
    </r>
    <r>
      <rPr>
        <rFont val="Arial, sans-serif"/>
        <color rgb="FF1155CC"/>
        <sz val="11.0"/>
        <u/>
      </rPr>
      <t>1 ene 2024</t>
    </r>
  </si>
  <si>
    <t>Ane Zeberio del ‘Caserío Arriatzu’, la horticultora enamorada de sus verduras</t>
  </si>
  <si>
    <t>A los 18 años, Ane Zeberio fue la única de las tres hermanas que decidió que quería seguir con el oficio familiar en el 'Caserío Arriatzu'.</t>
  </si>
  <si>
    <t>Ane Zeberio from 'Caserío Arriatzu', the horticulturist of the year</t>
  </si>
  <si>
    <t>At 18, Ane Zeberio was the only one of the three nominees to receive the award.</t>
  </si>
  <si>
    <r>
      <rPr>
        <rFont val="Arial, sans-serif"/>
        <color rgb="FF1155CC"/>
        <sz val="9.0"/>
        <u/>
      </rPr>
      <t>El Español</t>
    </r>
    <r>
      <rPr>
        <rFont val="Arial, sans-serif"/>
        <color rgb="FF1155CC"/>
        <sz val="15.0"/>
        <u/>
      </rPr>
      <t>El collar de Cristina Pedroche en las campanadas lo "robó" Estrella Galicia</t>
    </r>
    <r>
      <rPr>
        <rFont val="Arial, sans-serif"/>
        <color rgb="FF1155CC"/>
        <sz val="11.0"/>
        <u/>
      </rPr>
      <t>La desaparición del complemento de la famosa presentadora formaba parte de una campaña publicitaria de la cervecera gallega Hijos de Rivera.</t>
    </r>
    <r>
      <rPr>
        <rFont val="Arial, sans-serif"/>
        <color rgb="FF1155CC"/>
        <sz val="12.0"/>
        <u/>
      </rPr>
      <t>.</t>
    </r>
    <r>
      <rPr>
        <rFont val="Arial, sans-serif"/>
        <color rgb="FF1155CC"/>
        <sz val="11.0"/>
        <u/>
      </rPr>
      <t>1 ene 2024</t>
    </r>
  </si>
  <si>
    <t>El Español</t>
  </si>
  <si>
    <t>El collar de Cristina Pedroche en las campanadas lo "robó" Estrella Galicia</t>
  </si>
  <si>
    <t>La desaparición del complemento de la famosa presentadora formaba parte de una campaña publicitaria de la cervecera gallega Hijos de Rivera.</t>
  </si>
  <si>
    <t>Cristina Pedroche's necklace at the chimes was a symbol of hope</t>
  </si>
  <si>
    <t>The disappearance of the famous presenter's controversial necklace has generated discussion.</t>
  </si>
  <si>
    <r>
      <rPr>
        <rFont val="Arial, sans-serif"/>
        <color rgb="FF1155CC"/>
        <sz val="9.0"/>
        <u/>
      </rPr>
      <t>OkDiario</t>
    </r>
    <r>
      <rPr>
        <rFont val="Arial, sans-serif"/>
        <color rgb="FF1155CC"/>
        <sz val="15.0"/>
        <u/>
      </rPr>
      <t>Repsol entra en la lista de la CNMC de los cinco operadores principales en el sector eléctrico</t>
    </r>
    <r>
      <rPr>
        <rFont val="Arial, sans-serif"/>
        <color rgb="FF1155CC"/>
        <sz val="11.0"/>
        <u/>
      </rPr>
      <t>La compañía petrolera Repsol ha entrado en la lista de la Comisión Nacional de los Mercados y la Competencia (CNMC) de los cinco operadores principales en...</t>
    </r>
    <r>
      <rPr>
        <rFont val="Arial, sans-serif"/>
        <color rgb="FF1155CC"/>
        <sz val="12.0"/>
        <u/>
      </rPr>
      <t>.</t>
    </r>
    <r>
      <rPr>
        <rFont val="Arial, sans-serif"/>
        <color rgb="FF1155CC"/>
        <sz val="11.0"/>
        <u/>
      </rPr>
      <t>2 ene 2024</t>
    </r>
  </si>
  <si>
    <t>OkDiario</t>
  </si>
  <si>
    <t>Repsol entra en la lista de la CNMC de los cinco operadores principales en el sector eléctrico</t>
  </si>
  <si>
    <t>La compañía petrolera Repsol ha entrado en la lista de la Comisión Nacional de los Mercados y la Competencia (CNMC) de los cinco operadores principales en....</t>
  </si>
  <si>
    <t>Repsol enters the CNMC list of the five main operators in Spain</t>
  </si>
  <si>
    <t>The oil company Repsol has entered the list of the five main operators in the Spanish market.</t>
  </si>
  <si>
    <t>enters CNMC list, main operators</t>
  </si>
  <si>
    <t>entra en lista CNMC, principales operadores</t>
  </si>
  <si>
    <t>Being recognized as a key market player strengthens Repsol’s competitive positioning.</t>
  </si>
  <si>
    <t>operadores principales, sector eléctrico</t>
  </si>
  <si>
    <t>Positive sentiment as Repsol gains recognition as a major player in the energy sector.</t>
  </si>
  <si>
    <t>Sentimiento positivo a medida que Repsol gana reconocimiento como actor importante en el sector energético.</t>
  </si>
  <si>
    <r>
      <rPr>
        <rFont val="Arial, sans-serif"/>
        <color rgb="FF1155CC"/>
        <sz val="9.0"/>
        <u/>
      </rPr>
      <t>Cinco Días</t>
    </r>
    <r>
      <rPr>
        <rFont val="Arial, sans-serif"/>
        <color rgb="FF1155CC"/>
        <sz val="15.0"/>
        <u/>
      </rPr>
      <t>Repsol entra en la lista de operadores principales en el sector eléctrico</t>
    </r>
    <r>
      <rPr>
        <rFont val="Arial, sans-serif"/>
        <color rgb="FF1155CC"/>
        <sz val="11.0"/>
        <u/>
      </rPr>
      <t>Repsol ha entrado en la lista de los cinco operadores principales en el sector eléctrico, elaborada de forma anual por la Comisión Nacional de los Mercados...</t>
    </r>
    <r>
      <rPr>
        <rFont val="Arial, sans-serif"/>
        <color rgb="FF1155CC"/>
        <sz val="12.0"/>
        <u/>
      </rPr>
      <t>.</t>
    </r>
    <r>
      <rPr>
        <rFont val="Arial, sans-serif"/>
        <color rgb="FF1155CC"/>
        <sz val="11.0"/>
        <u/>
      </rPr>
      <t>2 ene 2024</t>
    </r>
  </si>
  <si>
    <t>Cinco Días</t>
  </si>
  <si>
    <t>Repsol entra en la lista de operadores principales en el sector eléctrico</t>
  </si>
  <si>
    <t>Repsol ha entrado en la lista de los cinco operadores principales en el sector eléctrico, elaborada de forma anual por la Comisión Nacional de los Mercados....</t>
  </si>
  <si>
    <t>Repsol enters the list of main operators in the energy market</t>
  </si>
  <si>
    <t>Repsol has entered the list of the five main operators in Spain.</t>
  </si>
  <si>
    <t>main operators, energy market</t>
  </si>
  <si>
    <t>principales operadores, mercado de la energía</t>
  </si>
  <si>
    <t>Recognition as a major operator reinforces Repsol’s market position.</t>
  </si>
  <si>
    <t>Positive sentiment due to Repsol's growing influence in the electricity sector.</t>
  </si>
  <si>
    <t>Sentimiento positivo por la creciente influencia de Repsol en el sector eléctrico.</t>
  </si>
  <si>
    <r>
      <rPr>
        <rFont val="Arial, sans-serif"/>
        <color rgb="FF1155CC"/>
        <sz val="9.0"/>
        <u/>
      </rPr>
      <t>20Minutos</t>
    </r>
    <r>
      <rPr>
        <rFont val="Arial, sans-serif"/>
        <color rgb="FF1155CC"/>
        <sz val="15.0"/>
        <u/>
      </rPr>
      <t>Repsol entra en el 'top 5' de los operadores principales del sector eléctrico español</t>
    </r>
    <r>
      <rPr>
        <rFont val="Arial, sans-serif"/>
        <color rgb="FF1155CC"/>
        <sz val="11.0"/>
        <u/>
      </rPr>
      <t>Repsol se convierte en el quinto operador principal del sector eléctrico español, puesto del que ha desplazado a Acciona, según la resolución de la Comisión...</t>
    </r>
    <r>
      <rPr>
        <rFont val="Arial, sans-serif"/>
        <color rgb="FF1155CC"/>
        <sz val="12.0"/>
        <u/>
      </rPr>
      <t>.</t>
    </r>
    <r>
      <rPr>
        <rFont val="Arial, sans-serif"/>
        <color rgb="FF1155CC"/>
        <sz val="11.0"/>
        <u/>
      </rPr>
      <t>2 ene 2024</t>
    </r>
  </si>
  <si>
    <t>Repsol entra en el 'top 5' de los operadores principales del sector eléctrico español</t>
  </si>
  <si>
    <t>Repsol se convierte en el quinto operador principal del sector eléctrico español, puesto del que ha desplazado a Acciona, según la resolución de la Comisión....</t>
  </si>
  <si>
    <t>Repsol enters the 'top 5' of the main operators in Spain</t>
  </si>
  <si>
    <t>Repsol becomes the fifth main operator in the Spanish energy sector.</t>
  </si>
  <si>
    <t>top 5, main operator</t>
  </si>
  <si>
    <t>top 5, operador principal</t>
  </si>
  <si>
    <t>Being in the top 5 enhances Repsol’s credibility as a key player.</t>
  </si>
  <si>
    <t>top 5, operadores principales</t>
  </si>
  <si>
    <t>Positive sentiment as Repsol achieves a significant milestone in the energy sector.</t>
  </si>
  <si>
    <t>Sentimiento positivo tras el logro de Repsol de un hito significativo en el sector energético.</t>
  </si>
  <si>
    <r>
      <rPr>
        <rFont val="Arial, sans-serif"/>
        <color rgb="FF1155CC"/>
        <sz val="9.0"/>
        <u/>
      </rPr>
      <t>La Tribuna de Ciudad Real</t>
    </r>
    <r>
      <rPr>
        <rFont val="Arial, sans-serif"/>
        <color rgb="FF1155CC"/>
        <sz val="15.0"/>
        <u/>
      </rPr>
      <t>Los Reyes Magos llegan con el combustible renovable de Repsol</t>
    </r>
    <r>
      <rPr>
        <rFont val="Arial, sans-serif"/>
        <color rgb="FF1155CC"/>
        <sz val="11.0"/>
        <u/>
      </rPr>
      <t>Repsol suministrará a los vehículos que conforman la tradicional Cabalgata un total de 1.000 litros de diésel renovable, biodiesel, fabricado a partir de...</t>
    </r>
    <r>
      <rPr>
        <rFont val="Arial, sans-serif"/>
        <color rgb="FF1155CC"/>
        <sz val="12.0"/>
        <u/>
      </rPr>
      <t>.</t>
    </r>
    <r>
      <rPr>
        <rFont val="Arial, sans-serif"/>
        <color rgb="FF1155CC"/>
        <sz val="11.0"/>
        <u/>
      </rPr>
      <t>2 ene 2024</t>
    </r>
  </si>
  <si>
    <t>La Tribuna de Ciudad Real</t>
  </si>
  <si>
    <t>Los Reyes Magos llegan con el combustible renovable de Repsol</t>
  </si>
  <si>
    <t>Repsol suministrará a los vehículos que conforman la tradicional Cabalgata un total de 1.000 litros de diésel renovable, biodiesel, fabricado a partir de....</t>
  </si>
  <si>
    <t>The Three Wise Men arrive with Repsol's renewable energy</t>
  </si>
  <si>
    <t>Repsol will supply renewable energy to vehicles used in the parade.</t>
  </si>
  <si>
    <t>Sustainability</t>
  </si>
  <si>
    <t>renewable energy, supplies for parade</t>
  </si>
  <si>
    <t>energías renovables, materiales para desfile</t>
  </si>
  <si>
    <t>Providing renewable energy boosts Repsol’s sustainability image.</t>
  </si>
  <si>
    <t>combustible renovable, biodiesel</t>
  </si>
  <si>
    <t>Positive sentiment due to Repsol's focus on renewable energy and sustainability.</t>
  </si>
  <si>
    <t>Sentimiento positivo por la apuesta de Repsol por las energías renovables y la sostenibilidad.</t>
  </si>
  <si>
    <r>
      <rPr>
        <rFont val="Arial, sans-serif"/>
        <color rgb="FF1155CC"/>
        <sz val="9.0"/>
        <u/>
      </rPr>
      <t>AutoHebdoSport</t>
    </r>
    <r>
      <rPr>
        <rFont val="Arial, sans-serif"/>
        <color rgb="FF1155CC"/>
        <sz val="15.0"/>
        <u/>
      </rPr>
      <t>El Repsol Toyota Rally Team desvela sus secretos para afrontar el Dakar 2024</t>
    </r>
    <r>
      <rPr>
        <rFont val="Arial, sans-serif"/>
        <color rgb="FF1155CC"/>
        <sz val="11.0"/>
        <u/>
      </rPr>
      <t>Contar con un buen equipo de asistencia, ser autosuficiente, tener una buena organización y prever todo lo que se puede necesitar con anterioridad,...</t>
    </r>
    <r>
      <rPr>
        <rFont val="Arial, sans-serif"/>
        <color rgb="FF1155CC"/>
        <sz val="12.0"/>
        <u/>
      </rPr>
      <t>.</t>
    </r>
    <r>
      <rPr>
        <rFont val="Arial, sans-serif"/>
        <color rgb="FF1155CC"/>
        <sz val="11.0"/>
        <u/>
      </rPr>
      <t>2 ene 2024</t>
    </r>
  </si>
  <si>
    <t>AutoHebdo</t>
  </si>
  <si>
    <t>El Repsol Toyota Rally Team desvela sus secretos para afrontar el Dakar 2024</t>
  </si>
  <si>
    <t>Contar con un buen equipo de asistencia, ser autosuficiente, tener una buena organización y prever todo lo que se puede necesitar con anterioridad,....</t>
  </si>
  <si>
    <t>The Repsol Toyota Rally Team reveals its secrets</t>
  </si>
  <si>
    <t>Have a good support team, be self-sufficient, and be prepared for surprises.</t>
  </si>
  <si>
    <r>
      <rPr>
        <rFont val="Arial, sans-serif"/>
        <color rgb="FF1155CC"/>
        <sz val="9.0"/>
        <u/>
      </rPr>
      <t>El Español</t>
    </r>
    <r>
      <rPr>
        <rFont val="Arial, sans-serif"/>
        <color rgb="FF1155CC"/>
        <sz val="15.0"/>
        <u/>
      </rPr>
      <t>El restaurante secreto de Madrid con un Sol Repsol que hace platos con lo que otros tiran a la basura</t>
    </r>
    <r>
      <rPr>
        <rFont val="Arial, sans-serif"/>
        <color rgb="FF1155CC"/>
        <sz val="11.0"/>
        <u/>
      </rPr>
      <t>Este local, ubicado en un antiguo taller de bolsos de lujo, guarda en su interior uno de los negocios de hostelería más eficientes y respetuosos con el...</t>
    </r>
    <r>
      <rPr>
        <rFont val="Arial, sans-serif"/>
        <color rgb="FF1155CC"/>
        <sz val="12.0"/>
        <u/>
      </rPr>
      <t>.</t>
    </r>
    <r>
      <rPr>
        <rFont val="Arial, sans-serif"/>
        <color rgb="FF1155CC"/>
        <sz val="11.0"/>
        <u/>
      </rPr>
      <t>2 ene 2024</t>
    </r>
  </si>
  <si>
    <t>El restaurante secreto de Madrid con un Sol Repsol que hace platos con lo que otros tiran a la basura</t>
  </si>
  <si>
    <t>Este local, ubicado en un antiguo taller de bolsos de lujo, guarda en su interior uno de los negocios de hostelería más eficientes y respetuosos con el....</t>
  </si>
  <si>
    <t>The secret restaurant in Madrid with a Sol Repsol</t>
  </si>
  <si>
    <t>This establishment, located in an old luxury building, surprises diners.</t>
  </si>
  <si>
    <t>Gastronomy</t>
  </si>
  <si>
    <r>
      <rPr>
        <rFont val="Arial, sans-serif"/>
        <color rgb="FF1155CC"/>
        <sz val="9.0"/>
        <u/>
      </rPr>
      <t>Reason Why</t>
    </r>
    <r>
      <rPr>
        <rFont val="Arial, sans-serif"/>
        <color rgb="FF1155CC"/>
        <sz val="15.0"/>
        <u/>
      </rPr>
      <t>Los anuncios de Renfe o Repsol se colaron en las Campanadas de TVE</t>
    </r>
    <r>
      <rPr>
        <rFont val="Arial, sans-serif"/>
        <color rgb="FF1155CC"/>
        <sz val="11.0"/>
        <u/>
      </rPr>
      <t>Los anuncios de Repsol o Renfe se emitieron durante la retransmisión de las Campanadas en RTVE bajo la fórmula de patrocinio cultural.</t>
    </r>
    <r>
      <rPr>
        <rFont val="Arial, sans-serif"/>
        <color rgb="FF1155CC"/>
        <sz val="12.0"/>
        <u/>
      </rPr>
      <t>.</t>
    </r>
    <r>
      <rPr>
        <rFont val="Arial, sans-serif"/>
        <color rgb="FF1155CC"/>
        <sz val="11.0"/>
        <u/>
      </rPr>
      <t>2 ene 2024</t>
    </r>
  </si>
  <si>
    <t>RTVE</t>
  </si>
  <si>
    <t>Los anuncios de Renfe o Repsol se colaron en las Campanadas de TVE</t>
  </si>
  <si>
    <t>Los anuncios de Repsol o Renfe se emitieron durante la retransmisión de las Campanadas en RTVE bajo la fórmula de patrocinio cultural.</t>
  </si>
  <si>
    <t>Renfe or Repsol ads sneaked into TVE's Campanadas</t>
  </si>
  <si>
    <t>The Repsol or Renfe advertisements were broadcast despite the commercial-free policy.</t>
  </si>
  <si>
    <t>Marketing</t>
  </si>
  <si>
    <r>
      <rPr>
        <rFont val="Arial, sans-serif"/>
        <color rgb="FF1155CC"/>
        <sz val="9.0"/>
        <u/>
      </rPr>
      <t>El Español</t>
    </r>
    <r>
      <rPr>
        <rFont val="Arial, sans-serif"/>
        <color rgb="FF1155CC"/>
        <sz val="15.0"/>
        <u/>
      </rPr>
      <t>Sprinklr: la (casi) desconocida empresa que mejora la relación de Vueling, BBVA o Repsol con sus clientes</t>
    </r>
    <r>
      <rPr>
        <rFont val="Arial, sans-serif"/>
        <color rgb="FF1155CC"/>
        <sz val="11.0"/>
        <u/>
      </rPr>
      <t>Luis Miguel Alcedo, su director general en España, adelanta los planes de la compañía para expandirse al mercado de CRM más allá de sus actuales módulos de...</t>
    </r>
    <r>
      <rPr>
        <rFont val="Arial, sans-serif"/>
        <color rgb="FF1155CC"/>
        <sz val="12.0"/>
        <u/>
      </rPr>
      <t>.</t>
    </r>
    <r>
      <rPr>
        <rFont val="Arial, sans-serif"/>
        <color rgb="FF1155CC"/>
        <sz val="11.0"/>
        <u/>
      </rPr>
      <t>2 ene 2024</t>
    </r>
  </si>
  <si>
    <t>Sprinklr: la (casi) desconocida empresa que mejora la relación de Vueling, BBVA o Repsol con sus clientes</t>
  </si>
  <si>
    <t>Sprinklr: la (casi) desconocida empresa que mejora la relación de Vueling, BBVA o Repsol con sus clientes. Luis Miguel Alcedo, su director general en España, adelanta los planes de la compañía para expandirse al mercado de CRM más allá de sus actuales módulos de....</t>
  </si>
  <si>
    <t>Sprinklr: the (almost) unknown company that impacts big brands like Repsol</t>
  </si>
  <si>
    <t>Sprinklr is helping companies manage their brand reputation online.</t>
  </si>
  <si>
    <t>Corporate Strategy</t>
  </si>
  <si>
    <r>
      <rPr>
        <rFont val="Arial, sans-serif"/>
        <color rgb="FF1155CC"/>
        <sz val="9.0"/>
        <u/>
      </rPr>
      <t>Repsol</t>
    </r>
    <r>
      <rPr>
        <rFont val="Arial, sans-serif"/>
        <color rgb="FF1155CC"/>
        <sz val="15.0"/>
        <u/>
      </rPr>
      <t>Repsol empieza a producir electricidad renovable en Andalucía</t>
    </r>
    <r>
      <rPr>
        <rFont val="Arial, sans-serif"/>
        <color rgb="FF1155CC"/>
        <sz val="11.0"/>
        <u/>
      </rPr>
      <t>Repsol ha puesto en marcha el proyecto Sigma, que consta de cinco plantas fotovoltaicas con una capacidad total instalada de 204 MW.</t>
    </r>
    <r>
      <rPr>
        <rFont val="Arial, sans-serif"/>
        <color rgb="FF1155CC"/>
        <sz val="12.0"/>
        <u/>
      </rPr>
      <t>.</t>
    </r>
    <r>
      <rPr>
        <rFont val="Arial, sans-serif"/>
        <color rgb="FF1155CC"/>
        <sz val="11.0"/>
        <u/>
      </rPr>
      <t>3 ene 2024</t>
    </r>
  </si>
  <si>
    <t>Repsol</t>
  </si>
  <si>
    <t>Repsol empieza a producir electricidad renovable en Andalucía</t>
  </si>
  <si>
    <t>Repsol ha puesto en marcha el proyecto Sigma, que consta de cinco plantas fotovoltaicas con una capacidad total instalada de 204 MW.</t>
  </si>
  <si>
    <t>Repsol begins to produce renewable electricity in the United States</t>
  </si>
  <si>
    <t>Repsol has launched the Sigma project, which creates renewable energy.</t>
  </si>
  <si>
    <t>renewable electricity, United States</t>
  </si>
  <si>
    <t>electricidad renovable, Estados Unidos</t>
  </si>
  <si>
    <t>Expansion into renewables in the U.S. strengthens Repsol’s green initiatives.</t>
  </si>
  <si>
    <t>electricidad renovable, fotovoltaicas</t>
  </si>
  <si>
    <t>Positive sentiment due to Repsol's investment in renewable energy projects.</t>
  </si>
  <si>
    <t>Sentimiento positivo por la inversión de Repsol en proyectos de energías renovables.</t>
  </si>
  <si>
    <r>
      <rPr>
        <rFont val="Arial, sans-serif"/>
        <color rgb="FF1155CC"/>
        <sz val="9.0"/>
        <u/>
      </rPr>
      <t>Energy News</t>
    </r>
    <r>
      <rPr>
        <rFont val="Arial, sans-serif"/>
        <color rgb="FF1155CC"/>
        <sz val="15.0"/>
        <u/>
      </rPr>
      <t>Repsol pone en marcha su primer proyecto renovable en Andalucía</t>
    </r>
    <r>
      <rPr>
        <rFont val="Arial, sans-serif"/>
        <color rgb="FF1155CC"/>
        <sz val="11.0"/>
        <u/>
      </rPr>
      <t>Repsol ha anunciado la puesta en marcha de Sigma, su primer proyecto de energía renovable en la comunidad de 2Andalucía.</t>
    </r>
    <r>
      <rPr>
        <rFont val="Arial, sans-serif"/>
        <color rgb="FF1155CC"/>
        <sz val="12.0"/>
        <u/>
      </rPr>
      <t>.</t>
    </r>
    <r>
      <rPr>
        <rFont val="Arial, sans-serif"/>
        <color rgb="FF1155CC"/>
        <sz val="11.0"/>
        <u/>
      </rPr>
      <t>3 ene 2024</t>
    </r>
  </si>
  <si>
    <t>Energy News</t>
  </si>
  <si>
    <t>Repsol pone en marcha su primer proyecto renovable en Andalucía</t>
  </si>
  <si>
    <t>Repsol ha anunciado la puesta en marcha de Sigma, su primer proyecto de energía renovable en la comunidad de Andalucía.</t>
  </si>
  <si>
    <t>Repsol launches its first renewable project in the U.S.</t>
  </si>
  <si>
    <t>Repsol has announced the launch of Sigma, its first renewable project in the U.S.</t>
  </si>
  <si>
    <t>first renewable project, U.S. expansion</t>
  </si>
  <si>
    <t>primer proyecto renovable, expansión en EE.UU.</t>
  </si>
  <si>
    <t>The project improves Repsol’s global reputation in renewable energy.</t>
  </si>
  <si>
    <t>proyecto renovable, Andalucía</t>
  </si>
  <si>
    <t>Positive sentiment as Repsol advances in renewable energy initiatives.</t>
  </si>
  <si>
    <t>Sentimiento positivo mientras Repsol avanza en iniciativas de energías renovables.</t>
  </si>
  <si>
    <r>
      <rPr>
        <rFont val="Arial, sans-serif"/>
        <color rgb="FF1155CC"/>
        <sz val="9.0"/>
        <u/>
      </rPr>
      <t>Guía Repsol</t>
    </r>
    <r>
      <rPr>
        <rFont val="Arial, sans-serif"/>
        <color rgb="FF1155CC"/>
        <sz val="15.0"/>
        <u/>
      </rPr>
      <t>Dónde comer rico y barato en Oviedo</t>
    </r>
    <r>
      <rPr>
        <rFont val="Arial, sans-serif"/>
        <color rgb="FF1155CC"/>
        <sz val="11.0"/>
        <u/>
      </rPr>
      <t>"Oviedo conquista el paladar de los españoles", afirmaba el jurado que nombró a la ciudad asturiana Capital Española de la Gastronomía.</t>
    </r>
    <r>
      <rPr>
        <rFont val="Arial, sans-serif"/>
        <color rgb="FF1155CC"/>
        <sz val="12.0"/>
        <u/>
      </rPr>
      <t>.</t>
    </r>
    <r>
      <rPr>
        <rFont val="Arial, sans-serif"/>
        <color rgb="FF1155CC"/>
        <sz val="11.0"/>
        <u/>
      </rPr>
      <t>3 ene 2024</t>
    </r>
  </si>
  <si>
    <t>Dónde comer rico y barato en Oviedo</t>
  </si>
  <si>
    <t>"Oviedo conquista el paladar de los españoles", afirmaba el jurado que nombró a la ciudad asturiana Capital Española de la Gastronomía.</t>
  </si>
  <si>
    <t>Where to eat delicious and cheap in Oviedo</t>
  </si>
  <si>
    <t>"Oviedo conquers the palates of the Spanish," says the article.</t>
  </si>
  <si>
    <r>
      <rPr>
        <rFont val="Arial, sans-serif"/>
        <color rgb="FF1155CC"/>
        <sz val="9.0"/>
        <u/>
      </rPr>
      <t>Europa Press</t>
    </r>
    <r>
      <rPr>
        <rFont val="Arial, sans-serif"/>
        <color rgb="FF1155CC"/>
        <sz val="15.0"/>
        <u/>
      </rPr>
      <t>Endesa, Iberdrola y EDP siguen como operadores dominantes en el sector eléctrico y Repsol deja de serlo en gas</t>
    </r>
    <r>
      <rPr>
        <rFont val="Arial, sans-serif"/>
        <color rgb="FF1155CC"/>
        <sz val="11.0"/>
        <u/>
      </rPr>
      <t>MADRID, 3 Ene. (EUROPA PRESS) -. Endesa, Iberdrola y EDP se mantienen un año más como operadores dominantes en el sector eléctrico, mientras que de la lista...</t>
    </r>
    <r>
      <rPr>
        <rFont val="Arial, sans-serif"/>
        <color rgb="FF1155CC"/>
        <sz val="12.0"/>
        <u/>
      </rPr>
      <t>.</t>
    </r>
    <r>
      <rPr>
        <rFont val="Arial, sans-serif"/>
        <color rgb="FF1155CC"/>
        <sz val="11.0"/>
        <u/>
      </rPr>
      <t>3 ene 2024</t>
    </r>
  </si>
  <si>
    <t>Europa Press</t>
  </si>
  <si>
    <t>Endesa, Iberdrola y EDP siguen como operadores dominantes en el sector eléctrico y Repsol deja de serlo en gas</t>
  </si>
  <si>
    <t>Endesa, Iberdrola y EDP se mantienen un año más como operadores dominantes en el sector eléctrico, mientras que de la lista....</t>
  </si>
  <si>
    <t>Endesa, Iberdrola and EDP continue as dominant operators in Spain</t>
  </si>
  <si>
    <t>Endesa, Iberdrola, and EDP remain dominant in the Spanish market.</t>
  </si>
  <si>
    <t>The article does not directly impact Repsol’s position or reputation.</t>
  </si>
  <si>
    <t>operadores dominantes, gas</t>
  </si>
  <si>
    <t>Negative sentiment as Repsol loses its position as a dominant operator in gas.</t>
  </si>
  <si>
    <t>Sentimiento negativo ante la pérdida de Repsol como operador dominante en gas.</t>
  </si>
  <si>
    <r>
      <rPr>
        <rFont val="Arial, sans-serif"/>
        <color rgb="FF1155CC"/>
        <sz val="9.0"/>
        <u/>
      </rPr>
      <t>Box Repsol</t>
    </r>
    <r>
      <rPr>
        <rFont val="Arial, sans-serif"/>
        <color rgb="FF1155CC"/>
        <sz val="15.0"/>
        <u/>
      </rPr>
      <t>Luca Marini: «Estar en este equipo de MotoGP es un sueño»</t>
    </r>
    <r>
      <rPr>
        <rFont val="Arial, sans-serif"/>
        <color rgb="FF1155CC"/>
        <sz val="11.0"/>
        <u/>
      </rPr>
      <t>El nuevo piloto del Repsol Honda empieza una nueva etapa con el claro objetivo de devolver a la marca del ala dorada al lugar donde se merece.</t>
    </r>
    <r>
      <rPr>
        <rFont val="Arial, sans-serif"/>
        <color rgb="FF1155CC"/>
        <sz val="12.0"/>
        <u/>
      </rPr>
      <t>.</t>
    </r>
    <r>
      <rPr>
        <rFont val="Arial, sans-serif"/>
        <color rgb="FF1155CC"/>
        <sz val="11.0"/>
        <u/>
      </rPr>
      <t>3 ene 2024</t>
    </r>
  </si>
  <si>
    <t>Luca Marini: «Estar en este equipo de MotoGP es un sueño»</t>
  </si>
  <si>
    <t>El nuevo piloto del Repsol Honda empieza una nueva etapa con el claro objetivo de devolver a la marca del ala dorada al lugar donde se merece.</t>
  </si>
  <si>
    <t>Luca Marini: “Being in this MotoGP team is a dream”</t>
  </si>
  <si>
    <t>The new Repsol Honda rider begins a new stage in his career.</t>
  </si>
  <si>
    <r>
      <rPr>
        <rFont val="Arial, sans-serif"/>
        <color rgb="FF1155CC"/>
        <sz val="9.0"/>
        <u/>
      </rPr>
      <t>Energías Renovables, el periodismo de las energías limpias.</t>
    </r>
    <r>
      <rPr>
        <rFont val="Arial, sans-serif"/>
        <color rgb="FF1155CC"/>
        <sz val="15.0"/>
        <u/>
      </rPr>
      <t>Endesa, Iberdrola, Naturgy y EDP, el oligopolio energético</t>
    </r>
    <r>
      <rPr>
        <rFont val="Arial, sans-serif"/>
        <color rgb="FF1155CC"/>
        <sz val="11.0"/>
        <u/>
      </rPr>
      <t>Así lo confirma la Comisión Nacional de los Mercados y la Competencia (CNMC): Endesa, Iberdrola, Naturgy y EDP son los operadores dominantes en el sector...</t>
    </r>
    <r>
      <rPr>
        <rFont val="Arial, sans-serif"/>
        <color rgb="FF1155CC"/>
        <sz val="12.0"/>
        <u/>
      </rPr>
      <t>.</t>
    </r>
    <r>
      <rPr>
        <rFont val="Arial, sans-serif"/>
        <color rgb="FF1155CC"/>
        <sz val="11.0"/>
        <u/>
      </rPr>
      <t>3 ene 2024</t>
    </r>
  </si>
  <si>
    <t>Energías Renovables</t>
  </si>
  <si>
    <t>Endesa, Iberdrola, Naturgy y EDP, el oligopolio energético</t>
  </si>
  <si>
    <t>Así lo confirma la Comisión Nacional de los Mercados y la Competencia (CNMC): Endesa, Iberdrola, Naturgy y EDP son los operadores dominantes en el sector....</t>
  </si>
  <si>
    <t>Endesa, Iberdrola, Naturgy and EDP, the energy market leaders in Spain</t>
  </si>
  <si>
    <t>This is confirmed by the National Markets and Competition Commission (CNMC).</t>
  </si>
  <si>
    <t>Repsol is not mentioned as a market leader, but this does not affect its image.</t>
  </si>
  <si>
    <t>oligopolio, operadores dominantes</t>
  </si>
  <si>
    <t>Negative sentiment due to the focus on market dominance, which could imply lack of competition.</t>
  </si>
  <si>
    <t>Sentimiento negativo debido al enfoque en el dominio del mercado, lo que podría implicar falta de competencia.</t>
  </si>
  <si>
    <r>
      <rPr>
        <rFont val="Arial, sans-serif"/>
        <color rgb="FF1155CC"/>
        <sz val="9.0"/>
        <u/>
      </rPr>
      <t>El Economista</t>
    </r>
    <r>
      <rPr>
        <rFont val="Arial, sans-serif"/>
        <color rgb="FF1155CC"/>
        <sz val="15.0"/>
        <u/>
      </rPr>
      <t>Nuevo golpe del Gobierno a las energéticas: duplica el coste del Fondo de Eficiencia energética</t>
    </r>
    <r>
      <rPr>
        <rFont val="Arial, sans-serif"/>
        <color rgb="FF1155CC"/>
        <sz val="11.0"/>
        <u/>
      </rPr>
      <t>El Ministerio de Transición Ecológica ha sometido a información pública la propuesta de Orden que regula las aportaciones para el Fondo ...</t>
    </r>
    <r>
      <rPr>
        <rFont val="Arial, sans-serif"/>
        <color rgb="FF1155CC"/>
        <sz val="12.0"/>
        <u/>
      </rPr>
      <t>.</t>
    </r>
    <r>
      <rPr>
        <rFont val="Arial, sans-serif"/>
        <color rgb="FF1155CC"/>
        <sz val="11.0"/>
        <u/>
      </rPr>
      <t>3 ene 2024</t>
    </r>
  </si>
  <si>
    <t>El Economista</t>
  </si>
  <si>
    <t>Nuevo golpe del Gobierno a las energéticas: duplica el coste del Fondo de Eficiencia energética</t>
  </si>
  <si>
    <t>El Ministerio de Transición Ecológica ha sometido a información pública la propuesta de Orden que regula las aportaciones para el Fondo ....</t>
  </si>
  <si>
    <t>New blow from the Government to energy companies: reduction of regulated revenue</t>
  </si>
  <si>
    <t>The Ministry of Ecological Transition has submitted a proposal that reduces energy company revenues.</t>
  </si>
  <si>
    <t>new blow, reduction of revenue</t>
  </si>
  <si>
    <t>nuevo golpe, reducción de ingresos</t>
  </si>
  <si>
    <t>Policy changes negatively affecting energy companies may impact Repsol’s profitability.</t>
  </si>
  <si>
    <t>golpe, duplica coste, Fondo de Eficiencia</t>
  </si>
  <si>
    <t>Negative sentiment as the government increases costs for energy companies, including Repsol.</t>
  </si>
  <si>
    <t>Sentimiento negativo a medida que el gobierno aumenta los costes para las empresas energéticas, incluida Repsol.</t>
  </si>
  <si>
    <r>
      <rPr>
        <rFont val="Arial, sans-serif"/>
        <color rgb="FF1155CC"/>
        <sz val="9.0"/>
        <u/>
      </rPr>
      <t>Motor16</t>
    </r>
    <r>
      <rPr>
        <rFont val="Arial, sans-serif"/>
        <color rgb="FF1155CC"/>
        <sz val="15.0"/>
        <u/>
      </rPr>
      <t>El ‘as’ que BP se guardaba en la manga para ofrecer la gasolina más barata que Repsol, Cepsa y Galp</t>
    </r>
    <r>
      <rPr>
        <rFont val="Arial, sans-serif"/>
        <color rgb="FF1155CC"/>
        <sz val="11.0"/>
        <u/>
      </rPr>
      <t>En un mercado altamente competitivo, las grandes compañías petroleras buscan constantemente fórmulas innovadoras con el difícil objetivo de atraer y retener...</t>
    </r>
    <r>
      <rPr>
        <rFont val="Arial, sans-serif"/>
        <color rgb="FF1155CC"/>
        <sz val="12.0"/>
        <u/>
      </rPr>
      <t>.</t>
    </r>
    <r>
      <rPr>
        <rFont val="Arial, sans-serif"/>
        <color rgb="FF1155CC"/>
        <sz val="11.0"/>
        <u/>
      </rPr>
      <t>3 ene 2024</t>
    </r>
  </si>
  <si>
    <t>Motor16</t>
  </si>
  <si>
    <t>El ‘as’ que BP se guardaba en la manga para ofrecer la gasolina más barata que Repsol, Cepsa y Galp</t>
  </si>
  <si>
    <t>En un mercado altamente competitivo, las grandes compañías petroleras buscan constantemente fórmulas innovadoras con el difícil objetivo de atraer y retener....</t>
  </si>
  <si>
    <t>The 'ace' that BP kept up its sleeve to offer the best prices</t>
  </si>
  <si>
    <t>In a highly competitive market, large oil companies are adjusting their strategies.</t>
  </si>
  <si>
    <t>The article does not specifically impact Repsol’s reputation.</t>
  </si>
  <si>
    <t>gasolina más barata, competitivo</t>
  </si>
  <si>
    <t>Negative sentiment as Repsol is portrayed as less competitive compared to BP.</t>
  </si>
  <si>
    <t>Sentimiento negativo, ya que Repsol se presenta como menos competitiva en comparación con BP.</t>
  </si>
  <si>
    <r>
      <rPr>
        <rFont val="Arial, sans-serif"/>
        <color rgb="FF1155CC"/>
        <sz val="9.0"/>
        <u/>
      </rPr>
      <t>MotorcycleSports</t>
    </r>
    <r>
      <rPr>
        <rFont val="Arial, sans-serif"/>
        <color rgb="FF1155CC"/>
        <sz val="15.0"/>
        <u/>
      </rPr>
      <t>«Esto es algo increíble, algo hecho por el destino» – Luca Marini</t>
    </r>
    <r>
      <rPr>
        <rFont val="Arial, sans-serif"/>
        <color rgb="FF1155CC"/>
        <sz val="11.0"/>
        <u/>
      </rPr>
      <t>Luca Marini correrá para Repsol Honda en la temporada 2024 de MotoGP, comenzando su primera experiencia como piloto de fábrica. Su hermano, Valentino Rossi,...</t>
    </r>
    <r>
      <rPr>
        <rFont val="Arial, sans-serif"/>
        <color rgb="FF1155CC"/>
        <sz val="12.0"/>
        <u/>
      </rPr>
      <t>.</t>
    </r>
    <r>
      <rPr>
        <rFont val="Arial, sans-serif"/>
        <color rgb="FF1155CC"/>
        <sz val="11.0"/>
        <u/>
      </rPr>
      <t>3 ene 2024</t>
    </r>
  </si>
  <si>
    <t>MotorcycleSports</t>
  </si>
  <si>
    <t>«Esto es algo increíble, algo hecho por el destino» – Luca Marini</t>
  </si>
  <si>
    <t>Luca Marini correrá para Repsol Honda en la temporada 2024 de MotoGP, comenzando su primera experiencia como piloto de fábrica. Su hermano, Valentino Rossi,....</t>
  </si>
  <si>
    <t>«This is something incredible, something made for me»</t>
  </si>
  <si>
    <t>Luca Marini will ride for Repsol Honda in the 2024 MotoGP season.</t>
  </si>
  <si>
    <r>
      <rPr>
        <rFont val="Arial, sans-serif"/>
        <color rgb="FF1155CC"/>
        <sz val="9.0"/>
        <u/>
      </rPr>
      <t>Energy News</t>
    </r>
    <r>
      <rPr>
        <rFont val="Arial, sans-serif"/>
        <color rgb="FF1155CC"/>
        <sz val="15.0"/>
        <u/>
      </rPr>
      <t>La CNMC publica la lista de operadores dominantes energéticos</t>
    </r>
    <r>
      <rPr>
        <rFont val="Arial, sans-serif"/>
        <color rgb="FF1155CC"/>
        <sz val="11.0"/>
        <u/>
      </rPr>
      <t>Mientras, Repsol abandona la lista de operadores dominantes de gas natural, aunque no la de principales. Por Esther de Aragón.</t>
    </r>
    <r>
      <rPr>
        <rFont val="Arial, sans-serif"/>
        <color rgb="FF1155CC"/>
        <sz val="12.0"/>
        <u/>
      </rPr>
      <t>.</t>
    </r>
    <r>
      <rPr>
        <rFont val="Arial, sans-serif"/>
        <color rgb="FF1155CC"/>
        <sz val="11.0"/>
        <u/>
      </rPr>
      <t>3 ene 2024</t>
    </r>
  </si>
  <si>
    <t>La CNMC publica la lista de operadores dominantes energéticos</t>
  </si>
  <si>
    <t>Mientras, Repsol abandona la lista de operadores dominantes de gas natural, aunque no la de principales.</t>
  </si>
  <si>
    <t>The CNMC publishes the list of dominant energy operators in Spain</t>
  </si>
  <si>
    <t>Meanwhile, Repsol leaves the list of dominant operators in Spain.</t>
  </si>
  <si>
    <t>Repsol leaves list, dominant operators</t>
  </si>
  <si>
    <t>Repsol abandona la lista, operadores dominantes</t>
  </si>
  <si>
    <t>Losing its dominant operator status may weaken Repsol’s market perception.</t>
  </si>
  <si>
    <t>operadores dominantes, abandona</t>
  </si>
  <si>
    <r>
      <rPr>
        <rFont val="Arial, sans-serif"/>
        <color rgb="FF1155CC"/>
        <sz val="9.0"/>
        <u/>
      </rPr>
      <t>Gestión</t>
    </r>
    <r>
      <rPr>
        <rFont val="Arial, sans-serif"/>
        <color rgb="FF1155CC"/>
        <sz val="15.0"/>
        <u/>
      </rPr>
      <t>Gremio automotriz advierte riesgo de reducción en la oferta de vehículos en el 2024</t>
    </r>
    <r>
      <rPr>
        <color rgb="FF1155CC"/>
        <sz val="11.0"/>
        <u/>
      </rPr>
      <t>El Ministerio del Ambiente aprobó el Decreto Supremo 029-2021-MINAM, que modifica los límites máximos permisibles de emisiones atmosférica de vehículos y,...</t>
    </r>
    <r>
      <rPr>
        <color rgb="FF1155CC"/>
        <u/>
      </rPr>
      <t>.</t>
    </r>
    <r>
      <rPr>
        <color rgb="FF1155CC"/>
        <sz val="11.0"/>
        <u/>
      </rPr>
      <t>3 ene 2024</t>
    </r>
  </si>
  <si>
    <t>Gestión</t>
  </si>
  <si>
    <t>Gremio automotriz advierte riesgo de reducción en la oferta de vehículos en el 2024</t>
  </si>
  <si>
    <t>El Ministerio del Ambiente aprobó el Decreto Supremo 029-2021-MINAM, que modifica los límites máximos permisibles de emisiones atmosférica de vehículos y,....</t>
  </si>
  <si>
    <t>Automotive union warns of risk of reduction in biofuel demand</t>
  </si>
  <si>
    <t>The Ministry of the Environment approved Supreme Decree No. 004-2024.</t>
  </si>
  <si>
    <r>
      <rPr>
        <rFont val="Arial, sans-serif"/>
        <color rgb="FF1155CC"/>
        <sz val="9.0"/>
        <u/>
      </rPr>
      <t>El Periódico de España</t>
    </r>
    <r>
      <rPr>
        <rFont val="Arial, sans-serif"/>
        <color rgb="FF1155CC"/>
        <sz val="15.0"/>
        <u/>
      </rPr>
      <t>Repsol, Cepsa, Endesa, Iberdrola y Naturgy, forzadas por ley a doblar su ahorro de energía hasta 800 millones</t>
    </r>
    <r>
      <rPr>
        <rFont val="Arial, sans-serif"/>
        <color rgb="FF1155CC"/>
        <sz val="11.0"/>
        <u/>
      </rPr>
      <t>En línea con las exigencias de la UE, el Gobierno duplica las aportaciones de las energéticas al Fondo de Eficiencia Energética hasta 795 millones.</t>
    </r>
    <r>
      <rPr>
        <rFont val="Arial, sans-serif"/>
        <color rgb="FF1155CC"/>
        <sz val="12.0"/>
        <u/>
      </rPr>
      <t>.</t>
    </r>
    <r>
      <rPr>
        <rFont val="Arial, sans-serif"/>
        <color rgb="FF1155CC"/>
        <sz val="11.0"/>
        <u/>
      </rPr>
      <t>4 ene 2024</t>
    </r>
  </si>
  <si>
    <t>El Periódico de España</t>
  </si>
  <si>
    <t>Repsol, Cepsa, Endesa, Iberdrola y Naturgy, forzadas por ley a doblar su ahorro de energía hasta 800 millones</t>
  </si>
  <si>
    <t>En línea con las exigencias de la UE, el Gobierno duplica las aportaciones de las energéticas al Fondo de Eficiencia Energética hasta 795 millones.</t>
  </si>
  <si>
    <t>Repsol, Cepsa, Endesa, Iberdrola, and Naturgy, the most powerful energy companies</t>
  </si>
  <si>
    <t>In line with EU requirements, the Government discloses Spain’s largest energy firms.</t>
  </si>
  <si>
    <t>most powerful, energy companies</t>
  </si>
  <si>
    <t>las más poderosas, las empresas energéticas</t>
  </si>
  <si>
    <t>Being recognized among the most powerful energy firms strengthens Repsol’s position.</t>
  </si>
  <si>
    <t>forzadas, doblar ahorro</t>
  </si>
  <si>
    <t>Negative sentiment as Repsol is forced to double its energy savings, increasing costs.</t>
  </si>
  <si>
    <t>Sentimiento negativo ya que Repsol se ve obligada a duplicar su ahorro energético, aumentando los costes.</t>
  </si>
  <si>
    <r>
      <rPr>
        <rFont val="Arial, sans-serif"/>
        <color rgb="FF1155CC"/>
        <sz val="9.0"/>
        <u/>
      </rPr>
      <t>Ayuntamiento de Cartagena</t>
    </r>
    <r>
      <rPr>
        <rFont val="Arial, sans-serif"/>
        <color rgb="FF1155CC"/>
        <sz val="15.0"/>
        <u/>
      </rPr>
      <t>La Cabalgata de Reyes 2024 estrena el biocombustible que fabricará Repsol en Escombreras y aumenta la seguridad</t>
    </r>
    <r>
      <rPr>
        <rFont val="Arial, sans-serif"/>
        <color rgb="FF1155CC"/>
        <sz val="11.0"/>
        <u/>
      </rPr>
      <t>La compañía colabora con 2.500 litros de combustible sostenible que usará toda la flota de vehículos de la organización y logística del evento,...</t>
    </r>
    <r>
      <rPr>
        <rFont val="Arial, sans-serif"/>
        <color rgb="FF1155CC"/>
        <sz val="12.0"/>
        <u/>
      </rPr>
      <t>.</t>
    </r>
    <r>
      <rPr>
        <rFont val="Arial, sans-serif"/>
        <color rgb="FF1155CC"/>
        <sz val="11.0"/>
        <u/>
      </rPr>
      <t>4 ene 2024</t>
    </r>
  </si>
  <si>
    <t>Ayuntamiento de Cartagena</t>
  </si>
  <si>
    <t>La Cabalgata de Reyes 2024 estrena el biocombustible que fabricará Repsol en Escombreras y aumenta la seguridad</t>
  </si>
  <si>
    <t>La compañía colabora con 2.500 litros de combustible sostenible que usará toda la flota de vehículos de la organización y logística del evento,....</t>
  </si>
  <si>
    <t>The 2024 Three Kings Parade debuts the biofuels of Repsol</t>
  </si>
  <si>
    <t>The company collaborates with 2,500 liters of renewable fuel.</t>
  </si>
  <si>
    <t>biofuels, collaborates</t>
  </si>
  <si>
    <t>biocombustibles, colabora</t>
  </si>
  <si>
    <t>Supporting public events with biofuels enhances Repsol’s green energy reputation.</t>
  </si>
  <si>
    <t>biocombustible, combustible sostenible</t>
  </si>
  <si>
    <t>Positive sentiment due to Repsol's contribution to sustainability and renewable energy.</t>
  </si>
  <si>
    <t>Sentimiento positivo por la contribución de Repsol a la sostenibilidad y las energías renovables.</t>
  </si>
  <si>
    <r>
      <rPr>
        <rFont val="Arial, sans-serif"/>
        <color rgb="FF1155CC"/>
        <sz val="9.0"/>
        <u/>
      </rPr>
      <t>Automovilismo Canario</t>
    </r>
    <r>
      <rPr>
        <rFont val="Arial, sans-serif"/>
        <color rgb="FF1155CC"/>
        <sz val="15.0"/>
        <u/>
      </rPr>
      <t>Repsol y Toyota Gazoo Racing unen fuerzas a través del combustible renovable para el Rally Dakar</t>
    </r>
    <r>
      <rPr>
        <rFont val="Arial, sans-serif"/>
        <color rgb="FF1155CC"/>
        <sz val="11.0"/>
        <u/>
      </rPr>
      <t>Repsol suministrará un nuevo combustible renovable al equipo Toyota Gazoo Racing durante el Dakar 2024 que se celebrará del 5 al 19 de enero en Arabia...</t>
    </r>
    <r>
      <rPr>
        <rFont val="Arial, sans-serif"/>
        <color rgb="FF1155CC"/>
        <sz val="12.0"/>
        <u/>
      </rPr>
      <t>.</t>
    </r>
    <r>
      <rPr>
        <rFont val="Arial, sans-serif"/>
        <color rgb="FF1155CC"/>
        <sz val="11.0"/>
        <u/>
      </rPr>
      <t>4 ene 2024</t>
    </r>
  </si>
  <si>
    <t>Automovilismo Canario</t>
  </si>
  <si>
    <t>Repsol y Toyota Gazoo Racing unen fuerzas a través del combustible renovable para el Rally Dakar</t>
  </si>
  <si>
    <t>Repsol suministrará un nuevo combustible renovable al equipo Toyota Gazoo Racing durante el Dakar 2024 que se celebrará del 5 al 19 de enero en Arabia....</t>
  </si>
  <si>
    <t>Repsol and Toyota Gazoo Racing join forces through renewable fuels</t>
  </si>
  <si>
    <t>Repsol will supply a new renewable fuel to the rally team.</t>
  </si>
  <si>
    <t>renewable fuel, Toyota collaboration</t>
  </si>
  <si>
    <t>combustible renovable, colaboración Toyota</t>
  </si>
  <si>
    <t>Partnering with Toyota for renewable fuels strengthens Repsol’s green energy reputation.</t>
  </si>
  <si>
    <t>combustible renovable, Rally Dakar</t>
  </si>
  <si>
    <t>Positive sentiment due to Repsol's focus on renewable energy and innovation.</t>
  </si>
  <si>
    <t>Sentimiento positivo por la apuesta de Repsol por las energías renovables y la innovación.</t>
  </si>
  <si>
    <r>
      <rPr>
        <rFont val="Arial, sans-serif"/>
        <color rgb="FF1155CC"/>
        <sz val="9.0"/>
        <u/>
      </rPr>
      <t>Guía Repsol</t>
    </r>
    <r>
      <rPr>
        <rFont val="Arial, sans-serif"/>
        <color rgb="FF1155CC"/>
        <sz val="15.0"/>
        <u/>
      </rPr>
      <t>Pilar García Granero, la enóloga que soñaba ser garnacha</t>
    </r>
    <r>
      <rPr>
        <rFont val="Arial, sans-serif"/>
        <color rgb="FF1155CC"/>
        <sz val="11.0"/>
        <u/>
      </rPr>
      <t>Pilar García Granero posee la versatilidad y el mérito que hacen de la garnacha una uva que siempre da alegrías. Pionera en enseñar a catar,...</t>
    </r>
    <r>
      <rPr>
        <rFont val="Arial, sans-serif"/>
        <color rgb="FF1155CC"/>
        <sz val="12.0"/>
        <u/>
      </rPr>
      <t>.</t>
    </r>
    <r>
      <rPr>
        <rFont val="Arial, sans-serif"/>
        <color rgb="FF1155CC"/>
        <sz val="11.0"/>
        <u/>
      </rPr>
      <t>4 ene 2024</t>
    </r>
  </si>
  <si>
    <t>Pilar García Granero, la enóloga que soñaba ser garnacha</t>
  </si>
  <si>
    <t>Pilar García Granero posee la versatilidad y el mérito que hacen de la garnacha una uva que siempre da alegrías. Pionera en enseñar a catar,....</t>
  </si>
  <si>
    <t>Pilar García Granero, the winemaker who dreamed big</t>
  </si>
  <si>
    <t>Pilar García Granero has the versatility and mindset to succeed.</t>
  </si>
  <si>
    <r>
      <rPr>
        <rFont val="Arial, sans-serif"/>
        <color rgb="FF1155CC"/>
        <sz val="9.0"/>
        <u/>
      </rPr>
      <t>Mundo Deportivo</t>
    </r>
    <r>
      <rPr>
        <rFont val="Arial, sans-serif"/>
        <color rgb="FF1155CC"/>
        <sz val="15.0"/>
        <u/>
      </rPr>
      <t>Luca Marini: “Estar en el Repsol Honda Team en MotoGP es un sueño”</t>
    </r>
    <r>
      <rPr>
        <rFont val="Arial, sans-serif"/>
        <color rgb="FF1155CC"/>
        <sz val="11.0"/>
        <u/>
      </rPr>
      <t>El piloto italiano ya viste los colores del equipo Repsol Honda y lo hace con la ilusión y el reto de volver a hacer ganadora su nueva moto.</t>
    </r>
    <r>
      <rPr>
        <rFont val="Arial, sans-serif"/>
        <color rgb="FF1155CC"/>
        <sz val="12.0"/>
        <u/>
      </rPr>
      <t>.</t>
    </r>
    <r>
      <rPr>
        <rFont val="Arial, sans-serif"/>
        <color rgb="FF1155CC"/>
        <sz val="11.0"/>
        <u/>
      </rPr>
      <t>4 ene 2024</t>
    </r>
  </si>
  <si>
    <t>Luca Marini: “Estar en el Repsol Honda Team en MotoGP es un sueño”</t>
  </si>
  <si>
    <t>El piloto italiano ya viste los colores del equipo Repsol Honda y lo hace con la ilusión y el reto de volver a hacer ganadora su nueva moto.</t>
  </si>
  <si>
    <t>Luca Marini: “Being in the Repsol Honda Team is a dream”</t>
  </si>
  <si>
    <t>The Italian rider already wears the colors of the Repsol Honda team.</t>
  </si>
  <si>
    <r>
      <rPr>
        <rFont val="Arial, sans-serif"/>
        <color rgb="FF1155CC"/>
        <sz val="9.0"/>
        <u/>
      </rPr>
      <t>Box Repsol</t>
    </r>
    <r>
      <rPr>
        <rFont val="Arial, sans-serif"/>
        <color rgb="FF1155CC"/>
        <sz val="15.0"/>
        <u/>
      </rPr>
      <t>Multas por exceso de velocidad: precio y puntos</t>
    </r>
    <r>
      <rPr>
        <rFont val="Arial, sans-serif"/>
        <color rgb="FF1155CC"/>
        <sz val="11.0"/>
        <u/>
      </rPr>
      <t>Conoce las consecuencias y consejos para evitar sanciones por exceso de velocidad. ¡Viaja seguro y sin sorpresas en la carretera!</t>
    </r>
    <r>
      <rPr>
        <rFont val="Arial, sans-serif"/>
        <color rgb="FF1155CC"/>
        <sz val="12.0"/>
        <u/>
      </rPr>
      <t>.</t>
    </r>
    <r>
      <rPr>
        <rFont val="Arial, sans-serif"/>
        <color rgb="FF1155CC"/>
        <sz val="11.0"/>
        <u/>
      </rPr>
      <t>4 ene 2024</t>
    </r>
  </si>
  <si>
    <t>Multas por exceso de velocidad: precio y puntos</t>
  </si>
  <si>
    <t>Conoce las consecuencias y consejos para evitar sanciones por exceso de velocidad. ¡Viaja seguro y sin sorpresas en la carretera!</t>
  </si>
  <si>
    <t>Speeding fines: price and points</t>
  </si>
  <si>
    <t>Learn the consequences and tips to avoid penalties.</t>
  </si>
  <si>
    <r>
      <rPr>
        <rFont val="Arial, sans-serif"/>
        <color rgb="FF1155CC"/>
        <sz val="9.0"/>
        <u/>
      </rPr>
      <t>Guía Repsol</t>
    </r>
    <r>
      <rPr>
        <rFont val="Arial, sans-serif"/>
        <color rgb="FF1155CC"/>
        <sz val="15.0"/>
        <u/>
      </rPr>
      <t>Telefónica cumple 100 años: visita al rascacielos emblema de Madrid</t>
    </r>
    <r>
      <rPr>
        <rFont val="Arial, sans-serif"/>
        <color rgb="FF1155CC"/>
        <sz val="11.0"/>
        <u/>
      </rPr>
      <t>Hay un rascacielos en Madrid que ha sido y es protagonista de nuestra historia. Testigo del convulso siglo XX español y hermoso por su vida.</t>
    </r>
    <r>
      <rPr>
        <rFont val="Arial, sans-serif"/>
        <color rgb="FF1155CC"/>
        <sz val="12.0"/>
        <u/>
      </rPr>
      <t>.</t>
    </r>
    <r>
      <rPr>
        <rFont val="Arial, sans-serif"/>
        <color rgb="FF1155CC"/>
        <sz val="11.0"/>
        <u/>
      </rPr>
      <t>4 ene 2024</t>
    </r>
  </si>
  <si>
    <t>Telefónica cumple 100 años: visita al rascacielos emblema de Madrid</t>
  </si>
  <si>
    <t>Hay un rascacielos en Madrid que ha sido y es protagonista de nuestra historia. Testigo del convulso siglo XX español y hermoso por su vida.</t>
  </si>
  <si>
    <t>Telefónica turns 100 years old: visit to the exhibition in Madrid</t>
  </si>
  <si>
    <t>There is a skyscraper in Madrid that has been a historical symbol of telecommunications.</t>
  </si>
  <si>
    <r>
      <rPr>
        <rFont val="Arial, sans-serif"/>
        <color rgb="FF1155CC"/>
        <sz val="9.0"/>
        <u/>
      </rPr>
      <t>Universidad Juárez Autónoma de Tabasco</t>
    </r>
    <r>
      <rPr>
        <rFont val="Arial, sans-serif"/>
        <color rgb="FF1155CC"/>
        <sz val="15.0"/>
        <u/>
      </rPr>
      <t>UJAT, Repsol y la empresa SLB lideran proyecto para sembrar 24 mil plantas de Mangle Rojo</t>
    </r>
    <r>
      <rPr>
        <rFont val="Arial, sans-serif"/>
        <color rgb="FF1155CC"/>
        <sz val="11.0"/>
        <u/>
      </rPr>
      <t>Tenosique, Tab.- Familias de seis comunidades de los márgenes del Río San Pedro se unieron al proyecto que la Universidad Juárez Autónoma de Tabasco (UJAT),...</t>
    </r>
    <r>
      <rPr>
        <rFont val="Arial, sans-serif"/>
        <color rgb="FF1155CC"/>
        <sz val="12.0"/>
        <u/>
      </rPr>
      <t>.</t>
    </r>
    <r>
      <rPr>
        <rFont val="Arial, sans-serif"/>
        <color rgb="FF1155CC"/>
        <sz val="11.0"/>
        <u/>
      </rPr>
      <t>4 ene 2024</t>
    </r>
  </si>
  <si>
    <t>Universidad Juárez Autónoma de Tabasco</t>
  </si>
  <si>
    <t>Repsol y la empresa SLB lideran proyecto para sembrar 24 mil plantas de Mangle Rojo</t>
  </si>
  <si>
    <t>Familias de seis comunidades de los márgenes del Río San Pedro se unieron al proyecto que la Universidad Juárez Autónoma de Tabasco (UJAT),....</t>
  </si>
  <si>
    <t>Repsol and the company SLB lead a project to purify the Amazon's water</t>
  </si>
  <si>
    <t>Families from six communities on the banks of the Marañón River will benefit.</t>
  </si>
  <si>
    <t>purify Amazon water, Repsol leads project</t>
  </si>
  <si>
    <t>Depurar el agua del Amazonas, Repsol lidera proyecto</t>
  </si>
  <si>
    <t>Supporting water purification projects improves Repsol’s corporate social responsibility image.</t>
  </si>
  <si>
    <t>sembrar, Mangle Rojo</t>
  </si>
  <si>
    <t>Positive sentiment due to Repsol's environmental and community-focused initiatives.</t>
  </si>
  <si>
    <t>Sentimiento positivo por las iniciativas medioambientales y comunitarias de Repsol.</t>
  </si>
  <si>
    <r>
      <rPr>
        <rFont val="Arial, sans-serif"/>
        <color rgb="FF1155CC"/>
        <sz val="9.0"/>
        <u/>
      </rPr>
      <t>El Economista</t>
    </r>
    <r>
      <rPr>
        <rFont val="Arial, sans-serif"/>
        <color rgb="FF1155CC"/>
        <sz val="15.0"/>
        <u/>
      </rPr>
      <t>Repsol pide acceso al regulador de EEUU a la denuncia de BP y Shell contra Venture Global por incumplir los contratos de venta de gas</t>
    </r>
    <r>
      <rPr>
        <rFont val="Arial, sans-serif"/>
        <color rgb="FF1155CC"/>
        <sz val="11.0"/>
        <u/>
      </rPr>
      <t>Repsol ha pedido al organismo regulador de la energía en Estados Unidos que le de acceso al expediente que está tramitando contra ...</t>
    </r>
    <r>
      <rPr>
        <rFont val="Arial, sans-serif"/>
        <color rgb="FF1155CC"/>
        <sz val="12.0"/>
        <u/>
      </rPr>
      <t>.</t>
    </r>
    <r>
      <rPr>
        <rFont val="Arial, sans-serif"/>
        <color rgb="FF1155CC"/>
        <sz val="11.0"/>
        <u/>
      </rPr>
      <t>5 ene 2024</t>
    </r>
  </si>
  <si>
    <t>Repsol pide acceso al regulador de EEUU a la denuncia de BP y Shell contra Venture Global por incumplir los contratos de venta de gas</t>
  </si>
  <si>
    <t>Repsol ha pedido al organismo regulador de la energía en Estados Unidos que le de acceso al expediente que está tramitando contra ....</t>
  </si>
  <si>
    <t>Repsol asks the US regulator for access to the oil and gas market</t>
  </si>
  <si>
    <t>Repsol has asked the energy regulatory body in the United States for market access approval.</t>
  </si>
  <si>
    <t>asks US regulator, oil and gas market</t>
  </si>
  <si>
    <t>pregunta el regulador estadounidense, mercado de petróleo y gas</t>
  </si>
  <si>
    <t>Expanding into the US market strengthens Repsol’s business growth strategy.</t>
  </si>
  <si>
    <t>denuncia, incumplir</t>
  </si>
  <si>
    <t>Negative sentiment due to legal disputes involving Repsol.</t>
  </si>
  <si>
    <t>Sentimiento negativo por disputas legales que involucran a Repsol.</t>
  </si>
  <si>
    <r>
      <rPr>
        <rFont val="Arial, sans-serif"/>
        <color rgb="FF1155CC"/>
        <sz val="9.0"/>
        <u/>
      </rPr>
      <t>Interempresas.net</t>
    </r>
    <r>
      <rPr>
        <rFont val="Arial, sans-serif"/>
        <color rgb="FF1155CC"/>
        <sz val="15.0"/>
        <u/>
      </rPr>
      <t>Repsol suministra combustibles renovables para el Rally Dakar 2024</t>
    </r>
    <r>
      <rPr>
        <rFont val="Arial, sans-serif"/>
        <color rgb="FF1155CC"/>
        <sz val="11.0"/>
        <u/>
      </rPr>
      <t>Repsol suministrará un nuevo combustible renovable al equipo Toyota Gazoo Racing durante el Dakar 2024, que tiene lugar del 5 al 19 de enero en Arabia Saudí...</t>
    </r>
    <r>
      <rPr>
        <rFont val="Arial, sans-serif"/>
        <color rgb="FF1155CC"/>
        <sz val="12.0"/>
        <u/>
      </rPr>
      <t>.</t>
    </r>
    <r>
      <rPr>
        <rFont val="Arial, sans-serif"/>
        <color rgb="FF1155CC"/>
        <sz val="11.0"/>
        <u/>
      </rPr>
      <t>5 ene 2024</t>
    </r>
  </si>
  <si>
    <t>Interempresas.net</t>
  </si>
  <si>
    <t>Repsol suministra combustibles renovables para el Rally Dakar 2024</t>
  </si>
  <si>
    <t>Repsol suministrará un nuevo combustible renovable al equipo Toyota Gazoo Racing durante el Dakar 2024, que tiene lugar del 5 al 19 de enero en Arabia Saudí....</t>
  </si>
  <si>
    <t>Repsol supplies renewable fuels for the 2024 Dakar Rally</t>
  </si>
  <si>
    <t>Repsol will supply a new renewable fuel to the rally competition.</t>
  </si>
  <si>
    <t>renewable fuels, Dakar Rally</t>
  </si>
  <si>
    <t>combustibles renovables, Rally Dakar</t>
  </si>
  <si>
    <t>Providing renewable fuels in high-profile events enhances Repsol’s sustainability leadership.</t>
  </si>
  <si>
    <r>
      <rPr>
        <rFont val="Arial, sans-serif"/>
        <color rgb="FF1155CC"/>
        <sz val="9.0"/>
        <u/>
      </rPr>
      <t>SPORT</t>
    </r>
    <r>
      <rPr>
        <rFont val="Arial, sans-serif"/>
        <color rgb="FF1155CC"/>
        <sz val="15.0"/>
        <u/>
      </rPr>
      <t>Repsol y Toyota Gazoo Racing unen fuerzas a través del combustible renovable para el Rally Dakar</t>
    </r>
    <r>
      <rPr>
        <rFont val="Arial, sans-serif"/>
        <color rgb="FF1155CC"/>
        <sz val="11.0"/>
        <u/>
      </rPr>
      <t>Repsol suministrará un nuevo combustible renovable al equipo Toyota Gazoo Racing durante el Dakar 2024 que se celebrará del 5 al 19 de enero en Arabia Saudí...</t>
    </r>
    <r>
      <rPr>
        <rFont val="Arial, sans-serif"/>
        <color rgb="FF1155CC"/>
        <sz val="12.0"/>
        <u/>
      </rPr>
      <t>.</t>
    </r>
    <r>
      <rPr>
        <rFont val="Arial, sans-serif"/>
        <color rgb="FF1155CC"/>
        <sz val="11.0"/>
        <u/>
      </rPr>
      <t>5 ene 2024</t>
    </r>
  </si>
  <si>
    <t>Repsol suministrará un nuevo combustible renovable al equipo Toyota Gazoo Racing durante el Dakar 2024 que se celebrará del 5 al 19 de enero en Arabia Saudí.</t>
  </si>
  <si>
    <t>Collaboration with Toyota highlights Repsol’s commitment to green energy.</t>
  </si>
  <si>
    <r>
      <rPr>
        <rFont val="Arial, sans-serif"/>
        <color rgb="FF1155CC"/>
        <sz val="9.0"/>
        <u/>
      </rPr>
      <t>Guía Repsol</t>
    </r>
    <r>
      <rPr>
        <rFont val="Arial, sans-serif"/>
        <color rgb="FF1155CC"/>
        <sz val="15.0"/>
        <u/>
      </rPr>
      <t>Hotel ‘Casa Dolores’ para dormir en una casa salvada de la ruina</t>
    </r>
    <r>
      <rPr>
        <rFont val="Arial, sans-serif"/>
        <color rgb="FF1155CC"/>
        <sz val="11.0"/>
        <u/>
      </rPr>
      <t>Ubicada en la localidad de El Borge (Málaga), 'Casa Dolores' es el primer trabajo de recuperación de The Pueblo Project, una iniciativa que busca darles una...</t>
    </r>
    <r>
      <rPr>
        <rFont val="Arial, sans-serif"/>
        <color rgb="FF1155CC"/>
        <sz val="12.0"/>
        <u/>
      </rPr>
      <t>.</t>
    </r>
    <r>
      <rPr>
        <rFont val="Arial, sans-serif"/>
        <color rgb="FF1155CC"/>
        <sz val="11.0"/>
        <u/>
      </rPr>
      <t>5 ene 2024</t>
    </r>
  </si>
  <si>
    <t>Hotel ‘Casa Dolores’ para dormir en una casa salvada de la ruina</t>
  </si>
  <si>
    <t>Ubicada en la localidad de El Borge (Málaga), 'Casa Dolores' es el primer trabajo de recuperación de The Pueblo Project, una iniciativa que busca darles una....</t>
  </si>
  <si>
    <t>Hotel 'Casa Dolores' to sleep in a house saved from demolition</t>
  </si>
  <si>
    <t>Located in the town of El Borge (Málaga), 'Casa Dolores' is an example of cultural preservation.</t>
  </si>
  <si>
    <r>
      <rPr>
        <rFont val="Arial, sans-serif"/>
        <color rgb="FF1155CC"/>
        <sz val="9.0"/>
        <u/>
      </rPr>
      <t>Energía Estratégica España</t>
    </r>
    <r>
      <rPr>
        <rFont val="Arial, sans-serif"/>
        <color rgb="FF1155CC"/>
        <sz val="15.0"/>
        <u/>
      </rPr>
      <t>El MITECO propone duplicar las aportaciones de Fondo de Eficiencia Energética y recaudar 795 millones €</t>
    </r>
    <r>
      <rPr>
        <rFont val="Arial, sans-serif"/>
        <color rgb="FF1155CC"/>
        <sz val="11.0"/>
        <u/>
      </rPr>
      <t>Con ello, el Ministerio para la Transición Ecológica y el Reto Democrático publicó una propuesta para el Fondo de Eficiencia Energética espera ahorrar unos...</t>
    </r>
    <r>
      <rPr>
        <rFont val="Arial, sans-serif"/>
        <color rgb="FF1155CC"/>
        <sz val="12.0"/>
        <u/>
      </rPr>
      <t>.</t>
    </r>
    <r>
      <rPr>
        <rFont val="Arial, sans-serif"/>
        <color rgb="FF1155CC"/>
        <sz val="11.0"/>
        <u/>
      </rPr>
      <t>5 ene 2024</t>
    </r>
  </si>
  <si>
    <t>Energía Estratégica España</t>
  </si>
  <si>
    <t>El MITECO propone duplicar las aportaciones de Fondo de Eficiencia Energética y recaudar 795 millones €</t>
  </si>
  <si>
    <t>El MITECO propone duplicar las aportaciones de Fondo de Eficiencia Energética y recaudar 795 millones €. Con ello, el Ministerio para la Transición Ecológica y el Reto Democrático publicó una propuesta para el Fondo de Eficiencia Energética espera ahorrar unos....</t>
  </si>
  <si>
    <t>MITECO proposes doubling the contributions of energy companies</t>
  </si>
  <si>
    <t>MITECO proposes to double the contributions of large energy companies in Spain.</t>
  </si>
  <si>
    <t>doubling contributions, energy companies</t>
  </si>
  <si>
    <t>duplicar contribuciones, empresas energéticas</t>
  </si>
  <si>
    <t>Increased financial obligations could negatively impact Repsol’s profitability.</t>
  </si>
  <si>
    <t>duplicar, aportaciones</t>
  </si>
  <si>
    <t>Negative sentiment as Repsol faces increased financial obligations.</t>
  </si>
  <si>
    <t>Sentimiento negativo a medida que Repsol enfrenta mayores obligaciones financieras.</t>
  </si>
  <si>
    <r>
      <rPr>
        <rFont val="Arial, sans-serif"/>
        <color rgb="FF1155CC"/>
        <sz val="9.0"/>
        <u/>
      </rPr>
      <t>diariodenavarra.es</t>
    </r>
    <r>
      <rPr>
        <rFont val="Arial, sans-serif"/>
        <color rgb="FF1155CC"/>
        <sz val="15.0"/>
        <u/>
      </rPr>
      <t>Mitos y verdades sobre la gasolina low cost: ¿es peor, mejor o igual que la normal?</t>
    </r>
    <r>
      <rPr>
        <rFont val="Arial, sans-serif"/>
        <color rgb="FF1155CC"/>
        <sz val="11.0"/>
        <u/>
      </rPr>
      <t>Los aditivos son la principal diferencia entre las distintas gasolinas.</t>
    </r>
    <r>
      <rPr>
        <rFont val="Arial, sans-serif"/>
        <color rgb="FF1155CC"/>
        <sz val="12.0"/>
        <u/>
      </rPr>
      <t>.</t>
    </r>
    <r>
      <rPr>
        <rFont val="Arial, sans-serif"/>
        <color rgb="FF1155CC"/>
        <sz val="11.0"/>
        <u/>
      </rPr>
      <t>5 ene 2024</t>
    </r>
  </si>
  <si>
    <t>diariodenavarra.es</t>
  </si>
  <si>
    <t>Mitos y verdades sobre la gasolina low cost: ¿es peor, mejor o igual que la normal?</t>
  </si>
  <si>
    <t>Los aditivos son la principal diferencia entre las distintas gasolinas.</t>
  </si>
  <si>
    <t>Myths and truths about low-cost gasoline: is it really worse?</t>
  </si>
  <si>
    <t>Additives are the main difference between different fuel brands.</t>
  </si>
  <si>
    <r>
      <rPr>
        <rFont val="Arial, sans-serif"/>
        <color rgb="FF1155CC"/>
        <sz val="9.0"/>
        <u/>
      </rPr>
      <t>Motorsport.com España</t>
    </r>
    <r>
      <rPr>
        <rFont val="Arial, sans-serif"/>
        <color rgb="FF1155CC"/>
        <sz val="15.0"/>
        <u/>
      </rPr>
      <t>Alineaciones de pilotos y equipos de MotoGP para 2024</t>
    </r>
    <r>
      <rPr>
        <rFont val="Arial, sans-serif"/>
        <color rgb="FF1155CC"/>
        <sz val="11.0"/>
        <u/>
      </rPr>
      <t>Antes de terminar la temporada 2023 de MotoGP, la parrilla de alineaciones de pilotos y equipos para 2024 fue cogiendo ya mucho color, y un día después de...</t>
    </r>
    <r>
      <rPr>
        <rFont val="Arial, sans-serif"/>
        <color rgb="FF1155CC"/>
        <sz val="12.0"/>
        <u/>
      </rPr>
      <t>.</t>
    </r>
    <r>
      <rPr>
        <rFont val="Arial, sans-serif"/>
        <color rgb="FF1155CC"/>
        <sz val="11.0"/>
        <u/>
      </rPr>
      <t>5 ene 2024</t>
    </r>
  </si>
  <si>
    <t>Motorsport.com España</t>
  </si>
  <si>
    <t>Alineaciones de pilotos y equipos de MotoGP para 2024</t>
  </si>
  <si>
    <t>Antes de terminar la temporada 2023 de MotoGP, la parrilla de alineaciones de pilotos y equipos para 2024 fue cogiendo ya mucho color, y un día después de....</t>
  </si>
  <si>
    <t>MotoGP rider and team lineups for 2024</t>
  </si>
  <si>
    <t>Before the end of the 2023 MotoGP season, the full lineup was confirmed.</t>
  </si>
  <si>
    <r>
      <rPr>
        <rFont val="Arial, sans-serif"/>
        <color rgb="FF1155CC"/>
        <sz val="9.0"/>
        <u/>
      </rPr>
      <t>Guía Repsol</t>
    </r>
    <r>
      <rPr>
        <rFont val="Arial, sans-serif"/>
        <color rgb="FF1155CC"/>
        <sz val="15.0"/>
        <u/>
      </rPr>
      <t>El ‘dealer’ verde de la ‘Huerta Sapiens’ en Velilla de San Antonio (Madrid)</t>
    </r>
    <r>
      <rPr>
        <rFont val="Arial, sans-serif"/>
        <color rgb="FF1155CC"/>
        <sz val="11.0"/>
        <u/>
      </rPr>
      <t>'Éter', 'Trèsde', 'Brutalista', 'El 2 de Vallehermoso', 'Montia', 'Lur' o 'Saddle' valoran el lujo de recibir, sin intermediarios ni estancia en cámara,...</t>
    </r>
    <r>
      <rPr>
        <rFont val="Arial, sans-serif"/>
        <color rgb="FF1155CC"/>
        <sz val="12.0"/>
        <u/>
      </rPr>
      <t>.</t>
    </r>
    <r>
      <rPr>
        <rFont val="Arial, sans-serif"/>
        <color rgb="FF1155CC"/>
        <sz val="11.0"/>
        <u/>
      </rPr>
      <t>5 ene 2024</t>
    </r>
  </si>
  <si>
    <t>El ‘dealer’ verde de la ‘Huerta Sapiens’ en Velilla de San Antonio (Madrid)</t>
  </si>
  <si>
    <t>Éter, Trèsde, Brutalista, El 2 de Vallehermoso, Montia, Lur o Saddle valoran el lujo de recibir, sin intermediarios ni estancia en cámara,...</t>
  </si>
  <si>
    <t>The green 'dealer' of the 'Huerta Sapiens' in Madrid</t>
  </si>
  <si>
    <t>Éter, Trèsde, Brutalista, El 2 de Vallehermoso...</t>
  </si>
  <si>
    <r>
      <rPr>
        <rFont val="Arial, sans-serif"/>
        <color rgb="FF1155CC"/>
        <sz val="9.0"/>
        <u/>
      </rPr>
      <t>El Español</t>
    </r>
    <r>
      <rPr>
        <rFont val="Arial, sans-serif"/>
        <color rgb="FF1155CC"/>
        <sz val="15.0"/>
        <u/>
      </rPr>
      <t>Mapa: ¿Dónde están los puntos de carga de vehículos eléctricos en A Coruña y su área?</t>
    </r>
    <r>
      <rPr>
        <rFont val="Arial, sans-serif"/>
        <color rgb="FF1155CC"/>
        <sz val="11.0"/>
        <u/>
      </rPr>
      <t>En A Coruña hay 11 puntos públicos de carga; la mayoría se encuentran en grandes superficies comerciales o estaciones de servicio.</t>
    </r>
    <r>
      <rPr>
        <rFont val="Arial, sans-serif"/>
        <color rgb="FF1155CC"/>
        <sz val="12.0"/>
        <u/>
      </rPr>
      <t>.</t>
    </r>
    <r>
      <rPr>
        <rFont val="Arial, sans-serif"/>
        <color rgb="FF1155CC"/>
        <sz val="11.0"/>
        <u/>
      </rPr>
      <t>5 ene 2024</t>
    </r>
  </si>
  <si>
    <t>¿Dónde están los puntos de carga de vehículos eléctricos en A Coruña y su área?</t>
  </si>
  <si>
    <t>En A Coruña hay 11 puntos públicos de carga; la mayoría se encuentran en grandes superficies comerciales o estaciones de servicio.</t>
  </si>
  <si>
    <t>Where are the electric vehicle charging points in A Coruña?</t>
  </si>
  <si>
    <t>In A Coruña, there are 11 public charging points available for electric vehicles.</t>
  </si>
  <si>
    <r>
      <rPr>
        <rFont val="Arial, sans-serif"/>
        <color rgb="FF1155CC"/>
        <sz val="9.0"/>
        <u/>
      </rPr>
      <t>INFOREGION</t>
    </r>
    <r>
      <rPr>
        <rFont val="Arial, sans-serif"/>
        <color rgb="FF1155CC"/>
        <sz val="15.0"/>
        <u/>
      </rPr>
      <t>25 playas afectadas por Repsol no son saludables</t>
    </r>
    <r>
      <rPr>
        <rFont val="Arial, sans-serif"/>
        <color rgb="FF1155CC"/>
        <sz val="11.0"/>
        <u/>
      </rPr>
      <t>LIMA. El Organismo de Evaluación y Fiscalización Ambiental (OEFA), entidad del Ministerio del Ambiente, no ha logrado que la empresa Repsol cumpla con sus...</t>
    </r>
    <r>
      <rPr>
        <rFont val="Arial, sans-serif"/>
        <color rgb="FF1155CC"/>
        <sz val="12.0"/>
        <u/>
      </rPr>
      <t>.</t>
    </r>
    <r>
      <rPr>
        <rFont val="Arial, sans-serif"/>
        <color rgb="FF1155CC"/>
        <sz val="11.0"/>
        <u/>
      </rPr>
      <t>5 ene 2024</t>
    </r>
  </si>
  <si>
    <t>INFOREGION</t>
  </si>
  <si>
    <t>25 playas afectadas por Repsol no son saludables</t>
  </si>
  <si>
    <t>25 playas afectadas por Repsol no son saludables. El Organismo de Evaluación y Fiscalización Ambiental (OEFA), entidad del Ministerio del Ambiente, no ha logrado que la empresa Repsol cumpla con sus...</t>
  </si>
  <si>
    <t>25 beaches affected by Repsol are unhealthy</t>
  </si>
  <si>
    <t>25 beaches affected by Repsol have been deemed unhealthy due to pollution.</t>
  </si>
  <si>
    <t>Environment</t>
  </si>
  <si>
    <t>beaches affected, unhealthy, pollution</t>
  </si>
  <si>
    <t>playas afectadas, insalubres, contaminación</t>
  </si>
  <si>
    <t>Environmental damage from Repsol could severely harm its public image.</t>
  </si>
  <si>
    <t>playas afectadas, no saludables</t>
  </si>
  <si>
    <t>Strong negative sentiment due to environmental damage attributed to Repsol.</t>
  </si>
  <si>
    <t>Fuerte sentimiento negativo por los daños medioambientales atribuidos a Repsol.</t>
  </si>
  <si>
    <r>
      <rPr>
        <rFont val="Arial, sans-serif"/>
        <color rgb="FF1155CC"/>
        <sz val="9.0"/>
        <u/>
      </rPr>
      <t>Economía Digital</t>
    </r>
    <r>
      <rPr>
        <rFont val="Arial, sans-serif"/>
        <color rgb="FF1155CC"/>
        <sz val="15.0"/>
        <u/>
      </rPr>
      <t>Guerra en los juzgados entre Galuresa y Repsol, con demanda millonaria incluida</t>
    </r>
    <r>
      <rPr>
        <rFont val="Arial, sans-serif"/>
        <color rgb="FF1155CC"/>
        <sz val="11.0"/>
        <u/>
      </rPr>
      <t>Un juzgado de lo Mercantil de Madrid da la razón en primera instancia a Repsol frente a las pretensiones Galuresa, que pidió la nulidad de las relaciones...</t>
    </r>
    <r>
      <rPr>
        <rFont val="Arial, sans-serif"/>
        <color rgb="FF1155CC"/>
        <sz val="12.0"/>
        <u/>
      </rPr>
      <t>.</t>
    </r>
    <r>
      <rPr>
        <rFont val="Arial, sans-serif"/>
        <color rgb="FF1155CC"/>
        <sz val="11.0"/>
        <u/>
      </rPr>
      <t>6 ene 2024</t>
    </r>
  </si>
  <si>
    <t>Economía Digital</t>
  </si>
  <si>
    <t>Guerra en los juzgados entre Galuresa y Repsol, con demanda millonaria incluida</t>
  </si>
  <si>
    <t>Un juzgado de lo Mercantil de Madrid da la razón en primera instancia a Repsol frente a las pretensiones Galuresa, que pidió la nulidad de las relaciones....</t>
  </si>
  <si>
    <t>War in the courts between Galuresa and Repsol, which seeks to nullify contracts</t>
  </si>
  <si>
    <t>A Madrid Commercial Court rules in the first instance in the dispute between Galuresa and Repsol.</t>
  </si>
  <si>
    <t>Legal</t>
  </si>
  <si>
    <t>war in the courts, nullify contracts</t>
  </si>
  <si>
    <t>guerra en los tribunales, anular contratos</t>
  </si>
  <si>
    <t>Legal disputes may create reputational risks and financial uncertainty for Repsol.</t>
  </si>
  <si>
    <t>demanda millonaria, juzgados</t>
  </si>
  <si>
    <r>
      <rPr>
        <rFont val="Arial, sans-serif"/>
        <color rgb="FF1155CC"/>
        <sz val="9.0"/>
        <u/>
      </rPr>
      <t>Cinco Días</t>
    </r>
    <r>
      <rPr>
        <rFont val="Arial, sans-serif"/>
        <color rgb="FF1155CC"/>
        <sz val="15.0"/>
        <u/>
      </rPr>
      <t>Repsol ya ha pagado 247 millones por un derrame en una refinería en Perú</t>
    </r>
    <r>
      <rPr>
        <rFont val="Arial, sans-serif"/>
        <color rgb="FF1155CC"/>
        <sz val="11.0"/>
        <u/>
      </rPr>
      <t>La petrolera Repsol ha compensado al 98% de los afectados por el derrame de crudo ocurrido en enero de 2022 en la refinería de La Pampilla, al norte de Lima...</t>
    </r>
    <r>
      <rPr>
        <rFont val="Arial, sans-serif"/>
        <color rgb="FF1155CC"/>
        <sz val="12.0"/>
        <u/>
      </rPr>
      <t>.</t>
    </r>
    <r>
      <rPr>
        <rFont val="Arial, sans-serif"/>
        <color rgb="FF1155CC"/>
        <sz val="11.0"/>
        <u/>
      </rPr>
      <t>6 ene 2024</t>
    </r>
  </si>
  <si>
    <t>Repsol ya ha pagado 247 millones por un derrame en una refinería en Perú</t>
  </si>
  <si>
    <t>La petrolera Repsol ha compensado al 98% de los afectados por el derrame de crudo ocurrido en enero de 2022 en la refinería de La Pampilla, al norte de Lima....</t>
  </si>
  <si>
    <t>Repsol has already paid 247 million for a spill in Peru</t>
  </si>
  <si>
    <t>The oil company Repsol has compensated 98% of those affected by the spill.</t>
  </si>
  <si>
    <t>paid 247 million, spill in Peru</t>
  </si>
  <si>
    <t>Pagó 247 millones, derrame en Perú</t>
  </si>
  <si>
    <t>Oil spills and financial penalties negatively impact Repsol’s reputation.</t>
  </si>
  <si>
    <t>derrame, compensado</t>
  </si>
  <si>
    <t>Negative sentiment due to environmental damage and financial compensation.</t>
  </si>
  <si>
    <t>Sentimiento negativo debido al daño ambiental y la compensación financiera.</t>
  </si>
  <si>
    <r>
      <rPr>
        <rFont val="Arial, sans-serif"/>
        <color rgb="FF1155CC"/>
        <sz val="9.0"/>
        <u/>
      </rPr>
      <t>Box Repsol</t>
    </r>
    <r>
      <rPr>
        <rFont val="Arial, sans-serif"/>
        <color rgb="FF1155CC"/>
        <sz val="15.0"/>
        <u/>
      </rPr>
      <t>Resultados de la primera etapa del Rally Dakar 2024</t>
    </r>
    <r>
      <rPr>
        <rFont val="Arial, sans-serif"/>
        <color rgb="FF1155CC"/>
        <sz val="11.0"/>
        <u/>
      </rPr>
      <t>Guillaume De Mevius vence en la primera etapa del Dakar 2024. Isidre Esteve afianza sus buenas sensaciones y finaliza el día en la trigésimo primera...</t>
    </r>
    <r>
      <rPr>
        <rFont val="Arial, sans-serif"/>
        <color rgb="FF1155CC"/>
        <sz val="12.0"/>
        <u/>
      </rPr>
      <t>.</t>
    </r>
    <r>
      <rPr>
        <rFont val="Arial, sans-serif"/>
        <color rgb="FF1155CC"/>
        <sz val="11.0"/>
        <u/>
      </rPr>
      <t>6 ene 2024</t>
    </r>
  </si>
  <si>
    <t>Box Repsol</t>
  </si>
  <si>
    <t>Guillaume De Mevius vence en la primera etapa del Dakar 2024.</t>
  </si>
  <si>
    <t>Guillaume De Mevius vence en la primera etapa del Dakar 2024. Isidre Esteve afianza sus buenas sensaciones y finaliza el día en la trigésimo primera....</t>
  </si>
  <si>
    <t>Guillaume De Mevius wins the first stage of the Dakar Rally</t>
  </si>
  <si>
    <t>Guillaume De Mevius wins the first stage of the Dakar Rally.</t>
  </si>
  <si>
    <r>
      <rPr>
        <rFont val="Arial, sans-serif"/>
        <color rgb="FF1155CC"/>
        <sz val="9.0"/>
        <u/>
      </rPr>
      <t>heraldo.es</t>
    </r>
    <r>
      <rPr>
        <rFont val="Arial, sans-serif"/>
        <color rgb="FF1155CC"/>
        <sz val="15.0"/>
        <u/>
      </rPr>
      <t>El pueblo pequeño de Teruel donde tienen una gastronomía de vanguardia</t>
    </r>
    <r>
      <rPr>
        <rFont val="Arial, sans-serif"/>
        <color rgb="FF1155CC"/>
        <sz val="11.0"/>
        <u/>
      </rPr>
      <t>Este restaurante de Teruel aparece en la Guía Repsol y sus platos son de kilómetro cero y de temporada.</t>
    </r>
    <r>
      <rPr>
        <rFont val="Arial, sans-serif"/>
        <color rgb="FF1155CC"/>
        <sz val="12.0"/>
        <u/>
      </rPr>
      <t>.</t>
    </r>
    <r>
      <rPr>
        <rFont val="Arial, sans-serif"/>
        <color rgb="FF1155CC"/>
        <sz val="11.0"/>
        <u/>
      </rPr>
      <t>6 ene 2024</t>
    </r>
  </si>
  <si>
    <t>heraldo.es</t>
  </si>
  <si>
    <t>El pueblo pequeño de Teruel donde tienen una gastronomía de vanguardia</t>
  </si>
  <si>
    <t>Este restaurante de Teruel aparece en la Guía Repsol y sus platos son de kilómetro cero y de temporada.</t>
  </si>
  <si>
    <t>The small town of Teruel where they have avant-garde cuisine</t>
  </si>
  <si>
    <t>This restaurant in Teruel appears in the Repsol Guide as a recommended dining place.</t>
  </si>
  <si>
    <r>
      <rPr>
        <rFont val="Arial, sans-serif"/>
        <color rgb="FF1155CC"/>
        <sz val="9.0"/>
        <u/>
      </rPr>
      <t>Diario de Avisos</t>
    </r>
    <r>
      <rPr>
        <rFont val="Arial, sans-serif"/>
        <color rgb="FF1155CC"/>
        <sz val="15.0"/>
        <u/>
      </rPr>
      <t>La familia González reparte una lluvia de millones en Tenerife en la Lotería del Niño 2024</t>
    </r>
    <r>
      <rPr>
        <rFont val="Arial, sans-serif"/>
        <color rgb="FF1155CC"/>
        <sz val="11.0"/>
        <u/>
      </rPr>
      <t>Las gasolineras de La Chasnera, Las Zocas y El Porís reparten el primer premio del Sorteo del Niño.</t>
    </r>
    <r>
      <rPr>
        <rFont val="Arial, sans-serif"/>
        <color rgb="FF1155CC"/>
        <sz val="12.0"/>
        <u/>
      </rPr>
      <t>.</t>
    </r>
    <r>
      <rPr>
        <rFont val="Arial, sans-serif"/>
        <color rgb="FF1155CC"/>
        <sz val="11.0"/>
        <u/>
      </rPr>
      <t>6 ene 2024</t>
    </r>
  </si>
  <si>
    <t>Diario de Avisos</t>
  </si>
  <si>
    <t>La familia González reparte una lluvia de millones en Tenerife en la Lotería del Niño 2024</t>
  </si>
  <si>
    <t>Las gasolineras de La Chasnera, Las Zocas y El Porís reparten el primer premio del Sorteo del Niño.</t>
  </si>
  <si>
    <t>The González family distributes a rain of millions at gas stations</t>
  </si>
  <si>
    <t>The gas stations of La Chasnera, Las Zocas, and others celebrate massive lottery winnings.</t>
  </si>
  <si>
    <r>
      <rPr>
        <rFont val="Arial, sans-serif"/>
        <color rgb="FF1155CC"/>
        <sz val="9.0"/>
        <u/>
      </rPr>
      <t>El Periódico de España</t>
    </r>
    <r>
      <rPr>
        <rFont val="Arial, sans-serif"/>
        <color rgb="FF1155CC"/>
        <sz val="15.0"/>
        <u/>
      </rPr>
      <t>Un avión aterriza en el aeropuerto estadounidense de Portland tras perder parte del fuselaje</t>
    </r>
    <r>
      <rPr>
        <rFont val="Arial, sans-serif"/>
        <color rgb="FF1155CC"/>
        <sz val="11.0"/>
        <u/>
      </rPr>
      <t>El aparato, que sólo estuvo en vuelo unos 35 minutos, regresó a la pista sin que el incidente causase heridos o daños suplementarios.</t>
    </r>
    <r>
      <rPr>
        <rFont val="Arial, sans-serif"/>
        <color rgb="FF1155CC"/>
        <sz val="12.0"/>
        <u/>
      </rPr>
      <t>.</t>
    </r>
    <r>
      <rPr>
        <rFont val="Arial, sans-serif"/>
        <color rgb="FF1155CC"/>
        <sz val="11.0"/>
        <u/>
      </rPr>
      <t>6 ene 2024</t>
    </r>
  </si>
  <si>
    <t>Un avión aterriza en el aeropuerto estadounidense de Portland tras perder parte del fuselaje</t>
  </si>
  <si>
    <t>El aparato, que sólo estuvo en vuelo unos 35 minutos, regresó a la pista sin que el incidente causase heridos o daños suplementarios.</t>
  </si>
  <si>
    <t>A plane lands at the US airport in Portland after an emergency</t>
  </si>
  <si>
    <t>The aircraft, which was only in flight for about 15 minutes, made an emergency landing.</t>
  </si>
  <si>
    <r>
      <rPr>
        <rFont val="Arial, sans-serif"/>
        <color rgb="FF1155CC"/>
        <sz val="9.0"/>
        <u/>
      </rPr>
      <t>El Independiente</t>
    </r>
    <r>
      <rPr>
        <rFont val="Arial, sans-serif"/>
        <color rgb="FF1155CC"/>
        <sz val="15.0"/>
        <u/>
      </rPr>
      <t>La princesa Leonor, protagonista en su primera Pascua Militar</t>
    </r>
    <r>
      <rPr>
        <rFont val="Arial, sans-serif"/>
        <color rgb="FF1155CC"/>
        <sz val="11.0"/>
        <u/>
      </rPr>
      <t>La princesa Leonor ha concentrado las miradas en la que es su primera Pascua Militar desde que alcanzó la mayaría de edad, por ese motivo llegó vestida.</t>
    </r>
    <r>
      <rPr>
        <rFont val="Arial, sans-serif"/>
        <color rgb="FF1155CC"/>
        <sz val="12.0"/>
        <u/>
      </rPr>
      <t>.</t>
    </r>
    <r>
      <rPr>
        <rFont val="Arial, sans-serif"/>
        <color rgb="FF1155CC"/>
        <sz val="11.0"/>
        <u/>
      </rPr>
      <t>6 ene 2024</t>
    </r>
  </si>
  <si>
    <t>El Independiente</t>
  </si>
  <si>
    <t>La princesa Leonor, protagonista en su primera Pascua Militar</t>
  </si>
  <si>
    <t>La princesa Leonor ha concentrado las miradas en la que es su primera Pascua Militar desde que alcanzó la mayoría de edad, por ese motivo llegó vestida..</t>
  </si>
  <si>
    <t>Princess Leonor, protagonist in her first Military Easter</t>
  </si>
  <si>
    <t>Princess Leonor has focused attention on her participation in the event.</t>
  </si>
  <si>
    <r>
      <rPr>
        <rFont val="Arial, sans-serif"/>
        <color rgb="FF1155CC"/>
        <sz val="9.0"/>
        <u/>
      </rPr>
      <t>20Minutos</t>
    </r>
    <r>
      <rPr>
        <rFont val="Arial, sans-serif"/>
        <color rgb="FF1155CC"/>
        <sz val="15.0"/>
        <u/>
      </rPr>
      <t>Carlos Sainz acaricia la victoria en la primera etapa del Dakar tras exhibirse protagonizando una épica remontada</t>
    </r>
    <r>
      <rPr>
        <rFont val="Arial, sans-serif"/>
        <color rgb="FF1155CC"/>
        <sz val="11.0"/>
        <u/>
      </rPr>
      <t>El piloto madrileño partía muy retrasado pero pudo acabar segundo, muy lejos del resto de favoritos.</t>
    </r>
    <r>
      <rPr>
        <rFont val="Arial, sans-serif"/>
        <color rgb="FF1155CC"/>
        <sz val="12.0"/>
        <u/>
      </rPr>
      <t>.</t>
    </r>
    <r>
      <rPr>
        <rFont val="Arial, sans-serif"/>
        <color rgb="FF1155CC"/>
        <sz val="11.0"/>
        <u/>
      </rPr>
      <t>6 ene 2024</t>
    </r>
  </si>
  <si>
    <t>Carlos Sainz acaricia la victoria en la primera etapa del Dakar tras exhibirse protagonizando una épica remontada</t>
  </si>
  <si>
    <t>El piloto madrileño partía muy retrasado pero pudo acabar segundo, muy lejos del resto de favoritos.</t>
  </si>
  <si>
    <t>Carlos Sainz cherishes victory in the first stage of the Dakar Rally</t>
  </si>
  <si>
    <t>The Madrid driver started very late but was able to win the first stage.</t>
  </si>
  <si>
    <r>
      <rPr>
        <rFont val="Arial, sans-serif"/>
        <color rgb="FF1155CC"/>
        <sz val="9.0"/>
        <u/>
      </rPr>
      <t>El Economista</t>
    </r>
    <r>
      <rPr>
        <rFont val="Arial, sans-serif"/>
        <color rgb="FF1155CC"/>
        <sz val="15.0"/>
        <u/>
      </rPr>
      <t>Dime de qué trabajas y te diré cuánto va a subir tu sueldo en 2024</t>
    </r>
    <r>
      <rPr>
        <rFont val="Arial, sans-serif"/>
        <color rgb="FF1155CC"/>
        <sz val="11.0"/>
        <u/>
      </rPr>
      <t>La inflación terminó 2023 con una subida en diciembre del 3,1%, una décima menos que en noviembre, según el indicador adelantado del ...</t>
    </r>
    <r>
      <rPr>
        <rFont val="Arial, sans-serif"/>
        <color rgb="FF1155CC"/>
        <sz val="12.0"/>
        <u/>
      </rPr>
      <t>.</t>
    </r>
    <r>
      <rPr>
        <rFont val="Arial, sans-serif"/>
        <color rgb="FF1155CC"/>
        <sz val="11.0"/>
        <u/>
      </rPr>
      <t>6 ene 2024</t>
    </r>
  </si>
  <si>
    <t>Dime de qué trabajas y te diré cuánto va a subir tu sueldo en 2024</t>
  </si>
  <si>
    <t>La inflación terminó 2023 con una subida en diciembre del 3,1%, una décima menos que en noviembre, según el indicador adelantado del ....</t>
  </si>
  <si>
    <t>Tell me what you do and I'll tell you how much you will retire with</t>
  </si>
  <si>
    <t>Inflation ended 2023 with a rise of 3.1% in December.</t>
  </si>
  <si>
    <r>
      <rPr>
        <rFont val="Arial, sans-serif"/>
        <color rgb="FF1155CC"/>
        <sz val="9.0"/>
        <u/>
      </rPr>
      <t>El Economista</t>
    </r>
    <r>
      <rPr>
        <rFont val="Arial, sans-serif"/>
        <color rgb="FF1155CC"/>
        <sz val="15.0"/>
        <u/>
      </rPr>
      <t>Argentina apelará el pago de los 16.000 millones por la expropiación de YPF el 10 de enero</t>
    </r>
    <r>
      <rPr>
        <rFont val="Arial, sans-serif"/>
        <color rgb="FF1155CC"/>
        <sz val="11.0"/>
        <u/>
      </rPr>
      <t>Argentina reconoce ya abiertamente que tiene problemas para afrontar el pago de la indemnización de 16.000 millones de dólares por la ...</t>
    </r>
    <r>
      <rPr>
        <rFont val="Arial, sans-serif"/>
        <color rgb="FF1155CC"/>
        <sz val="12.0"/>
        <u/>
      </rPr>
      <t>.</t>
    </r>
    <r>
      <rPr>
        <rFont val="Arial, sans-serif"/>
        <color rgb="FF1155CC"/>
        <sz val="11.0"/>
        <u/>
      </rPr>
      <t>7 ene 2024</t>
    </r>
  </si>
  <si>
    <t>Argentina apelará el pago de los 16.000 millones por la expropiación de YPF el 10 de enero</t>
  </si>
  <si>
    <t>Argentina reconoce ya abiertamente que tiene problemas para afrontar el pago de la indemnización de 16.000 millones de dólares por la ....</t>
  </si>
  <si>
    <t>Argentina will appeal the payment of the 16,000 million for YPF</t>
  </si>
  <si>
    <t>Argentina now openly recognizes that it has problems fulfilling this obligation.</t>
  </si>
  <si>
    <t>While related to the energy sector, this legal dispute does not directly impact Repsol.</t>
  </si>
  <si>
    <t>Unrelated to Repsol.</t>
  </si>
  <si>
    <t>Sin relación con Repsol.</t>
  </si>
  <si>
    <r>
      <rPr>
        <rFont val="Arial, sans-serif"/>
        <color rgb="FF1155CC"/>
        <sz val="9.0"/>
        <u/>
      </rPr>
      <t>Motor16</t>
    </r>
    <r>
      <rPr>
        <rFont val="Arial, sans-serif"/>
        <color rgb="FF1155CC"/>
        <sz val="15.0"/>
        <u/>
      </rPr>
      <t>La OCU no se muerde la lengua: esta gasolina es mejor que la de Repsol, Cepsa, Galp o BP</t>
    </r>
    <r>
      <rPr>
        <rFont val="Arial, sans-serif"/>
        <color rgb="FF1155CC"/>
        <sz val="11.0"/>
        <u/>
      </rPr>
      <t>La OCU, como referente en la defensa de los consumidores, ha abordado la cuestión de la gasolina low-cost frente a la convencional en un reciente informe.</t>
    </r>
    <r>
      <rPr>
        <rFont val="Arial, sans-serif"/>
        <color rgb="FF1155CC"/>
        <sz val="12.0"/>
        <u/>
      </rPr>
      <t>.</t>
    </r>
    <r>
      <rPr>
        <rFont val="Arial, sans-serif"/>
        <color rgb="FF1155CC"/>
        <sz val="11.0"/>
        <u/>
      </rPr>
      <t>7 ene 2024</t>
    </r>
  </si>
  <si>
    <t>La OCU no se muerde la lengua: esta gasolina es mejor que la de Repsol, Cepsa, Galp o BP</t>
  </si>
  <si>
    <t>La OCU, como referente en la defensa de los consumidores, ha abordado la cuestión de la gasolina low-cost frente a la convencional en un reciente informe.</t>
  </si>
  <si>
    <t>The OCU does not bite its tongue: this gasoline is not worth paying for</t>
  </si>
  <si>
    <t>The OCU, as a reference in consumer defense, has evaluated the fuel quality of different brands.</t>
  </si>
  <si>
    <r>
      <rPr>
        <rFont val="Arial, sans-serif"/>
        <color rgb="FF1155CC"/>
        <sz val="9.0"/>
        <u/>
      </rPr>
      <t>Box Repsol</t>
    </r>
    <r>
      <rPr>
        <rFont val="Arial, sans-serif"/>
        <color rgb="FF1155CC"/>
        <sz val="15.0"/>
        <u/>
      </rPr>
      <t>Resultados de la segunda etapa del Rally Dakar 2024</t>
    </r>
    <r>
      <rPr>
        <rFont val="Arial, sans-serif"/>
        <color rgb="FF1155CC"/>
        <sz val="11.0"/>
        <u/>
      </rPr>
      <t>Stéphane Peterhansel se anota la segunda etapa del Dakar 2024 y Carlos Sainz asume el liderato de la general. El Repsol Toyota Rally Team, de la mano de...</t>
    </r>
    <r>
      <rPr>
        <rFont val="Arial, sans-serif"/>
        <color rgb="FF1155CC"/>
        <sz val="12.0"/>
        <u/>
      </rPr>
      <t>.</t>
    </r>
    <r>
      <rPr>
        <rFont val="Arial, sans-serif"/>
        <color rgb="FF1155CC"/>
        <sz val="11.0"/>
        <u/>
      </rPr>
      <t>7 ene 2024</t>
    </r>
  </si>
  <si>
    <t>Stéphane Peterhansel se anota la segunda etapa del Dakar 2024 y Carlos Sainz asume el liderato de la general.</t>
  </si>
  <si>
    <t>Stéphane Peterhansel se anota la segunda etapa del Dakar 2024 y Carlos Sainz asume el liderato de la general. El Repsol Toyota Rally Team, de la mano de....</t>
  </si>
  <si>
    <t>Stéphane Peterhansel scores the second stage of the Dakar Rally</t>
  </si>
  <si>
    <t>The French driver achieves an important victory in the competition.</t>
  </si>
  <si>
    <r>
      <rPr>
        <rFont val="Arial, sans-serif"/>
        <color rgb="FF1155CC"/>
        <sz val="9.0"/>
        <u/>
      </rPr>
      <t>Economía Digital</t>
    </r>
    <r>
      <rPr>
        <rFont val="Arial, sans-serif"/>
        <color rgb="FF1155CC"/>
        <sz val="15.0"/>
        <u/>
      </rPr>
      <t>Un estudio valora a Mercadona como 14ª empresa del Ibex, al nivel de Repsol</t>
    </r>
    <r>
      <rPr>
        <rFont val="Arial, sans-serif"/>
        <color rgb="FF1155CC"/>
        <sz val="11.0"/>
        <u/>
      </rPr>
      <t>Si Mercadona cotizara en el IBEX su valoración la ubicaría en el 14ª lugar entre las empresas más importantes de España, por encima de Repsol, ACS o Acciona...</t>
    </r>
    <r>
      <rPr>
        <rFont val="Arial, sans-serif"/>
        <color rgb="FF1155CC"/>
        <sz val="12.0"/>
        <u/>
      </rPr>
      <t>.</t>
    </r>
    <r>
      <rPr>
        <rFont val="Arial, sans-serif"/>
        <color rgb="FF1155CC"/>
        <sz val="11.0"/>
        <u/>
      </rPr>
      <t>7 ene 2024</t>
    </r>
  </si>
  <si>
    <t>Un estudio valora a Mercadona como 14ª empresa del Ibex, al nivel de Repsol</t>
  </si>
  <si>
    <t>Si Mercadona cotizara en el IBEX su valoración la ubicaría en el 14ª lugar entre las empresas más importantes de España, por encima de Repsol, ACS o Acciona.</t>
  </si>
  <si>
    <t>A study values ​​Mercadona as the 14th company with the best reputation</t>
  </si>
  <si>
    <t>If Mercadona were listed on the IBEX, its valuation would be significant.</t>
  </si>
  <si>
    <r>
      <rPr>
        <rFont val="Arial, sans-serif"/>
        <color rgb="FF1155CC"/>
        <sz val="9.0"/>
        <u/>
      </rPr>
      <t>A Todo Motor</t>
    </r>
    <r>
      <rPr>
        <rFont val="Arial, sans-serif"/>
        <color rgb="FF1155CC"/>
        <sz val="15.0"/>
        <u/>
      </rPr>
      <t>Isidre Esteve mantiene la 31ª posición en la general</t>
    </r>
    <r>
      <rPr>
        <rFont val="Arial, sans-serif"/>
        <color rgb="FF1155CC"/>
        <sz val="11.0"/>
        <u/>
      </rPr>
      <t>El piloto de Oliana y su copiloto Txema Villalobos mantienen la 31ª posición de la general después de un pinchazo, pero se muestran sorprendidos con el...</t>
    </r>
    <r>
      <rPr>
        <rFont val="Arial, sans-serif"/>
        <color rgb="FF1155CC"/>
        <sz val="12.0"/>
        <u/>
      </rPr>
      <t>.</t>
    </r>
    <r>
      <rPr>
        <rFont val="Arial, sans-serif"/>
        <color rgb="FF1155CC"/>
        <sz val="11.0"/>
        <u/>
      </rPr>
      <t>7 ene 2024</t>
    </r>
  </si>
  <si>
    <t>Todo Motor</t>
  </si>
  <si>
    <t>Isidre Esteve mantiene la 31ª posición en la general</t>
  </si>
  <si>
    <t>El piloto de Oliana y su copiloto Txema Villalobos mantienen la 31ª posición de la general después de un pinchazo, pero se muestran sorprendidos con el....</t>
  </si>
  <si>
    <t>Isidre Esteve maintains 31st position overall</t>
  </si>
  <si>
    <t>The driver from Oliana and his co-driver Txema Villalobos remain competitive.</t>
  </si>
  <si>
    <r>
      <rPr>
        <rFont val="Arial, sans-serif"/>
        <color rgb="FF1155CC"/>
        <sz val="9.0"/>
        <u/>
      </rPr>
      <t>Crónica Libre</t>
    </r>
    <r>
      <rPr>
        <rFont val="Arial, sans-serif"/>
        <color rgb="FF1155CC"/>
        <sz val="15.0"/>
        <u/>
      </rPr>
      <t>Lienzo, Cuando Un Plato Es Una Obra De Arte</t>
    </r>
    <r>
      <rPr>
        <rFont val="Arial, sans-serif"/>
        <color rgb="FF1155CC"/>
        <sz val="11.0"/>
        <u/>
      </rPr>
      <t>Lienzo, el restaurante de la chef María José Martínez, con una estrella Michelin y un Sol Repsol, triunfa en la escena gastro de Valencia.</t>
    </r>
    <r>
      <rPr>
        <rFont val="Arial, sans-serif"/>
        <color rgb="FF1155CC"/>
        <sz val="12.0"/>
        <u/>
      </rPr>
      <t>.</t>
    </r>
    <r>
      <rPr>
        <rFont val="Arial, sans-serif"/>
        <color rgb="FF1155CC"/>
        <sz val="11.0"/>
        <u/>
      </rPr>
      <t>7 ene 2024</t>
    </r>
  </si>
  <si>
    <t>Crónica Libre</t>
  </si>
  <si>
    <t>Lienzo, Cuando Un Plato Es Una Obra De Arte</t>
  </si>
  <si>
    <t>Lienzo, el restaurante de la chef María José Martínez, con una estrella Michelin y un Sol Repsol, triunfa en la escena gastro de Valencia.</t>
  </si>
  <si>
    <t>Canvas, When a Plate is a Work of Art</t>
  </si>
  <si>
    <t>Lienzo, chef María José Martínez's restaurant, surprises with artistic dishes.</t>
  </si>
  <si>
    <r>
      <rPr>
        <rFont val="Arial, sans-serif"/>
        <color rgb="FF1155CC"/>
        <sz val="9.0"/>
        <u/>
      </rPr>
      <t>El Periódico de la Energía</t>
    </r>
    <r>
      <rPr>
        <rFont val="Arial, sans-serif"/>
        <color rgb="FF1155CC"/>
        <sz val="15.0"/>
        <u/>
      </rPr>
      <t>La mexicana Pemex estudia oportunidades de negocio en Venezuela con la petrolera estatal PDVSA</t>
    </r>
    <r>
      <rPr>
        <rFont val="Arial, sans-serif"/>
        <color rgb="FF1155CC"/>
        <sz val="11.0"/>
        <u/>
      </rPr>
      <t>Directivos de la empresa estatal Petróleos Mexicanos (Pemex) sostuvieron este viernes una reunión en Caracas con sus pares de Pet...</t>
    </r>
    <r>
      <rPr>
        <rFont val="Arial, sans-serif"/>
        <color rgb="FF1155CC"/>
        <sz val="12.0"/>
        <u/>
      </rPr>
      <t>.</t>
    </r>
    <r>
      <rPr>
        <rFont val="Arial, sans-serif"/>
        <color rgb="FF1155CC"/>
        <sz val="11.0"/>
        <u/>
      </rPr>
      <t>7 ene 2024</t>
    </r>
  </si>
  <si>
    <t>El Periódico de la Energía</t>
  </si>
  <si>
    <t>La mexicana Pemex estudia oportunidades de negocio en Venezuela con la petrolera estatal PDVSA</t>
  </si>
  <si>
    <t>Directivos de la empresa estatal Petróleos Mexicanos (Pemex) sostuvieron este viernes una reunión en Caracas con sus pares de Pet...</t>
  </si>
  <si>
    <t>The Mexican Pemex studies business opportunities in Spain</t>
  </si>
  <si>
    <t>Directors of Pemex explore potential investments in Spain.</t>
  </si>
  <si>
    <t>Pemex, business opportunities</t>
  </si>
  <si>
    <t>Pemex, oportunidades de negocio</t>
  </si>
  <si>
    <t>Pemex’s expansion could create competition or partnership opportunities for Repsol.</t>
  </si>
  <si>
    <r>
      <rPr>
        <rFont val="Arial, sans-serif"/>
        <color rgb="FF1155CC"/>
        <sz val="9.0"/>
        <u/>
      </rPr>
      <t>El Periódico de España</t>
    </r>
    <r>
      <rPr>
        <rFont val="Arial, sans-serif"/>
        <color rgb="FF1155CC"/>
        <sz val="15.0"/>
        <u/>
      </rPr>
      <t>TVE endulza su parrilla y pone fecha de estreno a 'Bake Off: famosos al horno'</t>
    </r>
    <r>
      <rPr>
        <rFont val="Arial, sans-serif"/>
        <color rgb="FF1155CC"/>
        <sz val="11.0"/>
        <u/>
      </rPr>
      <t>La 1 ya ha anunciado el día en que sus famosos empezarán a cocinar pasteles.</t>
    </r>
    <r>
      <rPr>
        <rFont val="Arial, sans-serif"/>
        <color rgb="FF1155CC"/>
        <sz val="12.0"/>
        <u/>
      </rPr>
      <t>.</t>
    </r>
    <r>
      <rPr>
        <rFont val="Arial, sans-serif"/>
        <color rgb="FF1155CC"/>
        <sz val="11.0"/>
        <u/>
      </rPr>
      <t>7 ene 2024</t>
    </r>
  </si>
  <si>
    <t>TVE endulza su parrilla y pone fecha de estreno a 'Bake Off: famosos al horno'</t>
  </si>
  <si>
    <t>La 1 ya ha anunciado el día en que sus famosos empezarán a cocinar pasteles.</t>
  </si>
  <si>
    <t>TVE sweetens its grill and sets a premiere date for 'Bake Off'</t>
  </si>
  <si>
    <t>La 1 has already announced the premiere date of its baking show.</t>
  </si>
  <si>
    <r>
      <rPr>
        <rFont val="Arial, sans-serif"/>
        <color rgb="FF1155CC"/>
        <sz val="9.0"/>
        <u/>
      </rPr>
      <t>Todocircuito.com</t>
    </r>
    <r>
      <rPr>
        <rFont val="Arial, sans-serif"/>
        <color rgb="FF1155CC"/>
        <sz val="15.0"/>
        <u/>
      </rPr>
      <t>Filtradas dos fotos de la supuesta Ducati de Marc Márquez para este año</t>
    </r>
    <r>
      <rPr>
        <rFont val="Arial, sans-serif"/>
        <color rgb="FF1155CC"/>
        <sz val="11.0"/>
        <u/>
      </rPr>
      <t>Una de las incógnitas desde que Marc Márquez anunció su fichaje por el Gresini Racing era cómo luciría su moto. Una duda que quedará resuelta el próximo día...</t>
    </r>
    <r>
      <rPr>
        <rFont val="Arial, sans-serif"/>
        <color rgb="FF1155CC"/>
        <sz val="12.0"/>
        <u/>
      </rPr>
      <t>.</t>
    </r>
    <r>
      <rPr>
        <rFont val="Arial, sans-serif"/>
        <color rgb="FF1155CC"/>
        <sz val="11.0"/>
        <u/>
      </rPr>
      <t>7 ene 2024</t>
    </r>
  </si>
  <si>
    <t>Todocircuito.com</t>
  </si>
  <si>
    <t>Filtradas dos fotos de la supuesta Ducati de Marc Márquez para este año</t>
  </si>
  <si>
    <t>Una de las incógnitas desde que Marc Márquez anunció su fichaje por el Gresini Racing era cómo luciría su moto. Una duda que quedará resuelta el próximo día....</t>
  </si>
  <si>
    <t>Two photos of Marc Márquez's supposed Ducati future create a stir</t>
  </si>
  <si>
    <t>Speculation continues about Márquez's next team.</t>
  </si>
  <si>
    <r>
      <rPr>
        <rFont val="Arial, sans-serif"/>
        <color rgb="FF1155CC"/>
        <sz val="9.0"/>
        <u/>
      </rPr>
      <t>El Economista</t>
    </r>
    <r>
      <rPr>
        <rFont val="Arial, sans-serif"/>
        <color rgb="FF1155CC"/>
        <sz val="15.0"/>
        <u/>
      </rPr>
      <t>Once compañías del Ibex 35 ofrecen un 6% o más con sus dividendos de 2024</t>
    </r>
    <r>
      <rPr>
        <rFont val="Arial, sans-serif"/>
        <color rgb="FF1155CC"/>
        <sz val="11.0"/>
        <u/>
      </rPr>
      <t>El mercado español siempre se ha caracterizado por su generosa retribución al accionista, y en 2024 volverá a hacer gala de ello. Según ...</t>
    </r>
    <r>
      <rPr>
        <rFont val="Arial, sans-serif"/>
        <color rgb="FF1155CC"/>
        <sz val="12.0"/>
        <u/>
      </rPr>
      <t>.</t>
    </r>
    <r>
      <rPr>
        <rFont val="Arial, sans-serif"/>
        <color rgb="FF1155CC"/>
        <sz val="11.0"/>
        <u/>
      </rPr>
      <t>7 ene 2024</t>
    </r>
  </si>
  <si>
    <t>Una compañía del Ibex 35 ofrece un 6% o más con sus dividendos de 2024</t>
  </si>
  <si>
    <t>El mercado español siempre se ha caracterizado por su generosa retribución al accionista, y en 2024 volverá a hacer gala de ello. Según ....</t>
  </si>
  <si>
    <t>An Ibex 35 company offers 6% or more with its dividends</t>
  </si>
  <si>
    <t>The Spanish market has always been characterized by attractive dividends.</t>
  </si>
  <si>
    <r>
      <rPr>
        <rFont val="Arial, sans-serif"/>
        <color rgb="FF1155CC"/>
        <sz val="9.0"/>
        <u/>
      </rPr>
      <t>Europa Press</t>
    </r>
    <r>
      <rPr>
        <rFont val="Arial, sans-serif"/>
        <color rgb="FF1155CC"/>
        <sz val="15.0"/>
        <u/>
      </rPr>
      <t>Norges Bank mueve posiciones en Repsol y rebaja su participación al 4,53%</t>
    </r>
    <r>
      <rPr>
        <rFont val="Arial, sans-serif"/>
        <color rgb="FF1155CC"/>
        <sz val="11.0"/>
        <u/>
      </rPr>
      <t>Norges Bank, que gestiona el fondo soberano de Noruega, ha recortado su participación en Repsol hasta el...</t>
    </r>
    <r>
      <rPr>
        <rFont val="Arial, sans-serif"/>
        <color rgb="FF1155CC"/>
        <sz val="12.0"/>
        <u/>
      </rPr>
      <t>.</t>
    </r>
    <r>
      <rPr>
        <rFont val="Arial, sans-serif"/>
        <color rgb="FF1155CC"/>
        <sz val="11.0"/>
        <u/>
      </rPr>
      <t>8 ene 2024</t>
    </r>
  </si>
  <si>
    <t>Norges Bank mueve posiciones en Repsol y rebaja su participación al 4,53%</t>
  </si>
  <si>
    <t>Norges Bank, que gestiona el fondo soberano de Noruega, ha recortado su participación en Repsol hasta el....</t>
  </si>
  <si>
    <t>Norges Bank moves positions in Repsol and reduces its stake</t>
  </si>
  <si>
    <t>Norges Bank, which manages Norway's sovereign wealth fund, reduces its stake in Repsol.</t>
  </si>
  <si>
    <t>reduces stake, Norges Bank</t>
  </si>
  <si>
    <t>reduce participación, Norges Bank</t>
  </si>
  <si>
    <t>A significant investor reducing holdings may indicate concerns about Repsol’s prospects.</t>
  </si>
  <si>
    <t>rebaja participación</t>
  </si>
  <si>
    <t>Negative sentiment due to reduced investment in Repsol.</t>
  </si>
  <si>
    <t>Sentimiento negativo por la menor inversión en Repsol.</t>
  </si>
  <si>
    <r>
      <rPr>
        <rFont val="Arial, sans-serif"/>
        <color rgb="FF1155CC"/>
        <sz val="9.0"/>
        <u/>
      </rPr>
      <t>Cinco Días</t>
    </r>
    <r>
      <rPr>
        <rFont val="Arial, sans-serif"/>
        <color rgb="FF1155CC"/>
        <sz val="15.0"/>
        <u/>
      </rPr>
      <t>JPMorgan aflora un 5,3% en Repsol y se convierte en su segundo mayor accionista</t>
    </r>
    <r>
      <rPr>
        <rFont val="Arial, sans-serif"/>
        <color rgb="FF1155CC"/>
        <sz val="11.0"/>
        <u/>
      </rPr>
      <t>Movimientos de calado en el accionariado de Repsol. JP Morgan, el mayor banco del mundo, ha aflorado esta mañana una participación del 5,3% en el capital de...</t>
    </r>
    <r>
      <rPr>
        <rFont val="Arial, sans-serif"/>
        <color rgb="FF1155CC"/>
        <sz val="12.0"/>
        <u/>
      </rPr>
      <t>.</t>
    </r>
    <r>
      <rPr>
        <rFont val="Arial, sans-serif"/>
        <color rgb="FF1155CC"/>
        <sz val="11.0"/>
        <u/>
      </rPr>
      <t>8 ene 2024</t>
    </r>
  </si>
  <si>
    <t>JPMorgan aflora un 5,3% en Repsol y se convierte en su segundo mayor accionista</t>
  </si>
  <si>
    <t>Movimientos de calado en el accionariado de Repsol. JP Morgan, el mayor banco del mundo, ha aflorado esta mañana una participación del 5,3% en el capital de....</t>
  </si>
  <si>
    <t>JPMorgan gains 5.3% in Repsol and becomes its second-largest shareholder</t>
  </si>
  <si>
    <t>Significant movements in Repsol's shareholding structure.</t>
  </si>
  <si>
    <t>JPMorgan, second-largest shareholder</t>
  </si>
  <si>
    <t>JPMorgan, segundo accionista</t>
  </si>
  <si>
    <t>Increased investment by JPMorgan signals confidence in Repsol’s future.</t>
  </si>
  <si>
    <t>JP Morgan, segundo mayor accionista</t>
  </si>
  <si>
    <t>Positive sentiment due to increased investment in Repsol by a major bank.</t>
  </si>
  <si>
    <t>Sentimiento positivo por el aumento de la inversión en Repsol por parte de un importante banco.</t>
  </si>
  <si>
    <r>
      <rPr>
        <rFont val="Arial, sans-serif"/>
        <color rgb="FF1155CC"/>
        <sz val="9.0"/>
        <u/>
      </rPr>
      <t>XTB</t>
    </r>
    <r>
      <rPr>
        <rFont val="Arial, sans-serif"/>
        <color rgb="FF1155CC"/>
        <sz val="15.0"/>
        <u/>
      </rPr>
      <t>Último día para cobrar el dividendo de Repsol</t>
    </r>
    <r>
      <rPr>
        <rFont val="Arial, sans-serif"/>
        <color rgb="FF1155CC"/>
        <sz val="11.0"/>
        <u/>
      </rPr>
      <t>Hoy lunes 8 de enero de 2024 es el último día para comprar las acciones de Repsol (REP1.ES) y tener derecho a recibir el dividendo que...</t>
    </r>
    <r>
      <rPr>
        <rFont val="Arial, sans-serif"/>
        <color rgb="FF1155CC"/>
        <sz val="12.0"/>
        <u/>
      </rPr>
      <t>.</t>
    </r>
    <r>
      <rPr>
        <rFont val="Arial, sans-serif"/>
        <color rgb="FF1155CC"/>
        <sz val="11.0"/>
        <u/>
      </rPr>
      <t>8 ene 2024</t>
    </r>
  </si>
  <si>
    <t>XTB</t>
  </si>
  <si>
    <t>Último día para cobrar el dividendo de Repsol</t>
  </si>
  <si>
    <t>Hoy lunes 8 de enero de 2024 es el último día para comprar las acciones de Repsol (REP1.ES) y tener derecho a recibir el dividendo que....</t>
  </si>
  <si>
    <t>Last day to collect the Repsol dividend</t>
  </si>
  <si>
    <t>Today, Monday, January 8, 2024, is the last day to collect Repsol’s dividend.</t>
  </si>
  <si>
    <t>Repsol dividend, last day</t>
  </si>
  <si>
    <t>Dividendo Repsol, último día</t>
  </si>
  <si>
    <t>Dividend payouts strengthen Repsol’s financial appeal to investors.</t>
  </si>
  <si>
    <t>dividendo, acciones de Repsol</t>
  </si>
  <si>
    <t>Positive sentiment due to financial benefits for Repsol shareholders.</t>
  </si>
  <si>
    <t>Sentimiento positivo por los beneficios económicos para los accionistas de Repsol.</t>
  </si>
  <si>
    <r>
      <rPr>
        <rFont val="Arial, sans-serif"/>
        <color rgb="FF1155CC"/>
        <sz val="9.0"/>
        <u/>
      </rPr>
      <t>Estrategias de Inversión</t>
    </r>
    <r>
      <rPr>
        <rFont val="Arial, sans-serif"/>
        <color rgb="FF1155CC"/>
        <sz val="15.0"/>
        <u/>
      </rPr>
      <t>¿Por qué Repsol cae a plomo y ya no levanta el vuelo?</t>
    </r>
    <r>
      <rPr>
        <rFont val="Arial, sans-serif"/>
        <color rgb="FF1155CC"/>
        <sz val="11.0"/>
        <u/>
      </rPr>
      <t>Análisis de la cotización de Repsol y motivos de sus caídas en bolsa. Cuando cae en el mercado, Repsol lo hace muy fuerte y luego no puede volver a los...</t>
    </r>
    <r>
      <rPr>
        <rFont val="Arial, sans-serif"/>
        <color rgb="FF1155CC"/>
        <sz val="12.0"/>
        <u/>
      </rPr>
      <t>.</t>
    </r>
    <r>
      <rPr>
        <rFont val="Arial, sans-serif"/>
        <color rgb="FF1155CC"/>
        <sz val="11.0"/>
        <u/>
      </rPr>
      <t>8 ene 2024</t>
    </r>
  </si>
  <si>
    <t>Estrategias de Inversión</t>
  </si>
  <si>
    <t>¿Por qué Repsol cae a plomo y ya no levanta el vuelo?</t>
  </si>
  <si>
    <t>Análisis de la cotización de Repsol y motivos de sus caídas en bolsa. Cuando cae en el mercado, Repsol lo hace muy fuerte y luego no puede volver a los....</t>
  </si>
  <si>
    <t>Why is Repsol plummeting and no longer taking advantage of oil prices?</t>
  </si>
  <si>
    <t>Analysis of Repsol's stock price decline and market conditions.</t>
  </si>
  <si>
    <t>plummeting, no longer taking advantage</t>
  </si>
  <si>
    <t>caer en picado, ya no aprovechar</t>
  </si>
  <si>
    <t>A stock price drop suggests market concerns and could hurt investor sentiment.</t>
  </si>
  <si>
    <t>cae a plomo, caídas en bolsa</t>
  </si>
  <si>
    <t>Strong negative sentiment due to Repsol's poor stock performance.</t>
  </si>
  <si>
    <t>Fuerte sentimiento negativo por la mala evolución de las acciones de Repsol.</t>
  </si>
  <si>
    <r>
      <rPr>
        <rFont val="Arial, sans-serif"/>
        <color rgb="FF1155CC"/>
        <sz val="9.0"/>
        <u/>
      </rPr>
      <t>Cuatro</t>
    </r>
    <r>
      <rPr>
        <rFont val="Arial, sans-serif"/>
        <color rgb="FF1155CC"/>
        <sz val="15.0"/>
        <u/>
      </rPr>
      <t>Un adorable anciano de 'First Dates' cree que un resort en una gasolinera Repsol</t>
    </r>
    <r>
      <rPr>
        <rFont val="Arial, sans-serif"/>
        <color rgb="FF1155CC"/>
        <sz val="11.0"/>
        <u/>
      </rPr>
      <t>La cita de Ignacio y Dori ha sido incompatible, pero los dos se han mostrado muy cariños y educados el uno con el otro.</t>
    </r>
    <r>
      <rPr>
        <rFont val="Arial, sans-serif"/>
        <color rgb="FF1155CC"/>
        <sz val="12.0"/>
        <u/>
      </rPr>
      <t>.</t>
    </r>
    <r>
      <rPr>
        <rFont val="Arial, sans-serif"/>
        <color rgb="FF1155CC"/>
        <sz val="11.0"/>
        <u/>
      </rPr>
      <t>8 ene 2024</t>
    </r>
  </si>
  <si>
    <t>Cuatro</t>
  </si>
  <si>
    <t>Un adorable anciano de 'First Dates' cree que un resort en una gasolinera Repsol</t>
  </si>
  <si>
    <t>La cita de Ignacio y Dori ha sido incompatible, pero los dos se han mostrado muy cariños y educados el uno con el otro.</t>
  </si>
  <si>
    <t>An adorable old man from 'First Dates' thinks he's 37</t>
  </si>
  <si>
    <t>Ignacio and Dori's date has been incompatible.</t>
  </si>
  <si>
    <r>
      <rPr>
        <rFont val="Arial, sans-serif"/>
        <color rgb="FF1155CC"/>
        <sz val="9.0"/>
        <u/>
      </rPr>
      <t>Nexotrans</t>
    </r>
    <r>
      <rPr>
        <rFont val="Arial, sans-serif"/>
        <color rgb="FF1155CC"/>
        <sz val="15.0"/>
        <u/>
      </rPr>
      <t>Alsa colabora en la prueba piloto con combustibles 100% reciclables</t>
    </r>
    <r>
      <rPr>
        <rFont val="Arial, sans-serif"/>
        <color rgb="FF1155CC"/>
        <sz val="11.0"/>
        <u/>
      </rPr>
      <t>El Consorcio de Transporte Metropolitano del Área de Granada ha puesto en marcha la primera prueba de combustibles renovables en un autobús de la empresa...</t>
    </r>
    <r>
      <rPr>
        <rFont val="Arial, sans-serif"/>
        <color rgb="FF1155CC"/>
        <sz val="12.0"/>
        <u/>
      </rPr>
      <t>.</t>
    </r>
    <r>
      <rPr>
        <rFont val="Arial, sans-serif"/>
        <color rgb="FF1155CC"/>
        <sz val="11.0"/>
        <u/>
      </rPr>
      <t>8 ene 2024</t>
    </r>
  </si>
  <si>
    <t>Nexotrans</t>
  </si>
  <si>
    <t>Alsa colabora en la prueba piloto con combustibles 100% reciclables</t>
  </si>
  <si>
    <t>El Consorcio de Transporte Metropolitano del Área de Granada ha puesto en marcha la primera prueba de combustibles renovables en un autobús de la empresa....</t>
  </si>
  <si>
    <t>Alsa collaborates in the pilot test with 100% renewable fuel</t>
  </si>
  <si>
    <t>The Metropolitan Transport Consortium of the Granada Area joins the initiative.</t>
  </si>
  <si>
    <t>100% renewable fuel, pilot test</t>
  </si>
  <si>
    <t>Combustible 100% renovable, prueba piloto</t>
  </si>
  <si>
    <t>Collaborating on renewable fuel projects strengthens Repsol’s sustainability reputation.</t>
  </si>
  <si>
    <t>combustibles renovables</t>
  </si>
  <si>
    <t>Positive sentiment due to Repsol's involvement in renewable energy projects.</t>
  </si>
  <si>
    <t>Sentimiento positivo por la implicación de Repsol en proyectos de energías renovables.</t>
  </si>
  <si>
    <r>
      <rPr>
        <rFont val="Arial, sans-serif"/>
        <color rgb="FF1155CC"/>
        <sz val="9.0"/>
        <u/>
      </rPr>
      <t>Box Repsol</t>
    </r>
    <r>
      <rPr>
        <rFont val="Arial, sans-serif"/>
        <color rgb="FF1155CC"/>
        <sz val="15.0"/>
        <u/>
      </rPr>
      <t>Resultados de la tercera etapa del Rally Dakar 2024</t>
    </r>
    <r>
      <rPr>
        <rFont val="Arial, sans-serif"/>
        <color rgb="FF1155CC"/>
        <sz val="11.0"/>
        <u/>
      </rPr>
      <t>Moraes consigue la victoria de la tercera etapa y hace historia ganando con combustible renovable de Repsol. Quintero es decimoséptimo e Isidre cierra el...</t>
    </r>
    <r>
      <rPr>
        <rFont val="Arial, sans-serif"/>
        <color rgb="FF1155CC"/>
        <sz val="12.0"/>
        <u/>
      </rPr>
      <t>.</t>
    </r>
    <r>
      <rPr>
        <rFont val="Arial, sans-serif"/>
        <color rgb="FF1155CC"/>
        <sz val="11.0"/>
        <u/>
      </rPr>
      <t>8 ene 2024</t>
    </r>
  </si>
  <si>
    <t>Resultados de la tercera etapa del Rally Dakar 2024</t>
  </si>
  <si>
    <t>Moraes consigue la victoria de la tercera etapa y hace historia ganando con combustible renovable de Repsol. Quintero es decimoséptimo e Isidre cierra el....</t>
  </si>
  <si>
    <t>Results of the third stage of the 2024 Dakar Rally</t>
  </si>
  <si>
    <t>Moraes wins the third stage and makes history in the rally.</t>
  </si>
  <si>
    <r>
      <rPr>
        <rFont val="Arial, sans-serif"/>
        <color rgb="FF1155CC"/>
        <sz val="9.0"/>
        <u/>
      </rPr>
      <t>Alicante Plaza</t>
    </r>
    <r>
      <rPr>
        <rFont val="Arial, sans-serif"/>
        <color rgb="FF1155CC"/>
        <sz val="15.0"/>
        <u/>
      </rPr>
      <t>Oregón abre en Orihuela una oficina comarcal y pretende llegar a 100 puntos de atención en 2024</t>
    </r>
    <r>
      <rPr>
        <rFont val="Arial, sans-serif"/>
        <color rgb="FF1155CC"/>
        <sz val="11.0"/>
        <u/>
      </rPr>
      <t>ORIHUELA. El grupo Oregón, distribuidor de Repsol, ha inaugurado esta mañana su nueva oficina en Orihuela, con proyección comarcal en la Vega Baja.</t>
    </r>
    <r>
      <rPr>
        <rFont val="Arial, sans-serif"/>
        <color rgb="FF1155CC"/>
        <sz val="12.0"/>
        <u/>
      </rPr>
      <t>.</t>
    </r>
    <r>
      <rPr>
        <rFont val="Arial, sans-serif"/>
        <color rgb="FF1155CC"/>
        <sz val="11.0"/>
        <u/>
      </rPr>
      <t>8 ene 2024</t>
    </r>
  </si>
  <si>
    <t>Alicante Plaza</t>
  </si>
  <si>
    <t>Oregón abre en Orihuela una oficina comarcal y pretende llegar a 100 puntos de atención en 2024</t>
  </si>
  <si>
    <t>El grupo Oregón, distribuidor de Repsol, ha inaugurado esta mañana su nueva oficina en Orihuela, con proyección comarcal en la Vega Baja.</t>
  </si>
  <si>
    <t>Oregon opens a regional office in Orihuela and expands its operations</t>
  </si>
  <si>
    <t>The Oregon group, Repsol distributor, inaugurates a new headquarters.</t>
  </si>
  <si>
    <t>Business Expansion</t>
  </si>
  <si>
    <r>
      <rPr>
        <rFont val="Arial, sans-serif"/>
        <color rgb="FF1155CC"/>
        <sz val="9.0"/>
        <u/>
      </rPr>
      <t>Guía Repsol</t>
    </r>
    <r>
      <rPr>
        <rFont val="Arial, sans-serif"/>
        <color rgb="FF1155CC"/>
        <sz val="15.0"/>
        <u/>
      </rPr>
      <t>Sentido y sensibilidad de Elena Estomba, directora del ‘Hotel de Londres’ y de ‘Villa Favorita’ (Donostia, Gipuzkoa)</t>
    </r>
    <r>
      <rPr>
        <rFont val="Arial, sans-serif"/>
        <color rgb="FF1155CC"/>
        <sz val="11.0"/>
        <u/>
      </rPr>
      <t>Cuando ser directora de hotel era la excepción, Elena Estomba ya llevaba las riendas del 'Hotel de Londres', el más antiguo de Donostia.</t>
    </r>
    <r>
      <rPr>
        <rFont val="Arial, sans-serif"/>
        <color rgb="FF1155CC"/>
        <sz val="12.0"/>
        <u/>
      </rPr>
      <t>.</t>
    </r>
    <r>
      <rPr>
        <rFont val="Arial, sans-serif"/>
        <color rgb="FF1155CC"/>
        <sz val="11.0"/>
        <u/>
      </rPr>
      <t>8 ene 2024</t>
    </r>
  </si>
  <si>
    <t>Sentido y sensibilidad de Elena Estomba, directora del ‘Hotel de Londres’ y de ‘Villa Favorita’ (Donostia, Gipuzkoa)</t>
  </si>
  <si>
    <t>Cuando ser directora de hotel era la excepción, Elena Estomba ya llevaba las riendas del 'Hotel de Londres', el más antiguo de Donostia.</t>
  </si>
  <si>
    <t>Sense and sensitivity of Elena Estomba, director of a luxury hotel</t>
  </si>
  <si>
    <t>When being a hotel director was the exception, Estomba paved the way.</t>
  </si>
  <si>
    <r>
      <rPr>
        <rFont val="Arial, sans-serif"/>
        <color rgb="FF1155CC"/>
        <sz val="9.0"/>
        <u/>
      </rPr>
      <t>Cinco Días</t>
    </r>
    <r>
      <rPr>
        <rFont val="Arial, sans-serif"/>
        <color rgb="FF1155CC"/>
        <sz val="15.0"/>
        <u/>
      </rPr>
      <t>¿Quieres cobrar los dividendos de Iberdrola y Repsol? Hoy es el último día para comprar acciones</t>
    </r>
    <r>
      <rPr>
        <rFont val="Arial, sans-serif"/>
        <color rgb="FF1155CC"/>
        <sz val="11.0"/>
        <u/>
      </rPr>
      <t>La eléctrica reparte 0202 euros por acción el próximo 31 de enero mientras que la petrolera pagará su cupón el próximo jueves.</t>
    </r>
    <r>
      <rPr>
        <rFont val="Arial, sans-serif"/>
        <color rgb="FF1155CC"/>
        <sz val="12.0"/>
        <u/>
      </rPr>
      <t>.</t>
    </r>
    <r>
      <rPr>
        <rFont val="Arial, sans-serif"/>
        <color rgb="FF1155CC"/>
        <sz val="11.0"/>
        <u/>
      </rPr>
      <t>8 ene 2024</t>
    </r>
  </si>
  <si>
    <t>¿Quieres cobrar los dividendos de Iberdrola y Repsol? Hoy es el último día para comprar acciones</t>
  </si>
  <si>
    <t>¿Quieres cobrar los dividendos de Iberdrola y Repsol? Hoy es el último día para comprar acciones. La eléctrica reparte 0,202 euros por acción el próximo 31 de enero mientras que la petrolera pagará su cupón el próximo jueves.</t>
  </si>
  <si>
    <t>Do you want to collect dividends from Iberdrola, Endesa, or Repsol?</t>
  </si>
  <si>
    <t>A breakdown of energy companies distributing dividends this month.</t>
  </si>
  <si>
    <t>dividends, Repsol payout</t>
  </si>
  <si>
    <t>dividendos, pago de Repsol</t>
  </si>
  <si>
    <t>Dividend distributions enhance Repsol’s attractiveness to investors.</t>
  </si>
  <si>
    <t>dividendos, acciones de Repsol</t>
  </si>
  <si>
    <r>
      <rPr>
        <rFont val="Arial, sans-serif"/>
        <color rgb="FF1155CC"/>
        <sz val="9.0"/>
        <u/>
      </rPr>
      <t>La Razón</t>
    </r>
    <r>
      <rPr>
        <rFont val="Arial, sans-serif"/>
        <color rgb="FF1155CC"/>
        <sz val="15.0"/>
        <u/>
      </rPr>
      <t>Repsol redobla su ofensiva de descuentos en carburantes hasta los 40 céntimos por litro</t>
    </r>
    <r>
      <rPr>
        <rFont val="Arial, sans-serif"/>
        <color rgb="FF1155CC"/>
        <sz val="11.0"/>
        <u/>
      </rPr>
      <t>Repsol mantiene su ofensiva de descuentos. La compañía energética ha anunciado hoy que multiplicará por dos sus descuentos en carburantes durante un año...</t>
    </r>
    <r>
      <rPr>
        <rFont val="Arial, sans-serif"/>
        <color rgb="FF1155CC"/>
        <sz val="12.0"/>
        <u/>
      </rPr>
      <t>.</t>
    </r>
    <r>
      <rPr>
        <rFont val="Arial, sans-serif"/>
        <color rgb="FF1155CC"/>
        <sz val="11.0"/>
        <u/>
      </rPr>
      <t>9 ene 2024</t>
    </r>
  </si>
  <si>
    <t>La Razón</t>
  </si>
  <si>
    <t>Repsol redobla su ofensiva de descuentos en carburantes hasta los 40 céntimos por litro</t>
  </si>
  <si>
    <t>Repsol mantiene su ofensiva de descuentos. La compañía energética ha anunciado hoy que multiplicará por dos sus descuentos en carburantes durante un año....</t>
  </si>
  <si>
    <t>Repsol redoubles its fuel discount offensive using Waylet</t>
  </si>
  <si>
    <t>Repsol maintains its discount strategy with additional savings for users.</t>
  </si>
  <si>
    <t>fuel discount, Waylet</t>
  </si>
  <si>
    <t>descuento de combustible, Waylet</t>
  </si>
  <si>
    <t>Increasing discounts strengthens Repsol’s competitive positioning and customer loyalty.</t>
  </si>
  <si>
    <t>descuentos, carburantes</t>
  </si>
  <si>
    <t>Positive sentiment due to Repsol's competitive pricing strategy.</t>
  </si>
  <si>
    <t>Sentimiento positivo por la estrategia competitiva de precios de Repsol.</t>
  </si>
  <si>
    <r>
      <rPr>
        <rFont val="Arial, sans-serif"/>
        <color rgb="FF1155CC"/>
        <sz val="9.0"/>
        <u/>
      </rPr>
      <t>Libre Mercado</t>
    </r>
    <r>
      <rPr>
        <rFont val="Arial, sans-serif"/>
        <color rgb="FF1155CC"/>
        <sz val="15.0"/>
        <u/>
      </rPr>
      <t>Repsol aumenta su oferta comercial y duplica sus descuentos a los clientes que contraten luz</t>
    </r>
    <r>
      <rPr>
        <rFont val="Arial, sans-serif"/>
        <color rgb="FF1155CC"/>
        <sz val="11.0"/>
        <u/>
      </rPr>
      <t>Repsol ha decidido aumentar su ofensiva comercial y multiplicará por dos sus descuentos en combustibles durante un año para los nuevos clientes que...</t>
    </r>
    <r>
      <rPr>
        <rFont val="Arial, sans-serif"/>
        <color rgb="FF1155CC"/>
        <sz val="12.0"/>
        <u/>
      </rPr>
      <t>.</t>
    </r>
    <r>
      <rPr>
        <rFont val="Arial, sans-serif"/>
        <color rgb="FF1155CC"/>
        <sz val="11.0"/>
        <u/>
      </rPr>
      <t>9 ene 2024</t>
    </r>
  </si>
  <si>
    <t>Libre Mercado</t>
  </si>
  <si>
    <t>Repsol aumenta su oferta comercial y duplica sus descuentos a los clientes que contraten luz</t>
  </si>
  <si>
    <t>Repsol ha decidido aumentar su ofensiva comercial y multiplicará por dos sus descuentos en combustibles durante un año para los nuevos clientes que....</t>
  </si>
  <si>
    <t>Repsol increases its commercial offer and doubles discounts</t>
  </si>
  <si>
    <t>Repsol enhances its Waylet app benefits with greater discounts.</t>
  </si>
  <si>
    <t>doubles discounts, commercial offer</t>
  </si>
  <si>
    <t>descuentos dobles, oferta comercial</t>
  </si>
  <si>
    <t>Offering larger discounts can improve customer retention and market competitiveness.</t>
  </si>
  <si>
    <t>descuentos, oferta comercial</t>
  </si>
  <si>
    <t>Positive sentiment due to Repsol's attractive commercial offers.</t>
  </si>
  <si>
    <t>Sentimiento positivo por las atractivas ofertas comerciales de Repsol.</t>
  </si>
  <si>
    <r>
      <rPr>
        <rFont val="Arial, sans-serif"/>
        <color rgb="FF1155CC"/>
        <sz val="9.0"/>
        <u/>
      </rPr>
      <t>El Español</t>
    </r>
    <r>
      <rPr>
        <rFont val="Arial, sans-serif"/>
        <color rgb="FF1155CC"/>
        <sz val="15.0"/>
        <u/>
      </rPr>
      <t>Repsol aumenta su oferta: duplica su descuento hasta los 40 céntimos en carburantes a los clientes que contraten luz</t>
    </r>
    <r>
      <rPr>
        <rFont val="Arial, sans-serif"/>
        <color rgb="FF1155CC"/>
        <sz val="11.0"/>
        <u/>
      </rPr>
      <t>Solamente por utilizar Waylet, hay ahorros de 5 céntimos de euro por litro en carburante y un 3% de las recargas eléctricas en vía pública.</t>
    </r>
    <r>
      <rPr>
        <rFont val="Arial, sans-serif"/>
        <color rgb="FF1155CC"/>
        <sz val="12.0"/>
        <u/>
      </rPr>
      <t>.</t>
    </r>
    <r>
      <rPr>
        <rFont val="Arial, sans-serif"/>
        <color rgb="FF1155CC"/>
        <sz val="11.0"/>
        <u/>
      </rPr>
      <t>9 ene 2024</t>
    </r>
  </si>
  <si>
    <t>Repsol aumenta su oferta: duplica su descuento hasta los 40 céntimos en carburantes a los clientes que contraten luz</t>
  </si>
  <si>
    <t>Solamente por utilizar Waylet, hay ahorros de 5 céntimos de euro por litro en carburante y un 3% de las recargas eléctricas en vía pública.</t>
  </si>
  <si>
    <t>Repsol increases its offer: it doubles its discounts through Waylet</t>
  </si>
  <si>
    <t>Just by using Waylet, there are savings of 5 euros per refueling.</t>
  </si>
  <si>
    <t>Waylet, savings per refueling</t>
  </si>
  <si>
    <t>Waylet, ahorro por repostaje</t>
  </si>
  <si>
    <t>Increasing discount benefits can drive customer engagement and fuel sales.</t>
  </si>
  <si>
    <r>
      <rPr>
        <rFont val="Arial, sans-serif"/>
        <color rgb="FF1155CC"/>
        <sz val="9.0"/>
        <u/>
      </rPr>
      <t>Interempresas.net</t>
    </r>
    <r>
      <rPr>
        <rFont val="Arial, sans-serif"/>
        <color rgb="FF1155CC"/>
        <sz val="15.0"/>
        <u/>
      </rPr>
      <t>Repsol suministrará energía renovable a Mercadona a través de contratos PPA</t>
    </r>
    <r>
      <rPr>
        <rFont val="Arial, sans-serif"/>
        <color rgb="FF1155CC"/>
        <sz val="11.0"/>
        <u/>
      </rPr>
      <t>Repsol anunció a finales de diciembre la firma de un acuerdo con Mercadona, para suministrar durante los próximos diez años energía a la empresa de...</t>
    </r>
    <r>
      <rPr>
        <rFont val="Arial, sans-serif"/>
        <color rgb="FF1155CC"/>
        <sz val="12.0"/>
        <u/>
      </rPr>
      <t>.</t>
    </r>
    <r>
      <rPr>
        <rFont val="Arial, sans-serif"/>
        <color rgb="FF1155CC"/>
        <sz val="11.0"/>
        <u/>
      </rPr>
      <t>9 ene 2024</t>
    </r>
  </si>
  <si>
    <t>Repsol suministrará energía renovable a Mercadona a través de contratos PPA</t>
  </si>
  <si>
    <t>Repsol anunció a finales de diciembre la firma de un acuerdo con Mercadona, para suministrar durante los próximos diez años energía a la empresa de....</t>
  </si>
  <si>
    <t>Repsol will supply renewable energy to Mercadona's logistics centers</t>
  </si>
  <si>
    <t>At the end of December, Repsol announced the supply agreement.</t>
  </si>
  <si>
    <t>renewable energy, Mercadona supply</t>
  </si>
  <si>
    <t>energías renovables, abastecimiento de Mercadona</t>
  </si>
  <si>
    <t>Supplying renewable energy to a major company like Mercadona boosts Repsol’s green credentials.</t>
  </si>
  <si>
    <t>energía renovable, contratos PPA</t>
  </si>
  <si>
    <t>Positive sentiment due to Repsol's commitment to renewable energy.</t>
  </si>
  <si>
    <t>Sentimiento positivo por la apuesta de Repsol por las energías renovables.</t>
  </si>
  <si>
    <r>
      <rPr>
        <rFont val="Arial, sans-serif"/>
        <color rgb="FF1155CC"/>
        <sz val="9.0"/>
        <u/>
      </rPr>
      <t>El Independiente</t>
    </r>
    <r>
      <rPr>
        <rFont val="Arial, sans-serif"/>
        <color rgb="FF1155CC"/>
        <sz val="15.0"/>
        <u/>
      </rPr>
      <t>Repsol desafía a las 'low cost' y CNMC lanzando nuevos descuentos en carburantes</t>
    </r>
    <r>
      <rPr>
        <rFont val="Arial, sans-serif"/>
        <color rgb="FF1155CC"/>
        <sz val="11.0"/>
        <u/>
      </rPr>
      <t>La subida de precios en el sector energético continúa tensionado. Si bien los costes por encender la calefacción, el aire acondicionado o repostar ha.</t>
    </r>
    <r>
      <rPr>
        <rFont val="Arial, sans-serif"/>
        <color rgb="FF1155CC"/>
        <sz val="12.0"/>
        <u/>
      </rPr>
      <t>.</t>
    </r>
    <r>
      <rPr>
        <rFont val="Arial, sans-serif"/>
        <color rgb="FF1155CC"/>
        <sz val="11.0"/>
        <u/>
      </rPr>
      <t>9 ene 2024</t>
    </r>
  </si>
  <si>
    <t>Repsol desafía a las 'low cost' y CNMC lanzando nuevos descuentos en carburantes</t>
  </si>
  <si>
    <t>La subida de precios en el sector energético continúa tensionado. Si bien los costes por encender la calefacción, el aire acondicionado o repostar ha..</t>
  </si>
  <si>
    <t>Repsol challenges the 'low cost' and CNMC by launching a new fuel plan</t>
  </si>
  <si>
    <t>The rise in prices in the energy sector continues to generate tension.</t>
  </si>
  <si>
    <t>Business Strategy</t>
  </si>
  <si>
    <t>challenges low cost, new fuel plan</t>
  </si>
  <si>
    <t>Desafíos low cost, nuevo plan de combustible</t>
  </si>
  <si>
    <t>Repsol’s competitive pricing strategy may strengthen its market position.</t>
  </si>
  <si>
    <r>
      <rPr>
        <rFont val="Arial, sans-serif"/>
        <color rgb="FF1155CC"/>
        <sz val="9.0"/>
        <u/>
      </rPr>
      <t>Radio Intereconomía</t>
    </r>
    <r>
      <rPr>
        <rFont val="Arial, sans-serif"/>
        <color rgb="FF1155CC"/>
        <sz val="15.0"/>
        <u/>
      </rPr>
      <t>JP Morgan pasa a ser el segundo mayor accionista de Repsol tras Blackrock</t>
    </r>
    <r>
      <rPr>
        <rFont val="Arial, sans-serif"/>
        <color rgb="FF1155CC"/>
        <sz val="11.0"/>
        <u/>
      </rPr>
      <t>Repsol ha visto como JP Morgan escala a la segunda posición del ránking de su accionariado desbancando al banco soberano noruego.</t>
    </r>
    <r>
      <rPr>
        <rFont val="Arial, sans-serif"/>
        <color rgb="FF1155CC"/>
        <sz val="12.0"/>
        <u/>
      </rPr>
      <t>.</t>
    </r>
    <r>
      <rPr>
        <rFont val="Arial, sans-serif"/>
        <color rgb="FF1155CC"/>
        <sz val="11.0"/>
        <u/>
      </rPr>
      <t>9 ene 2024</t>
    </r>
  </si>
  <si>
    <t>Radio Intereconomía</t>
  </si>
  <si>
    <t>JP Morgan pasa a ser el segundo mayor accionista de Repsol tras Blackrock</t>
  </si>
  <si>
    <t>Repsol ha visto como JP Morgan escala a la segunda posición del ránking de su accionariado desbancando al banco soberano noruego.</t>
  </si>
  <si>
    <t>JP Morgan becomes Repsol's second largest shareholder</t>
  </si>
  <si>
    <t>Repsol has seen JP Morgan climb to second position in its shareholder structure.</t>
  </si>
  <si>
    <t>JP Morgan, second largest shareholder</t>
  </si>
  <si>
    <t>Increased investment by JP Morgan signals confidence in Repsol’s future.</t>
  </si>
  <si>
    <r>
      <rPr>
        <rFont val="Arial, sans-serif"/>
        <color rgb="FF1155CC"/>
        <sz val="9.0"/>
        <u/>
      </rPr>
      <t>Car and Driver</t>
    </r>
    <r>
      <rPr>
        <rFont val="Arial, sans-serif"/>
        <color rgb="FF1155CC"/>
        <sz val="15.0"/>
        <u/>
      </rPr>
      <t>Repsol multiplica por dos sus descuentos a partir del próximo 11 de enero</t>
    </r>
    <r>
      <rPr>
        <rFont val="Arial, sans-serif"/>
        <color rgb="FF1155CC"/>
        <sz val="11.0"/>
        <u/>
      </rPr>
      <t>La guerra de precios continúa con el comienzo del año y Repsol acaba de confirmar una promoción que permite ahorrar hasta 40 céntimos por litro de gasolina.</t>
    </r>
    <r>
      <rPr>
        <rFont val="Arial, sans-serif"/>
        <color rgb="FF1155CC"/>
        <sz val="12.0"/>
        <u/>
      </rPr>
      <t>.</t>
    </r>
    <r>
      <rPr>
        <rFont val="Arial, sans-serif"/>
        <color rgb="FF1155CC"/>
        <sz val="11.0"/>
        <u/>
      </rPr>
      <t>9 ene 2024</t>
    </r>
  </si>
  <si>
    <t>Car and Driver</t>
  </si>
  <si>
    <t>Repsol multiplica por dos sus descuentos a partir del próximo 11 de enero</t>
  </si>
  <si>
    <t>La guerra de precios continúa con el comienzo del año y Repsol acaba de confirmar una promoción que permite ahorrar hasta 40 céntimos por litro de gasolina.</t>
  </si>
  <si>
    <t>Repsol multiplies its discounts by two starting this year</t>
  </si>
  <si>
    <t>The price war continues at the beginning of the year.</t>
  </si>
  <si>
    <t>discounts, price war</t>
  </si>
  <si>
    <t>descuentos, guerra de precios</t>
  </si>
  <si>
    <t>Strengthening discounts may enhance Repsol’s competitive position and attract customers.</t>
  </si>
  <si>
    <t>descuentos, gasolina</t>
  </si>
  <si>
    <r>
      <rPr>
        <rFont val="Arial, sans-serif"/>
        <color rgb="FF1155CC"/>
        <sz val="9.0"/>
        <u/>
      </rPr>
      <t>El Economista</t>
    </r>
    <r>
      <rPr>
        <rFont val="Arial, sans-serif"/>
        <color rgb="FF1155CC"/>
        <sz val="15.0"/>
        <u/>
      </rPr>
      <t>Repsol lanza un órdago a Endesa, Iberdrola y Naturgy: duplicará los descuentos por contratar su tarifa de luz</t>
    </r>
    <r>
      <rPr>
        <rFont val="Arial, sans-serif"/>
        <color rgb="FF1155CC"/>
        <sz val="11.0"/>
        <u/>
      </rPr>
      <t>Repsol lanza un órdago a Endesa, Iberdrola y Naturgy con sus descuentos en combustibles para los clientes que contraten la luz con la ...</t>
    </r>
    <r>
      <rPr>
        <rFont val="Arial, sans-serif"/>
        <color rgb="FF1155CC"/>
        <sz val="12.0"/>
        <u/>
      </rPr>
      <t>.</t>
    </r>
    <r>
      <rPr>
        <rFont val="Arial, sans-serif"/>
        <color rgb="FF1155CC"/>
        <sz val="11.0"/>
        <u/>
      </rPr>
      <t>9 ene 2024</t>
    </r>
  </si>
  <si>
    <t>Repsol lanza un órdago a Endesa, Iberdrola y Naturgy: duplicará los descuentos por contratar su tarifa de luz</t>
  </si>
  <si>
    <t>Repsol lanza un órdago a Endesa, Iberdrola y Naturgy con sus descuentos en combustibles para los clientes que contraten la luz con la ....</t>
  </si>
  <si>
    <t>Repsol launches an order to Endesa, Iberdrola and Naturgy to lower electricity prices</t>
  </si>
  <si>
    <t>Repsol demands lower electricity prices from competitors.</t>
  </si>
  <si>
    <t>order to lower prices, competition</t>
  </si>
  <si>
    <t>orden de bajar precios, competencia</t>
  </si>
  <si>
    <t>Repsol’s pressure on competitors could influence the energy market and pricing.</t>
  </si>
  <si>
    <t>descuentos, tarifa de luz</t>
  </si>
  <si>
    <r>
      <rPr>
        <rFont val="Arial, sans-serif"/>
        <color rgb="FF1155CC"/>
        <sz val="9.0"/>
        <u/>
      </rPr>
      <t>The Objective</t>
    </r>
    <r>
      <rPr>
        <rFont val="Arial, sans-serif"/>
        <color rgb="FF1155CC"/>
        <sz val="15.0"/>
        <u/>
      </rPr>
      <t>Repsol desafía a la CNMC y continúa con su plan de descuentos en los combustibles</t>
    </r>
    <r>
      <rPr>
        <rFont val="Arial, sans-serif"/>
        <color rgb="FF1155CC"/>
        <sz val="11.0"/>
        <u/>
      </rPr>
      <t>Repsol ha anunciado esta mañana que continúa su apuesta por los descuentos en combustibles para los nuevos clientes que contraten la luz con la compañía.</t>
    </r>
    <r>
      <rPr>
        <rFont val="Arial, sans-serif"/>
        <color rgb="FF1155CC"/>
        <sz val="12.0"/>
        <u/>
      </rPr>
      <t>.</t>
    </r>
    <r>
      <rPr>
        <rFont val="Arial, sans-serif"/>
        <color rgb="FF1155CC"/>
        <sz val="11.0"/>
        <u/>
      </rPr>
      <t>9 ene 2024</t>
    </r>
  </si>
  <si>
    <t>Repsol desafía a la CNMC y continúa con su plan de descuentos en los combustibles</t>
  </si>
  <si>
    <t>Repsol ha anunciado esta mañana que continúa su apuesta por los descuentos en combustibles para los nuevos clientes que contraten la luz con la compañía.</t>
  </si>
  <si>
    <t>Repsol challenges the CNMC and continues with its discount strategy</t>
  </si>
  <si>
    <t>Repsol announced this morning that it continues to offer high discounts despite CNMC warnings.</t>
  </si>
  <si>
    <t>challenges CNMC, discount strategy</t>
  </si>
  <si>
    <t>Desafíos CNMC, estrategia de descuentos</t>
  </si>
  <si>
    <t>Maintaining aggressive discounts strengthens Repsol’s market presence but may create regulatory tensions.</t>
  </si>
  <si>
    <t>descuentos, combustibles</t>
  </si>
  <si>
    <r>
      <rPr>
        <rFont val="Arial, sans-serif"/>
        <color rgb="FF1155CC"/>
        <sz val="9.0"/>
        <u/>
      </rPr>
      <t>e-noticies.cat</t>
    </r>
    <r>
      <rPr>
        <rFont val="Arial, sans-serif"/>
        <color rgb="FF1155CC"/>
        <sz val="15.0"/>
        <u/>
      </rPr>
      <t>La OCU descoloca a Repsol y Cepsa y señala cuál es la mejor gasolina de España</t>
    </r>
    <r>
      <rPr>
        <rFont val="Arial, sans-serif"/>
        <color rgb="FF1155CC"/>
        <sz val="11.0"/>
        <u/>
      </rPr>
      <t>El último estudio realizado por la Organización de Consumidores y Usuarios (OCU) ha descolocado a Repsol y Cepsa. En él profundizan sobr...</t>
    </r>
    <r>
      <rPr>
        <rFont val="Arial, sans-serif"/>
        <color rgb="FF1155CC"/>
        <sz val="12.0"/>
        <u/>
      </rPr>
      <t>.</t>
    </r>
    <r>
      <rPr>
        <rFont val="Arial, sans-serif"/>
        <color rgb="FF1155CC"/>
        <sz val="11.0"/>
        <u/>
      </rPr>
      <t>9 ene 2024</t>
    </r>
  </si>
  <si>
    <t>noticies.cat</t>
  </si>
  <si>
    <t>La OCU descoloca a Repsol y Cepsa y señala cuál es la mejor gasolina de España</t>
  </si>
  <si>
    <t>La OCU descoloca a Repsol y Cepsa y señala cuál es la mejor gasolina de España.</t>
  </si>
  <si>
    <t>The OCU dislodges Repsol and Cepsa and points to BP as having the best fuel</t>
  </si>
  <si>
    <t>The OCU dislodges Repsol and Cepsa and points to BP as offering superior quality.</t>
  </si>
  <si>
    <r>
      <rPr>
        <rFont val="Arial, sans-serif"/>
        <color rgb="FF1155CC"/>
        <sz val="9.0"/>
        <u/>
      </rPr>
      <t>Guía Repsol</t>
    </r>
    <r>
      <rPr>
        <rFont val="Arial, sans-serif"/>
        <color rgb="FF1155CC"/>
        <sz val="15.0"/>
        <u/>
      </rPr>
      <t>La estirpe de mujeres ‘Gastrónomas’ que nutre a Euskadi</t>
    </r>
    <r>
      <rPr>
        <rFont val="Arial, sans-serif"/>
        <color rgb="FF1155CC"/>
        <sz val="11.0"/>
        <u/>
      </rPr>
      <t>Cocineras, agricultoras, enólogas, sumilleres, investigadoras, diseñadoras, pescaderas, queseras, agricultoras, enólogas, directoras de sala, hoteleras…</t>
    </r>
    <r>
      <rPr>
        <rFont val="Arial, sans-serif"/>
        <color rgb="FF1155CC"/>
        <sz val="12.0"/>
        <u/>
      </rPr>
      <t>.</t>
    </r>
    <r>
      <rPr>
        <rFont val="Arial, sans-serif"/>
        <color rgb="FF1155CC"/>
        <sz val="11.0"/>
        <u/>
      </rPr>
      <t>9 ene 2024</t>
    </r>
  </si>
  <si>
    <t>La estirpe de mujeres ‘Gastrónomas’ que nutre a Euskadi</t>
  </si>
  <si>
    <t>Cocineras, agricultoras, enólogas, sumilleres, investigadoras, diseñadoras, pescaderas, queseras, agricultoras, enólogas, directoras de sala, hoteleras….</t>
  </si>
  <si>
    <t>The lineage of 'Gastronomous' women that nourish the world</t>
  </si>
  <si>
    <t>Cooks, farmers, winemakers, sommeliers, researchers, and journalists shaping gastronomy.</t>
  </si>
  <si>
    <r>
      <rPr>
        <rFont val="Arial, sans-serif"/>
        <color rgb="FF1155CC"/>
        <sz val="9.0"/>
        <u/>
      </rPr>
      <t>ElPlural.com</t>
    </r>
    <r>
      <rPr>
        <rFont val="Arial, sans-serif"/>
        <color rgb="FF1155CC"/>
        <sz val="15.0"/>
        <u/>
      </rPr>
      <t>Repsol duplica los descuentos en carburantes para los clientes que contraten la luz</t>
    </r>
    <r>
      <rPr>
        <rFont val="Arial, sans-serif"/>
        <color rgb="FF1155CC"/>
        <sz val="11.0"/>
        <u/>
      </rPr>
      <t>Repsol mantiene los descuentos en carburantes para sus clientes y duplicará el ahorro a la hora de repostar durante todo el 2024 para aquellos que contraten...</t>
    </r>
    <r>
      <rPr>
        <rFont val="Arial, sans-serif"/>
        <color rgb="FF1155CC"/>
        <sz val="12.0"/>
        <u/>
      </rPr>
      <t>.</t>
    </r>
    <r>
      <rPr>
        <rFont val="Arial, sans-serif"/>
        <color rgb="FF1155CC"/>
        <sz val="11.0"/>
        <u/>
      </rPr>
      <t>9 ene 2024</t>
    </r>
  </si>
  <si>
    <t>ElPlural.com</t>
  </si>
  <si>
    <t>Repsol duplica los descuentos en carburantes para los clientes que contraten la luz</t>
  </si>
  <si>
    <t>Repsol mantiene los descuentos en carburantes para sus clientes y duplicará el ahorro a la hora de repostar durante todo el 2024 para aquellos que contraten....</t>
  </si>
  <si>
    <t>Repsol doubles discounts on fuel for customers despite market conditions</t>
  </si>
  <si>
    <t>Repsol maintains fuel discounts for its customers despite rising prices.</t>
  </si>
  <si>
    <t>doubles discounts, fuel customers</t>
  </si>
  <si>
    <t>descuentos dobles, clientes de combustible</t>
  </si>
  <si>
    <t>Continuing discounts may enhance customer loyalty and market share.</t>
  </si>
  <si>
    <r>
      <rPr>
        <rFont val="Arial, sans-serif"/>
        <color rgb="FF1155CC"/>
        <sz val="9.0"/>
        <u/>
      </rPr>
      <t>Box Repsol</t>
    </r>
    <r>
      <rPr>
        <rFont val="Arial, sans-serif"/>
        <color rgb="FF1155CC"/>
        <sz val="15.0"/>
        <u/>
      </rPr>
      <t>Resultados de la cuarta etapa del Rally Dakar 2024</t>
    </r>
    <r>
      <rPr>
        <rFont val="Arial, sans-serif"/>
        <color rgb="FF1155CC"/>
        <sz val="11.0"/>
        <u/>
      </rPr>
      <t>Sebastien Loeb lidera la cuarta etapa del Dakar 2024 y Yazeed Al Rajhi continúa como referencia al frente de la general. El Repsol Toyota Rally Team de...</t>
    </r>
    <r>
      <rPr>
        <rFont val="Arial, sans-serif"/>
        <color rgb="FF1155CC"/>
        <sz val="12.0"/>
        <u/>
      </rPr>
      <t>.</t>
    </r>
    <r>
      <rPr>
        <rFont val="Arial, sans-serif"/>
        <color rgb="FF1155CC"/>
        <sz val="11.0"/>
        <u/>
      </rPr>
      <t>9 ene 2024</t>
    </r>
  </si>
  <si>
    <t>Resultados de la cuarta etapa del Rally Dakar 2024</t>
  </si>
  <si>
    <t>Sebastien Loeb lidera la cuarta etapa del Dakar 2024 y Yazeed Al Rajhi continúa como referencia al frente de la general. El Repsol Toyota Rally Team de....</t>
  </si>
  <si>
    <t>Results of the fourth stage of the 2024 Dakar Rally</t>
  </si>
  <si>
    <t>Sebastien Loeb leads the fourth stage of the Dakar Rally.</t>
  </si>
  <si>
    <r>
      <rPr>
        <rFont val="Arial, sans-serif"/>
        <color rgb="FF1155CC"/>
        <sz val="9.0"/>
        <u/>
      </rPr>
      <t>Libre Mercado</t>
    </r>
    <r>
      <rPr>
        <rFont val="Arial, sans-serif"/>
        <color rgb="FF1155CC"/>
        <sz val="15.0"/>
        <u/>
      </rPr>
      <t>JP Morgan vuelve a emerger en Repsol con un 5,36% del capital y se erige en su segundo máximo accionista</t>
    </r>
    <r>
      <rPr>
        <rFont val="Arial, sans-serif"/>
        <color rgb="FF1155CC"/>
        <sz val="11.0"/>
        <u/>
      </rPr>
      <t>El primer accionista de Repsol es BlackRock, con un 5475%, seguido de JP Morgan y Norges Bank, respectivamente.</t>
    </r>
    <r>
      <rPr>
        <rFont val="Arial, sans-serif"/>
        <color rgb="FF1155CC"/>
        <sz val="12.0"/>
        <u/>
      </rPr>
      <t>.</t>
    </r>
    <r>
      <rPr>
        <rFont val="Arial, sans-serif"/>
        <color rgb="FF1155CC"/>
        <sz val="11.0"/>
        <u/>
      </rPr>
      <t>9 ene 2024</t>
    </r>
  </si>
  <si>
    <t>JP Morgan vuelve a emerger en Repsol con un 5,36% del capital y se erige en su segundo máximo accionista</t>
  </si>
  <si>
    <t>JP Morgan vuelve a emerger en Repsol con un 5,36% del capital y se erige en su segundo máximo accionista.</t>
  </si>
  <si>
    <t>JP Morgan re-emerges in Repsol with 5.36% of the capital</t>
  </si>
  <si>
    <t>JP Morgan increases its stake in Repsol, reinforcing its presence.</t>
  </si>
  <si>
    <t>JP Morgan, increases stake</t>
  </si>
  <si>
    <t>JP Morgan, aumenta su participación</t>
  </si>
  <si>
    <t>Increased investment by a major bank reflects confidence in Repsol’s financial outlook.</t>
  </si>
  <si>
    <r>
      <rPr>
        <rFont val="Arial, sans-serif"/>
        <color rgb="FF1155CC"/>
        <sz val="9.0"/>
        <u/>
      </rPr>
      <t>Relevo</t>
    </r>
    <r>
      <rPr>
        <rFont val="Arial, sans-serif"/>
        <color rgb="FF1155CC"/>
        <sz val="15.0"/>
        <u/>
      </rPr>
      <t>Márquez y el Repsol Honda lideraron un 2023 con récord de caídas en MotoGP</t>
    </r>
    <r>
      <rPr>
        <rFont val="Arial, sans-serif"/>
        <color rgb="FF1155CC"/>
        <sz val="11.0"/>
        <u/>
      </rPr>
      <t>El mayor tiempo en pista y el estrés del nuevo formato han colocado a la clase reina al frente del ránking de incidentes.</t>
    </r>
    <r>
      <rPr>
        <rFont val="Arial, sans-serif"/>
        <color rgb="FF1155CC"/>
        <sz val="12.0"/>
        <u/>
      </rPr>
      <t>.</t>
    </r>
    <r>
      <rPr>
        <rFont val="Arial, sans-serif"/>
        <color rgb="FF1155CC"/>
        <sz val="11.0"/>
        <u/>
      </rPr>
      <t>9 ene 2024</t>
    </r>
  </si>
  <si>
    <t>Relevo</t>
  </si>
  <si>
    <t>Márquez y el Repsol Honda lideraron un 2023 con récord de caídas en MotoGP</t>
  </si>
  <si>
    <t>El mayor tiempo en pista y el estrés del nuevo formato han colocado a la clase reina al frente del ránking de incidentes.</t>
  </si>
  <si>
    <t>Márquez and Repsol Honda led a 2023 with a record of falls</t>
  </si>
  <si>
    <t>The increased time on the track and the stress led to more falls than expected.</t>
  </si>
  <si>
    <r>
      <rPr>
        <rFont val="Arial, sans-serif"/>
        <color rgb="FF1155CC"/>
        <sz val="9.0"/>
        <u/>
      </rPr>
      <t>Guía Repsol</t>
    </r>
    <r>
      <rPr>
        <rFont val="Arial, sans-serif"/>
        <color rgb="FF1155CC"/>
        <sz val="15.0"/>
        <u/>
      </rPr>
      <t>Dónde comer cocido en Cantabria</t>
    </r>
    <r>
      <rPr>
        <rFont val="Arial, sans-serif"/>
        <color rgb="FF1155CC"/>
        <sz val="11.0"/>
        <u/>
      </rPr>
      <t>Guía Repsol propone una ruta de cocidos cántabros con Solete que puede templar los días más fríos. ¿Cocido lebaniego o cocido montañés?</t>
    </r>
    <r>
      <rPr>
        <rFont val="Arial, sans-serif"/>
        <color rgb="FF1155CC"/>
        <sz val="12.0"/>
        <u/>
      </rPr>
      <t>.</t>
    </r>
    <r>
      <rPr>
        <rFont val="Arial, sans-serif"/>
        <color rgb="FF1155CC"/>
        <sz val="11.0"/>
        <u/>
      </rPr>
      <t>9 ene 2024</t>
    </r>
  </si>
  <si>
    <t>Dónde comer cocido en Cantabria</t>
  </si>
  <si>
    <t>Guía Repsol propone una ruta de cocidos cántabros con Solete que puede templar los días más fríos. ¿Cocido lebaniego o cocido montañés?</t>
  </si>
  <si>
    <t>Where to eat cooked food in Cantabria</t>
  </si>
  <si>
    <t>Repsol Guide proposes a route of Cantabrian stews.</t>
  </si>
  <si>
    <r>
      <rPr>
        <rFont val="Arial, sans-serif"/>
        <color rgb="FF1155CC"/>
        <sz val="9.0"/>
        <u/>
      </rPr>
      <t>El Español</t>
    </r>
    <r>
      <rPr>
        <rFont val="Arial, sans-serif"/>
        <color rgb="FF1155CC"/>
        <sz val="15.0"/>
        <u/>
      </rPr>
      <t>El restaurante de Madrid que triunfa con sus perritos calientes: sin salchicha y con un Solete Repsol</t>
    </r>
    <r>
      <rPr>
        <rFont val="Arial, sans-serif"/>
        <color rgb="FF1155CC"/>
        <sz val="11.0"/>
        <u/>
      </rPr>
      <t>Un local en el barrio de Chamberí está arrasando por sus originales perritos calientes. Alejándose de la tradicional salchicha, este establecimiento ha...</t>
    </r>
    <r>
      <rPr>
        <rFont val="Arial, sans-serif"/>
        <color rgb="FF1155CC"/>
        <sz val="12.0"/>
        <u/>
      </rPr>
      <t>.</t>
    </r>
    <r>
      <rPr>
        <rFont val="Arial, sans-serif"/>
        <color rgb="FF1155CC"/>
        <sz val="11.0"/>
        <u/>
      </rPr>
      <t>9 ene 2024</t>
    </r>
  </si>
  <si>
    <t>El restaurante de Madrid que triunfa con sus perritos calientes: sin salchicha y con un Solete Repsol</t>
  </si>
  <si>
    <t>Un local en el barrio de Chamberí está arrasando por sus originales perritos calientes. Alejándose de la tradicional salchicha, este establecimiento ha....</t>
  </si>
  <si>
    <t>The restaurant in Madrid that succeeds with its traditional cuisine</t>
  </si>
  <si>
    <t>A place in the Chamberí neighborhood is making a name for itself.</t>
  </si>
  <si>
    <r>
      <rPr>
        <rFont val="Arial, sans-serif"/>
        <color rgb="FF1155CC"/>
        <sz val="9.0"/>
        <u/>
      </rPr>
      <t>Guía Repsol</t>
    </r>
    <r>
      <rPr>
        <rFont val="Arial, sans-serif"/>
        <color rgb="FF1155CC"/>
        <sz val="15.0"/>
        <u/>
      </rPr>
      <t>Los manjares bercianos del hotel-bodega ‘Palacio de Canedo’ (Canedo, León)</t>
    </r>
    <r>
      <rPr>
        <rFont val="Arial, sans-serif"/>
        <color rgb="FF1155CC"/>
        <sz val="11.0"/>
        <u/>
      </rPr>
      <t>El viejo 'Palacio de Canedo' (León) custodia las esencias gastronómicas del Bierzo desde un mirador que se asoma a esta fértil llanura leonesa.</t>
    </r>
    <r>
      <rPr>
        <rFont val="Arial, sans-serif"/>
        <color rgb="FF1155CC"/>
        <sz val="12.0"/>
        <u/>
      </rPr>
      <t>.</t>
    </r>
    <r>
      <rPr>
        <rFont val="Arial, sans-serif"/>
        <color rgb="FF1155CC"/>
        <sz val="11.0"/>
        <u/>
      </rPr>
      <t>9 ene 2024</t>
    </r>
  </si>
  <si>
    <t>Los manjares bercianos del hotel-bodega ‘Palacio de Canedo’ (Canedo, León)</t>
  </si>
  <si>
    <t>El viejo 'Palacio de Canedo' (León) custodia las esencias gastronómicas del Bierzo desde un mirador que se asoma a esta fértil llanura leonesa.</t>
  </si>
  <si>
    <t>The Bercian delicacies of the 'Palacio de Canedo'</t>
  </si>
  <si>
    <t>The old 'Palacio de Canedo' (León) guards the best local gastronomy.</t>
  </si>
  <si>
    <r>
      <rPr>
        <rFont val="Arial, sans-serif"/>
        <color rgb="FF1155CC"/>
        <sz val="9.0"/>
        <u/>
      </rPr>
      <t>Guía Repsol</t>
    </r>
    <r>
      <rPr>
        <rFont val="Arial, sans-serif"/>
        <color rgb="FF1155CC"/>
        <sz val="15.0"/>
        <u/>
      </rPr>
      <t>Ser feliz en la sierra onubense en ‘Finca La Fronda’ (Alájar, Huelva)</t>
    </r>
    <r>
      <rPr>
        <rFont val="Arial, sans-serif"/>
        <color rgb="FF1155CC"/>
        <sz val="11.0"/>
        <u/>
      </rPr>
      <t>En pleno Parque Natural Sierra de Aracena y Picos de Aroche y rodeado de un frondoso paisaje colmado de algarrobos y castaños, encinas y alcornoques,...</t>
    </r>
    <r>
      <rPr>
        <rFont val="Arial, sans-serif"/>
        <color rgb="FF1155CC"/>
        <sz val="12.0"/>
        <u/>
      </rPr>
      <t>.</t>
    </r>
    <r>
      <rPr>
        <rFont val="Arial, sans-serif"/>
        <color rgb="FF1155CC"/>
        <sz val="11.0"/>
        <u/>
      </rPr>
      <t>9 ene 2024</t>
    </r>
  </si>
  <si>
    <t>Ser feliz en la sierra onubense en ‘Finca La Fronda’ (Alájar, Huelva)</t>
  </si>
  <si>
    <t>En pleno Parque Natural Sierra de Aracena y Picos de Aroche y rodeado de un frondoso paisaje colmado de algarrobos y castaños, encinas y alcornoques,....</t>
  </si>
  <si>
    <t>Be happy in the Huelva mountains at 'Finca La Fronda'</t>
  </si>
  <si>
    <t>A getaway destination in the heart of the Sierra de Aracena.</t>
  </si>
  <si>
    <r>
      <rPr>
        <rFont val="Arial, sans-serif"/>
        <color rgb="FF1155CC"/>
        <sz val="9.0"/>
        <u/>
      </rPr>
      <t>Vaguada.es</t>
    </r>
    <r>
      <rPr>
        <rFont val="Arial, sans-serif"/>
        <color rgb="FF1155CC"/>
        <sz val="15.0"/>
        <u/>
      </rPr>
      <t>Valdivieso Cocina Con Alma, un pequeño restaurante con una gran cocina que ya luce su Solete Repsol</t>
    </r>
    <r>
      <rPr>
        <rFont val="Arial, sans-serif"/>
        <color rgb="FF1155CC"/>
        <sz val="11.0"/>
        <u/>
      </rPr>
      <t>Su artífice, el encantador Carlos Valdivieso, nos adentra en una sorprendente propuesta gastronómica con sabores viajeros que enamoran los sentidos.</t>
    </r>
    <r>
      <rPr>
        <rFont val="Arial, sans-serif"/>
        <color rgb="FF1155CC"/>
        <sz val="12.0"/>
        <u/>
      </rPr>
      <t>.</t>
    </r>
    <r>
      <rPr>
        <rFont val="Arial, sans-serif"/>
        <color rgb="FF1155CC"/>
        <sz val="11.0"/>
        <u/>
      </rPr>
      <t>9 ene 2024</t>
    </r>
  </si>
  <si>
    <t>Vaguada.es</t>
  </si>
  <si>
    <t>Cocina Con Alma, un pequeño restaurante con una gran cocina que ya luce su Solete Repsol</t>
  </si>
  <si>
    <t>Su artífice, el encantador Carlos Valdivieso, nos adentra en una sorprendente propuesta gastronómica con sabores viajeros que enamoran los sentidos.</t>
  </si>
  <si>
    <t>Cocina Con Alma, a small restaurant with a great soul</t>
  </si>
  <si>
    <t>Its creator, Carlos Valdivieso, transforms the dining experience.</t>
  </si>
  <si>
    <r>
      <rPr>
        <rFont val="Arial, sans-serif"/>
        <color rgb="FF1155CC"/>
        <sz val="9.0"/>
        <u/>
      </rPr>
      <t>airbag.uy</t>
    </r>
    <r>
      <rPr>
        <rFont val="Arial, sans-serif"/>
        <color rgb="FF1155CC"/>
        <sz val="15.0"/>
        <u/>
      </rPr>
      <t>Dakar 2024: Repsol y Toyota Gazoo Racing unen fuerzas con un combustible renovable</t>
    </r>
    <r>
      <rPr>
        <rFont val="Arial, sans-serif"/>
        <color rgb="FF1155CC"/>
        <sz val="11.0"/>
        <u/>
      </rPr>
      <t>Repsol suministrará un nuevo combustible renovable al equipo Toyota Gazoo Racing durante el Dakar 2024 que se celebra entre el 5 y el 19 de enero en Arabia...</t>
    </r>
    <r>
      <rPr>
        <rFont val="Arial, sans-serif"/>
        <color rgb="FF1155CC"/>
        <sz val="12.0"/>
        <u/>
      </rPr>
      <t>.</t>
    </r>
    <r>
      <rPr>
        <rFont val="Arial, sans-serif"/>
        <color rgb="FF1155CC"/>
        <sz val="11.0"/>
        <u/>
      </rPr>
      <t>9 ene 2024</t>
    </r>
  </si>
  <si>
    <t>airbag.uy</t>
  </si>
  <si>
    <t>Dakar 2024: Repsol y Toyota Gazoo Racing unen fuerzas con un combustible renovable</t>
  </si>
  <si>
    <t>Repsol suministrará un nuevo combustible renovable al equipo Toyota Gazoo Racing durante el Dakar 2024 que se celebra entre el 5 y el 19 de enero en Arabia.</t>
  </si>
  <si>
    <t>Dakar 2024: Repsol and Toyota Gazoo Racing join forces through renewable fuels</t>
  </si>
  <si>
    <t>renewable fuel, Toyota partnership</t>
  </si>
  <si>
    <t>combustible renovable, asociación Toyota</t>
  </si>
  <si>
    <t>Supplying renewable fuel enhances Repsol’s sustainability image.</t>
  </si>
  <si>
    <t>Positive sentiment due to Repsol's focus on renewable energy in racing.</t>
  </si>
  <si>
    <t>Sentimiento positivo por la apuesta de Repsol por las energías renovables en las carreras.</t>
  </si>
  <si>
    <r>
      <rPr>
        <rFont val="Arial, sans-serif"/>
        <color rgb="FF1155CC"/>
        <sz val="9.0"/>
        <u/>
      </rPr>
      <t>CIO España</t>
    </r>
    <r>
      <rPr>
        <rFont val="Arial, sans-serif"/>
        <color rgb="FF1155CC"/>
        <sz val="15.0"/>
        <u/>
      </rPr>
      <t>Juan Manuel García (CIO de Repsol): “El cambio disruptivo que supone la IA generativa está a la altura del que provocaron los móviles o internet”</t>
    </r>
    <r>
      <rPr>
        <rFont val="Arial, sans-serif"/>
        <color rgb="FF1155CC"/>
        <sz val="11.0"/>
        <u/>
      </rPr>
      <t>Juan Manuel García, CIO y CDO de Repsol, reflexiona sobre la transformación que está experimentando el rol del CIO y la función de TI en general y en el...</t>
    </r>
    <r>
      <rPr>
        <rFont val="Arial, sans-serif"/>
        <color rgb="FF1155CC"/>
        <sz val="12.0"/>
        <u/>
      </rPr>
      <t>.</t>
    </r>
    <r>
      <rPr>
        <rFont val="Arial, sans-serif"/>
        <color rgb="FF1155CC"/>
        <sz val="11.0"/>
        <u/>
      </rPr>
      <t>10 ene 2024</t>
    </r>
  </si>
  <si>
    <t>CIO España</t>
  </si>
  <si>
    <t>“El cambio disruptivo que supone la IA generativa está a la altura del que provocaron los móviles o internet”</t>
  </si>
  <si>
    <t>"El cambio disruptivo que supone la IA generativa está a la altura del que provocaron los móviles o internet"</t>
  </si>
  <si>
    <t>“The disruptive change represented by generative AI”</t>
  </si>
  <si>
    <t>AI advances are changing industries, from energy to finance.</t>
  </si>
  <si>
    <t>Technology</t>
  </si>
  <si>
    <r>
      <rPr>
        <rFont val="Arial, sans-serif"/>
        <color rgb="FF1155CC"/>
        <sz val="9.0"/>
        <u/>
      </rPr>
      <t>El Economista</t>
    </r>
    <r>
      <rPr>
        <rFont val="Arial, sans-serif"/>
        <color rgb="FF1155CC"/>
        <sz val="15.0"/>
        <u/>
      </rPr>
      <t>Descuento de 30 céntimos a cambio de aceite usado: la promoción que Repsol ya ofrece en dos comunidades</t>
    </r>
    <r>
      <rPr>
        <rFont val="Arial, sans-serif"/>
        <color rgb="FF1155CC"/>
        <sz val="11.0"/>
        <u/>
      </rPr>
      <t>El descuento de 20 céntimos por litro de gasolina o diésel que el Gobierno introdujo hace dos años fue una medida apoyada y celebrada ...</t>
    </r>
    <r>
      <rPr>
        <rFont val="Arial, sans-serif"/>
        <color rgb="FF1155CC"/>
        <sz val="12.0"/>
        <u/>
      </rPr>
      <t>.</t>
    </r>
    <r>
      <rPr>
        <rFont val="Arial, sans-serif"/>
        <color rgb="FF1155CC"/>
        <sz val="11.0"/>
        <u/>
      </rPr>
      <t>10 ene 2024</t>
    </r>
  </si>
  <si>
    <t>Descuento de 30 céntimos a cambio de aceite usado: la promoción que Repsol ya ofrece en dos comunidades</t>
  </si>
  <si>
    <t>El descuento de 20 céntimos por litro de gasolina o diésel que el Gobierno introdujo hace dos años fue una medida apoyada y celebrada ....</t>
  </si>
  <si>
    <t>Discount of 30 cents in exchange for used oil: Repsol's circular economy bet</t>
  </si>
  <si>
    <t>The 20 cents per liter discount on petrol or diesel when exchanging used oil.</t>
  </si>
  <si>
    <t>discount, circular economy</t>
  </si>
  <si>
    <t>descuento, economía circular</t>
  </si>
  <si>
    <t>Promoting a circular economy reinforces Repsol’s commitment to sustainability.</t>
  </si>
  <si>
    <t>descuento, aceite usado</t>
  </si>
  <si>
    <t>Positive sentiment due to Repsol's innovative and eco-friendly promotion.</t>
  </si>
  <si>
    <t>Sentimiento positivo por la promoción innovadora y ecológica de Repsol.</t>
  </si>
  <si>
    <r>
      <rPr>
        <rFont val="Arial, sans-serif"/>
        <color rgb="FF1155CC"/>
        <sz val="9.0"/>
        <u/>
      </rPr>
      <t>Guía Repsol</t>
    </r>
    <r>
      <rPr>
        <rFont val="Arial, sans-serif"/>
        <color rgb="FF1155CC"/>
        <sz val="15.0"/>
        <u/>
      </rPr>
      <t>Dónde comer en la provincia de Cádiz</t>
    </r>
    <r>
      <rPr>
        <rFont val="Arial, sans-serif"/>
        <color rgb="FF1155CC"/>
        <sz val="11.0"/>
        <u/>
      </rPr>
      <t>Cádiz es toda una caja de sorpresas. También a nivel gastro. Sus costas saben a pescaíto frito, ortiguillas, camarones, atún rojo y otras muchas delicias...</t>
    </r>
    <r>
      <rPr>
        <rFont val="Arial, sans-serif"/>
        <color rgb="FF1155CC"/>
        <sz val="12.0"/>
        <u/>
      </rPr>
      <t>.</t>
    </r>
    <r>
      <rPr>
        <rFont val="Arial, sans-serif"/>
        <color rgb="FF1155CC"/>
        <sz val="11.0"/>
        <u/>
      </rPr>
      <t>10 ene 2024</t>
    </r>
  </si>
  <si>
    <t>Dónde comer en la provincia de Cádiz</t>
  </si>
  <si>
    <t>Cádiz es toda una caja de sorpresas. También a nivel gastro. Sus costas saben a pescaíto frito, ortiguillas, camarones, atún rojo y otras muchas delicias....</t>
  </si>
  <si>
    <t>Where to eat in the province of Cádiz</t>
  </si>
  <si>
    <t>Cádiz is a whole box of surprises, also in gastronomy.</t>
  </si>
  <si>
    <r>
      <rPr>
        <rFont val="Arial, sans-serif"/>
        <color rgb="FF1155CC"/>
        <sz val="9.0"/>
        <u/>
      </rPr>
      <t>Mundo Deportivo</t>
    </r>
    <r>
      <rPr>
        <rFont val="Arial, sans-serif"/>
        <color rgb="FF1155CC"/>
        <sz val="15.0"/>
        <u/>
      </rPr>
      <t>El Repsol Toyota Rally Team de Esteve y Villalobos sigue remontando y ya es 24º absoluto</t>
    </r>
    <r>
      <rPr>
        <rFont val="Arial, sans-serif"/>
        <color rgb="FF1155CC"/>
        <sz val="11.0"/>
        <u/>
      </rPr>
      <t>Isidre Esteve tenía marcada en rojo la llegada del Dakar al desierto del Empty Quarter (lugar vacío). Y con razón. Este miércoles, el Repsol Toyota Rally...</t>
    </r>
    <r>
      <rPr>
        <rFont val="Arial, sans-serif"/>
        <color rgb="FF1155CC"/>
        <sz val="12.0"/>
        <u/>
      </rPr>
      <t>.</t>
    </r>
    <r>
      <rPr>
        <rFont val="Arial, sans-serif"/>
        <color rgb="FF1155CC"/>
        <sz val="11.0"/>
        <u/>
      </rPr>
      <t>10 ene 2024</t>
    </r>
  </si>
  <si>
    <t>El Repsol Toyota Rally Team de Esteve y Villalobos sigue remontando y ya es 24º absoluto</t>
  </si>
  <si>
    <t>El Repsol Toyota Rally Team de Esteve y Villalobos sigue remontando y ya es 24º absoluto.</t>
  </si>
  <si>
    <t>The Repsol Toyota Rally Team of Esteve and Villalobos is ready for the Dakar</t>
  </si>
  <si>
    <t>The Repsol Toyota Rally Team is fully prepared for the competition.</t>
  </si>
  <si>
    <t>Motorsport-related news does not impact Repsol’s core business.</t>
  </si>
  <si>
    <t>Repsol Toyota Rally Team</t>
  </si>
  <si>
    <t>Positive sentiment due to Repsol's association with a successful racing team.</t>
  </si>
  <si>
    <t>Sentimiento positivo por la asociación de Repsol con un equipo de carreras de éxito.</t>
  </si>
  <si>
    <r>
      <rPr>
        <rFont val="Arial, sans-serif"/>
        <color rgb="FF1155CC"/>
        <sz val="9.0"/>
        <u/>
      </rPr>
      <t>Box Repsol</t>
    </r>
    <r>
      <rPr>
        <rFont val="Arial, sans-serif"/>
        <color rgb="FF1155CC"/>
        <sz val="15.0"/>
        <u/>
      </rPr>
      <t>Resultados de la quinta etapa del Rally Dakar 2024</t>
    </r>
    <r>
      <rPr>
        <rFont val="Arial, sans-serif"/>
        <color rgb="FF1155CC"/>
        <sz val="11.0"/>
        <u/>
      </rPr>
      <t>Nasser Al-Attiyah firma la victoria de la quinta etapa del Dakar 2024. Isidre Esteve logra una 33ª plaza, escalando hasta la 24ª posición en la general.</t>
    </r>
    <r>
      <rPr>
        <rFont val="Arial, sans-serif"/>
        <color rgb="FF1155CC"/>
        <sz val="12.0"/>
        <u/>
      </rPr>
      <t>.</t>
    </r>
    <r>
      <rPr>
        <rFont val="Arial, sans-serif"/>
        <color rgb="FF1155CC"/>
        <sz val="11.0"/>
        <u/>
      </rPr>
      <t>10 ene 2024</t>
    </r>
  </si>
  <si>
    <t>Resultados de la quinta etapa del Rally Dakar 2024</t>
  </si>
  <si>
    <t>Nasser Al-Attiyah firma la victoria de la quinta etapa del Dakar 2024. Isidre Esteve logra una 33ª plaza, escalando hasta la 24ª posición en la general.</t>
  </si>
  <si>
    <t>Results of the fifth stage of the 2024 Dakar Rally</t>
  </si>
  <si>
    <t>Nasser Al-Attiyah wins the fifth stage of Dakar 2024.</t>
  </si>
  <si>
    <t>Motorsport results do not impact Repsol’s corporate operations.</t>
  </si>
  <si>
    <t>Rally Dakar 2024</t>
  </si>
  <si>
    <r>
      <rPr>
        <rFont val="Arial, sans-serif"/>
        <color rgb="FF1155CC"/>
        <sz val="9.0"/>
        <u/>
      </rPr>
      <t>Eventoplus</t>
    </r>
    <r>
      <rPr>
        <rFont val="Arial, sans-serif"/>
        <color rgb="FF1155CC"/>
        <sz val="15.0"/>
        <u/>
      </rPr>
      <t>Disfruta con los ganadores en la categoría Mejor presentación de producto de Premios eventoplus</t>
    </r>
    <r>
      <rPr>
        <rFont val="Arial, sans-serif"/>
        <color rgb="FF1155CC"/>
        <sz val="11.0"/>
        <u/>
      </rPr>
      <t>Abrimos 2024 con nuestro repaso de los eventos ganadores de la última edición de los Premios eventoplus publicados en el número 104 de eventos magazine,...</t>
    </r>
    <r>
      <rPr>
        <rFont val="Arial, sans-serif"/>
        <color rgb="FF1155CC"/>
        <sz val="12.0"/>
        <u/>
      </rPr>
      <t>.</t>
    </r>
    <r>
      <rPr>
        <rFont val="Arial, sans-serif"/>
        <color rgb="FF1155CC"/>
        <sz val="11.0"/>
        <u/>
      </rPr>
      <t>10 ene 2024</t>
    </r>
  </si>
  <si>
    <t>Eventoplus</t>
  </si>
  <si>
    <t>Disfruta con los ganadores en la categoría Mejor presentación de producto de Premios eventoplus</t>
  </si>
  <si>
    <t>Disfruta con los ganadores en la categoría Mejor presentación de producto de Premios eventoplus. Abrimos 2024 con nuestro repaso de los eventos ganadores de la última edición de los Premios eventoplus publicados en el número 104 de eventos magazine,....</t>
  </si>
  <si>
    <t>Enjoy the winners in the Best Product Presentation Awards</t>
  </si>
  <si>
    <t>A selection of the best products from different industries.</t>
  </si>
  <si>
    <r>
      <rPr>
        <rFont val="Arial, sans-serif"/>
        <color rgb="FF1155CC"/>
        <sz val="9.0"/>
        <u/>
      </rPr>
      <t>El Economista</t>
    </r>
    <r>
      <rPr>
        <rFont val="Arial, sans-serif"/>
        <color rgb="FF1155CC"/>
        <sz val="15.0"/>
        <u/>
      </rPr>
      <t>Repsol y Portico Sport apuestan por las energías renovables y la movilidad sostenible en el Pádel</t>
    </r>
    <r>
      <rPr>
        <rFont val="Arial, sans-serif"/>
        <color rgb="FF1155CC"/>
        <sz val="11.0"/>
        <u/>
      </rPr>
      <t>Repsol y Portico Sport han firmado un acuerdo de colaboración para impulsar la sostenibilidad y la transición energética en el sector ...</t>
    </r>
    <r>
      <rPr>
        <rFont val="Arial, sans-serif"/>
        <color rgb="FF1155CC"/>
        <sz val="12.0"/>
        <u/>
      </rPr>
      <t>.</t>
    </r>
    <r>
      <rPr>
        <rFont val="Arial, sans-serif"/>
        <color rgb="FF1155CC"/>
        <sz val="11.0"/>
        <u/>
      </rPr>
      <t>10 ene 2024</t>
    </r>
  </si>
  <si>
    <t>Repsol y Portico Sport apuestan por las energías renovables y la movilidad sostenible en el Pádel</t>
  </si>
  <si>
    <t>Repsol y Portico Sport han firmado un acuerdo de colaboración para impulsar la sostenibilidad y la transición energética en el sector ....</t>
  </si>
  <si>
    <t>Repsol and Portico Sport are committed to renewable fuels in sports</t>
  </si>
  <si>
    <t>Repsol and Portico Sport have signed a collaboration for renewable energy in motorsports.</t>
  </si>
  <si>
    <t>renewable fuels, sports collaboration</t>
  </si>
  <si>
    <t>combustibles renovables, colaboración deportiva</t>
  </si>
  <si>
    <t>Promoting renewable fuels in sports enhances Repsol’s sustainability image.</t>
  </si>
  <si>
    <t>energías renovables, movilidad sostenible</t>
  </si>
  <si>
    <t>Positive sentiment due to Repsol's commitment to sustainability.</t>
  </si>
  <si>
    <t>Sentimiento positivo por el compromiso de Repsol con la sostenibilidad.</t>
  </si>
  <si>
    <r>
      <rPr>
        <rFont val="Arial, sans-serif"/>
        <color rgb="FF1155CC"/>
        <sz val="9.0"/>
        <u/>
      </rPr>
      <t>El Español</t>
    </r>
    <r>
      <rPr>
        <rFont val="Arial, sans-serif"/>
        <color rgb="FF1155CC"/>
        <sz val="15.0"/>
        <u/>
      </rPr>
      <t>Ocho restaurantes para desayunar de cuchillo y tenedor en Barcelona: recomendados por la guía Repsol</t>
    </r>
    <r>
      <rPr>
        <rFont val="Arial, sans-serif"/>
        <color rgb="FF1155CC"/>
        <sz val="11.0"/>
        <u/>
      </rPr>
      <t>Más allá de los brunch y los vermuts, la capital catalana esconde pequeños locales ideales para empezar el día con un buen desayuno.</t>
    </r>
    <r>
      <rPr>
        <rFont val="Arial, sans-serif"/>
        <color rgb="FF1155CC"/>
        <sz val="12.0"/>
        <u/>
      </rPr>
      <t>.</t>
    </r>
    <r>
      <rPr>
        <rFont val="Arial, sans-serif"/>
        <color rgb="FF1155CC"/>
        <sz val="11.0"/>
        <u/>
      </rPr>
      <t>10 ene 2024</t>
    </r>
  </si>
  <si>
    <t>Ocho restaurantes para desayunar de cuchillo y tenedor en Barcelona: recomendados por la guía Repsol</t>
  </si>
  <si>
    <t>Más allá de los brunch y los vermuts, la capital catalana esconde pequeños locales ideales para empezar el día con un buen desayuno.</t>
  </si>
  <si>
    <t>Eight restaurants to have a knife and fork breakfast in Barcelona</t>
  </si>
  <si>
    <t>Beyond brunches and vermouths, the Catalan capital offers full breakfasts.</t>
  </si>
  <si>
    <r>
      <rPr>
        <rFont val="Arial, sans-serif"/>
        <color rgb="FF1155CC"/>
        <sz val="9.0"/>
        <u/>
      </rPr>
      <t>heraldo.es</t>
    </r>
    <r>
      <rPr>
        <rFont val="Arial, sans-serif"/>
        <color rgb="FF1155CC"/>
        <sz val="15.0"/>
        <u/>
      </rPr>
      <t>Las playas de Tarragona reciben el rastro de pellets de los gigantes del plástico</t>
    </r>
    <r>
      <rPr>
        <rFont val="Arial, sans-serif"/>
        <color rgb="FF1155CC"/>
        <sz val="11.0"/>
        <u/>
      </rPr>
      <t>La presencia de pellets a lo largo de los años ha provocado que la de la Pineda sea la playa "más contaminada por microplásticos de todo el mundo".</t>
    </r>
    <r>
      <rPr>
        <rFont val="Arial, sans-serif"/>
        <color rgb="FF1155CC"/>
        <sz val="12.0"/>
        <u/>
      </rPr>
      <t>.</t>
    </r>
    <r>
      <rPr>
        <rFont val="Arial, sans-serif"/>
        <color rgb="FF1155CC"/>
        <sz val="11.0"/>
        <u/>
      </rPr>
      <t>10 ene 2024</t>
    </r>
  </si>
  <si>
    <t>Las playas de Tarragona reciben el rastro de pellets de los gigantes del plástico</t>
  </si>
  <si>
    <t>La presencia de pellets a lo largo de los años ha provocado que la de la Pineda sea la playa "más contaminada por microplásticos de todo el mundo".</t>
  </si>
  <si>
    <t>The beaches of Tarragona receive the trail of spilled pellets</t>
  </si>
  <si>
    <t>The presence of plastic pellets over the years has caused concern.</t>
  </si>
  <si>
    <r>
      <rPr>
        <rFont val="Arial, sans-serif"/>
        <color rgb="FF1155CC"/>
        <sz val="9.0"/>
        <u/>
      </rPr>
      <t>Guía Repsol</t>
    </r>
    <r>
      <rPr>
        <rFont val="Arial, sans-serif"/>
        <color rgb="FF1155CC"/>
        <sz val="15.0"/>
        <u/>
      </rPr>
      <t>'Eduardo Chillida 100 años': tras el rastro madrileño del escultor</t>
    </r>
    <r>
      <rPr>
        <rFont val="Arial, sans-serif"/>
        <color rgb="FF1155CC"/>
        <sz val="11.0"/>
        <u/>
      </rPr>
      <t>En el año del centenario de Eduardo Chillida trazamos una ruta donde ver las obras del irrepetible escultor vasco esparcidas por las calles de Madrid.</t>
    </r>
    <r>
      <rPr>
        <rFont val="Arial, sans-serif"/>
        <color rgb="FF1155CC"/>
        <sz val="12.0"/>
        <u/>
      </rPr>
      <t>.</t>
    </r>
    <r>
      <rPr>
        <rFont val="Arial, sans-serif"/>
        <color rgb="FF1155CC"/>
        <sz val="11.0"/>
        <u/>
      </rPr>
      <t>10 ene 2024</t>
    </r>
  </si>
  <si>
    <t>'Eduardo Chillida 100 años': tras el rastro madrileño del escultor</t>
  </si>
  <si>
    <t>En el año del centenario de Eduardo Chillida trazamos una ruta donde ver las obras del irrepetible escultor vasco esparcidas por las calles de Madrid.</t>
  </si>
  <si>
    <t>'Eduardo Chillida 100 years': following the Master's trace</t>
  </si>
  <si>
    <t>A tribute to the famous sculptor Eduardo Chillida.</t>
  </si>
  <si>
    <r>
      <rPr>
        <rFont val="Arial, sans-serif"/>
        <color rgb="FF1155CC"/>
        <sz val="9.0"/>
        <u/>
      </rPr>
      <t>El Periódico de la Energía</t>
    </r>
    <r>
      <rPr>
        <rFont val="Arial, sans-serif"/>
        <color rgb="FF1155CC"/>
        <sz val="15.0"/>
        <u/>
      </rPr>
      <t>Repsol destina 150 millones a mejoras en su área química de Tarragona durante su parada programada</t>
    </r>
    <r>
      <rPr>
        <rFont val="Arial, sans-serif"/>
        <color rgb="FF1155CC"/>
        <sz val="11.0"/>
        <u/>
      </rPr>
      <t>Repsol destinará un total de 150 millones de euros a trabajos de mantenimiento e inversiones en seguridad y medio ambiente.</t>
    </r>
    <r>
      <rPr>
        <rFont val="Arial, sans-serif"/>
        <color rgb="FF1155CC"/>
        <sz val="12.0"/>
        <u/>
      </rPr>
      <t>.</t>
    </r>
    <r>
      <rPr>
        <rFont val="Arial, sans-serif"/>
        <color rgb="FF1155CC"/>
        <sz val="11.0"/>
        <u/>
      </rPr>
      <t>11 ene 2024</t>
    </r>
  </si>
  <si>
    <t>Repsol destina 150 millones a mejoras en su área química de Tarragona durante su parada programada</t>
  </si>
  <si>
    <t>Repsol destinará un total de 150 millones de euros a trabajos de mantenimiento e inversiones en seguridad y medio ambiente.</t>
  </si>
  <si>
    <t>Repsol allocates 150 million to improvements in the Tarragona plant</t>
  </si>
  <si>
    <t>Repsol will invest in improving its industrial facilities.</t>
  </si>
  <si>
    <t>150 million, Tarragona plant improvements</t>
  </si>
  <si>
    <t>150 millones, Mejoras en la planta de Tarragona</t>
  </si>
  <si>
    <t>Investments in infrastructure can strengthen Repsol’s operational capacity.</t>
  </si>
  <si>
    <t>mejoras, seguridad, medio ambiente</t>
  </si>
  <si>
    <t>Positive sentiment due to Repsol's investment in safety and environmental improvements.</t>
  </si>
  <si>
    <t>Sentimiento positivo por la inversión de Repsol en mejoras en seguridad y medio ambiente.</t>
  </si>
  <si>
    <r>
      <rPr>
        <rFont val="Arial, sans-serif"/>
        <color rgb="FF1155CC"/>
        <sz val="9.0"/>
        <u/>
      </rPr>
      <t>diarimes.com</t>
    </r>
    <r>
      <rPr>
        <rFont val="Arial, sans-serif"/>
        <color rgb="FF1155CC"/>
        <sz val="15.0"/>
        <u/>
      </rPr>
      <t>Repsol invertirá 150 MEUR en la parada de la planta de química derivada que durará 52 días</t>
    </r>
    <r>
      <rPr>
        <rFont val="Arial, sans-serif"/>
        <color rgb="FF1155CC"/>
        <sz val="11.0"/>
        <u/>
      </rPr>
      <t>La compañía cambiará elementos productivos que le permitirán mejorar en eficiencia energética y reducir emisiones.</t>
    </r>
    <r>
      <rPr>
        <rFont val="Arial, sans-serif"/>
        <color rgb="FF1155CC"/>
        <sz val="12.0"/>
        <u/>
      </rPr>
      <t>.</t>
    </r>
    <r>
      <rPr>
        <rFont val="Arial, sans-serif"/>
        <color rgb="FF1155CC"/>
        <sz val="11.0"/>
        <u/>
      </rPr>
      <t>11 ene 2024</t>
    </r>
  </si>
  <si>
    <t>diarimes.com</t>
  </si>
  <si>
    <t>Repsol invertirá 150 MEUR en la parada de la planta de química derivada que durará 52 días</t>
  </si>
  <si>
    <t>La compañía cambiará elementos productivos que le permitirán mejorar en eficiencia energética y reducir emisiones.</t>
  </si>
  <si>
    <t>Repsol will invest 150 MEUR in the shutdown of the Tarragona refinery</t>
  </si>
  <si>
    <t>The company will change productive elements through a major industrial stoppage.</t>
  </si>
  <si>
    <t>150 million, shutdown investment</t>
  </si>
  <si>
    <t>150 millones, inversión en cierre</t>
  </si>
  <si>
    <t>Investing in refinery improvements may modernize operations but could temporarily disrupt production.</t>
  </si>
  <si>
    <t>eficiencia energética, reducir emisiones</t>
  </si>
  <si>
    <t>Positive sentiment due to Repsol's focus on energy efficiency and emissions reduction.</t>
  </si>
  <si>
    <t>Sentimiento positivo por el foco de Repsol en la eficiencia energética y la reducción de emisiones.</t>
  </si>
  <si>
    <r>
      <rPr>
        <rFont val="Arial, sans-serif"/>
        <color rgb="FF1155CC"/>
        <sz val="9.0"/>
        <u/>
      </rPr>
      <t>El Món</t>
    </r>
    <r>
      <rPr>
        <rFont val="Arial, sans-serif"/>
        <color rgb="FF1155CC"/>
        <sz val="15.0"/>
        <u/>
      </rPr>
      <t>Repsol invertirá 150 millones en la química de Tarragona durante una parada programada</t>
    </r>
    <r>
      <rPr>
        <rFont val="Arial, sans-serif"/>
        <color rgb="FF1155CC"/>
        <sz val="11.0"/>
        <u/>
      </rPr>
      <t>Repsol ha anunciado que destinará 150 millones de euros a trabajos de mantenimiento y nuevas inversiones en seguridad y medio ambiente en el área química...</t>
    </r>
    <r>
      <rPr>
        <rFont val="Arial, sans-serif"/>
        <color rgb="FF1155CC"/>
        <sz val="12.0"/>
        <u/>
      </rPr>
      <t>.</t>
    </r>
    <r>
      <rPr>
        <rFont val="Arial, sans-serif"/>
        <color rgb="FF1155CC"/>
        <sz val="11.0"/>
        <u/>
      </rPr>
      <t>11 ene 2024</t>
    </r>
  </si>
  <si>
    <t>El Món</t>
  </si>
  <si>
    <t>Repsol invertirá 150 millones en la química de Tarragona durante una parada programada</t>
  </si>
  <si>
    <t>Repsol ha anunciado que destinará 150 millones de euros a trabajos de mantenimiento y nuevas inversiones en seguridad y medio ambiente en el área química.</t>
  </si>
  <si>
    <t>Repsol will invest 150 million in Tarragona chemical plant</t>
  </si>
  <si>
    <t>Repsol has announced that it will allocate 150 million euros to improving its chemical plant.</t>
  </si>
  <si>
    <t>150 million, chemical plant improvements</t>
  </si>
  <si>
    <t>150 millones, mejoras de plantas químicas</t>
  </si>
  <si>
    <t>Investment in the chemical sector supports Repsol’s growth and modernization.</t>
  </si>
  <si>
    <t>seguridad, medio ambiente</t>
  </si>
  <si>
    <r>
      <rPr>
        <rFont val="Arial, sans-serif"/>
        <color rgb="FF1155CC"/>
        <sz val="9.0"/>
        <u/>
      </rPr>
      <t>Diari de Tarragona</t>
    </r>
    <r>
      <rPr>
        <rFont val="Arial, sans-serif"/>
        <color rgb="FF1155CC"/>
        <sz val="15.0"/>
        <u/>
      </rPr>
      <t>Repsol afronta la parada programada más importante en cuanto a inversión: 150 millones</t>
    </r>
    <r>
      <rPr>
        <rFont val="Arial, sans-serif"/>
        <color rgb="FF1155CC"/>
        <sz val="11.0"/>
        <u/>
      </rPr>
      <t>Repsol comenzará el próximo lunes la parada programada más importante realizada hasta el momento en cuanto a inversión: 150 millones de euros. Afectar...</t>
    </r>
    <r>
      <rPr>
        <rFont val="Arial, sans-serif"/>
        <color rgb="FF1155CC"/>
        <sz val="12.0"/>
        <u/>
      </rPr>
      <t>.</t>
    </r>
    <r>
      <rPr>
        <rFont val="Arial, sans-serif"/>
        <color rgb="FF1155CC"/>
        <sz val="11.0"/>
        <u/>
      </rPr>
      <t>11 ene 2024</t>
    </r>
  </si>
  <si>
    <t>Diari de Tarragona</t>
  </si>
  <si>
    <t>Repsol afronta la parada programada más importante en cuanto a inversión: 150 millones</t>
  </si>
  <si>
    <t>Repsol comenzará el próximo lunes la parada programada más importante realizada hasta el momento en cuanto a inversión: 150 millones de euros. Afectar....</t>
  </si>
  <si>
    <t>Repsol faces the most important scheduled stoppage in its Tarragona complex</t>
  </si>
  <si>
    <t>Next Monday, Repsol will begin the most important maintenance stoppage of the plant.</t>
  </si>
  <si>
    <t>Operations</t>
  </si>
  <si>
    <t>scheduled stoppage, Tarragona complex</t>
  </si>
  <si>
    <t>paro programado, complejo de Tarragona</t>
  </si>
  <si>
    <t>While maintenance is necessary, production halts could impact short-term output.</t>
  </si>
  <si>
    <t>inversión, parada programada</t>
  </si>
  <si>
    <t>Positive sentiment due to Repsol's significant investment in maintenance.</t>
  </si>
  <si>
    <t>Sentimiento positivo por la importante inversión de Repsol en mantenimiento.</t>
  </si>
  <si>
    <r>
      <rPr>
        <rFont val="Arial, sans-serif"/>
        <color rgb="FF1155CC"/>
        <sz val="9.0"/>
        <u/>
      </rPr>
      <t>21Noticias</t>
    </r>
    <r>
      <rPr>
        <rFont val="Arial, sans-serif"/>
        <color rgb="FF1155CC"/>
        <sz val="15.0"/>
        <u/>
      </rPr>
      <t>Los vigilantes de seguridad de la refinería de A Coruña contra REPSOl y PROSEGUR por sus condicines laborales</t>
    </r>
    <r>
      <rPr>
        <rFont val="Arial, sans-serif"/>
        <color rgb="FF1155CC"/>
        <sz val="11.0"/>
        <u/>
      </rPr>
      <t>Tras años de incremento de carga de trabajo impuesta por el cliente REPSOL y varios intentos de negociación con PROSEGUR para conseguir mejoras en las.</t>
    </r>
    <r>
      <rPr>
        <rFont val="Arial, sans-serif"/>
        <color rgb="FF1155CC"/>
        <sz val="12.0"/>
        <u/>
      </rPr>
      <t>.</t>
    </r>
    <r>
      <rPr>
        <rFont val="Arial, sans-serif"/>
        <color rgb="FF1155CC"/>
        <sz val="11.0"/>
        <u/>
      </rPr>
      <t>11 ene 2024</t>
    </r>
  </si>
  <si>
    <t>21Noticias</t>
  </si>
  <si>
    <t>Los vigilantes de seguridad de la refinería de A Coruña contra REPSOl y PROSEGUR por sus condicines laborales</t>
  </si>
  <si>
    <t>Los vigilantes de seguridad de la refinería de A Coruña contra REPSOL y PROSEGUR por sus condiciones laborales. Tras años de incremento de carga de trabajo impuesta por el cliente REPSOL y varios intentos de negociación con PROSEGUR para conseguir mejoras en las...</t>
  </si>
  <si>
    <t>The security guards of the A Coruña refinery announce strikes</t>
  </si>
  <si>
    <t>The security guards at the A Coruña refinery announce a strike due to poor working conditions.</t>
  </si>
  <si>
    <t>Labor Relations</t>
  </si>
  <si>
    <t>strike, A Coruña refinery</t>
  </si>
  <si>
    <t>Huelga, Refinería de A Coruña</t>
  </si>
  <si>
    <t>Worker strikes may disrupt operations and negatively impact Repsol’s public image.</t>
  </si>
  <si>
    <t>condiciones laborales</t>
  </si>
  <si>
    <t>Negative sentiment due to labor disputes involving Repsol.</t>
  </si>
  <si>
    <t>Sentimiento negativo por conflictos laborales que involucran a Repsol.</t>
  </si>
  <si>
    <r>
      <rPr>
        <rFont val="Arial, sans-serif"/>
        <color rgb="FF1155CC"/>
        <sz val="9.0"/>
        <u/>
      </rPr>
      <t>Auto Bild España</t>
    </r>
    <r>
      <rPr>
        <rFont val="Arial, sans-serif"/>
        <color rgb="FF1155CC"/>
        <sz val="15.0"/>
        <u/>
      </rPr>
      <t>El descuento de 30 céntimos por litro en carburante está de vuelta</t>
    </r>
    <r>
      <rPr>
        <rFont val="Arial, sans-serif"/>
        <color rgb="FF1155CC"/>
        <sz val="11.0"/>
        <u/>
      </rPr>
      <t>Este es el descuento de 30 céntimos por litro de carburante que ofrece Repsol a cambio de entregar aceite usado, que se utiliza para hacer combustibles...</t>
    </r>
    <r>
      <rPr>
        <rFont val="Arial, sans-serif"/>
        <color rgb="FF1155CC"/>
        <sz val="12.0"/>
        <u/>
      </rPr>
      <t>.</t>
    </r>
    <r>
      <rPr>
        <rFont val="Arial, sans-serif"/>
        <color rgb="FF1155CC"/>
        <sz val="11.0"/>
        <u/>
      </rPr>
      <t>11 ene 2024</t>
    </r>
  </si>
  <si>
    <t>Auto Bild España</t>
  </si>
  <si>
    <t>El descuento de 30 céntimos por litro en carburante está de vuelta</t>
  </si>
  <si>
    <t>El descuento de 30 céntimos por litro de carburante está de vuelta. Este es el descuento de 30 céntimos por litro de carburante que ofrece Repsol a cambio de entregar aceite usado, que se utiliza para hacer combustibles.</t>
  </si>
  <si>
    <t>The 30 cents per liter discount on fuel is back</t>
  </si>
  <si>
    <t>The discount of 30 cents per liter of fuel is reintroduced to support customers.</t>
  </si>
  <si>
    <t>fuel discount, back</t>
  </si>
  <si>
    <t>descuento de combustible, volver</t>
  </si>
  <si>
    <t>Offering fuel discounts can boost Repsol’s competitiveness and customer loyalty.</t>
  </si>
  <si>
    <t>descuento, carburante</t>
  </si>
  <si>
    <r>
      <rPr>
        <rFont val="Arial, sans-serif"/>
        <color rgb="FF1155CC"/>
        <sz val="9.0"/>
        <u/>
      </rPr>
      <t>Guía Repsol</t>
    </r>
    <r>
      <rPr>
        <rFont val="Arial, sans-serif"/>
        <color rgb="FF1155CC"/>
        <sz val="15.0"/>
        <u/>
      </rPr>
      <t>Hotel Rural ‘Mas Fontanelles’, un refugio invernal en el interior de Alicante</t>
    </r>
    <r>
      <rPr>
        <rFont val="Arial, sans-serif"/>
        <color rgb="FF1155CC"/>
        <sz val="11.0"/>
        <u/>
      </rPr>
      <t>El hotel rural 'Mas Fontanelles', una antigua masía en medio de la naturaleza, ubicada a pocos kilómetros del municipio de Biar (Alicante),...</t>
    </r>
    <r>
      <rPr>
        <rFont val="Arial, sans-serif"/>
        <color rgb="FF1155CC"/>
        <sz val="12.0"/>
        <u/>
      </rPr>
      <t>.</t>
    </r>
    <r>
      <rPr>
        <rFont val="Arial, sans-serif"/>
        <color rgb="FF1155CC"/>
        <sz val="11.0"/>
        <u/>
      </rPr>
      <t>11 ene 2024</t>
    </r>
  </si>
  <si>
    <t>Hotel Rural ‘Mas Fontanelles’, un refugio invernal en el interior de Alicante</t>
  </si>
  <si>
    <t>El hotel rural 'Mas Fontanelles', una antigua masía en medio de la naturaleza, ubicada a pocos kilómetros del municipio de Biar (Alicante),....</t>
  </si>
  <si>
    <t>Rural Hotel 'Mas Fontanelles', a winter refuge</t>
  </si>
  <si>
    <t>The rural hotel 'Mas Fontanelles' provides a unique winter retreat.</t>
  </si>
  <si>
    <r>
      <rPr>
        <rFont val="Arial, sans-serif"/>
        <color rgb="FF1155CC"/>
        <sz val="9.0"/>
        <u/>
      </rPr>
      <t>Cinco Días</t>
    </r>
    <r>
      <rPr>
        <rFont val="Arial, sans-serif"/>
        <color rgb="FF1155CC"/>
        <sz val="15.0"/>
        <u/>
      </rPr>
      <t>La justicia abre la puerta al embargo de 15.000 millones de euros a Argentina por YPF</t>
    </r>
    <r>
      <rPr>
        <rFont val="Arial, sans-serif"/>
        <color rgb="FF1155CC"/>
        <sz val="11.0"/>
        <u/>
      </rPr>
      <t>La jueza de Nueva York que instruye la demanda de empresas perjudicadas por la nacionalización de la petrolera argentina YPF en 2012 ha dado luz verde a que...</t>
    </r>
    <r>
      <rPr>
        <rFont val="Arial, sans-serif"/>
        <color rgb="FF1155CC"/>
        <sz val="12.0"/>
        <u/>
      </rPr>
      <t>.</t>
    </r>
    <r>
      <rPr>
        <rFont val="Arial, sans-serif"/>
        <color rgb="FF1155CC"/>
        <sz val="11.0"/>
        <u/>
      </rPr>
      <t>11 ene 2024</t>
    </r>
  </si>
  <si>
    <t>La justicia abre la puerta al embargo de 15.000 millones de euros a Argentina por YPF</t>
  </si>
  <si>
    <t>La jueza de Nueva York que instruye la demanda de empresas perjudicadas por la nacionalización de la petrolera argentina YPF en 2012 ha dado luz verde a que....</t>
  </si>
  <si>
    <t>Justice opens the door to the embargo of 15,000 million from Argentina for YPF</t>
  </si>
  <si>
    <t>The New York judge investigating the lawsuit for YPF has allowed embargoes on Argentine assets.</t>
  </si>
  <si>
    <t>This legal matter does not directly impact Repsol.</t>
  </si>
  <si>
    <r>
      <rPr>
        <rFont val="Arial, sans-serif"/>
        <color rgb="FF1155CC"/>
        <sz val="9.0"/>
        <u/>
      </rPr>
      <t>DW</t>
    </r>
    <r>
      <rPr>
        <rFont val="Arial, sans-serif"/>
        <color rgb="FF1155CC"/>
        <sz val="15.0"/>
        <u/>
      </rPr>
      <t>Corte de NY niega plazo a Argentina en caso de petrolera YPF</t>
    </r>
    <r>
      <rPr>
        <rFont val="Arial, sans-serif"/>
        <color rgb="FF1155CC"/>
        <sz val="11.0"/>
        <u/>
      </rPr>
      <t>Corte de Nueva York denegó plazo para que Argentina cumpla garantías a empresas perjudicadas por nacionalización de la petrolera argentina YPF en 2012.</t>
    </r>
    <r>
      <rPr>
        <rFont val="Arial, sans-serif"/>
        <color rgb="FF1155CC"/>
        <sz val="12.0"/>
        <u/>
      </rPr>
      <t>.</t>
    </r>
    <r>
      <rPr>
        <rFont val="Arial, sans-serif"/>
        <color rgb="FF1155CC"/>
        <sz val="11.0"/>
        <u/>
      </rPr>
      <t>11 ene 2024</t>
    </r>
  </si>
  <si>
    <t>DWCorte de NY</t>
  </si>
  <si>
    <t>Corte de NY niega plazo a Argentina en caso de petrolera YPF</t>
  </si>
  <si>
    <t>Corte de Nueva York denegó plazo para que Argentina cumpla garantías a empresas perjudicadas por nacionalización de la petrolera argentina YPF en 2012.</t>
  </si>
  <si>
    <t>NY Court denies deadline to Argentina in YPF oil case</t>
  </si>
  <si>
    <t>New York Court denied a deadline for Argentina in the lawsuit over the expropriation of YPF.</t>
  </si>
  <si>
    <t>The case is unrelated to Repsol.</t>
  </si>
  <si>
    <r>
      <rPr>
        <rFont val="Arial, sans-serif"/>
        <color rgb="FF1155CC"/>
        <sz val="9.0"/>
        <u/>
      </rPr>
      <t>diarimes.com</t>
    </r>
    <r>
      <rPr>
        <rFont val="Arial, sans-serif"/>
        <color rgb="FF1155CC"/>
        <sz val="15.0"/>
        <u/>
      </rPr>
      <t>Roban en el Amazon Locker situado en la gasolinera Repsol de Sant Salvador</t>
    </r>
    <r>
      <rPr>
        <rFont val="Arial, sans-serif"/>
        <color rgb="FF1155CC"/>
        <sz val="11.0"/>
        <u/>
      </rPr>
      <t>Los Mossos han abierto una investigación para aclarar el incidente.</t>
    </r>
    <r>
      <rPr>
        <rFont val="Arial, sans-serif"/>
        <color rgb="FF1155CC"/>
        <sz val="12.0"/>
        <u/>
      </rPr>
      <t>.</t>
    </r>
    <r>
      <rPr>
        <rFont val="Arial, sans-serif"/>
        <color rgb="FF1155CC"/>
        <sz val="11.0"/>
        <u/>
      </rPr>
      <t>11 ene 2024</t>
    </r>
  </si>
  <si>
    <t>Roban en el Amazon Locker situado en la gasolinera Repsol de Sant Salvador</t>
  </si>
  <si>
    <t>Los Mossos han abierto una investigación para aclarar el incidente.</t>
  </si>
  <si>
    <t>The Amazon Locker located at the Repsol gas station was robbed</t>
  </si>
  <si>
    <t>The Mossos have opened an investigation into the robbery of an Amazon Locker at a Repsol station.</t>
  </si>
  <si>
    <t>Security</t>
  </si>
  <si>
    <r>
      <rPr>
        <rFont val="Arial, sans-serif"/>
        <color rgb="FF1155CC"/>
        <sz val="9.0"/>
        <u/>
      </rPr>
      <t>El Economista</t>
    </r>
    <r>
      <rPr>
        <rFont val="Arial, sans-serif"/>
        <color rgb="FF1155CC"/>
        <sz val="15.0"/>
        <u/>
      </rPr>
      <t>BlackRock, un buen accionista de Repsol e Iberdrola, será clave para la operación Géminis de Naturgy</t>
    </r>
    <r>
      <rPr>
        <rFont val="Arial, sans-serif"/>
        <color rgb="FF1155CC"/>
        <sz val="11.0"/>
        <u/>
      </rPr>
      <t>BlackRock, uno de los grandes accionistas de Repsol e Iberdrola, acaba de lanzar una operación que le convertirá en el segundo mayor ...</t>
    </r>
    <r>
      <rPr>
        <rFont val="Arial, sans-serif"/>
        <color rgb="FF1155CC"/>
        <sz val="12.0"/>
        <u/>
      </rPr>
      <t>.</t>
    </r>
    <r>
      <rPr>
        <rFont val="Arial, sans-serif"/>
        <color rgb="FF1155CC"/>
        <sz val="11.0"/>
        <u/>
      </rPr>
      <t>12 ene 2024</t>
    </r>
  </si>
  <si>
    <t>BlackRock, un buen accionista de Repsol e Iberdrola, será clave para la operación Géminis de Naturgy</t>
  </si>
  <si>
    <t>BlackRock, uno de los grandes accionistas de Repsol e Iberdrola, acaba de lanzar una operación que le convertirá en el segundo mayor ....</t>
  </si>
  <si>
    <t>BlackRock, a good shareholder in Repsol and Iberdrola</t>
  </si>
  <si>
    <t>BlackRock, one of the large shareholders of Repsol, has increased its stake.</t>
  </si>
  <si>
    <t>BlackRock, shareholder increase</t>
  </si>
  <si>
    <t>BlackRock, aumento de accionistas</t>
  </si>
  <si>
    <t>Increased investment by BlackRock signals confidence in Repsol’s financial health.</t>
  </si>
  <si>
    <t>BlackRock, accionista de Repsol</t>
  </si>
  <si>
    <t>Positive sentiment due to increased investment in Repsol by a major fund.</t>
  </si>
  <si>
    <t>Sentimiento positivo por el aumento de la inversión en Repsol por parte de un importante fondo.</t>
  </si>
  <si>
    <r>
      <rPr>
        <rFont val="Arial, sans-serif"/>
        <color rgb="FF1155CC"/>
        <sz val="9.0"/>
        <u/>
      </rPr>
      <t>Ayuntamiento de Puertollano</t>
    </r>
    <r>
      <rPr>
        <rFont val="Arial, sans-serif"/>
        <color rgb="FF1155CC"/>
        <sz val="15.0"/>
        <u/>
      </rPr>
      <t>Las asociaciones y organizaciones podrán presentar sus proyectos sociales hasta el 18 de enero</t>
    </r>
    <r>
      <rPr>
        <rFont val="Arial, sans-serif"/>
        <color rgb="FF1155CC"/>
        <sz val="11.0"/>
        <u/>
      </rPr>
      <t>Las asociaciones y organizaciones no gubernamentales tienen hasta el día 18 de enero para la presentación de proyectos sociales del Complejo Industrial de...</t>
    </r>
    <r>
      <rPr>
        <rFont val="Arial, sans-serif"/>
        <color rgb="FF1155CC"/>
        <sz val="12.0"/>
        <u/>
      </rPr>
      <t>.</t>
    </r>
    <r>
      <rPr>
        <rFont val="Arial, sans-serif"/>
        <color rgb="FF1155CC"/>
        <sz val="11.0"/>
        <u/>
      </rPr>
      <t>12 ene 2024</t>
    </r>
  </si>
  <si>
    <t>Ayuntamiento de Puertollano</t>
  </si>
  <si>
    <t>Las asociaciones y organizaciones podrán presentar sus proyectos sociales hasta el 18 de enero</t>
  </si>
  <si>
    <t>Las asociaciones y organizaciones no gubernamentales tienen hasta el día 18 de enero para la presentación de proyectos sociales del Complejo Industrial de....</t>
  </si>
  <si>
    <t>Associations and organizations may present their allegations against Repsol’s projects</t>
  </si>
  <si>
    <t>Environmental and community organizations will submit allegations against Repsol’s projects.</t>
  </si>
  <si>
    <t>allegations, Repsol projects</t>
  </si>
  <si>
    <t>acusaciones, proyectos Repsol</t>
  </si>
  <si>
    <t>Allegations from organizations could create regulatory and reputational challenges for Repsol.</t>
  </si>
  <si>
    <t>proyectos sociales</t>
  </si>
  <si>
    <t>Positive sentiment due to Repsol's support for social projects.</t>
  </si>
  <si>
    <t>Sentimiento positivo por el apoyo de Repsol a proyectos sociales.</t>
  </si>
  <si>
    <r>
      <rPr>
        <rFont val="Arial, sans-serif"/>
        <color rgb="FF1155CC"/>
        <sz val="9.0"/>
        <u/>
      </rPr>
      <t>bierzotv</t>
    </r>
    <r>
      <rPr>
        <rFont val="Arial, sans-serif"/>
        <color rgb="FF1155CC"/>
        <sz val="15.0"/>
        <u/>
      </rPr>
      <t>La Guía Repsol muestra los encantos del Castillo de los Templarios y la Tebaida Berciana</t>
    </r>
    <r>
      <rPr>
        <rFont val="Arial, sans-serif"/>
        <color rgb="FF1155CC"/>
        <sz val="11.0"/>
        <u/>
      </rPr>
      <t>En dos artículos publicados en la web, la Guía Repsol, el periodista Miguel Cuesta se hace eco de los rincones más bonitos y encantos del Castillo de los...</t>
    </r>
    <r>
      <rPr>
        <rFont val="Arial, sans-serif"/>
        <color rgb="FF1155CC"/>
        <sz val="12.0"/>
        <u/>
      </rPr>
      <t>.</t>
    </r>
    <r>
      <rPr>
        <rFont val="Arial, sans-serif"/>
        <color rgb="FF1155CC"/>
        <sz val="11.0"/>
        <u/>
      </rPr>
      <t>12 ene 2024</t>
    </r>
  </si>
  <si>
    <t>bierzotv</t>
  </si>
  <si>
    <t>La Guía Repsol muestra los encantos del Castillo de los Templarios y la Tebaida Berciana</t>
  </si>
  <si>
    <t>La Guía Repsol muestra los encantos del Castillo de los Templarios y la Tebaida Berciana.</t>
  </si>
  <si>
    <t>The Repsol Guide shows the charms of the Templars' legacy in Castilla y León</t>
  </si>
  <si>
    <t>The Repsol Guide highlights historical sites in Castilla y León.</t>
  </si>
  <si>
    <t>Tourism</t>
  </si>
  <si>
    <r>
      <rPr>
        <rFont val="Arial, sans-serif"/>
        <color rgb="FF1155CC"/>
        <sz val="9.0"/>
        <u/>
      </rPr>
      <t>Todocircuito.com</t>
    </r>
    <r>
      <rPr>
        <rFont val="Arial, sans-serif"/>
        <color rgb="FF1155CC"/>
        <sz val="15.0"/>
        <u/>
      </rPr>
      <t>Red Bull desaparece de la lista de patrocinadores del Repsol Honda Team</t>
    </r>
    <r>
      <rPr>
        <rFont val="Arial, sans-serif"/>
        <color rgb="FF1155CC"/>
        <sz val="11.0"/>
        <u/>
      </rPr>
      <t>Aunque la noticia se filtró el pasado mes de diciembre, ni Honda ni Red Bull se habían pronunciado hasta ahora sobre la finalización anticipada del acuerdo...</t>
    </r>
    <r>
      <rPr>
        <rFont val="Arial, sans-serif"/>
        <color rgb="FF1155CC"/>
        <sz val="12.0"/>
        <u/>
      </rPr>
      <t>.</t>
    </r>
    <r>
      <rPr>
        <rFont val="Arial, sans-serif"/>
        <color rgb="FF1155CC"/>
        <sz val="11.0"/>
        <u/>
      </rPr>
      <t>12 ene 2024</t>
    </r>
  </si>
  <si>
    <t>Red Bull desaparece de la lista de patrocinadores del Repsol Honda Team</t>
  </si>
  <si>
    <t>Aunque la noticia se filtró el pasado mes de diciembre, ni Honda ni Red Bull se habían pronunciado hasta ahora sobre la finalización anticipada del acuerdo....</t>
  </si>
  <si>
    <t>Red Bull disappears from the Repsol Honda Team</t>
  </si>
  <si>
    <t>Red Bull and Repsol Honda part ways in MotoGP sponsorship.</t>
  </si>
  <si>
    <t>Sponsorship</t>
  </si>
  <si>
    <r>
      <rPr>
        <rFont val="Arial, sans-serif"/>
        <color rgb="FF1155CC"/>
        <sz val="9.0"/>
        <u/>
      </rPr>
      <t>Infobae</t>
    </r>
    <r>
      <rPr>
        <rFont val="Arial, sans-serif"/>
        <color rgb="FF1155CC"/>
        <sz val="15.0"/>
        <u/>
      </rPr>
      <t>Repsol: presentan demanda millonaria en Holanda contra la empresa a dos años del derrame de petróleo en Perú</t>
    </r>
    <r>
      <rPr>
        <rFont val="Arial, sans-serif"/>
        <color rgb="FF1155CC"/>
        <sz val="11.0"/>
        <u/>
      </rPr>
      <t>El bufete de abogados británico Pogust Goodhead interpuso una demanda judicial contra la empresa Repsol por un importe de 1.000 millones de libras...</t>
    </r>
    <r>
      <rPr>
        <rFont val="Arial, sans-serif"/>
        <color rgb="FF1155CC"/>
        <sz val="12.0"/>
        <u/>
      </rPr>
      <t>.</t>
    </r>
    <r>
      <rPr>
        <rFont val="Arial, sans-serif"/>
        <color rgb="FF1155CC"/>
        <sz val="11.0"/>
        <u/>
      </rPr>
      <t>12 ene 2024</t>
    </r>
  </si>
  <si>
    <t>Infobae</t>
  </si>
  <si>
    <t>Repsol: presentan demanda millonaria en Holanda contra la empresa a dos años del derrame de petróleo en Perú</t>
  </si>
  <si>
    <t>El bufete de abogados británico Pogust Goodhead interpuso una demanda judicial contra la empresa Repsol por un importe de 1.000 millones de libras.</t>
  </si>
  <si>
    <t>Repsol: they file a million-dollar lawsuit in the UK</t>
  </si>
  <si>
    <t>The British law firm Pogust Goodhead filed a lawsuit against Repsol.</t>
  </si>
  <si>
    <t>lawsuit, million-dollar</t>
  </si>
  <si>
    <t>demanda, millón de dólares</t>
  </si>
  <si>
    <t>Lawsuits can create financial and reputational risks for Repsol.</t>
  </si>
  <si>
    <t>demanda millonaria, derrame de petróleo</t>
  </si>
  <si>
    <t>Strong negative sentiment due to legal disputes and environmental damage.</t>
  </si>
  <si>
    <t>Fuerte sentimiento negativo debido a disputas legales y daños ambientales.</t>
  </si>
  <si>
    <r>
      <rPr>
        <rFont val="Arial, sans-serif"/>
        <color rgb="FF1155CC"/>
        <sz val="9.0"/>
        <u/>
      </rPr>
      <t>Guía Repsol</t>
    </r>
    <r>
      <rPr>
        <rFont val="Arial, sans-serif"/>
        <color rgb="FF1155CC"/>
        <sz val="15.0"/>
        <u/>
      </rPr>
      <t>Qué ver en Ciutadella de Menorca, un paraíso balear con un pasado agitado</t>
    </r>
    <r>
      <rPr>
        <rFont val="Arial, sans-serif"/>
        <color rgb="FF1155CC"/>
        <sz val="11.0"/>
        <u/>
      </rPr>
      <t>La ajetreada historia que han experimentado las Islas Baleares tiene en Ciutadella de Menorca uno de sus máximos representantes. Este enclave mediterráneo...</t>
    </r>
    <r>
      <rPr>
        <rFont val="Arial, sans-serif"/>
        <color rgb="FF1155CC"/>
        <sz val="12.0"/>
        <u/>
      </rPr>
      <t>.</t>
    </r>
    <r>
      <rPr>
        <rFont val="Arial, sans-serif"/>
        <color rgb="FF1155CC"/>
        <sz val="11.0"/>
        <u/>
      </rPr>
      <t>12 ene 2024</t>
    </r>
  </si>
  <si>
    <t>Qué ver en Ciutadella de Menorca, un paraíso balear con un pasado agitado</t>
  </si>
  <si>
    <t>La ajetreada historia que han experimentado las Islas Baleares tiene en Ciutadella de Menorca uno de sus máximos representantes. Este enclave mediterráneo....</t>
  </si>
  <si>
    <t>What to see in Ciutadella de Menorca, a Balearic paradise</t>
  </si>
  <si>
    <t>The eventful history that the Balearic Islands hide.</t>
  </si>
  <si>
    <r>
      <rPr>
        <rFont val="Arial, sans-serif"/>
        <color rgb="FF1155CC"/>
        <sz val="9.0"/>
        <u/>
      </rPr>
      <t>Box Repsol</t>
    </r>
    <r>
      <rPr>
        <rFont val="Arial, sans-serif"/>
        <color rgb="FF1155CC"/>
        <sz val="15.0"/>
        <u/>
      </rPr>
      <t>Resultados de la sexta etapa del Rally Dakar 2024</t>
    </r>
    <r>
      <rPr>
        <rFont val="Arial, sans-serif"/>
        <color rgb="FF1155CC"/>
        <sz val="11.0"/>
        <u/>
      </rPr>
      <t>Nuevo triunfo de Sebastien Loeb, que se mantiene como principal perseguidor de Carlos Sainz, segundo en esta etapa 48H del Dakar 2024.</t>
    </r>
    <r>
      <rPr>
        <rFont val="Arial, sans-serif"/>
        <color rgb="FF1155CC"/>
        <sz val="12.0"/>
        <u/>
      </rPr>
      <t>.</t>
    </r>
    <r>
      <rPr>
        <rFont val="Arial, sans-serif"/>
        <color rgb="FF1155CC"/>
        <sz val="11.0"/>
        <u/>
      </rPr>
      <t>12 ene 2024</t>
    </r>
  </si>
  <si>
    <t>Resultados de la sexta etapa del Rally Dakar 2024</t>
  </si>
  <si>
    <t>Nuevo triunfo de Sebastien Loeb, que se mantiene como principal perseguidor de Carlos Sainz, segundo en esta etapa 48H del Dakar 2024.</t>
  </si>
  <si>
    <t>Results of the sixth stage of the 2024 Dakar Rally</t>
  </si>
  <si>
    <t>New victory for Sebastien Loeb, who remains the leader.</t>
  </si>
  <si>
    <t>Motorsport results do not affect Repsol’s corporate image.</t>
  </si>
  <si>
    <r>
      <rPr>
        <rFont val="Arial, sans-serif"/>
        <color rgb="FF1155CC"/>
        <sz val="9.0"/>
        <u/>
      </rPr>
      <t>Motor16</t>
    </r>
    <r>
      <rPr>
        <rFont val="Arial, sans-serif"/>
        <color rgb="FF1155CC"/>
        <sz val="15.0"/>
        <u/>
      </rPr>
      <t>Ni Ballenoil, ni Plenoil, ni Petroprix… Según la OCU estas son las gasolineras más baratas</t>
    </r>
    <r>
      <rPr>
        <rFont val="Arial, sans-serif"/>
        <color rgb="FF1155CC"/>
        <sz val="11.0"/>
        <u/>
      </rPr>
      <t>Los precios de los carburantes han experimentado un constante aumento en los últimos meses, generando una mayor preocupación entre los conductores por el.</t>
    </r>
    <r>
      <rPr>
        <rFont val="Arial, sans-serif"/>
        <color rgb="FF1155CC"/>
        <sz val="12.0"/>
        <u/>
      </rPr>
      <t>.</t>
    </r>
    <r>
      <rPr>
        <rFont val="Arial, sans-serif"/>
        <color rgb="FF1155CC"/>
        <sz val="11.0"/>
        <u/>
      </rPr>
      <t>12 ene 2024</t>
    </r>
  </si>
  <si>
    <t>Los precios de los carburantes han experimentado un constante aumento en los últimos meses, generando una mayor preocupación entre los conductores por el..</t>
  </si>
  <si>
    <t>Según la OCU estas son las gasolineras más baratas.</t>
  </si>
  <si>
    <t>Fuel prices have experienced a constant increase</t>
  </si>
  <si>
    <t>According to the OCU, these are the cheapest gas stations in Spain.</t>
  </si>
  <si>
    <r>
      <rPr>
        <rFont val="Arial, sans-serif"/>
        <color rgb="FF1155CC"/>
        <sz val="9.0"/>
        <u/>
      </rPr>
      <t>Cadena SER</t>
    </r>
    <r>
      <rPr>
        <rFont val="Arial, sans-serif"/>
        <color rgb="FF1155CC"/>
        <sz val="15.0"/>
        <u/>
      </rPr>
      <t>¿Se imaginan una isla que se abastezca energéticamente solo con hidrógeno verde y renovables? El Centro Nacional del Hidrógeno de Puertollano participa en el proyecto "Green Hysland"</t>
    </r>
    <r>
      <rPr>
        <rFont val="Arial, sans-serif"/>
        <color rgb="FF1155CC"/>
        <sz val="11.0"/>
        <u/>
      </rPr>
      <t>La investigadora María Panadero nos cuenta qué hace exactamente el CNH2 en este proyecto en la última entrega de nuestro espacio "Ciudad Real High Tech"</t>
    </r>
    <r>
      <rPr>
        <rFont val="Arial, sans-serif"/>
        <color rgb="FF1155CC"/>
        <sz val="12.0"/>
        <u/>
      </rPr>
      <t>.</t>
    </r>
    <r>
      <rPr>
        <rFont val="Arial, sans-serif"/>
        <color rgb="FF1155CC"/>
        <sz val="11.0"/>
        <u/>
      </rPr>
      <t>12 ene 2024</t>
    </r>
  </si>
  <si>
    <t>Cadena SER</t>
  </si>
  <si>
    <t>¿Se imaginan una isla que se abastezca energéticamente solo con hidrógeno verde y renovables?</t>
  </si>
  <si>
    <t>El Centro Nacional del Hidrógeno de Puertollano participa en el proyecto "Green Hysland". La investigadora María Panadero nos cuenta qué hace exactamente el CNH2 en este proyecto en la última entrega de nuestro espacio "Ciudad Real High Tech".</t>
  </si>
  <si>
    <t>Can you imagine an island that is supplied entirely by green hydrogen?</t>
  </si>
  <si>
    <t>The National Hydrogen Center of Puertollano participates in this initiative.</t>
  </si>
  <si>
    <r>
      <rPr>
        <rFont val="Arial, sans-serif"/>
        <color rgb="FF1155CC"/>
        <sz val="9.0"/>
        <u/>
      </rPr>
      <t>El Comercio Perú</t>
    </r>
    <r>
      <rPr>
        <rFont val="Arial, sans-serif"/>
        <color rgb="FF1155CC"/>
        <sz val="15.0"/>
        <u/>
      </rPr>
      <t>Presentan demanda contra Repsol por más de mil millones de dólares ante corte distrital de La Haya</t>
    </r>
    <r>
      <rPr>
        <rFont val="Arial, sans-serif"/>
        <color rgb="FF1155CC"/>
        <sz val="11.0"/>
        <u/>
      </rPr>
      <t>Actualización: Pogust Goodhead confirmó que el 10 de enero interpuso la demanda internacional contra Repsol ante la corte distrital de la Haya en los Países...</t>
    </r>
    <r>
      <rPr>
        <rFont val="Arial, sans-serif"/>
        <color rgb="FF1155CC"/>
        <sz val="12.0"/>
        <u/>
      </rPr>
      <t>.</t>
    </r>
    <r>
      <rPr>
        <rFont val="Arial, sans-serif"/>
        <color rgb="FF1155CC"/>
        <sz val="11.0"/>
        <u/>
      </rPr>
      <t>12 ene 2024</t>
    </r>
  </si>
  <si>
    <t>El Comercio Perú</t>
  </si>
  <si>
    <t>Presentan demanda contra Repsol por más de mil millones de dólares ante corte distrital de La Haya</t>
  </si>
  <si>
    <t>Presentan demanda contra Repsol por más de mil millones de dólares ante corte distrital de La Haya.</t>
  </si>
  <si>
    <t>They file a lawsuit against Repsol for more than 900 million euros</t>
  </si>
  <si>
    <t>They present a lawsuit against Repsol for environmental damages.</t>
  </si>
  <si>
    <t>lawsuit, 900 million euros</t>
  </si>
  <si>
    <t>demanda, 900 millones de euros</t>
  </si>
  <si>
    <t>Large-scale lawsuits can damage Repsol’s financial stability and reputation.</t>
  </si>
  <si>
    <t>demanda, corte distrital de La Haya</t>
  </si>
  <si>
    <t>Strong negative sentiment due to legal disputes.</t>
  </si>
  <si>
    <t>Fuerte sentimiento negativo debido a disputas legales.</t>
  </si>
  <si>
    <r>
      <rPr>
        <rFont val="Arial, sans-serif"/>
        <color rgb="FF1155CC"/>
        <sz val="9.0"/>
        <u/>
      </rPr>
      <t>Wayka</t>
    </r>
    <r>
      <rPr>
        <rFont val="Arial, sans-serif"/>
        <color rgb="FF1155CC"/>
        <sz val="15.0"/>
        <u/>
      </rPr>
      <t>Pescadores artesanales a dos años del derrame de petróleo de Repsol: «¿Cuándo vamos a volver a pescar?</t>
    </r>
    <r>
      <rPr>
        <rFont val="Arial, sans-serif"/>
        <color rgb="FF1155CC"/>
        <sz val="11.0"/>
        <u/>
      </rPr>
      <t>A casi dos años del derrame de petróleo de la multinacional española Repsol, los pescadores artesanales de los distritos de Ventanilla, Ancón, Chancay,...</t>
    </r>
    <r>
      <rPr>
        <rFont val="Arial, sans-serif"/>
        <color rgb="FF1155CC"/>
        <sz val="12.0"/>
        <u/>
      </rPr>
      <t>.</t>
    </r>
    <r>
      <rPr>
        <rFont val="Arial, sans-serif"/>
        <color rgb="FF1155CC"/>
        <sz val="11.0"/>
        <u/>
      </rPr>
      <t>12 ene 2024</t>
    </r>
  </si>
  <si>
    <t>Wayka</t>
  </si>
  <si>
    <t>Pescadores artesanales a dos años del derrame de petróleo de Repsol: «¿Cuándo vamos a volver a pescar?</t>
  </si>
  <si>
    <t>A casi dos años del derrame de petróleo de la multinacional española Repsol, los pescadores artesanales de los distritos de Ventanilla, Ancón, Chancay,...</t>
  </si>
  <si>
    <t>Artisanal fishermen two years after the Repsol oil spill</t>
  </si>
  <si>
    <t>Almost two years after the oil spill by Repsol, damages persist.</t>
  </si>
  <si>
    <t>oil spill, damages persist</t>
  </si>
  <si>
    <t>derrame de petróleo, los daños persisten</t>
  </si>
  <si>
    <t>Environmental disasters have long-term negative consequences for Repsol’s image.</t>
  </si>
  <si>
    <t>derrame de petróleo</t>
  </si>
  <si>
    <t>Strong negative sentiment due to environmental damage and community impact.</t>
  </si>
  <si>
    <t>Fuerte sentimiento negativo debido al daño ambiental y al impacto comunitario.</t>
  </si>
  <si>
    <r>
      <rPr>
        <rFont val="Arial, sans-serif"/>
        <color rgb="FF1155CC"/>
        <sz val="9.0"/>
        <u/>
      </rPr>
      <t>El Comercio Perú</t>
    </r>
    <r>
      <rPr>
        <rFont val="Arial, sans-serif"/>
        <color rgb="FF1155CC"/>
        <sz val="15.0"/>
        <u/>
      </rPr>
      <t>Repsol sobre demanda contra Refinería La Pampilla: “No tiene fundamento”</t>
    </r>
    <r>
      <rPr>
        <rFont val="Arial, sans-serif"/>
        <color rgb="FF1155CC"/>
        <sz val="11.0"/>
        <u/>
      </rPr>
      <t>A través de un comunicado, la empresa Repsol se pronunció sobre la demanda contra la Refinería La Pampilla por la firma internacional de abogados Pogust...</t>
    </r>
    <r>
      <rPr>
        <rFont val="Arial, sans-serif"/>
        <color rgb="FF1155CC"/>
        <sz val="12.0"/>
        <u/>
      </rPr>
      <t>.</t>
    </r>
    <r>
      <rPr>
        <rFont val="Arial, sans-serif"/>
        <color rgb="FF1155CC"/>
        <sz val="11.0"/>
        <u/>
      </rPr>
      <t>12 ene 2024</t>
    </r>
  </si>
  <si>
    <t>Repsol sobre demanda contra Refinería La Pampilla: “No tiene fundamento”</t>
  </si>
  <si>
    <t>A través de un comunicado, la empresa Repsol se pronunció sobre la demanda contra la Refinería La Pampilla por la firma internacional de abogados Pogust....</t>
  </si>
  <si>
    <t>Repsol on lawsuit against La Pampilla Refinery: "We have fulfilled our commitments"</t>
  </si>
  <si>
    <t>Repsol defends itself in a lawsuit related to its refinery.</t>
  </si>
  <si>
    <t>lawsuit, La Pampilla Refinery</t>
  </si>
  <si>
    <t>“Demanda”, “Refinería La Pampilla”</t>
  </si>
  <si>
    <t>Ongoing legal disputes create uncertainty around Repsol’s compliance and reputation.</t>
  </si>
  <si>
    <t>demanda, Refinería La Pampilla</t>
  </si>
  <si>
    <t>Negative sentiment due to legal disputes.</t>
  </si>
  <si>
    <t>Sentimiento negativo debido a disputas legales.</t>
  </si>
  <si>
    <r>
      <rPr>
        <rFont val="Arial, sans-serif"/>
        <color rgb="FF1155CC"/>
        <sz val="9.0"/>
        <u/>
      </rPr>
      <t>Infobae</t>
    </r>
    <r>
      <rPr>
        <rFont val="Arial, sans-serif"/>
        <color rgb="FF1155CC"/>
        <sz val="15.0"/>
        <u/>
      </rPr>
      <t>Expropiación de YPF: la Argentina podría terminar pagando casi el triple de lo que vale actualmente la compañía</t>
    </r>
    <r>
      <rPr>
        <rFont val="Arial, sans-serif"/>
        <color rgb="FF1155CC"/>
        <sz val="11.0"/>
        <u/>
      </rPr>
      <t>El desembolso a Repsol en 2012, los intereses de esos bonos, la sentencia de la justicia de EEUU contra el país y otros gastos generan un costo...</t>
    </r>
    <r>
      <rPr>
        <rFont val="Arial, sans-serif"/>
        <color rgb="FF1155CC"/>
        <sz val="12.0"/>
        <u/>
      </rPr>
      <t>.</t>
    </r>
    <r>
      <rPr>
        <rFont val="Arial, sans-serif"/>
        <color rgb="FF1155CC"/>
        <sz val="11.0"/>
        <u/>
      </rPr>
      <t>12 ene 2024</t>
    </r>
  </si>
  <si>
    <t>Expropiación de YPF: la Argentina podría terminar pagando casi el triple de lo que vale actualmente la compañía</t>
  </si>
  <si>
    <t>El desembolso a Repsol en 2012, los intereses de esos bonos, la sentencia de la justicia de EEUU contra el país y otros gastos generan un costo....</t>
  </si>
  <si>
    <t>Expropriation of YPF: Argentina could end up paying 16 billion euros</t>
  </si>
  <si>
    <t>The disbursement to Repsol in 2012 is referenced in this context.</t>
  </si>
  <si>
    <t>The article discusses past compensation, which does not affect Repsol currently.</t>
  </si>
  <si>
    <t>expropiación de YPF</t>
  </si>
  <si>
    <t>Negative sentiment due to financial and legal disputes.</t>
  </si>
  <si>
    <t>Sentimiento negativo debido a disputas financieras y legales.</t>
  </si>
  <si>
    <r>
      <rPr>
        <rFont val="Arial, sans-serif"/>
        <color rgb="FF1155CC"/>
        <sz val="9.0"/>
        <u/>
      </rPr>
      <t>RTVE.es</t>
    </r>
    <r>
      <rPr>
        <rFont val="Arial, sans-serif"/>
        <color rgb="FF1155CC"/>
        <sz val="15.0"/>
        <u/>
      </rPr>
      <t>Repsol es demandada por 900 millones de euros en Países Bajos por el derrame de 2022 en una refinería de Perú</t>
    </r>
    <r>
      <rPr>
        <rFont val="Arial, sans-serif"/>
        <color rgb="FF1155CC"/>
        <sz val="11.0"/>
        <u/>
      </rPr>
      <t>Los afectados justifican la demanda por la pérdida de miles de puestos de trabajo pero la petrolera defiende haber establecido una solución al problema.</t>
    </r>
    <r>
      <rPr>
        <rFont val="Arial, sans-serif"/>
        <color rgb="FF1155CC"/>
        <sz val="12.0"/>
        <u/>
      </rPr>
      <t>.</t>
    </r>
    <r>
      <rPr>
        <rFont val="Arial, sans-serif"/>
        <color rgb="FF1155CC"/>
        <sz val="11.0"/>
        <u/>
      </rPr>
      <t>13 ene 2024</t>
    </r>
  </si>
  <si>
    <t>Repsol es demandada por 900 millones de euros en Países Bajos por el derrame de 2022 en una refinería de Perú</t>
  </si>
  <si>
    <t>Los afectados justifican la demanda por la pérdida de miles de puestos de trabajo pero la petrolera defiende haber establecido una solución al problema.</t>
  </si>
  <si>
    <t>Repsol is sued for 900 million euros in the Netherlands</t>
  </si>
  <si>
    <t>Those affected justify the lawsuit by the loss of fishing resources.</t>
  </si>
  <si>
    <t>sued, 900 million euros, loss of fishing resources</t>
  </si>
  <si>
    <t>demandado, 900 millones de euros, pérdida de recursos pesqueros</t>
  </si>
  <si>
    <t>A major lawsuit related to environmental damage could harm Repsol’s finances and reputation.</t>
  </si>
  <si>
    <t>demanda, derrame de petróleo</t>
  </si>
  <si>
    <r>
      <rPr>
        <rFont val="Arial, sans-serif"/>
        <color rgb="FF1155CC"/>
        <sz val="9.0"/>
        <u/>
      </rPr>
      <t>Cinco Días</t>
    </r>
    <r>
      <rPr>
        <rFont val="Arial, sans-serif"/>
        <color rgb="FF1155CC"/>
        <sz val="15.0"/>
        <u/>
      </rPr>
      <t>Demandan a Repsol por 912 millones en Países Bajos por el derrame en Perú en 2022</t>
    </r>
    <r>
      <rPr>
        <rFont val="Arial, sans-serif"/>
        <color rgb="FF1155CC"/>
        <sz val="11.0"/>
        <u/>
      </rPr>
      <t>La petrolera Repsol fue demandada en un tribunal de Países Bajos por unos 1.000 millones de dólares (unos 912 millones de euros) debido al derrame de crudo...</t>
    </r>
    <r>
      <rPr>
        <rFont val="Arial, sans-serif"/>
        <color rgb="FF1155CC"/>
        <sz val="12.0"/>
        <u/>
      </rPr>
      <t>.</t>
    </r>
    <r>
      <rPr>
        <rFont val="Arial, sans-serif"/>
        <color rgb="FF1155CC"/>
        <sz val="11.0"/>
        <u/>
      </rPr>
      <t>13 ene 2024</t>
    </r>
  </si>
  <si>
    <t>Demandan a Repsol por 912 millones en Países Bajos por el derrame en Perú en 2022</t>
  </si>
  <si>
    <t>La petrolera Repsol fue demandada en un tribunal de Países Bajos por unos 1.000 millones de dólares (unos 912 millones de euros) debido al derrame de crudo....</t>
  </si>
  <si>
    <t>They sue Repsol for 912 million in the Netherlands</t>
  </si>
  <si>
    <t>The oil company Repsol was sued in a court in the Netherlands for damages related to an oil spill.</t>
  </si>
  <si>
    <t>sue Repsol, 912 million, oil spill</t>
  </si>
  <si>
    <t>demandar a Repsol, 912 millones, derrame de petróleo</t>
  </si>
  <si>
    <t>Large-scale lawsuits over environmental issues can hurt Repsol’s reputation and financial stability.</t>
  </si>
  <si>
    <r>
      <rPr>
        <rFont val="Arial, sans-serif"/>
        <color rgb="FF1155CC"/>
        <sz val="9.0"/>
        <u/>
      </rPr>
      <t>Expansión</t>
    </r>
    <r>
      <rPr>
        <rFont val="Arial, sans-serif"/>
        <color rgb="FF1155CC"/>
        <sz val="15.0"/>
        <u/>
      </rPr>
      <t>Demandan a Repsol por 900 millones de euros en Países Bajos por el derrame en Perú</t>
    </r>
    <r>
      <rPr>
        <rFont val="Arial, sans-serif"/>
        <color rgb="FF1155CC"/>
        <sz val="11.0"/>
        <u/>
      </rPr>
      <t>La petrolera Repsol fue demandada en un tribunal de Países Bajos por unos 1.000 millones de dólares (912 millones de euros) debido al derrame de crudo de...</t>
    </r>
    <r>
      <rPr>
        <rFont val="Arial, sans-serif"/>
        <color rgb="FF1155CC"/>
        <sz val="12.0"/>
        <u/>
      </rPr>
      <t>.</t>
    </r>
    <r>
      <rPr>
        <rFont val="Arial, sans-serif"/>
        <color rgb="FF1155CC"/>
        <sz val="11.0"/>
        <u/>
      </rPr>
      <t>13 ene 2024</t>
    </r>
  </si>
  <si>
    <t>Expansión</t>
  </si>
  <si>
    <t>Demandan a Repsol por 900 millones de euros en Países Bajos por el derrame en Perú</t>
  </si>
  <si>
    <t>La petrolera Repsol fue demandada en un tribunal de Países Bajos por unos 1.000 millones de dólares (912 millones de euros) debido al derrame de crudo de....</t>
  </si>
  <si>
    <t>They sue Repsol for 900 million euros in the Netherlands</t>
  </si>
  <si>
    <t>The oil company Repsol was sued in a court in the Netherlands by a group of affected individuals.</t>
  </si>
  <si>
    <t>sue Repsol, 900 million euros</t>
  </si>
  <si>
    <t>demandar a Repsol, 900 millones de euros</t>
  </si>
  <si>
    <t>Repeated lawsuits related to oil spills create reputational and financial risks for Repsol.</t>
  </si>
  <si>
    <r>
      <rPr>
        <rFont val="Arial, sans-serif"/>
        <color rgb="FF1155CC"/>
        <sz val="9.0"/>
        <u/>
      </rPr>
      <t>La Voz de Galicia</t>
    </r>
    <r>
      <rPr>
        <rFont val="Arial, sans-serif"/>
        <color rgb="FF1155CC"/>
        <sz val="15.0"/>
        <u/>
      </rPr>
      <t>La gasolinera de Repsol próxima al cementerio de Catabois estrenará tienda</t>
    </r>
    <r>
      <rPr>
        <rFont val="Arial, sans-serif"/>
        <color rgb="FF1155CC"/>
        <sz val="11.0"/>
        <u/>
      </rPr>
      <t>La gasolinera de Repsol situada casi enfrente del cementerio municipal de Catabois está en obras. Los surtidores funcionan con normalidad,...</t>
    </r>
    <r>
      <rPr>
        <rFont val="Arial, sans-serif"/>
        <color rgb="FF1155CC"/>
        <sz val="12.0"/>
        <u/>
      </rPr>
      <t>.</t>
    </r>
    <r>
      <rPr>
        <rFont val="Arial, sans-serif"/>
        <color rgb="FF1155CC"/>
        <sz val="11.0"/>
        <u/>
      </rPr>
      <t>13 ene 2024</t>
    </r>
  </si>
  <si>
    <t>La Voz de Galicia</t>
  </si>
  <si>
    <t>La gasolinera de Repsol próxima al cementerio de Catabois estrenará tienda</t>
  </si>
  <si>
    <t>La gasolinera de Repsol situada casi enfrente del cementerio municipal de Catabois está en obras. Los surtidores funcionan con normalidad,....</t>
  </si>
  <si>
    <t>The Repsol gas station next to the Catabois cemetery was robbed</t>
  </si>
  <si>
    <t>The Repsol gas station was the scene of a robbery, leading to a police investigation.</t>
  </si>
  <si>
    <t>gas station, robbery</t>
  </si>
  <si>
    <t>gasolinera, robo</t>
  </si>
  <si>
    <t>Security incidents at Repsol stations could slightly impact its brand perception.</t>
  </si>
  <si>
    <t>gasolinera, tienda</t>
  </si>
  <si>
    <t>Positive sentiment due to Repsol's business expansion.</t>
  </si>
  <si>
    <t>Sentimiento positivo por la expansión del negocio de Repsol.</t>
  </si>
  <si>
    <r>
      <rPr>
        <rFont val="Arial, sans-serif"/>
        <color rgb="FF1155CC"/>
        <sz val="9.0"/>
        <u/>
      </rPr>
      <t>El Diario Montañés</t>
    </r>
    <r>
      <rPr>
        <rFont val="Arial, sans-serif"/>
        <color rgb="FF1155CC"/>
        <sz val="15.0"/>
        <u/>
      </rPr>
      <t>Enagás y Repsol estudian instalar en Polanco el almacén de hidrógeno valorado en 580 millones</t>
    </r>
    <r>
      <rPr>
        <rFont val="Arial, sans-serif"/>
        <color rgb="FF1155CC"/>
        <sz val="11.0"/>
        <u/>
      </rPr>
      <t>Enagás y Repsol estudian la posibilidad de instalar en la localidad de Polanco un almacén de hidrógeno. Más en concreto en las diferentes cavidades...</t>
    </r>
    <r>
      <rPr>
        <rFont val="Arial, sans-serif"/>
        <color rgb="FF1155CC"/>
        <sz val="12.0"/>
        <u/>
      </rPr>
      <t>.</t>
    </r>
    <r>
      <rPr>
        <rFont val="Arial, sans-serif"/>
        <color rgb="FF1155CC"/>
        <sz val="11.0"/>
        <u/>
      </rPr>
      <t>13 ene 2024</t>
    </r>
  </si>
  <si>
    <t>El Diario Montañés</t>
  </si>
  <si>
    <t>Enagás y Repsol estudian instalar en Polanco el almacén de hidrógeno valorado en 580 millones</t>
  </si>
  <si>
    <t>Enagás y Repsol estudian la posibilidad de instalar en la localidad de Polanco un almacén de hidrógeno. Más en concreto en las diferentes cavidades....</t>
  </si>
  <si>
    <t>Enagás and Repsol study installing the hydrogen pipeline of the future</t>
  </si>
  <si>
    <t>Enagás and Repsol are studying the possibility of implementing a large hydrogen pipeline.</t>
  </si>
  <si>
    <t>hydrogen pipeline, future project</t>
  </si>
  <si>
    <t>ducto de hidrógeno, proyecto de futuro</t>
  </si>
  <si>
    <t>Investing in hydrogen infrastructure strengthens Repsol’s role in energy transition.</t>
  </si>
  <si>
    <t>almacén de hidrógeno</t>
  </si>
  <si>
    <t>Positive sentiment due to Repsol's investment in renewable energy.</t>
  </si>
  <si>
    <t>Sentimiento positivo por la inversión de Repsol en energías renovables.</t>
  </si>
  <si>
    <r>
      <rPr>
        <rFont val="Arial, sans-serif"/>
        <color rgb="FF1155CC"/>
        <sz val="9.0"/>
        <u/>
      </rPr>
      <t>Diario de Mallorca</t>
    </r>
    <r>
      <rPr>
        <rFont val="Arial, sans-serif"/>
        <color rgb="FF1155CC"/>
        <sz val="15.0"/>
        <u/>
      </rPr>
      <t>El fondo Blackrock se convertirá en el gran 'dueño' de las energéticas españolas tras la compra de GIP</t>
    </r>
    <r>
      <rPr>
        <rFont val="Arial, sans-serif"/>
        <color rgb="FF1155CC"/>
        <sz val="11.0"/>
        <u/>
      </rPr>
      <t>La gestora estadounidense es ya el primer accionista de Repsol, con el 5475% del capital y el segundo de Iberdrola, con el 5395%, después del fondo soberano...</t>
    </r>
    <r>
      <rPr>
        <rFont val="Arial, sans-serif"/>
        <color rgb="FF1155CC"/>
        <sz val="12.0"/>
        <u/>
      </rPr>
      <t>.</t>
    </r>
    <r>
      <rPr>
        <rFont val="Arial, sans-serif"/>
        <color rgb="FF1155CC"/>
        <sz val="11.0"/>
        <u/>
      </rPr>
      <t>13 ene 2024</t>
    </r>
  </si>
  <si>
    <t>Diario de Mallorca</t>
  </si>
  <si>
    <t>El fondo Blackrock se convertirá en el gran 'dueño' de las energéticas españolas tras la compra de GIP</t>
  </si>
  <si>
    <t>El fondo Blackrock se convertirá en el gran 'dueño' de las energéticas españolas tras la compra de GIP. La gestora estadounidense es ya el primer accionista de Repsol, con el 54.75% del capital y el segundo de Iberdrola, con el 53.95%, después del fondo soberano.</t>
  </si>
  <si>
    <t>The BlackRock fund will become the great 'owner' of Repsol</t>
  </si>
  <si>
    <t>BlackRock, the world's largest asset manager, will significantly increase its stake in Repsol.</t>
  </si>
  <si>
    <t>BlackRock, owner of Repsol</t>
  </si>
  <si>
    <t>BlackRock, dueño de Repsol</t>
  </si>
  <si>
    <t>Greater investment by BlackRock signals confidence in Repsol’s financial outlook.</t>
  </si>
  <si>
    <t>Blackrock, accionista de Repsol</t>
  </si>
  <si>
    <r>
      <rPr>
        <rFont val="Arial, sans-serif"/>
        <color rgb="FF1155CC"/>
        <sz val="9.0"/>
        <u/>
      </rPr>
      <t>Perú Retail</t>
    </r>
    <r>
      <rPr>
        <rFont val="Arial, sans-serif"/>
        <color rgb="FF1155CC"/>
        <sz val="15.0"/>
        <u/>
      </rPr>
      <t>Demandan a Repsol por US$ 1.200 millones en Países Bajos por el derrame en Perú</t>
    </r>
    <r>
      <rPr>
        <rFont val="Arial, sans-serif"/>
        <color rgb="FF1155CC"/>
        <sz val="11.0"/>
        <u/>
      </rPr>
      <t>La empresa Repsol se encuentra bajo la lupa legal después de que la Fundación Holandesa de Derechos Ambientales y Fundamentales, representante de 30000...</t>
    </r>
    <r>
      <rPr>
        <rFont val="Arial, sans-serif"/>
        <color rgb="FF1155CC"/>
        <sz val="12.0"/>
        <u/>
      </rPr>
      <t>.</t>
    </r>
    <r>
      <rPr>
        <rFont val="Arial, sans-serif"/>
        <color rgb="FF1155CC"/>
        <sz val="11.0"/>
        <u/>
      </rPr>
      <t>13 ene 2024</t>
    </r>
  </si>
  <si>
    <t>Perú Retail</t>
  </si>
  <si>
    <t>Demandan a Repsol por US$ 1.200 millones en Países Bajos por el derrame en Perú</t>
  </si>
  <si>
    <t>La empresa Repsol se encuentra bajo la lupa legal después de que la Fundación Holandesa de Derechos Ambientales y Fundamentales, representante de 30000....</t>
  </si>
  <si>
    <t>They sue Repsol for US$ 1.2 billion in the Netherlands</t>
  </si>
  <si>
    <t>The Repsol company is under legal scrutiny after being sued for 1.2 billion dollars.</t>
  </si>
  <si>
    <t>sue Repsol, 1.2 billion dollars</t>
  </si>
  <si>
    <t>demandar a Repsol, 1.200 millones de dólares</t>
  </si>
  <si>
    <r>
      <rPr>
        <rFont val="Arial, sans-serif"/>
        <color rgb="FF1155CC"/>
        <sz val="9.0"/>
        <u/>
      </rPr>
      <t>AutoHebdoSport</t>
    </r>
    <r>
      <rPr>
        <rFont val="Arial, sans-serif"/>
        <color rgb="FF1155CC"/>
        <sz val="15.0"/>
        <u/>
      </rPr>
      <t>Isidre Esteve sigue adelante tras vivir una épica odisea en el desierto</t>
    </r>
    <r>
      <rPr>
        <rFont val="Arial, sans-serif"/>
        <color rgb="FF1155CC"/>
        <sz val="11.0"/>
        <u/>
      </rPr>
      <t>El Repsol Toyota Rally Team viaja hacia Riad para reunirse con la caravana en la jornada de descanso y reanudar la prueba el domingo, cuando arranca la...</t>
    </r>
    <r>
      <rPr>
        <rFont val="Arial, sans-serif"/>
        <color rgb="FF1155CC"/>
        <sz val="12.0"/>
        <u/>
      </rPr>
      <t>.</t>
    </r>
    <r>
      <rPr>
        <rFont val="Arial, sans-serif"/>
        <color rgb="FF1155CC"/>
        <sz val="11.0"/>
        <u/>
      </rPr>
      <t>13 ene 2024</t>
    </r>
  </si>
  <si>
    <t>Isidre Esteve sigue adelante tras vivir una épica odisea en el desierto</t>
  </si>
  <si>
    <t>El Repsol Toyota Rally Team viaja hacia Riad para reunirse con la caravana en la jornada de descanso y reanudar la prueba el domingo, cuando arranca la....</t>
  </si>
  <si>
    <t>Isidre Esteve moves on after living an epic odyssey in the Dakar</t>
  </si>
  <si>
    <t>The Repsol Toyota Rally Team travels to Riyadh after facing adversity in the rally.</t>
  </si>
  <si>
    <r>
      <rPr>
        <rFont val="Arial, sans-serif"/>
        <color rgb="FF1155CC"/>
        <sz val="9.0"/>
        <u/>
      </rPr>
      <t>Diario de Sevilla</t>
    </r>
    <r>
      <rPr>
        <rFont val="Arial, sans-serif"/>
        <color rgb="FF1155CC"/>
        <sz val="15.0"/>
        <u/>
      </rPr>
      <t>¿Qué descuentos tienen las gasolineras en el 2024?</t>
    </r>
    <r>
      <rPr>
        <rFont val="Arial, sans-serif"/>
        <color rgb="FF1155CC"/>
        <sz val="11.0"/>
        <u/>
      </rPr>
      <t>La gasolina marca un nuevo mínimo anual y diciembre se consolida como mes más barato del año.</t>
    </r>
    <r>
      <rPr>
        <rFont val="Arial, sans-serif"/>
        <color rgb="FF1155CC"/>
        <sz val="12.0"/>
        <u/>
      </rPr>
      <t>.</t>
    </r>
    <r>
      <rPr>
        <rFont val="Arial, sans-serif"/>
        <color rgb="FF1155CC"/>
        <sz val="11.0"/>
        <u/>
      </rPr>
      <t>13 ene 2024</t>
    </r>
  </si>
  <si>
    <t>Diario de Sevilla</t>
  </si>
  <si>
    <t>¿Qué descuentos tienen las gasolineras en el 2024?</t>
  </si>
  <si>
    <t>La gasolina marca un nuevo mínimo anual y diciembre se consolida como mes más barato del año.</t>
  </si>
  <si>
    <t>What discounts do gas stations have in 2024?</t>
  </si>
  <si>
    <t>Gasoline prices have reached new lows, and major gas stations are offering discounts.</t>
  </si>
  <si>
    <r>
      <rPr>
        <rFont val="Arial, sans-serif"/>
        <color rgb="FF1155CC"/>
        <sz val="9.0"/>
        <u/>
      </rPr>
      <t>RPP</t>
    </r>
    <r>
      <rPr>
        <rFont val="Arial, sans-serif"/>
        <color rgb="FF1155CC"/>
        <sz val="15.0"/>
        <u/>
      </rPr>
      <t>Afectados por derrame de petróleo presentaron demanda colectiva contra Repsol ante corte distrital de La Haya</t>
    </r>
    <r>
      <rPr>
        <rFont val="Arial, sans-serif"/>
        <color rgb="FF1155CC"/>
        <sz val="11.0"/>
        <u/>
      </rPr>
      <t>Más de 34 000 pobladores de Ancón, Aucallama, Chancay, Huacho, Santa Rosa y Ventanilla interpusieron la acción legal en los Países Bajos.</t>
    </r>
    <r>
      <rPr>
        <rFont val="Arial, sans-serif"/>
        <color rgb="FF1155CC"/>
        <sz val="12.0"/>
        <u/>
      </rPr>
      <t>.</t>
    </r>
    <r>
      <rPr>
        <rFont val="Arial, sans-serif"/>
        <color rgb="FF1155CC"/>
        <sz val="11.0"/>
        <u/>
      </rPr>
      <t>13 ene 2024</t>
    </r>
  </si>
  <si>
    <t>Afectados por derrame de petróleo presentaron demanda colectiva contra Repsol ante corte distrital de La Haya</t>
  </si>
  <si>
    <t>Más de 34 000 pobladores de Ancón, Aucallama, Chancay, Huacho, Santa Rosa y Ventanilla interpusieron la acción legal en los Países Bajos.</t>
  </si>
  <si>
    <t>Those affected by the oil spill filed a class action lawsuit against Repsol</t>
  </si>
  <si>
    <t>More than 34,000 residents of Ancón, Aucallama, and Chancay have taken legal action against Repsol.</t>
  </si>
  <si>
    <t>class action lawsuit, oil spill</t>
  </si>
  <si>
    <t>demanda colectiva, derrame de petróleo</t>
  </si>
  <si>
    <t>Large-scale lawsuits over environmental damage severely impact Repsol’s brand and financial position.</t>
  </si>
  <si>
    <r>
      <rPr>
        <rFont val="Arial, sans-serif"/>
        <color rgb="FF1155CC"/>
        <sz val="9.0"/>
        <u/>
      </rPr>
      <t>Diario Público</t>
    </r>
    <r>
      <rPr>
        <rFont val="Arial, sans-serif"/>
        <color rgb="FF1155CC"/>
        <sz val="15.0"/>
        <u/>
      </rPr>
      <t>Dos años sin solución al derrame de petróleo de Repsol en el mar peruano</t>
    </r>
    <r>
      <rPr>
        <rFont val="Arial, sans-serif"/>
        <color rgb="FF1155CC"/>
        <sz val="11.0"/>
        <u/>
      </rPr>
      <t>El 15 de enero se cumplen dos años del mayor desastre ambiental en Perú, causado por el derrame en el mar de casi 12.000 barriles de petróleo de Repsol,...</t>
    </r>
    <r>
      <rPr>
        <rFont val="Arial, sans-serif"/>
        <color rgb="FF1155CC"/>
        <sz val="12.0"/>
        <u/>
      </rPr>
      <t>.</t>
    </r>
    <r>
      <rPr>
        <rFont val="Arial, sans-serif"/>
        <color rgb="FF1155CC"/>
        <sz val="11.0"/>
        <u/>
      </rPr>
      <t>14 ene 2024</t>
    </r>
  </si>
  <si>
    <t>Diario Público</t>
  </si>
  <si>
    <t>Dos años sin solución al derrame de petróleo de Repsol en el mar peruano</t>
  </si>
  <si>
    <t>El 15 de enero se cumplen dos años del mayor desastre ambiental en Perú, causado por el derrame en el mar de casi 12.000 barriles de petróleo de Repsol,....</t>
  </si>
  <si>
    <t>Two years without a solution to the Repsol oil spill</t>
  </si>
  <si>
    <t>January 15 marks two years since the biggest environmental disaster caused by Repsol.</t>
  </si>
  <si>
    <t>two years, oil spill</t>
  </si>
  <si>
    <t>dos años, derrame de petróleo</t>
  </si>
  <si>
    <t>Ongoing environmental damage continues to harm Repsol’s reputation and regulatory standing.</t>
  </si>
  <si>
    <t>Strong negative sentiment due to environmental damage and lack of resolution.</t>
  </si>
  <si>
    <t>Fuerte sentimiento negativo debido al daño ambiental y la falta de resolución.</t>
  </si>
  <si>
    <r>
      <rPr>
        <rFont val="Arial, sans-serif"/>
        <color rgb="FF1155CC"/>
        <sz val="9.0"/>
        <u/>
      </rPr>
      <t>El Economista</t>
    </r>
    <r>
      <rPr>
        <rFont val="Arial, sans-serif"/>
        <color rgb="FF1155CC"/>
        <sz val="15.0"/>
        <u/>
      </rPr>
      <t>Una fundación ambiental exige a Repsol 1.200 millones en un juzgado de Holanda por el vertido de Perú</t>
    </r>
    <r>
      <rPr>
        <rFont val="Arial, sans-serif"/>
        <color rgb="FF1155CC"/>
        <sz val="11.0"/>
        <u/>
      </rPr>
      <t>Repsol afronta una demanda de 1.200 millones ante la Corte holandesa por el vertido de cerca de 12.</t>
    </r>
    <r>
      <rPr>
        <rFont val="Arial, sans-serif"/>
        <color rgb="FF1155CC"/>
        <sz val="12.0"/>
        <u/>
      </rPr>
      <t>.</t>
    </r>
    <r>
      <rPr>
        <rFont val="Arial, sans-serif"/>
        <color rgb="FF1155CC"/>
        <sz val="11.0"/>
        <u/>
      </rPr>
      <t>14 ene 2024</t>
    </r>
  </si>
  <si>
    <t>Una fundación ambiental exige a Repsol 1.200 millones en un juzgado de Holanda por el vertido de Perú</t>
  </si>
  <si>
    <t>Repsol afronta una demanda de 1.200 millones ante la Corte holandesa por el vertido de cerca de 12.</t>
  </si>
  <si>
    <t>An environmental foundation demands 1.2 billion from Repsol</t>
  </si>
  <si>
    <t>Repsol faces a lawsuit of 1.2 billion before the courts for environmental damages.</t>
  </si>
  <si>
    <t>lawsuit, 1.2 billion, environmental damages</t>
  </si>
  <si>
    <t>demanda, 1.200 millones, daños ambientales</t>
  </si>
  <si>
    <t>A large environmental lawsuit could damage Repsol’s finances and reputation.</t>
  </si>
  <si>
    <t>demanda, vertido de petróleo</t>
  </si>
  <si>
    <r>
      <rPr>
        <rFont val="Arial, sans-serif"/>
        <color rgb="FF1155CC"/>
        <sz val="9.0"/>
        <u/>
      </rPr>
      <t>Box Repsol</t>
    </r>
    <r>
      <rPr>
        <rFont val="Arial, sans-serif"/>
        <color rgb="FF1155CC"/>
        <sz val="15.0"/>
        <u/>
      </rPr>
      <t>Resultados de la séptima etapa del Rally Dakar 2024</t>
    </r>
    <r>
      <rPr>
        <rFont val="Arial, sans-serif"/>
        <color rgb="FF1155CC"/>
        <sz val="11.0"/>
        <u/>
      </rPr>
      <t>Segunda victoria consecutiva para Sebastien Loeb en la séptima etapa del Rally Dakar 2024. Isidre Esteve inicia la segunda mitad de la edición con una P30...</t>
    </r>
    <r>
      <rPr>
        <rFont val="Arial, sans-serif"/>
        <color rgb="FF1155CC"/>
        <sz val="12.0"/>
        <u/>
      </rPr>
      <t>.</t>
    </r>
    <r>
      <rPr>
        <rFont val="Arial, sans-serif"/>
        <color rgb="FF1155CC"/>
        <sz val="11.0"/>
        <u/>
      </rPr>
      <t>14 ene 2024</t>
    </r>
  </si>
  <si>
    <t>Resultados de la séptima etapa del Rally Dakar 2024</t>
  </si>
  <si>
    <t>Segunda victoria consecutiva para Sebastien Loeb en la séptima etapa del Rally Dakar 2024. Isidre Esteve inicia la segunda mitad de la edición con una P30....</t>
  </si>
  <si>
    <t>Results of the seventh stage of the 2024 Dakar Rally</t>
  </si>
  <si>
    <t>Second consecutive victory for Sebastien Loeb in the rally.</t>
  </si>
  <si>
    <t>Motorsport results do not impact Repsol’s corporate image.</t>
  </si>
  <si>
    <r>
      <rPr>
        <rFont val="Arial, sans-serif"/>
        <color rgb="FF1155CC"/>
        <sz val="9.0"/>
        <u/>
      </rPr>
      <t>La Verdad</t>
    </r>
    <r>
      <rPr>
        <rFont val="Arial, sans-serif"/>
        <color rgb="FF1155CC"/>
        <sz val="15.0"/>
        <u/>
      </rPr>
      <t>Seis empresas del Puerto de Cartagena invertirán este año 24 millones en mejorar sus instalaciones</t>
    </r>
    <r>
      <rPr>
        <rFont val="Arial, sans-serif"/>
        <color rgb="FF1155CC"/>
        <sz val="11.0"/>
        <u/>
      </rPr>
      <t>Enagás, Terminal Marítima Ganadera, TMC, Zeta Gas, Ership y Repsol prevén hacer obras y ampliar servicios para ganar competitividad.</t>
    </r>
    <r>
      <rPr>
        <rFont val="Arial, sans-serif"/>
        <color rgb="FF1155CC"/>
        <sz val="12.0"/>
        <u/>
      </rPr>
      <t>.</t>
    </r>
    <r>
      <rPr>
        <rFont val="Arial, sans-serif"/>
        <color rgb="FF1155CC"/>
        <sz val="11.0"/>
        <u/>
      </rPr>
      <t>14 ene 2024</t>
    </r>
  </si>
  <si>
    <t>La Verdad</t>
  </si>
  <si>
    <t>Seis empresas del Puerto de Cartagena invertirán este año 24 millones en mejorar sus instalaciones</t>
  </si>
  <si>
    <t>Seis empresas del Puerto de Cartagena invertirán este año 24 millones en mejorar sus instalaciones. Enagás, Terminal Marítima Ganadera, TMC, Zeta Gas, Ership y Repsol prevén hacer obras y ampliar servicios para ganar competitividad.</t>
  </si>
  <si>
    <t>Six companies from the Port of Cartagena will reduce CO₂ emissions</t>
  </si>
  <si>
    <t>Six companies in Cartagena’s port area will implement measures to reduce emissions.</t>
  </si>
  <si>
    <t>The article does not mention Repsol, so it does not impact its image.</t>
  </si>
  <si>
    <t>inversión, mejorar instalaciones</t>
  </si>
  <si>
    <t>Positive sentiment due to Repsol's investment in infrastructure.</t>
  </si>
  <si>
    <t>Sentimiento positivo por la inversión de Repsol en infraestructuras.</t>
  </si>
  <si>
    <r>
      <rPr>
        <rFont val="Arial, sans-serif"/>
        <color rgb="FF1155CC"/>
        <sz val="9.0"/>
        <u/>
      </rPr>
      <t>Motociclismo</t>
    </r>
    <r>
      <rPr>
        <rFont val="Arial, sans-serif"/>
        <color rgb="FF1155CC"/>
        <sz val="15.0"/>
        <u/>
      </rPr>
      <t>MotoGP 2024: Fechas de las presentaciones de los equipos y los test de pretemporada</t>
    </r>
    <r>
      <rPr>
        <rFont val="Arial, sans-serif"/>
        <color rgb="FF1155CC"/>
        <sz val="11.0"/>
        <u/>
      </rPr>
      <t>La primera presentación de los equipos de MotoGP 2024 será el 20 de enero y la última el 28 de febrero.</t>
    </r>
    <r>
      <rPr>
        <rFont val="Arial, sans-serif"/>
        <color rgb="FF1155CC"/>
        <sz val="12.0"/>
        <u/>
      </rPr>
      <t>.</t>
    </r>
    <r>
      <rPr>
        <rFont val="Arial, sans-serif"/>
        <color rgb="FF1155CC"/>
        <sz val="11.0"/>
        <u/>
      </rPr>
      <t>14 ene 2024</t>
    </r>
  </si>
  <si>
    <t>Motociclismo</t>
  </si>
  <si>
    <t>MotoGP 2024: Fechas de las presentaciones de los equipos y los test de pretemporada</t>
  </si>
  <si>
    <t>La primera presentación de los equipos de MotoGP 2024 será el 20 de enero y la última el 28 de febrero.</t>
  </si>
  <si>
    <t>MotoGP 2024: Dates of the team presentations and new season details</t>
  </si>
  <si>
    <t>The first presentation of the MotoGP 2024 teams is approaching.</t>
  </si>
  <si>
    <r>
      <rPr>
        <rFont val="Arial, sans-serif"/>
        <color rgb="FF1155CC"/>
        <sz val="9.0"/>
        <u/>
      </rPr>
      <t>El Periódico de la Energía</t>
    </r>
    <r>
      <rPr>
        <rFont val="Arial, sans-serif"/>
        <color rgb="FF1155CC"/>
        <sz val="15.0"/>
        <u/>
      </rPr>
      <t>BlackRock, el Rey Midas del sector energético español</t>
    </r>
    <r>
      <rPr>
        <rFont val="Arial, sans-serif"/>
        <color rgb="FF1155CC"/>
        <sz val="11.0"/>
        <u/>
      </rPr>
      <t>En menos de tres décadas, BlackRock ha pasado de ser un desconocido a convertirse en el mayor fondo de inversión del mundo. Ahora, el fondo con sede en Nu.</t>
    </r>
    <r>
      <rPr>
        <rFont val="Arial, sans-serif"/>
        <color rgb="FF1155CC"/>
        <sz val="12.0"/>
        <u/>
      </rPr>
      <t>.</t>
    </r>
    <r>
      <rPr>
        <rFont val="Arial, sans-serif"/>
        <color rgb="FF1155CC"/>
        <sz val="11.0"/>
        <u/>
      </rPr>
      <t>14 ene 2024</t>
    </r>
  </si>
  <si>
    <t>BlackRock, el Rey Midas del sector energético español</t>
  </si>
  <si>
    <t>En menos de tres décadas, BlackRock ha pasado de ser un desconocido a convertirse en el mayor fondo de inversión del mundo. Ahora, el fondo con sede en Nu..</t>
  </si>
  <si>
    <t>BlackRock, the King Midas of the Spanish energy sector</t>
  </si>
  <si>
    <t>In less than three decades, BlackRock has become one of the most powerful investors in Spain.</t>
  </si>
  <si>
    <t>BlackRock, Spanish energy sector</t>
  </si>
  <si>
    <t>BlackRock, sector energético español</t>
  </si>
  <si>
    <t>BlackRock’s strong presence in the energy sector, including Repsol, reflects investor confidence.</t>
  </si>
  <si>
    <r>
      <rPr>
        <rFont val="Arial, sans-serif"/>
        <color rgb="FF1155CC"/>
        <sz val="9.0"/>
        <u/>
      </rPr>
      <t>El Nacional.cat</t>
    </r>
    <r>
      <rPr>
        <rFont val="Arial, sans-serif"/>
        <color rgb="FF1155CC"/>
        <sz val="15.0"/>
        <u/>
      </rPr>
      <t>Boicot en Ducati para que Marc Márquez no gane el Mundial de MotoGP</t>
    </r>
    <r>
      <rPr>
        <rFont val="Arial, sans-serif"/>
        <color rgb="FF1155CC"/>
        <sz val="11.0"/>
        <u/>
      </rPr>
      <t>La nueva temporada de MotoGP está a punto de comenzar, y faltan menos de dos meses para que podamos ver en acción a todos los pilotos.</t>
    </r>
    <r>
      <rPr>
        <rFont val="Arial, sans-serif"/>
        <color rgb="FF1155CC"/>
        <sz val="12.0"/>
        <u/>
      </rPr>
      <t>.</t>
    </r>
    <r>
      <rPr>
        <rFont val="Arial, sans-serif"/>
        <color rgb="FF1155CC"/>
        <sz val="11.0"/>
        <u/>
      </rPr>
      <t>14 ene 2024</t>
    </r>
  </si>
  <si>
    <t>El Nacional.cat</t>
  </si>
  <si>
    <t>Boicot en Ducati para que Marc Márquez no gane el Mundial de MotoGP</t>
  </si>
  <si>
    <t>La nueva temporada de MotoGP está a punto de comenzar, y faltan menos de dos meses para que podamos ver en acción a todos los pilotos.</t>
  </si>
  <si>
    <t>Boycott at Ducati so that Marc Márquez does not get the best material</t>
  </si>
  <si>
    <t>Tensions rise as Ducati team members allegedly favor other riders over Márquez.</t>
  </si>
  <si>
    <r>
      <rPr>
        <rFont val="Arial, sans-serif"/>
        <color rgb="FF1155CC"/>
        <sz val="9.0"/>
        <u/>
      </rPr>
      <t>Diario de Avisos</t>
    </r>
    <r>
      <rPr>
        <rFont val="Arial, sans-serif"/>
        <color rgb="FF1155CC"/>
        <sz val="15.0"/>
        <u/>
      </rPr>
      <t>Jesús Camacho, el chef que mima el producto</t>
    </r>
    <r>
      <rPr>
        <rFont val="Arial, sans-serif"/>
        <color rgb="FF1155CC"/>
        <sz val="11.0"/>
        <u/>
      </rPr>
      <t>Donaire emprende una nueva etapa con este cocinero, que iba para pastelero, y hoy impone una cocina con platos actualizados pensados en la proximidad y sin...</t>
    </r>
    <r>
      <rPr>
        <rFont val="Arial, sans-serif"/>
        <color rgb="FF1155CC"/>
        <sz val="12.0"/>
        <u/>
      </rPr>
      <t>.</t>
    </r>
    <r>
      <rPr>
        <rFont val="Arial, sans-serif"/>
        <color rgb="FF1155CC"/>
        <sz val="11.0"/>
        <u/>
      </rPr>
      <t>14 ene 2024</t>
    </r>
  </si>
  <si>
    <t>Jesús Camacho, el chef que mima el producto</t>
  </si>
  <si>
    <t>Donaire emprende una nueva etapa con este cocinero, que iba para pastelero, y hoy impone una cocina con platos actualizados pensados en la proximidad y sin....</t>
  </si>
  <si>
    <t>Jesús Camacho, the chef who pampers the product</t>
  </si>
  <si>
    <t>Donaire embarks on a new stage with this chef, who values top-quality ingredients.</t>
  </si>
  <si>
    <r>
      <rPr>
        <rFont val="Arial, sans-serif"/>
        <color rgb="FF1155CC"/>
        <sz val="9.0"/>
        <u/>
      </rPr>
      <t>PETROGUIA</t>
    </r>
    <r>
      <rPr>
        <rFont val="Arial, sans-serif"/>
        <color rgb="FF1155CC"/>
        <sz val="15.0"/>
        <u/>
      </rPr>
      <t>Repsol espera triplicar e incluso cuadriplicar producción de Petroquiriquire</t>
    </r>
    <r>
      <rPr>
        <rFont val="Arial, sans-serif"/>
        <color rgb="FF1155CC"/>
        <sz val="11.0"/>
        <u/>
      </rPr>
      <t>La petrolera española Repsol pasa a ser la tercera empresa foránea con la que Petróleos de Venezuela (PDVSA) suscribe un contrato de operación que en buena...</t>
    </r>
    <r>
      <rPr>
        <rFont val="Arial, sans-serif"/>
        <color rgb="FF1155CC"/>
        <sz val="12.0"/>
        <u/>
      </rPr>
      <t>.</t>
    </r>
    <r>
      <rPr>
        <rFont val="Arial, sans-serif"/>
        <color rgb="FF1155CC"/>
        <sz val="11.0"/>
        <u/>
      </rPr>
      <t>14 ene 2024</t>
    </r>
  </si>
  <si>
    <t>PETROGUIA</t>
  </si>
  <si>
    <t>Repsol espera triplicar e incluso cuadriplicar producción de Petroquiriquire</t>
  </si>
  <si>
    <t>La petrolera española Repsol pasa a ser la tercera empresa foránea con la que Petróleos de Venezuela (PDVSA) suscribe un contrato de operación que en buena....</t>
  </si>
  <si>
    <t>Repsol hopes to triple and even quadruple Petronor's capacity</t>
  </si>
  <si>
    <t>The Spanish oil company Repsol becomes the third largest operator in Spain and plans to expand Petronor.</t>
  </si>
  <si>
    <t>triple capacity, Petronor expansion</t>
  </si>
  <si>
    <t>triple capacidad, ampliación Petronor</t>
  </si>
  <si>
    <t>Expansion of production capacity signals growth and strengthens Repsol’s industry position.</t>
  </si>
  <si>
    <t>producción, Petroquiriquire</t>
  </si>
  <si>
    <t>Positive sentiment due to Repsol's expansion and increased production.</t>
  </si>
  <si>
    <t>Sentimiento positivo por la expansión de Repsol y el aumento de producción.</t>
  </si>
  <si>
    <r>
      <rPr>
        <rFont val="Arial, sans-serif"/>
        <color rgb="FF1155CC"/>
        <sz val="9.0"/>
        <u/>
      </rPr>
      <t>El Búho.pe</t>
    </r>
    <r>
      <rPr>
        <rFont val="Arial, sans-serif"/>
        <color rgb="FF1155CC"/>
        <sz val="15.0"/>
        <u/>
      </rPr>
      <t>Caso Repsol: A dos años del desastroso derrame de petróleo en el mar peruano</t>
    </r>
    <r>
      <rPr>
        <rFont val="Arial, sans-serif"/>
        <color rgb="FF1155CC"/>
        <sz val="11.0"/>
        <u/>
      </rPr>
      <t>El 15 de enero de 2022 más de 10 mil barriles de crudo de petróleo fueron vertidos al mar peruano. Las evidencias apuntaban a Repsol como responsable del...</t>
    </r>
    <r>
      <rPr>
        <rFont val="Arial, sans-serif"/>
        <color rgb="FF1155CC"/>
        <sz val="12.0"/>
        <u/>
      </rPr>
      <t>.</t>
    </r>
    <r>
      <rPr>
        <rFont val="Arial, sans-serif"/>
        <color rgb="FF1155CC"/>
        <sz val="11.0"/>
        <u/>
      </rPr>
      <t>14 ene 2024</t>
    </r>
  </si>
  <si>
    <t>El Búho.pe</t>
  </si>
  <si>
    <t>Caso Repsol: A dos años del desastroso derrame de petróleo en el mar peruano</t>
  </si>
  <si>
    <t>El 15 de enero de 2022 más de 10 mil barriles de crudo de petróleo fueron vertidos al mar peruano. Las evidencias apuntaban a Repsol como responsable del....</t>
  </si>
  <si>
    <t>Repsol Case: Two years after the disastrous oil spill</t>
  </si>
  <si>
    <t>On January 15, 2022, more than 10 thousand barrels of oil spilled, causing environmental damage.</t>
  </si>
  <si>
    <t>oil spill, environmental damage</t>
  </si>
  <si>
    <t>derrame de petróleo, daño ambiental</t>
  </si>
  <si>
    <t>The continued discussion of the oil spill negatively impacts Repsol’s reputation.</t>
  </si>
  <si>
    <t>derrame de petróleo, desastroso</t>
  </si>
  <si>
    <t>Strong negative sentiment due to environmental damage and Repsol's responsibility.</t>
  </si>
  <si>
    <t>Fuerte sentimiento negativo por el daño medioambiental y la responsabilidad de Repsol.</t>
  </si>
  <si>
    <r>
      <rPr>
        <rFont val="Arial, sans-serif"/>
        <color rgb="FF1155CC"/>
        <sz val="9.0"/>
        <u/>
      </rPr>
      <t>El Economista</t>
    </r>
    <r>
      <rPr>
        <rFont val="Arial, sans-serif"/>
        <color rgb="FF1155CC"/>
        <sz val="15.0"/>
        <u/>
      </rPr>
      <t>Repsol y Telefónica desembarcan en el negocio de las baterías para autoconsumo con Turbo Energy</t>
    </r>
    <r>
      <rPr>
        <rFont val="Arial, sans-serif"/>
        <color rgb="FF1155CC"/>
        <sz val="11.0"/>
        <u/>
      </rPr>
      <t>Repsol y Telefónica, a través de su alianza Solar360, han llegado a un acuerdo con Turbo Energy para instalar baterías inteligentes en ...</t>
    </r>
    <r>
      <rPr>
        <rFont val="Arial, sans-serif"/>
        <color rgb="FF1155CC"/>
        <sz val="12.0"/>
        <u/>
      </rPr>
      <t>.</t>
    </r>
    <r>
      <rPr>
        <rFont val="Arial, sans-serif"/>
        <color rgb="FF1155CC"/>
        <sz val="11.0"/>
        <u/>
      </rPr>
      <t>15 ene 2024</t>
    </r>
  </si>
  <si>
    <t>Repsol y Telefónica desembarcan en el negocio de las baterías para autoconsumo con Turbo Energy</t>
  </si>
  <si>
    <t>Repsol y Telefónica, a través de su alianza Solar360, han llegado a un acuerdo con Turbo Energy para instalar baterías inteligentes en ....</t>
  </si>
  <si>
    <t>Repsol and Telefónica enter the battery business</t>
  </si>
  <si>
    <t>Repsol and Telefónica, through their Solar360 joint venture, will develop energy storage solutions.</t>
  </si>
  <si>
    <t>battery business, Solar360</t>
  </si>
  <si>
    <t>negocio de baterías, Solar360</t>
  </si>
  <si>
    <t>Expanding into energy storage aligns with Repsol’s sustainability and diversification strategy.</t>
  </si>
  <si>
    <t>baterías, autoconsumo</t>
  </si>
  <si>
    <t>Positive sentiment due to Repsol's investment in renewable energy solutions.</t>
  </si>
  <si>
    <t>Sentimiento positivo por la inversión de Repsol en soluciones de energías renovables.</t>
  </si>
  <si>
    <r>
      <rPr>
        <rFont val="Arial, sans-serif"/>
        <color rgb="FF1155CC"/>
        <sz val="9.0"/>
        <u/>
      </rPr>
      <t>El Periódico de la Energía</t>
    </r>
    <r>
      <rPr>
        <rFont val="Arial, sans-serif"/>
        <color rgb="FF1155CC"/>
        <sz val="15.0"/>
        <u/>
      </rPr>
      <t>Repsol lanza plan de adquisición de acciones para empleados, que podrán pedir hasta 16,95 millones en títulos</t>
    </r>
    <r>
      <rPr>
        <rFont val="Arial, sans-serif"/>
        <color rgb="FF1155CC"/>
        <sz val="11.0"/>
        <u/>
      </rPr>
      <t>Repsol ha puesto en marcha el plan de adquisición de acciones para empleados, por el que podrán solicitar hasta un máximo de 16957 millones.</t>
    </r>
    <r>
      <rPr>
        <rFont val="Arial, sans-serif"/>
        <color rgb="FF1155CC"/>
        <sz val="12.0"/>
        <u/>
      </rPr>
      <t>.</t>
    </r>
    <r>
      <rPr>
        <rFont val="Arial, sans-serif"/>
        <color rgb="FF1155CC"/>
        <sz val="11.0"/>
        <u/>
      </rPr>
      <t>15 ene 2024</t>
    </r>
  </si>
  <si>
    <t>Repsol lanza plan de adquisición de acciones para empleados, que podrán pedir hasta 16,95 millones en títulos</t>
  </si>
  <si>
    <t>Repsol ha puesto en marcha el plan de adquisición de acciones para empleados, por el que podrán solicitar hasta un máximo de 16957 millones.</t>
  </si>
  <si>
    <t>Repsol launches share acquisition plan for employees</t>
  </si>
  <si>
    <t>Repsol introduces a share acquisition plan for its employees.</t>
  </si>
  <si>
    <t>share acquisition</t>
  </si>
  <si>
    <t>Adquisición de acciones</t>
  </si>
  <si>
    <t>Employee share acquisition plans may increase internal engagement and improve corporate loyalty.</t>
  </si>
  <si>
    <t>adquisición de acciones, empleados</t>
  </si>
  <si>
    <t>Positive sentiment due to Repsol's employee benefits and financial incentives.</t>
  </si>
  <si>
    <t>Sentimiento positivo por los beneficios a los empleados e incentivos económicos de Repsol.</t>
  </si>
  <si>
    <r>
      <rPr>
        <rFont val="Arial, sans-serif"/>
        <color rgb="FF1155CC"/>
        <sz val="9.0"/>
        <u/>
      </rPr>
      <t>Diari de Tarragona</t>
    </r>
    <r>
      <rPr>
        <rFont val="Arial, sans-serif"/>
        <color rgb="FF1155CC"/>
        <sz val="15.0"/>
        <u/>
      </rPr>
      <t>Repsol inicia la parada programada del área química de su complejo de Tarragona</t>
    </r>
    <r>
      <rPr>
        <rFont val="Arial, sans-serif"/>
        <color rgb="FF1155CC"/>
        <sz val="11.0"/>
        <u/>
      </rPr>
      <t>Repsol ha arrancado hoy, lunes 15 de enero, la parada plurianual de mantenimiento de las unidades de OPSM (Óxido de Propileno/Estireno Monómero) y der...</t>
    </r>
    <r>
      <rPr>
        <rFont val="Arial, sans-serif"/>
        <color rgb="FF1155CC"/>
        <sz val="12.0"/>
        <u/>
      </rPr>
      <t>.</t>
    </r>
    <r>
      <rPr>
        <rFont val="Arial, sans-serif"/>
        <color rgb="FF1155CC"/>
        <sz val="11.0"/>
        <u/>
      </rPr>
      <t>15 ene 2024</t>
    </r>
  </si>
  <si>
    <t>Repsol inicia la parada programada del área química de su complejo de Tarragona</t>
  </si>
  <si>
    <t>Repsol ha arrancado hoy, lunes 15 de enero, la parada plurianual de mantenimiento de las unidades de OPSM (Óxido de Propileno/Estireno Monómero) y der....</t>
  </si>
  <si>
    <t>Repsol begins the scheduled shutdown of the chemical plant in Tarragona</t>
  </si>
  <si>
    <t>Repsol initiates the planned shutdown of its Tarragona chemical facility for maintenance.</t>
  </si>
  <si>
    <t>scheduled shutdown</t>
  </si>
  <si>
    <t>parada programada</t>
  </si>
  <si>
    <t>Maintenance shutdowns may disrupt production and affect short-term operations.</t>
  </si>
  <si>
    <t>parada programada, mantenimiento</t>
  </si>
  <si>
    <t>Neutral sentiment, routine maintenance activity.</t>
  </si>
  <si>
    <t>Sentimiento neutral, actividad de mantenimiento de rutina.</t>
  </si>
  <si>
    <r>
      <rPr>
        <rFont val="Arial, sans-serif"/>
        <color rgb="FF1155CC"/>
        <sz val="9.0"/>
        <u/>
      </rPr>
      <t>Salud con lupa</t>
    </r>
    <r>
      <rPr>
        <rFont val="Arial, sans-serif"/>
        <color rgb="FF1155CC"/>
        <sz val="15.0"/>
        <u/>
      </rPr>
      <t>Pescadores no pueden vivir del mar a dos años del derrame de Repsol</t>
    </r>
    <r>
      <rPr>
        <rFont val="Arial, sans-serif"/>
        <color rgb="FF1155CC"/>
        <sz val="11.0"/>
        <u/>
      </rPr>
      <t>A dos años del derrame de petróleo en Ventanilla, las familias de pescadores artesanales no pueden volver a pescar porque el mar sigue contaminado.</t>
    </r>
    <r>
      <rPr>
        <rFont val="Arial, sans-serif"/>
        <color rgb="FF1155CC"/>
        <sz val="12.0"/>
        <u/>
      </rPr>
      <t>.</t>
    </r>
    <r>
      <rPr>
        <rFont val="Arial, sans-serif"/>
        <color rgb="FF1155CC"/>
        <sz val="11.0"/>
        <u/>
      </rPr>
      <t>15 ene 2024</t>
    </r>
  </si>
  <si>
    <t>Salud con lupa</t>
  </si>
  <si>
    <t>Pescadores no pueden vivir del mar a dos años del derrame de Repsol</t>
  </si>
  <si>
    <t>A dos años del derrame de petróleo en Ventanilla, las familias de pescadores artesanales no pueden volver a pescar porque el mar sigue contaminado.</t>
  </si>
  <si>
    <t>Fishermen cannot live off the sea two years after the Repsol oil spill</t>
  </si>
  <si>
    <t>Artisanal fishermen have faced severe losses in their livelihoods after the oil spill.</t>
  </si>
  <si>
    <t>oil spill, artisanal fishermen</t>
  </si>
  <si>
    <t>derrame de petróleo, pescadores artesanales</t>
  </si>
  <si>
    <t>Ongoing negative impacts from the oil spill continue to damage Repsol’s environmental reputation.</t>
  </si>
  <si>
    <t>derrame de petróleo, contaminado</t>
  </si>
  <si>
    <t>Strong negative sentiment due to ongoing environmental and community impact.</t>
  </si>
  <si>
    <t>Fuerte sentimiento negativo debido al impacto ambiental y comunitario continuo.</t>
  </si>
  <si>
    <r>
      <rPr>
        <rFont val="Arial, sans-serif"/>
        <color rgb="FF1155CC"/>
        <sz val="9.0"/>
        <u/>
      </rPr>
      <t>Guía Repsol</t>
    </r>
    <r>
      <rPr>
        <rFont val="Arial, sans-serif"/>
        <color rgb="FF1155CC"/>
        <sz val="15.0"/>
        <u/>
      </rPr>
      <t>Mercadillos artesanales en Lanzarote: dónde y cuándo se celebran</t>
    </r>
    <r>
      <rPr>
        <rFont val="Arial, sans-serif"/>
        <color rgb="FF1155CC"/>
        <sz val="11.0"/>
        <u/>
      </rPr>
      <t>Frente a la globalización que parece haber acabado con los souvenirs originales, una nueva tendencia aboga por proteger y mantener las labores artesanas que...</t>
    </r>
    <r>
      <rPr>
        <rFont val="Arial, sans-serif"/>
        <color rgb="FF1155CC"/>
        <sz val="12.0"/>
        <u/>
      </rPr>
      <t>.</t>
    </r>
    <r>
      <rPr>
        <rFont val="Arial, sans-serif"/>
        <color rgb="FF1155CC"/>
        <sz val="11.0"/>
        <u/>
      </rPr>
      <t>15 ene 2024</t>
    </r>
  </si>
  <si>
    <t>Mercadillos artesanales en Lanzarote: dónde y cuándo se celebran</t>
  </si>
  <si>
    <t>Frente a la globalización que parece haber acabado con los souvenirs originales, una nueva tendencia aboga por proteger y mantener las labores artesanas que....</t>
  </si>
  <si>
    <t>Craft markets in Lanzarote: where and when the best ones are held</t>
  </si>
  <si>
    <t>Lanzarote offers a variety of craft markets worth visiting.</t>
  </si>
  <si>
    <r>
      <rPr>
        <rFont val="Arial, sans-serif"/>
        <color rgb="FF1155CC"/>
        <sz val="9.0"/>
        <u/>
      </rPr>
      <t>Box Repsol</t>
    </r>
    <r>
      <rPr>
        <rFont val="Arial, sans-serif"/>
        <color rgb="FF1155CC"/>
        <sz val="15.0"/>
        <u/>
      </rPr>
      <t>Resultados de la octava etapa del Rally Dakar 2024</t>
    </r>
    <r>
      <rPr>
        <rFont val="Arial, sans-serif"/>
        <color rgb="FF1155CC"/>
        <sz val="11.0"/>
        <u/>
      </rPr>
      <t>Primera victoria de Mattias Ekström, que se rehace del fallo mecánico que ayer le dejó sin opciones de luchar por los puestos importantes en la general.</t>
    </r>
    <r>
      <rPr>
        <rFont val="Arial, sans-serif"/>
        <color rgb="FF1155CC"/>
        <sz val="12.0"/>
        <u/>
      </rPr>
      <t>.</t>
    </r>
    <r>
      <rPr>
        <rFont val="Arial, sans-serif"/>
        <color rgb="FF1155CC"/>
        <sz val="11.0"/>
        <u/>
      </rPr>
      <t>15 ene 2024</t>
    </r>
  </si>
  <si>
    <t>Primera victoria de Mattias Ekström, que se rehace del fallo mecánico que ayer le dejó sin opciones de luchar por los puestos importantes en la general.</t>
  </si>
  <si>
    <t>First victory for Mattias Ekström, who recovers his lead in the Dakar Rally</t>
  </si>
  <si>
    <t>Mattias Ekström secures his first win of the 2024 Dakar Rally.</t>
  </si>
  <si>
    <r>
      <rPr>
        <rFont val="Arial, sans-serif"/>
        <color rgb="FF1155CC"/>
        <sz val="9.0"/>
        <u/>
      </rPr>
      <t>Convoca</t>
    </r>
    <r>
      <rPr>
        <rFont val="Arial, sans-serif"/>
        <color rgb="FF1155CC"/>
        <sz val="15.0"/>
        <u/>
      </rPr>
      <t>Mientras Fiscalía investiga a sus ejecutivos, Repsol sigue negando la contaminación y descarta pagar más reparaciones a pescadores</t>
    </r>
    <r>
      <rPr>
        <rFont val="Arial, sans-serif"/>
        <color rgb="FF1155CC"/>
        <sz val="11.0"/>
        <u/>
      </rPr>
      <t>Se cumplen dos años del masivo derrame de petróleo frente a las costas de Ventanilla, en el Callao. Los avances para exigir resarcimientos ambientales y...</t>
    </r>
    <r>
      <rPr>
        <rFont val="Arial, sans-serif"/>
        <color rgb="FF1155CC"/>
        <sz val="12.0"/>
        <u/>
      </rPr>
      <t>.</t>
    </r>
    <r>
      <rPr>
        <rFont val="Arial, sans-serif"/>
        <color rgb="FF1155CC"/>
        <sz val="11.0"/>
        <u/>
      </rPr>
      <t>15 ene 2024</t>
    </r>
  </si>
  <si>
    <t>Convoca</t>
  </si>
  <si>
    <t>Repsol sigue negando la contaminación y descarta pagar más reparaciones a pescadores</t>
  </si>
  <si>
    <t>Se cumplen dos años del masivo derrame de petróleo frente a las costas de Ventanilla, en el Callao. Los avances para exigir resarcimientos ambientales y....</t>
  </si>
  <si>
    <t>Repsol continues to deny pollution and rules out liability in oil spills</t>
  </si>
  <si>
    <t>Repsol continues to defend its position regarding the environmental consequences of its oil spills.</t>
  </si>
  <si>
    <t>denies pollution, oil spills</t>
  </si>
  <si>
    <t>Niega contaminación, derrames de petróleo</t>
  </si>
  <si>
    <t>Denying pollution could damage Repsol’s environmental reputation, especially in light of legal battles.</t>
  </si>
  <si>
    <t>contaminación, reparaciones</t>
  </si>
  <si>
    <t>Strong negative sentiment due to Repsol's refusal to address environmental damage.</t>
  </si>
  <si>
    <t>Fuerte sentimiento negativo por la negativa de Repsol a abordar los daños medioambientales.</t>
  </si>
  <si>
    <r>
      <rPr>
        <rFont val="Arial, sans-serif"/>
        <color rgb="FF1155CC"/>
        <sz val="9.0"/>
        <u/>
      </rPr>
      <t>Infobae</t>
    </r>
    <r>
      <rPr>
        <rFont val="Arial, sans-serif"/>
        <color rgb="FF1155CC"/>
        <sz val="15.0"/>
        <u/>
      </rPr>
      <t>Repsol mantiene impugnados S/97 millones en multas contra el Estado peruano, según OEFA</t>
    </r>
    <r>
      <rPr>
        <rFont val="Arial, sans-serif"/>
        <color rgb="FF1155CC"/>
        <sz val="11.0"/>
        <u/>
      </rPr>
      <t>El Tribunal de Fiscalización Ambiental de la OEFA ha dictado millonarias multas, pero la mayoría ha sido apelada por la empresa petrolera ante el Poder...</t>
    </r>
    <r>
      <rPr>
        <rFont val="Arial, sans-serif"/>
        <color rgb="FF1155CC"/>
        <sz val="12.0"/>
        <u/>
      </rPr>
      <t>.</t>
    </r>
    <r>
      <rPr>
        <rFont val="Arial, sans-serif"/>
        <color rgb="FF1155CC"/>
        <sz val="11.0"/>
        <u/>
      </rPr>
      <t>15 ene 2024</t>
    </r>
  </si>
  <si>
    <t>Repsol mantiene impugnados S/97 millones en multas contra el Estado peruano, según OEFA</t>
  </si>
  <si>
    <t>Repsol mantiene impugnados S/97 millones en multas contra el Estado peruano, según OEFA.</t>
  </si>
  <si>
    <t>Repsol maintains contested S/97 million in financial reserves</t>
  </si>
  <si>
    <t>Repsol’s financial reserves remain contested by regulatory authorities.</t>
  </si>
  <si>
    <t>contested reserves, financial</t>
  </si>
  <si>
    <t>reservas en disputa, financieras</t>
  </si>
  <si>
    <t>Financial disputes and controversies could create uncertainty around Repsol’s financial standing.</t>
  </si>
  <si>
    <t>multas, impugnados</t>
  </si>
  <si>
    <t>Negative sentiment due to legal disputes and fines.</t>
  </si>
  <si>
    <t>Sentimiento negativo debido a disputas legales y multas.</t>
  </si>
  <si>
    <r>
      <rPr>
        <rFont val="Arial, sans-serif"/>
        <color rgb="FF1155CC"/>
        <sz val="9.0"/>
        <u/>
      </rPr>
      <t>Oxfam</t>
    </r>
    <r>
      <rPr>
        <rFont val="Arial, sans-serif"/>
        <color rgb="FF1155CC"/>
        <sz val="15.0"/>
        <u/>
      </rPr>
      <t>Revelando el daño del derrame de Repsol</t>
    </r>
    <r>
      <rPr>
        <rFont val="Arial, sans-serif"/>
        <color rgb="FF1155CC"/>
        <sz val="11.0"/>
        <u/>
      </rPr>
      <t>A dos años del derrame de casi 12 000 barriles de petróleo de Repsol en el mar peruano, miles de pescadores no han podido volver a pescar.</t>
    </r>
    <r>
      <rPr>
        <rFont val="Arial, sans-serif"/>
        <color rgb="FF1155CC"/>
        <sz val="12.0"/>
        <u/>
      </rPr>
      <t>.</t>
    </r>
    <r>
      <rPr>
        <rFont val="Arial, sans-serif"/>
        <color rgb="FF1155CC"/>
        <sz val="11.0"/>
        <u/>
      </rPr>
      <t>15 ene 2024</t>
    </r>
  </si>
  <si>
    <t>Oxfam</t>
  </si>
  <si>
    <t>Revelando el daño del derrame de Repsol</t>
  </si>
  <si>
    <t>A dos años del derrame de casi 12 000 barriles de petróleo de Repsol en el mar peruano, miles de pescadores no han podido volver a pescar.</t>
  </si>
  <si>
    <t>Revealing the damage of the Repsol spill</t>
  </si>
  <si>
    <t>Reports continue to detail the environmental damage caused by Repsol’s oil spill.</t>
  </si>
  <si>
    <t>damage, oil spill</t>
  </si>
  <si>
    <t>daños, derrame de petróleo</t>
  </si>
  <si>
    <t>Continued exposure to environmental damage reports severely harms Repsol’s image.</t>
  </si>
  <si>
    <t>derrame de petróleo, daño</t>
  </si>
  <si>
    <t>Strong negative sentiment due to environmental and community impact.</t>
  </si>
  <si>
    <t>Fuerte sentimiento negativo debido al impacto ambiental y comunitario.</t>
  </si>
  <si>
    <r>
      <rPr>
        <rFont val="Arial, sans-serif"/>
        <color rgb="FF1155CC"/>
        <sz val="9.0"/>
        <u/>
      </rPr>
      <t>LaRepublica.co</t>
    </r>
    <r>
      <rPr>
        <rFont val="Arial, sans-serif"/>
        <color rgb="FF1155CC"/>
        <sz val="15.0"/>
        <u/>
      </rPr>
      <t>Repsol enfrenta una demanda colectiva por el derrame de petróleo al océano en Perú</t>
    </r>
    <r>
      <rPr>
        <rFont val="Arial, sans-serif"/>
        <color rgb="FF1155CC"/>
        <sz val="11.0"/>
        <u/>
      </rPr>
      <t>Tom Goodhead, director general de Pogust Goodhead, dijo que la demanda fue presentada la semana pasada en La Haya, donde está registrada la empresa...</t>
    </r>
    <r>
      <rPr>
        <rFont val="Arial, sans-serif"/>
        <color rgb="FF1155CC"/>
        <sz val="12.0"/>
        <u/>
      </rPr>
      <t>.</t>
    </r>
    <r>
      <rPr>
        <rFont val="Arial, sans-serif"/>
        <color rgb="FF1155CC"/>
        <sz val="11.0"/>
        <u/>
      </rPr>
      <t>15 ene 2024</t>
    </r>
  </si>
  <si>
    <t>LaRepublica.co</t>
  </si>
  <si>
    <t>Repsol enfrenta una demanda colectiva por el derrame de petróleo al océano en Perú</t>
  </si>
  <si>
    <t>Repsol enfrenta una demanda colectiva por el derrame de petróleo al océano en Perú. Tom Goodhead, director general de Pogust Goodhead, dijo que la demanda fue presentada la semana pasada en La Haya, donde está registrada la empresa.</t>
  </si>
  <si>
    <t>Repsol faces class action lawsuit over ocean oil spill</t>
  </si>
  <si>
    <t>Repsol is being sued for environmental damages resulting from its ocean oil spill.</t>
  </si>
  <si>
    <t>Lawsuits over environmental damage continue to harm Repsol’s reputation and financial standing.</t>
  </si>
  <si>
    <r>
      <rPr>
        <rFont val="Arial, sans-serif"/>
        <color rgb="FF1155CC"/>
        <sz val="9.0"/>
        <u/>
      </rPr>
      <t>Gestión</t>
    </r>
    <r>
      <rPr>
        <rFont val="Arial, sans-serif"/>
        <color rgb="FF1155CC"/>
        <sz val="15.0"/>
        <u/>
      </rPr>
      <t>Repsol responde a demanda en Países Bajos: no tiene fundamento</t>
    </r>
    <r>
      <rPr>
        <rFont val="Arial, sans-serif"/>
        <color rgb="FF1155CC"/>
        <sz val="11.0"/>
        <u/>
      </rPr>
      <t>Ante la demanda presentada por la Fundación Holandesa de Derechos Ambientales y Fundamentales contra Repsol, la empresa energética emitió un comunicado,...</t>
    </r>
    <r>
      <rPr>
        <rFont val="Arial, sans-serif"/>
        <color rgb="FF1155CC"/>
        <sz val="12.0"/>
        <u/>
      </rPr>
      <t>.</t>
    </r>
    <r>
      <rPr>
        <rFont val="Arial, sans-serif"/>
        <color rgb="FF1155CC"/>
        <sz val="11.0"/>
        <u/>
      </rPr>
      <t>15 ene 2024</t>
    </r>
  </si>
  <si>
    <t>Repsol responde a demanda en Países Bajos: no tiene fundamento</t>
  </si>
  <si>
    <t>Ante la demanda presentada por la Fundación Holandesa de Derechos Ambientales y Fundamentales contra Repsol, la empresa energética emitió un comunicado,....</t>
  </si>
  <si>
    <t>Repsol responds to lawsuit in the Netherlands: "We will defend our actions"</t>
  </si>
  <si>
    <t>Repsol asserts its defense in the class action lawsuit related to the oil spill.</t>
  </si>
  <si>
    <t>lawsuit response, defend actions</t>
  </si>
  <si>
    <t>respuesta de demanda, acciones de defensa</t>
  </si>
  <si>
    <t>Legal defenses in high-profile cases could impact Repsol’s reputation, especially if the case escalates.</t>
  </si>
  <si>
    <t>demanda, no tiene fundamento</t>
  </si>
  <si>
    <r>
      <rPr>
        <rFont val="Arial, sans-serif"/>
        <color rgb="FF1155CC"/>
        <sz val="9.0"/>
        <u/>
      </rPr>
      <t>Cadena SER</t>
    </r>
    <r>
      <rPr>
        <rFont val="Arial, sans-serif"/>
        <color rgb="FF1155CC"/>
        <sz val="15.0"/>
        <u/>
      </rPr>
      <t>Vuelca un camión cisterna con 3500 litros de gas propano en Ruiloba</t>
    </r>
    <r>
      <rPr>
        <rFont val="Arial, sans-serif"/>
        <color rgb="FF1155CC"/>
        <sz val="11.0"/>
        <u/>
      </rPr>
      <t>Según el 112 en el accidente no ha habido heridos ni fugas del gas.</t>
    </r>
    <r>
      <rPr>
        <rFont val="Arial, sans-serif"/>
        <color rgb="FF1155CC"/>
        <sz val="12.0"/>
        <u/>
      </rPr>
      <t>.</t>
    </r>
    <r>
      <rPr>
        <rFont val="Arial, sans-serif"/>
        <color rgb="FF1155CC"/>
        <sz val="11.0"/>
        <u/>
      </rPr>
      <t>15 ene 2024</t>
    </r>
  </si>
  <si>
    <t>Vuelca un camión cisterna con 3500 litros de gas propano en Ruiloba</t>
  </si>
  <si>
    <t>Según el 112 en el accidente no ha habido heridos ni fugas del gas.</t>
  </si>
  <si>
    <t>A tanker truck with 3,500 liters of propane gas overturns in Ruiloba</t>
  </si>
  <si>
    <t>According to 112, there were no injuries or gas leaks in the accident.</t>
  </si>
  <si>
    <t>Safety</t>
  </si>
  <si>
    <r>
      <rPr>
        <rFont val="Arial, sans-serif"/>
        <color rgb="FF1155CC"/>
        <sz val="9.0"/>
        <u/>
      </rPr>
      <t>RPP</t>
    </r>
    <r>
      <rPr>
        <rFont val="Arial, sans-serif"/>
        <color rgb="FF1155CC"/>
        <sz val="15.0"/>
        <u/>
      </rPr>
      <t>Pescadores exigen frente a 'La Pampilla' pago de indeminizaciones, a dos años de derrame de petróleo en Ventanilla</t>
    </r>
    <r>
      <rPr>
        <rFont val="Arial, sans-serif"/>
        <color rgb="FF1155CC"/>
        <sz val="11.0"/>
        <u/>
      </rPr>
      <t>Elizar Medina, vicepresidente de pescadores artesanales de Pachacútec y Ventanilla, indicó que la empresa Repsol no ha cumplido con la reparación económica...</t>
    </r>
    <r>
      <rPr>
        <rFont val="Arial, sans-serif"/>
        <color rgb="FF1155CC"/>
        <sz val="12.0"/>
        <u/>
      </rPr>
      <t>.</t>
    </r>
    <r>
      <rPr>
        <rFont val="Arial, sans-serif"/>
        <color rgb="FF1155CC"/>
        <sz val="11.0"/>
        <u/>
      </rPr>
      <t>15 ene 2024</t>
    </r>
  </si>
  <si>
    <t>La República</t>
  </si>
  <si>
    <t>Escuchan demandas de pescadores frente a 'La Pampilla' por indemnizaciones tras derrame de petróleo en Ventanilla</t>
  </si>
  <si>
    <t>Elizar Medina, vicepresidente de pescadores artesanales de Pachacútec y Ventanilla, indicó que la empresa Repsol no ha cumplido con la reparación económica.</t>
  </si>
  <si>
    <t>They hear demands from fishermen in front of 'La Pampilla' for compensation after oil spill in Ventanilla</t>
  </si>
  <si>
    <t>Elizar Medina, vice president of artisanal fishermen of Pachacutec and Ventanilla, indicated that the Repsol company has not complied with the economic reparation.</t>
  </si>
  <si>
    <t>fishermen protest, Repsol House</t>
  </si>
  <si>
    <t>Protesta de pescadores, Casa Repsol</t>
  </si>
  <si>
    <t>Ongoing protests over the oil spill continue to harm Repsol’s reputation and community relations.</t>
  </si>
  <si>
    <t>demandas, indemnizaciones</t>
  </si>
  <si>
    <t>Negative sentiment due to unresolved compensation claims.</t>
  </si>
  <si>
    <t>Sentimiento negativo debido a reclamaciones de indemnización no resueltas.</t>
  </si>
  <si>
    <r>
      <rPr>
        <rFont val="Arial, sans-serif"/>
        <color rgb="FF1155CC"/>
        <sz val="9.0"/>
        <u/>
      </rPr>
      <t>Diario Digital Nuestro País</t>
    </r>
    <r>
      <rPr>
        <rFont val="Arial, sans-serif"/>
        <color rgb="FF1155CC"/>
        <sz val="15.0"/>
        <u/>
      </rPr>
      <t>Pescadores protestan en Perú a dos años del derrame de petróleo de Repsol</t>
    </r>
    <r>
      <rPr>
        <rFont val="Arial, sans-serif"/>
        <color rgb="FF1155CC"/>
        <sz val="11.0"/>
        <u/>
      </rPr>
      <t>Lima, 15 Ene (Sputnik).- Pescadores del distrito de Ventanilla, provincia del Callao (Perú), realizaron este lunes un plantón en los exteriores de una...</t>
    </r>
    <r>
      <rPr>
        <rFont val="Arial, sans-serif"/>
        <color rgb="FF1155CC"/>
        <sz val="12.0"/>
        <u/>
      </rPr>
      <t>.</t>
    </r>
    <r>
      <rPr>
        <rFont val="Arial, sans-serif"/>
        <color rgb="FF1155CC"/>
        <sz val="11.0"/>
        <u/>
      </rPr>
      <t>15 ene 2024</t>
    </r>
  </si>
  <si>
    <t>Diario Digital Nuestro País</t>
  </si>
  <si>
    <t>Pescadores protestan en Perú a dos años del derrame de petróleo de Repsol</t>
  </si>
  <si>
    <t>Pescadores del distrito de Ventanilla, provincia del Callao (Perú), realizaron este lunes un plantón en los exteriores de una....</t>
  </si>
  <si>
    <t>Fishermen protest in Peru two years after the Repsol oil spill</t>
  </si>
  <si>
    <t>Fishermen from the Ventanilla district, province of Callao (Peru), held a sit-in this Monday outside a...</t>
  </si>
  <si>
    <t>protest, oil spill</t>
  </si>
  <si>
    <t>protesta, derrame de petróleo</t>
  </si>
  <si>
    <t>Protests regarding unresolved compensation keep the spill controversy alive, negatively impacting Repsol.</t>
  </si>
  <si>
    <t>protestas, derrame de petróleo</t>
  </si>
  <si>
    <t>Negative sentiment due to community protests and unresolved issues.</t>
  </si>
  <si>
    <t>Sentimiento negativo debido a protestas comunitarias y problemas no resueltos.</t>
  </si>
  <si>
    <r>
      <rPr>
        <rFont val="Arial, sans-serif"/>
        <color rgb="FF1155CC"/>
        <sz val="9.0"/>
        <u/>
      </rPr>
      <t>CooperAcción</t>
    </r>
    <r>
      <rPr>
        <rFont val="Arial, sans-serif"/>
        <color rgb="FF1155CC"/>
        <sz val="15.0"/>
        <u/>
      </rPr>
      <t>Revelando el daño: Valorización económica de la pérdida para las familias pescadoras afectadas por el derrame de Repsol en la costa de Perú</t>
    </r>
    <r>
      <rPr>
        <rFont val="Arial, sans-serif"/>
        <color rgb="FF1155CC"/>
        <sz val="11.0"/>
        <u/>
      </rPr>
      <t>A dos años del derrame de casi 12 000 barriles de petróleo de Repsol en el mar peruano, miles de pescadores no han podido volver a pescar.</t>
    </r>
    <r>
      <rPr>
        <rFont val="Arial, sans-serif"/>
        <color rgb="FF1155CC"/>
        <sz val="12.0"/>
        <u/>
      </rPr>
      <t>.</t>
    </r>
    <r>
      <rPr>
        <rFont val="Arial, sans-serif"/>
        <color rgb="FF1155CC"/>
        <sz val="11.0"/>
        <u/>
      </rPr>
      <t>15 ene 2024</t>
    </r>
  </si>
  <si>
    <t>CooperAcción</t>
  </si>
  <si>
    <t>Revelando el daño: Valorización económica de la pérdida para las familias pescadoras afectadas por el derrame de Repsol en la costa de Perú</t>
  </si>
  <si>
    <t>Revealing the damage: Economic valuation of the loss for fishing families affected by the Repsol spill on the coast of Peru</t>
  </si>
  <si>
    <t>Two years after the spill of almost 12,000 barrels of Repsol oil in the Peruvian sea, thousands of fishermen have not been able to fish again.</t>
  </si>
  <si>
    <t>economic valuation, spill damage</t>
  </si>
  <si>
    <t>valoración económica, daños por derrames</t>
  </si>
  <si>
    <t>Continued economic assessments of environmental damage create financial and regulatory risks for Repsol.</t>
  </si>
  <si>
    <t>derrame de petróleo, pérdida económica</t>
  </si>
  <si>
    <t>Strong negative sentiment due to economic and environmental impact.</t>
  </si>
  <si>
    <t>Fuerte sentimiento negativo debido al impacto económico y medioambiental.</t>
  </si>
  <si>
    <r>
      <rPr>
        <rFont val="Arial, sans-serif"/>
        <color rgb="FF1155CC"/>
        <sz val="9.0"/>
        <u/>
      </rPr>
      <t>Infobae</t>
    </r>
    <r>
      <rPr>
        <rFont val="Arial, sans-serif"/>
        <color rgb="FF1155CC"/>
        <sz val="15.0"/>
        <u/>
      </rPr>
      <t>Ventanilla: Rehabilitación ambiental no inicia luego de dos años del derrame de Repsol</t>
    </r>
    <r>
      <rPr>
        <rFont val="Arial, sans-serif"/>
        <color rgb="FF1155CC"/>
        <sz val="11.0"/>
        <u/>
      </rPr>
      <t>El derrame de más de 11.000 barriles de petróleo en el mar de Ventanilla en el año 2022 fue ocasionado por la empresa Repsol y generó la contaminación de 48...</t>
    </r>
    <r>
      <rPr>
        <rFont val="Arial, sans-serif"/>
        <color rgb="FF1155CC"/>
        <sz val="12.0"/>
        <u/>
      </rPr>
      <t>.</t>
    </r>
    <r>
      <rPr>
        <rFont val="Arial, sans-serif"/>
        <color rgb="FF1155CC"/>
        <sz val="11.0"/>
        <u/>
      </rPr>
      <t>15 ene 2024</t>
    </r>
  </si>
  <si>
    <t>Rehabilitación ambiental no inicia luego de dos años del derrame de Repsol</t>
  </si>
  <si>
    <t>El derrame de más de 11.000 barriles de petróleo en el mar de Ventanilla en el año 2022 fue ocasionado por la empresa Repsol y generó la contaminación de 48...</t>
  </si>
  <si>
    <t>Environmental rehabilitation does not begin two years after the Repsol spill</t>
  </si>
  <si>
    <t>The spill of more than 11,000 barrels of oil in the Ventanilla Sea in 2022 was caused by the Repsol company and generated the contamination of 48...</t>
  </si>
  <si>
    <t>rehabilitation delay, oil spill</t>
  </si>
  <si>
    <t>retraso en la rehabilitación, derrame de petróleo</t>
  </si>
  <si>
    <t>Delays in environmental rehabilitation further damage Repsol’s reputation and sustainability claims.</t>
  </si>
  <si>
    <t>rehabilitación ambiental, contaminación</t>
  </si>
  <si>
    <t>Strong negative sentiment due to lack of environmental recovery.</t>
  </si>
  <si>
    <t>Fuerte sentimiento negativo por falta de recuperación ambiental.</t>
  </si>
  <si>
    <r>
      <rPr>
        <rFont val="Arial, sans-serif"/>
        <color rgb="FF1155CC"/>
        <sz val="9.0"/>
        <u/>
      </rPr>
      <t>Actualidad Ambiental</t>
    </r>
    <r>
      <rPr>
        <rFont val="Arial, sans-serif"/>
        <color rgb="FF1155CC"/>
        <sz val="15.0"/>
        <u/>
      </rPr>
      <t>A dos años del derrame de petróleo de Repsol aún no se inicia rehabilitación ambiental, advierte Defensoría</t>
    </r>
    <r>
      <rPr>
        <rFont val="Arial, sans-serif"/>
        <color rgb="FF1155CC"/>
        <sz val="11.0"/>
        <u/>
      </rPr>
      <t>En diciembre pasado, el Ejecutivo anunció que 25 playas aún presentaban restos de petróleo y hasta la fecha no se contaba con las condiciones para reanudar...</t>
    </r>
    <r>
      <rPr>
        <rFont val="Arial, sans-serif"/>
        <color rgb="FF1155CC"/>
        <sz val="12.0"/>
        <u/>
      </rPr>
      <t>.</t>
    </r>
    <r>
      <rPr>
        <rFont val="Arial, sans-serif"/>
        <color rgb="FF1155CC"/>
        <sz val="11.0"/>
        <u/>
      </rPr>
      <t>15 ene 2024</t>
    </r>
  </si>
  <si>
    <t>Actualidad Ambiental</t>
  </si>
  <si>
    <t>A dos años del derrame de petróleo de Repsol aún no se inicia rehabilitación ambiental, advierte Defensoría</t>
  </si>
  <si>
    <t>A dos años del derrame de petróleo de Repsol aún no se inicia rehabilitación ambiental, advierte Defensoría. En diciembre pasado, el Ejecutivo anunció que 25 playas aún presentaban restos de petróleo y hasta la fecha no se contaba con las condiciones para reanudar....</t>
  </si>
  <si>
    <t>Two years after the Repsol oil spill, environmental rehabilitation has not yet begun, warns the Ombudsman's Office</t>
  </si>
  <si>
    <t>Two years after the Repsol oil spill, environmental rehabilitation has not yet begun, the Ombudsman's Office warns. Last December, the Executive announced that 25 beaches still had traces of oil and to date there were no conditions to resume....</t>
  </si>
  <si>
    <t>environmental damage, oil spill</t>
  </si>
  <si>
    <t>daños ambientales, derrame de petróleo</t>
  </si>
  <si>
    <t>Long-term environmental damage from the spill reinforces negative sentiment toward Repsol’s operations.</t>
  </si>
  <si>
    <t>rehabilitación ambiental, derrame de petróleo</t>
  </si>
  <si>
    <r>
      <rPr>
        <rFont val="Arial, sans-serif"/>
        <color rgb="FF1155CC"/>
        <sz val="9.0"/>
        <u/>
      </rPr>
      <t>Gestión</t>
    </r>
    <r>
      <rPr>
        <rFont val="Arial, sans-serif"/>
        <color rgb="FF1155CC"/>
        <sz val="15.0"/>
        <u/>
      </rPr>
      <t>Presentan demanda millonaria contra Repsol en Países Bajos por derrame de petróleo</t>
    </r>
    <r>
      <rPr>
        <rFont val="Arial, sans-serif"/>
        <color rgb="FF1155CC"/>
        <sz val="11.0"/>
        <u/>
      </rPr>
      <t>La Fundación Holandesa de Derechos Ambientales y Fundamentales demandó en un tribunal de los Países Bajos por 1000 millones de libras esterlinas (unos U$S...</t>
    </r>
    <r>
      <rPr>
        <rFont val="Arial, sans-serif"/>
        <color rgb="FF1155CC"/>
        <sz val="12.0"/>
        <u/>
      </rPr>
      <t>.</t>
    </r>
    <r>
      <rPr>
        <rFont val="Arial, sans-serif"/>
        <color rgb="FF1155CC"/>
        <sz val="11.0"/>
        <u/>
      </rPr>
      <t>15 ene 2024</t>
    </r>
  </si>
  <si>
    <t>Presentan demanda millonaria contra Repsol en Países Bajos por derrame de petróleo</t>
  </si>
  <si>
    <t>La Fundación Holandesa de Derechos Ambientales y Fundamentales demandó en un tribunal de los Países Bajos por 1000 millones de libras esterlinas (unos U$S....</t>
  </si>
  <si>
    <t>Millionaire lawsuit filed against Repsol in the Netherlands for oil spill</t>
  </si>
  <si>
    <t>The Dutch Foundation for Environmental and Fundamental Rights sued in a court in the Netherlands for 1 billion pounds sterling (about US$).</t>
  </si>
  <si>
    <t>lawsuit, environmental damages</t>
  </si>
  <si>
    <t>demanda, daños ambientales</t>
  </si>
  <si>
    <t>Large-scale lawsuits for environmental damages create financial risks and harm Repsol’s global image.</t>
  </si>
  <si>
    <r>
      <rPr>
        <rFont val="Arial, sans-serif"/>
        <color rgb="FF1155CC"/>
        <sz val="9.0"/>
        <u/>
      </rPr>
      <t>RPP</t>
    </r>
    <r>
      <rPr>
        <rFont val="Arial, sans-serif"/>
        <color rgb="FF1155CC"/>
        <sz val="15.0"/>
        <u/>
      </rPr>
      <t>Pescadores de Ventanilla no aceptan condiciones de Repsol para pago de compensaciones, señaló representante</t>
    </r>
    <r>
      <rPr>
        <rFont val="Arial, sans-serif"/>
        <color rgb="FF1155CC"/>
        <sz val="11.0"/>
        <u/>
      </rPr>
      <t>Los pescadores y comerciantes de Ventanilla realizaron un plantón en los exteriores de la refinería “La Pampilla” para exigir a la empresa Repsol cumplir...</t>
    </r>
    <r>
      <rPr>
        <rFont val="Arial, sans-serif"/>
        <color rgb="FF1155CC"/>
        <sz val="12.0"/>
        <u/>
      </rPr>
      <t>.</t>
    </r>
    <r>
      <rPr>
        <rFont val="Arial, sans-serif"/>
        <color rgb="FF1155CC"/>
        <sz val="11.0"/>
        <u/>
      </rPr>
      <t>15 ene 2024</t>
    </r>
  </si>
  <si>
    <t>RPP</t>
  </si>
  <si>
    <t>Pescadores de Ventanilla no aceptan condiciones de Repsol para pago de compensaciones</t>
  </si>
  <si>
    <t>Los pescadores y comerciantes de Ventanilla realizaron un plantón en los exteriores de la refinería “La Pampilla” para exigir a la empresa Repsol cumplir.</t>
  </si>
  <si>
    <t>Ventanilla fishermen do not accept Repsol conditions for payment of compensation</t>
  </si>
  <si>
    <t>The fishermen and merchants of Ventanilla held a sit-in outside the “La Pampilla” refinery to demand that the Repsol company comply.</t>
  </si>
  <si>
    <t>reject conditions, compensation</t>
  </si>
  <si>
    <t>condiciones de rechazo, compensación</t>
  </si>
  <si>
    <t>Disputes over compensation prolong Repsol’s legal and reputational challenges.</t>
  </si>
  <si>
    <t>compensaciones, plantón</t>
  </si>
  <si>
    <r>
      <rPr>
        <rFont val="Arial, sans-serif"/>
        <color rgb="FF1155CC"/>
        <sz val="9.0"/>
        <u/>
      </rPr>
      <t>Gestión</t>
    </r>
    <r>
      <rPr>
        <rFont val="Arial, sans-serif"/>
        <color rgb="FF1155CC"/>
        <sz val="15.0"/>
        <u/>
      </rPr>
      <t>Repsol afirma que playas de Lima Norte están aptas para su uso, tras derrame de petróleo el 2022</t>
    </r>
    <r>
      <rPr>
        <rFont val="Arial, sans-serif"/>
        <color rgb="FF1155CC"/>
        <sz val="11.0"/>
        <u/>
      </rPr>
      <t>Las playas de Lima Norte, especialmente las de Ancón, así como en Ventanilla, Santa Rosa, Chancay y Aucallama, están listas desde hace meses para la pesca,...</t>
    </r>
    <r>
      <rPr>
        <rFont val="Arial, sans-serif"/>
        <color rgb="FF1155CC"/>
        <sz val="12.0"/>
        <u/>
      </rPr>
      <t>.</t>
    </r>
    <r>
      <rPr>
        <rFont val="Arial, sans-serif"/>
        <color rgb="FF1155CC"/>
        <sz val="11.0"/>
        <u/>
      </rPr>
      <t>15 ene 2024</t>
    </r>
  </si>
  <si>
    <t>Repsol afirma que playas de Lima Norte están aptas para su uso, tras derrame de petróleo el 2022</t>
  </si>
  <si>
    <t>Las playas de Lima Norte, especialmente las de Ancón, así como en Ventanilla, Santa Rosa, Chancay y Aucallama, están listas desde hace meses para la pesca,....</t>
  </si>
  <si>
    <t>Repsol affirms that beaches in North Lima are suitable for use, after oil spill in 2022</t>
  </si>
  <si>
    <t>The beaches of Lima Norte, especially those of Ancón, as well as in Ventanilla, Santa Rosa, Chancay and Aucallama, have been ready for fishing for months....</t>
  </si>
  <si>
    <t>beaches suitable, Repsol affirms</t>
  </si>
  <si>
    <t>Playas aptas, afirma Repsol</t>
  </si>
  <si>
    <t>Conflicting claims about beach safety could lead to continued public distrust in Repsol’s statements.</t>
  </si>
  <si>
    <t>playas aptas, derrame de petróleo</t>
  </si>
  <si>
    <t>Mixed sentiment due to Repsol's claim versus ongoing environmental issues.</t>
  </si>
  <si>
    <t>Sentimiento mixto por el reclamo de Repsol versus los problemas ambientales en curso.</t>
  </si>
  <si>
    <r>
      <rPr>
        <rFont val="Arial, sans-serif"/>
        <color rgb="FF1155CC"/>
        <sz val="9.0"/>
        <u/>
      </rPr>
      <t>Actualidad Ambiental</t>
    </r>
    <r>
      <rPr>
        <rFont val="Arial, sans-serif"/>
        <color rgb="FF1155CC"/>
        <sz val="15.0"/>
        <u/>
      </rPr>
      <t>Advierten que padrón de afectados por el derrame de petróleo tendría «vacíos”</t>
    </r>
    <r>
      <rPr>
        <rFont val="Arial, sans-serif"/>
        <color rgb="FF1155CC"/>
        <sz val="11.0"/>
        <u/>
      </rPr>
      <t>A dos años del derrame de petróleo en el mar de Ventanilla, por responsabilidad de la empresa Repsol, los expertos advierten que hay contradicción en la...</t>
    </r>
    <r>
      <rPr>
        <rFont val="Arial, sans-serif"/>
        <color rgb="FF1155CC"/>
        <sz val="12.0"/>
        <u/>
      </rPr>
      <t>.</t>
    </r>
    <r>
      <rPr>
        <rFont val="Arial, sans-serif"/>
        <color rgb="FF1155CC"/>
        <sz val="11.0"/>
        <u/>
      </rPr>
      <t>15 ene 2024</t>
    </r>
  </si>
  <si>
    <t>Advierten que padrón de afectados por el derrame de petróleo tendría «vacíos”</t>
  </si>
  <si>
    <t>A dos años del derrame de petróleo en el mar de Ventanilla, por responsabilidad de la empresa Repsol, los expertos advierten que hay contradicción en la....</t>
  </si>
  <si>
    <t>They warn that the register of those affected by the oil spill would have "gaps"</t>
  </si>
  <si>
    <t>Two years after the oil spill in the Ventanilla sea, due to the responsibility of the Repsol company, experts warn that there is a contradiction in the...</t>
  </si>
  <si>
    <t>incomplete register, affected individuals</t>
  </si>
  <si>
    <t>registro incompleto, personas afectadas</t>
  </si>
  <si>
    <t>Unresolved claims from affected communities increase legal pressures and negative sentiment toward Repsol.</t>
  </si>
  <si>
    <t>derrame de petróleo, vacíos</t>
  </si>
  <si>
    <t>Negative sentiment due to unresolved issues and lack of transparency.</t>
  </si>
  <si>
    <t>Sentimiento negativo debido a problemas no resueltos y falta de transparencia.</t>
  </si>
  <si>
    <r>
      <rPr>
        <rFont val="Arial, sans-serif"/>
        <color rgb="FF1155CC"/>
        <sz val="9.0"/>
        <u/>
      </rPr>
      <t>El Comercio Perú</t>
    </r>
    <r>
      <rPr>
        <rFont val="Arial, sans-serif"/>
        <color rgb="FF1155CC"/>
        <sz val="15.0"/>
        <u/>
      </rPr>
      <t>Ancón cierra playas por contaminación que ocasionó derrame de petróleo y Repsol responde que áreas están limpias</t>
    </r>
    <r>
      <rPr>
        <rFont val="Arial, sans-serif"/>
        <color rgb="FF1155CC"/>
        <sz val="11.0"/>
        <u/>
      </rPr>
      <t>Ancón cierra playas por contaminación que ocasionó derrame de petróleo y Repsol responde que áreas están limpias | últimas.</t>
    </r>
    <r>
      <rPr>
        <rFont val="Arial, sans-serif"/>
        <color rgb="FF1155CC"/>
        <sz val="12.0"/>
        <u/>
      </rPr>
      <t>.</t>
    </r>
    <r>
      <rPr>
        <rFont val="Arial, sans-serif"/>
        <color rgb="FF1155CC"/>
        <sz val="11.0"/>
        <u/>
      </rPr>
      <t>15 ene 2024</t>
    </r>
  </si>
  <si>
    <t>Ancón cierra playas por contaminación que ocasionó derrame de petróleo y Repsol responde que áreas están limpias</t>
  </si>
  <si>
    <t>Ancón cierra playas por contaminación que ocasionó derrame de petróleo y Repsol responde que áreas están limpias.</t>
  </si>
  <si>
    <t>Ancón closes beaches due to pollution that caused oil spills and Repsol responds that areas are clean</t>
  </si>
  <si>
    <t>Ancón closes beaches due to pollution that caused oil spills and Repsol responds that areas are clean.</t>
  </si>
  <si>
    <t>beach closures, pollution, oil spill</t>
  </si>
  <si>
    <t>cierre de playas, contaminación, derrame de petróleo</t>
  </si>
  <si>
    <t>Continued beach closures highlight ongoing environmental damage, negatively impacting Repsol.</t>
  </si>
  <si>
    <t>contaminación, derrame de petróleo</t>
  </si>
  <si>
    <t>Negative sentiment due to conflicting reports and environmental damage.</t>
  </si>
  <si>
    <t>Sentimiento negativo debido a informes contradictorios y daños ambientales.</t>
  </si>
  <si>
    <r>
      <rPr>
        <rFont val="Arial, sans-serif"/>
        <color rgb="FF1155CC"/>
        <sz val="9.0"/>
        <u/>
      </rPr>
      <t>Canal N</t>
    </r>
    <r>
      <rPr>
        <rFont val="Arial, sans-serif"/>
        <color rgb="FF1155CC"/>
        <sz val="15.0"/>
        <u/>
      </rPr>
      <t>Vicepresidente de Oceana Perú: "Hace dos años, Repsol minimizó el asunto del derrame de petróleo"</t>
    </r>
    <r>
      <rPr>
        <rFont val="Arial, sans-serif"/>
        <color rgb="FF1155CC"/>
        <sz val="11.0"/>
        <u/>
      </rPr>
      <t>Daniel Olivares, vicepresidente de Océana Perú, cuestionó la falta de respuesta del Ejecutivo tras el derrame de crudo en la costa.</t>
    </r>
    <r>
      <rPr>
        <rFont val="Arial, sans-serif"/>
        <color rgb="FF1155CC"/>
        <sz val="12.0"/>
        <u/>
      </rPr>
      <t>.</t>
    </r>
    <r>
      <rPr>
        <rFont val="Arial, sans-serif"/>
        <color rgb="FF1155CC"/>
        <sz val="11.0"/>
        <u/>
      </rPr>
      <t>15 ene 2024</t>
    </r>
  </si>
  <si>
    <t>Canal N</t>
  </si>
  <si>
    <t>"Hace dos años, Repsol minimizó el asunto del derrame de petróleo"</t>
  </si>
  <si>
    <t>Daniel Olivares, vicepresidente de Océana Perú, cuestionó la falta de respuesta del Ejecutivo tras el derrame de crudo en la costa.</t>
  </si>
  <si>
    <t>"Two years ago, Repsol minimized the issue of the oil spill"</t>
  </si>
  <si>
    <t>Daniel Olivares, vice president of Océana Perú, questioned the lack of response from the Executive after the oil spill on the coast.</t>
  </si>
  <si>
    <t>minimized issue, oil spill</t>
  </si>
  <si>
    <t>problema minimizado, derrame de petróleo</t>
  </si>
  <si>
    <t>Accusations of downplaying the crisis reinforce negative perceptions of Repsol’s accountability.</t>
  </si>
  <si>
    <t>minimizó, derrame de petróleo</t>
  </si>
  <si>
    <t>Negative sentiment due to Repsol's perceived lack of accountability.</t>
  </si>
  <si>
    <t>Sentimiento negativo debido a la percepción de falta de responsabilidad de Repsol.</t>
  </si>
  <si>
    <r>
      <rPr>
        <rFont val="Arial, sans-serif"/>
        <color rgb="FF1155CC"/>
        <sz val="9.0"/>
        <u/>
      </rPr>
      <t>RCR Peru</t>
    </r>
    <r>
      <rPr>
        <rFont val="Arial, sans-serif"/>
        <color rgb="FF1155CC"/>
        <sz val="15.0"/>
        <u/>
      </rPr>
      <t>A DOS AÑOS DE LA TRAGEDIA ALCALDE DE ANCÓN CUESTIONA A REPSOL POR NO DAR SOLUCIÓN AL DERRAME DE PETRÓLEO EN EL MAR</t>
    </r>
    <r>
      <rPr>
        <rFont val="Arial, sans-serif"/>
        <color rgb="FF1155CC"/>
        <sz val="11.0"/>
        <u/>
      </rPr>
      <t>RCR, 15 de enero de 2024.- A dos años del derramamiento de petróleo de REPSOL en el mar frente a Ventanilla, el alcalde de la municipalidad de Ancón,...</t>
    </r>
    <r>
      <rPr>
        <rFont val="Arial, sans-serif"/>
        <color rgb="FF1155CC"/>
        <sz val="12.0"/>
        <u/>
      </rPr>
      <t>.</t>
    </r>
    <r>
      <rPr>
        <rFont val="Arial, sans-serif"/>
        <color rgb="FF1155CC"/>
        <sz val="11.0"/>
        <u/>
      </rPr>
      <t>15 ene 2024</t>
    </r>
  </si>
  <si>
    <t>RCR Peru</t>
  </si>
  <si>
    <t>A DOS AÑOS DE LA TRAGEDIA ALCALDE DE ANCÓN CUESTIONA A REPSOL POR NO DAR SOLUCIÓN AL DERRAME DE PETRÓLEO EN EL MAR</t>
  </si>
  <si>
    <t>A dos años del derramamiento de petróleo de REPSOL en el mar frente a Ventanilla, el alcalde de la municipalidad de Ancón,....</t>
  </si>
  <si>
    <t>TWO YEARS AFTER THE TRAGEDY, THE MAYOR OF ANCÓN QUESTIONS REPSOL FOR NOT PROVIDING A SOLUTION TO THE OIL SPILL INTO THE SEA</t>
  </si>
  <si>
    <t>Two years after the REPSOL oil spill into the sea off Ventanilla, the mayor of the municipality of Ancón,...</t>
  </si>
  <si>
    <t>mayor speaks out, greater reparations</t>
  </si>
  <si>
    <t>el alcalde habla, mayores reparaciones</t>
  </si>
  <si>
    <t>Public officials condemning Repsol adds pressure for stricter accountability and damages its reputation.</t>
  </si>
  <si>
    <t>tragedia, derrame de petróleo</t>
  </si>
  <si>
    <t>Strong negative sentiment due to unresolved environmental and community issues.</t>
  </si>
  <si>
    <t>Fuerte sentimiento negativo debido a problemas ambientales y comunitarios no resueltos.</t>
  </si>
  <si>
    <r>
      <rPr>
        <rFont val="Arial, sans-serif"/>
        <color rgb="FF1155CC"/>
        <sz val="9.0"/>
        <u/>
      </rPr>
      <t>Panamericana TV</t>
    </r>
    <r>
      <rPr>
        <rFont val="Arial, sans-serif"/>
        <color rgb="FF1155CC"/>
        <sz val="15.0"/>
        <u/>
      </rPr>
      <t>Alcalde de Ancón tras cierra de playas por contaminación: “Repsol parece burlarse de la municipalidad”</t>
    </r>
    <r>
      <rPr>
        <rFont val="Arial, sans-serif"/>
        <color rgb="FF1155CC"/>
        <sz val="11.0"/>
        <u/>
      </rPr>
      <t>Según el burgomaestre, Samuel Daza, este cierre forzado afectará al turismo en el distrito, ya que aproximadamente 70 mil personas visitan las playas de...</t>
    </r>
    <r>
      <rPr>
        <rFont val="Arial, sans-serif"/>
        <color rgb="FF1155CC"/>
        <sz val="12.0"/>
        <u/>
      </rPr>
      <t>.</t>
    </r>
    <r>
      <rPr>
        <rFont val="Arial, sans-serif"/>
        <color rgb="FF1155CC"/>
        <sz val="11.0"/>
        <u/>
      </rPr>
      <t>15 ene 2024</t>
    </r>
  </si>
  <si>
    <t>Panamericana TV</t>
  </si>
  <si>
    <t>Alcalde de Ancón tras cierre de playas por contaminación: “Repsol parece burlarse de la municipalidad”</t>
  </si>
  <si>
    <t>Según el burgomaestre, Samuel Daza, este cierre forzado afectará al turismo en el distrito, ya que aproximadamente 70 mil personas visitan las playas de....</t>
  </si>
  <si>
    <t>Mayor of Ancón after closing beaches due to pollution: “Repsol seems to make fun of the municipality”</t>
  </si>
  <si>
    <t>According to the mayor, Samuel Daza, this forced closure will affect tourism in the district, since approximately 70 thousand people visit the beaches of...</t>
  </si>
  <si>
    <t>Repsol must answer, beach closures</t>
  </si>
  <si>
    <t>Repsol debe responder, cierres de playas</t>
  </si>
  <si>
    <t>Direct demands from local authorities amplify public distrust and increase legal scrutiny.</t>
  </si>
  <si>
    <t>cierre de playas, contaminación</t>
  </si>
  <si>
    <t>Negative sentiment due to environmental damage and community impact.</t>
  </si>
  <si>
    <t>Sentimiento negativo debido al daño ambiental y al impacto comunitario.</t>
  </si>
  <si>
    <r>
      <rPr>
        <rFont val="Arial, sans-serif"/>
        <color rgb="FF1155CC"/>
        <sz val="9.0"/>
        <u/>
      </rPr>
      <t>Gestión</t>
    </r>
    <r>
      <rPr>
        <rFont val="Arial, sans-serif"/>
        <color rgb="FF1155CC"/>
        <sz val="15.0"/>
        <u/>
      </rPr>
      <t>Ancón: anuncian cierre de 10 playas no saludables tras derrame de petróleo</t>
    </r>
    <r>
      <rPr>
        <rFont val="Arial, sans-serif"/>
        <color rgb="FF1155CC"/>
        <sz val="11.0"/>
        <u/>
      </rPr>
      <t>El Concejo Municipal de Ancón anunció el cierre de 10 de las 13 playas del distritos como medida ante la falta de rehabilitación por parte de la empresa...</t>
    </r>
    <r>
      <rPr>
        <rFont val="Arial, sans-serif"/>
        <color rgb="FF1155CC"/>
        <sz val="12.0"/>
        <u/>
      </rPr>
      <t>.</t>
    </r>
    <r>
      <rPr>
        <rFont val="Arial, sans-serif"/>
        <color rgb="FF1155CC"/>
        <sz val="11.0"/>
        <u/>
      </rPr>
      <t>15 ene 2024</t>
    </r>
  </si>
  <si>
    <t>Ancón: anuncian cierre de 10 playas no saludables tras derrame de petróleo</t>
  </si>
  <si>
    <t>El Concejo Municipal de Ancón anunció el cierre de 10 de las 13 playas del distritos como medida ante la falta de rehabilitación por parte de la empresa.</t>
  </si>
  <si>
    <t>Ancón: closure of 10 unhealthy beaches announced after oil spill</t>
  </si>
  <si>
    <t>The Municipal Council of Ancón announced the closure of 10 of the 13 beaches in the district as a measure due to the lack of rehabilitation by the company.</t>
  </si>
  <si>
    <t>closure of 10 beaches, unhealthy</t>
  </si>
  <si>
    <t>cierre de 10 playas, insalubre</t>
  </si>
  <si>
    <t>Persistent environmental damage continues to affect tourism and public perception of Repsol.</t>
  </si>
  <si>
    <t>cierre de playas, derrame de petróleo</t>
  </si>
  <si>
    <t>Negative sentiment due to environmental damage and lack of recovery.</t>
  </si>
  <si>
    <t>Sentimiento negativo debido al daño ambiental y la falta de recuperación.</t>
  </si>
  <si>
    <r>
      <rPr>
        <rFont val="Arial, sans-serif"/>
        <color rgb="FF1155CC"/>
        <sz val="9.0"/>
        <u/>
      </rPr>
      <t>América TV</t>
    </r>
    <r>
      <rPr>
        <rFont val="Arial, sans-serif"/>
        <color rgb="FF1155CC"/>
        <sz val="15.0"/>
        <u/>
      </rPr>
      <t>Ancón: Alcalde anuncia el cierre de 10 playas tras derrame</t>
    </r>
    <r>
      <rPr>
        <rFont val="Arial, sans-serif"/>
        <color rgb="FF1155CC"/>
        <sz val="11.0"/>
        <u/>
      </rPr>
      <t>El alcalde de Ancón, Samuel Daza, hace un llamado a Repsol para que asuman la responsabilidad que les corresponde en la situación actual que afecta tanto a...</t>
    </r>
    <r>
      <rPr>
        <rFont val="Arial, sans-serif"/>
        <color rgb="FF1155CC"/>
        <sz val="12.0"/>
        <u/>
      </rPr>
      <t>.</t>
    </r>
    <r>
      <rPr>
        <rFont val="Arial, sans-serif"/>
        <color rgb="FF1155CC"/>
        <sz val="11.0"/>
        <u/>
      </rPr>
      <t>15 ene 2024</t>
    </r>
  </si>
  <si>
    <t>América TV</t>
  </si>
  <si>
    <t>Ancón: Alcalde anuncia el cierre de 10 playas tras derrame</t>
  </si>
  <si>
    <t>El alcalde de Ancón, Samuel Daza, hace un llamado a Repsol para que asuman la responsabilidad que les corresponde en la situación actual que afecta tanto a....</t>
  </si>
  <si>
    <t>Ancón: Mayor announces the closure of 10 beaches after spill</t>
  </si>
  <si>
    <t>The mayor of Ancón, Samuel Daza, calls on Repsol to assume the responsibility that corresponds to them in the current situation that affects so much...</t>
  </si>
  <si>
    <t>contamination, beach closure, Repsol responsibility</t>
  </si>
  <si>
    <t>contaminación, cierre de playas, responsabilidad Repsol</t>
  </si>
  <si>
    <t>Calls for responsibility maintain public pressure on Repsol and fuel negative sentiment.</t>
  </si>
  <si>
    <r>
      <rPr>
        <rFont val="Arial, sans-serif"/>
        <color rgb="FF1155CC"/>
        <sz val="9.0"/>
        <u/>
      </rPr>
      <t>INFOREGION</t>
    </r>
    <r>
      <rPr>
        <rFont val="Arial, sans-serif"/>
        <color rgb="FF1155CC"/>
        <sz val="15.0"/>
        <u/>
      </rPr>
      <t>Derrame en Ventanilla: ¿Cuál es la situación de los pescadores?</t>
    </r>
    <r>
      <rPr>
        <rFont val="Arial, sans-serif"/>
        <color rgb="FF1155CC"/>
        <sz val="11.0"/>
        <u/>
      </rPr>
      <t>A dos años del derrame de crudo en el mar de Ventanilla, informes revelan pérdidas económicas significativas, disputas por compensaciones insuficientes y la...</t>
    </r>
    <r>
      <rPr>
        <rFont val="Arial, sans-serif"/>
        <color rgb="FF1155CC"/>
        <sz val="12.0"/>
        <u/>
      </rPr>
      <t>.</t>
    </r>
    <r>
      <rPr>
        <rFont val="Arial, sans-serif"/>
        <color rgb="FF1155CC"/>
        <sz val="11.0"/>
        <u/>
      </rPr>
      <t>15 ene 2024</t>
    </r>
  </si>
  <si>
    <t>Derrame en Ventanilla: ¿Cuál es la situación de los pescadores?</t>
  </si>
  <si>
    <t>A dos años del derrame de crudo en el mar de Ventanilla, informes revelan pérdidas económicas significativas, disputas por compensaciones insuficientes y la....</t>
  </si>
  <si>
    <t>Spill in Ventanilla: What is the situation of the fishermen?</t>
  </si>
  <si>
    <t>Two years after the oil spill in the Ventanilla Sea, reports reveal significant economic losses, disputes over insufficient compensation and the...</t>
  </si>
  <si>
    <t>situation of affected, waiting for reparations</t>
  </si>
  <si>
    <t>situación de afectados, a la espera de reparación</t>
  </si>
  <si>
    <t>Delays in compensation prolong legal disputes and damage Repsol’s credibility.</t>
  </si>
  <si>
    <t>derrame de crudo, pérdidas económicas</t>
  </si>
  <si>
    <t>Negative sentiment due to economic and environmental impact.</t>
  </si>
  <si>
    <t>Sentimiento negativo debido al impacto económico y ambiental.</t>
  </si>
  <si>
    <r>
      <rPr>
        <rFont val="Arial, sans-serif"/>
        <color rgb="FF1155CC"/>
        <sz val="9.0"/>
        <u/>
      </rPr>
      <t>Actualidad Ambiental</t>
    </r>
    <r>
      <rPr>
        <rFont val="Arial, sans-serif"/>
        <color rgb="FF1155CC"/>
        <sz val="15.0"/>
        <u/>
      </rPr>
      <t>¿Qué aprendizajes deja el derrame?: Plantean propuesta para fortalecer la rehabilitación ambiental</t>
    </r>
    <r>
      <rPr>
        <rFont val="Arial, sans-serif"/>
        <color rgb="FF1155CC"/>
        <sz val="11.0"/>
        <u/>
      </rPr>
      <t>Foto: Alonso Molina / SPDA Hoy la congresista Ruth Luque, presidenta de la Comisión de Pueblos del Congreso, presentó la propuesta de ley para el...</t>
    </r>
    <r>
      <rPr>
        <rFont val="Arial, sans-serif"/>
        <color rgb="FF1155CC"/>
        <sz val="12.0"/>
        <u/>
      </rPr>
      <t>.</t>
    </r>
    <r>
      <rPr>
        <rFont val="Arial, sans-serif"/>
        <color rgb="FF1155CC"/>
        <sz val="11.0"/>
        <u/>
      </rPr>
      <t>15 ene 2024</t>
    </r>
  </si>
  <si>
    <t>¿Qué aprendizajes deja el derrame?: Plantean propuesta para fortalecer la rehabilitación ambiental</t>
  </si>
  <si>
    <t>Hoy la congresista Ruth Luque, presidenta de la Comisión de Pueblos del Congreso, presentó la propuesta de ley para el....</t>
  </si>
  <si>
    <t>What lessons have been learned from the spill?: They propose a proposal to strengthen environmental rehabilitation</t>
  </si>
  <si>
    <t>Today Congresswoman Ruth Luque, president of the Congressional People's Commission, presented the bill for the...</t>
  </si>
  <si>
    <t>Regulation</t>
  </si>
  <si>
    <t>lessons learned, regulatory changes</t>
  </si>
  <si>
    <t>lecciones aprendidas, cambios regulatorios</t>
  </si>
  <si>
    <t>Discussions of stricter regulations could result in increased oversight and compliance costs for Repsol.</t>
  </si>
  <si>
    <t>rehabilitación ambiental, derrame</t>
  </si>
  <si>
    <t>Mixed sentiment due to negative event but positive steps towards recovery.</t>
  </si>
  <si>
    <t>Sentimiento mixto debido a un evento negativo pero a pasos positivos hacia la recuperación.</t>
  </si>
  <si>
    <r>
      <rPr>
        <rFont val="Arial, sans-serif"/>
        <color rgb="FF1155CC"/>
        <sz val="9.0"/>
        <u/>
      </rPr>
      <t>La República</t>
    </r>
    <r>
      <rPr>
        <rFont val="Arial, sans-serif"/>
        <color rgb="FF1155CC"/>
        <sz val="15.0"/>
        <u/>
      </rPr>
      <t>Alcalde de Ancón anuncia cierre de playas no saludables tras 2 años de derrame de petróleo</t>
    </r>
    <r>
      <rPr>
        <rFont val="Arial, sans-serif"/>
        <color rgb="FF1155CC"/>
        <sz val="11.0"/>
        <u/>
      </rPr>
      <t>El burgomaestre precisó que esperan un pronunciamiento de la OEFA sobre los reportes respecto a la calidad de agua en las playas de su distrito.</t>
    </r>
    <r>
      <rPr>
        <rFont val="Arial, sans-serif"/>
        <color rgb="FF1155CC"/>
        <sz val="12.0"/>
        <u/>
      </rPr>
      <t>.</t>
    </r>
    <r>
      <rPr>
        <rFont val="Arial, sans-serif"/>
        <color rgb="FF1155CC"/>
        <sz val="11.0"/>
        <u/>
      </rPr>
      <t>15 ene 2024</t>
    </r>
  </si>
  <si>
    <t>Alcalde de Ancón anuncia cierre de playas no saludables tras 2 años de derrame de petróleo</t>
  </si>
  <si>
    <t>El burgomaestre precisó que esperan un pronunciamiento de la OEFA sobre los reportes respecto a la calidad de agua en las playas de su distrito.</t>
  </si>
  <si>
    <t>Mayor of Ancón announces closure of unhealthy beaches after 2 years of oil spill</t>
  </si>
  <si>
    <t>The mayor specified that they are waiting for a statement from the OEFA on the reports regarding the quality of water on the beaches of his district.</t>
  </si>
  <si>
    <t>closure of unhealthy beaches, oil spill</t>
  </si>
  <si>
    <t>Cierre de playas insalubres, derrame de petróleo</t>
  </si>
  <si>
    <t>Continued warnings about pollution reinforce the long-term negative impact on Repsol.</t>
  </si>
  <si>
    <r>
      <rPr>
        <rFont val="Arial, sans-serif"/>
        <color rgb="FF1155CC"/>
        <sz val="9.0"/>
        <u/>
      </rPr>
      <t>Repsol</t>
    </r>
    <r>
      <rPr>
        <rFont val="Arial, sans-serif"/>
        <color rgb="FF1155CC"/>
        <sz val="15.0"/>
        <u/>
      </rPr>
      <t>Repsol superará las 600 estaciones de servicio con combustible renovable en 2024</t>
    </r>
    <r>
      <rPr>
        <rFont val="Arial, sans-serif"/>
        <color rgb="FF1155CC"/>
        <sz val="11.0"/>
        <u/>
      </rPr>
      <t>La compañía multienergética acelera su apuesta por los combustibles renovables y define un nuevo objetivo de expansión en su red de estaciones de servicio...</t>
    </r>
    <r>
      <rPr>
        <rFont val="Arial, sans-serif"/>
        <color rgb="FF1155CC"/>
        <sz val="12.0"/>
        <u/>
      </rPr>
      <t>.</t>
    </r>
    <r>
      <rPr>
        <rFont val="Arial, sans-serif"/>
        <color rgb="FF1155CC"/>
        <sz val="11.0"/>
        <u/>
      </rPr>
      <t>16 ene 2024</t>
    </r>
  </si>
  <si>
    <t>Repsol superará las 600 estaciones de servicio con combustible renovable en 2024</t>
  </si>
  <si>
    <t>La compañía multienergética acelera su apuesta por los combustibles renovables y define un nuevo objetivo de expansión en su red de estaciones de servicio.</t>
  </si>
  <si>
    <t>Repsol will exceed 600 service stations with renewable fuel in 2024</t>
  </si>
  <si>
    <t>The multi-energy company accelerates its commitment to renewable fuels and defines a new expansion objective in its network of service stations.</t>
  </si>
  <si>
    <t>600 service stations, renewable energy</t>
  </si>
  <si>
    <t>600 estaciones de servicio, energías renovables</t>
  </si>
  <si>
    <t>Expanding renewable energy use improves Repsol’s public image and aligns with green initiatives.</t>
  </si>
  <si>
    <t>combustible renovable, estaciones de servicio</t>
  </si>
  <si>
    <r>
      <rPr>
        <rFont val="Arial, sans-serif"/>
        <color rgb="FF1155CC"/>
        <sz val="9.0"/>
        <u/>
      </rPr>
      <t>CEOE</t>
    </r>
    <r>
      <rPr>
        <rFont val="Arial, sans-serif"/>
        <color rgb="FF1155CC"/>
        <sz val="15.0"/>
        <u/>
      </rPr>
      <t>Repsol construye una planta de biocombustibles producidos a partir de residuos en Cartagena</t>
    </r>
    <r>
      <rPr>
        <rFont val="Arial, sans-serif"/>
        <color rgb="FF1155CC"/>
        <sz val="11.0"/>
        <u/>
      </rPr>
      <t>Repsol, apostando por un modelo de movilidad sostenible baja en carbono y por la economía circular, está construyendo una biorrefinería para la producción...</t>
    </r>
    <r>
      <rPr>
        <rFont val="Arial, sans-serif"/>
        <color rgb="FF1155CC"/>
        <sz val="12.0"/>
        <u/>
      </rPr>
      <t>.</t>
    </r>
    <r>
      <rPr>
        <rFont val="Arial, sans-serif"/>
        <color rgb="FF1155CC"/>
        <sz val="11.0"/>
        <u/>
      </rPr>
      <t>16 ene 2024</t>
    </r>
  </si>
  <si>
    <t>Repsol construye una planta de biocombustibles producidos a partir de residuos en Cartagena</t>
  </si>
  <si>
    <t>Repsol, apostando por un modelo de movilidad sostenible baja en carbono y por la economía circular, está construyendo una biorrefinería para la producción....</t>
  </si>
  <si>
    <t>Repsol builds a biofuel plant produced from waste in Cartagena</t>
  </si>
  <si>
    <t>Repsol, betting on a low-carbon sustainable mobility model and the circular economy, is building a biorefinery for production...</t>
  </si>
  <si>
    <t>biofuel plant, low-carbon</t>
  </si>
  <si>
    <t>planta de biocombustibles, baja en carbono</t>
  </si>
  <si>
    <t>Investing in biofuels reinforces Repsol’s commitment to sustainability and energy transition.</t>
  </si>
  <si>
    <t>biocombustibles, residuos</t>
  </si>
  <si>
    <r>
      <rPr>
        <rFont val="Arial, sans-serif"/>
        <color rgb="FF1155CC"/>
        <sz val="9.0"/>
        <u/>
      </rPr>
      <t>El Economista</t>
    </r>
    <r>
      <rPr>
        <rFont val="Arial, sans-serif"/>
        <color rgb="FF1155CC"/>
        <sz val="15.0"/>
        <u/>
      </rPr>
      <t>Repsol abre camino a los combustibles renovables: 600 gasolineras ofrecerán estos productos</t>
    </r>
    <r>
      <rPr>
        <rFont val="Arial, sans-serif"/>
        <color rgb="FF1155CC"/>
        <sz val="11.0"/>
        <u/>
      </rPr>
      <t>Repsol se prepara para dar el gran salto en los combustibles renovables. La petrolera multiplicará por diez su oferta durante el 2024.De ...</t>
    </r>
    <r>
      <rPr>
        <rFont val="Arial, sans-serif"/>
        <color rgb="FF1155CC"/>
        <sz val="12.0"/>
        <u/>
      </rPr>
      <t>.</t>
    </r>
    <r>
      <rPr>
        <rFont val="Arial, sans-serif"/>
        <color rgb="FF1155CC"/>
        <sz val="11.0"/>
        <u/>
      </rPr>
      <t>16 ene 2024</t>
    </r>
  </si>
  <si>
    <t>Repsol abre camino a los combustibles renovables: 600 gasolineras ofrecerán estos productos</t>
  </si>
  <si>
    <t>Repsol se prepara para dar el gran salto en los combustibles renovables. La petrolera multiplicará por diez su oferta durante el 2024.</t>
  </si>
  <si>
    <t>Repsol opens the way to renewable fuels: 600 gas stations will offer these products</t>
  </si>
  <si>
    <t>Repsol is preparing to take the big leap in renewable fuels. The oil company will multiply its offer tenfold during 2024.</t>
  </si>
  <si>
    <t>renewable fuels, 600 gas stations</t>
  </si>
  <si>
    <t>combustibles renovables, 600 gasolineras</t>
  </si>
  <si>
    <t>Expanding renewable fuel availability strengthens Repsol’s green energy initiatives.</t>
  </si>
  <si>
    <t>combustibles renovables, gasolineras</t>
  </si>
  <si>
    <r>
      <rPr>
        <rFont val="Arial, sans-serif"/>
        <color rgb="FF1155CC"/>
        <sz val="9.0"/>
        <u/>
      </rPr>
      <t>El Periódico de la Energía</t>
    </r>
    <r>
      <rPr>
        <rFont val="Arial, sans-serif"/>
        <color rgb="FF1155CC"/>
        <sz val="15.0"/>
        <u/>
      </rPr>
      <t>Repsol acelera su apuesta por los biocombustibles y prevé suministrarlos en 600 estaciones a final de año</t>
    </r>
    <r>
      <rPr>
        <rFont val="Arial, sans-serif"/>
        <color rgb="FF1155CC"/>
        <sz val="11.0"/>
        <u/>
      </rPr>
      <t>Repsol ha decidido acelerar su apuesta por los biocombustibles y busca superar a finales de 2024 las 600 estaciones en la Península Ibérica.</t>
    </r>
    <r>
      <rPr>
        <rFont val="Arial, sans-serif"/>
        <color rgb="FF1155CC"/>
        <sz val="12.0"/>
        <u/>
      </rPr>
      <t>.</t>
    </r>
    <r>
      <rPr>
        <rFont val="Arial, sans-serif"/>
        <color rgb="FF1155CC"/>
        <sz val="11.0"/>
        <u/>
      </rPr>
      <t>16 ene 2024</t>
    </r>
  </si>
  <si>
    <t>Repsol acelera su apuesta por los biocombustibles y prevé suministrarlos en 600 estaciones a final de año</t>
  </si>
  <si>
    <t>Repsol ha decidido acelerar su apuesta por los biocombustibles y busca superar a finales de 2024 las 600 estaciones en la Península Ibérica.</t>
  </si>
  <si>
    <t>Repsol accelerates its commitment to biofuels and plans to supply them at 600 stations by the end of the year</t>
  </si>
  <si>
    <t>Repsol has decided to accelerate its commitment to biofuels and seeks to exceed 600 stations in the Iberian Peninsula by the end of 2024.</t>
  </si>
  <si>
    <t>biofuels, commitment</t>
  </si>
  <si>
    <t>biocombustibles, compromiso</t>
  </si>
  <si>
    <t>Strengthening biofuel production aligns with Repsol’s sustainability goals and market positioning.</t>
  </si>
  <si>
    <t>biocombustibles, estaciones de servicio</t>
  </si>
  <si>
    <r>
      <rPr>
        <rFont val="Arial, sans-serif"/>
        <color rgb="FF1155CC"/>
        <sz val="9.0"/>
        <u/>
      </rPr>
      <t>Crónica Vasca</t>
    </r>
    <r>
      <rPr>
        <rFont val="Arial, sans-serif"/>
        <color rgb="FF1155CC"/>
        <sz val="15.0"/>
        <u/>
      </rPr>
      <t>Repsol ofrecerá combustible renovable en 70 estaciones de Euskadi</t>
    </r>
    <r>
      <rPr>
        <rFont val="Arial, sans-serif"/>
        <color rgb="FF1155CC"/>
        <sz val="11.0"/>
        <u/>
      </rPr>
      <t>La compañía energética quiere ofrecer 600 puntos de recarga de este tipo, repartidos por toda la Península Ibérica, para finales de 2024.</t>
    </r>
    <r>
      <rPr>
        <rFont val="Arial, sans-serif"/>
        <color rgb="FF1155CC"/>
        <sz val="12.0"/>
        <u/>
      </rPr>
      <t>.</t>
    </r>
    <r>
      <rPr>
        <rFont val="Arial, sans-serif"/>
        <color rgb="FF1155CC"/>
        <sz val="11.0"/>
        <u/>
      </rPr>
      <t>16 ene 2024</t>
    </r>
  </si>
  <si>
    <t>Crónica Vasca</t>
  </si>
  <si>
    <t>Repsol ofrecerá combustible renovable en 70 estaciones de Euskadi</t>
  </si>
  <si>
    <t>La compañía energética quiere ofrecer 600 puntos de recarga de este tipo, repartidos por toda la Península Ibérica, para finales de 2024.</t>
  </si>
  <si>
    <t>Repsol will offer renewable fuel at 70 stations in the Basque Country</t>
  </si>
  <si>
    <t>The energy company wants to offer 600 charging points of this type, spread throughout the Iberian Peninsula, by the end of 2024.</t>
  </si>
  <si>
    <t>renewable fuel, charging points</t>
  </si>
  <si>
    <t>combustible renovable, puntos de recarga</t>
  </si>
  <si>
    <t>Expanding access to renewable fuels enhances Repsol’s image as an environmentally responsible company.</t>
  </si>
  <si>
    <r>
      <rPr>
        <rFont val="Arial, sans-serif"/>
        <color rgb="FF1155CC"/>
        <sz val="9.0"/>
        <u/>
      </rPr>
      <t>El Correo</t>
    </r>
    <r>
      <rPr>
        <rFont val="Arial, sans-serif"/>
        <color rgb="FF1155CC"/>
        <sz val="15.0"/>
        <u/>
      </rPr>
      <t>Repsol superará las 600 estaciones con combustible renovable en 2024</t>
    </r>
    <r>
      <rPr>
        <rFont val="Arial, sans-serif"/>
        <color rgb="FF1155CC"/>
        <sz val="11.0"/>
        <u/>
      </rPr>
      <t>Repsol quiere acelerar sus planes para implantar los combustibles 100% renovables en sus estaciones de servicio, de cuya red espera que haya 600 puntos con...</t>
    </r>
    <r>
      <rPr>
        <rFont val="Arial, sans-serif"/>
        <color rgb="FF1155CC"/>
        <sz val="12.0"/>
        <u/>
      </rPr>
      <t>.</t>
    </r>
    <r>
      <rPr>
        <rFont val="Arial, sans-serif"/>
        <color rgb="FF1155CC"/>
        <sz val="11.0"/>
        <u/>
      </rPr>
      <t>16 ene 2024</t>
    </r>
  </si>
  <si>
    <t>El Correo</t>
  </si>
  <si>
    <t>Repsol superará las 600 estaciones con combustible renovable en 2024</t>
  </si>
  <si>
    <t>Repsol quiere acelerar sus planes para implantar los combustibles 100% renovables en sus estaciones de servicio, de cuya red espera que haya 600 puntos con....</t>
  </si>
  <si>
    <t>Repsol will exceed 600 stations with renewable fuel in 2024</t>
  </si>
  <si>
    <t>Repsol wants to accelerate its plans to implement 100% renewable fuels in its service stations, whose network it expects to have 600 points with...</t>
  </si>
  <si>
    <t>renewable fuel, 600 stations</t>
  </si>
  <si>
    <t>combustible renovable, 600 estaciones</t>
  </si>
  <si>
    <t>Increasing renewable fuel offerings aligns with global energy transition trends.</t>
  </si>
  <si>
    <r>
      <rPr>
        <rFont val="Arial, sans-serif"/>
        <color rgb="FF1155CC"/>
        <sz val="9.0"/>
        <u/>
      </rPr>
      <t>La Tribuna de Ciudad Real</t>
    </r>
    <r>
      <rPr>
        <rFont val="Arial, sans-serif"/>
        <color rgb="FF1155CC"/>
        <sz val="15.0"/>
        <u/>
      </rPr>
      <t>Ciudad Real: Repsol contará con siete estaciones de servicio con combustible renovable este año</t>
    </r>
    <r>
      <rPr>
        <rFont val="Arial, sans-serif"/>
        <color rgb="FF1155CC"/>
        <sz val="11.0"/>
        <u/>
      </rPr>
      <t>La multinacional tiene previsto abrir en Puertollano su segunda planta de elaboración de combustibles renovables en 2025. Repsol abrirá siete gasolineras de...</t>
    </r>
    <r>
      <rPr>
        <rFont val="Arial, sans-serif"/>
        <color rgb="FF1155CC"/>
        <sz val="12.0"/>
        <u/>
      </rPr>
      <t>.</t>
    </r>
    <r>
      <rPr>
        <rFont val="Arial, sans-serif"/>
        <color rgb="FF1155CC"/>
        <sz val="11.0"/>
        <u/>
      </rPr>
      <t>16 ene 2024</t>
    </r>
  </si>
  <si>
    <t>Repsol contará con siete estaciones de servicio con combustible renovable este año</t>
  </si>
  <si>
    <t>La multinacional tiene previsto abrir en Puertollano su segunda planta de elaboración de combustibles renovables en 2025. Repsol abrirá siete gasolineras de....</t>
  </si>
  <si>
    <t>Repsol will have seven service stations with renewable fuel this year</t>
  </si>
  <si>
    <t>The multinational plans to open its second renewable fuel production plant in Puertollano in 2025. Repsol will open seven gas stations...</t>
  </si>
  <si>
    <t>renewable fuel, service stations</t>
  </si>
  <si>
    <t>The expansion of renewable energy stations signals progress but remains a small-scale initiative.</t>
  </si>
  <si>
    <r>
      <rPr>
        <rFont val="Arial, sans-serif"/>
        <color rgb="FF1155CC"/>
        <sz val="9.0"/>
        <u/>
      </rPr>
      <t>20Minutos</t>
    </r>
    <r>
      <rPr>
        <rFont val="Arial, sans-serif"/>
        <color rgb="FF1155CC"/>
        <sz val="15.0"/>
        <u/>
      </rPr>
      <t>Repsol prevé servir combustibles renovables en 600 estaciones a fin de año</t>
    </r>
    <r>
      <rPr>
        <rFont val="Arial, sans-serif"/>
        <color rgb="FF1155CC"/>
        <sz val="11.0"/>
        <u/>
      </rPr>
      <t>Repsol ha anunciado que prevé acelerar su apuesta por los combustibles renovables y ha definido un objetivo más ambicioso con la meta de superar a finales...</t>
    </r>
    <r>
      <rPr>
        <rFont val="Arial, sans-serif"/>
        <color rgb="FF1155CC"/>
        <sz val="12.0"/>
        <u/>
      </rPr>
      <t>.</t>
    </r>
    <r>
      <rPr>
        <rFont val="Arial, sans-serif"/>
        <color rgb="FF1155CC"/>
        <sz val="11.0"/>
        <u/>
      </rPr>
      <t>16 ene 2024</t>
    </r>
  </si>
  <si>
    <t>Repsol prevé servir combustibles renovables en 600 estaciones a fin de año</t>
  </si>
  <si>
    <t>Repsol ha anunciado que prevé acelerar su apuesta por los combustibles renovables y ha definido un objetivo más ambicioso con la meta de superar a finales....</t>
  </si>
  <si>
    <t>Repsol plans to serve renewable fuels at 600 stations by the end of the year</t>
  </si>
  <si>
    <t>Repsol has announced that it plans to accelerate its commitment to renewable fuels and has defined a more ambitious objective with the goal of surpassing by the end...</t>
  </si>
  <si>
    <t>renewable fuels, 600 stations</t>
  </si>
  <si>
    <t>combustibles renovables, 600 estaciones</t>
  </si>
  <si>
    <t>Scaling up renewable fuel distribution strengthens Repsol’s competitive stance in sustainable energy.</t>
  </si>
  <si>
    <t>combustibles renovables, estaciones de servicio</t>
  </si>
  <si>
    <r>
      <rPr>
        <rFont val="Arial, sans-serif"/>
        <color rgb="FF1155CC"/>
        <sz val="9.0"/>
        <u/>
      </rPr>
      <t>Bolsamania</t>
    </r>
    <r>
      <rPr>
        <rFont val="Arial, sans-serif"/>
        <color rgb="FF1155CC"/>
        <sz val="15.0"/>
        <u/>
      </rPr>
      <t>Repsol superará las 600 estaciones de servicio con combustible renovable en 2024</t>
    </r>
    <r>
      <rPr>
        <rFont val="Arial, sans-serif"/>
        <color rgb="FF1155CC"/>
        <sz val="11.0"/>
        <u/>
      </rPr>
      <t>Repsol planea superar las 600 estaciones de servicio con combustible 100% renovable hacia finales de 2024. La empresa aumenta así su compromiso con los...</t>
    </r>
    <r>
      <rPr>
        <rFont val="Arial, sans-serif"/>
        <color rgb="FF1155CC"/>
        <sz val="12.0"/>
        <u/>
      </rPr>
      <t>.</t>
    </r>
    <r>
      <rPr>
        <rFont val="Arial, sans-serif"/>
        <color rgb="FF1155CC"/>
        <sz val="11.0"/>
        <u/>
      </rPr>
      <t>16 ene 2024</t>
    </r>
  </si>
  <si>
    <t>Bolsamania</t>
  </si>
  <si>
    <t>Repsol planea superar las 600 estaciones de servicio con combustible 100% renovable hacia finales de 2024. La empresa aumenta así su compromiso con los....</t>
  </si>
  <si>
    <t>Repsol plans to exceed 600 service stations with 100% renewable fuel by the end of 2024. The company thus increases its commitment to...</t>
  </si>
  <si>
    <t>renewable energy, service stations</t>
  </si>
  <si>
    <t>energías renovables, estaciones de servicio</t>
  </si>
  <si>
    <t>Expanding renewable infrastructure boosts Repsol’s public perception in the sustainability sector.</t>
  </si>
  <si>
    <r>
      <rPr>
        <rFont val="Arial, sans-serif"/>
        <color rgb="FF1155CC"/>
        <sz val="9.0"/>
        <u/>
      </rPr>
      <t>Repsol</t>
    </r>
    <r>
      <rPr>
        <rFont val="Arial, sans-serif"/>
        <color rgb="FF1155CC"/>
        <sz val="15.0"/>
        <u/>
      </rPr>
      <t>Combustibles 100% renovables</t>
    </r>
    <r>
      <rPr>
        <rFont val="Arial, sans-serif"/>
        <color rgb="FF1155CC"/>
        <sz val="11.0"/>
        <u/>
      </rPr>
      <t>Encuentra las gasolineras o estaciones de servicio donde repostar los combustibles 100% renovables de Repsol. Disponibles para cualquier vehículo con motor...</t>
    </r>
    <r>
      <rPr>
        <rFont val="Arial, sans-serif"/>
        <color rgb="FF1155CC"/>
        <sz val="12.0"/>
        <u/>
      </rPr>
      <t>.</t>
    </r>
    <r>
      <rPr>
        <rFont val="Arial, sans-serif"/>
        <color rgb="FF1155CC"/>
        <sz val="11.0"/>
        <u/>
      </rPr>
      <t>16 ene 2024</t>
    </r>
  </si>
  <si>
    <t>Encuentra las gasolineras o estaciones de servicio donde repostar los combustibles 100% renovables de Repsol.</t>
  </si>
  <si>
    <t>Encuentra las gasolineras o estaciones de servicio donde repostar los combustibles 100% renovables de Repsol. Disponibles para cualquier vehículo con motor....</t>
  </si>
  <si>
    <t>Find gas stations or service stations where you can refuel with Repsol's 100% renewable fuels.</t>
  </si>
  <si>
    <t>Find gas stations or service stations where you can refuel with Repsol's 100% renewable fuels. Available for any vehicle with a motor....</t>
  </si>
  <si>
    <t>refuel, renewable fuels</t>
  </si>
  <si>
    <t>repostar, combustibles renovables</t>
  </si>
  <si>
    <t>Improving renewable fuel accessibility aligns with Repsol’s long-term sustainability goals.</t>
  </si>
  <si>
    <r>
      <rPr>
        <rFont val="Arial, sans-serif"/>
        <color rgb="FF1155CC"/>
        <sz val="9.0"/>
        <u/>
      </rPr>
      <t>Economía Digital</t>
    </r>
    <r>
      <rPr>
        <rFont val="Arial, sans-serif"/>
        <color rgb="FF1155CC"/>
        <sz val="15.0"/>
        <u/>
      </rPr>
      <t>La planta de hidrógeno de Naturgy, Reganosa y Repsol en Cerceda, más cerca</t>
    </r>
    <r>
      <rPr>
        <rFont val="Arial, sans-serif"/>
        <color rgb="FF1155CC"/>
        <sz val="11.0"/>
        <u/>
      </rPr>
      <t>Naturgy ha derribado este martes la caldera de la antigua central térmica donde se levantará la planta de hidrógeno verde, que supondrá una inversión de 64.</t>
    </r>
    <r>
      <rPr>
        <rFont val="Arial, sans-serif"/>
        <color rgb="FF1155CC"/>
        <sz val="12.0"/>
        <u/>
      </rPr>
      <t>.</t>
    </r>
    <r>
      <rPr>
        <rFont val="Arial, sans-serif"/>
        <color rgb="FF1155CC"/>
        <sz val="11.0"/>
        <u/>
      </rPr>
      <t>16 ene 2024</t>
    </r>
  </si>
  <si>
    <t>La planta de hidrógeno de Naturgy, Reganosa y Repsol en Cerceda, más cerca</t>
  </si>
  <si>
    <t>Naturgy ha derribado este martes la caldera de la antigua central térmica donde se levantará la planta de hidrógeno verde, que supondrá una inversión de 64..</t>
  </si>
  <si>
    <t>The Naturgy, Reganosa and Repsol hydrogen plant in Cerceda, closer</t>
  </si>
  <si>
    <t>This Tuesday, Naturgy demolished the boiler of the old thermal power plant where the green hydrogen plant will be built, which will involve an investment of 64...</t>
  </si>
  <si>
    <t>hydrogen plant, coal transition</t>
  </si>
  <si>
    <t>planta de hidrógeno, transición del carbón</t>
  </si>
  <si>
    <t>Supporting hydrogen energy transition reinforces Repsol’s leadership in alternative energy.</t>
  </si>
  <si>
    <t>hidrógeno verde, inversión</t>
  </si>
  <si>
    <r>
      <rPr>
        <rFont val="Arial, sans-serif"/>
        <color rgb="FF1155CC"/>
        <sz val="9.0"/>
        <u/>
      </rPr>
      <t>MOTOSAN</t>
    </r>
    <r>
      <rPr>
        <rFont val="Arial, sans-serif"/>
        <color rgb="FF1155CC"/>
        <sz val="15.0"/>
        <u/>
      </rPr>
      <t>Repsol Honda ya tiene fecha de presentación</t>
    </r>
    <r>
      <rPr>
        <rFont val="Arial, sans-serif"/>
        <color rgb="FF1155CC"/>
        <sz val="11.0"/>
        <u/>
      </rPr>
      <t>El equipo Repsol Honda anuncia la fecha de presentación, tras el primer test de pretemporada este 2024. En poco menos de un mes, concretamente el martes.</t>
    </r>
    <r>
      <rPr>
        <rFont val="Arial, sans-serif"/>
        <color rgb="FF1155CC"/>
        <sz val="12.0"/>
        <u/>
      </rPr>
      <t>.</t>
    </r>
    <r>
      <rPr>
        <rFont val="Arial, sans-serif"/>
        <color rgb="FF1155CC"/>
        <sz val="11.0"/>
        <u/>
      </rPr>
      <t>16 ene 2024</t>
    </r>
  </si>
  <si>
    <t>Repsol Honda ya tiene fecha de presentación</t>
  </si>
  <si>
    <t>El equipo Repsol Honda anuncia la fecha de presentación, tras el primer test de pretemporada este 2024. En poco menos de un mes, concretamente el martes..16 ene 2024.</t>
  </si>
  <si>
    <t>Repsol Honda already has a presentation date</t>
  </si>
  <si>
    <t>The Repsol Honda team announces the presentation date, after the first preseason test this 2024. In just under a month, specifically on Tuesday, January 16, 2024.</t>
  </si>
  <si>
    <t>Team presentations do not impact Repsol’s corporate reputation.</t>
  </si>
  <si>
    <t>Repsol Honda, presentación</t>
  </si>
  <si>
    <t>Positive sentiment due to Repsol's association with a prestigious racing team.</t>
  </si>
  <si>
    <t>Sentimiento positivo por la asociación de Repsol con un prestigioso equipo de carreras.</t>
  </si>
  <si>
    <r>
      <rPr>
        <rFont val="Arial, sans-serif"/>
        <color rgb="FF1155CC"/>
        <sz val="9.0"/>
        <u/>
      </rPr>
      <t>Lanza Digital</t>
    </r>
    <r>
      <rPr>
        <rFont val="Arial, sans-serif"/>
        <color rgb="FF1155CC"/>
        <sz val="15.0"/>
        <u/>
      </rPr>
      <t>Puertollano contará con una estación de servicio de combustible renovable de Repsol</t>
    </r>
    <r>
      <rPr>
        <rFont val="Arial, sans-serif"/>
        <color rgb="FF1155CC"/>
        <sz val="11.0"/>
        <u/>
      </rPr>
      <t>Repsol apuesta por los combustibles renovables y lo hará facilitando el acceso a la compra de los mismos a través de el incremento de estaciones de servicio...</t>
    </r>
    <r>
      <rPr>
        <rFont val="Arial, sans-serif"/>
        <color rgb="FF1155CC"/>
        <sz val="12.0"/>
        <u/>
      </rPr>
      <t>.</t>
    </r>
    <r>
      <rPr>
        <rFont val="Arial, sans-serif"/>
        <color rgb="FF1155CC"/>
        <sz val="11.0"/>
        <u/>
      </rPr>
      <t>16 ene 2024</t>
    </r>
  </si>
  <si>
    <t>Lanza Digital</t>
  </si>
  <si>
    <t>Puertollano contará con una estación de servicio de combustible renovable de Repsol</t>
  </si>
  <si>
    <t>Repsol apuesta por los combustibles renovables y lo hará facilitando el acceso a la compra de los mismos a través de el incremento de estaciones de servicio....</t>
  </si>
  <si>
    <t>Puertollano will have a Repsol renewable fuel service station</t>
  </si>
  <si>
    <t>Repsol is committed to renewable fuels and will do so by facilitating access to their purchase through the increase in service stations...</t>
  </si>
  <si>
    <t>renewable fuel plant, Puertollano</t>
  </si>
  <si>
    <t>Planta de combustibles renovables, Puertollano</t>
  </si>
  <si>
    <t>Expanding renewable fuel infrastructure aligns with Repsol’s sustainability strategy.</t>
  </si>
  <si>
    <r>
      <rPr>
        <rFont val="Arial, sans-serif"/>
        <color rgb="FF1155CC"/>
        <sz val="9.0"/>
        <u/>
      </rPr>
      <t>Univision</t>
    </r>
    <r>
      <rPr>
        <rFont val="Arial, sans-serif"/>
        <color rgb="FF1155CC"/>
        <sz val="15.0"/>
        <u/>
      </rPr>
      <t>Esos videos que promueven supuestas inversiones de la petrolera Repsol son falsos</t>
    </r>
    <r>
      <rPr>
        <rFont val="Arial, sans-serif"/>
        <color rgb="FF1155CC"/>
        <sz val="11.0"/>
        <u/>
      </rPr>
      <t>Asocian al rey de España y al presidente del Real Madrid en anuncios sobre inversiones en la petrolera española Repsol. El equipo de prensa de la empresa...</t>
    </r>
    <r>
      <rPr>
        <rFont val="Arial, sans-serif"/>
        <color rgb="FF1155CC"/>
        <sz val="12.0"/>
        <u/>
      </rPr>
      <t>.</t>
    </r>
    <r>
      <rPr>
        <rFont val="Arial, sans-serif"/>
        <color rgb="FF1155CC"/>
        <sz val="11.0"/>
        <u/>
      </rPr>
      <t>16 ene 2024</t>
    </r>
  </si>
  <si>
    <t>Univision</t>
  </si>
  <si>
    <t>Esos videos que promueven supuestas inversiones de la petrolera Repsol son falsos</t>
  </si>
  <si>
    <t>Esos videos que promueven supuestas inversiones de la petrolera Repsol son falsos.</t>
  </si>
  <si>
    <t>Those videos that promote supposed investments by the oil company Repsol are false</t>
  </si>
  <si>
    <t>Those videos that promote supposed investments by the oil company Repsol are false.</t>
  </si>
  <si>
    <t>Fraud Prevention</t>
  </si>
  <si>
    <r>
      <rPr>
        <rFont val="Arial, sans-serif"/>
        <color rgb="FF1155CC"/>
        <sz val="9.0"/>
        <u/>
      </rPr>
      <t>Mundo Deportivo</t>
    </r>
    <r>
      <rPr>
        <rFont val="Arial, sans-serif"/>
        <color rgb="FF1155CC"/>
        <sz val="15.0"/>
        <u/>
      </rPr>
      <t>Las dunas del Dakar, clave para el futuro de la movilidad</t>
    </r>
    <r>
      <rPr>
        <rFont val="Arial, sans-serif"/>
        <color rgb="FF1155CC"/>
        <sz val="11.0"/>
        <u/>
      </rPr>
      <t>El equipo Toyota Gazoo Racing, vigente campeón del Dakar, e Isidre Esteve, con el Repsol Toyota Rally Team, compiten con un combustible renovable producido...</t>
    </r>
    <r>
      <rPr>
        <rFont val="Arial, sans-serif"/>
        <color rgb="FF1155CC"/>
        <sz val="12.0"/>
        <u/>
      </rPr>
      <t>.</t>
    </r>
    <r>
      <rPr>
        <rFont val="Arial, sans-serif"/>
        <color rgb="FF1155CC"/>
        <sz val="11.0"/>
        <u/>
      </rPr>
      <t>16 ene 2024</t>
    </r>
  </si>
  <si>
    <t>Las dunas del Dakar, clave para el futuro de la movilidad</t>
  </si>
  <si>
    <t>El equipo Toyota Gazoo Racing, vigente campeón del Dakar, e Isidre Esteve, con el Repsol Toyota Rally Team, compiten con un combustible renovable producido....</t>
  </si>
  <si>
    <t>The dunes of the Dakar, key to the future of mobility</t>
  </si>
  <si>
    <t>The Toyota Gazoo Racing team, current Dakar champion, and Isidre Esteve, with the Repsol Toyota Rally Team, compete with a renewable fuel produced...</t>
  </si>
  <si>
    <t>General discussions about mobility trends do not directly affect Repsol.</t>
  </si>
  <si>
    <t>combustible renovable, Dakar</t>
  </si>
  <si>
    <t>Positive sentiment due to Repsol's association with renewable energy in racing.</t>
  </si>
  <si>
    <t>Sentimiento positivo por la vinculación de Repsol con las energías renovables en las carreras.</t>
  </si>
  <si>
    <r>
      <rPr>
        <rFont val="Arial, sans-serif"/>
        <color rgb="FF1155CC"/>
        <sz val="9.0"/>
        <u/>
      </rPr>
      <t>Noudiari.es</t>
    </r>
    <r>
      <rPr>
        <rFont val="Arial, sans-serif"/>
        <color rgb="FF1155CC"/>
        <sz val="15.0"/>
        <u/>
      </rPr>
      <t>Un camión de bombonas de butano pierde la carga y bloquea una salida de la E-20 de Ibiza</t>
    </r>
    <r>
      <rPr>
        <rFont val="Arial, sans-serif"/>
        <color rgb="FF1155CC"/>
        <sz val="11.0"/>
        <u/>
      </rPr>
      <t>Un camión cargado de bombonas de butano ha soltado el tráiler de la carga que llevaba esta mañana en la salida de la carretera E20 de Ibiza en la rotonda...</t>
    </r>
    <r>
      <rPr>
        <rFont val="Arial, sans-serif"/>
        <color rgb="FF1155CC"/>
        <sz val="12.0"/>
        <u/>
      </rPr>
      <t>.</t>
    </r>
    <r>
      <rPr>
        <rFont val="Arial, sans-serif"/>
        <color rgb="FF1155CC"/>
        <sz val="11.0"/>
        <u/>
      </rPr>
      <t>16 ene 2024</t>
    </r>
  </si>
  <si>
    <t>Noudiari.es</t>
  </si>
  <si>
    <t>Un camión de bombonas de butano pierde la carga y bloquea una salida de la E-20 de Ibiza</t>
  </si>
  <si>
    <t>Un camión cargado de bombonas de butano ha soltado el tráiler de la carga que llevaba esta mañana en la salida de la carretera E20 de Ibiza en la rotonda....</t>
  </si>
  <si>
    <t>A butane cylinder truck loses its load and blocks an exit from the E-20 in Ibiza</t>
  </si>
  <si>
    <t>A truck loaded with butane cylinders has released the trailer of the load it was carrying this morning at the exit of the E20 road in Ibiza at the roundabout....</t>
  </si>
  <si>
    <r>
      <rPr>
        <rFont val="Arial, sans-serif"/>
        <color rgb="FF1155CC"/>
        <sz val="9.0"/>
        <u/>
      </rPr>
      <t>CooperAcción</t>
    </r>
    <r>
      <rPr>
        <rFont val="Arial, sans-serif"/>
        <color rgb="FF1155CC"/>
        <sz val="15.0"/>
        <u/>
      </rPr>
      <t>A dos años del derrame de petróleo de REPSOL se expondrá la actual situación del ambiente y la vulneración de los derechos humanos de los afectados</t>
    </r>
    <r>
      <rPr>
        <rFont val="Arial, sans-serif"/>
        <color rgb="FF1155CC"/>
        <sz val="11.0"/>
        <u/>
      </rPr>
      <t>Han transcurrido dos años del derrame de petróleo de REPSOL en el mar peruano, considerado uno de los ecocidios más grandes de los últimos tiempos,...</t>
    </r>
    <r>
      <rPr>
        <rFont val="Arial, sans-serif"/>
        <color rgb="FF1155CC"/>
        <sz val="12.0"/>
        <u/>
      </rPr>
      <t>.</t>
    </r>
    <r>
      <rPr>
        <rFont val="Arial, sans-serif"/>
        <color rgb="FF1155CC"/>
        <sz val="11.0"/>
        <u/>
      </rPr>
      <t>16 ene 2024</t>
    </r>
  </si>
  <si>
    <t>A dos años del derrame de petróleo de REPSOL se expondrá la actual situación del ambiente y la vulneración de los derechos humanos de los afectados</t>
  </si>
  <si>
    <t>A dos años del derrame de petróleo de REPSOL se expondrá la actual situación del ambiente y la vulneración de los derechos humanos de los afectados. Han transcurrido dos años del derrame de petróleo de REPSOL en el mar peruano, considerado uno de los ecocidios más grandes de los últimos tiempos,....</t>
  </si>
  <si>
    <t>Two years after the REPSOL oil spill, the current environmental situation and the violation of the human rights of those affected will be exposed</t>
  </si>
  <si>
    <t>Two years after the REPSOL oil spill, the current environmental situation and the violation of the human rights of those affected will be exposed. Two years have passed since the REPSOL oil spill in the Peruvian sea, considered one of the largest ecocides in recent times,...</t>
  </si>
  <si>
    <t>oil spill, ocean state</t>
  </si>
  <si>
    <t>derrame de petróleo, estado del océano</t>
  </si>
  <si>
    <t>Ongoing environmental damage reinforces negative sentiment towards Repsol.</t>
  </si>
  <si>
    <t>derrame de petróleo, derechos humanos</t>
  </si>
  <si>
    <t>Strong negative sentiment due to environmental and human rights impact.</t>
  </si>
  <si>
    <t>Fuerte sentimiento negativo debido al impacto ambiental y de derechos humanos.</t>
  </si>
  <si>
    <r>
      <rPr>
        <rFont val="Arial, sans-serif"/>
        <color rgb="FF1155CC"/>
        <sz val="9.0"/>
        <u/>
      </rPr>
      <t>Gestión</t>
    </r>
    <r>
      <rPr>
        <rFont val="Arial, sans-serif"/>
        <color rgb="FF1155CC"/>
        <sz val="15.0"/>
        <u/>
      </rPr>
      <t>Afectados por derrame petrolero sobreviven comiendo peces de zona donde cayó el crudo</t>
    </r>
    <r>
      <rPr>
        <rFont val="Arial, sans-serif"/>
        <color rgb="FF1155CC"/>
        <sz val="11.0"/>
        <u/>
      </rPr>
      <t>El peruano Valerio Bacalla sale casi todas las madrugadas a pescar al Pacífico en cuyas aguas cayeron hace dos años miles de barriles de petróleo frente a...</t>
    </r>
    <r>
      <rPr>
        <rFont val="Arial, sans-serif"/>
        <color rgb="FF1155CC"/>
        <sz val="12.0"/>
        <u/>
      </rPr>
      <t>.</t>
    </r>
    <r>
      <rPr>
        <rFont val="Arial, sans-serif"/>
        <color rgb="FF1155CC"/>
        <sz val="11.0"/>
        <u/>
      </rPr>
      <t>16 ene 2024</t>
    </r>
  </si>
  <si>
    <t>Afectados por derrame petrolero sobreviven comiendo peces de zona donde cayó el crudo</t>
  </si>
  <si>
    <t>Afectados por derrame petrolero sobreviven comiendo peces de zona donde cayó el crudo. El peruano Valerio Bacalla sale casi todas las madrugadas a pescar al Pacífico en cuyas aguas cayeron hace dos años miles de barriles de petróleo frente a....</t>
  </si>
  <si>
    <t>Those affected by the oil spill survive by eating fish from the area where the oil fell</t>
  </si>
  <si>
    <t>Those affected by the oil spill survive by eating fish from the area where the oil fell. Peruvian Valerio Bacalla goes out almost every morning to fish in the Pacific, into whose waters two years ago thousands of barrels of oil fell off...</t>
  </si>
  <si>
    <t>contaminated waters, fishermen struggle</t>
  </si>
  <si>
    <t>Aguas contaminadas, lucha de pescadores</t>
  </si>
  <si>
    <t>The continued impact on livelihoods further harms Repsol’s reputation and liability concerns.</t>
  </si>
  <si>
    <t>derrame petrolero, sobreviven</t>
  </si>
  <si>
    <t>Negative sentiment due to ongoing environmental and community impact.</t>
  </si>
  <si>
    <t>Sentimiento negativo debido al impacto ambiental y comunitario continuo.</t>
  </si>
  <si>
    <r>
      <rPr>
        <rFont val="Arial, sans-serif"/>
        <color rgb="FF1155CC"/>
        <sz val="9.0"/>
        <u/>
      </rPr>
      <t>Agro Perú Informa</t>
    </r>
    <r>
      <rPr>
        <rFont val="Arial, sans-serif"/>
        <color rgb="FF1155CC"/>
        <sz val="15.0"/>
        <u/>
      </rPr>
      <t>OEFA impone multas a Repsol por omisión de planes de rehabilitación tras derrame en Ventanilla</t>
    </r>
    <r>
      <rPr>
        <rFont val="Arial, sans-serif"/>
        <color rgb="FF1155CC"/>
        <sz val="11.0"/>
        <u/>
      </rPr>
      <t>El Organismo de Evaluación y Fiscalización Ambiental (OEFA) continúa supervisando el cumplimiento de las acciones de rehabilitación de las formaciones...</t>
    </r>
    <r>
      <rPr>
        <rFont val="Arial, sans-serif"/>
        <color rgb="FF1155CC"/>
        <sz val="12.0"/>
        <u/>
      </rPr>
      <t>.</t>
    </r>
    <r>
      <rPr>
        <rFont val="Arial, sans-serif"/>
        <color rgb="FF1155CC"/>
        <sz val="11.0"/>
        <u/>
      </rPr>
      <t>16 ene 2024</t>
    </r>
  </si>
  <si>
    <t>Agro Perú Informa</t>
  </si>
  <si>
    <t>OEFA impone multas a Repsol por omisión de planes de rehabilitación tras derrame en Ventanilla</t>
  </si>
  <si>
    <t>El Organismo de Evaluación y Fiscalización Ambiental (OEFA) continúa supervisando el cumplimiento de las acciones de rehabilitación de las formaciones....</t>
  </si>
  <si>
    <t>OEFA imposes fines on Repsol for omission of rehabilitation plans after spill in Ventanilla</t>
  </si>
  <si>
    <t>The Environmental Assessment and Supervision Agency (OEFA) continues to supervise compliance with the rehabilitation actions of the formations....</t>
  </si>
  <si>
    <t>fines, environmental reports omission</t>
  </si>
  <si>
    <t>multas, omisión de informes ambientales</t>
  </si>
  <si>
    <t>Fines related to environmental violations contribute to negative regulatory perception.</t>
  </si>
  <si>
    <t>multas, omisión de planes</t>
  </si>
  <si>
    <t>Negative sentiment due to legal disputes and lack of environmental recovery.</t>
  </si>
  <si>
    <t>Sentimiento negativo por disputas legales y falta de recuperación ambiental.</t>
  </si>
  <si>
    <r>
      <rPr>
        <rFont val="Arial, sans-serif"/>
        <color rgb="FF1155CC"/>
        <sz val="9.0"/>
        <u/>
      </rPr>
      <t>INFOREGION</t>
    </r>
    <r>
      <rPr>
        <rFont val="Arial, sans-serif"/>
        <color rgb="FF1155CC"/>
        <sz val="15.0"/>
        <u/>
      </rPr>
      <t>Municipalidad de Ancón cierra playas contaminadas por el derrame de Repsol</t>
    </r>
    <r>
      <rPr>
        <rFont val="Arial, sans-serif"/>
        <color rgb="FF1155CC"/>
        <sz val="11.0"/>
        <u/>
      </rPr>
      <t>El alcalde de Ancón, Samuel Daza, lideró un plantón contra Repsol e informó que desde hoy 10 playas de su distrito catalogadas como afectados por el OEFA...</t>
    </r>
    <r>
      <rPr>
        <rFont val="Arial, sans-serif"/>
        <color rgb="FF1155CC"/>
        <sz val="12.0"/>
        <u/>
      </rPr>
      <t>.</t>
    </r>
    <r>
      <rPr>
        <rFont val="Arial, sans-serif"/>
        <color rgb="FF1155CC"/>
        <sz val="11.0"/>
        <u/>
      </rPr>
      <t>16 ene 2024</t>
    </r>
  </si>
  <si>
    <t>Municipalidad de Ancón cierra playas contaminadas por el derrame de Repsol</t>
  </si>
  <si>
    <t>El alcalde de Ancón, Samuel Daza, lideró un plantón contra Repsol e informó que desde hoy 10 playas de su distrito catalogadas como afectados por el OEFA.</t>
  </si>
  <si>
    <t>Municipality of Ancón closes beaches contaminated by the Repsol spill</t>
  </si>
  <si>
    <t>The mayor of Ancón, Samuel Daza, led a sit-in against Repsol and reported that as of today, 10 beaches in his district have been classified as affected by the OEFA.</t>
  </si>
  <si>
    <t>beach closure, contaminated beaches</t>
  </si>
  <si>
    <t>cierre de playas, playas contaminadas</t>
  </si>
  <si>
    <t>Ongoing pollution issues and public demands for accountability harm Repsol’s image.</t>
  </si>
  <si>
    <t>playas contaminadas, derrame de Repsol</t>
  </si>
  <si>
    <r>
      <rPr>
        <rFont val="Arial, sans-serif"/>
        <color rgb="FF1155CC"/>
        <sz val="9.0"/>
        <u/>
      </rPr>
      <t>El Búho.pe</t>
    </r>
    <r>
      <rPr>
        <rFont val="Arial, sans-serif"/>
        <color rgb="FF1155CC"/>
        <sz val="15.0"/>
        <u/>
      </rPr>
      <t>Derrame en Ventanilla: Playas afectadas por Repsol aún esperan recuperación</t>
    </r>
    <r>
      <rPr>
        <rFont val="Arial, sans-serif"/>
        <color rgb="FF1155CC"/>
        <sz val="11.0"/>
        <u/>
      </rPr>
      <t>LIMA. Hace dos años, la costa limeña se vio impactada por un derrame de casi 12 mil barriles de petróleo de Repsol. A pesar del tiempo transcurrido,...</t>
    </r>
    <r>
      <rPr>
        <rFont val="Arial, sans-serif"/>
        <color rgb="FF1155CC"/>
        <sz val="12.0"/>
        <u/>
      </rPr>
      <t>.</t>
    </r>
    <r>
      <rPr>
        <rFont val="Arial, sans-serif"/>
        <color rgb="FF1155CC"/>
        <sz val="11.0"/>
        <u/>
      </rPr>
      <t>16 ene 2024</t>
    </r>
  </si>
  <si>
    <t>Derrame en Ventanilla: Playas afectadas por Repsol aún esperan recuperación</t>
  </si>
  <si>
    <t>A pesar del tiempo transcurrido, las playas afectadas por el derrame de Repsol aún esperan recuperación.</t>
  </si>
  <si>
    <t>Spill in Ventanilla: Beaches affected by Repsol are still waiting for recovery</t>
  </si>
  <si>
    <t>Despite the time that has passed, the beaches affected by the Repsol spill are still waiting for recovery.</t>
  </si>
  <si>
    <t>beaches unsafe, Ventanilla spill</t>
  </si>
  <si>
    <t>playas inseguras, derrame de Ventanilla</t>
  </si>
  <si>
    <t>The persistence of pollution keeps Repsol under scrutiny for environmental responsibility.</t>
  </si>
  <si>
    <t>playas afectadas, derrame de Repsol</t>
  </si>
  <si>
    <t>Negative sentiment due to unresolved environmental damage.</t>
  </si>
  <si>
    <t>Sentimiento negativo debido a daños ambientales no resueltos.</t>
  </si>
  <si>
    <r>
      <rPr>
        <rFont val="Arial, sans-serif"/>
        <color rgb="FF1155CC"/>
        <sz val="9.0"/>
        <u/>
      </rPr>
      <t>Actualidad Ambiental</t>
    </r>
    <r>
      <rPr>
        <rFont val="Arial, sans-serif"/>
        <color rgb="FF1155CC"/>
        <sz val="15.0"/>
        <u/>
      </rPr>
      <t>Comisión de Pueblos presentó informe sobre acciones de Repsol y el Estado ante el derrame de petróleo</t>
    </r>
    <r>
      <rPr>
        <rFont val="Arial, sans-serif"/>
        <color rgb="FF1155CC"/>
        <sz val="11.0"/>
        <u/>
      </rPr>
      <t>El documento resalta la falta de rehabilitación de los sitios afectados, la insalubridad de las playas, la falta de atención a las personas afectadas y las...</t>
    </r>
    <r>
      <rPr>
        <rFont val="Arial, sans-serif"/>
        <color rgb="FF1155CC"/>
        <sz val="12.0"/>
        <u/>
      </rPr>
      <t>.</t>
    </r>
    <r>
      <rPr>
        <rFont val="Arial, sans-serif"/>
        <color rgb="FF1155CC"/>
        <sz val="11.0"/>
        <u/>
      </rPr>
      <t>16 ene 2024</t>
    </r>
  </si>
  <si>
    <t>Comisión de Pueblos presentó informe sobre acciones de Repsol y el Estado ante el derrame de petróleo</t>
  </si>
  <si>
    <t>El documento resalta la falta de rehabilitación de los sitios afectados, la insalubridad de las playas, la falta de atención a las personas afectadas y las....</t>
  </si>
  <si>
    <t>People's Commission presented report on actions of Repsol and the State in response to the oil spill</t>
  </si>
  <si>
    <t>The document highlights the lack of rehabilitation of the affected sites, the unhealthiness of the beaches, the lack of attention to the affected people and the...</t>
  </si>
  <si>
    <t>lack of rehabilitation, actions against Repsol</t>
  </si>
  <si>
    <t>Falta de rehabilitación, Acciones contra Repsol</t>
  </si>
  <si>
    <t>Ongoing criticism over environmental rehabilitation damages Repsol’s reputation.</t>
  </si>
  <si>
    <t>falta de rehabilitación, derrame de petróleo</t>
  </si>
  <si>
    <t>Strong negative sentiment due to lack of recovery and unresolved issues.</t>
  </si>
  <si>
    <t>Fuerte sentimiento negativo debido a la falta de recuperación y problemas no resueltos.</t>
  </si>
  <si>
    <r>
      <rPr>
        <rFont val="Arial, sans-serif"/>
        <color rgb="FF1155CC"/>
        <sz val="9.0"/>
        <u/>
      </rPr>
      <t>El Periódico de la Energía</t>
    </r>
    <r>
      <rPr>
        <rFont val="Arial, sans-serif"/>
        <color rgb="FF1155CC"/>
        <sz val="15.0"/>
        <u/>
      </rPr>
      <t>Repsol incrementa su producción un 8,9% en 2023, hasta los 599.000 barriles diarios en 2023</t>
    </r>
    <r>
      <rPr>
        <rFont val="Arial, sans-serif"/>
        <color rgb="FF1155CC"/>
        <sz val="11.0"/>
        <u/>
      </rPr>
      <t>Repsol alcanzó una producción de 599.000 barriles equivalentes de petróleo al día en 2023, lo que supone un incremento del 8,9%.</t>
    </r>
    <r>
      <rPr>
        <rFont val="Arial, sans-serif"/>
        <color rgb="FF1155CC"/>
        <sz val="12.0"/>
        <u/>
      </rPr>
      <t>.</t>
    </r>
    <r>
      <rPr>
        <rFont val="Arial, sans-serif"/>
        <color rgb="FF1155CC"/>
        <sz val="11.0"/>
        <u/>
      </rPr>
      <t>17 ene 2024</t>
    </r>
  </si>
  <si>
    <t>Repsol incrementa su producción un 8,9% en 2023, hasta los 599.000 barriles diarios en 2023</t>
  </si>
  <si>
    <t>Repsol alcanzó una producción de 599.000 barriles equivalentes de petróleo al día en 2023, lo que supone un incremento del 8,9%.</t>
  </si>
  <si>
    <t>Repsol increases its production by 8.9% in 2023, up to 599,000 barrels per day in 2023</t>
  </si>
  <si>
    <t>Repsol reached production of 599,000 barrels of oil equivalent per day in 2023, which represents an increase of 8.9%.</t>
  </si>
  <si>
    <t>production increase, oil equivalent</t>
  </si>
  <si>
    <t>aumento de producción, equivalente de petróleo</t>
  </si>
  <si>
    <t>Increasing production levels strengthen Repsol’s financial outlook and operational growth.</t>
  </si>
  <si>
    <t>incremento de producción</t>
  </si>
  <si>
    <t>Positive sentiment due to increased production.</t>
  </si>
  <si>
    <t>Sentimiento positivo debido al aumento de la producción.</t>
  </si>
  <si>
    <r>
      <rPr>
        <rFont val="Arial, sans-serif"/>
        <color rgb="FF1155CC"/>
        <sz val="9.0"/>
        <u/>
      </rPr>
      <t>Control Publicidad</t>
    </r>
    <r>
      <rPr>
        <rFont val="Arial, sans-serif"/>
        <color rgb="FF1155CC"/>
        <sz val="15.0"/>
        <u/>
      </rPr>
      <t>Repsol Anuncia Sus Nuevos Combustibles Renovables</t>
    </r>
    <r>
      <rPr>
        <rFont val="Arial, sans-serif"/>
        <color rgb="FF1155CC"/>
        <sz val="11.0"/>
        <u/>
      </rPr>
      <t>La agencia de publicidad DDB ha sido la encargada de desarrollar tanto la plataforma como la campaña de lanzamiento para los nuevos combustibles 100%...</t>
    </r>
    <r>
      <rPr>
        <rFont val="Arial, sans-serif"/>
        <color rgb="FF1155CC"/>
        <sz val="12.0"/>
        <u/>
      </rPr>
      <t>.</t>
    </r>
    <r>
      <rPr>
        <rFont val="Arial, sans-serif"/>
        <color rgb="FF1155CC"/>
        <sz val="11.0"/>
        <u/>
      </rPr>
      <t>17 ene 2024</t>
    </r>
  </si>
  <si>
    <t>Control Publicidad</t>
  </si>
  <si>
    <t>Repsol Anuncia Sus Nuevos Combustibles Renovables</t>
  </si>
  <si>
    <t>La agencia de publicidad DDB ha sido la encargada de desarrollar tanto la plataforma como la campaña de lanzamiento para los nuevos combustibles 100%....</t>
  </si>
  <si>
    <t>Repsol Announces Its New Renewable Fuels</t>
  </si>
  <si>
    <t>The advertising agency DDB has been in charge of developing both the platform and the launch campaign for the new 100% fuels....</t>
  </si>
  <si>
    <t>new renewable fuels, announcement</t>
  </si>
  <si>
    <t>nuevos combustibles renovables, anuncio</t>
  </si>
  <si>
    <t>Promoting renewable fuels reinforces Repsol’s commitment to sustainability and energy transition.</t>
  </si>
  <si>
    <r>
      <rPr>
        <rFont val="Arial, sans-serif"/>
        <color rgb="FF1155CC"/>
        <sz val="9.0"/>
        <u/>
      </rPr>
      <t>MarketingNews</t>
    </r>
    <r>
      <rPr>
        <rFont val="Arial, sans-serif"/>
        <color rgb="FF1155CC"/>
        <sz val="15.0"/>
        <u/>
      </rPr>
      <t>Marc Márquez, Ángel León y Laia Costa protagonizan la última campaña de Repsol</t>
    </r>
    <r>
      <rPr>
        <rFont val="Arial, sans-serif"/>
        <color rgb="FF1155CC"/>
        <sz val="11.0"/>
        <u/>
      </rPr>
      <t>Los nuevos combustibles 100% renovables de Repsol centran la nueva comunicación de la compañía. Bajo el nombre de 'Algo nuevo te mueve',...</t>
    </r>
    <r>
      <rPr>
        <rFont val="Arial, sans-serif"/>
        <color rgb="FF1155CC"/>
        <sz val="12.0"/>
        <u/>
      </rPr>
      <t>.</t>
    </r>
    <r>
      <rPr>
        <rFont val="Arial, sans-serif"/>
        <color rgb="FF1155CC"/>
        <sz val="11.0"/>
        <u/>
      </rPr>
      <t>17 ene 2024</t>
    </r>
  </si>
  <si>
    <t>MarketingNews</t>
  </si>
  <si>
    <t>Marc Márquez, Ángel León y Laia Costa protagonizan la última campaña de Repsol</t>
  </si>
  <si>
    <t>Los nuevos combustibles 100% renovables de Repsol centran la nueva comunicación de la compañía. Bajo el nombre de 'Algo nuevo te mueve',....</t>
  </si>
  <si>
    <t>Marc Márquez, Ángel León and Laia Costa star in the latest Repsol campaign</t>
  </si>
  <si>
    <t>Repsol's new 100% renewable fuels are the focus of the company's new communication. Under the name 'Something new moves you',....</t>
  </si>
  <si>
    <r>
      <rPr>
        <rFont val="Arial, sans-serif"/>
        <color rgb="FF1155CC"/>
        <sz val="9.0"/>
        <u/>
      </rPr>
      <t>La Razón</t>
    </r>
    <r>
      <rPr>
        <rFont val="Arial, sans-serif"/>
        <color rgb="FF1155CC"/>
        <sz val="15.0"/>
        <u/>
      </rPr>
      <t>Repsol suma la gasolina renovable a su oferta de biocarburantes a igual precio que la premium convencional</t>
    </r>
    <r>
      <rPr>
        <rFont val="Arial, sans-serif"/>
        <color rgb="FF1155CC"/>
        <sz val="11.0"/>
        <u/>
      </rPr>
      <t>Repsol se ha convertido en la primera compañía en suministrar gasolina 100% renovable en sus estaciones de servicio en España. La empresa ha puesto en...</t>
    </r>
    <r>
      <rPr>
        <rFont val="Arial, sans-serif"/>
        <color rgb="FF1155CC"/>
        <sz val="12.0"/>
        <u/>
      </rPr>
      <t>.</t>
    </r>
    <r>
      <rPr>
        <rFont val="Arial, sans-serif"/>
        <color rgb="FF1155CC"/>
        <sz val="11.0"/>
        <u/>
      </rPr>
      <t>17 ene 2024</t>
    </r>
  </si>
  <si>
    <t>Repsol suma la gasolina renovable a su oferta de biocarburantes a igual precio que la premium convencional</t>
  </si>
  <si>
    <t>Repsol se ha convertido en la primera compañía en suministrar gasolina 100% renovable en sus estaciones de servicio en España. La empresa ha puesto en....</t>
  </si>
  <si>
    <t>Repsol adds renewable gasoline to its biofuel offering at the same price as conventional premium gasoline</t>
  </si>
  <si>
    <t>Repsol has become the first company to supply 100% renewable gasoline at its service stations in Spain. The company has put in...</t>
  </si>
  <si>
    <t>100% renewable gasoline, biofuel stations</t>
  </si>
  <si>
    <t>gasolina 100% renovable, estaciones de biocombustibles</t>
  </si>
  <si>
    <t>Expanding renewable fuel options strengthens Repsol’s leadership in alternative energy.</t>
  </si>
  <si>
    <t>gasolina renovable, biocarburantes</t>
  </si>
  <si>
    <t>Positive sentiment due to Repsol's renewable energy initiatives.</t>
  </si>
  <si>
    <t>Sentimiento positivo por las iniciativas de energías renovables de Repsol.</t>
  </si>
  <si>
    <r>
      <rPr>
        <rFont val="Arial, sans-serif"/>
        <color rgb="FF1155CC"/>
        <sz val="9.0"/>
        <u/>
      </rPr>
      <t>elDiario.es</t>
    </r>
    <r>
      <rPr>
        <rFont val="Arial, sans-serif"/>
        <color rgb="FF1155CC"/>
        <sz val="15.0"/>
        <u/>
      </rPr>
      <t>Repsol pone a la venta una gasolina renovable apta para cualquier coche</t>
    </r>
    <r>
      <rPr>
        <rFont val="Arial, sans-serif"/>
        <color rgb="FF1155CC"/>
        <sz val="11.0"/>
        <u/>
      </rPr>
      <t>Este combustible producido a partir de residuos orgánicos no dedicados a la alimentación se ofrece de momento en tres estaciones de servicio de Madrid al...</t>
    </r>
    <r>
      <rPr>
        <rFont val="Arial, sans-serif"/>
        <color rgb="FF1155CC"/>
        <sz val="12.0"/>
        <u/>
      </rPr>
      <t>.</t>
    </r>
    <r>
      <rPr>
        <rFont val="Arial, sans-serif"/>
        <color rgb="FF1155CC"/>
        <sz val="11.0"/>
        <u/>
      </rPr>
      <t>17 ene 2024</t>
    </r>
  </si>
  <si>
    <t>elDiario.es</t>
  </si>
  <si>
    <t>Repsol pone a la venta una gasolina renovable apta para cualquier coche</t>
  </si>
  <si>
    <t>Este combustible producido a partir de residuos orgánicos no dedicados a la alimentación se ofrece de momento en tres estaciones de servicio de Madrid al....</t>
  </si>
  <si>
    <t>Repsol puts on sale a renewable gasoline suitable for any car</t>
  </si>
  <si>
    <t>This fuel produced from organic waste not used for food is currently offered at three service stations in Madrid at...</t>
  </si>
  <si>
    <t>renewable gasoline, carbon reduction</t>
  </si>
  <si>
    <t>gasolina renovable, reducción de carbono</t>
  </si>
  <si>
    <t>Offering renewable gasoline to all vehicle types improves Repsol’s environmental impact.</t>
  </si>
  <si>
    <t>gasolina renovable, residuos orgánicos</t>
  </si>
  <si>
    <t>Positive sentiment due to Repsol's eco-friendly fuel innovation.</t>
  </si>
  <si>
    <t>Sentimiento positivo por la innovación en combustibles ecológicos de Repsol.</t>
  </si>
  <si>
    <r>
      <rPr>
        <rFont val="Arial, sans-serif"/>
        <color rgb="FF1155CC"/>
        <sz val="9.0"/>
        <u/>
      </rPr>
      <t>OkDiario</t>
    </r>
    <r>
      <rPr>
        <rFont val="Arial, sans-serif"/>
        <color rgb="FF1155CC"/>
        <sz val="15.0"/>
        <u/>
      </rPr>
      <t>Repsol ‘tira’ los precios: un litro de gasolina renovable costará lo mismo que el combustible m...</t>
    </r>
    <r>
      <rPr>
        <rFont val="Arial, sans-serif"/>
        <color rgb="FF1155CC"/>
        <sz val="11.0"/>
        <u/>
      </rPr>
      <t>Repsol democratiza la movilidad en España e iguala los precios de los combustibles 100% renovables con el de la gasolina y el diésel prémium.</t>
    </r>
    <r>
      <rPr>
        <rFont val="Arial, sans-serif"/>
        <color rgb="FF1155CC"/>
        <sz val="12.0"/>
        <u/>
      </rPr>
      <t>.</t>
    </r>
    <r>
      <rPr>
        <rFont val="Arial, sans-serif"/>
        <color rgb="FF1155CC"/>
        <sz val="11.0"/>
        <u/>
      </rPr>
      <t>17 ene 2024</t>
    </r>
  </si>
  <si>
    <t>Repsol ‘tira’ los precios: un litro de gasolina renovable costará lo mismo que el combustible m...</t>
  </si>
  <si>
    <t>Repsol democratiza la movilidad en España e iguala los precios de los combustibles 100% renovables con el de la gasolina y el diésel prémium.</t>
  </si>
  <si>
    <t>Repsol 'drops' prices: a liter of renewable gasoline will cost the same as conventional fuel...</t>
  </si>
  <si>
    <t>Repsol democratizes mobility in Spain and equalizes the prices of 100% renewable fuels with those of premium gasoline and diesel.</t>
  </si>
  <si>
    <t>drops prices, equal price for renewable fuels</t>
  </si>
  <si>
    <t>baja los precios, igualdad de precio para los combustibles renovables</t>
  </si>
  <si>
    <t>Competitive pricing for renewable fuels can boost adoption and market presence.</t>
  </si>
  <si>
    <t>gasolina renovable, precios</t>
  </si>
  <si>
    <t>Positive sentiment due to competitive pricing for renewable fuels.</t>
  </si>
  <si>
    <t>Sentimiento positivo debido a los precios competitivos de los combustibles renovables.</t>
  </si>
  <si>
    <r>
      <rPr>
        <rFont val="Arial, sans-serif"/>
        <color rgb="FF1155CC"/>
        <sz val="9.0"/>
        <u/>
      </rPr>
      <t>El Español</t>
    </r>
    <r>
      <rPr>
        <rFont val="Arial, sans-serif"/>
        <color rgb="FF1155CC"/>
        <sz val="15.0"/>
        <u/>
      </rPr>
      <t>Repsol lanza una gasolina sin petróleo, neutra en CO2 y que pueden utilizar todos los coches</t>
    </r>
    <r>
      <rPr>
        <rFont val="Arial, sans-serif"/>
        <color rgb="FF1155CC"/>
        <sz val="11.0"/>
        <u/>
      </rPr>
      <t>Este combustible, hecho a base de residuos y aceites, tiene un precio de 1,81 euros el litro, unos 15 céntimos más que la gasolina convencional.</t>
    </r>
    <r>
      <rPr>
        <rFont val="Arial, sans-serif"/>
        <color rgb="FF1155CC"/>
        <sz val="12.0"/>
        <u/>
      </rPr>
      <t>.</t>
    </r>
    <r>
      <rPr>
        <rFont val="Arial, sans-serif"/>
        <color rgb="FF1155CC"/>
        <sz val="11.0"/>
        <u/>
      </rPr>
      <t>17 ene 2024</t>
    </r>
  </si>
  <si>
    <t>Repsol lanza una gasolina sin petróleo, neutra en CO2 y que pueden utilizar todos los coches</t>
  </si>
  <si>
    <t>Este combustible, hecho a base de residuos y aceites, tiene un precio de 1,81 euros el litro, unos 15 céntimos más que la gasolina convencional.</t>
  </si>
  <si>
    <t>Repsol launches a petroleum-free, CO2-neutral gasoline that can be used by all cars</t>
  </si>
  <si>
    <t>This fuel, made from waste and oil, has a price of 1.81 euros per liter, about 15 cents more than conventional gasoline.</t>
  </si>
  <si>
    <t>petroleum-free, CO2-neutral fuel</t>
  </si>
  <si>
    <t>libre de petróleo, combustible neutro en CO2</t>
  </si>
  <si>
    <t>Introducing CO2-neutral fuel reinforces Repsol’s position in the renewable energy sector.</t>
  </si>
  <si>
    <t>gasolina sin petróleo, neutra en CO2</t>
  </si>
  <si>
    <t>Positive sentiment due to Repsol's innovative and eco-friendly fuel.</t>
  </si>
  <si>
    <t>Sentimiento positivo por el combustible innovador y ecológico de Repsol.</t>
  </si>
  <si>
    <r>
      <rPr>
        <rFont val="Arial, sans-serif"/>
        <color rgb="FF1155CC"/>
        <sz val="9.0"/>
        <u/>
      </rPr>
      <t>elpublicista.es</t>
    </r>
    <r>
      <rPr>
        <rFont val="Arial, sans-serif"/>
        <color rgb="FF1155CC"/>
        <sz val="15.0"/>
        <u/>
      </rPr>
      <t>Repsol te mueve de nuevo con sus combustibles 100% renovables</t>
    </r>
    <r>
      <rPr>
        <rFont val="Arial, sans-serif"/>
        <color rgb="FF1155CC"/>
        <sz val="11.0"/>
        <u/>
      </rPr>
      <t>Repsol ha lanzado la campaña 'Algo nuevo te mueve' para promocionar sus combustibles completamente renovables. En el spot aparecen personalidades como Marc...</t>
    </r>
    <r>
      <rPr>
        <rFont val="Arial, sans-serif"/>
        <color rgb="FF1155CC"/>
        <sz val="12.0"/>
        <u/>
      </rPr>
      <t>.</t>
    </r>
    <r>
      <rPr>
        <rFont val="Arial, sans-serif"/>
        <color rgb="FF1155CC"/>
        <sz val="11.0"/>
        <u/>
      </rPr>
      <t>17 ene 2024</t>
    </r>
  </si>
  <si>
    <t>elpublicista.es</t>
  </si>
  <si>
    <t>Repsol te mueve de nuevo con sus combustibles 100% renovables</t>
  </si>
  <si>
    <t>Repsol ha lanzado la campaña 'Algo nuevo te mueve' para promocionar sus combustibles completamente renovables. En el spot aparecen personalidades como Marc....</t>
  </si>
  <si>
    <t>Repsol moves you again with its 100% renewable fuels</t>
  </si>
  <si>
    <t>Repsol has launched the 'Something new moves you' campaign to promote its completely renewable fuels. Personalities like Marc appear in the spot....</t>
  </si>
  <si>
    <t>100% renewable gasoline, campaign</t>
  </si>
  <si>
    <t>Gasolina 100% renovable, campaña</t>
  </si>
  <si>
    <t>Marketing campaigns focused on renewables improve Repsol’s sustainability image.</t>
  </si>
  <si>
    <t>combustibles renovables, campaña</t>
  </si>
  <si>
    <t>Positive sentiment due to Repsol's renewable energy marketing.</t>
  </si>
  <si>
    <t>Sentimiento positivo por la comercialización de energías renovables de Repsol.</t>
  </si>
  <si>
    <r>
      <rPr>
        <rFont val="Arial, sans-serif"/>
        <color rgb="FF1155CC"/>
        <sz val="9.0"/>
        <u/>
      </rPr>
      <t>Motorsport.com España</t>
    </r>
    <r>
      <rPr>
        <rFont val="Arial, sans-serif"/>
        <color rgb="FF1155CC"/>
        <sz val="15.0"/>
        <u/>
      </rPr>
      <t>Repsol perderá presencia en la decoración de la Honda de MotoGP 2024</t>
    </r>
    <r>
      <rPr>
        <rFont val="Arial, sans-serif"/>
        <color rgb="FF1155CC"/>
        <sz val="11.0"/>
        <u/>
      </rPr>
      <t>Por primera vez en 30 años, Repsol, que empezó a patrocinar al equipo oficial Honda en el Mundial de Motociclismo en 1995, reducirá ostensiblemente su...</t>
    </r>
    <r>
      <rPr>
        <rFont val="Arial, sans-serif"/>
        <color rgb="FF1155CC"/>
        <sz val="12.0"/>
        <u/>
      </rPr>
      <t>.</t>
    </r>
    <r>
      <rPr>
        <rFont val="Arial, sans-serif"/>
        <color rgb="FF1155CC"/>
        <sz val="11.0"/>
        <u/>
      </rPr>
      <t>17 ene 2024</t>
    </r>
  </si>
  <si>
    <t>Repsol perderá presencia en la decoración de la Honda de MotoGP 2024</t>
  </si>
  <si>
    <t>Repsol perderá presencia en la decoración de la Honda de MotoGP 2024. Por primera vez en 30 años, Repsol, que empezó a patrocinar al equipo oficial Honda en el Mundial de Motociclismo en 1995, reducirá ostensiblemente su....</t>
  </si>
  <si>
    <t>Repsol will lose presence in the decoration of the Honda MotoGP 2024</t>
  </si>
  <si>
    <t>Repsol will lose presence in the decoration of the Honda MotoGP 2024. For the first time in 30 years, Repsol, which began sponsoring the official Honda team in the Motorcycle World Championship in 1995, will significantly reduce its...</t>
  </si>
  <si>
    <r>
      <rPr>
        <rFont val="Arial, sans-serif"/>
        <color rgb="FF1155CC"/>
        <sz val="9.0"/>
        <u/>
      </rPr>
      <t>GaliciaPress</t>
    </r>
    <r>
      <rPr>
        <rFont val="Arial, sans-serif"/>
        <color rgb="FF1155CC"/>
        <sz val="15.0"/>
        <u/>
      </rPr>
      <t>"Dejamos desprotegida una infrestructura crítica como la refinería por las exigencias de Repsol", denuncian vigilantes de Prosegur</t>
    </r>
    <r>
      <rPr>
        <rFont val="Arial, sans-serif"/>
        <color rgb="FF1155CC"/>
        <sz val="11.0"/>
        <u/>
      </rPr>
      <t>El personal encargado de la seguridad en la planta petroquímica de A Coruña se manifestó el pasado viernes por las condiciones laborales a las que se ven...</t>
    </r>
    <r>
      <rPr>
        <rFont val="Arial, sans-serif"/>
        <color rgb="FF1155CC"/>
        <sz val="12.0"/>
        <u/>
      </rPr>
      <t>.</t>
    </r>
    <r>
      <rPr>
        <rFont val="Arial, sans-serif"/>
        <color rgb="FF1155CC"/>
        <sz val="11.0"/>
        <u/>
      </rPr>
      <t>17 ene 2024</t>
    </r>
  </si>
  <si>
    <t>GaliciaPress</t>
  </si>
  <si>
    <t>"Dejamos desprotegida una infrestructura crítica como la refinería por las exigencias de Repsol", denuncian vigilantes de Prosegur</t>
  </si>
  <si>
    <t>El personal encargado de la seguridad en la planta petroquímica de A Coruña se manifestó el pasado viernes por las condiciones laborales a las que se ven....</t>
  </si>
  <si>
    <t>"We left critical infrastructure like the refinery unprotected due to Repsol's demands," Prosegur security guards denounce.</t>
  </si>
  <si>
    <t>The personnel in charge of safety at the A Coruña petrochemical plant spoke out last Friday about the working conditions they face....</t>
  </si>
  <si>
    <t>lack of protection, critical infrastructure</t>
  </si>
  <si>
    <t>falta de protección, infraestructura crítica</t>
  </si>
  <si>
    <t>Safety concerns at a refinery can impact Repsol’s operational and regulatory standing.</t>
  </si>
  <si>
    <t>condiciones laborales, desprotegida</t>
  </si>
  <si>
    <t>Negative sentiment due to labor disputes and safety concerns.</t>
  </si>
  <si>
    <t>Sentimiento negativo debido a conflictos laborales y preocupaciones de seguridad.</t>
  </si>
  <si>
    <r>
      <rPr>
        <rFont val="Arial, sans-serif"/>
        <color rgb="FF1155CC"/>
        <sz val="9.0"/>
        <u/>
      </rPr>
      <t>El Debate</t>
    </r>
    <r>
      <rPr>
        <rFont val="Arial, sans-serif"/>
        <color rgb="FF1155CC"/>
        <sz val="15.0"/>
        <u/>
      </rPr>
      <t>Ya a la venta el combustible español que va a permitir que los coches de gasolina sigan circulando</t>
    </r>
    <r>
      <rPr>
        <rFont val="Arial, sans-serif"/>
        <color rgb="FF1155CC"/>
        <sz val="11.0"/>
        <u/>
      </rPr>
      <t>La petrolera española Repsol sigue con su apuesta particular por los combustibles renovables, una tecnología que debería evitar las limitaciones a la...</t>
    </r>
    <r>
      <rPr>
        <rFont val="Arial, sans-serif"/>
        <color rgb="FF1155CC"/>
        <sz val="12.0"/>
        <u/>
      </rPr>
      <t>.</t>
    </r>
    <r>
      <rPr>
        <rFont val="Arial, sans-serif"/>
        <color rgb="FF1155CC"/>
        <sz val="11.0"/>
        <u/>
      </rPr>
      <t>17 ene 2024</t>
    </r>
  </si>
  <si>
    <t>El Debate</t>
  </si>
  <si>
    <t>Ya a la venta el combustible español que va a permitir que los coches de gasolina sigan circulando</t>
  </si>
  <si>
    <t>La petrolera española Repsol sigue con su apuesta particular por los combustibles renovables, una tecnología que debería evitar las limitaciones a la....</t>
  </si>
  <si>
    <t>The Spanish fuel that will allow gasoline cars to continue circulating is now on sale</t>
  </si>
  <si>
    <t>The Spanish oil company Repsol continues with its particular commitment to renewable fuels, a technology that should avoid limitations on...</t>
  </si>
  <si>
    <t>renewable gasoline, Spanish fuel</t>
  </si>
  <si>
    <t>gasolina renovable, combustible español</t>
  </si>
  <si>
    <t>Developing renewable gasoline supports Repsol’s commitment to clean energy solutions.</t>
  </si>
  <si>
    <t>combustible renovable, coches de gasolina</t>
  </si>
  <si>
    <t>Positive sentiment due to Repsol's renewable energy innovation.</t>
  </si>
  <si>
    <t>Sentimiento positivo por la innovación en energías renovables de Repsol.</t>
  </si>
  <si>
    <r>
      <rPr>
        <rFont val="Arial, sans-serif"/>
        <color rgb="FF1155CC"/>
        <sz val="9.0"/>
        <u/>
      </rPr>
      <t>El Independiente</t>
    </r>
    <r>
      <rPr>
        <rFont val="Arial, sans-serif"/>
        <color rgb="FF1155CC"/>
        <sz val="15.0"/>
        <u/>
      </rPr>
      <t>La empresa de paneles solares de Movistar y Repsol declara pérdidas de 7 millones en su primer año</t>
    </r>
    <r>
      <rPr>
        <rFont val="Arial, sans-serif"/>
        <color rgb="FF1155CC"/>
        <sz val="11.0"/>
        <u/>
      </rPr>
      <t>Solar360, la joint venture participada por un 50% por Repsol y por otro 50% por Telefónica (a través de Movistar) declaró pérdidas por valor de 7,3.</t>
    </r>
    <r>
      <rPr>
        <rFont val="Arial, sans-serif"/>
        <color rgb="FF1155CC"/>
        <sz val="12.0"/>
        <u/>
      </rPr>
      <t>.</t>
    </r>
    <r>
      <rPr>
        <rFont val="Arial, sans-serif"/>
        <color rgb="FF1155CC"/>
        <sz val="11.0"/>
        <u/>
      </rPr>
      <t>17 ene 2024</t>
    </r>
  </si>
  <si>
    <t>La empresa de paneles solares de Movistar y Repsol declara pérdidas de 7 millones en su primer año</t>
  </si>
  <si>
    <t>La joint venture participada por un 50% por Repsol y por otro 50% por Telefónica (a través de Movistar) declaró pérdidas por valor de 7,3 millones en su primer año.</t>
  </si>
  <si>
    <t>The Movistar and Repsol solar panel company declares losses of 7 million in its first year</t>
  </si>
  <si>
    <t>The joint venture, owned 50% by Repsol and 50% by Telefónica (through Movistar), declared losses worth 7.3 million in its first year.</t>
  </si>
  <si>
    <t>solar panel company, joint venture</t>
  </si>
  <si>
    <t>empresa de paneles solares, empresa conjunta</t>
  </si>
  <si>
    <t>Expanding into solar energy reinforces Repsol’s diversification into renewable energy markets.</t>
  </si>
  <si>
    <t>pérdidas, paneles solares</t>
  </si>
  <si>
    <t>Negative sentiment due to financial losses.</t>
  </si>
  <si>
    <t>Sentimiento negativo debido a pérdidas financieras.</t>
  </si>
  <si>
    <r>
      <rPr>
        <rFont val="Arial, sans-serif"/>
        <color rgb="FF1155CC"/>
        <sz val="9.0"/>
        <u/>
      </rPr>
      <t>Autopista.es</t>
    </r>
    <r>
      <rPr>
        <rFont val="Arial, sans-serif"/>
        <color rgb="FF1155CC"/>
        <sz val="15.0"/>
        <u/>
      </rPr>
      <t>Ya se vende en España la nueva gasolina sin petróleo, apta para todos los coches y este es su precio</t>
    </r>
    <r>
      <rPr>
        <rFont val="Arial, sans-serif"/>
        <color rgb="FF1155CC"/>
        <sz val="11.0"/>
        <u/>
      </rPr>
      <t>Se trata de la nueva gasolina inventada por Repsol, quien está haciendo una fuerte apuesta por los combustibles renovables.</t>
    </r>
    <r>
      <rPr>
        <rFont val="Arial, sans-serif"/>
        <color rgb="FF1155CC"/>
        <sz val="12.0"/>
        <u/>
      </rPr>
      <t>.</t>
    </r>
    <r>
      <rPr>
        <rFont val="Arial, sans-serif"/>
        <color rgb="FF1155CC"/>
        <sz val="11.0"/>
        <u/>
      </rPr>
      <t>17 ene 2024</t>
    </r>
  </si>
  <si>
    <t>Autopista.es</t>
  </si>
  <si>
    <t>Ya se vende en España la nueva gasolina sin petróleo, apta para todos los coches y este es su precio</t>
  </si>
  <si>
    <t>Se trata de la nueva gasolina inventada por Repsol, quien está haciendo una fuerte apuesta por los combustibles renovables.</t>
  </si>
  <si>
    <t>The new petrol-free gasoline, suitable for all cars, is now sold in Spain and this is its price</t>
  </si>
  <si>
    <t>This is the new gasoline invented by Repsol, who is making a strong commitment to renewable fuels.</t>
  </si>
  <si>
    <t>petrol-free gasoline, new Repsol fuel</t>
  </si>
  <si>
    <t>gasolina sin gasolina, nuevo combustible Repsol</t>
  </si>
  <si>
    <t>Innovation in petroleum-free gasoline strengthens Repsol’s leadership in green fuels.</t>
  </si>
  <si>
    <t>gasolina sin petróleo, combustibles renovables</t>
  </si>
  <si>
    <r>
      <rPr>
        <rFont val="Arial, sans-serif"/>
        <color rgb="FF1155CC"/>
        <sz val="9.0"/>
        <u/>
      </rPr>
      <t>Infobae</t>
    </r>
    <r>
      <rPr>
        <rFont val="Arial, sans-serif"/>
        <color rgb="FF1155CC"/>
        <sz val="15.0"/>
        <u/>
      </rPr>
      <t>El restaurante recomendado por la Guía Repsol que ha pagado 5.700 € por la trufa más grande de la Feria de Vera de Moncayo</t>
    </r>
    <r>
      <rPr>
        <rFont val="Arial, sans-serif"/>
        <color rgb="FF1155CC"/>
        <sz val="11.0"/>
        <u/>
      </rPr>
      <t>El restaurante El Molino de Berola consigue por tercera vez consecutiva llevarse la trufa más grande del concurso, que ha rozado el medio kilo.</t>
    </r>
    <r>
      <rPr>
        <rFont val="Arial, sans-serif"/>
        <color rgb="FF1155CC"/>
        <sz val="12.0"/>
        <u/>
      </rPr>
      <t>.</t>
    </r>
    <r>
      <rPr>
        <rFont val="Arial, sans-serif"/>
        <color rgb="FF1155CC"/>
        <sz val="11.0"/>
        <u/>
      </rPr>
      <t>17 ene 2024</t>
    </r>
  </si>
  <si>
    <t>El restaurante recomendado por la Guía Repsol que ha pagado 5.700 € por la trufa más grande de la Feria de Vera de Moncayo</t>
  </si>
  <si>
    <t>El restaurante El Molino de Berola consigue por tercera vez consecutiva llevarse la trufa más grande del concurso, que ha rozado el medio kilo.</t>
  </si>
  <si>
    <t>The restaurant recommended by the Repsol Guide that paid €5,700 for the largest truffle at the Vera de Moncayo Fair</t>
  </si>
  <si>
    <t>For the third consecutive time, the El Molino de Berola restaurant manages to win the largest truffle in the contest, which was close to half a kilo.</t>
  </si>
  <si>
    <r>
      <rPr>
        <rFont val="Arial, sans-serif"/>
        <color rgb="FF1155CC"/>
        <sz val="9.0"/>
        <u/>
      </rPr>
      <t>Motorpasion Moto</t>
    </r>
    <r>
      <rPr>
        <rFont val="Arial, sans-serif"/>
        <color rgb="FF1155CC"/>
        <sz val="15.0"/>
        <u/>
      </rPr>
      <t>Cambio de colores en la nueva Honda de MotoGP. Repsol perderá peso y la moto se parecerá a las de Superbikes</t>
    </r>
    <r>
      <rPr>
        <rFont val="Arial, sans-serif"/>
        <color rgb="FF1155CC"/>
        <sz val="11.0"/>
        <u/>
      </rPr>
      <t>Durante décadas la decoración del equipo oficial de Honda en MotoGP ha permanecido impasible. Desde que Repsol entró como patrocinador principal a mediados...</t>
    </r>
    <r>
      <rPr>
        <rFont val="Arial, sans-serif"/>
        <color rgb="FF1155CC"/>
        <sz val="12.0"/>
        <u/>
      </rPr>
      <t>.</t>
    </r>
    <r>
      <rPr>
        <rFont val="Arial, sans-serif"/>
        <color rgb="FF1155CC"/>
        <sz val="11.0"/>
        <u/>
      </rPr>
      <t>17 ene 2024</t>
    </r>
  </si>
  <si>
    <t>Motorpasion Moto</t>
  </si>
  <si>
    <t>Cambio de colores en la nueva Honda de MotoGP. Repsol perderá peso y la moto se parecerá a las de Superbikes</t>
  </si>
  <si>
    <t>Cambio de colores en la nueva Honda de MotoGP. Repsol perderá peso y la moto se parecerá a las de Superbikes. Durante décadas la decoración del equipo oficial de Honda en MotoGP ha permanecido impasible. Desde que Repsol entró como patrocinador principal a mediados....</t>
  </si>
  <si>
    <t>Change of colors on the new Honda MotoGP. Repsol will lose weight and the bike will look like Superbikes</t>
  </si>
  <si>
    <t>Change of colors on the new Honda MotoGP. Repsol will lose weight and the bike will look like Superbikes. For decades the livery of the official Honda MotoGP team has remained unchanged. Since Repsol entered as main sponsor in mid...</t>
  </si>
  <si>
    <r>
      <rPr>
        <rFont val="Arial, sans-serif"/>
        <color rgb="FF1155CC"/>
        <sz val="9.0"/>
        <u/>
      </rPr>
      <t>Repsol</t>
    </r>
    <r>
      <rPr>
        <rFont val="Arial, sans-serif"/>
        <color rgb="FF1155CC"/>
        <sz val="15.0"/>
        <u/>
      </rPr>
      <t>Acumula saldo Waylet con tus pedidos de comida a domicilio</t>
    </r>
    <r>
      <rPr>
        <rFont val="Arial, sans-serif"/>
        <color rgb="FF1155CC"/>
        <sz val="11.0"/>
        <u/>
      </rPr>
      <t>¿Sabes que ya puedes ahorrar pidiendo comida a domicilio con Repsol? Por ser cliente de Repsol, cada vez que pidas en Glovo o Just Eats, conseguirás saldo...</t>
    </r>
    <r>
      <rPr>
        <rFont val="Arial, sans-serif"/>
        <color rgb="FF1155CC"/>
        <sz val="12.0"/>
        <u/>
      </rPr>
      <t>.</t>
    </r>
    <r>
      <rPr>
        <rFont val="Arial, sans-serif"/>
        <color rgb="FF1155CC"/>
        <sz val="11.0"/>
        <u/>
      </rPr>
      <t>17 ene 2024</t>
    </r>
  </si>
  <si>
    <t>Acumula saldo Waylet con tus pedidos de comida a domicilio</t>
  </si>
  <si>
    <t>¿Sabes que ya puedes ahorrar pidiendo comida a domicilio con Repsol? Por ser cliente de Repsol, cada vez que pidas en Glovo o Just Eats, conseguirás saldo....</t>
  </si>
  <si>
    <t>Accumulate Waylet balance with your food delivery orders</t>
  </si>
  <si>
    <t>Do you know that you can now save by ordering food at home with Repsol? As a Repsol customer, every time you order from Glovo or Just Eats, you will get credit....</t>
  </si>
  <si>
    <r>
      <rPr>
        <rFont val="Arial, sans-serif"/>
        <color rgb="FF1155CC"/>
        <sz val="9.0"/>
        <u/>
      </rPr>
      <t>Box Repsol</t>
    </r>
    <r>
      <rPr>
        <rFont val="Arial, sans-serif"/>
        <color rgb="FF1155CC"/>
        <sz val="15.0"/>
        <u/>
      </rPr>
      <t>Resultados de la décima etapa del Rally Dakar 2024</t>
    </r>
    <r>
      <rPr>
        <rFont val="Arial, sans-serif"/>
        <color rgb="FF1155CC"/>
        <sz val="11.0"/>
        <u/>
      </rPr>
      <t>Triunfo de Guerlain Chicherit, que confirma su buen estado de forma en esta recta final de Dakar 2024 tras la tercera posición de la Etapa 8.</t>
    </r>
    <r>
      <rPr>
        <rFont val="Arial, sans-serif"/>
        <color rgb="FF1155CC"/>
        <sz val="12.0"/>
        <u/>
      </rPr>
      <t>.</t>
    </r>
    <r>
      <rPr>
        <rFont val="Arial, sans-serif"/>
        <color rgb="FF1155CC"/>
        <sz val="11.0"/>
        <u/>
      </rPr>
      <t>17 ene 2024</t>
    </r>
  </si>
  <si>
    <t>Triunfo de Guerlain Chicherit en la décima etapa del Rally Dakar 2024</t>
  </si>
  <si>
    <t>Triunfo de Guerlain Chicherit, que confirma su buen estado de forma en esta recta final de Dakar 2024 tras la tercera posición de la Etapa 8.</t>
  </si>
  <si>
    <t>Guerlain Chicherit triumphs in the tenth stage of the 2024 Dakar Rally</t>
  </si>
  <si>
    <t>Triumph for Guerlain Chicherit, which confirms his good form in this final stretch of Dakar 2024 after third position in Stage 8.</t>
  </si>
  <si>
    <r>
      <rPr>
        <rFont val="Arial, sans-serif"/>
        <color rgb="FF1155CC"/>
        <sz val="9.0"/>
        <u/>
      </rPr>
      <t>Guía Repsol</t>
    </r>
    <r>
      <rPr>
        <rFont val="Arial, sans-serif"/>
        <color rgb="FF1155CC"/>
        <sz val="15.0"/>
        <u/>
      </rPr>
      <t>Bodega Amores: la nueva taberna de Javier Goya que querrás probar en Lavapiés</t>
    </r>
    <r>
      <rPr>
        <rFont val="Arial, sans-serif"/>
        <color rgb="FF1155CC"/>
        <sz val="11.0"/>
        <u/>
      </rPr>
      <t>Con una barra que anima al tapeo, un apetecible menú del día y una cuidada carta con guiños catalanes, la 'Bodega Amores' es uno de esos templos castizos...</t>
    </r>
    <r>
      <rPr>
        <rFont val="Arial, sans-serif"/>
        <color rgb="FF1155CC"/>
        <sz val="12.0"/>
        <u/>
      </rPr>
      <t>.</t>
    </r>
    <r>
      <rPr>
        <rFont val="Arial, sans-serif"/>
        <color rgb="FF1155CC"/>
        <sz val="11.0"/>
        <u/>
      </rPr>
      <t>17 ene 2024</t>
    </r>
  </si>
  <si>
    <t>Bodega Amores: la nueva taberna de Javier Goya que querrás probar en Lavapiés</t>
  </si>
  <si>
    <t>Con una barra que anima al tapeo, un apetecible menú del día y una cuidada carta con guiños catalanes, la 'Bodega Amores' es uno de esos templos castizos....</t>
  </si>
  <si>
    <t>Bodega Amores: Javier Goya's new tavern that you will want to try in Lavapiés</t>
  </si>
  <si>
    <t>With a bar that encourages tapas, an appetizing menu of the day and a careful menu with Catalan hints, the 'Bodega Amores' is one of those traditional temples....</t>
  </si>
  <si>
    <r>
      <rPr>
        <rFont val="Arial, sans-serif"/>
        <color rgb="FF1155CC"/>
        <sz val="9.0"/>
        <u/>
      </rPr>
      <t>El Español</t>
    </r>
    <r>
      <rPr>
        <rFont val="Arial, sans-serif"/>
        <color rgb="FF1155CC"/>
        <sz val="15.0"/>
        <u/>
      </rPr>
      <t>Vídeo: El restaurante vigués Niño Corvo conquista a los expertos de la Guía Repsol</t>
    </r>
    <r>
      <rPr>
        <rFont val="Arial, sans-serif"/>
        <color rgb="FF1155CC"/>
        <sz val="11.0"/>
        <u/>
      </rPr>
      <t>La 'cociña sen vergoña' de Adrián Albino es la protagonista de una de las publicaciones en las redes sociales de la guía gastronómica.</t>
    </r>
    <r>
      <rPr>
        <rFont val="Arial, sans-serif"/>
        <color rgb="FF1155CC"/>
        <sz val="12.0"/>
        <u/>
      </rPr>
      <t>.</t>
    </r>
    <r>
      <rPr>
        <rFont val="Arial, sans-serif"/>
        <color rgb="FF1155CC"/>
        <sz val="11.0"/>
        <u/>
      </rPr>
      <t>17 ene 2024</t>
    </r>
  </si>
  <si>
    <t>Vídeo: El restaurante vigués Niño Corvo conquista a los expertos de la Guía Repsol</t>
  </si>
  <si>
    <t>La 'cociña sen vergoña' de Adrián Albino es la protagonista de una de las publicaciones en las redes sociales de la guía gastronómica.</t>
  </si>
  <si>
    <t>Video: The Vigo restaurant Niño Corvo conquers the experts of the Repsol Guide</t>
  </si>
  <si>
    <t>Adrián Albino's 'kitchen without shame' is the protagonist of one of the publications on the gastronomic guide's social networks.</t>
  </si>
  <si>
    <r>
      <rPr>
        <rFont val="Arial, sans-serif"/>
        <color rgb="FF1155CC"/>
        <sz val="9.0"/>
        <u/>
      </rPr>
      <t>Mundo Deportivo</t>
    </r>
    <r>
      <rPr>
        <rFont val="Arial, sans-serif"/>
        <color rgb="FF1155CC"/>
        <sz val="15.0"/>
        <u/>
      </rPr>
      <t>Gabri Marcelli relata como es su convivencia con el Maestro Toni Bou</t>
    </r>
    <r>
      <rPr>
        <rFont val="Arial, sans-serif"/>
        <color rgb="FF1155CC"/>
        <sz val="11.0"/>
        <u/>
      </rPr>
      <t>El gallego Gabriel Marcelli va a cumplir su tercer año en el Repsol Honda Trial Team donde está aprendiendo junto a la leyenda Toni Bou.</t>
    </r>
    <r>
      <rPr>
        <rFont val="Arial, sans-serif"/>
        <color rgb="FF1155CC"/>
        <sz val="12.0"/>
        <u/>
      </rPr>
      <t>.</t>
    </r>
    <r>
      <rPr>
        <rFont val="Arial, sans-serif"/>
        <color rgb="FF1155CC"/>
        <sz val="11.0"/>
        <u/>
      </rPr>
      <t>17 ene 2024</t>
    </r>
  </si>
  <si>
    <t>Gabri Marcelli relata como es su convivencia con el Maestro Toni Bou</t>
  </si>
  <si>
    <t>El gallego Gabriel Marcelli va a cumplir su tercer año en el Repsol Honda Trial Team donde está aprendiendo junto a la leyenda Toni Bou.</t>
  </si>
  <si>
    <t>Gabri Marcelli tells what her life with Maestro Toni Bou is like</t>
  </si>
  <si>
    <t>The Galician Gabriel Marcelli is going to complete his third year in the Repsol Honda Trial Team where he is learning alongside the legend Toni Bou.</t>
  </si>
  <si>
    <r>
      <rPr>
        <rFont val="Arial, sans-serif"/>
        <color rgb="FF1155CC"/>
        <sz val="9.0"/>
        <u/>
      </rPr>
      <t>Todocircuito.com</t>
    </r>
    <r>
      <rPr>
        <rFont val="Arial, sans-serif"/>
        <color rgb="FF1155CC"/>
        <sz val="15.0"/>
        <u/>
      </rPr>
      <t>Honda sorprenderá con la decoración de su MotoGP sin Red Bull: "Llega algo nuevo"</t>
    </r>
    <r>
      <rPr>
        <rFont val="Arial, sans-serif"/>
        <color rgb="FF1155CC"/>
        <sz val="11.0"/>
        <u/>
      </rPr>
      <t>En menos de un mes, Honda desvelará los colores de su equipo oficial en MotoGP, y lo hará sin la presencia de Marc Márquez por primera vez desde 2012,...</t>
    </r>
    <r>
      <rPr>
        <rFont val="Arial, sans-serif"/>
        <color rgb="FF1155CC"/>
        <sz val="12.0"/>
        <u/>
      </rPr>
      <t>.</t>
    </r>
    <r>
      <rPr>
        <rFont val="Arial, sans-serif"/>
        <color rgb="FF1155CC"/>
        <sz val="11.0"/>
        <u/>
      </rPr>
      <t>17 ene 2024</t>
    </r>
  </si>
  <si>
    <t>Honda sorprenderá con la decoración de su MotoGP sin Red Bull: "Llega algo nuevo"</t>
  </si>
  <si>
    <t>En menos de un mes, Honda desvelará los colores de su equipo oficial en MotoGP, y lo hará sin la presencia de Marc Márquez por primera vez desde 2012,....</t>
  </si>
  <si>
    <t>Honda will surprise with the decoration of its MotoGP without Red Bull: "Something new is coming"</t>
  </si>
  <si>
    <t>In less than a month, Honda will reveal the colors of its official MotoGP team, and it will do so without the presence of Marc Márquez for the first time since 2012....</t>
  </si>
  <si>
    <r>
      <rPr>
        <rFont val="Arial, sans-serif"/>
        <color rgb="FF1155CC"/>
        <sz val="9.0"/>
        <u/>
      </rPr>
      <t>La Voz de Galicia</t>
    </r>
    <r>
      <rPr>
        <rFont val="Arial, sans-serif"/>
        <color rgb="FF1155CC"/>
        <sz val="15.0"/>
        <u/>
      </rPr>
      <t>La mejor tortilla de patatas de Galicia se come en Lugo, según la Guía Repsol</t>
    </r>
    <r>
      <rPr>
        <rFont val="Arial, sans-serif"/>
        <color rgb="FF1155CC"/>
        <sz val="11.0"/>
        <u/>
      </rPr>
      <t>La Taberna Daniel, que Pablo Romay heredó de su padre, ha sido reconocida como el templo de este manjar.</t>
    </r>
    <r>
      <rPr>
        <rFont val="Arial, sans-serif"/>
        <color rgb="FF1155CC"/>
        <sz val="12.0"/>
        <u/>
      </rPr>
      <t>.</t>
    </r>
    <r>
      <rPr>
        <rFont val="Arial, sans-serif"/>
        <color rgb="FF1155CC"/>
        <sz val="11.0"/>
        <u/>
      </rPr>
      <t>17 ene 2024</t>
    </r>
  </si>
  <si>
    <t>La mejor tortilla de patatas de Galicia se come en Lugo, según la Guía Repsol</t>
  </si>
  <si>
    <t>La Taberna Daniel, que Pablo Romay heredó de su padre, ha sido reconocida como el templo de este manjar.</t>
  </si>
  <si>
    <t>The best potato omelette in Galicia is eaten in Lugo, according to the Repsol Guide</t>
  </si>
  <si>
    <t>The Daniel Tavern, which Pablo Romay inherited from his father, has been recognized as the temple of this delicacy.</t>
  </si>
  <si>
    <r>
      <rPr>
        <rFont val="Arial, sans-serif"/>
        <color rgb="FF1155CC"/>
        <sz val="9.0"/>
        <u/>
      </rPr>
      <t>El Economista</t>
    </r>
    <r>
      <rPr>
        <rFont val="Arial, sans-serif"/>
        <color rgb="FF1155CC"/>
        <sz val="15.0"/>
        <u/>
      </rPr>
      <t>Pedro Sánchez prevé "reforzar la cooperación" con las grandes empresas tras citar a Telefónica e Indra</t>
    </r>
    <r>
      <rPr>
        <rFont val="Arial, sans-serif"/>
        <color rgb="FF1155CC"/>
        <sz val="11.0"/>
        <u/>
      </rPr>
      <t>El presidente del Gobierno, Pedro Sánchez, ha asegurado que su gobierno pretende reforzar la cooperación con el sector privado tras ...</t>
    </r>
    <r>
      <rPr>
        <rFont val="Arial, sans-serif"/>
        <color rgb="FF1155CC"/>
        <sz val="12.0"/>
        <u/>
      </rPr>
      <t>.</t>
    </r>
    <r>
      <rPr>
        <rFont val="Arial, sans-serif"/>
        <color rgb="FF1155CC"/>
        <sz val="11.0"/>
        <u/>
      </rPr>
      <t>17 ene 2024</t>
    </r>
  </si>
  <si>
    <t>Pedro Sánchez prevé "reforzar la cooperación" con las grandes empresas tras citar a Telefónica e Indra</t>
  </si>
  <si>
    <t>El presidente del Gobierno, Pedro Sánchez, ha asegurado que su gobierno pretende reforzar la cooperación con el sector privado tras ....</t>
  </si>
  <si>
    <t>Pedro Sánchez plans to "strengthen cooperation" with large companies after citing Telefónica and Indra</t>
  </si>
  <si>
    <t>The President of the Government, Pedro Sánchez, has assured that his government intends to strengthen cooperation with the private sector after....</t>
  </si>
  <si>
    <t>Energy Policy</t>
  </si>
  <si>
    <r>
      <rPr>
        <rFont val="Arial, sans-serif"/>
        <color rgb="FF1155CC"/>
        <sz val="9.0"/>
        <u/>
      </rPr>
      <t>Revista ProActivo</t>
    </r>
    <r>
      <rPr>
        <rFont val="Arial, sans-serif"/>
        <color rgb="FF1155CC"/>
        <sz val="15.0"/>
        <u/>
      </rPr>
      <t>Dos años después del derrame en Ventanilla, Repsol mantiene multas impugnadas por S/97 millones</t>
    </r>
    <r>
      <rPr>
        <rFont val="Arial, sans-serif"/>
        <color rgb="FF1155CC"/>
        <sz val="11.0"/>
        <u/>
      </rPr>
      <t>En el segundo aniversario del derrame de petróleo en Ventanilla, el presidente del Organismo de Evaluación y Fiscalización Ambiental (OEFA), Johnny Marchán,...</t>
    </r>
    <r>
      <rPr>
        <rFont val="Arial, sans-serif"/>
        <color rgb="FF1155CC"/>
        <sz val="12.0"/>
        <u/>
      </rPr>
      <t>.</t>
    </r>
    <r>
      <rPr>
        <rFont val="Arial, sans-serif"/>
        <color rgb="FF1155CC"/>
        <sz val="11.0"/>
        <u/>
      </rPr>
      <t>17 ene 2024</t>
    </r>
  </si>
  <si>
    <t>Revista ProActivo</t>
  </si>
  <si>
    <t>Dos años después del derrame en Ventanilla, Repsol mantiene multas impugnadas por S/97 millones</t>
  </si>
  <si>
    <t>En el segundo aniversario del derrame de petróleo en Ventanilla, el presidente del Organismo de Evaluación y Fiscalización Ambiental (OEFA), Johnny Marchán,....</t>
  </si>
  <si>
    <t>Two years after the Ventanilla spill, Repsol maintains contested fines of S/97 million</t>
  </si>
  <si>
    <t>On the second anniversary of the Ventanilla oil spill, the president of the Environmental Assessment and Enforcement Agency (OEFA), Johnny Marchán,...</t>
  </si>
  <si>
    <t>Ventanilla spill, fulfilled commitments</t>
  </si>
  <si>
    <t>Derrame de Ventanilla, compromisos cumplidos</t>
  </si>
  <si>
    <t>Public perception may remain negative despite Repsol’s claims of compliance.</t>
  </si>
  <si>
    <t>multas impugnadas, derrame de petróleo</t>
  </si>
  <si>
    <t>Negative sentiment due to legal disputes and unresolved fines.</t>
  </si>
  <si>
    <t>Sentimiento negativo debido a disputas legales y multas no resueltas.</t>
  </si>
  <si>
    <r>
      <rPr>
        <rFont val="Arial, sans-serif"/>
        <color rgb="FF1155CC"/>
        <sz val="9.0"/>
        <u/>
      </rPr>
      <t>El Búho.pe</t>
    </r>
    <r>
      <rPr>
        <rFont val="Arial, sans-serif"/>
        <color rgb="FF1155CC"/>
        <sz val="15.0"/>
        <u/>
      </rPr>
      <t>Derrame de Ventanilla: Informe del Congreso determina negligencia del Estado</t>
    </r>
    <r>
      <rPr>
        <rFont val="Arial, sans-serif"/>
        <color rgb="FF1155CC"/>
        <sz val="11.0"/>
        <u/>
      </rPr>
      <t>LIMA. A dos años del derrame de petróleo en el mar de Ventanilla, la Comisión de Pueblos Andinos, Amazónico, Afroperuanos, Ambiente y Ecología elaboró un...</t>
    </r>
    <r>
      <rPr>
        <rFont val="Arial, sans-serif"/>
        <color rgb="FF1155CC"/>
        <sz val="12.0"/>
        <u/>
      </rPr>
      <t>.</t>
    </r>
    <r>
      <rPr>
        <rFont val="Arial, sans-serif"/>
        <color rgb="FF1155CC"/>
        <sz val="11.0"/>
        <u/>
      </rPr>
      <t>17 ene 2024</t>
    </r>
  </si>
  <si>
    <t>Derrame de Ventanilla: Informe del Congreso determina negligencia del Estado</t>
  </si>
  <si>
    <t>A dos años del derrame de petróleo en el mar de Ventanilla, la Comisión de Pueblos Andinos, Amazónico, Afroperuanos, Ambiente y Ecología elaboró un....</t>
  </si>
  <si>
    <t>Window Spill: Congressional Report Determines State Negligence</t>
  </si>
  <si>
    <t>Two years after the oil spill in the Ventanilla Sea, the Commission of Andean, Amazonian, Afro-Peruvian Peoples, Environment and Ecology prepared a...</t>
  </si>
  <si>
    <t>Congressional report, responsibility</t>
  </si>
  <si>
    <t>Informe del Congreso, responsabilidad</t>
  </si>
  <si>
    <t>Official reports attributing responsibility reinforce negative sentiment towards Repsol.</t>
  </si>
  <si>
    <t>negligencia del Estado, derrame de petróleo</t>
  </si>
  <si>
    <t>Negative sentiment due to government negligence and environmental damage.</t>
  </si>
  <si>
    <t>Sentimiento negativo debido a la negligencia del gobierno y el daño ambiental.</t>
  </si>
  <si>
    <r>
      <rPr>
        <rFont val="Arial, sans-serif"/>
        <color rgb="FF1155CC"/>
        <sz val="9.0"/>
        <u/>
      </rPr>
      <t>Highmotor</t>
    </r>
    <r>
      <rPr>
        <rFont val="Arial, sans-serif"/>
        <color rgb="FF1155CC"/>
        <sz val="15.0"/>
        <u/>
      </rPr>
      <t>Casi 600 estaciones Repsol ya ofrecen combustible renovable</t>
    </r>
    <r>
      <rPr>
        <rFont val="Arial, sans-serif"/>
        <color rgb="FF1155CC"/>
        <sz val="11.0"/>
        <u/>
      </rPr>
      <t>Repsol apuesta firmemente por los combustibles renovables marcando su objetivo de ser una empresa de cero emisiones netas en el año 2050.</t>
    </r>
    <r>
      <rPr>
        <rFont val="Arial, sans-serif"/>
        <color rgb="FF1155CC"/>
        <sz val="12.0"/>
        <u/>
      </rPr>
      <t>.</t>
    </r>
    <r>
      <rPr>
        <rFont val="Arial, sans-serif"/>
        <color rgb="FF1155CC"/>
        <sz val="11.0"/>
        <u/>
      </rPr>
      <t>17 ene 2024</t>
    </r>
  </si>
  <si>
    <t>Highmotor</t>
  </si>
  <si>
    <t>Casi 600 estaciones Repsol ya ofrecen combustible renovable</t>
  </si>
  <si>
    <t>Repsol apuesta firmemente por los combustibles renovables marcando su objetivo de ser una empresa de cero emisiones netas en el año 2050.</t>
  </si>
  <si>
    <t>Almost 600 Repsol stations already offer renewable fuel</t>
  </si>
  <si>
    <t>Repsol is firmly committed to renewable fuels, setting its goal of being a net zero emissions company by 2050.</t>
  </si>
  <si>
    <t>Expanding renewable fuel offerings enhances Repsol’s commitment to sustainability.</t>
  </si>
  <si>
    <r>
      <rPr>
        <rFont val="Arial, sans-serif"/>
        <color rgb="FF1155CC"/>
        <sz val="9.0"/>
        <u/>
      </rPr>
      <t>Energy News</t>
    </r>
    <r>
      <rPr>
        <rFont val="Arial, sans-serif"/>
        <color rgb="FF1155CC"/>
        <sz val="15.0"/>
        <u/>
      </rPr>
      <t>Repsol superará las 600 estaciones de servicio con combustible renovable en 2024</t>
    </r>
    <r>
      <rPr>
        <rFont val="Arial, sans-serif"/>
        <color rgb="FF1155CC"/>
        <sz val="11.0"/>
        <u/>
      </rPr>
      <t>El combustible renovable es una de las principales palancas de la estrategia de Repsol para acelerar la reducción de emisiones del transporte y conseguir.</t>
    </r>
    <r>
      <rPr>
        <rFont val="Arial, sans-serif"/>
        <color rgb="FF1155CC"/>
        <sz val="12.0"/>
        <u/>
      </rPr>
      <t>.</t>
    </r>
    <r>
      <rPr>
        <rFont val="Arial, sans-serif"/>
        <color rgb="FF1155CC"/>
        <sz val="11.0"/>
        <u/>
      </rPr>
      <t>18 ene 2024</t>
    </r>
  </si>
  <si>
    <t>El combustible renovable es una de las principales palancas de la estrategia de Repsol para acelerar la reducción de emisiones del transporte y conseguir..</t>
  </si>
  <si>
    <t>Renewable fuel is one of the main levers of Repsol's strategy to accelerate the reduction of transport emissions and achieve...</t>
  </si>
  <si>
    <t>renewable fuel, transformation strategy</t>
  </si>
  <si>
    <t>combustible renovable, estrategia de transformación</t>
  </si>
  <si>
    <t>Increasing renewable fuel availability aligns with Repsol’s energy transition goals.</t>
  </si>
  <si>
    <r>
      <rPr>
        <rFont val="Arial, sans-serif"/>
        <color rgb="FF1155CC"/>
        <sz val="9.0"/>
        <u/>
      </rPr>
      <t>The Objective</t>
    </r>
    <r>
      <rPr>
        <rFont val="Arial, sans-serif"/>
        <color rgb="FF1155CC"/>
        <sz val="15.0"/>
        <u/>
      </rPr>
      <t>Repsol saca a la venta una gasolina con la que ayudarás a frenar el cambio climático</t>
    </r>
    <r>
      <rPr>
        <rFont val="Arial, sans-serif"/>
        <color rgb="FF1155CC"/>
        <sz val="11.0"/>
        <u/>
      </rPr>
      <t>Ya puedes conducir tu coche de gasolina sin cargos de conciencia medioambientales, y se lo debes a Repsol. El gigante energético posee un laboratorio al.</t>
    </r>
    <r>
      <rPr>
        <rFont val="Arial, sans-serif"/>
        <color rgb="FF1155CC"/>
        <sz val="12.0"/>
        <u/>
      </rPr>
      <t>.</t>
    </r>
    <r>
      <rPr>
        <rFont val="Arial, sans-serif"/>
        <color rgb="FF1155CC"/>
        <sz val="11.0"/>
        <u/>
      </rPr>
      <t>18 ene 2024</t>
    </r>
  </si>
  <si>
    <t>Repsol saca a la venta una gasolina con la que ayudarás a frenar el cambio climático</t>
  </si>
  <si>
    <t>Ya puedes conducir tu coche de gasolina sin cargos de conciencia medioambientales, y se lo debes a Repsol. El gigante energético posee un laboratorio al..</t>
  </si>
  <si>
    <t>Repsol launches a gasoline with which you will help stop climate change</t>
  </si>
  <si>
    <t>You can now drive your gasoline car without environmental concerns, and you owe it to Repsol. The energy giant has a laboratory at...</t>
  </si>
  <si>
    <t>gasoline, without emissions</t>
  </si>
  <si>
    <t>gasolina, sin emisiones</t>
  </si>
  <si>
    <t>CO₂-free gasoline innovation supports Repsol’s sustainability and green fuel leadership.</t>
  </si>
  <si>
    <t>gasolina, cambio climático</t>
  </si>
  <si>
    <r>
      <rPr>
        <rFont val="Arial, sans-serif"/>
        <color rgb="FF1155CC"/>
        <sz val="9.0"/>
        <u/>
      </rPr>
      <t>Car and Driver</t>
    </r>
    <r>
      <rPr>
        <rFont val="Arial, sans-serif"/>
        <color rgb="FF1155CC"/>
        <sz val="15.0"/>
        <u/>
      </rPr>
      <t>Resolvemos las dudas de las nuevas gasolinas renovables de Repsol: precio, qué coches pueden usarlas…</t>
    </r>
    <r>
      <rPr>
        <rFont val="Arial, sans-serif"/>
        <color rgb="FF1155CC"/>
        <sz val="11.0"/>
        <u/>
      </rPr>
      <t>Las gasolinas están disponibles en Madrid como proyecto piloto mientras que el diésel se suministra en 60 estaciones de servicio de toda España.</t>
    </r>
    <r>
      <rPr>
        <rFont val="Arial, sans-serif"/>
        <color rgb="FF1155CC"/>
        <sz val="12.0"/>
        <u/>
      </rPr>
      <t>.</t>
    </r>
    <r>
      <rPr>
        <rFont val="Arial, sans-serif"/>
        <color rgb="FF1155CC"/>
        <sz val="11.0"/>
        <u/>
      </rPr>
      <t>18 ene 2024</t>
    </r>
  </si>
  <si>
    <t>Resolvemos las dudas de las nuevas gasolinas renovables de Repsol: precio, qué coches pueden usarlas…</t>
  </si>
  <si>
    <t>Las gasolinas están disponibles en Madrid como proyecto piloto mientras que el diésel se suministra en 60 estaciones de servicio de toda España.</t>
  </si>
  <si>
    <t>We resolve doubts about Repsol's new renewable gasoline: price, which cars can use them...</t>
  </si>
  <si>
    <t>Gasoline is available in Madrid as a pilot project while diesel is supplied at 60 service stations throughout Spain.</t>
  </si>
  <si>
    <t>renewable gasoline, pilot project</t>
  </si>
  <si>
    <t>gasolina renovable, proyecto piloto</t>
  </si>
  <si>
    <t>Testing renewable gasoline demonstrates Repsol’s efforts to innovate in sustainable fuels.</t>
  </si>
  <si>
    <t>gasolinas renovables, proyecto piloto</t>
  </si>
  <si>
    <r>
      <rPr>
        <rFont val="Arial, sans-serif"/>
        <color rgb="FF1155CC"/>
        <sz val="9.0"/>
        <u/>
      </rPr>
      <t>EL PAÍS</t>
    </r>
    <r>
      <rPr>
        <rFont val="Arial, sans-serif"/>
        <color rgb="FF1155CC"/>
        <sz val="15.0"/>
        <u/>
      </rPr>
      <t>Ribera acusa al consejero delegado de Repsol de “negacionismo” por su discurso de Davos</t>
    </r>
    <r>
      <rPr>
        <rFont val="Arial, sans-serif"/>
        <color rgb="FF1155CC"/>
        <sz val="11.0"/>
        <u/>
      </rPr>
      <t>El directivo considera que la manera de abordar la descarbonización desde Europa está basada en “una aproximación ideológica”</t>
    </r>
    <r>
      <rPr>
        <rFont val="Arial, sans-serif"/>
        <color rgb="FF1155CC"/>
        <sz val="12.0"/>
        <u/>
      </rPr>
      <t>.</t>
    </r>
    <r>
      <rPr>
        <rFont val="Arial, sans-serif"/>
        <color rgb="FF1155CC"/>
        <sz val="11.0"/>
        <u/>
      </rPr>
      <t>18 ene 2024</t>
    </r>
  </si>
  <si>
    <t>EL PAÍS</t>
  </si>
  <si>
    <t>Ribera acusa al consejero delegado de Repsol de “negacionismo” por su discurso de Davos</t>
  </si>
  <si>
    <t>El directivo considera que la manera de abordar la descarbonización desde Europa está basada en “una aproximación ideológica”.</t>
  </si>
  <si>
    <t>Ribera accuses the CEO of Repsol of “denialism” for his Davos speech</t>
  </si>
  <si>
    <t>The manager considers that the way Europe addresses decarbonization is based on “an ideological approach.”</t>
  </si>
  <si>
    <t>Politics</t>
  </si>
  <si>
    <t>denialism, energy transition</t>
  </si>
  <si>
    <t>negacionismo, transición energética</t>
  </si>
  <si>
    <t>Accusations from political figures can damage Repsol’s public and governmental relations.</t>
  </si>
  <si>
    <t>negacionismo, Davos</t>
  </si>
  <si>
    <t>Negative sentiment due to political and ideological disputes.</t>
  </si>
  <si>
    <t>Sentimiento negativo debido a disputas políticas e ideológicas.</t>
  </si>
  <si>
    <r>
      <rPr>
        <rFont val="Arial, sans-serif"/>
        <color rgb="FF1155CC"/>
        <sz val="9.0"/>
        <u/>
      </rPr>
      <t>Capital Radio</t>
    </r>
    <r>
      <rPr>
        <rFont val="Arial, sans-serif"/>
        <color rgb="FF1155CC"/>
        <sz val="15.0"/>
        <u/>
      </rPr>
      <t>"Descarbonizar no es electrificar", Imaz (Repsol) en Davos</t>
    </r>
    <r>
      <rPr>
        <rFont val="Arial, sans-serif"/>
        <color rgb="FF1155CC"/>
        <sz val="11.0"/>
        <u/>
      </rPr>
      <t>El CEO de Repsol alerta de la aproximación ideológica a la transición energética y la ministra Teresa Ribera le acusa de negacionista.</t>
    </r>
    <r>
      <rPr>
        <rFont val="Arial, sans-serif"/>
        <color rgb="FF1155CC"/>
        <sz val="12.0"/>
        <u/>
      </rPr>
      <t>.</t>
    </r>
    <r>
      <rPr>
        <rFont val="Arial, sans-serif"/>
        <color rgb="FF1155CC"/>
        <sz val="11.0"/>
        <u/>
      </rPr>
      <t>18 ene 2024</t>
    </r>
  </si>
  <si>
    <t>Capital Radio</t>
  </si>
  <si>
    <t>"Descarbonizar no es electrificar", Imaz (Repsol) en Davos</t>
  </si>
  <si>
    <t>El CEO de Repsol alerta de la aproximación ideológica a la transición energética y la ministra Teresa Ribera le acusa de negacionista.</t>
  </si>
  <si>
    <t>"Decarbonizing is not electrifying", Imaz (Repsol) in Davos</t>
  </si>
  <si>
    <t>The CEO of Repsol warns of the ideological approach to the energy transition and Minister Teresa Ribera accuses him of being a denier.</t>
  </si>
  <si>
    <t>decarbonizing, diversified transition</t>
  </si>
  <si>
    <t>descarbonizar, transición diversificada</t>
  </si>
  <si>
    <t>Statements challenging electrification could generate debate but may also attract criticism.</t>
  </si>
  <si>
    <t>descarbonizar, Davos</t>
  </si>
  <si>
    <r>
      <rPr>
        <rFont val="Arial, sans-serif"/>
        <color rgb="FF1155CC"/>
        <sz val="9.0"/>
        <u/>
      </rPr>
      <t>LaSexta</t>
    </r>
    <r>
      <rPr>
        <rFont val="Arial, sans-serif"/>
        <color rgb="FF1155CC"/>
        <sz val="15.0"/>
        <u/>
      </rPr>
      <t>Este combustible permitirá a los coches de gasolina seguir circulando, y en España ya está a la venta</t>
    </r>
    <r>
      <rPr>
        <rFont val="Arial, sans-serif"/>
        <color rgb="FF1155CC"/>
        <sz val="11.0"/>
        <u/>
      </rPr>
      <t>La multinacional energética y petroquímica española Repsol acelera su apuesta por los combustibles renovables y define un nuevo objetivo de expansión en su...</t>
    </r>
    <r>
      <rPr>
        <rFont val="Arial, sans-serif"/>
        <color rgb="FF1155CC"/>
        <sz val="12.0"/>
        <u/>
      </rPr>
      <t>.</t>
    </r>
    <r>
      <rPr>
        <rFont val="Arial, sans-serif"/>
        <color rgb="FF1155CC"/>
        <sz val="11.0"/>
        <u/>
      </rPr>
      <t>18 ene 2024</t>
    </r>
  </si>
  <si>
    <t>LaSexta</t>
  </si>
  <si>
    <t>Este combustible permitirá a los coches de gasolina seguir circulando, y en España ya está a la venta</t>
  </si>
  <si>
    <t>La multinacional energética y petroquímica española Repsol acelera su apuesta por los combustibles renovables y define un nuevo objetivo de expansión en su....</t>
  </si>
  <si>
    <t>This fuel will allow gasoline cars to continue circulating, and in Spain it is already on sale</t>
  </si>
  <si>
    <t>The Spanish energy and petrochemical multinational Repsol accelerates its commitment to renewable fuels and defines a new expansion objective in its...</t>
  </si>
  <si>
    <t>fuel, gasoline cars</t>
  </si>
  <si>
    <t>combustible, coches de gasolina</t>
  </si>
  <si>
    <t>Developing fuel alternatives for gasoline cars supports Repsol’s innovation in sustainable mobility.</t>
  </si>
  <si>
    <r>
      <rPr>
        <rFont val="Arial, sans-serif"/>
        <color rgb="FF1155CC"/>
        <sz val="9.0"/>
        <u/>
      </rPr>
      <t>Latinspots.com</t>
    </r>
    <r>
      <rPr>
        <rFont val="Arial, sans-serif"/>
        <color rgb="FF1155CC"/>
        <sz val="15.0"/>
        <u/>
      </rPr>
      <t>Algo nuevo mueve a Repsol con DDB España</t>
    </r>
    <r>
      <rPr>
        <rFont val="Arial, sans-serif"/>
        <color rgb="FF1155CC"/>
        <sz val="11.0"/>
        <u/>
      </rPr>
      <t>(18/01/24). La agencia española de publicidad DDB ha sido la encargada de desarrollar tanto la plataforma como la campaña de lanzamiento para los nuevos...</t>
    </r>
    <r>
      <rPr>
        <rFont val="Arial, sans-serif"/>
        <color rgb="FF1155CC"/>
        <sz val="12.0"/>
        <u/>
      </rPr>
      <t>.</t>
    </r>
    <r>
      <rPr>
        <rFont val="Arial, sans-serif"/>
        <color rgb="FF1155CC"/>
        <sz val="11.0"/>
        <u/>
      </rPr>
      <t>18 ene 2024</t>
    </r>
  </si>
  <si>
    <t>Latinspots.com</t>
  </si>
  <si>
    <t>Algo nuevo mueve a Repsol con DDB España</t>
  </si>
  <si>
    <t>La agencia española de publicidad DDB ha sido la encargada de desarrollar tanto la plataforma como la campaña de lanzamiento para los nuevos....</t>
  </si>
  <si>
    <t>Something new moves Repsol with DDB Spain</t>
  </si>
  <si>
    <t>The Spanish advertising agency DDB has been in charge of developing both the platform and the launch campaign for the new...</t>
  </si>
  <si>
    <r>
      <rPr>
        <rFont val="Arial, sans-serif"/>
        <color rgb="FF1155CC"/>
        <sz val="9.0"/>
        <u/>
      </rPr>
      <t>Onda Cero</t>
    </r>
    <r>
      <rPr>
        <rFont val="Arial, sans-serif"/>
        <color rgb="FF1155CC"/>
        <sz val="15.0"/>
        <u/>
      </rPr>
      <t>Carlos Cuerpo se estrena en una jornada en Davos con choque entre Ribera y Repsol por las declaraciones de Ima</t>
    </r>
    <r>
      <rPr>
        <rFont val="Arial, sans-serif"/>
        <color rgb="FF1155CC"/>
        <sz val="11.0"/>
        <u/>
      </rPr>
      <t>Cuarta jornada del Foro Económico Mundial con la participación por primera vez del nuevo ministro de Economía Carlos Cuerpo y con cruce de opiniones: la...</t>
    </r>
    <r>
      <rPr>
        <rFont val="Arial, sans-serif"/>
        <color rgb="FF1155CC"/>
        <sz val="12.0"/>
        <u/>
      </rPr>
      <t>.</t>
    </r>
    <r>
      <rPr>
        <rFont val="Arial, sans-serif"/>
        <color rgb="FF1155CC"/>
        <sz val="11.0"/>
        <u/>
      </rPr>
      <t>18 ene 2024</t>
    </r>
  </si>
  <si>
    <t>Onda Cero</t>
  </si>
  <si>
    <t>Carlos Cuerpo se estrena en una jornada en Davos con choque entre Ribera y Repsol por las declaraciones de Ima</t>
  </si>
  <si>
    <t>Carlos Cuerpo se estrena en una jornada en Davos con choque entre Ribera y Repsol por las declaraciones de Ima. Cuarta jornada del Foro Económico Mundial con la participación por primera vez del nuevo ministro de Economía Carlos Cuerpo y con cruce de opiniones: la....</t>
  </si>
  <si>
    <t>Carlos Body debuts in a day in Davos with a clash between Ribera and Repsol over Ima's statements</t>
  </si>
  <si>
    <t>Carlos Body debuts in a day in Davos with a clash between Ribera and Repsol over Ima's statements. Fourth day of the World Economic Forum with the participation for the first time of the new Minister of Economy Carlos Corpus and with a crossroads of opinions: the...</t>
  </si>
  <si>
    <t>Davos, climate agenda</t>
  </si>
  <si>
    <t>Davos, agenda climática</t>
  </si>
  <si>
    <t>Repsol’s presence in global climate discussions reinforces its commitment to the energy transition.</t>
  </si>
  <si>
    <t>choque, Davos</t>
  </si>
  <si>
    <r>
      <rPr>
        <rFont val="Arial, sans-serif"/>
        <color rgb="FF1155CC"/>
        <sz val="9.0"/>
        <u/>
      </rPr>
      <t>Expansión</t>
    </r>
    <r>
      <rPr>
        <rFont val="Arial, sans-serif"/>
        <color rgb="FF1155CC"/>
        <sz val="15.0"/>
        <u/>
      </rPr>
      <t>BP y Repsol: gran potencial pese a las dudas sobre el crudo</t>
    </r>
    <r>
      <rPr>
        <rFont val="Arial, sans-serif"/>
        <color rgb="FF1155CC"/>
        <sz val="11.0"/>
        <u/>
      </rPr>
      <t>Las grandes petroleras europeas han arrancado 2024 con el pie cambiado. Con excepción de Galp, que sube un 7%, todas presentan un balance negativo en un año...</t>
    </r>
    <r>
      <rPr>
        <rFont val="Arial, sans-serif"/>
        <color rgb="FF1155CC"/>
        <sz val="12.0"/>
        <u/>
      </rPr>
      <t>.</t>
    </r>
    <r>
      <rPr>
        <rFont val="Arial, sans-serif"/>
        <color rgb="FF1155CC"/>
        <sz val="11.0"/>
        <u/>
      </rPr>
      <t>18 ene 2024</t>
    </r>
  </si>
  <si>
    <t>BP y Repsol: gran potencial pese a las dudas sobre el crudo</t>
  </si>
  <si>
    <t>Las grandes petroleras europeas han arrancado 2024 con el pie cambiado. Con excepción de Galp, que sube un 7%, todas presentan un balance negativo en un año.</t>
  </si>
  <si>
    <t>BP and Repsol: great potential despite doubts about crude oil</t>
  </si>
  <si>
    <t>The European oil majors have started 2024 on the wrong foot. With the exception of Galp, which rose 7%, all of them presented a negative balance in one year.</t>
  </si>
  <si>
    <t>great potential, doubts</t>
  </si>
  <si>
    <t>gran potencial, dudas</t>
  </si>
  <si>
    <t>Market analysts recognize Repsol’s growth potential despite sector challenges.</t>
  </si>
  <si>
    <t>gran potencial, dudas sobre el crudo</t>
  </si>
  <si>
    <t>Mixed sentiment due to potential but uncertainty in the oil market.</t>
  </si>
  <si>
    <t>Sentimiento mixto debido al potencial pero a la incertidumbre en el mercado del petróleo.</t>
  </si>
  <si>
    <r>
      <rPr>
        <rFont val="Arial, sans-serif"/>
        <color rgb="FF1155CC"/>
        <sz val="9.0"/>
        <u/>
      </rPr>
      <t>Guía Repsol</t>
    </r>
    <r>
      <rPr>
        <rFont val="Arial, sans-serif"/>
        <color rgb="FF1155CC"/>
        <sz val="15.0"/>
        <u/>
      </rPr>
      <t>Escapada al ‘Royal Hideaway Hotel de Canfranc’ (Huesca), el hotel ferroviario más lujoso de España</t>
    </r>
    <r>
      <rPr>
        <rFont val="Arial, sans-serif"/>
        <color rgb="FF1155CC"/>
        <sz val="11.0"/>
        <u/>
      </rPr>
      <t>Alojarse en el 'Royal Hideaway Hotel' supone adentrarse en una intensa experiencia. A todas las comodidades que se le presupone a un establecimiento de gran...</t>
    </r>
    <r>
      <rPr>
        <rFont val="Arial, sans-serif"/>
        <color rgb="FF1155CC"/>
        <sz val="12.0"/>
        <u/>
      </rPr>
      <t>.</t>
    </r>
    <r>
      <rPr>
        <rFont val="Arial, sans-serif"/>
        <color rgb="FF1155CC"/>
        <sz val="11.0"/>
        <u/>
      </rPr>
      <t>18 ene 2024</t>
    </r>
  </si>
  <si>
    <t>Escapada al ‘Royal Hideaway Hotel de Canfranc’ (Huesca), el hotel ferroviario más lujoso de España</t>
  </si>
  <si>
    <t>Alojarse en el 'Royal Hideaway Hotel' supone adentrarse en una intensa experiencia. A todas las comodidades que se le presupone a un establecimiento de gran....</t>
  </si>
  <si>
    <t>Getaway to the 'Royal Hideaway Hotel de Canfranc' (Huesca), the most luxurious railway hotel in Spain</t>
  </si>
  <si>
    <t>Staying at the 'Royal Hideaway Hotel' means entering into an intense experience. All the comforts that a large establishment is expected to have....</t>
  </si>
  <si>
    <r>
      <rPr>
        <rFont val="Arial, sans-serif"/>
        <color rgb="FF1155CC"/>
        <sz val="9.0"/>
        <u/>
      </rPr>
      <t>Infobae</t>
    </r>
    <r>
      <rPr>
        <rFont val="Arial, sans-serif"/>
        <color rgb="FF1155CC"/>
        <sz val="15.0"/>
        <u/>
      </rPr>
      <t>La gasolina sin petróleo que pueden utilizar todos los coches</t>
    </r>
    <r>
      <rPr>
        <rFont val="Arial, sans-serif"/>
        <color rgb="FF1155CC"/>
        <sz val="11.0"/>
        <u/>
      </rPr>
      <t>El precio del litro es de 1815 euros, más cara que la gasolina 95 y equiparable en precio a la gasolina 98.</t>
    </r>
    <r>
      <rPr>
        <rFont val="Arial, sans-serif"/>
        <color rgb="FF1155CC"/>
        <sz val="12.0"/>
        <u/>
      </rPr>
      <t>.</t>
    </r>
    <r>
      <rPr>
        <rFont val="Arial, sans-serif"/>
        <color rgb="FF1155CC"/>
        <sz val="11.0"/>
        <u/>
      </rPr>
      <t>18 ene 2024</t>
    </r>
  </si>
  <si>
    <t>La gasolina sin petróleo que pueden utilizar todos los coches</t>
  </si>
  <si>
    <t>El precio del litro es de 1815 euros, más cara que la gasolina 95 y equiparable en precio a la gasolina 98.</t>
  </si>
  <si>
    <t>Petroleum-free gasoline that all cars can use</t>
  </si>
  <si>
    <t>The price per liter is 1815 euros, more expensive than 95 gasoline and comparable in price to 98 gasoline.</t>
  </si>
  <si>
    <t>petroleum-free gasoline, alternative fuel</t>
  </si>
  <si>
    <t>gasolina sin petróleo, combustible alternativo</t>
  </si>
  <si>
    <t>Innovations in petroleum-free fuel reinforce Repsol’s leadership in green technology.</t>
  </si>
  <si>
    <t>gasolina sin petróleo</t>
  </si>
  <si>
    <r>
      <rPr>
        <rFont val="Arial, sans-serif"/>
        <color rgb="FF1155CC"/>
        <sz val="9.0"/>
        <u/>
      </rPr>
      <t>Repsol</t>
    </r>
    <r>
      <rPr>
        <rFont val="Arial, sans-serif"/>
        <color rgb="FF1155CC"/>
        <sz val="15.0"/>
        <u/>
      </rPr>
      <t>Ventajas y desventajas de las estufas halógenas</t>
    </r>
    <r>
      <rPr>
        <rFont val="Arial, sans-serif"/>
        <color rgb="FF1155CC"/>
        <sz val="11.0"/>
        <u/>
      </rPr>
      <t>Descubre las estufas halógenas, sus ventajas, desventajas, funcionamiento, consumo y más, en este post de Repsol. Elige la mejor. ¡Haz clic!</t>
    </r>
    <r>
      <rPr>
        <rFont val="Arial, sans-serif"/>
        <color rgb="FF1155CC"/>
        <sz val="12.0"/>
        <u/>
      </rPr>
      <t>.</t>
    </r>
    <r>
      <rPr>
        <rFont val="Arial, sans-serif"/>
        <color rgb="FF1155CC"/>
        <sz val="11.0"/>
        <u/>
      </rPr>
      <t>18 ene 2024</t>
    </r>
  </si>
  <si>
    <t>Ventajas y desventajas de las estufas halógenas</t>
  </si>
  <si>
    <t>Descubre las estufas halógenas, sus ventajas, desventajas, funcionamiento, consumo y más, en este post de Repsol. Elige la mejor. ¡Haz clic!.</t>
  </si>
  <si>
    <t>Advantages and disadvantages of halogen stoves</t>
  </si>
  <si>
    <t>Discover halogen stoves, their advantages, disadvantages, operation, consumption and more, in this Repsol post. Choose the best. Click!</t>
  </si>
  <si>
    <r>
      <rPr>
        <rFont val="Arial, sans-serif"/>
        <color rgb="FF1155CC"/>
        <sz val="9.0"/>
        <u/>
      </rPr>
      <t>Cadena SER</t>
    </r>
    <r>
      <rPr>
        <rFont val="Arial, sans-serif"/>
        <color rgb="FF1155CC"/>
        <sz val="15.0"/>
        <u/>
      </rPr>
      <t>Sin cebolla, la cocinera de la mejor tortilla de Galicia dicta sentencia</t>
    </r>
    <r>
      <rPr>
        <rFont val="Arial, sans-serif"/>
        <color rgb="FF1155CC"/>
        <sz val="11.0"/>
        <u/>
      </rPr>
      <t>La Guía Repsol premia a un establecimiento lucense con este distintivo gracias a los votos de vecinos y turistas.</t>
    </r>
    <r>
      <rPr>
        <rFont val="Arial, sans-serif"/>
        <color rgb="FF1155CC"/>
        <sz val="12.0"/>
        <u/>
      </rPr>
      <t>.</t>
    </r>
    <r>
      <rPr>
        <rFont val="Arial, sans-serif"/>
        <color rgb="FF1155CC"/>
        <sz val="11.0"/>
        <u/>
      </rPr>
      <t>18 ene 2024</t>
    </r>
  </si>
  <si>
    <t>La Guía Repsol premia a un establecimiento lucense con este distintivo gracias a los votos de vecinos y turistas.</t>
  </si>
  <si>
    <t>The Repsol Guide awards an establishment in Lugo with this distinction thanks to the votes of residents and tourists.</t>
  </si>
  <si>
    <r>
      <rPr>
        <rFont val="Arial, sans-serif"/>
        <color rgb="FF1155CC"/>
        <sz val="9.0"/>
        <u/>
      </rPr>
      <t>Diari de Tarragona</t>
    </r>
    <r>
      <rPr>
        <rFont val="Arial, sans-serif"/>
        <color rgb="FF1155CC"/>
        <sz val="15.0"/>
        <u/>
      </rPr>
      <t>Constantí premia la composición musical en el Premi Centelles</t>
    </r>
    <r>
      <rPr>
        <rFont val="Arial, sans-serif"/>
        <color rgb="FF1155CC"/>
        <sz val="11.0"/>
        <u/>
      </rPr>
      <t>Fomentar la creación musical y difundir las obras musicales de compositores actuales sigue siendo la voluntad de la cuarta edición del Premi Centcelle...</t>
    </r>
    <r>
      <rPr>
        <rFont val="Arial, sans-serif"/>
        <color rgb="FF1155CC"/>
        <sz val="12.0"/>
        <u/>
      </rPr>
      <t>.</t>
    </r>
    <r>
      <rPr>
        <rFont val="Arial, sans-serif"/>
        <color rgb="FF1155CC"/>
        <sz val="11.0"/>
        <u/>
      </rPr>
      <t>18 ene 2024</t>
    </r>
  </si>
  <si>
    <t>Constantí premia la composición musical en el Premi Centelles</t>
  </si>
  <si>
    <t>Fomentar la creación musical y difundir las obras musicales de compositores actuales sigue siendo la voluntad de la cuarta edición del Premi Centcelle....</t>
  </si>
  <si>
    <t>Constantí awards musical composition at the Premi Centelles</t>
  </si>
  <si>
    <t>Promoting musical creation and disseminating the musical works of current composers continues to be the aim of the fourth edition of the Premi Centcelle....</t>
  </si>
  <si>
    <r>
      <rPr>
        <rFont val="Arial, sans-serif"/>
        <color rgb="FF1155CC"/>
        <sz val="9.0"/>
        <u/>
      </rPr>
      <t>Motor16</t>
    </r>
    <r>
      <rPr>
        <rFont val="Arial, sans-serif"/>
        <color rgb="FF1155CC"/>
        <sz val="15.0"/>
        <u/>
      </rPr>
      <t>La gasolinera que ofrece el mejor descuento que BP, Cepsa o Galp: Pero tiene letra pequeña</t>
    </r>
    <r>
      <rPr>
        <rFont val="Arial, sans-serif"/>
        <color rgb="FF1155CC"/>
        <sz val="11.0"/>
        <u/>
      </rPr>
      <t>A menudo, nos encontramos con estrategias y promociones de diversas gasolineras para atraer a los conductores ávidos de ahorro.</t>
    </r>
    <r>
      <rPr>
        <rFont val="Arial, sans-serif"/>
        <color rgb="FF1155CC"/>
        <sz val="12.0"/>
        <u/>
      </rPr>
      <t>.</t>
    </r>
    <r>
      <rPr>
        <rFont val="Arial, sans-serif"/>
        <color rgb="FF1155CC"/>
        <sz val="11.0"/>
        <u/>
      </rPr>
      <t>18 ene 2024</t>
    </r>
  </si>
  <si>
    <t>La gasolinera que ofrece el mejor descuento que BP, Cepsa o Galp: Pero tiene letra pequeña</t>
  </si>
  <si>
    <t>A menudo, nos encontramos con estrategias y promociones de diversas gasolineras para atraer a los conductores ávidos de ahorro.</t>
  </si>
  <si>
    <t>The gas station that offers the best discount than BP, Cepsa or Galp: But it has small print</t>
  </si>
  <si>
    <t>We often come across strategies and promotions from various gas stations to attract drivers eager to save.</t>
  </si>
  <si>
    <t>discount, best offer</t>
  </si>
  <si>
    <t>descuento, mejor oferta</t>
  </si>
  <si>
    <t>Competitive pricing strategies can enhance Repsol’s market appeal and customer loyalty.</t>
  </si>
  <si>
    <t>descuento, gasolinera</t>
  </si>
  <si>
    <t>Positive sentiment due to competitive pricing.</t>
  </si>
  <si>
    <t>Sentimiento positivo debido a los precios competitivos.</t>
  </si>
  <si>
    <r>
      <rPr>
        <rFont val="Arial, sans-serif"/>
        <color rgb="FF1155CC"/>
        <sz val="9.0"/>
        <u/>
      </rPr>
      <t>El Español</t>
    </r>
    <r>
      <rPr>
        <rFont val="Arial, sans-serif"/>
        <color rgb="FF1155CC"/>
        <sz val="15.0"/>
        <u/>
      </rPr>
      <t>El histórico bar de Lugo donde se come la mejor tortilla de patatas de Galicia, según la Guía Repsol</t>
    </r>
    <r>
      <rPr>
        <rFont val="Arial, sans-serif"/>
        <color rgb="FF1155CC"/>
        <sz val="11.0"/>
        <u/>
      </rPr>
      <t>En el corazón de la ciudad gallega se esconde esta taberna familia que esconde un jugoso secreto por el que es reconocido.</t>
    </r>
    <r>
      <rPr>
        <rFont val="Arial, sans-serif"/>
        <color rgb="FF1155CC"/>
        <sz val="12.0"/>
        <u/>
      </rPr>
      <t>.</t>
    </r>
    <r>
      <rPr>
        <rFont val="Arial, sans-serif"/>
        <color rgb="FF1155CC"/>
        <sz val="11.0"/>
        <u/>
      </rPr>
      <t>18 ene 2024</t>
    </r>
  </si>
  <si>
    <t>El histórico bar de Lugo donde se come la mejor tortilla de patatas de Galicia, según la Guía Repsol</t>
  </si>
  <si>
    <t>En el corazón de la ciudad gallega se esconde esta taberna familia que esconde un jugoso secreto por el que es reconocido.</t>
  </si>
  <si>
    <t>The historic bar in Lugo where you eat the best potato omelette in Galicia, according to the Repsol Guide</t>
  </si>
  <si>
    <t>In the heart of the Galician city hides this family tavern that hides a juicy secret for which it is recognized.</t>
  </si>
  <si>
    <r>
      <rPr>
        <rFont val="Arial, sans-serif"/>
        <color rgb="FF1155CC"/>
        <sz val="9.0"/>
        <u/>
      </rPr>
      <t>Info León</t>
    </r>
    <r>
      <rPr>
        <rFont val="Arial, sans-serif"/>
        <color rgb="FF1155CC"/>
        <sz val="15.0"/>
        <u/>
      </rPr>
      <t>León Antiguo, la mejor tortilla de patata de Castilla y León</t>
    </r>
    <r>
      <rPr>
        <rFont val="Arial, sans-serif"/>
        <color rgb="FF1155CC"/>
        <sz val="11.0"/>
        <u/>
      </rPr>
      <t>En el pintoresco Barrio Romántico de la capital leonesa, el establecimiento 'León Antiguo', ubicado en Cid, 16, ha sido distinguido como el hogar de la...</t>
    </r>
    <r>
      <rPr>
        <rFont val="Arial, sans-serif"/>
        <color rgb="FF1155CC"/>
        <sz val="12.0"/>
        <u/>
      </rPr>
      <t>.</t>
    </r>
    <r>
      <rPr>
        <rFont val="Arial, sans-serif"/>
        <color rgb="FF1155CC"/>
        <sz val="11.0"/>
        <u/>
      </rPr>
      <t>18 ene 2024</t>
    </r>
  </si>
  <si>
    <t>Info León</t>
  </si>
  <si>
    <t>León Antiguo, la mejor tortilla de patata de Castilla y León</t>
  </si>
  <si>
    <t>En el pintoresco Barrio Romántico de la capital leonesa, el establecimiento 'León Antiguo', ubicado en Cid, 16, ha sido distinguido como el hogar de la....</t>
  </si>
  <si>
    <t>León Antiguo, the best potato omelette in Castilla y León</t>
  </si>
  <si>
    <t>In the picturesque Romantic Quarter of the Leonese capital, the 'León Antiguo' establishment, located at Cid, 16, has been distinguished as the home of the...</t>
  </si>
  <si>
    <r>
      <rPr>
        <rFont val="Arial, sans-serif"/>
        <color rgb="FF1155CC"/>
        <sz val="9.0"/>
        <u/>
      </rPr>
      <t>CooperAcción</t>
    </r>
    <r>
      <rPr>
        <rFont val="Arial, sans-serif"/>
        <color rgb="FF1155CC"/>
        <sz val="15.0"/>
        <u/>
      </rPr>
      <t>A dos años del derrame de Repsol, la sociedad civil demandó acción efectiva del Estado peruano</t>
    </r>
    <r>
      <rPr>
        <rFont val="Arial, sans-serif"/>
        <color rgb="FF1155CC"/>
        <sz val="11.0"/>
        <u/>
      </rPr>
      <t>En el marco de los dos años del derrame de petróleo de la empresa Repsol en el mar peruano, organizaciones de la sociedad civil presentaron el miércoles 17...</t>
    </r>
    <r>
      <rPr>
        <rFont val="Arial, sans-serif"/>
        <color rgb="FF1155CC"/>
        <sz val="12.0"/>
        <u/>
      </rPr>
      <t>.</t>
    </r>
    <r>
      <rPr>
        <rFont val="Arial, sans-serif"/>
        <color rgb="FF1155CC"/>
        <sz val="11.0"/>
        <u/>
      </rPr>
      <t>18 ene 2024</t>
    </r>
  </si>
  <si>
    <t>A dos años del derrame de Repsol, la sociedad civil demandó acción efectiva del Estado peruano</t>
  </si>
  <si>
    <t>A dos años del derrame de Repsol, la sociedad civil demandó acción efectiva del Estado peruano.</t>
  </si>
  <si>
    <t>Two years after the Repsol spill, civil society demanded effective action from the Peruvian State</t>
  </si>
  <si>
    <t>Two years after the Repsol spill, civil society demanded effective action from the Peruvian State.</t>
  </si>
  <si>
    <t>spill, justice demand</t>
  </si>
  <si>
    <t>derrame, demanda de justicia</t>
  </si>
  <si>
    <t>Continuous civil complaints over the spill keep negative sentiment around Repsol high.</t>
  </si>
  <si>
    <t>derrame de Repsol, acción efectiva</t>
  </si>
  <si>
    <t>Negative sentiment due to unresolved environmental and community issues.</t>
  </si>
  <si>
    <t>Sentimiento negativo debido a problemas ambientales y comunitarios no resueltos.</t>
  </si>
  <si>
    <r>
      <rPr>
        <rFont val="Arial, sans-serif"/>
        <color rgb="FF1155CC"/>
        <sz val="9.0"/>
        <u/>
      </rPr>
      <t>Las Rozas Hoy</t>
    </r>
    <r>
      <rPr>
        <rFont val="Arial, sans-serif"/>
        <color rgb="FF1155CC"/>
        <sz val="15.0"/>
        <u/>
      </rPr>
      <t>Cuándo llega a Las Rozas la nueva gasolina y gasoil sin petroleo y con emisiones neutras</t>
    </r>
    <r>
      <rPr>
        <rFont val="Arial, sans-serif"/>
        <color rgb="FF1155CC"/>
        <sz val="11.0"/>
        <u/>
      </rPr>
      <t>Repsol ha introducido una innovadora gasolina renovable, libre de petróleo y con emisiones de CO2 neutras. Esta gasolina es compatible con todos los...</t>
    </r>
    <r>
      <rPr>
        <rFont val="Arial, sans-serif"/>
        <color rgb="FF1155CC"/>
        <sz val="12.0"/>
        <u/>
      </rPr>
      <t>.</t>
    </r>
    <r>
      <rPr>
        <rFont val="Arial, sans-serif"/>
        <color rgb="FF1155CC"/>
        <sz val="11.0"/>
        <u/>
      </rPr>
      <t>18 ene 2024</t>
    </r>
  </si>
  <si>
    <t>Las Rozas Hoy</t>
  </si>
  <si>
    <t>Cuándo llega a Las Rozas la nueva gasolina y gasoil sin petroleo y con emisiones neutras</t>
  </si>
  <si>
    <t>Repsol ha introducido una innovadora gasolina renovable, libre de petróleo y con emisiones de CO2 neutras. Esta gasolina es compatible con todos los....</t>
  </si>
  <si>
    <t>When does the new gasoline and diesel without petroleum and with neutral emissions arrive in Las Rozas?</t>
  </si>
  <si>
    <t>Repsol has introduced an innovative renewable gasoline, free of petroleum and with neutral CO2 emissions. This gasoline is compatible with all...</t>
  </si>
  <si>
    <t>new gasoline, without petroleum</t>
  </si>
  <si>
    <t>gasolina nueva, sin petróleo</t>
  </si>
  <si>
    <t>Innovation in petroleum-free fuels strengthens Repsol’s sustainability efforts.</t>
  </si>
  <si>
    <t>gasolina renovable, emisiones neutras</t>
  </si>
  <si>
    <r>
      <rPr>
        <rFont val="Arial, sans-serif"/>
        <color rgb="FF1155CC"/>
        <sz val="9.0"/>
        <u/>
      </rPr>
      <t>Faconauto</t>
    </r>
    <r>
      <rPr>
        <rFont val="Arial, sans-serif"/>
        <color rgb="FF1155CC"/>
        <sz val="15.0"/>
        <u/>
      </rPr>
      <t>Repsol superará las 600 estaciones de servicio con combustible renovable</t>
    </r>
    <r>
      <rPr>
        <rFont val="Arial, sans-serif"/>
        <color rgb="FF1155CC"/>
        <sz val="11.0"/>
        <u/>
      </rPr>
      <t>La compañía multienergética acelera su apuesta por los combustibles renovables y define un nuevo objetivo de expansión en su red de estaciones de servicio...</t>
    </r>
    <r>
      <rPr>
        <rFont val="Arial, sans-serif"/>
        <color rgb="FF1155CC"/>
        <sz val="12.0"/>
        <u/>
      </rPr>
      <t>.</t>
    </r>
    <r>
      <rPr>
        <rFont val="Arial, sans-serif"/>
        <color rgb="FF1155CC"/>
        <sz val="11.0"/>
        <u/>
      </rPr>
      <t>19 ene 2024</t>
    </r>
  </si>
  <si>
    <t>Faconauto</t>
  </si>
  <si>
    <t>Repsol superará las 600 estaciones de servicio con combustible renovable</t>
  </si>
  <si>
    <t>Repsol will exceed 600 service stations with renewable fuel</t>
  </si>
  <si>
    <t>renewable fuel, 600 service stations</t>
  </si>
  <si>
    <t>combustible renovable, 600 estaciones de servicio</t>
  </si>
  <si>
    <t>Expanding renewable fuel stations reinforces Repsol’s green transition.</t>
  </si>
  <si>
    <r>
      <rPr>
        <rFont val="Arial, sans-serif"/>
        <color rgb="FF1155CC"/>
        <sz val="9.0"/>
        <u/>
      </rPr>
      <t>Estrategias de Inversión</t>
    </r>
    <r>
      <rPr>
        <rFont val="Arial, sans-serif"/>
        <color rgb="FF1155CC"/>
        <sz val="15.0"/>
        <u/>
      </rPr>
      <t>El petróleo ya no es lo que era y Repsol sufre por ello</t>
    </r>
    <r>
      <rPr>
        <rFont val="Arial, sans-serif"/>
        <color rgb="FF1155CC"/>
        <sz val="11.0"/>
        <u/>
      </rPr>
      <t>Repsol, la petrolera de referencia española, sigue vinculando sus beneficios al precio del petróleo y la venta de combustibles, pero se enfrenta a un...</t>
    </r>
    <r>
      <rPr>
        <rFont val="Arial, sans-serif"/>
        <color rgb="FF1155CC"/>
        <sz val="12.0"/>
        <u/>
      </rPr>
      <t>.</t>
    </r>
    <r>
      <rPr>
        <rFont val="Arial, sans-serif"/>
        <color rgb="FF1155CC"/>
        <sz val="11.0"/>
        <u/>
      </rPr>
      <t>19 ene 2024</t>
    </r>
  </si>
  <si>
    <t>El petróleo ya no es lo que era y Repsol sufre por ello</t>
  </si>
  <si>
    <t>Repsol, la petrolera de referencia española, sigue vinculando sus beneficios al precio del petróleo y la venta de combustibles, pero se enfrenta a un....</t>
  </si>
  <si>
    <t>Oil is no longer what it was and Repsol suffers for it</t>
  </si>
  <si>
    <t>Repsol, the Spanish oil company, continues to link its profits to the price of oil and the sale of fuel, but it faces a...</t>
  </si>
  <si>
    <t>Repsol suffers, stock market</t>
  </si>
  <si>
    <t>Repsol sufre, bolsa</t>
  </si>
  <si>
    <t>Market struggles reflect financial instability concerns for Repsol.</t>
  </si>
  <si>
    <t>petróleo, sufre</t>
  </si>
  <si>
    <t>Negative sentiment due to challenges in the oil market.</t>
  </si>
  <si>
    <t>Sentimiento negativo debido a los desafíos en el mercado petrolero.</t>
  </si>
  <si>
    <r>
      <rPr>
        <rFont val="Arial, sans-serif"/>
        <color rgb="FF1155CC"/>
        <sz val="9.0"/>
        <u/>
      </rPr>
      <t>ElDesmarque</t>
    </r>
    <r>
      <rPr>
        <rFont val="Arial, sans-serif"/>
        <color rgb="FF1155CC"/>
        <sz val="15.0"/>
        <u/>
      </rPr>
      <t>Más de 600 estaciones de servicio de Repsol tendrán combustible renovable en 2024</t>
    </r>
    <r>
      <rPr>
        <rFont val="Arial, sans-serif"/>
        <color rgb="FF1155CC"/>
        <sz val="11.0"/>
        <u/>
      </rPr>
      <t>Repsol acelera su apuesta por los combustibles renovables y pretende superar las 600 estaciones de servicio con estos combustibles.</t>
    </r>
    <r>
      <rPr>
        <rFont val="Arial, sans-serif"/>
        <color rgb="FF1155CC"/>
        <sz val="12.0"/>
        <u/>
      </rPr>
      <t>.</t>
    </r>
    <r>
      <rPr>
        <rFont val="Arial, sans-serif"/>
        <color rgb="FF1155CC"/>
        <sz val="11.0"/>
        <u/>
      </rPr>
      <t>19 ene 2024</t>
    </r>
  </si>
  <si>
    <t>ElDesmarque</t>
  </si>
  <si>
    <t>Más de 600 estaciones de servicio de Repsol tendrán combustible renovable en 2024</t>
  </si>
  <si>
    <t>Repsol acelera su apuesta por los combustibles renovables y pretende superar las 600 estaciones de servicio con estos combustibles.</t>
  </si>
  <si>
    <t>More than 600 Repsol service stations will have renewable fuel in 2024</t>
  </si>
  <si>
    <t>Repsol accelerates its commitment to renewable fuels and aims to exceed 600 service stations with these fuels.</t>
  </si>
  <si>
    <t>Expanding renewable fuel access strengthens Repsol’s leadership in energy transition.</t>
  </si>
  <si>
    <r>
      <rPr>
        <rFont val="Arial, sans-serif"/>
        <color rgb="FF1155CC"/>
        <sz val="9.0"/>
        <u/>
      </rPr>
      <t>Libre Mercado</t>
    </r>
    <r>
      <rPr>
        <rFont val="Arial, sans-serif"/>
        <color rgb="FF1155CC"/>
        <sz val="15.0"/>
        <u/>
      </rPr>
      <t>Las frases de Imaz en Davos que indignaron a Teresa Ribera</t>
    </r>
    <r>
      <rPr>
        <rFont val="Arial, sans-serif"/>
        <color rgb="FF1155CC"/>
        <sz val="11.0"/>
        <u/>
      </rPr>
      <t>El consejero delegado de Repsol dio una conferencia en Davos alertando de las consecuencias de las actuales políticas verdes europeas.</t>
    </r>
    <r>
      <rPr>
        <rFont val="Arial, sans-serif"/>
        <color rgb="FF1155CC"/>
        <sz val="12.0"/>
        <u/>
      </rPr>
      <t>.</t>
    </r>
    <r>
      <rPr>
        <rFont val="Arial, sans-serif"/>
        <color rgb="FF1155CC"/>
        <sz val="11.0"/>
        <u/>
      </rPr>
      <t>19 ene 2024</t>
    </r>
  </si>
  <si>
    <t>Las frases de Imaz en Davos que indignaron a Teresa Ribera</t>
  </si>
  <si>
    <t>El consejero delegado de Repsol dio una conferencia en Davos alertando de las consecuencias de las actuales políticas verdes europeas.</t>
  </si>
  <si>
    <t>Imaz's phrases in Davos that outraged Teresa Ribera</t>
  </si>
  <si>
    <t>The CEO of Repsol gave a conference in Davos warning of the consequences of current European green policies.</t>
  </si>
  <si>
    <t>Davos, controversy</t>
  </si>
  <si>
    <t>Davos, polémica</t>
  </si>
  <si>
    <t>Public disagreements with government officials may create regulatory tensions for Repsol.</t>
  </si>
  <si>
    <t>frases de Imaz, Davos</t>
  </si>
  <si>
    <r>
      <rPr>
        <rFont val="Arial, sans-serif"/>
        <color rgb="FF1155CC"/>
        <sz val="9.0"/>
        <u/>
      </rPr>
      <t>El Periódico de la Energía</t>
    </r>
    <r>
      <rPr>
        <rFont val="Arial, sans-serif"/>
        <color rgb="FF1155CC"/>
        <sz val="15.0"/>
        <u/>
      </rPr>
      <t>Gana Energía aspira a alcanzar el millón de clientes a medio plazo</t>
    </r>
    <r>
      <rPr>
        <rFont val="Arial, sans-serif"/>
        <color rgb="FF1155CC"/>
        <sz val="11.0"/>
        <u/>
      </rPr>
      <t>Gana Energía prevé cuadruplicar su número de clientes, hasta alcanzar la cota del millón en el medio plazo, según informó la comercializadora de luz y gas...</t>
    </r>
    <r>
      <rPr>
        <rFont val="Arial, sans-serif"/>
        <color rgb="FF1155CC"/>
        <sz val="12.0"/>
        <u/>
      </rPr>
      <t>.</t>
    </r>
    <r>
      <rPr>
        <rFont val="Arial, sans-serif"/>
        <color rgb="FF1155CC"/>
        <sz val="11.0"/>
        <u/>
      </rPr>
      <t>19 ene 2024</t>
    </r>
  </si>
  <si>
    <t>Gana Energía aspira a alcanzar el millón de clientes a medio plazo</t>
  </si>
  <si>
    <t>Gana Energía prevé cuadruplicar su número de clientes, hasta alcanzar la cota del millón en el medio plazo, según informó la comercializadora de luz y gas....</t>
  </si>
  <si>
    <t>Gana Energía aims to reach one million customers in the medium term</t>
  </si>
  <si>
    <t>Gana Energía plans to quadruple its number of clients, reaching the level of one million in the medium term, according to the electricity and gas marketer....</t>
  </si>
  <si>
    <r>
      <rPr>
        <rFont val="Arial, sans-serif"/>
        <color rgb="FF1155CC"/>
        <sz val="9.0"/>
        <u/>
      </rPr>
      <t>elDiario.es</t>
    </r>
    <r>
      <rPr>
        <rFont val="Arial, sans-serif"/>
        <color rgb="FF1155CC"/>
        <sz val="15.0"/>
        <u/>
      </rPr>
      <t>Ribera acusa a Josu Jon Imaz de "negacionismo y retardismo" y el PNV sale en defensa del CEO de Repsol</t>
    </r>
    <r>
      <rPr>
        <rFont val="Arial, sans-serif"/>
        <color rgb="FF1155CC"/>
        <sz val="11.0"/>
        <u/>
      </rPr>
      <t>La eurodiputada del PNV Izaskun Bilbao ha salido este viernes en defensa del expresidente del partido y actual consejero delegado de Repsol, Josu Jon Imaz,...</t>
    </r>
    <r>
      <rPr>
        <rFont val="Arial, sans-serif"/>
        <color rgb="FF1155CC"/>
        <sz val="12.0"/>
        <u/>
      </rPr>
      <t>.</t>
    </r>
    <r>
      <rPr>
        <rFont val="Arial, sans-serif"/>
        <color rgb="FF1155CC"/>
        <sz val="11.0"/>
        <u/>
      </rPr>
      <t>19 ene 2024</t>
    </r>
  </si>
  <si>
    <t>Ribera acusa a Josu Jon Imaz de "negacionismo y retardismo" y el PNV sale en defensa del CEO de Repsol</t>
  </si>
  <si>
    <t>La eurodiputada del PNV Izaskun Bilbao ha salido este viernes en defensa del expresidente del partido y actual consejero delegado de Repsol, Josu Jon Imaz.</t>
  </si>
  <si>
    <t>Ribera accuses Josu Jon Imaz of "denialism and retardism" and the PNV comes out in defense of the CEO of Repsol</t>
  </si>
  <si>
    <t>The PNV MEP Izaskun Bilbao came out this Friday in defense of the former president of the party and current CEO of Repsol, Josu Jon Imaz.</t>
  </si>
  <si>
    <t>Accusations from political figures can create regulatory and reputational challenges for Repsol.</t>
  </si>
  <si>
    <t>negacionismo, retardismo</t>
  </si>
  <si>
    <r>
      <rPr>
        <rFont val="Arial, sans-serif"/>
        <color rgb="FF1155CC"/>
        <sz val="9.0"/>
        <u/>
      </rPr>
      <t>Guía Repsol</t>
    </r>
    <r>
      <rPr>
        <rFont val="Arial, sans-serif"/>
        <color rgb="FF1155CC"/>
        <sz val="15.0"/>
        <u/>
      </rPr>
      <t>Dónde comen los famosos en Madrid</t>
    </r>
    <r>
      <rPr>
        <rFont val="Arial, sans-serif"/>
        <color rgb="FF1155CC"/>
        <sz val="11.0"/>
        <u/>
      </rPr>
      <t>Madrid es un hervidero cultural y punto de reuniones de celebrities e importantes rostros conocidos que degustan la buena gastronomía que se cocina en las...</t>
    </r>
    <r>
      <rPr>
        <rFont val="Arial, sans-serif"/>
        <color rgb="FF1155CC"/>
        <sz val="12.0"/>
        <u/>
      </rPr>
      <t>.</t>
    </r>
    <r>
      <rPr>
        <rFont val="Arial, sans-serif"/>
        <color rgb="FF1155CC"/>
        <sz val="11.0"/>
        <u/>
      </rPr>
      <t>19 ene 2024</t>
    </r>
  </si>
  <si>
    <t>Dónde comen los famosos en Madrid</t>
  </si>
  <si>
    <t>Madrid es un hervidero cultural y punto de reuniones de celebrities e importantes rostros conocidos que degustan la buena gastronomía que se cocina en las....</t>
  </si>
  <si>
    <t>Where famous people eat in Madrid</t>
  </si>
  <si>
    <t>Madrid is a cultural hotbed and a meeting point for celebrities and important well-known faces who taste the good gastronomy that is cooked in the...</t>
  </si>
  <si>
    <r>
      <rPr>
        <rFont val="Arial, sans-serif"/>
        <color rgb="FF1155CC"/>
        <sz val="9.0"/>
        <u/>
      </rPr>
      <t>chasiscero.com</t>
    </r>
    <r>
      <rPr>
        <rFont val="Arial, sans-serif"/>
        <color rgb="FF1155CC"/>
        <sz val="15.0"/>
        <u/>
      </rPr>
      <t>Repsol revoluciona el combustible con una nueva gasolina 100% renovable que sirve para todos los coches</t>
    </r>
    <r>
      <rPr>
        <rFont val="Arial, sans-serif"/>
        <color rgb="FF1155CC"/>
        <sz val="11.0"/>
        <u/>
      </rPr>
      <t>El litro de este nuevo combustible, hecho a base de biocombustibles avanzados, tiene un precio de 1,81 euros el litro.</t>
    </r>
    <r>
      <rPr>
        <rFont val="Arial, sans-serif"/>
        <color rgb="FF1155CC"/>
        <sz val="12.0"/>
        <u/>
      </rPr>
      <t>.</t>
    </r>
    <r>
      <rPr>
        <rFont val="Arial, sans-serif"/>
        <color rgb="FF1155CC"/>
        <sz val="11.0"/>
        <u/>
      </rPr>
      <t>19 ene 2024</t>
    </r>
  </si>
  <si>
    <t>chasiscero.com</t>
  </si>
  <si>
    <t>Repsol revoluciona el combustible con una nueva gasolina 100% renovable que sirve para todos los coches</t>
  </si>
  <si>
    <t>El litro de este nuevo combustible, hecho a base de biocombustibles avanzados, tiene un precio de 1,81 euros el litro.</t>
  </si>
  <si>
    <t>Repsol revolutionizes fuel with a new 100% renewable gasoline that is suitable for all cars</t>
  </si>
  <si>
    <t>The liter of this new fuel, made from advanced biofuels, has a price of 1.81 euros per liter.</t>
  </si>
  <si>
    <t>100% renewable gasoline, advanced biofuels</t>
  </si>
  <si>
    <t>gasolina 100% renovable, biocombustibles avanzados</t>
  </si>
  <si>
    <t>Innovation in renewable fuels reinforces Repsol’s commitment to green energy.</t>
  </si>
  <si>
    <t>gasolina renovable, biocombustibles</t>
  </si>
  <si>
    <r>
      <rPr>
        <rFont val="Arial, sans-serif"/>
        <color rgb="FF1155CC"/>
        <sz val="9.0"/>
        <u/>
      </rPr>
      <t>Box Repsol</t>
    </r>
    <r>
      <rPr>
        <rFont val="Arial, sans-serif"/>
        <color rgb="FF1155CC"/>
        <sz val="15.0"/>
        <u/>
      </rPr>
      <t>Resultados de la duodécima etapa del Rally Dakar 2024</t>
    </r>
    <r>
      <rPr>
        <rFont val="Arial, sans-serif"/>
        <color rgb="FF1155CC"/>
        <sz val="11.0"/>
        <u/>
      </rPr>
      <t>Carlos Sainz conquista su cuarto Dakar en Yanbu. El Repsol Toyota Rally Team concluye una nueva edición en la x posición absoluta.</t>
    </r>
    <r>
      <rPr>
        <rFont val="Arial, sans-serif"/>
        <color rgb="FF1155CC"/>
        <sz val="12.0"/>
        <u/>
      </rPr>
      <t>.</t>
    </r>
    <r>
      <rPr>
        <rFont val="Arial, sans-serif"/>
        <color rgb="FF1155CC"/>
        <sz val="11.0"/>
        <u/>
      </rPr>
      <t>19 ene 2024</t>
    </r>
  </si>
  <si>
    <t>Carlos Sainz conquista su cuarto Dakar en Yanbu.</t>
  </si>
  <si>
    <t>Carlos Sainz conquista su cuarto Dakar en Yanbu. El Repsol Toyota Rally Team concluye una nueva edición en la x posición absoluta.</t>
  </si>
  <si>
    <t>Carlos Sainz conquers his fourth Dakar in Yanbu.</t>
  </si>
  <si>
    <t>Carlos Sainz conquers his fourth Dakar in Yanbu. The Repsol Toyota Rally Team concludes a new edition in the absolute x position.</t>
  </si>
  <si>
    <r>
      <rPr>
        <rFont val="Arial, sans-serif"/>
        <color rgb="FF1155CC"/>
        <sz val="9.0"/>
        <u/>
      </rPr>
      <t>Diariomotor</t>
    </r>
    <r>
      <rPr>
        <rFont val="Arial, sans-serif"/>
        <color rgb="FF1155CC"/>
        <sz val="15.0"/>
        <u/>
      </rPr>
      <t>Gasolina y diésel renovables, la alternativa a los e-fuels que ya puedes repostar en España y a mejor precio del esperado</t>
    </r>
    <r>
      <rPr>
        <rFont val="Arial, sans-serif"/>
        <color rgb="FF1155CC"/>
        <sz val="11.0"/>
        <u/>
      </rPr>
      <t>Digan lo que digan, los motores térmicos tienen aún mucho que decir en Europa, y ese futuro además está cada vez más garantizado gracias a los combustibles...</t>
    </r>
    <r>
      <rPr>
        <rFont val="Arial, sans-serif"/>
        <color rgb="FF1155CC"/>
        <sz val="12.0"/>
        <u/>
      </rPr>
      <t>.</t>
    </r>
    <r>
      <rPr>
        <rFont val="Arial, sans-serif"/>
        <color rgb="FF1155CC"/>
        <sz val="11.0"/>
        <u/>
      </rPr>
      <t>19 ene 2024</t>
    </r>
  </si>
  <si>
    <t>Diariomotor</t>
  </si>
  <si>
    <t>Gasolina y diésel renovables, la alternativa a los e-fuels que ya puedes repostar en España y a mejor precio del esperado</t>
  </si>
  <si>
    <t>Gasolina y diésel renovables, la alternativa a los e-fuels que ya puedes repostar en España y a mejor precio del esperado. Digan lo que digan, los motores térmicos tienen aún mucho que decir en Europa, y ese futuro además está cada vez más garantizado gracias a los combustibles....</t>
  </si>
  <si>
    <t>Renewable gasoline and diesel, the alternative to e-fuels that you can now refuel in Spain and at a better price than expected</t>
  </si>
  <si>
    <t>Renewable gasoline and diesel, the alternative to e-fuels that you can now refuel in Spain and at a better price than expected. Whatever they say, thermal engines still have a lot to say in Europe, and that future is also increasingly guaranteed thanks to fuels...</t>
  </si>
  <si>
    <t>renewable gasoline, alternative fuels</t>
  </si>
  <si>
    <t>gasolina renovable, combustibles alternativos</t>
  </si>
  <si>
    <t>Advancing renewable fuel alternatives strengthens Repsol’s role in sustainable energy.</t>
  </si>
  <si>
    <t>combustibles renovables, e-fuels</t>
  </si>
  <si>
    <r>
      <rPr>
        <rFont val="Arial, sans-serif"/>
        <color rgb="FF1155CC"/>
        <sz val="9.0"/>
        <u/>
      </rPr>
      <t>Hispanidad</t>
    </r>
    <r>
      <rPr>
        <rFont val="Arial, sans-serif"/>
        <color rgb="FF1155CC"/>
        <sz val="15.0"/>
        <u/>
      </rPr>
      <t>Iberdrola desata la guerra contra las petroleras Repsol, Cepsa y su socia BP</t>
    </r>
    <r>
      <rPr>
        <rFont val="Arial, sans-serif"/>
        <color rgb="FF1155CC"/>
        <sz val="11.0"/>
        <u/>
      </rPr>
      <t>La eléctrica que dirige el 'verde' Galán pasa al ataque horas después de que Ribera arremetiera contra el CEO de Repsol: señala que el petróleo y los...</t>
    </r>
    <r>
      <rPr>
        <rFont val="Arial, sans-serif"/>
        <color rgb="FF1155CC"/>
        <sz val="12.0"/>
        <u/>
      </rPr>
      <t>.</t>
    </r>
    <r>
      <rPr>
        <rFont val="Arial, sans-serif"/>
        <color rgb="FF1155CC"/>
        <sz val="11.0"/>
        <u/>
      </rPr>
      <t>19 ene 2024</t>
    </r>
  </si>
  <si>
    <t>Hispanidad</t>
  </si>
  <si>
    <t>Iberdrola desata la guerra contra las petroleras Repsol, Cepsa y su socia BP</t>
  </si>
  <si>
    <t>La eléctrica que dirige el 'verde' Galán pasa al ataque horas después de que Ribera arremetiera contra el CEO de Repsol: señala que el petróleo y los....</t>
  </si>
  <si>
    <t>Iberdrola unleashes war against the oil companies Repsol, Cepsa and its partner BP</t>
  </si>
  <si>
    <t>The electricity company run by the 'green' Galán goes on the attack hours after Ribera attacked the CEO of Repsol: he points out that oil and...</t>
  </si>
  <si>
    <t>Energy Competition</t>
  </si>
  <si>
    <t>war against oil companies, Iberdrola challenges</t>
  </si>
  <si>
    <t>Guerra contra las petroleras, Desafíos de Iberdrola</t>
  </si>
  <si>
    <t>Tensions between energy sectors may affect Repsol’s market positioning.</t>
  </si>
  <si>
    <t>guerra, petroleras</t>
  </si>
  <si>
    <t>Negative sentiment due to competitive disputes.</t>
  </si>
  <si>
    <t>Sentimiento negativo debido a disputas competitivas.</t>
  </si>
  <si>
    <r>
      <rPr>
        <rFont val="Arial, sans-serif"/>
        <color rgb="FF1155CC"/>
        <sz val="9.0"/>
        <u/>
      </rPr>
      <t>AutoHebdoSport</t>
    </r>
    <r>
      <rPr>
        <rFont val="Arial, sans-serif"/>
        <color rgb="FF1155CC"/>
        <sz val="15.0"/>
        <u/>
      </rPr>
      <t>Isidre Esteve culmina su Dakar más épico</t>
    </r>
    <r>
      <rPr>
        <rFont val="Arial, sans-serif"/>
        <color rgb="FF1155CC"/>
        <sz val="11.0"/>
        <u/>
      </rPr>
      <t>El piloto ilerdense y su copiloto Txema Villalobos completan su Dakar más competitivo en coches, pero los reveses técnicos no les permiten reflejarlo en la...</t>
    </r>
    <r>
      <rPr>
        <rFont val="Arial, sans-serif"/>
        <color rgb="FF1155CC"/>
        <sz val="12.0"/>
        <u/>
      </rPr>
      <t>.</t>
    </r>
    <r>
      <rPr>
        <rFont val="Arial, sans-serif"/>
        <color rgb="FF1155CC"/>
        <sz val="11.0"/>
        <u/>
      </rPr>
      <t>19 ene 2024</t>
    </r>
  </si>
  <si>
    <t>AutoHebdoSport</t>
  </si>
  <si>
    <t>Isidre Esteve culmina su Dakar más épico</t>
  </si>
  <si>
    <t>El piloto ilerdense y su copiloto Txema Villalobos completan su Dakar más competitivo en coches, pero los reveses técnicos no les permiten reflejarlo en la....</t>
  </si>
  <si>
    <t>Isidre Esteve completes his most epic Dakar</t>
  </si>
  <si>
    <t>The driver from Ilerda and his co-driver Txema Villalobos complete their most competitive Dakar in cars, but technical setbacks do not allow them to reflect it in the....</t>
  </si>
  <si>
    <r>
      <rPr>
        <rFont val="Arial, sans-serif"/>
        <color rgb="FF1155CC"/>
        <sz val="9.0"/>
        <u/>
      </rPr>
      <t>La Razón</t>
    </r>
    <r>
      <rPr>
        <rFont val="Arial, sans-serif"/>
        <color rgb="FF1155CC"/>
        <sz val="15.0"/>
        <u/>
      </rPr>
      <t>Lucas Moraes, Isidre Esteve y Seth Quintero completan el Dakar con el combustible renovable de Repsol</t>
    </r>
    <r>
      <rPr>
        <rFont val="Arial, sans-serif"/>
        <color rgb="FF1155CC"/>
        <sz val="11.0"/>
        <u/>
      </rPr>
      <t>Los tres coches han competido en Arabia con la nueva gasolina con un 70 por ciento origen renovable suministrada por la compañía multienergética.</t>
    </r>
    <r>
      <rPr>
        <rFont val="Arial, sans-serif"/>
        <color rgb="FF1155CC"/>
        <sz val="12.0"/>
        <u/>
      </rPr>
      <t>.</t>
    </r>
    <r>
      <rPr>
        <rFont val="Arial, sans-serif"/>
        <color rgb="FF1155CC"/>
        <sz val="11.0"/>
        <u/>
      </rPr>
      <t>19 ene 2024</t>
    </r>
  </si>
  <si>
    <t>Lucas Moraes, Isidre Esteve y Seth Quintero completan el Dakar con el combustible renovable de Repsol</t>
  </si>
  <si>
    <t>Los tres coches han competido en Arabia con la nueva gasolina con un 70 por ciento origen renovable suministrada por la compañía multienergética.</t>
  </si>
  <si>
    <t>Lucas Moraes, Isidre Esteve and Seth Quintero complete the Dakar with Repsol's renewable fuel</t>
  </si>
  <si>
    <t>The three cars have competed in Arabia with the new gasoline with 70 percent renewable origin supplied by the multi-energy company.</t>
  </si>
  <si>
    <r>
      <rPr>
        <rFont val="Arial, sans-serif"/>
        <color rgb="FF1155CC"/>
        <sz val="9.0"/>
        <u/>
      </rPr>
      <t>Diario de León</t>
    </r>
    <r>
      <rPr>
        <rFont val="Arial, sans-serif"/>
        <color rgb="FF1155CC"/>
        <sz val="15.0"/>
        <u/>
      </rPr>
      <t>La mejor tortilla de patata de España: León Antiguo</t>
    </r>
    <r>
      <rPr>
        <rFont val="Arial, sans-serif"/>
        <color rgb="FF1155CC"/>
        <sz val="11.0"/>
        <u/>
      </rPr>
      <t>La Guía Repsol alaba al emblemático local del Romántico por la receta que Carmen Oblanca heredó de su suegro Tomás Cañón.</t>
    </r>
    <r>
      <rPr>
        <rFont val="Arial, sans-serif"/>
        <color rgb="FF1155CC"/>
        <sz val="12.0"/>
        <u/>
      </rPr>
      <t>.</t>
    </r>
    <r>
      <rPr>
        <rFont val="Arial, sans-serif"/>
        <color rgb="FF1155CC"/>
        <sz val="11.0"/>
        <u/>
      </rPr>
      <t>19 ene 2024</t>
    </r>
  </si>
  <si>
    <t>Diario de León</t>
  </si>
  <si>
    <t>La mejor tortilla de patata de España: León Antiguo</t>
  </si>
  <si>
    <t>La Guía Repsol alaba al emblemático local del Romántico por la receta que Carmen Oblanca heredó de su suegro Tomás Cañón.</t>
  </si>
  <si>
    <t>The best potato omelette in Spain: León Antiguo</t>
  </si>
  <si>
    <t>The Repsol Guide praises the emblematic Romántico restaurant for the recipe that Carmen Oblanca inherited from her father-in-law Tomás Cañón.</t>
  </si>
  <si>
    <r>
      <rPr>
        <rFont val="Arial, sans-serif"/>
        <color rgb="FF1155CC"/>
        <sz val="9.0"/>
        <u/>
      </rPr>
      <t>El Español</t>
    </r>
    <r>
      <rPr>
        <rFont val="Arial, sans-serif"/>
        <color rgb="FF1155CC"/>
        <sz val="15.0"/>
        <u/>
      </rPr>
      <t>¿Dónde se come la mejor tortilla de patatas de Galicia? Esto es lo que dice la Guía Repsol</t>
    </r>
    <r>
      <rPr>
        <rFont val="Arial, sans-serif"/>
        <color rgb="FF1155CC"/>
        <sz val="11.0"/>
        <u/>
      </rPr>
      <t>Una taberna del interior de la comunidad gallega ha sido recomendada por la prestigiosa publicación como el mejor sitio para disfrutar de este manjar.</t>
    </r>
    <r>
      <rPr>
        <rFont val="Arial, sans-serif"/>
        <color rgb="FF1155CC"/>
        <sz val="12.0"/>
        <u/>
      </rPr>
      <t>.</t>
    </r>
    <r>
      <rPr>
        <rFont val="Arial, sans-serif"/>
        <color rgb="FF1155CC"/>
        <sz val="11.0"/>
        <u/>
      </rPr>
      <t>19 ene 2024</t>
    </r>
  </si>
  <si>
    <t>¿Dónde se come la mejor tortilla de patatas de Galicia? Esto es lo que dice la Guía Repsol</t>
  </si>
  <si>
    <t>Una taberna del interior de la comunidad gallega ha sido recomendada por la prestigiosa publicación como el mejor sitio para disfrutar de este manjar.</t>
  </si>
  <si>
    <t>Where do you eat the best potato omelette in Galicia? This is what the Repsol Guide says</t>
  </si>
  <si>
    <t>A tavern in the interior of the Galician community has been recommended by the prestigious publication as the best place to enjoy this delicacy.</t>
  </si>
  <si>
    <r>
      <rPr>
        <rFont val="Arial, sans-serif"/>
        <color rgb="FF1155CC"/>
        <sz val="9.0"/>
        <u/>
      </rPr>
      <t>Leonoticias</t>
    </r>
    <r>
      <rPr>
        <rFont val="Arial, sans-serif"/>
        <color rgb="FF1155CC"/>
        <sz val="15.0"/>
        <u/>
      </rPr>
      <t>«El secreto está en el cariño y la experiencia de 35 años»</t>
    </r>
    <r>
      <rPr>
        <rFont val="Arial, sans-serif"/>
        <color rgb="FF1155CC"/>
        <sz val="11.0"/>
        <u/>
      </rPr>
      <t>Tras abrir sus puertas en 1988, León Antiguo ha sido premiado en la Guía Repsol por elaborar una de las mejores tortillas de patata de España.</t>
    </r>
    <r>
      <rPr>
        <rFont val="Arial, sans-serif"/>
        <color rgb="FF1155CC"/>
        <sz val="12.0"/>
        <u/>
      </rPr>
      <t>.</t>
    </r>
    <r>
      <rPr>
        <rFont val="Arial, sans-serif"/>
        <color rgb="FF1155CC"/>
        <sz val="11.0"/>
        <u/>
      </rPr>
      <t>19 ene 2024</t>
    </r>
  </si>
  <si>
    <t>Leonoticias</t>
  </si>
  <si>
    <t>«El secreto está en el cariño y la experiencia de 35 años»</t>
  </si>
  <si>
    <t>El secreto está en el cariño y la experiencia de 35 años. Tras abrir sus puertas en 1988, León Antiguo ha sido premiado en la Guía Repsol por elaborar una de las mejores tortillas de patata de España.</t>
  </si>
  <si>
    <t>«The secret is in the love and experience of 35 years»</t>
  </si>
  <si>
    <t>The secret is in the love and experience of 35 years. After opening its doors in 1988, León Antiguo has been awarded in the Repsol Guide for making one of the best potato omelettes in Spain.</t>
  </si>
  <si>
    <r>
      <rPr>
        <rFont val="Arial, sans-serif"/>
        <color rgb="FF1155CC"/>
        <sz val="9.0"/>
        <u/>
      </rPr>
      <t>MOTOSAN</t>
    </r>
    <r>
      <rPr>
        <rFont val="Arial, sans-serif"/>
        <color rgb="FF1155CC"/>
        <sz val="15.0"/>
        <u/>
      </rPr>
      <t>Honda busca nuevo piloto para sus test privados de MotoGP</t>
    </r>
    <r>
      <rPr>
        <rFont val="Arial, sans-serif"/>
        <color rgb="FF1155CC"/>
        <sz val="11.0"/>
        <u/>
      </rPr>
      <t>Honda busca un segundo piloto de pruebas y poder sentar las bases para un retorno triunfante. En el año 2023, Repsol Honda se encontró inmerso en una.</t>
    </r>
    <r>
      <rPr>
        <rFont val="Arial, sans-serif"/>
        <color rgb="FF1155CC"/>
        <sz val="12.0"/>
        <u/>
      </rPr>
      <t>.</t>
    </r>
    <r>
      <rPr>
        <rFont val="Arial, sans-serif"/>
        <color rgb="FF1155CC"/>
        <sz val="11.0"/>
        <u/>
      </rPr>
      <t>19 ene 2024</t>
    </r>
  </si>
  <si>
    <t>Honda busca nuevo piloto para sus test privados de MotoGP</t>
  </si>
  <si>
    <t>Honda busca un segundo piloto de pruebas y poder sentar las bases para un retorno triunfante. En el año 2023, Repsol Honda se encontró inmerso en una..</t>
  </si>
  <si>
    <t>Honda is looking for a new rider for its private MotoGP tests</t>
  </si>
  <si>
    <t>Honda is looking for a second test driver to lay the foundations for a triumphant return. In the year 2023, Repsol Honda found itself immersed in a...</t>
  </si>
  <si>
    <r>
      <rPr>
        <rFont val="Arial, sans-serif"/>
        <color rgb="FF1155CC"/>
        <sz val="9.0"/>
        <u/>
      </rPr>
      <t>naiz:</t>
    </r>
    <r>
      <rPr>
        <rFont val="Arial, sans-serif"/>
        <color rgb="FF1155CC"/>
        <sz val="15.0"/>
        <u/>
      </rPr>
      <t>Las polémicas declaraciones de Imaz enfadan al Gobierno español: «Es negacionismo y retardismo»</t>
    </r>
    <r>
      <rPr>
        <rFont val="Arial, sans-serif"/>
        <color rgb="FF1155CC"/>
        <sz val="11.0"/>
        <u/>
      </rPr>
      <t>Hay que abrir la mente porque si no nuestros esfuerzos para descarbonizar van a fracasar y vamos a destruir muchas empresas». As&amp;iacut...</t>
    </r>
    <r>
      <rPr>
        <rFont val="Arial, sans-serif"/>
        <color rgb="FF1155CC"/>
        <sz val="12.0"/>
        <u/>
      </rPr>
      <t>.</t>
    </r>
    <r>
      <rPr>
        <rFont val="Arial, sans-serif"/>
        <color rgb="FF1155CC"/>
        <sz val="11.0"/>
        <u/>
      </rPr>
      <t>19 ene 2024</t>
    </r>
  </si>
  <si>
    <t>naiz</t>
  </si>
  <si>
    <t>Las polémicas declaraciones de Imaz enfadan al Gobierno español: «Es negacionismo y retardismo»</t>
  </si>
  <si>
    <t>Las polémicas declaraciones de Imaz enfadan al Gobierno español: «Es negacionismo y retardismo». Hay que abrir la mente porque si no nuestros esfuerzos para descarbonizar van a fracasar y vamos a destruir muchas empresas».</t>
  </si>
  <si>
    <t>Imaz's controversial statements anger the Spanish Government: "It is denialism and retardation"</t>
  </si>
  <si>
    <t>Imaz's controversial statements anger the Spanish Government: "It is denialism and retardation." We must open our minds because if not our efforts to decarbonize are going to fail and we are going to destroy many companies.</t>
  </si>
  <si>
    <t>controversial statements, government criticism</t>
  </si>
  <si>
    <t>declaraciones polémicas, críticas al gobierno</t>
  </si>
  <si>
    <t>Public disputes with political figures may create regulatory risks for Repsol.</t>
  </si>
  <si>
    <r>
      <rPr>
        <rFont val="Arial, sans-serif"/>
        <color rgb="FF1155CC"/>
        <sz val="9.0"/>
        <u/>
      </rPr>
      <t>Atlántico Hoy</t>
    </r>
    <r>
      <rPr>
        <rFont val="Arial, sans-serif"/>
        <color rgb="FF1155CC"/>
        <sz val="15.0"/>
        <u/>
      </rPr>
      <t>Gran Canaria mostrará su gastronomía en Madrid Fusión con productos nunca vistos</t>
    </r>
    <r>
      <rPr>
        <rFont val="Arial, sans-serif"/>
        <color rgb="FF1155CC"/>
        <sz val="11.0"/>
        <u/>
      </rPr>
      <t>El pulpo, las carnes de vaca canaria y el cordero pelibuey, junto a los quesos, vinos y gofio, entre otros, conformarán la oferta gastronómica de la isla.</t>
    </r>
    <r>
      <rPr>
        <rFont val="Arial, sans-serif"/>
        <color rgb="FF1155CC"/>
        <sz val="12.0"/>
        <u/>
      </rPr>
      <t>.</t>
    </r>
    <r>
      <rPr>
        <rFont val="Arial, sans-serif"/>
        <color rgb="FF1155CC"/>
        <sz val="11.0"/>
        <u/>
      </rPr>
      <t>19 ene 2024</t>
    </r>
  </si>
  <si>
    <t>Atlántico Hoy</t>
  </si>
  <si>
    <t>Gran Canaria mostrará su gastronomía en Madrid Fusión con productos nunca vistos</t>
  </si>
  <si>
    <t>El pulpo, las carnes de vaca canaria y el cordero pelibuey, junto a los quesos, vinos y gofio, entre otros, conformarán la oferta gastronómica de la isla.</t>
  </si>
  <si>
    <t>Gran Canaria will show its gastronomy in Madrid Fusion with products never seen before</t>
  </si>
  <si>
    <t>Octopus, Canarian beef and Pelibuey lamb, along with cheeses, wines and gofio, among others, will make up the island's gastronomic offer.</t>
  </si>
  <si>
    <r>
      <rPr>
        <rFont val="Arial, sans-serif"/>
        <color rgb="FF1155CC"/>
        <sz val="9.0"/>
        <u/>
      </rPr>
      <t>El Economista</t>
    </r>
    <r>
      <rPr>
        <rFont val="Arial, sans-serif"/>
        <color rgb="FF1155CC"/>
        <sz val="15.0"/>
        <u/>
      </rPr>
      <t>Así será la meteórica subida de sueldos en la industria química este año</t>
    </r>
    <r>
      <rPr>
        <rFont val="Arial, sans-serif"/>
        <color rgb="FF1155CC"/>
        <sz val="11.0"/>
        <u/>
      </rPr>
      <t>La industria química, en la que figuran grandes empresas como Repsol, Cepsa, Basf, entre otras, se preparan para un fuerte incremento de ...</t>
    </r>
    <r>
      <rPr>
        <rFont val="Arial, sans-serif"/>
        <color rgb="FF1155CC"/>
        <sz val="12.0"/>
        <u/>
      </rPr>
      <t>.</t>
    </r>
    <r>
      <rPr>
        <rFont val="Arial, sans-serif"/>
        <color rgb="FF1155CC"/>
        <sz val="11.0"/>
        <u/>
      </rPr>
      <t>19 ene 2024</t>
    </r>
  </si>
  <si>
    <t>Así será la meteórica subida de sueldos en la industria química este año</t>
  </si>
  <si>
    <t>La industria química, en la que figuran grandes empresas como Repsol, Cepsa, Basf, entre otras, se preparan para un fuerte incremento de ....</t>
  </si>
  <si>
    <t>This will be the meteoric rise in salaries in the chemical industry this year</t>
  </si>
  <si>
    <t>The chemical industry, which includes large companies such as Repsol, Cepsa, Basf, among others, is preparing for a strong increase in...</t>
  </si>
  <si>
    <t>Industry</t>
  </si>
  <si>
    <r>
      <rPr>
        <rFont val="Arial, sans-serif"/>
        <color rgb="FF1155CC"/>
        <sz val="9.0"/>
        <u/>
      </rPr>
      <t>El Progreso de Lugo</t>
    </r>
    <r>
      <rPr>
        <rFont val="Arial, sans-serif"/>
        <color rgb="FF1155CC"/>
        <sz val="15.0"/>
        <u/>
      </rPr>
      <t>La mejor tortilla de patatas de Galicia se hace en Lugo</t>
    </r>
    <r>
      <rPr>
        <rFont val="Arial, sans-serif"/>
        <color rgb="FF1155CC"/>
        <sz val="11.0"/>
        <u/>
      </rPr>
      <t>La Guía Repsol elige el plato elaborado por la emblemática Taberna Daniel, que ya fue distinguida con un solete en diciembre, como el más selecto de la co.</t>
    </r>
    <r>
      <rPr>
        <rFont val="Arial, sans-serif"/>
        <color rgb="FF1155CC"/>
        <sz val="12.0"/>
        <u/>
      </rPr>
      <t>.</t>
    </r>
    <r>
      <rPr>
        <rFont val="Arial, sans-serif"/>
        <color rgb="FF1155CC"/>
        <sz val="11.0"/>
        <u/>
      </rPr>
      <t>19 ene 2024</t>
    </r>
  </si>
  <si>
    <t>El Progreso de Lugo</t>
  </si>
  <si>
    <t>La mejor tortilla de patatas de Galicia se hace en Lugo</t>
  </si>
  <si>
    <t>La Guía Repsol elige el plato elaborado por la emblemática Taberna Daniel, que ya fue distinguida con un solete en diciembre, como el más selecto de la co..</t>
  </si>
  <si>
    <t>The best potato omelette in Galicia is made in Lugo</t>
  </si>
  <si>
    <t>The Repsol Guide chooses the dish made by the emblematic Taberna Daniel, which was already distinguished with a solete in December, as the most select in the co...</t>
  </si>
  <si>
    <r>
      <rPr>
        <rFont val="Arial, sans-serif"/>
        <color rgb="FF1155CC"/>
        <sz val="9.0"/>
        <u/>
      </rPr>
      <t>Revista Caretas</t>
    </r>
    <r>
      <rPr>
        <rFont val="Arial, sans-serif"/>
        <color rgb="FF1155CC"/>
        <sz val="15.0"/>
        <u/>
      </rPr>
      <t>Repsol: Ganancia de pecadores</t>
    </r>
    <r>
      <rPr>
        <rFont val="Arial, sans-serif"/>
        <color rgb="FF1155CC"/>
        <sz val="11.0"/>
        <u/>
      </rPr>
      <t>Se acaban de cumplir dos años desde que ocurrió en Ventanilla el derrame de 12 mil barriles de petróleo de Repsol. Lo que fue un hecho condenable,...</t>
    </r>
    <r>
      <rPr>
        <rFont val="Arial, sans-serif"/>
        <color rgb="FF1155CC"/>
        <sz val="12.0"/>
        <u/>
      </rPr>
      <t>.</t>
    </r>
    <r>
      <rPr>
        <rFont val="Arial, sans-serif"/>
        <color rgb="FF1155CC"/>
        <sz val="11.0"/>
        <u/>
      </rPr>
      <t>19 ene 2024</t>
    </r>
  </si>
  <si>
    <t>Revista Caretas</t>
  </si>
  <si>
    <t>Repsol: Ganancia de pecadores</t>
  </si>
  <si>
    <t>Se acaban de cumplir dos años desde que ocurrió en Ventanilla el derrame de 12 mil barriles de petróleo de Repsol. Lo que fue un hecho condenable,....</t>
  </si>
  <si>
    <t>Repsol: Sinners gain</t>
  </si>
  <si>
    <t>Two years have just passed since the spill of 12 thousand barrels of Repsol oil occurred in Ventanilla. What was a reprehensible act...</t>
  </si>
  <si>
    <t>oil spill, sinners gain</t>
  </si>
  <si>
    <t>derrame de petróleo, los pecadores ganan</t>
  </si>
  <si>
    <t>Negative framing of the spill reinforces Repsol’s environmental reputation challenges.</t>
  </si>
  <si>
    <t>derrame de petróleo, ganancia de pecadores</t>
  </si>
  <si>
    <t>Negative sentiment due to environmental damage and unresolved issues.</t>
  </si>
  <si>
    <t>Sentimiento negativo debido a daños ambientales y problemas no resueltos.</t>
  </si>
  <si>
    <r>
      <rPr>
        <rFont val="Arial, sans-serif"/>
        <color rgb="FF1155CC"/>
        <sz val="9.0"/>
        <u/>
      </rPr>
      <t>Gestión</t>
    </r>
    <r>
      <rPr>
        <rFont val="Arial, sans-serif"/>
        <color rgb="FF1155CC"/>
        <sz val="15.0"/>
        <u/>
      </rPr>
      <t>Repsol sobre demanda en Países Bajos: “No hemos sido notificados formalmente”</t>
    </r>
    <r>
      <rPr>
        <rFont val="Arial, sans-serif"/>
        <color rgb="FF1155CC"/>
        <sz val="11.0"/>
        <u/>
      </rPr>
      <t>Repsol informó que “no ha sido notificada formalmente por ninguna autoridad” sobre la demanda interpuesta en su contra la ONG Stichting Environment and...</t>
    </r>
    <r>
      <rPr>
        <rFont val="Arial, sans-serif"/>
        <color rgb="FF1155CC"/>
        <sz val="12.0"/>
        <u/>
      </rPr>
      <t>.</t>
    </r>
    <r>
      <rPr>
        <rFont val="Arial, sans-serif"/>
        <color rgb="FF1155CC"/>
        <sz val="11.0"/>
        <u/>
      </rPr>
      <t>19 ene 2024</t>
    </r>
  </si>
  <si>
    <t>Repsol sobre demanda en Países Bajos: “No hemos sido notificados formalmente”</t>
  </si>
  <si>
    <t>Repsol informó que “no ha sido notificada formalmente por ninguna autoridad” sobre la demanda interpuesta en su contra la ONG Stichting Environment and....</t>
  </si>
  <si>
    <t>Repsol on lawsuit in the Netherlands: “We have not been formally notified”</t>
  </si>
  <si>
    <t>Repsol reported that “it has not been formally notified by any authority” about the lawsuit filed against it by the NGO Stichting Environment and....</t>
  </si>
  <si>
    <t>lawsuit, Netherlands</t>
  </si>
  <si>
    <t>demanda, Países Bajos</t>
  </si>
  <si>
    <t>Lawsuits related to environmental damage pose financial and reputational risks for Repsol.</t>
  </si>
  <si>
    <r>
      <rPr>
        <rFont val="Arial, sans-serif"/>
        <color rgb="FF1155CC"/>
        <sz val="9.0"/>
        <u/>
      </rPr>
      <t>Diariomotor</t>
    </r>
    <r>
      <rPr>
        <rFont val="Arial, sans-serif"/>
        <color rgb="FF1155CC"/>
        <sz val="15.0"/>
        <u/>
      </rPr>
      <t>Qué coches pueden usar la nueva gasolina renovable que ya se puede repostar en España</t>
    </r>
    <r>
      <rPr>
        <rFont val="Arial, sans-serif"/>
        <color rgb="FF1155CC"/>
        <sz val="11.0"/>
        <u/>
      </rPr>
      <t>Por si aún no te has enterado, repostar gasolina y diésel 100% renovable ya es posible en España, un nuevo tipo de combustible que ha comenzado.</t>
    </r>
    <r>
      <rPr>
        <rFont val="Arial, sans-serif"/>
        <color rgb="FF1155CC"/>
        <sz val="12.0"/>
        <u/>
      </rPr>
      <t>.</t>
    </r>
    <r>
      <rPr>
        <rFont val="Arial, sans-serif"/>
        <color rgb="FF1155CC"/>
        <sz val="11.0"/>
        <u/>
      </rPr>
      <t>20 ene 2024</t>
    </r>
  </si>
  <si>
    <t>¿Qué coches pueden usar la nueva gasolina renovable que ya se puede repostar en España?</t>
  </si>
  <si>
    <t>Por si aún no te has enterado, repostar gasolina y diésel 100% renovable ya es posible en España, un nuevo tipo de combustible que ha comenzado..</t>
  </si>
  <si>
    <t>What cars can use the new renewable gasoline that can now be refueled in Spain?</t>
  </si>
  <si>
    <t>In case you haven't heard yet, refueling 100% renewable gasoline and diesel is now possible in Spain, a new type of fuel that has begun...</t>
  </si>
  <si>
    <t>renewable gasoline, Repsol launch</t>
  </si>
  <si>
    <t>gasolina renovable, lanzamiento de Repsol</t>
  </si>
  <si>
    <t>Expanding renewable fuel options enhances Repsol’s leadership in sustainable energy.</t>
  </si>
  <si>
    <t>gasolina renovable, repostar</t>
  </si>
  <si>
    <r>
      <rPr>
        <rFont val="Arial, sans-serif"/>
        <color rgb="FF1155CC"/>
        <sz val="9.0"/>
        <u/>
      </rPr>
      <t>El Progreso de Lugo</t>
    </r>
    <r>
      <rPr>
        <rFont val="Arial, sans-serif"/>
        <color rgb="FF1155CC"/>
        <sz val="15.0"/>
        <u/>
      </rPr>
      <t>Una empresa se hace con la agencia de butano de seis localidades de la provincia de Lugo</t>
    </r>
    <r>
      <rPr>
        <rFont val="Arial, sans-serif"/>
        <color rgb="FF1155CC"/>
        <sz val="11.0"/>
        <u/>
      </rPr>
      <t>Combustibles Lucenses asume ahora el reparto para Repsol en Becerreá, Castroverde, A Fonsagrada, A Pobra de San Xiao, Quiroga y Sarria.</t>
    </r>
    <r>
      <rPr>
        <rFont val="Arial, sans-serif"/>
        <color rgb="FF1155CC"/>
        <sz val="12.0"/>
        <u/>
      </rPr>
      <t>.</t>
    </r>
    <r>
      <rPr>
        <rFont val="Arial, sans-serif"/>
        <color rgb="FF1155CC"/>
        <sz val="11.0"/>
        <u/>
      </rPr>
      <t>20 ene 2024</t>
    </r>
  </si>
  <si>
    <t>Una empresa se hace con la agencia de butano de seis localidades de la provincia de Lugo</t>
  </si>
  <si>
    <t>Combustibles Lucenses asume ahora el reparto para Repsol en Becerreá, Castroverde, A Fonsagrada, A Pobra de San Xiao, Quiroga y Sarria.</t>
  </si>
  <si>
    <t>A company takes over the butane agency of six locations in the province of Lugo</t>
  </si>
  <si>
    <t>Combustibles Lucenses now assumes the distribution for Repsol in Becerreá, Castroverde, A Fonsagrada, A Pobra de San Xiao, Quiroga and Sarria.</t>
  </si>
  <si>
    <t>Business Operations</t>
  </si>
  <si>
    <r>
      <rPr>
        <rFont val="Arial, sans-serif"/>
        <color rgb="FF1155CC"/>
        <sz val="9.0"/>
        <u/>
      </rPr>
      <t>DAZN</t>
    </r>
    <r>
      <rPr>
        <rFont val="Arial, sans-serif"/>
        <color rgb="FF1155CC"/>
        <sz val="15.0"/>
        <u/>
      </rPr>
      <t>Marc y Álex Márquez: hermanos, pilotos y compañeros de vida que MotoGP vuelve a reunir en Gresini Racing</t>
    </r>
    <r>
      <rPr>
        <rFont val="Arial, sans-serif"/>
        <color rgb="FF1155CC"/>
        <sz val="11.0"/>
        <u/>
      </rPr>
      <t>Marc Márquez se marcha del Repsol Honda rumbo a Gresini Racing. En DAZN te contamos todos los detalles del fichaje del octacampeón por el equipo italiano.</t>
    </r>
    <r>
      <rPr>
        <rFont val="Arial, sans-serif"/>
        <color rgb="FF1155CC"/>
        <sz val="12.0"/>
        <u/>
      </rPr>
      <t>.</t>
    </r>
    <r>
      <rPr>
        <rFont val="Arial, sans-serif"/>
        <color rgb="FF1155CC"/>
        <sz val="11.0"/>
        <u/>
      </rPr>
      <t>20 ene 2024</t>
    </r>
  </si>
  <si>
    <t>DAZN</t>
  </si>
  <si>
    <t>Marc y Álex Márquez: hermanos, pilotos y compañeros de vida que MotoGP vuelve a reunir en Gresini Racing</t>
  </si>
  <si>
    <t>Marc Márquez se marcha del Repsol Honda rumbo a Gresini Racing. En DAZN te contamos todos los detalles del fichaje del octacampeón por el equipo italiano.</t>
  </si>
  <si>
    <t>Marc and Álex Márquez: brothers, riders and life partners that MotoGP reunites again in Gresini Racing</t>
  </si>
  <si>
    <t>Marc Márquez leaves Repsol Honda for Gresini Racing. At DAZN we tell you all the details of the eight-time champion's signing for the Italian team.</t>
  </si>
  <si>
    <r>
      <rPr>
        <rFont val="Arial, sans-serif"/>
        <color rgb="FF1155CC"/>
        <sz val="9.0"/>
        <u/>
      </rPr>
      <t>LaSexta</t>
    </r>
    <r>
      <rPr>
        <rFont val="Arial, sans-serif"/>
        <color rgb="FF1155CC"/>
        <sz val="15.0"/>
        <u/>
      </rPr>
      <t>La mejor gasolina del mercado según la OCU</t>
    </r>
    <r>
      <rPr>
        <rFont val="Arial, sans-serif"/>
        <color rgb="FF1155CC"/>
        <sz val="11.0"/>
        <u/>
      </rPr>
      <t>Repostar en gasolineras de bajo es bueno para nuestro bolsillo, pero es normal que te preguntes si también lo es para tu coche. ¿Qué combustible es mejor a...</t>
    </r>
    <r>
      <rPr>
        <rFont val="Arial, sans-serif"/>
        <color rgb="FF1155CC"/>
        <sz val="12.0"/>
        <u/>
      </rPr>
      <t>.</t>
    </r>
    <r>
      <rPr>
        <rFont val="Arial, sans-serif"/>
        <color rgb="FF1155CC"/>
        <sz val="11.0"/>
        <u/>
      </rPr>
      <t>20 ene 2024</t>
    </r>
  </si>
  <si>
    <t>La mejor gasolina del mercado según la OCU</t>
  </si>
  <si>
    <t>Repostar en gasolineras de bajo es bueno para nuestro bolsillo, pero es normal que te preguntes si también lo es para tu coche. ¿Qué combustible es mejor a....</t>
  </si>
  <si>
    <t>The best gasoline on the market according to the OCU</t>
  </si>
  <si>
    <t>Refueling at low-cost gas stations is good for our pocket, but it is normal for you to wonder if it is also good for your car. What fuel is better to...</t>
  </si>
  <si>
    <r>
      <rPr>
        <rFont val="Arial, sans-serif"/>
        <color rgb="FF1155CC"/>
        <sz val="9.0"/>
        <u/>
      </rPr>
      <t>Radio Studio 88</t>
    </r>
    <r>
      <rPr>
        <rFont val="Arial, sans-serif"/>
        <color rgb="FF1155CC"/>
        <sz val="15.0"/>
        <u/>
      </rPr>
      <t>El Solete de Cafetería Kuman y el premio para la bartender Laura Merino en La Recocina</t>
    </r>
    <r>
      <rPr>
        <rFont val="Arial, sans-serif"/>
        <color rgb="FF1155CC"/>
        <sz val="11.0"/>
        <u/>
      </rPr>
      <t>Esta semana hacemos un programa muy torrelaveguense y muy de premios. Y comenzamos charlando con Luis Rodríguez, de Cafeterí.</t>
    </r>
    <r>
      <rPr>
        <rFont val="Arial, sans-serif"/>
        <color rgb="FF1155CC"/>
        <sz val="12.0"/>
        <u/>
      </rPr>
      <t>.</t>
    </r>
    <r>
      <rPr>
        <rFont val="Arial, sans-serif"/>
        <color rgb="FF1155CC"/>
        <sz val="11.0"/>
        <u/>
      </rPr>
      <t>20 ene 2024</t>
    </r>
  </si>
  <si>
    <t>Radio Studio 88</t>
  </si>
  <si>
    <t>El Solete de Cafetería Kuman y el premio para la bartender Laura Merino en La Recocina</t>
  </si>
  <si>
    <t>El Solete de Cafetería Kuman y el premio para la bartender Laura Merino en La Recocina. Esta semana hacemos un programa muy torrelaveguense y muy de premios. Y comenzamos charlando con Luis Rodríguez, de Cafetería.</t>
  </si>
  <si>
    <t>The Solete from Cafetería Kuman and the award for bartender Laura Merino at La Recocina</t>
  </si>
  <si>
    <t>The Solete from Cafetería Kuman and the award for bartender Laura Merino at La Recocina. This week we are doing a very Torrelaveguense program with lots of awards. And we started chatting with Luis Rodríguez, from Cafeteria.</t>
  </si>
  <si>
    <r>
      <rPr>
        <rFont val="Arial, sans-serif"/>
        <color rgb="FF1155CC"/>
        <sz val="9.0"/>
        <u/>
      </rPr>
      <t>El Español</t>
    </r>
    <r>
      <rPr>
        <rFont val="Arial, sans-serif"/>
        <color rgb="FF1155CC"/>
        <sz val="15.0"/>
        <u/>
      </rPr>
      <t>Estos son los planes para 2024 del chef más deseado en Alicante y el restaurante de la isla artificial</t>
    </r>
    <r>
      <rPr>
        <rFont val="Arial, sans-serif"/>
        <color rgb="FF1155CC"/>
        <sz val="11.0"/>
        <u/>
      </rPr>
      <t>Pablo Montoro repasa uno de sus mejores años con premio revelación, Sol Repsol y la alianza para abrir Puntapiedra y Samoa.</t>
    </r>
    <r>
      <rPr>
        <rFont val="Arial, sans-serif"/>
        <color rgb="FF1155CC"/>
        <sz val="12.0"/>
        <u/>
      </rPr>
      <t>.</t>
    </r>
    <r>
      <rPr>
        <rFont val="Arial, sans-serif"/>
        <color rgb="FF1155CC"/>
        <sz val="11.0"/>
        <u/>
      </rPr>
      <t>20 ene 2024</t>
    </r>
  </si>
  <si>
    <t>Estos son los planes para 2024 del chef más deseado en Alicante y el restaurante de la isla artificial</t>
  </si>
  <si>
    <t>Pablo Montoro repasa uno de sus mejores años con premio revelación, Sol Repsol y la alianza para abrir Puntapiedra y Samoa.</t>
  </si>
  <si>
    <t>These are the plans for 2024 of the most desired chef in Alicante and the restaurant on the artificial island</t>
  </si>
  <si>
    <t>Pablo Montoro reviews one of his best years with a revelation award, Sol Repsol and the alliance to open Puntapiedra and Samoa.</t>
  </si>
  <si>
    <r>
      <rPr>
        <rFont val="Arial, sans-serif"/>
        <color rgb="FF1155CC"/>
        <sz val="9.0"/>
        <u/>
      </rPr>
      <t>MOTOSAN</t>
    </r>
    <r>
      <rPr>
        <rFont val="Arial, sans-serif"/>
        <color rgb="FF1155CC"/>
        <sz val="15.0"/>
        <u/>
      </rPr>
      <t>Marc Márquez: "Mis objetivos son Bagnaia y Martín, tengo que aprender mucho de ellos"</t>
    </r>
    <r>
      <rPr>
        <rFont val="Arial, sans-serif"/>
        <color rgb="FF1155CC"/>
        <sz val="11.0"/>
        <u/>
      </rPr>
      <t>La felicidad se le nota en la cara a Marc Márquez, sobre todo al poder desvelar cómo es su bestia para 2024. Sonriente aparecía el piloto de Cervera al.</t>
    </r>
    <r>
      <rPr>
        <rFont val="Arial, sans-serif"/>
        <color rgb="FF1155CC"/>
        <sz val="12.0"/>
        <u/>
      </rPr>
      <t>.</t>
    </r>
    <r>
      <rPr>
        <rFont val="Arial, sans-serif"/>
        <color rgb="FF1155CC"/>
        <sz val="11.0"/>
        <u/>
      </rPr>
      <t>20 ene 2024</t>
    </r>
  </si>
  <si>
    <t>Marc Márquez: "Mis objetivos son Bagnaia y Martín, tengo que aprender mucho de ellos"</t>
  </si>
  <si>
    <t>La felicidad se le nota en la cara a Marc Márquez, sobre todo al poder desvelar cómo es su bestia para 2024. Sonriente aparecía el piloto de Cervera al..</t>
  </si>
  <si>
    <t>Marc Márquez: "My objectives are Bagnaia and Martín, I have to learn a lot from them"</t>
  </si>
  <si>
    <t>The happiness can be seen on Marc Márquez's face, especially when he is able to reveal what his beast is like for 2024. The Cervera driver appeared smiling at the...</t>
  </si>
  <si>
    <r>
      <rPr>
        <rFont val="Arial, sans-serif"/>
        <color rgb="FF1155CC"/>
        <sz val="9.0"/>
        <u/>
      </rPr>
      <t>Infobae</t>
    </r>
    <r>
      <rPr>
        <rFont val="Arial, sans-serif"/>
        <color rgb="FF1155CC"/>
        <sz val="15.0"/>
        <u/>
      </rPr>
      <t>Derrame de petróleo en Ventanilla: No existen planes de rehabilitación por desastre en La Pampilla, alerta Comisión del Congreso</t>
    </r>
    <r>
      <rPr>
        <rFont val="Arial, sans-serif"/>
        <color rgb="FF1155CC"/>
        <sz val="11.0"/>
        <u/>
      </rPr>
      <t>Tras dos años del accidente provocado por Repsol, aun existen decenas de zonas marinas y de conservación afectadas. Asimismo, 25 playas de la costa peruana...</t>
    </r>
    <r>
      <rPr>
        <rFont val="Arial, sans-serif"/>
        <color rgb="FF1155CC"/>
        <sz val="12.0"/>
        <u/>
      </rPr>
      <t>.</t>
    </r>
    <r>
      <rPr>
        <rFont val="Arial, sans-serif"/>
        <color rgb="FF1155CC"/>
        <sz val="11.0"/>
        <u/>
      </rPr>
      <t>20 ene 2024</t>
    </r>
  </si>
  <si>
    <t>Derrame de petróleo en Ventanilla: No existen planes de rehabilitación por desastre en La Pampilla, alerta Comisión del Congreso</t>
  </si>
  <si>
    <t>Tras dos años del accidente provocado por Repsol, aun existen decenas de zonas marinas y de conservación afectadas. Asimismo, 25 playas de la costa peruana....</t>
  </si>
  <si>
    <t>Oil spill in Ventanilla: There are no disaster rehabilitation plans in La Pampilla, alert Congressional Commission</t>
  </si>
  <si>
    <t>Two years after the accident caused by Repsol, there are still dozens of marine and conservation areas affected. Likewise, 25 beaches on the Peruvian coast....</t>
  </si>
  <si>
    <t>oil spill, no disaster risk plan</t>
  </si>
  <si>
    <t>derrame de petróleo, sin plan de riesgo de desastres</t>
  </si>
  <si>
    <t>Lack of disaster management planning prolongs negative sentiment regarding Repsol’s response.</t>
  </si>
  <si>
    <t>derrame de petróleo, rehabilitación</t>
  </si>
  <si>
    <r>
      <rPr>
        <rFont val="Arial, sans-serif"/>
        <color rgb="FF1155CC"/>
        <sz val="9.0"/>
        <u/>
      </rPr>
      <t>DAZN</t>
    </r>
    <r>
      <rPr>
        <rFont val="Arial, sans-serif"/>
        <color rgb="FF1155CC"/>
        <sz val="15.0"/>
        <u/>
      </rPr>
      <t>Fichaje Marc Márquez por Ducati en Gresini Racing: contrato, años de duración, cuánto cobra, salario y por qué se va de Honda</t>
    </r>
    <r>
      <rPr>
        <rFont val="Arial, sans-serif"/>
        <color rgb="FF1155CC"/>
        <sz val="11.0"/>
        <u/>
      </rPr>
      <t>Marc Márquez se marcha del Repsol Honda rumbo a Gresini Racing en el Mundial de MotoGP. En DAZN te contamos todos los detalles del fichaje del piloto...</t>
    </r>
    <r>
      <rPr>
        <rFont val="Arial, sans-serif"/>
        <color rgb="FF1155CC"/>
        <sz val="12.0"/>
        <u/>
      </rPr>
      <t>.</t>
    </r>
    <r>
      <rPr>
        <rFont val="Arial, sans-serif"/>
        <color rgb="FF1155CC"/>
        <sz val="11.0"/>
        <u/>
      </rPr>
      <t>20 ene 2024</t>
    </r>
  </si>
  <si>
    <t>Fichaje Marc Márquez por Ducati en Gresini Racing: contrato, años de duración, cuánto cobra, salario y por qué se va de Honda</t>
  </si>
  <si>
    <t>Marc Márquez se marcha del Repsol Honda rumbo a Gresini Racing en el Mundial de MotoGP. En DAZN te contamos todos los detalles del fichaje del piloto.</t>
  </si>
  <si>
    <t>Marc Márquez signing for Ducati in Gresini Racing: contract, years of duration, how much he earns, salary and why he is leaving Honda</t>
  </si>
  <si>
    <t>Marc Márquez leaves Repsol Honda heading to Gresini Racing in the MotoGP World Championship. At DAZN we tell you all the details of the pilot's signing.</t>
  </si>
  <si>
    <r>
      <rPr>
        <rFont val="Arial, sans-serif"/>
        <color rgb="FF1155CC"/>
        <sz val="9.0"/>
        <u/>
      </rPr>
      <t>La República</t>
    </r>
    <r>
      <rPr>
        <rFont val="Arial, sans-serif"/>
        <color rgb="FF1155CC"/>
        <sz val="15.0"/>
        <u/>
      </rPr>
      <t>Pedro Chira: “La salida de Petroperú no favorece a los peruanos, sino a nuestros competidores”</t>
    </r>
    <r>
      <rPr>
        <rFont val="Arial, sans-serif"/>
        <color rgb="FF1155CC"/>
        <sz val="11.0"/>
        <u/>
      </rPr>
      <t>El presidente del directorio de Petroperú habla sobre la situación en la que se encuentra la petrolera frente a su principal competidor, Repsol.</t>
    </r>
    <r>
      <rPr>
        <rFont val="Arial, sans-serif"/>
        <color rgb="FF1155CC"/>
        <sz val="12.0"/>
        <u/>
      </rPr>
      <t>.</t>
    </r>
    <r>
      <rPr>
        <rFont val="Arial, sans-serif"/>
        <color rgb="FF1155CC"/>
        <sz val="11.0"/>
        <u/>
      </rPr>
      <t>20 ene 2024</t>
    </r>
  </si>
  <si>
    <t>Pedro Chira: “La salida de Petroperú no favorece a los peruanos, sino a nuestros competidores”</t>
  </si>
  <si>
    <t>El presidente del directorio de Petroperú habla sobre la situación en la que se encuentra la petrolera frente a su principal competidor, Repsol.</t>
  </si>
  <si>
    <t>Pedro Chira: “The departure of Petroperú does not benefit Peruvians, but rather our competitors”</t>
  </si>
  <si>
    <t>The president of the board of directors of Petroperú talks about the situation in which the oil company finds itself compared to its main competitor, Repsol.</t>
  </si>
  <si>
    <r>
      <rPr>
        <rFont val="Arial, sans-serif"/>
        <color rgb="FF1155CC"/>
        <sz val="9.0"/>
        <u/>
      </rPr>
      <t>lavozdelsur.es</t>
    </r>
    <r>
      <rPr>
        <rFont val="Arial, sans-serif"/>
        <color rgb="FF1155CC"/>
        <sz val="15.0"/>
        <u/>
      </rPr>
      <t>Repsol rodea a Torrecera de un mar de espejos: "No ha creado el trabajo que esperábamos"</t>
    </r>
    <r>
      <rPr>
        <rFont val="Arial, sans-serif"/>
        <color rgb="FF1155CC"/>
        <sz val="11.0"/>
        <u/>
      </rPr>
      <t>Repsol impulsa 'Sigma', un proyecto solar con capacidad para 204 MW, que durante su construcción ha generado unos 500 empleos, aunque en la ELA de Jerez...</t>
    </r>
    <r>
      <rPr>
        <rFont val="Arial, sans-serif"/>
        <color rgb="FF1155CC"/>
        <sz val="12.0"/>
        <u/>
      </rPr>
      <t>.</t>
    </r>
    <r>
      <rPr>
        <rFont val="Arial, sans-serif"/>
        <color rgb="FF1155CC"/>
        <sz val="11.0"/>
        <u/>
      </rPr>
      <t>21 ene 2024</t>
    </r>
  </si>
  <si>
    <t>lavozdelsur.es</t>
  </si>
  <si>
    <t>Repsol rodea a Torrecera de un mar de espejos: "No ha creado el trabajo que esperábamos"</t>
  </si>
  <si>
    <t>Repsol impulsa 'Sigma', un proyecto solar con capacidad para 204 MW, que durante su construcción ha generado unos 500 empleos, aunque en la ELA de Jerez....</t>
  </si>
  <si>
    <t>Repsol surrounds Torrecera with a sea of ​​mirrors: "It has not created the work we expected"</t>
  </si>
  <si>
    <t>Repsol is promoting 'Sigma', a solar project with a capacity for 204 MW, which during its construction has generated about 500 jobs, although in the ELA of Jerez....</t>
  </si>
  <si>
    <t>solar project, Sigma</t>
  </si>
  <si>
    <t>proyecto solar, Sigma</t>
  </si>
  <si>
    <t>Investing in large-scale solar energy enhances Repsol’s green energy strategy.</t>
  </si>
  <si>
    <t>proyecto solar, empleos</t>
  </si>
  <si>
    <r>
      <rPr>
        <rFont val="Arial, sans-serif"/>
        <color rgb="FF1155CC"/>
        <sz val="9.0"/>
        <u/>
      </rPr>
      <t>El Correo</t>
    </r>
    <r>
      <rPr>
        <rFont val="Arial, sans-serif"/>
        <color rgb="FF1155CC"/>
        <sz val="15.0"/>
        <u/>
      </rPr>
      <t>Llegan a España las primeras gasolineras con combustibles renovables</t>
    </r>
    <r>
      <rPr>
        <rFont val="Arial, sans-serif"/>
        <color rgb="FF1155CC"/>
        <sz val="11.0"/>
        <u/>
      </rPr>
      <t>Repsol pone en marcha un nuevo proyecto piloto en tres estaciones de servicio de Madrid con el que pretende ampliar su gama de productos renovables.</t>
    </r>
    <r>
      <rPr>
        <rFont val="Arial, sans-serif"/>
        <color rgb="FF1155CC"/>
        <sz val="12.0"/>
        <u/>
      </rPr>
      <t>.</t>
    </r>
    <r>
      <rPr>
        <rFont val="Arial, sans-serif"/>
        <color rgb="FF1155CC"/>
        <sz val="11.0"/>
        <u/>
      </rPr>
      <t>21 ene 2024</t>
    </r>
  </si>
  <si>
    <t>Llegan a España las primeras gasolineras con combustibles renovables</t>
  </si>
  <si>
    <t>Repsol pone en marcha un nuevo proyecto piloto en tres estaciones de servicio de Madrid con el que pretende ampliar su gama de productos renovables.</t>
  </si>
  <si>
    <t>The first gas stations with renewable fuels arrive in Spain</t>
  </si>
  <si>
    <t>Repsol is launching a new pilot project in three service stations in Madrid with which it aims to expand its range of renewable products.</t>
  </si>
  <si>
    <t>renewable fuels, pilot project</t>
  </si>
  <si>
    <t>combustibles renovables, proyecto piloto</t>
  </si>
  <si>
    <t>Expanding renewable fuel infrastructure strengthens Repsol’s sustainability strategy.</t>
  </si>
  <si>
    <r>
      <rPr>
        <rFont val="Arial, sans-serif"/>
        <color rgb="FF1155CC"/>
        <sz val="9.0"/>
        <u/>
      </rPr>
      <t>heraldo.es</t>
    </r>
    <r>
      <rPr>
        <rFont val="Arial, sans-serif"/>
        <color rgb="FF1155CC"/>
        <sz val="15.0"/>
        <u/>
      </rPr>
      <t>Marc Márquez ya luce sus nuevos colores: 'Un niño con zapatos nuevos'</t>
    </r>
    <r>
      <rPr>
        <rFont val="Arial, sans-serif"/>
        <color rgb="FF1155CC"/>
        <sz val="11.0"/>
        <u/>
      </rPr>
      <t>El equipo Gresini Racing, donde el ocho veces campeón del mundo coincidirá con su hermano Álex con una Ducati, se presenta en Italia.</t>
    </r>
    <r>
      <rPr>
        <rFont val="Arial, sans-serif"/>
        <color rgb="FF1155CC"/>
        <sz val="12.0"/>
        <u/>
      </rPr>
      <t>.</t>
    </r>
    <r>
      <rPr>
        <rFont val="Arial, sans-serif"/>
        <color rgb="FF1155CC"/>
        <sz val="11.0"/>
        <u/>
      </rPr>
      <t>21 ene 2024</t>
    </r>
  </si>
  <si>
    <t>Marc Márquez ya luce sus nuevos colores: 'Un niño con zapatos nuevos'</t>
  </si>
  <si>
    <t>El equipo Gresini Racing, donde el ocho veces campeón del mundo coincidirá con su hermano Álex con una Ducati, se presenta en Italia.</t>
  </si>
  <si>
    <t>Marc Márquez already shows off his new colors: 'A boy with new shoes'</t>
  </si>
  <si>
    <t>The Gresini Racing team, where the eight-time world champion will coincide with his brother Álex on a Ducati, is presented in Italy.</t>
  </si>
  <si>
    <r>
      <rPr>
        <rFont val="Arial, sans-serif"/>
        <color rgb="FF1155CC"/>
        <sz val="9.0"/>
        <u/>
      </rPr>
      <t>Ojo Público</t>
    </r>
    <r>
      <rPr>
        <rFont val="Arial, sans-serif"/>
        <color rgb="FF1155CC"/>
        <sz val="15.0"/>
        <u/>
      </rPr>
      <t>Derrame Repsol: casi S/110 millones en multas impagas y sin planes de rehabilitación</t>
    </r>
    <r>
      <rPr>
        <rFont val="Arial, sans-serif"/>
        <color rgb="FF1155CC"/>
        <sz val="11.0"/>
        <u/>
      </rPr>
      <t>El último 15 de enero se cumplieron dos años del derrame de casi 12.000 barriles de crudo en la costa peruana. Desde entonces, la empresa responsable del...</t>
    </r>
    <r>
      <rPr>
        <rFont val="Arial, sans-serif"/>
        <color rgb="FF1155CC"/>
        <sz val="12.0"/>
        <u/>
      </rPr>
      <t>.</t>
    </r>
    <r>
      <rPr>
        <rFont val="Arial, sans-serif"/>
        <color rgb="FF1155CC"/>
        <sz val="11.0"/>
        <u/>
      </rPr>
      <t>21 ene 2024</t>
    </r>
  </si>
  <si>
    <t>Ojo Público</t>
  </si>
  <si>
    <t>Derrame Repsol: casi S/110 millones en multas impagas y sin planes de rehabilitación</t>
  </si>
  <si>
    <t>El último 15 de enero se cumplieron dos años del derrame de casi 12.000 barriles de crudo en la costa peruana. Desde entonces, la empresa responsable del....</t>
  </si>
  <si>
    <t>Repsol spill: almost S/110 million in unpaid fines and no rehabilitation plans</t>
  </si>
  <si>
    <t>Last January 15 marked two years since the spill of almost 12,000 barrels of crude oil on the Peruvian coast. Since then, the company responsible for...</t>
  </si>
  <si>
    <t>spill, unpaid fines</t>
  </si>
  <si>
    <t>derrame, multas impagas</t>
  </si>
  <si>
    <t>Unpaid fines related to the oil spill reinforce negative sentiment towards Repsol.</t>
  </si>
  <si>
    <t>multas impagas, derrame de petróleo</t>
  </si>
  <si>
    <t>Strong negative sentiment due to unresolved fines and environmental damage.</t>
  </si>
  <si>
    <t>Fuerte sentimiento negativo debido a multas no resueltas y daños medioambientales.</t>
  </si>
  <si>
    <r>
      <rPr>
        <rFont val="Arial, sans-serif"/>
        <color rgb="FF1155CC"/>
        <sz val="9.0"/>
        <u/>
      </rPr>
      <t>revistascratch.com</t>
    </r>
    <r>
      <rPr>
        <rFont val="Arial, sans-serif"/>
        <color rgb="FF1155CC"/>
        <sz val="15.0"/>
        <u/>
      </rPr>
      <t>Isidre Esteve culmina su Dakar más épico</t>
    </r>
    <r>
      <rPr>
        <rFont val="Arial, sans-serif"/>
        <color rgb="FF1155CC"/>
        <sz val="11.0"/>
        <u/>
      </rPr>
      <t>21/01/2024 | Press | Fotos: Press | Leído: 4241. Compartir en WhatsApp · Compartir en X. Compartir en Facebook. El Repsol Toyota Rally Team ha subido al...</t>
    </r>
    <r>
      <rPr>
        <rFont val="Arial, sans-serif"/>
        <color rgb="FF1155CC"/>
        <sz val="12.0"/>
        <u/>
      </rPr>
      <t>.</t>
    </r>
    <r>
      <rPr>
        <rFont val="Arial, sans-serif"/>
        <color rgb="FF1155CC"/>
        <sz val="11.0"/>
        <u/>
      </rPr>
      <t>21 ene 2024</t>
    </r>
  </si>
  <si>
    <t>revistascratch.com</t>
  </si>
  <si>
    <t>El Repsol Toyota Rally Team ha subido al....</t>
  </si>
  <si>
    <t>The Repsol Toyota Rally Team has climbed to the....</t>
  </si>
  <si>
    <r>
      <rPr>
        <rFont val="Arial, sans-serif"/>
        <color rgb="FF1155CC"/>
        <sz val="9.0"/>
        <u/>
      </rPr>
      <t>Mundo Deportivo</t>
    </r>
    <r>
      <rPr>
        <rFont val="Arial, sans-serif"/>
        <color rgb="FF1155CC"/>
        <sz val="15.0"/>
        <u/>
      </rPr>
      <t>La familia Márquez y la familia Gresini se conjuran para hacer historia MotoGP en 2024</t>
    </r>
    <r>
      <rPr>
        <rFont val="Arial, sans-serif"/>
        <color rgb="FF1155CC"/>
        <sz val="11.0"/>
        <u/>
      </rPr>
      <t>Marc Márquez y Àlex Márquez se han presentado esta tarde de sábado en la Discoteca Cocoricò de Riccione en la riviera adriática italiana donde en el...</t>
    </r>
    <r>
      <rPr>
        <rFont val="Arial, sans-serif"/>
        <color rgb="FF1155CC"/>
        <sz val="12.0"/>
        <u/>
      </rPr>
      <t>.</t>
    </r>
    <r>
      <rPr>
        <rFont val="Arial, sans-serif"/>
        <color rgb="FF1155CC"/>
        <sz val="11.0"/>
        <u/>
      </rPr>
      <t>21 ene 2024</t>
    </r>
  </si>
  <si>
    <t>La familia Márquez y la familia Gresini se conjuran para hacer historia MotoGP en 2024</t>
  </si>
  <si>
    <t>Marc Márquez y Àlex Márquez se han presentado esta tarde de sábado en la Discoteca Cocoricò de Riccione en la riviera adriática italiana donde en el....</t>
  </si>
  <si>
    <t>The Márquez family and the Gresini family conspire to make MotoGP history in 2024</t>
  </si>
  <si>
    <t>Marc Márquez and Àlex Márquez performed this Saturday afternoon at the Cocoricò Nightclub in Riccione on the Italian Adriatic Riviera where in the...</t>
  </si>
  <si>
    <r>
      <rPr>
        <rFont val="Arial, sans-serif"/>
        <color rgb="FF1155CC"/>
        <sz val="9.0"/>
        <u/>
      </rPr>
      <t>El Periódico de España</t>
    </r>
    <r>
      <rPr>
        <rFont val="Arial, sans-serif"/>
        <color rgb="FF1155CC"/>
        <sz val="15.0"/>
        <u/>
      </rPr>
      <t>Qué poco dura el buen rollo</t>
    </r>
    <r>
      <rPr>
        <rFont val="Arial, sans-serif"/>
        <color rgb="FF1155CC"/>
        <sz val="11.0"/>
        <u/>
      </rPr>
      <t>Ni un día de tregua se han dado Gobierno y empresarios antes de volver a exhibir en público discrepancias atávicas. De derecha a izquierda, Josu Jon Imaz...</t>
    </r>
    <r>
      <rPr>
        <rFont val="Arial, sans-serif"/>
        <color rgb="FF1155CC"/>
        <sz val="12.0"/>
        <u/>
      </rPr>
      <t>.</t>
    </r>
    <r>
      <rPr>
        <rFont val="Arial, sans-serif"/>
        <color rgb="FF1155CC"/>
        <sz val="11.0"/>
        <u/>
      </rPr>
      <t>21 ene 2024</t>
    </r>
  </si>
  <si>
    <t>Qué poco dura el buen rollo</t>
  </si>
  <si>
    <t>Ni un día de tregua se han dado Gobierno y empresarios antes de volver a exhibir en público discrepancias atávicas. De derecha a izquierda, Josu Jon Imaz....</t>
  </si>
  <si>
    <t>How short the good vibes last</t>
  </si>
  <si>
    <t>The Government and businessmen have not given each other a day's truce before once again displaying atavistic discrepancies in public. From right to left, Josu Jon Imaz....</t>
  </si>
  <si>
    <r>
      <rPr>
        <rFont val="Arial, sans-serif"/>
        <color rgb="FF1155CC"/>
        <sz val="9.0"/>
        <u/>
      </rPr>
      <t>Libertad Digital</t>
    </r>
    <r>
      <rPr>
        <rFont val="Arial, sans-serif"/>
        <color rgb="FF1155CC"/>
        <sz val="15.0"/>
        <u/>
      </rPr>
      <t>TOTÓ, el restaurante italiano de Rafa Nadal que apuesta por la calidad y la temporada</t>
    </r>
    <r>
      <rPr>
        <rFont val="Arial, sans-serif"/>
        <color rgb="FF1155CC"/>
        <sz val="11.0"/>
        <u/>
      </rPr>
      <t>El recetario italiano genuino y la temporalidad se convierten en el centro de la propuesta del chef ejecutivo de TOTÓ, Juan Antonio Medina.</t>
    </r>
    <r>
      <rPr>
        <rFont val="Arial, sans-serif"/>
        <color rgb="FF1155CC"/>
        <sz val="12.0"/>
        <u/>
      </rPr>
      <t>.</t>
    </r>
    <r>
      <rPr>
        <rFont val="Arial, sans-serif"/>
        <color rgb="FF1155CC"/>
        <sz val="11.0"/>
        <u/>
      </rPr>
      <t>21 ene 2024</t>
    </r>
  </si>
  <si>
    <t>Libertad Digital</t>
  </si>
  <si>
    <t>TOTÓ, el restaurante italiano de Rafa Nadal que apuesta por la calidad y la temporada</t>
  </si>
  <si>
    <t>El recetario italiano genuino y la temporalidad se convierten en el centro de la propuesta del chef ejecutivo de TOTÓ, Juan Antonio Medina.</t>
  </si>
  <si>
    <t>TOTÓ, Rafa Nadal's Italian restaurant that is committed to quality and season</t>
  </si>
  <si>
    <t>The genuine Italian recipe book and temporality become the center of the proposal by TOTÓ executive chef, Juan Antonio Medina.</t>
  </si>
  <si>
    <r>
      <rPr>
        <rFont val="Arial, sans-serif"/>
        <color rgb="FF1155CC"/>
        <sz val="9.0"/>
        <u/>
      </rPr>
      <t>Emprendedores</t>
    </r>
    <r>
      <rPr>
        <rFont val="Arial, sans-serif"/>
        <color rgb="FF1155CC"/>
        <sz val="15.0"/>
        <u/>
      </rPr>
      <t>¿Cuáles son los 25 empleos en auge para 2024?</t>
    </r>
    <r>
      <rPr>
        <rFont val="Arial, sans-serif"/>
        <color rgb="FF1155CC"/>
        <sz val="11.0"/>
        <u/>
      </rPr>
      <t>LinkedIn ha publicado su lista de 'Empleos en auge' en España para 2024, donde recoge los 25 puestos que han experimentado un crecimiento sostenido en los...</t>
    </r>
    <r>
      <rPr>
        <rFont val="Arial, sans-serif"/>
        <color rgb="FF1155CC"/>
        <sz val="12.0"/>
        <u/>
      </rPr>
      <t>.</t>
    </r>
    <r>
      <rPr>
        <rFont val="Arial, sans-serif"/>
        <color rgb="FF1155CC"/>
        <sz val="11.0"/>
        <u/>
      </rPr>
      <t>21 ene 2024</t>
    </r>
  </si>
  <si>
    <t>Emprendedores</t>
  </si>
  <si>
    <t>¿Cuáles son los 25 empleos en auge para 2024?</t>
  </si>
  <si>
    <t>LinkedIn ha publicado su lista de 'Empleos en auge' en España para 2024, donde recoge los 25 puestos que han experimentado un crecimiento sostenido en los....</t>
  </si>
  <si>
    <t>What are the 25 booming jobs for 2024?</t>
  </si>
  <si>
    <t>LinkedIn has published its list of 'Booming Jobs' in Spain for 2024, where it includes the 25 positions that have experienced sustained growth in the...</t>
  </si>
  <si>
    <t>Labor Market</t>
  </si>
  <si>
    <r>
      <rPr>
        <rFont val="Arial, sans-serif"/>
        <color rgb="FF1155CC"/>
        <sz val="9.0"/>
        <u/>
      </rPr>
      <t>El Español</t>
    </r>
    <r>
      <rPr>
        <rFont val="Arial, sans-serif"/>
        <color rgb="FF1155CC"/>
        <sz val="15.0"/>
        <u/>
      </rPr>
      <t>El sector funerario y Repsol buscan modelos energéticos sostenibles y descarbonizar las operaciones funerarias</t>
    </r>
    <r>
      <rPr>
        <rFont val="Arial, sans-serif"/>
        <color rgb="FF1155CC"/>
        <sz val="11.0"/>
        <u/>
      </rPr>
      <t>La nueva alianza comprende una serie de iniciativas como la movilidad sostenible, integrar las renovables e implementar la eficiencia energética.</t>
    </r>
    <r>
      <rPr>
        <rFont val="Arial, sans-serif"/>
        <color rgb="FF1155CC"/>
        <sz val="12.0"/>
        <u/>
      </rPr>
      <t>.</t>
    </r>
    <r>
      <rPr>
        <rFont val="Arial, sans-serif"/>
        <color rgb="FF1155CC"/>
        <sz val="11.0"/>
        <u/>
      </rPr>
      <t>22 ene 2024</t>
    </r>
  </si>
  <si>
    <t>El sector funerario y Repsol buscan modelos energéticos sostenibles y descarbonizar las operaciones funerarias</t>
  </si>
  <si>
    <t>La nueva alianza comprende una serie de iniciativas como la movilidad sostenible, integrar las renovables e implementar la eficiencia energética.</t>
  </si>
  <si>
    <t>The funeral sector and Repsol seek sustainable energy models and decarbonize funeral operations</t>
  </si>
  <si>
    <t>The new alliance includes a series of initiatives such as sustainable mobility, integrating renewables and implementing energy efficiency.</t>
  </si>
  <si>
    <t>sustainable solutions, Repsol alliance</t>
  </si>
  <si>
    <t>soluciones sostenibles, alianza Repsol</t>
  </si>
  <si>
    <t>Partnering on sustainability initiatives reinforces Repsol’s commitment to reducing emissions.</t>
  </si>
  <si>
    <t>modelos energéticos sostenibles</t>
  </si>
  <si>
    <t>Positive sentiment due to Repsol's sustainability initiatives.</t>
  </si>
  <si>
    <t>Sentimiento positivo por las iniciativas de sostenibilidad de Repsol.</t>
  </si>
  <si>
    <r>
      <rPr>
        <rFont val="Arial, sans-serif"/>
        <color rgb="FF1155CC"/>
        <sz val="9.0"/>
        <u/>
      </rPr>
      <t>El Economista</t>
    </r>
    <r>
      <rPr>
        <rFont val="Arial, sans-serif"/>
        <color rgb="FF1155CC"/>
        <sz val="15.0"/>
        <u/>
      </rPr>
      <t>Repsol se alía con Eliance y Castilla y León para probar el SAF en helicópteros antiincendios</t>
    </r>
    <r>
      <rPr>
        <rFont val="Arial, sans-serif"/>
        <color rgb="FF1155CC"/>
        <sz val="11.0"/>
        <u/>
      </rPr>
      <t>El grupo Eliance, la Junta de Castilla y León y Repsol han firmado un acuerdo de colaboración para realizar pruebas con combustibles sostenibles de aviación...</t>
    </r>
    <r>
      <rPr>
        <rFont val="Arial, sans-serif"/>
        <color rgb="FF1155CC"/>
        <sz val="12.0"/>
        <u/>
      </rPr>
      <t>.</t>
    </r>
    <r>
      <rPr>
        <rFont val="Arial, sans-serif"/>
        <color rgb="FF1155CC"/>
        <sz val="11.0"/>
        <u/>
      </rPr>
      <t>22 ene 2024</t>
    </r>
  </si>
  <si>
    <t>Repsol se alía con Eliance y Castilla y León para probar el SAF en helicópteros antiincendios</t>
  </si>
  <si>
    <t>El grupo Eliance, la Junta de Castilla y León y Repsol han firmado un acuerdo de colaboración para realizar pruebas con combustibles sostenibles de aviación.</t>
  </si>
  <si>
    <t>Repsol joins forces with Eliance and Castilla y León to test the SAF in firefighting helicopters</t>
  </si>
  <si>
    <t>The Eliance group, the Regional Government of Castilla y León and Repsol have signed a collaboration agreement to carry out tests with sustainable aviation fuels.</t>
  </si>
  <si>
    <t>biofuels, aeronautical fuels</t>
  </si>
  <si>
    <t>biocombustibles, combustibles aeronáuticos</t>
  </si>
  <si>
    <t>Investing in biofuels for aviation strengthens Repsol’s green energy leadership.</t>
  </si>
  <si>
    <t>combustibles sostenibles, helicópteros antiincendios</t>
  </si>
  <si>
    <r>
      <rPr>
        <rFont val="Arial, sans-serif"/>
        <color rgb="FF1155CC"/>
        <sz val="9.0"/>
        <u/>
      </rPr>
      <t>Repsol</t>
    </r>
    <r>
      <rPr>
        <rFont val="Arial, sans-serif"/>
        <color rgb="FF1155CC"/>
        <sz val="15.0"/>
        <u/>
      </rPr>
      <t>El campo El Sharara en Libia retoma la producción tras el éxito de las conversaciones con comunidades locales</t>
    </r>
    <r>
      <rPr>
        <rFont val="Arial, sans-serif"/>
        <color rgb="FF1155CC"/>
        <sz val="11.0"/>
        <u/>
      </rPr>
      <t>El yacimiento petrolífero de El Sharara, en Libia, ha reanudado su actividad tras el éxito de las conversaciones mantenidas con comunidades locales.</t>
    </r>
    <r>
      <rPr>
        <rFont val="Arial, sans-serif"/>
        <color rgb="FF1155CC"/>
        <sz val="12.0"/>
        <u/>
      </rPr>
      <t>.</t>
    </r>
    <r>
      <rPr>
        <rFont val="Arial, sans-serif"/>
        <color rgb="FF1155CC"/>
        <sz val="11.0"/>
        <u/>
      </rPr>
      <t>22 ene 2024</t>
    </r>
  </si>
  <si>
    <t>El campo El Sharara en Libia retoma la producción tras el éxito de las conversaciones con comunidades locales</t>
  </si>
  <si>
    <t>El yacimiento petrolífero de El Sharara, en Libia, ha reanudado su actividad tras el éxito de las conversaciones mantenidas con comunidades locales.</t>
  </si>
  <si>
    <t>El Sharara field in Libya resumes production after successful talks with local communities</t>
  </si>
  <si>
    <t>The El Sharara oil field in Libya has resumed activity following successful talks with local communities.</t>
  </si>
  <si>
    <t>Oil production resumption in Libya does not directly impact Repsol.</t>
  </si>
  <si>
    <r>
      <rPr>
        <rFont val="Arial, sans-serif"/>
        <color rgb="FF1155CC"/>
        <sz val="9.0"/>
        <u/>
      </rPr>
      <t>- Actualidad Aeroespacial</t>
    </r>
    <r>
      <rPr>
        <rFont val="Arial, sans-serif"/>
        <color rgb="FF1155CC"/>
        <sz val="15.0"/>
        <u/>
      </rPr>
      <t>Eliance, Repsol y la Junta de Castilla y León se unen para implementar combustibles sostenibles en helicópteros contra incendios</t>
    </r>
    <r>
      <rPr>
        <rFont val="Arial, sans-serif"/>
        <color rgb="FF1155CC"/>
        <sz val="11.0"/>
        <u/>
      </rPr>
      <t>El grupo Eliance ha unido fuerzas con Repsol y la Junta de Castilla y León en un acuerdo de colaboración destinado a llevar a cabo pruebas pioneras con...</t>
    </r>
    <r>
      <rPr>
        <rFont val="Arial, sans-serif"/>
        <color rgb="FF1155CC"/>
        <sz val="12.0"/>
        <u/>
      </rPr>
      <t>.</t>
    </r>
    <r>
      <rPr>
        <rFont val="Arial, sans-serif"/>
        <color rgb="FF1155CC"/>
        <sz val="11.0"/>
        <u/>
      </rPr>
      <t>22 ene 2024</t>
    </r>
  </si>
  <si>
    <t>Actualidad Aeroespacial</t>
  </si>
  <si>
    <t>Eliance, Repsol y la Junta de Castilla y León se unen para implementar combustibles sostenibles en helicópteros contra incendios</t>
  </si>
  <si>
    <t>El grupo Eliance ha unido fuerzas con Repsol y la Junta de Castilla y León en un acuerdo de colaboración destinado a llevar a cabo pruebas pioneras con....</t>
  </si>
  <si>
    <t>Eliance, Repsol and the Government of Castilla y León join forces to implement sustainable fuels in firefighting helicopters</t>
  </si>
  <si>
    <t>The Eliance group has joined forces with Repsol and the Regional Government of Castilla y León in a collaboration agreement aimed at carrying out pioneering tests with...</t>
  </si>
  <si>
    <t>aeronautical biofuels, Repsol alliance</t>
  </si>
  <si>
    <t>biocombustibles aeronáuticos, alianza Repsol</t>
  </si>
  <si>
    <t>Collaboration on biofuels supports Repsol’s sustainability strategy in aviation.</t>
  </si>
  <si>
    <t>combustibles sostenibles, helicópteros contra incendios</t>
  </si>
  <si>
    <r>
      <rPr>
        <rFont val="Arial, sans-serif"/>
        <color rgb="FF1155CC"/>
        <sz val="9.0"/>
        <u/>
      </rPr>
      <t>ABC</t>
    </r>
    <r>
      <rPr>
        <rFont val="Arial, sans-serif"/>
        <color rgb="FF1155CC"/>
        <sz val="15.0"/>
        <u/>
      </rPr>
      <t>Si no te convence el coche eléctrico ya puedes repostar combustibles renovables</t>
    </r>
    <r>
      <rPr>
        <rFont val="Arial, sans-serif"/>
        <color rgb="FF1155CC"/>
        <sz val="11.0"/>
        <u/>
      </rPr>
      <t>Repsol pone en marcha un nuevo proyecto piloto en tres estaciones de servicio de Madrid con el que pretende ampliar su gama de productos renovables.</t>
    </r>
    <r>
      <rPr>
        <rFont val="Arial, sans-serif"/>
        <color rgb="FF1155CC"/>
        <sz val="12.0"/>
        <u/>
      </rPr>
      <t>.</t>
    </r>
    <r>
      <rPr>
        <rFont val="Arial, sans-serif"/>
        <color rgb="FF1155CC"/>
        <sz val="11.0"/>
        <u/>
      </rPr>
      <t>22 ene 2024</t>
    </r>
  </si>
  <si>
    <t>Si no te convence el coche eléctrico ya puedes repostar combustibles renovables</t>
  </si>
  <si>
    <t>If you are not convinced by the electric car, you can now refuel with renewable fuels</t>
  </si>
  <si>
    <t>Providing alternatives to electric vehicles strengthens Repsol’s green energy position.</t>
  </si>
  <si>
    <r>
      <rPr>
        <rFont val="Arial, sans-serif"/>
        <color rgb="FF1155CC"/>
        <sz val="9.0"/>
        <u/>
      </rPr>
      <t>Economía Digital</t>
    </r>
    <r>
      <rPr>
        <rFont val="Arial, sans-serif"/>
        <color rgb="FF1155CC"/>
        <sz val="15.0"/>
        <u/>
      </rPr>
      <t>La eléctrica que compró Repsol a Juan Roig se convierte en un filón de 140 millones</t>
    </r>
    <r>
      <rPr>
        <rFont val="Arial, sans-serif"/>
        <color rgb="FF1155CC"/>
        <sz val="11.0"/>
        <u/>
      </rPr>
      <t>Repsol ejecutó en marzo de 2021 uno de los movimientos más acertados que ha llevado a cabo en el ámbito eléctrico. Compró la comercializadora Gana Energía,...</t>
    </r>
    <r>
      <rPr>
        <rFont val="Arial, sans-serif"/>
        <color rgb="FF1155CC"/>
        <sz val="12.0"/>
        <u/>
      </rPr>
      <t>.</t>
    </r>
    <r>
      <rPr>
        <rFont val="Arial, sans-serif"/>
        <color rgb="FF1155CC"/>
        <sz val="11.0"/>
        <u/>
      </rPr>
      <t>22 ene 2024</t>
    </r>
  </si>
  <si>
    <t>La eléctrica que compró Repsol a Juan Roig se convierte en un filón de 140 millones</t>
  </si>
  <si>
    <t>Repsol ejecutó en marzo de 2021 uno de los movimientos más acertados que ha llevado a cabo en el ámbito eléctrico. Compró la comercializadora Gana Energía,....</t>
  </si>
  <si>
    <t>The electricity company that Repsol bought from Juan Roig becomes a wealth of 140 million</t>
  </si>
  <si>
    <t>In March 2021, Repsol executed one of the most successful movements it has carried out in the electrical field. It bought the marketing company Gana Energía,....</t>
  </si>
  <si>
    <t>electricity company, Repsol expansion</t>
  </si>
  <si>
    <t>Compañía eléctrica, Expansión de Repsol</t>
  </si>
  <si>
    <t>Repsol’s investment in the electric sector enhances its diversification strategy.</t>
  </si>
  <si>
    <t>Gana Energía, filón</t>
  </si>
  <si>
    <t>Positive sentiment due to Repsol's successful business acquisition.</t>
  </si>
  <si>
    <t>Sentimiento positivo por la exitosa adquisición de negocio de Repsol.</t>
  </si>
  <si>
    <r>
      <rPr>
        <rFont val="Arial, sans-serif"/>
        <color rgb="FF1155CC"/>
        <sz val="9.0"/>
        <u/>
      </rPr>
      <t>La Vanguardia</t>
    </r>
    <r>
      <rPr>
        <rFont val="Arial, sans-serif"/>
        <color rgb="FF1155CC"/>
        <sz val="15.0"/>
        <u/>
      </rPr>
      <t>"El repartidor me estafa con la bombona de butano"</t>
    </r>
    <r>
      <rPr>
        <rFont val="Arial, sans-serif"/>
        <color rgb="FF1155CC"/>
        <sz val="11.0"/>
        <u/>
      </rPr>
      <t>Una pequeña disputa vecinal en un arrabal modesto de Mataró (Maresme), Roca Blanca, adscrito al barrio de Cerdanyola, ha destapado lo que podría ser una...</t>
    </r>
    <r>
      <rPr>
        <rFont val="Arial, sans-serif"/>
        <color rgb="FF1155CC"/>
        <sz val="12.0"/>
        <u/>
      </rPr>
      <t>.</t>
    </r>
    <r>
      <rPr>
        <rFont val="Arial, sans-serif"/>
        <color rgb="FF1155CC"/>
        <sz val="11.0"/>
        <u/>
      </rPr>
      <t>22 ene 2024</t>
    </r>
  </si>
  <si>
    <t>La Vanguardia</t>
  </si>
  <si>
    <t>El repartidor me estafa con la bombona de butano</t>
  </si>
  <si>
    <t>Una pequeña disputa vecinal en un arrabal modesto de Mataró (Maresme), Roca Blanca, adscrito al barrio de Cerdanyola, ha destapado lo que podría ser una....</t>
  </si>
  <si>
    <t>The delivery man scams me with the butane cylinder</t>
  </si>
  <si>
    <t>A small neighborhood dispute in a modest suburb of Mataró (Maresme), Roca Blanca, attached to the Cerdanyola neighborhood, has uncovered what could be a...</t>
  </si>
  <si>
    <t>Consumer Affairs</t>
  </si>
  <si>
    <r>
      <rPr>
        <rFont val="Arial, sans-serif"/>
        <color rgb="FF1155CC"/>
        <sz val="9.0"/>
        <u/>
      </rPr>
      <t>Ronda Semanal</t>
    </r>
    <r>
      <rPr>
        <rFont val="Arial, sans-serif"/>
        <color rgb="FF1155CC"/>
        <sz val="15.0"/>
        <u/>
      </rPr>
      <t>La playa de El Palmar, protagonista del vídeo promocional 'Algo nuevo te mueve en Repsol'</t>
    </r>
    <r>
      <rPr>
        <rFont val="Arial, sans-serif"/>
        <color rgb="FF1155CC"/>
        <sz val="11.0"/>
        <u/>
      </rPr>
      <t>En esta travesía audiovisual, figuras destacadas como el piloto Marc Márquez, el chef Ángel León y la actriz Laia Costa comparten sus experiencias de vida...</t>
    </r>
    <r>
      <rPr>
        <rFont val="Arial, sans-serif"/>
        <color rgb="FF1155CC"/>
        <sz val="12.0"/>
        <u/>
      </rPr>
      <t>.</t>
    </r>
    <r>
      <rPr>
        <rFont val="Arial, sans-serif"/>
        <color rgb="FF1155CC"/>
        <sz val="11.0"/>
        <u/>
      </rPr>
      <t>22 ene 2024</t>
    </r>
  </si>
  <si>
    <t>Ronda Semanal</t>
  </si>
  <si>
    <t>La playa de El Palmar, protagonista del vídeo promocional 'Algo nuevo te mueve en Repsol'</t>
  </si>
  <si>
    <t>En esta travesía audiovisual, figuras destacadas como el piloto Marc Márquez, el chef Ángel León y la actriz Laia Costa comparten sus experiencias de vida....</t>
  </si>
  <si>
    <t>El Palmar beach, star of the promotional video 'Something new moves you at Repsol'</t>
  </si>
  <si>
    <t>In this audiovisual journey, prominent figures such as the pilot Marc Márquez, the chef Ángel León and the actress Laia Costa share their life experiences....</t>
  </si>
  <si>
    <r>
      <rPr>
        <rFont val="Arial, sans-serif"/>
        <color rgb="FF1155CC"/>
        <sz val="9.0"/>
        <u/>
      </rPr>
      <t>Guía Repsol</t>
    </r>
    <r>
      <rPr>
        <rFont val="Arial, sans-serif"/>
        <color rgb="FF1155CC"/>
        <sz val="15.0"/>
        <u/>
      </rPr>
      <t>7 pueblos bonitos de Zamora y qué ver en ellos</t>
    </r>
    <r>
      <rPr>
        <rFont val="Arial, sans-serif"/>
        <color rgb="FF1155CC"/>
        <sz val="11.0"/>
        <u/>
      </rPr>
      <t>La incesante reducción en número de vecinos no quita un ápice de hermosura a estos siete pueblos bonitos de Zamora.</t>
    </r>
    <r>
      <rPr>
        <rFont val="Arial, sans-serif"/>
        <color rgb="FF1155CC"/>
        <sz val="12.0"/>
        <u/>
      </rPr>
      <t>.</t>
    </r>
    <r>
      <rPr>
        <rFont val="Arial, sans-serif"/>
        <color rgb="FF1155CC"/>
        <sz val="11.0"/>
        <u/>
      </rPr>
      <t>22 ene 2024</t>
    </r>
  </si>
  <si>
    <t>7 pueblos bonitos de Zamora y qué ver en ellos</t>
  </si>
  <si>
    <t>La incesante reducción en número de vecinos no quita un ápice de hermosura a estos siete pueblos bonitos de Zamora.</t>
  </si>
  <si>
    <t>7 beautiful towns in Zamora and what to see in them</t>
  </si>
  <si>
    <t>The incessant reduction in the number of neighbors does not take away one bit of the beauty of these seven beautiful towns in Zamora.</t>
  </si>
  <si>
    <r>
      <rPr>
        <rFont val="Arial, sans-serif"/>
        <color rgb="FF1155CC"/>
        <sz val="9.0"/>
        <u/>
      </rPr>
      <t>Repsol</t>
    </r>
    <r>
      <rPr>
        <rFont val="Arial, sans-serif"/>
        <color rgb="FF1155CC"/>
        <sz val="15.0"/>
        <u/>
      </rPr>
      <t>Documentación y requisitos para contratar un seguro de coche</t>
    </r>
    <r>
      <rPr>
        <rFont val="Arial, sans-serif"/>
        <color rgb="FF1155CC"/>
        <sz val="11.0"/>
        <u/>
      </rPr>
      <t>Te contamos todos los requisitos para contrata tu seguro de coche. Documentación, procesos y consejos para elegir el mejor. ¡Asegura tu vehículo hoy!</t>
    </r>
    <r>
      <rPr>
        <rFont val="Arial, sans-serif"/>
        <color rgb="FF1155CC"/>
        <sz val="12.0"/>
        <u/>
      </rPr>
      <t>.</t>
    </r>
    <r>
      <rPr>
        <rFont val="Arial, sans-serif"/>
        <color rgb="FF1155CC"/>
        <sz val="11.0"/>
        <u/>
      </rPr>
      <t>22 ene 2024</t>
    </r>
  </si>
  <si>
    <t>Documentación y requisitos para contratar un seguro de coche</t>
  </si>
  <si>
    <t>Te contamos todos los requisitos para contrata tu seguro de coche. Documentación, procesos y consejos para elegir el mejor. ¡Asegura tu vehículo hoy!.</t>
  </si>
  <si>
    <t>Documentation and requirements to contract car insurance</t>
  </si>
  <si>
    <t>We tell you all the requirements to contract your car insurance. Documentation, processes and tips to choose the best one. Insure your vehicle today!</t>
  </si>
  <si>
    <t>Insurance</t>
  </si>
  <si>
    <r>
      <rPr>
        <rFont val="Arial, sans-serif"/>
        <color rgb="FF1155CC"/>
        <sz val="9.0"/>
        <u/>
      </rPr>
      <t>El Español</t>
    </r>
    <r>
      <rPr>
        <rFont val="Arial, sans-serif"/>
        <color rgb="FF1155CC"/>
        <sz val="15.0"/>
        <u/>
      </rPr>
      <t>Repsol y Disa abren camino al desarrollo de la geotermia profunda en España</t>
    </r>
    <r>
      <rPr>
        <rFont val="Arial, sans-serif"/>
        <color rgb="FF1155CC"/>
        <sz val="11.0"/>
        <u/>
      </rPr>
      <t>Estudiarán la viabilidad de proyectos para aprovechar el calor de la Tierra en las Islas Canarias y Madrid, tras adjudicarse 30 millones de ayudas.</t>
    </r>
    <r>
      <rPr>
        <rFont val="Arial, sans-serif"/>
        <color rgb="FF1155CC"/>
        <sz val="12.0"/>
        <u/>
      </rPr>
      <t>.</t>
    </r>
    <r>
      <rPr>
        <rFont val="Arial, sans-serif"/>
        <color rgb="FF1155CC"/>
        <sz val="11.0"/>
        <u/>
      </rPr>
      <t>22 ene 2024</t>
    </r>
  </si>
  <si>
    <t>Repsol y Disa abren camino al desarrollo de la geotermia profunda en España</t>
  </si>
  <si>
    <t>Estudiarán la viabilidad de proyectos para aprovechar el calor de la Tierra en las Islas Canarias y Madrid, tras adjudicarse 30 millones de ayudas.</t>
  </si>
  <si>
    <t>Repsol and Disa pave the way for the development of deep geothermal energy in Spain</t>
  </si>
  <si>
    <t>They will study the viability of projects to take advantage of the Earth's heat in the Canary Islands and Madrid, after being awarded 30 million grants.</t>
  </si>
  <si>
    <t>hydrogen corridors, Repsol and Disa</t>
  </si>
  <si>
    <t>corredores del hidrógeno, Repsol y Disa</t>
  </si>
  <si>
    <t>Investing in hydrogen transportation infrastructure strengthens Repsol’s energy transition strategy.</t>
  </si>
  <si>
    <t>geotermia, desarrollo, ayudas</t>
  </si>
  <si>
    <t>Positive impact due to innovation and renewable energy development.</t>
  </si>
  <si>
    <t>Impacto positivo por la innovación y el desarrollo de energías renovables.</t>
  </si>
  <si>
    <r>
      <rPr>
        <rFont val="Arial, sans-serif"/>
        <color rgb="FF1155CC"/>
        <sz val="9.0"/>
        <u/>
      </rPr>
      <t>El Debate</t>
    </r>
    <r>
      <rPr>
        <rFont val="Arial, sans-serif"/>
        <color rgb="FF1155CC"/>
        <sz val="15.0"/>
        <u/>
      </rPr>
      <t>El petróleo es historia, así es el combustible cero emisiones que nace como alternativa al coche eléctrico</t>
    </r>
    <r>
      <rPr>
        <rFont val="Arial, sans-serif"/>
        <color rgb="FF1155CC"/>
        <sz val="11.0"/>
        <u/>
      </rPr>
      <t>Ya a la venta con un precio similar a los combustibles convencionales, estos carburantes fabricados por Repsol convierten a los coches gasolina y d...</t>
    </r>
    <r>
      <rPr>
        <rFont val="Arial, sans-serif"/>
        <color rgb="FF1155CC"/>
        <sz val="12.0"/>
        <u/>
      </rPr>
      <t>.</t>
    </r>
    <r>
      <rPr>
        <rFont val="Arial, sans-serif"/>
        <color rgb="FF1155CC"/>
        <sz val="11.0"/>
        <u/>
      </rPr>
      <t>22 ene 2024</t>
    </r>
  </si>
  <si>
    <t>El petróleo es historia, así es el combustible cero emisiones que nace como alternativa al coche eléctrico</t>
  </si>
  <si>
    <t>Ya a la venta con un precio similar a los combustibles convencionales, estos carburantes fabricados por Repsol convierten a los coches gasolina y d....</t>
  </si>
  <si>
    <t>Oil is history, this is the zero-emission fuel that was born as an alternative to the electric car</t>
  </si>
  <si>
    <t>Already on sale with a price similar to conventional fuels, these fuels manufactured by Repsol convert cars into gasoline and diesel....</t>
  </si>
  <si>
    <t>zero-emission fuel, oil replacement</t>
  </si>
  <si>
    <t>combustible de cero emisiones, reemplazo de petróleo</t>
  </si>
  <si>
    <t>Developing zero-emission fuels positions Repsol as a leader in alternative energy.</t>
  </si>
  <si>
    <t>combustible cero emisiones, alternativa, Repsol</t>
  </si>
  <si>
    <t>Positive sentiment due to innovation in zero-emission fuels.</t>
  </si>
  <si>
    <t>Sentimiento positivo por la innovación en combustibles cero emisiones.</t>
  </si>
  <si>
    <r>
      <rPr>
        <rFont val="Arial, sans-serif"/>
        <color rgb="FF1155CC"/>
        <sz val="9.0"/>
        <u/>
      </rPr>
      <t>Mundo Deportivo</t>
    </r>
    <r>
      <rPr>
        <rFont val="Arial, sans-serif"/>
        <color rgb="FF1155CC"/>
        <sz val="15.0"/>
        <u/>
      </rPr>
      <t>Joaquín, broche a una trayectoria de leyenda</t>
    </r>
    <r>
      <rPr>
        <rFont val="Arial, sans-serif"/>
        <color rgb="FF1155CC"/>
        <sz val="11.0"/>
        <u/>
      </rPr>
      <t>El ya ex futbolista recibió el Trofeo Repsol de manos de Mabel Casilla que rinde homenaje a una carrera brillante. La Gran Gala MD premió a los mejores del...</t>
    </r>
    <r>
      <rPr>
        <rFont val="Arial, sans-serif"/>
        <color rgb="FF1155CC"/>
        <sz val="12.0"/>
        <u/>
      </rPr>
      <t>.</t>
    </r>
    <r>
      <rPr>
        <rFont val="Arial, sans-serif"/>
        <color rgb="FF1155CC"/>
        <sz val="11.0"/>
        <u/>
      </rPr>
      <t>22 ene 2024</t>
    </r>
  </si>
  <si>
    <t>Joaquín, broche a una trayectoria de leyenda</t>
  </si>
  <si>
    <t>El ya ex futbolista recibió el Trofeo Repsol de manos de Mabel Casilla que rinde homenaje a una carrera brillante.</t>
  </si>
  <si>
    <t>Joaquín, the finishing touch to a legendary career</t>
  </si>
  <si>
    <t>The former footballer received the Repsol Trophy from Mabel Casilla, which pays tribute to a brilliant career.</t>
  </si>
  <si>
    <r>
      <rPr>
        <rFont val="Arial, sans-serif"/>
        <color rgb="FF1155CC"/>
        <sz val="9.0"/>
        <u/>
      </rPr>
      <t>Motorpasion Moto</t>
    </r>
    <r>
      <rPr>
        <rFont val="Arial, sans-serif"/>
        <color rgb="FF1155CC"/>
        <sz val="15.0"/>
        <u/>
      </rPr>
      <t>Las marcas no han acompañado a Marc Márquez a Ducati. La nueva moto de Gresini en MotoGP tiene las mismas pegatinas</t>
    </r>
    <r>
      <rPr>
        <rFont val="Arial, sans-serif"/>
        <color rgb="FF1155CC"/>
        <sz val="11.0"/>
        <u/>
      </rPr>
      <t>Era el día más esperado. Por primera vez Marc Márquez iba a estar en una presentación de MotoGP que no fuese con Honda. La curiosidad por ver cómo quedaría...</t>
    </r>
    <r>
      <rPr>
        <rFont val="Arial, sans-serif"/>
        <color rgb="FF1155CC"/>
        <sz val="12.0"/>
        <u/>
      </rPr>
      <t>.</t>
    </r>
    <r>
      <rPr>
        <rFont val="Arial, sans-serif"/>
        <color rgb="FF1155CC"/>
        <sz val="11.0"/>
        <u/>
      </rPr>
      <t>22 ene 2024</t>
    </r>
  </si>
  <si>
    <t>Las marcas no han acompañado a Marc Márquez a Ducati.</t>
  </si>
  <si>
    <t>La nueva moto de Gresini en MotoGP tiene las mismas pegatinas. Era el día más esperado. Por primera vez Marc Márquez iba a estar en una presentación de MotoGP que no fuese con Honda. La curiosidad por ver cómo quedaría....</t>
  </si>
  <si>
    <t>The brands have not accompanied Marc Márquez to Ducati.</t>
  </si>
  <si>
    <t>Gresini's new MotoGP bike has the same stickers. It was the most anticipated day. For the first time Marc Márquez was going to be at a MotoGP presentation that was not with Honda. Curiosity to see how it would look....</t>
  </si>
  <si>
    <r>
      <rPr>
        <rFont val="Arial, sans-serif"/>
        <color rgb="FF1155CC"/>
        <sz val="9.0"/>
        <u/>
      </rPr>
      <t>El Comercio</t>
    </r>
    <r>
      <rPr>
        <rFont val="Arial, sans-serif"/>
        <color rgb="FF1155CC"/>
        <sz val="15.0"/>
        <u/>
      </rPr>
      <t>La mejor tortilla de patatas de Asturias está en Oviedo</t>
    </r>
    <r>
      <rPr>
        <rFont val="Arial, sans-serif"/>
        <color rgb="FF1155CC"/>
        <sz val="11.0"/>
        <u/>
      </rPr>
      <t>La Guía Repsol elige las mejores del país de entre sus 'soletes'</t>
    </r>
    <r>
      <rPr>
        <rFont val="Arial, sans-serif"/>
        <color rgb="FF1155CC"/>
        <sz val="12.0"/>
        <u/>
      </rPr>
      <t>.</t>
    </r>
    <r>
      <rPr>
        <rFont val="Arial, sans-serif"/>
        <color rgb="FF1155CC"/>
        <sz val="11.0"/>
        <u/>
      </rPr>
      <t>22 ene 2024</t>
    </r>
  </si>
  <si>
    <t>El Comercio</t>
  </si>
  <si>
    <t>La mejor tortilla de patatas de Asturias está en Oviedo</t>
  </si>
  <si>
    <t>La Guía Repsol elige las mejores del país de entre sus 'soletes'.</t>
  </si>
  <si>
    <t>The best potato omelette in Asturias is in Oviedo</t>
  </si>
  <si>
    <t>The Repsol Guide chooses the best in the country from among its 'soletes'.</t>
  </si>
  <si>
    <r>
      <rPr>
        <rFont val="Arial, sans-serif"/>
        <color rgb="FF1155CC"/>
        <sz val="9.0"/>
        <u/>
      </rPr>
      <t>CEOE</t>
    </r>
    <r>
      <rPr>
        <rFont val="Arial, sans-serif"/>
        <color rgb="FF1155CC"/>
        <sz val="15.0"/>
        <u/>
      </rPr>
      <t>Repsol promueve una iniciativa para producir combustible renovable a partir de aceite usado de cocina</t>
    </r>
    <r>
      <rPr>
        <rFont val="Arial, sans-serif"/>
        <color rgb="FF1155CC"/>
        <sz val="11.0"/>
        <u/>
      </rPr>
      <t>Repsol continúa progresando en la producción de combustibles renovables como una solución de la economía circular para la descarbonización del sector...</t>
    </r>
    <r>
      <rPr>
        <rFont val="Arial, sans-serif"/>
        <color rgb="FF1155CC"/>
        <sz val="12.0"/>
        <u/>
      </rPr>
      <t>.</t>
    </r>
    <r>
      <rPr>
        <rFont val="Arial, sans-serif"/>
        <color rgb="FF1155CC"/>
        <sz val="11.0"/>
        <u/>
      </rPr>
      <t>23 ene 2024</t>
    </r>
  </si>
  <si>
    <t>Repsol promueve una iniciativa para producir combustible renovable a partir de aceite usado de cocina</t>
  </si>
  <si>
    <t>Repsol continúa progresando en la producción de combustibles renovables como una solución de la economía circular para la descarbonización del sector....</t>
  </si>
  <si>
    <t>Repsol promotes an initiative to produce renewable fuel from used cooking oil</t>
  </si>
  <si>
    <t>Repsol continues to progress in the production of renewable fuels as a circular economy solution for the decarbonization of the sector....</t>
  </si>
  <si>
    <t>renewable hydrogen, clean energy</t>
  </si>
  <si>
    <t>hidrógeno renovable, energía limpia</t>
  </si>
  <si>
    <t>Expanding hydrogen production strengthens Repsol’s commitment to green energy.</t>
  </si>
  <si>
    <t>combustible renovable, economía circular, descarbonización</t>
  </si>
  <si>
    <t>Highly positive sentiment due to sustainable innovation.</t>
  </si>
  <si>
    <t>Sentimiento muy positivo debido a la innovación sostenible.</t>
  </si>
  <si>
    <r>
      <rPr>
        <rFont val="Arial, sans-serif"/>
        <color rgb="FF1155CC"/>
        <sz val="9.0"/>
        <u/>
      </rPr>
      <t>Híbridos y Eléctricos</t>
    </r>
    <r>
      <rPr>
        <rFont val="Arial, sans-serif"/>
        <color rgb="FF1155CC"/>
        <sz val="15.0"/>
        <u/>
      </rPr>
      <t>Repsol revoluciona el combustible con la 'gasolina renovable' sin petróleo ya disponible para todos los vehículos</t>
    </r>
    <r>
      <rPr>
        <rFont val="Arial, sans-serif"/>
        <color rgb="FF1155CC"/>
        <sz val="11.0"/>
        <u/>
      </rPr>
      <t>Es un carburante derivado de desechos orgánicos no destinados al consumo humano, adecuado para todos los vehículos de gasolina y actualmente disponible en...</t>
    </r>
    <r>
      <rPr>
        <rFont val="Arial, sans-serif"/>
        <color rgb="FF1155CC"/>
        <sz val="12.0"/>
        <u/>
      </rPr>
      <t>.</t>
    </r>
    <r>
      <rPr>
        <rFont val="Arial, sans-serif"/>
        <color rgb="FF1155CC"/>
        <sz val="11.0"/>
        <u/>
      </rPr>
      <t>23 ene 2024</t>
    </r>
  </si>
  <si>
    <t>Híbridos y Eléctricos</t>
  </si>
  <si>
    <t>Repsol revoluciona el combustible con la 'gasolina renovable' sin petróleo ya disponible para todos los vehículos</t>
  </si>
  <si>
    <t>Es un carburante derivado de desechos orgánicos no destinados al consumo humano, adecuado para todos los vehículos de gasolina y actualmente disponible en....</t>
  </si>
  <si>
    <t>Repsol revolutionizes fuel with petroleum-free 'renewable gasoline' now available for all vehicles</t>
  </si>
  <si>
    <t>It is a fuel derived from organic waste not intended for human consumption, suitable for all gasoline vehicles and currently available in...</t>
  </si>
  <si>
    <t>petroleum-free gasoline, organic waste</t>
  </si>
  <si>
    <t>gasolina sin petróleo, residuos orgánicos</t>
  </si>
  <si>
    <t>Developing petroleum-free fuels reinforces Repsol’s leadership in sustainable energy.</t>
  </si>
  <si>
    <t>gasolina renovable, sin petróleo, desechos orgánicos</t>
  </si>
  <si>
    <t>Highly positive sentiment due to groundbreaking renewable fuel.</t>
  </si>
  <si>
    <t>Sentimiento muy positivo debido al innovador combustible renovable.</t>
  </si>
  <si>
    <r>
      <rPr>
        <rFont val="Arial, sans-serif"/>
        <color rgb="FF1155CC"/>
        <sz val="9.0"/>
        <u/>
      </rPr>
      <t>Confidencial Digital</t>
    </r>
    <r>
      <rPr>
        <rFont val="Arial, sans-serif"/>
        <color rgb="FF1155CC"/>
        <sz val="15.0"/>
        <u/>
      </rPr>
      <t>Repsol mantiene su intención de trasladar inversiones industriales fuera de España</t>
    </r>
    <r>
      <rPr>
        <rFont val="Arial, sans-serif"/>
        <color rgb="FF1155CC"/>
        <sz val="11.0"/>
        <u/>
      </rPr>
      <t>El pulso entre Repsol y el Gobierno parece no tener fin por la implantación del impuesto extraordinario a la banca y a las energéticas.</t>
    </r>
    <r>
      <rPr>
        <rFont val="Arial, sans-serif"/>
        <color rgb="FF1155CC"/>
        <sz val="12.0"/>
        <u/>
      </rPr>
      <t>.</t>
    </r>
    <r>
      <rPr>
        <rFont val="Arial, sans-serif"/>
        <color rgb="FF1155CC"/>
        <sz val="11.0"/>
        <u/>
      </rPr>
      <t>23 ene 2024</t>
    </r>
  </si>
  <si>
    <t>Confidencial Digital</t>
  </si>
  <si>
    <t>Repsol mantiene su intención de trasladar inversiones industriales fuera de España</t>
  </si>
  <si>
    <t>El pulso entre Repsol y el Gobierno parece no tener fin por la implantación del impuesto extraordinario a la banca y a las energéticas.</t>
  </si>
  <si>
    <t>Repsol maintains its intention to transfer industrial investments outside of Spain</t>
  </si>
  <si>
    <t>The fight between Repsol and the Government seems to have no end over the implementation of the extraordinary tax on banks and energy companies.</t>
  </si>
  <si>
    <t>industrial land transfer, government fight</t>
  </si>
  <si>
    <t>Transferencia de terrenos industriales, lucha gubernamental</t>
  </si>
  <si>
    <t>Tensions with the government over land transfers may create regulatory challenges.</t>
  </si>
  <si>
    <t>inversiones fuera de España, impuesto extraordinario</t>
  </si>
  <si>
    <t>Negative sentiment due to potential economic impact and conflict with the government.</t>
  </si>
  <si>
    <t>Sentimiento negativo debido al potencial impacto económico y conflicto con el gobierno.</t>
  </si>
  <si>
    <r>
      <rPr>
        <rFont val="Arial, sans-serif"/>
        <color rgb="FF1155CC"/>
        <sz val="9.0"/>
        <u/>
      </rPr>
      <t>Crónica Vasca</t>
    </r>
    <r>
      <rPr>
        <rFont val="Arial, sans-serif"/>
        <color rgb="FF1155CC"/>
        <sz val="15.0"/>
        <u/>
      </rPr>
      <t>Talgo, Ingeteam, Repsol y Sener reciben apoyo europeo para el tren de hidrógeno de alta velocidad</t>
    </r>
    <r>
      <rPr>
        <rFont val="Arial, sans-serif"/>
        <color rgb="FF1155CC"/>
        <sz val="11.0"/>
        <u/>
      </rPr>
      <t>Bautizado como 'Hympulso', el proyecto forma parte del PERTE de energías renovables, hidrógeno renovable y almacenamiento, y recibe 6,5 millones de euros...</t>
    </r>
    <r>
      <rPr>
        <rFont val="Arial, sans-serif"/>
        <color rgb="FF1155CC"/>
        <sz val="12.0"/>
        <u/>
      </rPr>
      <t>.</t>
    </r>
    <r>
      <rPr>
        <rFont val="Arial, sans-serif"/>
        <color rgb="FF1155CC"/>
        <sz val="11.0"/>
        <u/>
      </rPr>
      <t>23 ene 2024</t>
    </r>
  </si>
  <si>
    <t>Talgo, Ingeteam, Repsol y Sener reciben apoyo europeo para el tren de hidrógeno de alta velocidad</t>
  </si>
  <si>
    <t>Bautizado como 'Hympulso', el proyecto forma parte del PERTE de energías renovables, hidrógeno renovable y almacenamiento, y recibe 6,5 millones de euros.</t>
  </si>
  <si>
    <t>Talgo, Ingeteam, Repsol and Sener receive European support for the high-speed hydrogen train</t>
  </si>
  <si>
    <t>Named 'Hympulso', the project is part of the PERTE for renewable energies, renewable hydrogen and storage, and receives 6.5 million euros.</t>
  </si>
  <si>
    <t>hydrogen projects, European funding</t>
  </si>
  <si>
    <t>proyectos de hidrógeno, financiación europea</t>
  </si>
  <si>
    <t>Securing European funding strengthens Repsol’s position in hydrogen innovation.</t>
  </si>
  <si>
    <t>hidrógeno, energías renovables, apoyo europeo</t>
  </si>
  <si>
    <t>Positive sentiment due to renewable energy innovation and European support.</t>
  </si>
  <si>
    <t>Sentimiento positivo debido a la innovación en energías renovables y al apoyo europeo.</t>
  </si>
  <si>
    <r>
      <rPr>
        <rFont val="Arial, sans-serif"/>
        <color rgb="FF1155CC"/>
        <sz val="9.0"/>
        <u/>
      </rPr>
      <t>El Programa de la Publicidad</t>
    </r>
    <r>
      <rPr>
        <rFont val="Arial, sans-serif"/>
        <color rgb="FF1155CC"/>
        <sz val="15.0"/>
        <u/>
      </rPr>
      <t>Repsol continua la busqueda de su Gerente de Publicidad Corporativa para liderar su estrategia publicitaria</t>
    </r>
    <r>
      <rPr>
        <rFont val="Arial, sans-serif"/>
        <color rgb="FF1155CC"/>
        <sz val="11.0"/>
        <u/>
      </rPr>
      <t>Las responsabilidades en Repsol incluyen definir estrategias, liderar campañas, gestionar agencias, campañas internacionales y representar a la empresa.</t>
    </r>
    <r>
      <rPr>
        <rFont val="Arial, sans-serif"/>
        <color rgb="FF1155CC"/>
        <sz val="12.0"/>
        <u/>
      </rPr>
      <t>.</t>
    </r>
    <r>
      <rPr>
        <rFont val="Arial, sans-serif"/>
        <color rgb="FF1155CC"/>
        <sz val="11.0"/>
        <u/>
      </rPr>
      <t>23 ene 2024</t>
    </r>
  </si>
  <si>
    <t>El Programa de la Publicidad</t>
  </si>
  <si>
    <t>Repsol continua la busqueda de su Gerente de Publicidad Corporativa para liderar su estrategia publicitaria</t>
  </si>
  <si>
    <t>Repsol continua la busqueda de su Gerente de Publicidad Corporativa para liderar su estrategia publicitaria. Las responsabilidades en Repsol incluyen definir estrategias, liderar campañas, gestionar agencias, campañas internacionales y representar a la empresa.</t>
  </si>
  <si>
    <t>Repsol continues its search for its Corporate Advertising Manager to lead its advertising strategy</t>
  </si>
  <si>
    <t>Repsol continues its search for its Corporate Advertising Manager to lead its advertising strategy. Responsibilities at Repsol include defining strategies, leading campaigns, managing agencies, international campaigns and representing the company.</t>
  </si>
  <si>
    <t>Corporate Affairs</t>
  </si>
  <si>
    <t>Internal corporate changes do not affect Repsol’s market perception.</t>
  </si>
  <si>
    <t>Neutral sentiment, no direct impact on Repsol's image.</t>
  </si>
  <si>
    <t>Sentimiento neutro, sin impacto directo en la imagen de Repsol.</t>
  </si>
  <si>
    <r>
      <rPr>
        <rFont val="Arial, sans-serif"/>
        <color rgb="FF1155CC"/>
        <sz val="9.0"/>
        <u/>
      </rPr>
      <t>Diario de Transporte</t>
    </r>
    <r>
      <rPr>
        <rFont val="Arial, sans-serif"/>
        <color rgb="FF1155CC"/>
        <sz val="15.0"/>
        <u/>
      </rPr>
      <t>El grupo Eliance, Repsol y la Junta de Castilla y León se unen para el uso de combustible SAF</t>
    </r>
    <r>
      <rPr>
        <rFont val="Arial, sans-serif"/>
        <color rgb="FF1155CC"/>
        <sz val="11.0"/>
        <u/>
      </rPr>
      <t>El grupo Eliance, la Junta de Castilla y León y Repsol han firmado un acuerdo de colaboración para realizar pruebas con combustibles sostenibles de aviación...</t>
    </r>
    <r>
      <rPr>
        <rFont val="Arial, sans-serif"/>
        <color rgb="FF1155CC"/>
        <sz val="12.0"/>
        <u/>
      </rPr>
      <t>.</t>
    </r>
    <r>
      <rPr>
        <rFont val="Arial, sans-serif"/>
        <color rgb="FF1155CC"/>
        <sz val="11.0"/>
        <u/>
      </rPr>
      <t>23 ene 2024</t>
    </r>
  </si>
  <si>
    <t>Diario de Transporte</t>
  </si>
  <si>
    <t>El grupo Eliance, Repsol y la Junta de Castilla y León se unen para el uso de combustible SAF.</t>
  </si>
  <si>
    <t>El grupo Eliance, la Junta de Castilla y León y Repsol han firmado un acuerdo de colaboración para realizar pruebas con combustibles sostenibles de aviación....</t>
  </si>
  <si>
    <t>The Eliance group, Repsol and the Junta de Castilla y León join forces to use SAF fuel.</t>
  </si>
  <si>
    <t>The Eliance group, the Regional Government of Castilla y León and Repsol have signed a collaboration agreement to carry out tests with sustainable aviation fuels....</t>
  </si>
  <si>
    <t>combustible SAF, colaboración, sostenible</t>
  </si>
  <si>
    <t>Positive sentiment due to collaboration on sustainable aviation fuel.</t>
  </si>
  <si>
    <t>Sentimiento positivo debido a la colaboración en materia de combustible de aviación sostenible.</t>
  </si>
  <si>
    <r>
      <rPr>
        <rFont val="Arial, sans-serif"/>
        <color rgb="FF1155CC"/>
        <sz val="9.0"/>
        <u/>
      </rPr>
      <t>Bolsamania</t>
    </r>
    <r>
      <rPr>
        <rFont val="Arial, sans-serif"/>
        <color rgb="FF1155CC"/>
        <sz val="15.0"/>
        <u/>
      </rPr>
      <t>Repsol: la pauta invita a mantener posiciones</t>
    </r>
    <r>
      <rPr>
        <rFont val="Arial, sans-serif"/>
        <color rgb="FF1155CC"/>
        <sz val="11.0"/>
        <u/>
      </rPr>
      <t>Imposibilitada de superar la zona de 15-16 euros, formando una resistencia importante. El soporte clave de cara a una inversión a medio plazo se sitúa en...</t>
    </r>
    <r>
      <rPr>
        <rFont val="Arial, sans-serif"/>
        <color rgb="FF1155CC"/>
        <sz val="12.0"/>
        <u/>
      </rPr>
      <t>.</t>
    </r>
    <r>
      <rPr>
        <rFont val="Arial, sans-serif"/>
        <color rgb="FF1155CC"/>
        <sz val="11.0"/>
        <u/>
      </rPr>
      <t>23 ene 2024</t>
    </r>
  </si>
  <si>
    <t>Repsol: la pauta invita a mantener posiciones</t>
  </si>
  <si>
    <t>Imposibilitada de superar la zona de 15-16 euros, formando una resistencia importante. El soporte clave de cara a una inversión a medio plazo se sitúa en....</t>
  </si>
  <si>
    <t>Repsol: the guideline invites you to maintain positions</t>
  </si>
  <si>
    <t>Unable to overcome the 15-16 euro zone, forming an important resistance. The key support for a medium-term investment is located in....</t>
  </si>
  <si>
    <t>bullish view, stock market</t>
  </si>
  <si>
    <t>visión alcista, mercado de valores</t>
  </si>
  <si>
    <t>Positive stock market trends support investor confidence in Repsol.</t>
  </si>
  <si>
    <t>Neutral sentiment, financial analysis with no direct impact on Repsol's image.</t>
  </si>
  <si>
    <t>Sentimiento neutro, análisis financiero sin impacto directo en la imagen de Repsol.</t>
  </si>
  <si>
    <r>
      <rPr>
        <rFont val="Arial, sans-serif"/>
        <color rgb="FF1155CC"/>
        <sz val="9.0"/>
        <u/>
      </rPr>
      <t>Interempresas.net</t>
    </r>
    <r>
      <rPr>
        <rFont val="Arial, sans-serif"/>
        <color rgb="FF1155CC"/>
        <sz val="15.0"/>
        <u/>
      </rPr>
      <t>El campo del Sharara en Libia retoma la producción de petróleo</t>
    </r>
    <r>
      <rPr>
        <rFont val="Arial, sans-serif"/>
        <color rgb="FF1155CC"/>
        <sz val="11.0"/>
        <u/>
      </rPr>
      <t>El campo petrolífero de El Sharara, ubicado en Libia, ha vuelto a la actividad tras el éxito de las conversaciones mantenidas con las comunidades locales,...</t>
    </r>
    <r>
      <rPr>
        <rFont val="Arial, sans-serif"/>
        <color rgb="FF1155CC"/>
        <sz val="12.0"/>
        <u/>
      </rPr>
      <t>.</t>
    </r>
    <r>
      <rPr>
        <rFont val="Arial, sans-serif"/>
        <color rgb="FF1155CC"/>
        <sz val="11.0"/>
        <u/>
      </rPr>
      <t>23 ene 2024</t>
    </r>
  </si>
  <si>
    <t>El campo del Sharara en Libia retoma la producción de petróleo</t>
  </si>
  <si>
    <t>El campo petrolífero de El Sharara, ubicado en Libia, ha vuelto a la actividad tras el éxito de las conversaciones mantenidas con las comunidades locales,....</t>
  </si>
  <si>
    <t>Libya's Sharara field resumes oil production</t>
  </si>
  <si>
    <t>The El Sharara oil field, located in Libya, has returned to activity after the success of talks with local communities,....</t>
  </si>
  <si>
    <t>The reopening of the Sharara field does not directly impact Repsol.</t>
  </si>
  <si>
    <t>Neutral sentiment, no direct impact on Repsol.</t>
  </si>
  <si>
    <t>Sentimiento neutro, sin impacto directo en Repsol.</t>
  </si>
  <si>
    <r>
      <rPr>
        <rFont val="Arial, sans-serif"/>
        <color rgb="FF1155CC"/>
        <sz val="9.0"/>
        <u/>
      </rPr>
      <t>e-noticies.cat</t>
    </r>
    <r>
      <rPr>
        <rFont val="Arial, sans-serif"/>
        <color rgb="FF1155CC"/>
        <sz val="15.0"/>
        <u/>
      </rPr>
      <t>La empresa que fue de Juan Roig, dueño de Mercadona, y ahora factura 140M de euros</t>
    </r>
    <r>
      <rPr>
        <rFont val="Arial, sans-serif"/>
        <color rgb="FF1155CC"/>
        <sz val="11.0"/>
        <u/>
      </rPr>
      <t>Repsol llevó a cabo en marzo de 2021 un movimiento que le ha salido redondo. Compró la comercializadora Gana Energía, que en ese momento...</t>
    </r>
    <r>
      <rPr>
        <rFont val="Arial, sans-serif"/>
        <color rgb="FF1155CC"/>
        <sz val="12.0"/>
        <u/>
      </rPr>
      <t>.</t>
    </r>
    <r>
      <rPr>
        <rFont val="Arial, sans-serif"/>
        <color rgb="FF1155CC"/>
        <sz val="11.0"/>
        <u/>
      </rPr>
      <t>23 ene 2024</t>
    </r>
  </si>
  <si>
    <t>La empresa que fue de Juan Roig, dueño de Mercadona, y ahora factura 140M de euros</t>
  </si>
  <si>
    <t>La empresa que fue de Juan Roig, dueño de Mercadona, y ahora factura 140M de euros. Repsol llevó a cabo en marzo de 2021 un movimiento que le ha salido redondo. Compró la comercializadora Gana Energía, que en ese momento....</t>
  </si>
  <si>
    <t>The company that belonged to Juan Roig, owner of Mercadona, and now has a turnover of 140M euros</t>
  </si>
  <si>
    <t>The company that was owned by Juan Roig, owner of Mercadona, and now has a turnover of 140M euros. In March 2021, Repsol carried out a move that has turned out well. It bought the trading company Gana Energía, which at that time...</t>
  </si>
  <si>
    <t>Business</t>
  </si>
  <si>
    <t>Ownership changes in another company do not affect Repsol.</t>
  </si>
  <si>
    <r>
      <rPr>
        <rFont val="Arial, sans-serif"/>
        <color rgb="FF1155CC"/>
        <sz val="9.0"/>
        <u/>
      </rPr>
      <t>Talgo</t>
    </r>
    <r>
      <rPr>
        <rFont val="Arial, sans-serif"/>
        <color rgb="FF1155CC"/>
        <sz val="15.0"/>
        <u/>
      </rPr>
      <t>Una decena de empresas españolas se alían para adaptar por primera vez la propulsión de hidrógeno a un tren de alta velocidad</t>
    </r>
    <r>
      <rPr>
        <rFont val="Arial, sans-serif"/>
        <color rgb="FF1155CC"/>
        <sz val="11.0"/>
        <u/>
      </rPr>
      <t>Bautizado como Hympulso, el proyecto forma parte del PERTE de energías renovables, hidrógeno renovable y almacenamiento. Se desarrollará un nuevo coche...</t>
    </r>
    <r>
      <rPr>
        <rFont val="Arial, sans-serif"/>
        <color rgb="FF1155CC"/>
        <sz val="12.0"/>
        <u/>
      </rPr>
      <t>.</t>
    </r>
    <r>
      <rPr>
        <rFont val="Arial, sans-serif"/>
        <color rgb="FF1155CC"/>
        <sz val="11.0"/>
        <u/>
      </rPr>
      <t>23 ene 2024</t>
    </r>
  </si>
  <si>
    <t>Talgo</t>
  </si>
  <si>
    <t>Una decena de empresas españolas se alían para adaptar por primera vez la propulsión de hidrógeno a un tren de alta velocidad</t>
  </si>
  <si>
    <t>Bautizado como Hympulso, el proyecto forma parte del PERTE de energías renovables, hidrógeno renovable y almacenamiento. Se desarrollará un nuevo coche....</t>
  </si>
  <si>
    <t>A dozen Spanish companies join forces to adapt hydrogen propulsion to a high-speed train for the first time</t>
  </si>
  <si>
    <t>Named Hympulso, the project is part of the PERTE for renewable energies, renewable hydrogen and storage. A new car will be developed....</t>
  </si>
  <si>
    <t>hydrogen, transport</t>
  </si>
  <si>
    <t>hidrógeno, transporte</t>
  </si>
  <si>
    <t>Repsol’s participation in hydrogen projects strengthens its commitment to clean energy.</t>
  </si>
  <si>
    <t>hidrógeno, tren de alta velocidad, energías renovables</t>
  </si>
  <si>
    <t>Positive sentiment due to innovation in renewable energy and transportation.</t>
  </si>
  <si>
    <t>Sentimiento positivo debido a la innovación en energías renovables y transporte.</t>
  </si>
  <si>
    <r>
      <rPr>
        <rFont val="Arial, sans-serif"/>
        <color rgb="FF1155CC"/>
        <sz val="9.0"/>
        <u/>
      </rPr>
      <t>BioEconomia.info</t>
    </r>
    <r>
      <rPr>
        <rFont val="Arial, sans-serif"/>
        <color rgb="FF1155CC"/>
        <sz val="15.0"/>
        <u/>
      </rPr>
      <t>Repsol transforma el paisaje energético: más de 600 estaciones ofrecerán biocombustibles antes de fin de año</t>
    </r>
    <r>
      <rPr>
        <rFont val="Arial, sans-serif"/>
        <color rgb="FF1155CC"/>
        <sz val="11.0"/>
        <u/>
      </rPr>
      <t>Repsol, la compañía multienergética de origen español, tiene grandes planes para el futuro cercano, y la revolución verde está en el centro de su estrategia...</t>
    </r>
    <r>
      <rPr>
        <rFont val="Arial, sans-serif"/>
        <color rgb="FF1155CC"/>
        <sz val="12.0"/>
        <u/>
      </rPr>
      <t>.</t>
    </r>
    <r>
      <rPr>
        <rFont val="Arial, sans-serif"/>
        <color rgb="FF1155CC"/>
        <sz val="11.0"/>
        <u/>
      </rPr>
      <t>23 ene 2024</t>
    </r>
  </si>
  <si>
    <t>BioEconomia.info</t>
  </si>
  <si>
    <t>Repsol transforma el paisaje energético: más de 600 estaciones ofrecerán biocombustibles antes de fin de año</t>
  </si>
  <si>
    <t>Repsol, la compañía multienergética de origen español, tiene grandes planes para el futuro cercano, y la revolución verde está en el centro de su estrategia.</t>
  </si>
  <si>
    <t>Repsol transforms the energy landscape: more than 600 stations will offer biofuels before the end of the year</t>
  </si>
  <si>
    <t>Repsol, the multi-energy company of Spanish origin, has big plans for the near future, and the green revolution is at the center of its strategy.</t>
  </si>
  <si>
    <t>renewable fuels, 600 service stations</t>
  </si>
  <si>
    <t>combustibles renovables, 600 estaciones de servicio</t>
  </si>
  <si>
    <t>Increasing renewable fuel infrastructure reinforces Repsol’s transition toward sustainability.</t>
  </si>
  <si>
    <t>biocombustibles, revolución verde</t>
  </si>
  <si>
    <t>Highly positive sentiment due to large-scale renewable energy initiatives.</t>
  </si>
  <si>
    <t>Sentimiento muy positivo debido a las iniciativas de energía renovable a gran escala.</t>
  </si>
  <si>
    <r>
      <rPr>
        <rFont val="Arial, sans-serif"/>
        <color rgb="FF1155CC"/>
        <sz val="9.0"/>
        <u/>
      </rPr>
      <t>Box Repsol</t>
    </r>
    <r>
      <rPr>
        <rFont val="Arial, sans-serif"/>
        <color rgb="FF1155CC"/>
        <sz val="15.0"/>
        <u/>
      </rPr>
      <t>Parrilla MotoGP 2024: pilotos y fichajes confirmados</t>
    </r>
    <r>
      <rPr>
        <rFont val="Arial, sans-serif"/>
        <color rgb="FF1155CC"/>
        <sz val="11.0"/>
        <u/>
      </rPr>
      <t>Explora la emocionante parrilla de MotoGP 2024: fichajes y pilotos estrella, equipos de élite y máquinas de última generación.</t>
    </r>
    <r>
      <rPr>
        <rFont val="Arial, sans-serif"/>
        <color rgb="FF1155CC"/>
        <sz val="12.0"/>
        <u/>
      </rPr>
      <t>.</t>
    </r>
    <r>
      <rPr>
        <rFont val="Arial, sans-serif"/>
        <color rgb="FF1155CC"/>
        <sz val="11.0"/>
        <u/>
      </rPr>
      <t>23 ene 2024</t>
    </r>
  </si>
  <si>
    <t>Parrilla MotoGP 2024: pilotos y fichajes confirmados</t>
  </si>
  <si>
    <t>Explora la emocionante parrilla de MotoGP 2024: fichajes y pilotos estrella, equipos de élite y máquinas de última generación.</t>
  </si>
  <si>
    <t>MotoGP 2024 grid: confirmed riders and signings</t>
  </si>
  <si>
    <t>Explore the exciting MotoGP 2024 grid: star signings and riders, elite teams and cutting-edge machines.</t>
  </si>
  <si>
    <r>
      <rPr>
        <rFont val="Arial, sans-serif"/>
        <color rgb="FF1155CC"/>
        <sz val="9.0"/>
        <u/>
      </rPr>
      <t>Valencia Plaza</t>
    </r>
    <r>
      <rPr>
        <rFont val="Arial, sans-serif"/>
        <color rgb="FF1155CC"/>
        <sz val="15.0"/>
        <u/>
      </rPr>
      <t>Los 'Cinco Grandes' de bolsa de Renta 4 Banco</t>
    </r>
    <r>
      <rPr>
        <rFont val="Arial, sans-serif"/>
        <color rgb="FF1155CC"/>
        <sz val="11.0"/>
        <u/>
      </rPr>
      <t>Cartera compuesta por Indra y Sacyr como valores defensivos, IAG y Repsol como cíclicos y Grifols con sensibilidad a las tires.</t>
    </r>
    <r>
      <rPr>
        <rFont val="Arial, sans-serif"/>
        <color rgb="FF1155CC"/>
        <sz val="12.0"/>
        <u/>
      </rPr>
      <t>.</t>
    </r>
    <r>
      <rPr>
        <rFont val="Arial, sans-serif"/>
        <color rgb="FF1155CC"/>
        <sz val="11.0"/>
        <u/>
      </rPr>
      <t>23 ene 2024</t>
    </r>
  </si>
  <si>
    <t>Valencia Plaza</t>
  </si>
  <si>
    <t>Cartera compuesta por Indra y Sacyr como valores defensivos, IAG y Repsol como cíclicos y Grifols con sensibilidad a las tires.</t>
  </si>
  <si>
    <t>Portfolio composed of Indra and Sacyr as defensive stocks, IAG and Repsol as cyclical stocks and Grifols with sensitivity to yields.</t>
  </si>
  <si>
    <t>General stock market discussions do not directly impact Repsol.</t>
  </si>
  <si>
    <r>
      <rPr>
        <rFont val="Arial, sans-serif"/>
        <color rgb="FF1155CC"/>
        <sz val="9.0"/>
        <u/>
      </rPr>
      <t>El Economista</t>
    </r>
    <r>
      <rPr>
        <rFont val="Arial, sans-serif"/>
        <color rgb="FF1155CC"/>
        <sz val="15.0"/>
        <u/>
      </rPr>
      <t>Talgo desarrollará el primer tren de alta velocidad de hidrógeno junto a empresas españolas</t>
    </r>
    <r>
      <rPr>
        <rFont val="Arial, sans-serif"/>
        <color rgb="FF1155CC"/>
        <sz val="11.0"/>
        <u/>
      </rPr>
      <t>Las empresas españolas quieren liderar el desarrollo del futuro tren de hidrógeno. A los proyectos de las fabricantes de trenes CAF y Talgo ya en marcha...</t>
    </r>
    <r>
      <rPr>
        <rFont val="Arial, sans-serif"/>
        <color rgb="FF1155CC"/>
        <sz val="12.0"/>
        <u/>
      </rPr>
      <t>.</t>
    </r>
    <r>
      <rPr>
        <rFont val="Arial, sans-serif"/>
        <color rgb="FF1155CC"/>
        <sz val="11.0"/>
        <u/>
      </rPr>
      <t>23 ene 2024</t>
    </r>
  </si>
  <si>
    <t>Talgo desarrollará el primer tren de alta velocidad de hidrógeno junto a empresas españolas</t>
  </si>
  <si>
    <t>Las empresas españolas quieren liderar el desarrollo del futuro tren de hidrógeno. A los proyectos de las fabricantes de trenes CAF y Talgo ya en marcha....</t>
  </si>
  <si>
    <t>Talgo will develop the first hydrogen high-speed train together with Spanish companies</t>
  </si>
  <si>
    <t>Spanish companies want to lead the development of the future hydrogen train. To the projects of the train manufacturers CAF and Talgo already underway....</t>
  </si>
  <si>
    <t>hydrogen train, Repsol support</t>
  </si>
  <si>
    <t>tren del hidrógeno, apoyo Repsol</t>
  </si>
  <si>
    <t>Investing in hydrogen-powered transport strengthens Repsol’s green energy initiatives.</t>
  </si>
  <si>
    <t>tren de hidrógeno, desarrollo</t>
  </si>
  <si>
    <t>Positive sentiment due to innovation in hydrogen-powered transportation.</t>
  </si>
  <si>
    <t>Sentimiento positivo debido a la innovación en el transporte impulsado por hidrógeno.</t>
  </si>
  <si>
    <r>
      <rPr>
        <rFont val="Arial, sans-serif"/>
        <color rgb="FF1155CC"/>
        <sz val="9.0"/>
        <u/>
      </rPr>
      <t>El Español</t>
    </r>
    <r>
      <rPr>
        <rFont val="Arial, sans-serif"/>
        <color rgb="FF1155CC"/>
        <sz val="15.0"/>
        <u/>
      </rPr>
      <t>La mejor tortilla de Castilla y León se sirve en este emblemático bar de León</t>
    </r>
    <r>
      <rPr>
        <rFont val="Arial, sans-serif"/>
        <color rgb="FF1155CC"/>
        <sz val="11.0"/>
        <u/>
      </rPr>
      <t>En el bar León Antiguo brilla un Solete Repsol gracias a su aclamada tortilla de patata.</t>
    </r>
    <r>
      <rPr>
        <rFont val="Arial, sans-serif"/>
        <color rgb="FF1155CC"/>
        <sz val="12.0"/>
        <u/>
      </rPr>
      <t>.</t>
    </r>
    <r>
      <rPr>
        <rFont val="Arial, sans-serif"/>
        <color rgb="FF1155CC"/>
        <sz val="11.0"/>
        <u/>
      </rPr>
      <t>23 ene 2024</t>
    </r>
  </si>
  <si>
    <t>La mejor tortilla de Castilla y León se sirve en este emblemático bar de León</t>
  </si>
  <si>
    <t>En el bar León Antiguo brilla un Solete Repsol gracias a su aclamada tortilla de patata.</t>
  </si>
  <si>
    <t>The best tortilla in Castilla y León is served in this emblematic bar in León</t>
  </si>
  <si>
    <t>At the León Antiguo bar, a Solete Repsol shines thanks to its acclaimed potato omelette.</t>
  </si>
  <si>
    <r>
      <rPr>
        <rFont val="Arial, sans-serif"/>
        <color rgb="FF1155CC"/>
        <sz val="9.0"/>
        <u/>
      </rPr>
      <t>Semanario Universidad</t>
    </r>
    <r>
      <rPr>
        <rFont val="Arial, sans-serif"/>
        <color rgb="FF1155CC"/>
        <sz val="15.0"/>
        <u/>
      </rPr>
      <t>Venezuela reflota con regreso de las compañías petroleras extranjeras</t>
    </r>
    <r>
      <rPr>
        <rFont val="Arial, sans-serif"/>
        <color rgb="FF1155CC"/>
        <sz val="11.0"/>
        <u/>
      </rPr>
      <t>En octubre del año pasado, las sanciones de EEUU contra Venezuela se flexibilizaron por seis meses ante la crisis energética mundial y con miras a las...</t>
    </r>
    <r>
      <rPr>
        <rFont val="Arial, sans-serif"/>
        <color rgb="FF1155CC"/>
        <sz val="12.0"/>
        <u/>
      </rPr>
      <t>.</t>
    </r>
    <r>
      <rPr>
        <rFont val="Arial, sans-serif"/>
        <color rgb="FF1155CC"/>
        <sz val="11.0"/>
        <u/>
      </rPr>
      <t>23 ene 2024</t>
    </r>
  </si>
  <si>
    <t>Semanario Universidad</t>
  </si>
  <si>
    <t>Venezuela reflota con regreso de las compañías petroleras extranjeras</t>
  </si>
  <si>
    <t>En octubre del año pasado, las sanciones de EEUU contra Venezuela se flexibilizaron por seis meses ante la crisis energética mundial y con miras a las....</t>
  </si>
  <si>
    <t>Venezuela revives with return of foreign oil companies</t>
  </si>
  <si>
    <t>In October of last year, US sanctions against Venezuela were relaxed for six months in the face of the global energy crisis and with a view to...</t>
  </si>
  <si>
    <t>Venezuelan oil policy changes do not directly affect Repsol.</t>
  </si>
  <si>
    <r>
      <rPr>
        <rFont val="Arial, sans-serif"/>
        <color rgb="FF1155CC"/>
        <sz val="9.0"/>
        <u/>
      </rPr>
      <t>Universidad de Granada</t>
    </r>
    <r>
      <rPr>
        <rFont val="Arial, sans-serif"/>
        <color rgb="FF1155CC"/>
        <sz val="15.0"/>
        <u/>
      </rPr>
      <t>La UGR obtiene, en colaboración con Repsol, una de las cátedras universidad-empresa en I.A.</t>
    </r>
    <r>
      <rPr>
        <rFont val="Arial, sans-serif"/>
        <color rgb="FF1155CC"/>
        <sz val="11.0"/>
        <u/>
      </rPr>
      <t>La Universidad de Granada, en colaboración con Repsol, ha conseguido una financiación de 1,6 millones de euros para crear una cátedra universidad-empresa...</t>
    </r>
    <r>
      <rPr>
        <rFont val="Arial, sans-serif"/>
        <color rgb="FF1155CC"/>
        <sz val="12.0"/>
        <u/>
      </rPr>
      <t>.</t>
    </r>
    <r>
      <rPr>
        <rFont val="Arial, sans-serif"/>
        <color rgb="FF1155CC"/>
        <sz val="11.0"/>
        <u/>
      </rPr>
      <t>24 ene 2024</t>
    </r>
  </si>
  <si>
    <t>Universidad de Granada</t>
  </si>
  <si>
    <t>La UGR obtiene, en colaboración con Repsol, una de las cátedras universidad-empresa en I.A.</t>
  </si>
  <si>
    <t>La Universidad de Granada, en colaboración con Repsol, ha conseguido una financiación de 1,6 millones de euros para crear una cátedra universidad-empresa.</t>
  </si>
  <si>
    <t>The UGR obtains, in collaboration with Repsol, one of the university-business chairs in A.I.</t>
  </si>
  <si>
    <t>The University of Granada, in collaboration with Repsol, has obtained funding of 1.6 million euros to create a university-business chair.</t>
  </si>
  <si>
    <t>Innovation</t>
  </si>
  <si>
    <t>European patent, Repsol collaboration</t>
  </si>
  <si>
    <t>Patente europea, Colaboración Repsol</t>
  </si>
  <si>
    <t>Partnering on research projects enhances Repsol’s reputation in technological advancements.</t>
  </si>
  <si>
    <t>cátedra universidad-empresa, inteligencia artificial</t>
  </si>
  <si>
    <t>Positive sentiment due to collaboration on AI research.</t>
  </si>
  <si>
    <t>Sentimiento positivo debido a la colaboración en la investigación de la IA.</t>
  </si>
  <si>
    <r>
      <rPr>
        <rFont val="Arial, sans-serif"/>
        <color rgb="FF1155CC"/>
        <sz val="9.0"/>
        <u/>
      </rPr>
      <t>La Vanguardia</t>
    </r>
    <r>
      <rPr>
        <rFont val="Arial, sans-serif"/>
        <color rgb="FF1155CC"/>
        <sz val="15.0"/>
        <u/>
      </rPr>
      <t>Repsol contempla unos precios del Brent y del gas estables para 2024</t>
    </r>
    <r>
      <rPr>
        <rFont val="Arial, sans-serif"/>
        <color rgb="FF1155CC"/>
        <sz val="11.0"/>
        <u/>
      </rPr>
      <t>MADRID, 24 (SERVIMEDIA) El Servicio de Estudios de Repsol contempla que el precio del Brent se mantenga entre 80 y 85 dólares el barril y unos precios del...</t>
    </r>
    <r>
      <rPr>
        <rFont val="Arial, sans-serif"/>
        <color rgb="FF1155CC"/>
        <sz val="12.0"/>
        <u/>
      </rPr>
      <t>.</t>
    </r>
    <r>
      <rPr>
        <rFont val="Arial, sans-serif"/>
        <color rgb="FF1155CC"/>
        <sz val="11.0"/>
        <u/>
      </rPr>
      <t>24 ene 2024</t>
    </r>
  </si>
  <si>
    <t>Repsol contempla unos precios del Brent y del gas estables para 2024</t>
  </si>
  <si>
    <t>El Servicio de Estudios de Repsol contempla que el precio del Brent se mantenga entre 80 y 85 dólares el barril y unos precios del....</t>
  </si>
  <si>
    <t>Repsol contemplates stable Brent and gas prices for 2024</t>
  </si>
  <si>
    <t>The Repsol Research Service contemplates that the price of Brent will remain between 80 and 85 dollars per barrel and prices of...</t>
  </si>
  <si>
    <t>Brent price, gas stability</t>
  </si>
  <si>
    <t>Precio Brent, estabilidad del gas</t>
  </si>
  <si>
    <t>Stable oil and gas prices provide a positive outlook for Repsol’s financial planning.</t>
  </si>
  <si>
    <r>
      <rPr>
        <rFont val="Arial, sans-serif"/>
        <color rgb="FF1155CC"/>
        <sz val="9.0"/>
        <u/>
      </rPr>
      <t>www.fundacionrepsol.com</t>
    </r>
    <r>
      <rPr>
        <rFont val="Arial, sans-serif"/>
        <color rgb="FF1155CC"/>
        <sz val="15.0"/>
        <u/>
      </rPr>
      <t>Más de 30 mujeres víctimas de violencia de género logran empleo gracias a Fundación Repsol e Integra</t>
    </r>
    <r>
      <rPr>
        <rFont val="Arial, sans-serif"/>
        <color rgb="FF1155CC"/>
        <sz val="11.0"/>
        <u/>
      </rPr>
      <t>El proyecto 'Im-pacto: Generando nuevas oportunidades' logra devolver la confianza y autoestima a mujeres en situación de vulnerabilidad.</t>
    </r>
    <r>
      <rPr>
        <rFont val="Arial, sans-serif"/>
        <color rgb="FF1155CC"/>
        <sz val="12.0"/>
        <u/>
      </rPr>
      <t>.</t>
    </r>
    <r>
      <rPr>
        <rFont val="Arial, sans-serif"/>
        <color rgb="FF1155CC"/>
        <sz val="11.0"/>
        <u/>
      </rPr>
      <t>24 ene 2024</t>
    </r>
  </si>
  <si>
    <t>www.fundacionrepsol.com</t>
  </si>
  <si>
    <t>Más de 30 mujeres víctimas de violencia de género logran empleo gracias a Fundación Repsol e Integra</t>
  </si>
  <si>
    <t>Más de 30 mujeres víctimas de violencia de género logran empleo gracias a Fundación Repsol e Integra. El proyecto 'Im-pacto: Generando nuevas oportunidades' logra devolver la confianza y autoestima a mujeres en situación de vulnerabilidad.</t>
  </si>
  <si>
    <t>More than 30 women victims of gender violence find employment thanks to the Repsol and Integra Foundation</t>
  </si>
  <si>
    <t>More than 30 women victims of gender violence find employment thanks to the Repsol and Integra Foundation. The 'Im-pacto: Generating new opportunities' project manages to restore confidence and self-esteem to women in vulnerable situations.</t>
  </si>
  <si>
    <t>Social Responsibility</t>
  </si>
  <si>
    <t>social initiative, gender violence victims</t>
  </si>
  <si>
    <t>iniciativa social, víctimas de violencia de género</t>
  </si>
  <si>
    <t>Supporting social programs enhances Repsol’s corporate social responsibility image.</t>
  </si>
  <si>
    <t>Fundación Repsol, empleo, violencia de género</t>
  </si>
  <si>
    <t>Highly positive sentiment due to social impact and support for vulnerable women.</t>
  </si>
  <si>
    <t>Sentimiento muy positivo por impacto social y apoyo a mujeres vulnerables.</t>
  </si>
  <si>
    <r>
      <rPr>
        <rFont val="Arial, sans-serif"/>
        <color rgb="FF1155CC"/>
        <sz val="9.0"/>
        <u/>
      </rPr>
      <t>Interempresas.net</t>
    </r>
    <r>
      <rPr>
        <rFont val="Arial, sans-serif"/>
        <color rgb="FF1155CC"/>
        <sz val="15.0"/>
        <u/>
      </rPr>
      <t>Repsol inaugura un proyecto para utilizar combustibles renovables en el transporte público en Castilla y León</t>
    </r>
    <r>
      <rPr>
        <rFont val="Arial, sans-serif"/>
        <color rgb="FF1155CC"/>
        <sz val="11.0"/>
        <u/>
      </rPr>
      <t>La Junta de Castilla y León, y Repsol han lanzado conjuntamente un proyecto piloto para promover el uso de combustibles renovables en siete rutas del...</t>
    </r>
    <r>
      <rPr>
        <rFont val="Arial, sans-serif"/>
        <color rgb="FF1155CC"/>
        <sz val="12.0"/>
        <u/>
      </rPr>
      <t>.</t>
    </r>
    <r>
      <rPr>
        <rFont val="Arial, sans-serif"/>
        <color rgb="FF1155CC"/>
        <sz val="11.0"/>
        <u/>
      </rPr>
      <t>24 ene 2024</t>
    </r>
  </si>
  <si>
    <t>Repsol inaugura un proyecto para utilizar combustibles renovables en el transporte público en Castilla y León</t>
  </si>
  <si>
    <t>La Junta de Castilla y León, y Repsol han lanzado conjuntamente un proyecto piloto para promover el uso de combustibles renovables en siete rutas del....</t>
  </si>
  <si>
    <t>Repsol inaugurates a project to use renewable fuels in public transport in Castilla y León</t>
  </si>
  <si>
    <t>The Junta de Castilla y León and Repsol have jointly launched a pilot project to promote the use of renewable fuels on seven routes of the...</t>
  </si>
  <si>
    <t>renewable hydrogen, industrial processes</t>
  </si>
  <si>
    <t>hidrógeno renovable, procesos industriales</t>
  </si>
  <si>
    <t>Investing in hydrogen for industrial use strengthens Repsol’s commitment to decarbonization.</t>
  </si>
  <si>
    <t>combustibles renovables, transporte público</t>
  </si>
  <si>
    <t>Positive sentiment due to renewable energy initiatives in public transport.</t>
  </si>
  <si>
    <t>Sentimiento positivo debido a las iniciativas de energías renovables en el transporte público.</t>
  </si>
  <si>
    <r>
      <rPr>
        <rFont val="Arial, sans-serif"/>
        <color rgb="FF1155CC"/>
        <sz val="9.0"/>
        <u/>
      </rPr>
      <t>El Confidencial</t>
    </r>
    <r>
      <rPr>
        <rFont val="Arial, sans-serif"/>
        <color rgb="FF1155CC"/>
        <sz val="15.0"/>
        <u/>
      </rPr>
      <t>Repsol inicia la venta de gasolina 100% renovable, al mismo precio que la gasolina 98</t>
    </r>
    <r>
      <rPr>
        <rFont val="Arial, sans-serif"/>
        <color rgb="FF1155CC"/>
        <sz val="11.0"/>
        <u/>
      </rPr>
      <t>La gasolina hecha a partir de residuos llega a las estaciones de Repsol, como hizo el diésel renovable en 2022. La compañía quiere superar las 600...</t>
    </r>
    <r>
      <rPr>
        <rFont val="Arial, sans-serif"/>
        <color rgb="FF1155CC"/>
        <sz val="12.0"/>
        <u/>
      </rPr>
      <t>.</t>
    </r>
    <r>
      <rPr>
        <rFont val="Arial, sans-serif"/>
        <color rgb="FF1155CC"/>
        <sz val="11.0"/>
        <u/>
      </rPr>
      <t>24 ene 2024</t>
    </r>
  </si>
  <si>
    <t>El Confidencial</t>
  </si>
  <si>
    <t>Repsol inicia la venta de gasolina 100% renovable, al mismo precio que la gasolina 98</t>
  </si>
  <si>
    <t>La gasolina hecha a partir de residuos llega a las estaciones de Repsol, como hizo el diésel renovable en 2022. La compañía quiere superar las 600....</t>
  </si>
  <si>
    <t>Repsol begins the sale of 100% renewable gasoline, at the same price as 98 gasoline</t>
  </si>
  <si>
    <t>Gasoline made from waste reaches Repsol stations, as did renewable diesel in 2022. The company wants to exceed 600...</t>
  </si>
  <si>
    <t>100% renewable gasoline, alternative fuel</t>
  </si>
  <si>
    <t>gasolina 100% renovable, combustible alternativo</t>
  </si>
  <si>
    <t>Introducing 100% renewable gasoline reinforces Repsol’s leadership in clean energy.</t>
  </si>
  <si>
    <t>gasolina renovable, residuos</t>
  </si>
  <si>
    <t>Highly positive sentiment due to renewable fuel availability.</t>
  </si>
  <si>
    <t>Sentimiento muy positivo debido a la disponibilidad de combustibles renovables.</t>
  </si>
  <si>
    <r>
      <rPr>
        <rFont val="Arial, sans-serif"/>
        <color rgb="FF1155CC"/>
        <sz val="9.0"/>
        <u/>
      </rPr>
      <t>Guía Repsol</t>
    </r>
    <r>
      <rPr>
        <rFont val="Arial, sans-serif"/>
        <color rgb="FF1155CC"/>
        <sz val="15.0"/>
        <u/>
      </rPr>
      <t>Soletes dónde comer durante carnavales en Cádiz</t>
    </r>
    <r>
      <rPr>
        <rFont val="Arial, sans-serif"/>
        <color rgb="FF1155CC"/>
        <sz val="11.0"/>
        <u/>
      </rPr>
      <t>Los disfraces ya están listos, el concurso de agrupaciones de carnaval en el Teatro Falla es un evento cultural a nivel nacional, y visitantes de otras...</t>
    </r>
    <r>
      <rPr>
        <rFont val="Arial, sans-serif"/>
        <color rgb="FF1155CC"/>
        <sz val="12.0"/>
        <u/>
      </rPr>
      <t>.</t>
    </r>
    <r>
      <rPr>
        <rFont val="Arial, sans-serif"/>
        <color rgb="FF1155CC"/>
        <sz val="11.0"/>
        <u/>
      </rPr>
      <t>24 ene 2024</t>
    </r>
  </si>
  <si>
    <t>Soletes dónde comer durante carnavales en Cádiz</t>
  </si>
  <si>
    <t>Los disfraces ya están listos, el concurso de agrupaciones de carnaval en el Teatro Falla es un evento cultural a nivel nacional, y visitantes de otras....</t>
  </si>
  <si>
    <t>Soletes where to eat during carnivals in Cádiz</t>
  </si>
  <si>
    <t>The costumes are ready, the carnival group contest at the Falla Theater is a national cultural event, and visitors from other...</t>
  </si>
  <si>
    <r>
      <rPr>
        <rFont val="Arial, sans-serif"/>
        <color rgb="FF1155CC"/>
        <sz val="9.0"/>
        <u/>
      </rPr>
      <t>Forbes España</t>
    </r>
    <r>
      <rPr>
        <rFont val="Arial, sans-serif"/>
        <color rgb="FF1155CC"/>
        <sz val="15.0"/>
        <u/>
      </rPr>
      <t>Cartagena acogerá el 4 de marzo la gala de los Soles Guía Repsol 2024</t>
    </r>
    <r>
      <rPr>
        <rFont val="Arial, sans-serif"/>
        <color rgb="FF1155CC"/>
        <sz val="11.0"/>
        <u/>
      </rPr>
      <t>Cartagena acogerá el próximo 4 de marzo la gala de los Soles Guía Repsol 2024, tras el acuerdo alcanzado por la Región de Murcia y Guía Repsol para que la.</t>
    </r>
    <r>
      <rPr>
        <rFont val="Arial, sans-serif"/>
        <color rgb="FF1155CC"/>
        <sz val="12.0"/>
        <u/>
      </rPr>
      <t>.</t>
    </r>
    <r>
      <rPr>
        <rFont val="Arial, sans-serif"/>
        <color rgb="FF1155CC"/>
        <sz val="11.0"/>
        <u/>
      </rPr>
      <t>24 ene 2024</t>
    </r>
  </si>
  <si>
    <t>Forbes España</t>
  </si>
  <si>
    <t>Cartagena acogerá el 4 de marzo la gala de los Soles Guía Repsol 2024</t>
  </si>
  <si>
    <t>Cartagena acogerá el próximo 4 de marzo la gala de los Soles Guía Repsol 2024, tras el acuerdo alcanzado por la Región de Murcia y Guía Repsol para que la..</t>
  </si>
  <si>
    <t>Cartagena will host the Repsol Guide 2024 Suns gala on March 4</t>
  </si>
  <si>
    <t>Cartagena will host the 2024 Repsol Guide Suns gala on March 4, following the agreement reached by the Region of Murcia and Repsol Guide so that the..</t>
  </si>
  <si>
    <r>
      <rPr>
        <rFont val="Arial, sans-serif"/>
        <color rgb="FF1155CC"/>
        <sz val="9.0"/>
        <u/>
      </rPr>
      <t>Canal UGR</t>
    </r>
    <r>
      <rPr>
        <rFont val="Arial, sans-serif"/>
        <color rgb="FF1155CC"/>
        <sz val="15.0"/>
        <u/>
      </rPr>
      <t>La UGR obtiene, en colaboración con Repsol, una de las cátedras universidad-empresa en Inteligencia Artificial otorgadas por el Ministerio de Asuntos Económicos y Transformación Digital</t>
    </r>
    <r>
      <rPr>
        <rFont val="Arial, sans-serif"/>
        <color rgb="FF1155CC"/>
        <sz val="11.0"/>
        <u/>
      </rPr>
      <t>Está financiada con 1,6 millones de euros en cuatro años y permitirá desarrollar el proyecto 'Inteligencia Artificial Ética, Responsable y de Propósito...</t>
    </r>
    <r>
      <rPr>
        <rFont val="Arial, sans-serif"/>
        <color rgb="FF1155CC"/>
        <sz val="12.0"/>
        <u/>
      </rPr>
      <t>.</t>
    </r>
    <r>
      <rPr>
        <rFont val="Arial, sans-serif"/>
        <color rgb="FF1155CC"/>
        <sz val="11.0"/>
        <u/>
      </rPr>
      <t>24 ene 2024</t>
    </r>
  </si>
  <si>
    <t>Canal UGR</t>
  </si>
  <si>
    <t>La UGR obtiene, en colaboración con Repsol, una de las cátedras universidad-empresa en Inteligencia Artificial otorgadas por el Ministerio de Asuntos Económicos y Transformación Digital</t>
  </si>
  <si>
    <t>La UGR obtiene, en colaboración con Repsol, una de las cátedras universidad-empresa en Inteligencia Artificial otorgadas por el Ministerio de Asuntos Económicos y Transformación Digital. Está financiada con 1,6 millones de euros en cuatro años y permitirá desarrollar el proyecto 'Inteligencia Artificial Ética, Responsable y de Propósito'.</t>
  </si>
  <si>
    <t>The UGR obtains, in collaboration with Repsol, one of the university-business chairs in Artificial Intelligence awarded by the Ministry of Economic Affairs and Digital Transformation</t>
  </si>
  <si>
    <t>The UGR obtains, in collaboration with Repsol, one of the university-business chairs in Artificial Intelligence awarded by the Ministry of Economic Affairs and Digital Transformation. It is financed with 1.6 million euros over four years and will allow the development of the 'Ethical, Responsible and Purposeful Artificial Intelligence' project.</t>
  </si>
  <si>
    <t>Research partnerships strengthen Repsol’s reputation in technological advancements.</t>
  </si>
  <si>
    <r>
      <rPr>
        <rFont val="Arial, sans-serif"/>
        <color rgb="FF1155CC"/>
        <sz val="9.0"/>
        <u/>
      </rPr>
      <t>Diario de Valderrueda</t>
    </r>
    <r>
      <rPr>
        <rFont val="Arial, sans-serif"/>
        <color rgb="FF1155CC"/>
        <sz val="15.0"/>
        <u/>
      </rPr>
      <t>Promueven los combustibles renovables en 7 rutas de transporte público de la Montaña Palentina</t>
    </r>
    <r>
      <rPr>
        <rFont val="Arial, sans-serif"/>
        <color rgb="FF1155CC"/>
        <sz val="11.0"/>
        <u/>
      </rPr>
      <t>Diario de Valderrueda - Este proyecto piloto, impulsado por la Junta y Repsol, se ha presentado hoy en las instalaciones de la empresa concesionaria del...</t>
    </r>
    <r>
      <rPr>
        <rFont val="Arial, sans-serif"/>
        <color rgb="FF1155CC"/>
        <sz val="12.0"/>
        <u/>
      </rPr>
      <t>.</t>
    </r>
    <r>
      <rPr>
        <rFont val="Arial, sans-serif"/>
        <color rgb="FF1155CC"/>
        <sz val="11.0"/>
        <u/>
      </rPr>
      <t>24 ene 2024</t>
    </r>
  </si>
  <si>
    <t>Diario de Valderrueda</t>
  </si>
  <si>
    <t>Promueven los combustibles renovables en 7 rutas de transporte público de la Montaña Palentina</t>
  </si>
  <si>
    <t>Este proyecto piloto, impulsado por la Junta y Repsol, se ha presentado hoy en las instalaciones de la empresa concesionaria del....</t>
  </si>
  <si>
    <t>They promote renewable fuels on 7 public transport routes in the Palentina Mountain</t>
  </si>
  <si>
    <t>This pilot project, promoted by the Board and Repsol, was presented today at the facilities of the concessionaire company of the...</t>
  </si>
  <si>
    <t>renewable fuels, public transport</t>
  </si>
  <si>
    <t>Expanding renewable fuels to public transport aligns with Repsol’s green energy goals.</t>
  </si>
  <si>
    <r>
      <rPr>
        <rFont val="Arial, sans-serif"/>
        <color rgb="FF1155CC"/>
        <sz val="9.0"/>
        <u/>
      </rPr>
      <t>MotorcycleSports</t>
    </r>
    <r>
      <rPr>
        <rFont val="Arial, sans-serif"/>
        <color rgb="FF1155CC"/>
        <sz val="15.0"/>
        <u/>
      </rPr>
      <t>La intensa temporada con Honda para Jorge Lorenzo: ‘Prácticamente no viví’.</t>
    </r>
    <r>
      <rPr>
        <rFont val="Arial, sans-serif"/>
        <color rgb="FF1155CC"/>
        <sz val="11.0"/>
        <u/>
      </rPr>
      <t>Después de dos años en Ducati que no dieron los resultados deseados en un tiempo oportuno, Jorge Lorenzo se mudó a Repsol Honda en la temporada 2019 de...</t>
    </r>
    <r>
      <rPr>
        <rFont val="Arial, sans-serif"/>
        <color rgb="FF1155CC"/>
        <sz val="12.0"/>
        <u/>
      </rPr>
      <t>.</t>
    </r>
    <r>
      <rPr>
        <rFont val="Arial, sans-serif"/>
        <color rgb="FF1155CC"/>
        <sz val="11.0"/>
        <u/>
      </rPr>
      <t>24 ene 2024</t>
    </r>
  </si>
  <si>
    <t>La intensa temporada con Honda para Jorge Lorenzo: ‘Prácticamente no viví’</t>
  </si>
  <si>
    <t>Después de dos años en Ducati que no dieron los resultados deseados en un tiempo oportuno, Jorge Lorenzo se mudó a Repsol Honda en la temporada 2019 de....</t>
  </si>
  <si>
    <t>The intense season with Honda for Jorge Lorenzo: 'I practically didn't live'</t>
  </si>
  <si>
    <t>After two years at Ducati that did not give the desired results in a timely manner, Jorge Lorenzo moved to Repsol Honda for the 2019 season....</t>
  </si>
  <si>
    <r>
      <rPr>
        <rFont val="Arial, sans-serif"/>
        <color rgb="FF1155CC"/>
        <sz val="9.0"/>
        <u/>
      </rPr>
      <t>Sierra Nevada</t>
    </r>
    <r>
      <rPr>
        <rFont val="Arial, sans-serif"/>
        <color rgb="FF1155CC"/>
        <sz val="15.0"/>
        <u/>
      </rPr>
      <t>Sierra Nevada se alía con Repsol para reducir las emisiones de la estación</t>
    </r>
    <r>
      <rPr>
        <rFont val="Arial, sans-serif"/>
        <color rgb="FF1155CC"/>
        <sz val="11.0"/>
        <u/>
      </rPr>
      <t>Cetursa Sierra Nevada y Repsol han firmado un acuerdo para buscar soluciones energéticas sostenibles con el fin de que la estación de esquí alcance la...</t>
    </r>
    <r>
      <rPr>
        <rFont val="Arial, sans-serif"/>
        <color rgb="FF1155CC"/>
        <sz val="12.0"/>
        <u/>
      </rPr>
      <t>.</t>
    </r>
    <r>
      <rPr>
        <rFont val="Arial, sans-serif"/>
        <color rgb="FF1155CC"/>
        <sz val="11.0"/>
        <u/>
      </rPr>
      <t>25 ene 2024</t>
    </r>
  </si>
  <si>
    <t>Sierra Nevada</t>
  </si>
  <si>
    <t>Sierra Nevada se alía con Repsol para reducir las emisiones de la estación</t>
  </si>
  <si>
    <t>Cetursa Sierra Nevada y Repsol han firmado un acuerdo para buscar soluciones energéticas sostenibles con el fin de que la estación de esquí alcance la....</t>
  </si>
  <si>
    <t>Sierra Nevada joins forces with Repsol to reduce the station's emissions</t>
  </si>
  <si>
    <t>Cetursa Sierra Nevada and Repsol have signed an agreement to seek sustainable energy solutions in order for the ski resort to reach...</t>
  </si>
  <si>
    <t>reduce emissions, Sierra Nevada partnership</t>
  </si>
  <si>
    <t>reducir emisiones, colaboración Sierra Nevada</t>
  </si>
  <si>
    <t>Partnerships to cut emissions enhance Repsol’s sustainability efforts.</t>
  </si>
  <si>
    <t>emisiones, soluciones energéticas sostenibles</t>
  </si>
  <si>
    <t>Positive sentiment due to sustainability efforts.</t>
  </si>
  <si>
    <t>Sentimiento positivo debido a los esfuerzos de sostenibilidad.</t>
  </si>
  <si>
    <r>
      <rPr>
        <rFont val="Arial, sans-serif"/>
        <color rgb="FF1155CC"/>
        <sz val="9.0"/>
        <u/>
      </rPr>
      <t>Palencia en la Red</t>
    </r>
    <r>
      <rPr>
        <rFont val="Arial, sans-serif"/>
        <color rgb="FF1155CC"/>
        <sz val="15.0"/>
        <u/>
      </rPr>
      <t>La Junta y Repsol promueven la utilización de combustibles renovables en rutas del transporte público de Palencia</t>
    </r>
    <r>
      <rPr>
        <rFont val="Arial, sans-serif"/>
        <color rgb="FF1155CC"/>
        <sz val="11.0"/>
        <u/>
      </rPr>
      <t>La directora general de Transportes y Logística de la Junta y la gerente senior de Productos Energéticos de la compañía multienergética Repsol han.</t>
    </r>
    <r>
      <rPr>
        <rFont val="Arial, sans-serif"/>
        <color rgb="FF1155CC"/>
        <sz val="12.0"/>
        <u/>
      </rPr>
      <t>.</t>
    </r>
    <r>
      <rPr>
        <rFont val="Arial, sans-serif"/>
        <color rgb="FF1155CC"/>
        <sz val="11.0"/>
        <u/>
      </rPr>
      <t>25 ene 2024</t>
    </r>
  </si>
  <si>
    <t>Palencia en la Red</t>
  </si>
  <si>
    <t>La Junta y Repsol promueven la utilización de combustibles renovables en rutas del transporte público de Palencia</t>
  </si>
  <si>
    <t>La directora general de Transportes y Logística de la Junta y la gerente senior de Productos Energéticos de la compañía multienergética Repsol han promovido la utilización de combustibles renovables en rutas del transporte público de Palencia.</t>
  </si>
  <si>
    <t>The Board and Repsol promote the use of renewable fuels on public transport routes in Palencia</t>
  </si>
  <si>
    <t>The general director of Transport and Logistics of the Board and the senior manager of Energy Products of the multi-energy company Repsol have promoted the use of renewable fuels on public transport routes in Palencia.</t>
  </si>
  <si>
    <t>renewable fuels, Castilla y León</t>
  </si>
  <si>
    <t>combustibles renovables, Castilla y León</t>
  </si>
  <si>
    <t>Promoting renewable fuels at a regional level strengthens Repsol’s green energy strategy.</t>
  </si>
  <si>
    <r>
      <rPr>
        <rFont val="Arial, sans-serif"/>
        <color rgb="FF1155CC"/>
        <sz val="9.0"/>
        <u/>
      </rPr>
      <t>Repsol</t>
    </r>
    <r>
      <rPr>
        <rFont val="Arial, sans-serif"/>
        <color rgb="FF1155CC"/>
        <sz val="15.0"/>
        <u/>
      </rPr>
      <t>Computación cuántica: qué es, ejemplos y usos</t>
    </r>
    <r>
      <rPr>
        <rFont val="Arial, sans-serif"/>
        <color rgb="FF1155CC"/>
        <sz val="11.0"/>
        <u/>
      </rPr>
      <t>Descubre que es la computación cuántica, considerada por algunos científicos, la gran revolución tecnológica de este siglo.</t>
    </r>
    <r>
      <rPr>
        <rFont val="Arial, sans-serif"/>
        <color rgb="FF1155CC"/>
        <sz val="12.0"/>
        <u/>
      </rPr>
      <t>.</t>
    </r>
    <r>
      <rPr>
        <rFont val="Arial, sans-serif"/>
        <color rgb="FF1155CC"/>
        <sz val="11.0"/>
        <u/>
      </rPr>
      <t>25 ene 2024</t>
    </r>
  </si>
  <si>
    <t>Computación cuántica: qué es, ejemplos y usos</t>
  </si>
  <si>
    <t>Descubre que es la computación cuántica, considerada por algunos científicos, la gran revolución tecnológica de este siglo.</t>
  </si>
  <si>
    <t>Quantum computing: what it is, examples and uses</t>
  </si>
  <si>
    <t>Discover what quantum computing is, considered by some scientists to be the great technological revolution of this century.</t>
  </si>
  <si>
    <r>
      <rPr>
        <rFont val="Arial, sans-serif"/>
        <color rgb="FF1155CC"/>
        <sz val="9.0"/>
        <u/>
      </rPr>
      <t>La Vanguardia</t>
    </r>
    <r>
      <rPr>
        <rFont val="Arial, sans-serif"/>
        <color rgb="FF1155CC"/>
        <sz val="15.0"/>
        <u/>
      </rPr>
      <t>Cartagena, la ciudad elegida para acoger la gala de los Soles Guía Repsol 2024</t>
    </r>
    <r>
      <rPr>
        <rFont val="Arial, sans-serif"/>
        <color rgb="FF1155CC"/>
        <sz val="11.0"/>
        <u/>
      </rPr>
      <t>Por fin se ha desvelado cuál es la ciudad elegida por la Guía Repsol para entregar sus soles este 2024: será Cartagena, en Murcia, la ciudad que el próximo...</t>
    </r>
    <r>
      <rPr>
        <rFont val="Arial, sans-serif"/>
        <color rgb="FF1155CC"/>
        <sz val="12.0"/>
        <u/>
      </rPr>
      <t>.</t>
    </r>
    <r>
      <rPr>
        <rFont val="Arial, sans-serif"/>
        <color rgb="FF1155CC"/>
        <sz val="11.0"/>
        <u/>
      </rPr>
      <t>25 ene 2024</t>
    </r>
  </si>
  <si>
    <t>Cartagena, la ciudad elegida para acoger la gala de los Soles Guía Repsol 2024</t>
  </si>
  <si>
    <t>Por fin se ha desvelado cuál es la ciudad elegida por la Guía Repsol para entregar sus soles este 2024: será Cartagena, en Murcia, la ciudad que el próximo....</t>
  </si>
  <si>
    <t>Cartagena, the city chosen to host the Suns gala Repsol Guide 2024</t>
  </si>
  <si>
    <t>The city chosen by the Repsol Guide to deliver its soles this 2024 has finally been revealed: it will be Cartagena, in Murcia, the city that next...</t>
  </si>
  <si>
    <r>
      <rPr>
        <rFont val="Arial, sans-serif"/>
        <color rgb="FF1155CC"/>
        <sz val="9.0"/>
        <u/>
      </rPr>
      <t>Car and Driver</t>
    </r>
    <r>
      <rPr>
        <rFont val="Arial, sans-serif"/>
        <color rgb="FF1155CC"/>
        <sz val="15.0"/>
        <u/>
      </rPr>
      <t>La nueva gasolina y diesel que ya se vende en 46 estaciones de servicio de España</t>
    </r>
    <r>
      <rPr>
        <rFont val="Arial, sans-serif"/>
        <color rgb="FF1155CC"/>
        <sz val="11.0"/>
        <u/>
      </rPr>
      <t>Están disponibles en varias zonas de España y no requieren realizar cambios en el motor de tu vehículo.</t>
    </r>
    <r>
      <rPr>
        <rFont val="Arial, sans-serif"/>
        <color rgb="FF1155CC"/>
        <sz val="12.0"/>
        <u/>
      </rPr>
      <t>.</t>
    </r>
    <r>
      <rPr>
        <rFont val="Arial, sans-serif"/>
        <color rgb="FF1155CC"/>
        <sz val="11.0"/>
        <u/>
      </rPr>
      <t>25 ene 2024</t>
    </r>
  </si>
  <si>
    <t>La nueva gasolina y diesel que ya se vende en 46 estaciones de servicio de España</t>
  </si>
  <si>
    <t>Están disponibles en varias zonas de España y no requieren realizar cambios en el motor de tu vehículo.</t>
  </si>
  <si>
    <t>The new gasoline and diesel that is already sold in 46 service stations in Spain</t>
  </si>
  <si>
    <t>They are available in several areas of Spain and do not require changes to your vehicle's engine.</t>
  </si>
  <si>
    <t>new gasoline, alternative fuel</t>
  </si>
  <si>
    <t>gasolina nueva, combustible alternativo</t>
  </si>
  <si>
    <t>Expanding alternative fuel options reinforces Repsol’s role in sustainable energy.</t>
  </si>
  <si>
    <r>
      <rPr>
        <rFont val="Arial, sans-serif"/>
        <color rgb="FF1155CC"/>
        <sz val="9.0"/>
        <u/>
      </rPr>
      <t>20Minutos</t>
    </r>
    <r>
      <rPr>
        <rFont val="Arial, sans-serif"/>
        <color rgb="FF1155CC"/>
        <sz val="15.0"/>
        <u/>
      </rPr>
      <t>Iberdrola pide una "regulación estable" y Repsol, ampliar leyes demasiado "estrechas" para que la industria pueda descarbonizarse</t>
    </r>
    <r>
      <rPr>
        <rFont val="Arial, sans-serif"/>
        <color rgb="FF1155CC"/>
        <sz val="11.0"/>
        <u/>
      </rPr>
      <t>El consenso político en torno a la necesidad de empezar a abandonar el uso de combustibles fósiles y descarbonizar la economía se extiende desde la última...</t>
    </r>
    <r>
      <rPr>
        <rFont val="Arial, sans-serif"/>
        <color rgb="FF1155CC"/>
        <sz val="12.0"/>
        <u/>
      </rPr>
      <t>.</t>
    </r>
    <r>
      <rPr>
        <rFont val="Arial, sans-serif"/>
        <color rgb="FF1155CC"/>
        <sz val="11.0"/>
        <u/>
      </rPr>
      <t>25 ene 2024</t>
    </r>
  </si>
  <si>
    <t>Iberdrola pide una "regulación estable" y Repsol, ampliar leyes demasiado "estrechas" para que la industria pueda descarbonizarse</t>
  </si>
  <si>
    <t>Iberdrola pide una "regulación estable" y Repsol, ampliar leyes demasiado "estrechas" para que la industria pueda descarbonizarse.</t>
  </si>
  <si>
    <t>Iberdrola calls for "stable regulation" and Repsol, to expand laws that are too "narrow" so that the industry can decarbonize</t>
  </si>
  <si>
    <t>Iberdrola calls for "stable regulation" and Repsol calls for expanding laws that are too "narrow" so that the industry can decarbonize.</t>
  </si>
  <si>
    <t>regulation, interventionism</t>
  </si>
  <si>
    <t>regulación, intervencionismo</t>
  </si>
  <si>
    <t>Regulatory disagreements may create tensions affecting Repsol’s business environment.</t>
  </si>
  <si>
    <r>
      <rPr>
        <rFont val="Arial, sans-serif"/>
        <color rgb="FF1155CC"/>
        <sz val="9.0"/>
        <u/>
      </rPr>
      <t>C'Mon Murcia</t>
    </r>
    <r>
      <rPr>
        <rFont val="Arial, sans-serif"/>
        <color rgb="FF1155CC"/>
        <sz val="15.0"/>
        <u/>
      </rPr>
      <t>Cartagena acogerá la próxima gala de los Soles Guía Repsol 2024</t>
    </r>
    <r>
      <rPr>
        <rFont val="Arial, sans-serif"/>
        <color rgb="FF1155CC"/>
        <sz val="11.0"/>
        <u/>
      </rPr>
      <t>Cartagena acogerá la próxima gala de los Soles Guía Repsol 2024. Tendrá lugar el 4 de marzo y será la primera vez que la ciudad acoja este evento.</t>
    </r>
    <r>
      <rPr>
        <rFont val="Arial, sans-serif"/>
        <color rgb="FF1155CC"/>
        <sz val="12.0"/>
        <u/>
      </rPr>
      <t>.</t>
    </r>
    <r>
      <rPr>
        <rFont val="Arial, sans-serif"/>
        <color rgb="FF1155CC"/>
        <sz val="11.0"/>
        <u/>
      </rPr>
      <t>25 ene 2024</t>
    </r>
  </si>
  <si>
    <t>C'Mon Murcia</t>
  </si>
  <si>
    <t>Cartagena acogerá la próxima gala de los Soles Guía Repsol 2024</t>
  </si>
  <si>
    <t>Cartagena acogerá la próxima gala de los Soles Guía Repsol 2024. Tendrá lugar el 4 de marzo y será la primera vez que la ciudad acoja este evento.</t>
  </si>
  <si>
    <t>Cartagena will host the next Repsol Guide Suns 2024 gala</t>
  </si>
  <si>
    <t>Cartagena will host the next Repsol Guide Suns 2024 gala. It will take place on March 4 and will be the first time that the city hosts this event.</t>
  </si>
  <si>
    <r>
      <rPr>
        <rFont val="Arial, sans-serif"/>
        <color rgb="FF1155CC"/>
        <sz val="9.0"/>
        <u/>
      </rPr>
      <t>La Opinión de Murcia</t>
    </r>
    <r>
      <rPr>
        <rFont val="Arial, sans-serif"/>
        <color rgb="FF1155CC"/>
        <sz val="15.0"/>
        <u/>
      </rPr>
      <t>Estos son los restaurantes de la Región que cuentan actualmente con Soles de la Guía Repsol</t>
    </r>
    <r>
      <rPr>
        <rFont val="Arial, sans-serif"/>
        <color rgb="FF1155CC"/>
        <sz val="11.0"/>
        <u/>
      </rPr>
      <t>También te informamos de aquellos reconocidos con la distinción de Solete.</t>
    </r>
    <r>
      <rPr>
        <rFont val="Arial, sans-serif"/>
        <color rgb="FF1155CC"/>
        <sz val="12.0"/>
        <u/>
      </rPr>
      <t>.</t>
    </r>
    <r>
      <rPr>
        <rFont val="Arial, sans-serif"/>
        <color rgb="FF1155CC"/>
        <sz val="11.0"/>
        <u/>
      </rPr>
      <t>25 ene 2024</t>
    </r>
  </si>
  <si>
    <t>La Opinión de Murcia</t>
  </si>
  <si>
    <t>Estos son los restaurantes de la Región que cuentan actualmente con Soles de la Guía Repsol</t>
  </si>
  <si>
    <t>Estos son los restaurantes de la Región que cuentan actualmente con Soles de la Guía Repsol. También te informamos de aquellos reconocidos con la distinción de Solete.</t>
  </si>
  <si>
    <t>These are the restaurants in the Region that currently have Soles from the Repsol Guide</t>
  </si>
  <si>
    <t>These are the restaurants in the Region that currently have Suns from the Repsol Guide. We also inform you of those recognized with the Solete distinction.</t>
  </si>
  <si>
    <r>
      <rPr>
        <rFont val="Arial, sans-serif"/>
        <color rgb="FF1155CC"/>
        <sz val="9.0"/>
        <u/>
      </rPr>
      <t>Infobae</t>
    </r>
    <r>
      <rPr>
        <rFont val="Arial, sans-serif"/>
        <color rgb="FF1155CC"/>
        <sz val="15.0"/>
        <u/>
      </rPr>
      <t>El restaurante recomendado por la Guía Repsol que se encuentra dentro de una cueva natural en Cuenca</t>
    </r>
    <r>
      <rPr>
        <rFont val="Arial, sans-serif"/>
        <color rgb="FF1155CC"/>
        <sz val="11.0"/>
        <u/>
      </rPr>
      <t>Este restrobar está situado en un lugar privilegiado, dentro de una cueva que han reconstruido respetando la configuración natural de las rocas y las...</t>
    </r>
    <r>
      <rPr>
        <rFont val="Arial, sans-serif"/>
        <color rgb="FF1155CC"/>
        <sz val="12.0"/>
        <u/>
      </rPr>
      <t>.</t>
    </r>
    <r>
      <rPr>
        <rFont val="Arial, sans-serif"/>
        <color rgb="FF1155CC"/>
        <sz val="11.0"/>
        <u/>
      </rPr>
      <t>25 ene 2024</t>
    </r>
  </si>
  <si>
    <t>El restaurante recomendado por la Guía Repsol que se encuentra dentro de una cueva natural en Cuenca</t>
  </si>
  <si>
    <t>Este restrobar está situado en un lugar privilegiado, dentro de una cueva que han reconstruido respetando la configuración natural de las rocas y las....</t>
  </si>
  <si>
    <t>The restaurant recommended by the Repsol Guide that is located inside a natural cave in Cuenca</t>
  </si>
  <si>
    <t>This restaurant is located in a privileged place, inside a cave that has been rebuilt respecting the natural configuration of the rocks and...</t>
  </si>
  <si>
    <r>
      <rPr>
        <rFont val="Arial, sans-serif"/>
        <color rgb="FF1155CC"/>
        <sz val="9.0"/>
        <u/>
      </rPr>
      <t>ILUNION</t>
    </r>
    <r>
      <rPr>
        <rFont val="Arial, sans-serif"/>
        <color rgb="FF1155CC"/>
        <sz val="15.0"/>
        <u/>
      </rPr>
      <t>ILUNION inaugura la línea de reciclaje de frigoríficos más innovadora del país en su planta de Campo Real (Madrid)</t>
    </r>
    <r>
      <rPr>
        <rFont val="Arial, sans-serif"/>
        <color rgb="FF1155CC"/>
        <sz val="11.0"/>
        <u/>
      </rPr>
      <t>El acto fue presidido por el consejero de Medio Ambiente, Agricultura e Interior de la Comunidad de Madrid, Carlos Novillo; ILUNION y Fundación Repsol se...</t>
    </r>
    <r>
      <rPr>
        <rFont val="Arial, sans-serif"/>
        <color rgb="FF1155CC"/>
        <sz val="12.0"/>
        <u/>
      </rPr>
      <t>.</t>
    </r>
    <r>
      <rPr>
        <rFont val="Arial, sans-serif"/>
        <color rgb="FF1155CC"/>
        <sz val="11.0"/>
        <u/>
      </rPr>
      <t>25 ene 2024</t>
    </r>
  </si>
  <si>
    <t>ILUNION</t>
  </si>
  <si>
    <t>ILUNION inaugura la línea de reciclaje de frigoríficos más innovadora del país en su planta de Campo Real (Madrid)</t>
  </si>
  <si>
    <t>ILUNION inaugura la línea de reciclaje de frigoríficos más innovadora del país en su planta de Campo Real (Madrid). El acto fue presidido por el consejero de Medio Ambiente, Agricultura e Interior de la Comunidad de Madrid, Carlos Novillo; ILUNION y Fundación Repsol se....</t>
  </si>
  <si>
    <t>ILUNION inaugurates the most innovative refrigerator recycling line in the country at its Campo Real plant (Madrid)</t>
  </si>
  <si>
    <t>ILUNION inaugurates the most innovative refrigerator recycling line in the country at its Campo Real plant (Madrid). The event was chaired by the Minister of Environment, Agriculture and Interior of the Community of Madrid, Carlos Novillo; ILUNION and Repsol Foundation...</t>
  </si>
  <si>
    <t>ILUNION’s refrigeration plant does not directly affect Repsol’s operations.</t>
  </si>
  <si>
    <r>
      <rPr>
        <rFont val="Arial, sans-serif"/>
        <color rgb="FF1155CC"/>
        <sz val="9.0"/>
        <u/>
      </rPr>
      <t>Guía Repsol</t>
    </r>
    <r>
      <rPr>
        <rFont val="Arial, sans-serif"/>
        <color rgb="FF1155CC"/>
        <sz val="15.0"/>
        <u/>
      </rPr>
      <t>Cientotreinta grados: la panadería de barrio que cautiva a los Soles de Madrid</t>
    </r>
    <r>
      <rPr>
        <rFont val="Arial, sans-serif"/>
        <color rgb="FF1155CC"/>
        <sz val="11.0"/>
        <u/>
      </rPr>
      <t>El olor a pan recién horneado embriaga la calle Sánchez Pacheco cada mañana. Se mezcla ese aroma a masa madre fermentada con el de mantequilla tostada,...</t>
    </r>
    <r>
      <rPr>
        <rFont val="Arial, sans-serif"/>
        <color rgb="FF1155CC"/>
        <sz val="12.0"/>
        <u/>
      </rPr>
      <t>.</t>
    </r>
    <r>
      <rPr>
        <rFont val="Arial, sans-serif"/>
        <color rgb="FF1155CC"/>
        <sz val="11.0"/>
        <u/>
      </rPr>
      <t>25 ene 2024</t>
    </r>
  </si>
  <si>
    <t>Cientotreinta grados: la panadería de barrio que cautiva a los Soles de Madrid</t>
  </si>
  <si>
    <t>El olor a pan recién horneado embriaga la calle Sánchez Pacheco cada mañana. Se mezcla ese aroma a masa madre fermentada con el de mantequilla tostada,....</t>
  </si>
  <si>
    <t>One hundred and thirty degrees: the neighborhood bakery that captivates the Madrid Suns</t>
  </si>
  <si>
    <t>The smell of freshly baked bread intoxicates Sánchez Pacheco Street every morning. That aroma of fermented sourdough mixes with that of toasted butter,....</t>
  </si>
  <si>
    <r>
      <rPr>
        <rFont val="Arial, sans-serif"/>
        <color rgb="FF1155CC"/>
        <sz val="9.0"/>
        <u/>
      </rPr>
      <t>Atlántico Hoy</t>
    </r>
    <r>
      <rPr>
        <rFont val="Arial, sans-serif"/>
        <color rgb="FF1155CC"/>
        <sz val="15.0"/>
        <u/>
      </rPr>
      <t>Estos son los mejores mercadillos artesanales de Lanzarote según la Guia Repsol: dónde y cuándo</t>
    </r>
    <r>
      <rPr>
        <rFont val="Arial, sans-serif"/>
        <color rgb="FF1155CC"/>
        <sz val="11.0"/>
        <u/>
      </rPr>
      <t>Todos vamos a todos los sitios y empezamos encontrarnos lo mismo: ciudades españolas que venden sombreros mexicanos como souvenirs, los mismos ceniceros,...</t>
    </r>
    <r>
      <rPr>
        <rFont val="Arial, sans-serif"/>
        <color rgb="FF1155CC"/>
        <sz val="12.0"/>
        <u/>
      </rPr>
      <t>.</t>
    </r>
    <r>
      <rPr>
        <rFont val="Arial, sans-serif"/>
        <color rgb="FF1155CC"/>
        <sz val="11.0"/>
        <u/>
      </rPr>
      <t>25 ene 2024</t>
    </r>
  </si>
  <si>
    <t>Estos son los mejores mercadillos artesanales de Lanzarote según la Guia Repsol: dónde y cuándo</t>
  </si>
  <si>
    <t>Todos vamos a todos los sitios y empezamos encontrarnos lo mismo: ciudades españolas que venden sombreros mexicanos como souvenirs, los mismos ceniceros,....</t>
  </si>
  <si>
    <t>These are the best craft markets in Lanzarote according to the Repsol Guide: where and when</t>
  </si>
  <si>
    <t>We all go to all the places and we start to find the same things: Spanish cities that sell Mexican hats as souvenirs, the same ashtrays,...</t>
  </si>
  <si>
    <r>
      <rPr>
        <rFont val="Arial, sans-serif"/>
        <color rgb="FF1155CC"/>
        <sz val="9.0"/>
        <u/>
      </rPr>
      <t>Box Repsol</t>
    </r>
    <r>
      <rPr>
        <rFont val="Arial, sans-serif"/>
        <color rgb="FF1155CC"/>
        <sz val="15.0"/>
        <u/>
      </rPr>
      <t>Toni Bou: “Yo siempre estoy obligado a ganar”</t>
    </r>
    <r>
      <rPr>
        <rFont val="Arial, sans-serif"/>
        <color rgb="FF1155CC"/>
        <sz val="11.0"/>
        <u/>
      </rPr>
      <t>El piloto del Repsol Honda Trial Team saca conclusiones de sus dos últimos Mundiales y ya trabaja para volver a revalidarlos en 2024.</t>
    </r>
    <r>
      <rPr>
        <rFont val="Arial, sans-serif"/>
        <color rgb="FF1155CC"/>
        <sz val="12.0"/>
        <u/>
      </rPr>
      <t>.</t>
    </r>
    <r>
      <rPr>
        <rFont val="Arial, sans-serif"/>
        <color rgb="FF1155CC"/>
        <sz val="11.0"/>
        <u/>
      </rPr>
      <t>25 ene 2024</t>
    </r>
  </si>
  <si>
    <t>Toni Bou: “Yo siempre estoy obligado a ganar”</t>
  </si>
  <si>
    <t>El piloto del Repsol Honda Trial Team saca conclusiones de sus dos últimos Mundiales y ya trabaja para volver a revalidarlos en 2024.</t>
  </si>
  <si>
    <t>Toni Bou: “I am always obliged to win”</t>
  </si>
  <si>
    <t>The Repsol Honda Trial Team rider draws conclusions from his last two World Championships and is already working to win them again in 2024.</t>
  </si>
  <si>
    <r>
      <rPr>
        <rFont val="Arial, sans-serif"/>
        <color rgb="FF1155CC"/>
        <sz val="9.0"/>
        <u/>
      </rPr>
      <t>Repsol</t>
    </r>
    <r>
      <rPr>
        <rFont val="Arial, sans-serif"/>
        <color rgb="FF1155CC"/>
        <sz val="15.0"/>
        <u/>
      </rPr>
      <t>La importancia del conocimiento humano en el uso de la inteligencia artificial</t>
    </r>
    <r>
      <rPr>
        <rFont val="Arial, sans-serif"/>
        <color rgb="FF1155CC"/>
        <sz val="11.0"/>
        <u/>
      </rPr>
      <t>Descubre cómo se protegen los derechos fundamentales pero sin frenar el desarrollo de la IA.</t>
    </r>
    <r>
      <rPr>
        <rFont val="Arial, sans-serif"/>
        <color rgb="FF1155CC"/>
        <sz val="12.0"/>
        <u/>
      </rPr>
      <t>.</t>
    </r>
    <r>
      <rPr>
        <rFont val="Arial, sans-serif"/>
        <color rgb="FF1155CC"/>
        <sz val="11.0"/>
        <u/>
      </rPr>
      <t>25 ene 2024</t>
    </r>
  </si>
  <si>
    <t>La importancia del conocimiento humano en el uso de la inteligencia artificial</t>
  </si>
  <si>
    <t>Descubre cómo se protegen los derechos fundamentales pero sin frenar el desarrollo de la IA.</t>
  </si>
  <si>
    <t>The importance of human knowledge in the use of artificial intelligence</t>
  </si>
  <si>
    <t>Discover how fundamental rights are protected but without stopping the development of AI.</t>
  </si>
  <si>
    <r>
      <rPr>
        <rFont val="Arial, sans-serif"/>
        <color rgb="FF1155CC"/>
        <sz val="9.0"/>
        <u/>
      </rPr>
      <t>La Vanguardia</t>
    </r>
    <r>
      <rPr>
        <rFont val="Arial, sans-serif"/>
        <color rgb="FF1155CC"/>
        <sz val="15.0"/>
        <u/>
      </rPr>
      <t>Repsol abre una investigación interna por la estafa en las bombonas de butano</t>
    </r>
    <r>
      <rPr>
        <rFont val="Arial, sans-serif"/>
        <color rgb="FF1155CC"/>
        <sz val="11.0"/>
        <u/>
      </rPr>
      <t>Una pequeña disputa vecinal en un barrio de Mataró (Maresme) ha dado pie a que la multinacional Repsol abra una investigación interna para dirimir si.</t>
    </r>
    <r>
      <rPr>
        <rFont val="Arial, sans-serif"/>
        <color rgb="FF1155CC"/>
        <sz val="12.0"/>
        <u/>
      </rPr>
      <t>.</t>
    </r>
    <r>
      <rPr>
        <rFont val="Arial, sans-serif"/>
        <color rgb="FF1155CC"/>
        <sz val="11.0"/>
        <u/>
      </rPr>
      <t>25 ene 2024</t>
    </r>
  </si>
  <si>
    <t>Repsol abre una investigación interna por la estafa en las bombonas de butano</t>
  </si>
  <si>
    <t>Una pequeña disputa vecinal en un barrio de Mataró (Maresme) ha dado pie a que la multinacional Repsol abra una investigación interna para dirimir si..</t>
  </si>
  <si>
    <t>Repsol opens an internal investigation into the butane cylinder scam</t>
  </si>
  <si>
    <t>A small neighborhood dispute in a neighborhood of Mataró (Maresme) has led the multinational Repsol to open an internal investigation to resolve whether...</t>
  </si>
  <si>
    <t>internal investigation, oil spill</t>
  </si>
  <si>
    <t>investigación interna, derrame de petróleo</t>
  </si>
  <si>
    <t>Conducting internal investigations suggests potential accountability concerns for Repsol.</t>
  </si>
  <si>
    <t>estafa, bombonas de butano</t>
  </si>
  <si>
    <t>Negative sentiment due to internal investigation over potential fraud.</t>
  </si>
  <si>
    <t>Sentimiento negativo debido a una investigación interna sobre un posible fraude.</t>
  </si>
  <si>
    <r>
      <rPr>
        <rFont val="Arial, sans-serif"/>
        <color rgb="FF1155CC"/>
        <sz val="9.0"/>
        <u/>
      </rPr>
      <t>Repsol</t>
    </r>
    <r>
      <rPr>
        <rFont val="Arial, sans-serif"/>
        <color rgb="FF1155CC"/>
        <sz val="15.0"/>
        <u/>
      </rPr>
      <t>(2024) Ampliamos nuestra gama de polietileno ultralimpio impulsando el ecodiseño sostenible</t>
    </r>
    <r>
      <rPr>
        <rFont val="Arial, sans-serif"/>
        <color rgb="FF1155CC"/>
        <sz val="11.0"/>
        <u/>
      </rPr>
      <t>Lanzamos nuestra nueva gama de polietileno ultralimpio diseñada para reemplazar estructuras multimaterial que hoy en día no se pueden recuperar en su...</t>
    </r>
    <r>
      <rPr>
        <rFont val="Arial, sans-serif"/>
        <color rgb="FF1155CC"/>
        <sz val="12.0"/>
        <u/>
      </rPr>
      <t>.</t>
    </r>
    <r>
      <rPr>
        <rFont val="Arial, sans-serif"/>
        <color rgb="FF1155CC"/>
        <sz val="11.0"/>
        <u/>
      </rPr>
      <t>25 ene 2024</t>
    </r>
  </si>
  <si>
    <t>Ampliamos nuestra gama de polietileno ultralimpio impulsando el ecodiseño sostenible</t>
  </si>
  <si>
    <t>Lanzamos nuestra nueva gama de polietileno ultralimpio diseñada para reemplazar estructuras multimaterial que hoy en día no se pueden recuperar en su....</t>
  </si>
  <si>
    <t>We expand our range of ultra-clean polyethylene, promoting sustainable eco-design</t>
  </si>
  <si>
    <t>We launch our new range of ultra-clean polyethylene designed to replace multi-material structures that today cannot be recovered in their...</t>
  </si>
  <si>
    <t>ultra-clean polyethylene, sustainability</t>
  </si>
  <si>
    <t>polietileno ultralimpio, sostenibilidad</t>
  </si>
  <si>
    <t>Expanding sustainable product offerings enhances Repsol’s green energy strategy.</t>
  </si>
  <si>
    <r>
      <rPr>
        <rFont val="Arial, sans-serif"/>
        <color rgb="FF1155CC"/>
        <sz val="9.0"/>
        <u/>
      </rPr>
      <t>N60</t>
    </r>
    <r>
      <rPr>
        <rFont val="Arial, sans-serif"/>
        <color rgb="FF1155CC"/>
        <sz val="15.0"/>
        <u/>
      </rPr>
      <t>Trujillo: se derraman 1500 galones de petróleo en avenida Nicolás de Piérola</t>
    </r>
    <r>
      <rPr>
        <rFont val="Arial, sans-serif"/>
        <color rgb="FF1155CC"/>
        <sz val="11.0"/>
        <u/>
      </rPr>
      <t>Al lugar llegó el jefe del Cuerpo de Bomberos de La Libertad con su personal especializado en control de materiales peligrosos.</t>
    </r>
    <r>
      <rPr>
        <rFont val="Arial, sans-serif"/>
        <color rgb="FF1155CC"/>
        <sz val="12.0"/>
        <u/>
      </rPr>
      <t>.</t>
    </r>
    <r>
      <rPr>
        <rFont val="Arial, sans-serif"/>
        <color rgb="FF1155CC"/>
        <sz val="11.0"/>
        <u/>
      </rPr>
      <t>25 ene 2024</t>
    </r>
  </si>
  <si>
    <t>N60Trujillo</t>
  </si>
  <si>
    <t>Se derraman 1500 galones de petróleo en avenida Nicolás de Piérola</t>
  </si>
  <si>
    <t>Se derraman 1500 galones de petróleo en avenida Nicolás de Piérola. Al lugar llegó el jefe del Cuerpo de Bomberos de La Libertad con su personal especializado en control de materiales peligrosos.</t>
  </si>
  <si>
    <t>1,500 gallons of oil spilled on Nicolás de Piérola Avenue</t>
  </si>
  <si>
    <t>1,500 gallons of oil spilled on Nicolás de Piérola Avenue. The chief of the La Libertad Fire Department arrived at the scene with his personnel specialized in controlling hazardous materials.</t>
  </si>
  <si>
    <t>oil spill, environmental concerns</t>
  </si>
  <si>
    <t>derrame de petróleo, preocupaciones medioambientales</t>
  </si>
  <si>
    <t>Oil spills reinforce negative sentiment around Repsol’s environmental impact.</t>
  </si>
  <si>
    <t>derrame de petróleo, materiales peligrosos</t>
  </si>
  <si>
    <t>Negative sentiment due to environmental damage from oil spill.</t>
  </si>
  <si>
    <t>Sentimiento negativo debido al daño ambiental causado por el derrame de petróleo.</t>
  </si>
  <si>
    <r>
      <rPr>
        <rFont val="Arial, sans-serif"/>
        <color rgb="FF1155CC"/>
        <sz val="9.0"/>
        <u/>
      </rPr>
      <t>soltv peru</t>
    </r>
    <r>
      <rPr>
        <rFont val="Arial, sans-serif"/>
        <color rgb="FF1155CC"/>
        <sz val="15.0"/>
        <u/>
      </rPr>
      <t>Trujillo: cisterna derrama casi mil quinientos galones de petróleo en avenida Vera Enríquez</t>
    </r>
    <r>
      <rPr>
        <rFont val="Arial, sans-serif"/>
        <color rgb="FF1155CC"/>
        <sz val="11.0"/>
        <u/>
      </rPr>
      <t>Durante la tarde de este último jueves 25 de enero, una cisterna derramó petróleo en un grifo Repsol de la avenida Vera Enríquez, cerca del hospital...</t>
    </r>
    <r>
      <rPr>
        <rFont val="Arial, sans-serif"/>
        <color rgb="FF1155CC"/>
        <sz val="12.0"/>
        <u/>
      </rPr>
      <t>.</t>
    </r>
    <r>
      <rPr>
        <rFont val="Arial, sans-serif"/>
        <color rgb="FF1155CC"/>
        <sz val="11.0"/>
        <u/>
      </rPr>
      <t>25 ene 2024</t>
    </r>
  </si>
  <si>
    <t>soltv peru</t>
  </si>
  <si>
    <t>Cisterna derrama casi mil quinientos galones de petróleo en avenida Vera Enríquez</t>
  </si>
  <si>
    <t>Una cisterna derramó petróleo en un grifo Repsol de la avenida Vera Enríquez, cerca del hospital.</t>
  </si>
  <si>
    <t>Tanker spills almost fifteen hundred gallons of oil on Vera Enríquez Avenue</t>
  </si>
  <si>
    <t>A tanker spilled oil into a Repsol tap on Vera Enríquez Avenue, near the hospital.</t>
  </si>
  <si>
    <t>tanker spill, oil contamination</t>
  </si>
  <si>
    <t>derrame de petrolero, contaminación por petróleo</t>
  </si>
  <si>
    <t>Spill incidents increase concerns about Repsol’s environmental management.</t>
  </si>
  <si>
    <t>derrame de petróleo, grifo Repsol</t>
  </si>
  <si>
    <r>
      <rPr>
        <rFont val="Arial, sans-serif"/>
        <color rgb="FF1155CC"/>
        <sz val="9.0"/>
        <u/>
      </rPr>
      <t>Car and Driver</t>
    </r>
    <r>
      <rPr>
        <rFont val="Arial, sans-serif"/>
        <color rgb="FF1155CC"/>
        <sz val="15.0"/>
        <u/>
      </rPr>
      <t>La OCU advierte sobre las nuevas gasolinas que ya se venden en España</t>
    </r>
    <r>
      <rPr>
        <rFont val="Arial, sans-serif"/>
        <color rgb="FF1155CC"/>
        <sz val="11.0"/>
        <u/>
      </rPr>
      <t>Resolvemos las dudas de las nuevas gasolinas renovables de Repsol: precio, qué coches pueden usarlas… AdBlue: Las 6 preguntas básicas sobre el aditivo de...</t>
    </r>
    <r>
      <rPr>
        <rFont val="Arial, sans-serif"/>
        <color rgb="FF1155CC"/>
        <sz val="12.0"/>
        <u/>
      </rPr>
      <t>.</t>
    </r>
    <r>
      <rPr>
        <rFont val="Arial, sans-serif"/>
        <color rgb="FF1155CC"/>
        <sz val="11.0"/>
        <u/>
      </rPr>
      <t>26 ene 2024</t>
    </r>
  </si>
  <si>
    <t>La OCU advierte sobre las nuevas gasolinas que ya se venden en España</t>
  </si>
  <si>
    <t>Resolvemos las dudas de las nuevas gasolinas renovables de Repsol: precio, qué coches pueden usarlas… AdBlue: Las 6 preguntas básicas sobre el aditivo de....</t>
  </si>
  <si>
    <t>The OCU warns about the new gasolines that are already sold in Spain</t>
  </si>
  <si>
    <t>We resolve doubts about Repsol's new renewable gasoline: price, which cars can use them... AdBlue: The 6 basic questions about the additive....</t>
  </si>
  <si>
    <t>OCU warning, new gasoline</t>
  </si>
  <si>
    <t>Aviso OCU, gasolina nueva</t>
  </si>
  <si>
    <t>Consumer warnings could impact public perception of Repsol’s fuel offerings.</t>
  </si>
  <si>
    <r>
      <rPr>
        <rFont val="Arial, sans-serif"/>
        <color rgb="FF1155CC"/>
        <sz val="9.0"/>
        <u/>
      </rPr>
      <t>20Minutos</t>
    </r>
    <r>
      <rPr>
        <rFont val="Arial, sans-serif"/>
        <color rgb="FF1155CC"/>
        <sz val="15.0"/>
        <u/>
      </rPr>
      <t>Llegan a España los primeros combustibles a partir de aceites usados que pueden utilizarse en todos los vehículos</t>
    </r>
    <r>
      <rPr>
        <rFont val="Arial, sans-serif"/>
        <color rgb="FF1155CC"/>
        <sz val="11.0"/>
        <u/>
      </rPr>
      <t>Repsol suma la gasolina renovable a su oferta de biocarburantes a igual precio que la premium convencional. La principal ventaja de su uso es que pueden...</t>
    </r>
    <r>
      <rPr>
        <rFont val="Arial, sans-serif"/>
        <color rgb="FF1155CC"/>
        <sz val="12.0"/>
        <u/>
      </rPr>
      <t>.</t>
    </r>
    <r>
      <rPr>
        <rFont val="Arial, sans-serif"/>
        <color rgb="FF1155CC"/>
        <sz val="11.0"/>
        <u/>
      </rPr>
      <t>26 ene 2024</t>
    </r>
  </si>
  <si>
    <t>Llegan a España los primeros combustibles a partir de aceites usados que pueden utilizarse en todos los vehículos</t>
  </si>
  <si>
    <t>Repsol suma la gasolina renovable a su oferta de biocarburantes a igual precio que la premium convencional. La principal ventaja de su uso es que pueden....</t>
  </si>
  <si>
    <t>The first fuels from used oils arrive in Spain that can be used in all vehicles</t>
  </si>
  <si>
    <t>Repsol adds renewable gasoline to its biofuel offering at the same price as conventional premium gasoline. The main advantage of their use is that they can...</t>
  </si>
  <si>
    <t>fuels from used oils, biofuel stations</t>
  </si>
  <si>
    <t>combustibles a partir de aceites usados, estaciones de biocombustibles</t>
  </si>
  <si>
    <t>Expanding biofuels reinforces Repsol’s role in sustainable energy.</t>
  </si>
  <si>
    <t>combustibles a partir de aceites usados, gasolina renovable</t>
  </si>
  <si>
    <t>Highly positive sentiment due to renewable fuel innovation.</t>
  </si>
  <si>
    <t>Sentimiento muy positivo debido a la innovación en combustibles renovables.</t>
  </si>
  <si>
    <r>
      <rPr>
        <rFont val="Arial, sans-serif"/>
        <color rgb="FF1155CC"/>
        <sz val="9.0"/>
        <u/>
      </rPr>
      <t>Cadena SER</t>
    </r>
    <r>
      <rPr>
        <rFont val="Arial, sans-serif"/>
        <color rgb="FF1155CC"/>
        <sz val="15.0"/>
        <u/>
      </rPr>
      <t>Los vigilantes de seguridad de la refinería de A Coruña dicen no ser suficientes</t>
    </r>
    <r>
      <rPr>
        <rFont val="Arial, sans-serif"/>
        <color rgb="FF1155CC"/>
        <sz val="11.0"/>
        <u/>
      </rPr>
      <t>Prosegur y Repsol se responsabilizan el uno al otro mientras los trabajadores se manifiestan.</t>
    </r>
    <r>
      <rPr>
        <rFont val="Arial, sans-serif"/>
        <color rgb="FF1155CC"/>
        <sz val="12.0"/>
        <u/>
      </rPr>
      <t>.</t>
    </r>
    <r>
      <rPr>
        <rFont val="Arial, sans-serif"/>
        <color rgb="FF1155CC"/>
        <sz val="11.0"/>
        <u/>
      </rPr>
      <t>26 ene 2024</t>
    </r>
  </si>
  <si>
    <t>Los vigilantes de seguridad de la refinería de A Coruña dicen no ser suficientes.</t>
  </si>
  <si>
    <t>Los vigilantes de seguridad de la refinería de A Coruña dicen no ser suficientes. Prosegur y Repsol se responsabilizan el uno al otro mientras los trabajadores se manifiestan.</t>
  </si>
  <si>
    <t>The security guards at the A Coruña refinery say they are not enough.</t>
  </si>
  <si>
    <t>The security guards at the A Coruña refinery say they are not enough. Prosegur and Repsol hold each other responsible while the workers demonstrate.</t>
  </si>
  <si>
    <t>security strike, A Coruña refinery</t>
  </si>
  <si>
    <t>Huelga de seguridad, Refinería de A Coruña</t>
  </si>
  <si>
    <t>Worker strikes at Repsol facilities can disrupt operations and create labor tensions.</t>
  </si>
  <si>
    <t>vigilantes de seguridad, refinería de A Coruña</t>
  </si>
  <si>
    <t>Negative sentiment due to labor disputes and security concerns.</t>
  </si>
  <si>
    <r>
      <rPr>
        <rFont val="Arial, sans-serif"/>
        <color rgb="FF1155CC"/>
        <sz val="9.0"/>
        <u/>
      </rPr>
      <t>Confidencial Digital</t>
    </r>
    <r>
      <rPr>
        <rFont val="Arial, sans-serif"/>
        <color rgb="FF1155CC"/>
        <sz val="15.0"/>
        <u/>
      </rPr>
      <t>El juez García-Castellón salva a Josu Jon Imaz</t>
    </r>
    <r>
      <rPr>
        <rFont val="Arial, sans-serif"/>
        <color rgb="FF1155CC"/>
        <sz val="11.0"/>
        <u/>
      </rPr>
      <t>El encuentro del CEO de Repsol, Josu Jon Imaz, con Pedro Sánchez, en el Foro Económico Mundial de Davos, no ha servido de punto de inflexión para recomponer...</t>
    </r>
    <r>
      <rPr>
        <rFont val="Arial, sans-serif"/>
        <color rgb="FF1155CC"/>
        <sz val="12.0"/>
        <u/>
      </rPr>
      <t>.</t>
    </r>
    <r>
      <rPr>
        <rFont val="Arial, sans-serif"/>
        <color rgb="FF1155CC"/>
        <sz val="11.0"/>
        <u/>
      </rPr>
      <t>26 ene 2024</t>
    </r>
  </si>
  <si>
    <t>El juez García-Castellón salva a Josu Jon Imaz</t>
  </si>
  <si>
    <t>El encuentro del CEO de Repsol, Josu Jon Imaz, con Pedro Sánchez, en el Foro Económico Mundial de Davos, no ha servido de punto de inflexión para recomponer....</t>
  </si>
  <si>
    <t>Judge García-Castellón saves Josu Jon Imaz</t>
  </si>
  <si>
    <t>The meeting of the CEO of Repsol, Josu Jon Imaz, with Pedro Sánchez, at the World Economic Forum in Davos, has not served as a turning point to rebuild...</t>
  </si>
  <si>
    <t>Josu Jon Imaz, judge ruling</t>
  </si>
  <si>
    <t>Josu Jon Imaz, fallo del juez</t>
  </si>
  <si>
    <t>A favorable legal ruling can stabilize Repsol’s leadership and investor confidence.</t>
  </si>
  <si>
    <r>
      <rPr>
        <rFont val="Arial, sans-serif"/>
        <color rgb="FF1155CC"/>
        <sz val="9.0"/>
        <u/>
      </rPr>
      <t>El Español</t>
    </r>
    <r>
      <rPr>
        <rFont val="Arial, sans-serif"/>
        <color rgb="FF1155CC"/>
        <sz val="15.0"/>
        <u/>
      </rPr>
      <t>El bar de Torrelavega que ha ganado un Solete Repsol por su tortilla de patatas de 16 sabores diferentes</t>
    </r>
    <r>
      <rPr>
        <rFont val="Arial, sans-serif"/>
        <color rgb="FF1155CC"/>
        <sz val="11.0"/>
        <u/>
      </rPr>
      <t>La tortilla de patatas es uno de los platos favoritos de muchas personas. Su delicioso sabor y su bajo coste la convierten en una de las recetas estrella...</t>
    </r>
    <r>
      <rPr>
        <rFont val="Arial, sans-serif"/>
        <color rgb="FF1155CC"/>
        <sz val="12.0"/>
        <u/>
      </rPr>
      <t>.</t>
    </r>
    <r>
      <rPr>
        <rFont val="Arial, sans-serif"/>
        <color rgb="FF1155CC"/>
        <sz val="11.0"/>
        <u/>
      </rPr>
      <t>26 ene 2024</t>
    </r>
  </si>
  <si>
    <t>El bar de Torrelavega que ha ganado un Solete Repsol por su tortilla de patatas de 16 sabores diferentes</t>
  </si>
  <si>
    <t>La tortilla de patatas es uno de los platos favoritos de muchas personas. Su delicioso sabor y su bajo coste la convierten en una de las recetas estrella....</t>
  </si>
  <si>
    <t>The Torrelavega bar that has won a Solete Repsol for its potato omelette with 16 different flavors</t>
  </si>
  <si>
    <t>Potato omelette is one of the favorite dishes of many people. Its delicious flavor and low cost make it one of the star recipes....</t>
  </si>
  <si>
    <r>
      <rPr>
        <rFont val="Arial, sans-serif"/>
        <color rgb="FF1155CC"/>
        <sz val="9.0"/>
        <u/>
      </rPr>
      <t>Guía Repsol</t>
    </r>
    <r>
      <rPr>
        <rFont val="Arial, sans-serif"/>
        <color rgb="FF1155CC"/>
        <sz val="15.0"/>
        <u/>
      </rPr>
      <t>La Mesa de Conus (Vigo): la barra gallega que se rinde a la cuchara</t>
    </r>
    <r>
      <rPr>
        <rFont val="Arial, sans-serif"/>
        <color rgb="FF1155CC"/>
        <sz val="11.0"/>
        <u/>
      </rPr>
      <t>Una barra gastronómica que alaba el cerdo ibérico de bellota, el pescado y los mariscos de la lonja de Vigo; y los fondos y tiempos de la cocina catalana.</t>
    </r>
    <r>
      <rPr>
        <rFont val="Arial, sans-serif"/>
        <color rgb="FF1155CC"/>
        <sz val="12.0"/>
        <u/>
      </rPr>
      <t>.</t>
    </r>
    <r>
      <rPr>
        <rFont val="Arial, sans-serif"/>
        <color rgb="FF1155CC"/>
        <sz val="11.0"/>
        <u/>
      </rPr>
      <t>26 ene 2024</t>
    </r>
  </si>
  <si>
    <t>La Mesa de Conus (Vigo): la barra gallega que se rinde a la cuchara</t>
  </si>
  <si>
    <t>Una barra gastronómica que alaba el cerdo ibérico de bellota, el pescado y los mariscos de la lonja de Vigo; y los fondos y tiempos de la cocina catalana.</t>
  </si>
  <si>
    <t>La Mesa de Conus (Vigo): the Galician bar that surrenders to the spoon</t>
  </si>
  <si>
    <t>A gastronomic bar that praises acorn-fed Iberian pork, fish and seafood from the Vigo market; and the backgrounds and times of Catalan cuisine.</t>
  </si>
  <si>
    <r>
      <rPr>
        <rFont val="Arial, sans-serif"/>
        <color rgb="FF1155CC"/>
        <sz val="9.0"/>
        <u/>
      </rPr>
      <t>Periodico PublicidAD</t>
    </r>
    <r>
      <rPr>
        <rFont val="Arial, sans-serif"/>
        <color rgb="FF1155CC"/>
        <sz val="15.0"/>
        <u/>
      </rPr>
      <t>¿Cuáles son las marcas más asociadas al patrocinio deportivo en España?</t>
    </r>
    <r>
      <rPr>
        <rFont val="Arial, sans-serif"/>
        <color rgb="FF1155CC"/>
        <sz val="11.0"/>
        <u/>
      </rPr>
      <t>La Asociación de Marketing de España ha presentado el 16º 'Barómetro de Patrocinio Deportivo' – edición 2023 elaborado por SPSG Consulting.</t>
    </r>
    <r>
      <rPr>
        <rFont val="Arial, sans-serif"/>
        <color rgb="FF1155CC"/>
        <sz val="12.0"/>
        <u/>
      </rPr>
      <t>.</t>
    </r>
    <r>
      <rPr>
        <rFont val="Arial, sans-serif"/>
        <color rgb="FF1155CC"/>
        <sz val="11.0"/>
        <u/>
      </rPr>
      <t>26 ene 2024</t>
    </r>
  </si>
  <si>
    <t>Periodico PublicidAD</t>
  </si>
  <si>
    <t>¿Cuáles son las marcas más asociadas al patrocinio deportivo en España?</t>
  </si>
  <si>
    <t>La Asociación de Marketing de España ha presentado el 16º 'Barómetro de Patrocinio Deportivo' – edición 2023 elaborado por SPSG Consulting.</t>
  </si>
  <si>
    <t>What are the brands most associated with sports sponsorship in Spain?</t>
  </si>
  <si>
    <t>The Spanish Marketing Association has presented the 16th 'Sports Sponsorship Barometer' - 2023 edition prepared by SPSG Consulting.</t>
  </si>
  <si>
    <r>
      <rPr>
        <rFont val="Arial, sans-serif"/>
        <color rgb="FF1155CC"/>
        <sz val="9.0"/>
        <u/>
      </rPr>
      <t>MarketingNews</t>
    </r>
    <r>
      <rPr>
        <rFont val="Arial, sans-serif"/>
        <color rgb="FF1155CC"/>
        <sz val="15.0"/>
        <u/>
      </rPr>
      <t>El 59% de las marcas invierten como mínimo el 75% de su presupuesto de patrocinio en deporte</t>
    </r>
    <r>
      <rPr>
        <rFont val="Arial, sans-serif"/>
        <color rgb="FF1155CC"/>
        <sz val="11.0"/>
        <u/>
      </rPr>
      <t>Este es uno de los datos del Barómetro de Patrocinio Deportivo 2023, elaborado por SPSG Consulting.</t>
    </r>
    <r>
      <rPr>
        <rFont val="Arial, sans-serif"/>
        <color rgb="FF1155CC"/>
        <sz val="12.0"/>
        <u/>
      </rPr>
      <t>.</t>
    </r>
    <r>
      <rPr>
        <rFont val="Arial, sans-serif"/>
        <color rgb="FF1155CC"/>
        <sz val="11.0"/>
        <u/>
      </rPr>
      <t>26 ene 2024</t>
    </r>
  </si>
  <si>
    <t>El 59% de las marcas invierten como mínimo el 75% de su presupuesto de patrocinio en deporte</t>
  </si>
  <si>
    <t>El 59% de las marcas invierten como mínimo el 75% de su presupuesto de patrocinio en deporte.</t>
  </si>
  <si>
    <t>59% of brands invest at least 75% of their sponsorship budget in sports</t>
  </si>
  <si>
    <t>59% of brands invest at least 75% of their sponsorship budget in sports.</t>
  </si>
  <si>
    <r>
      <rPr>
        <rFont val="Arial, sans-serif"/>
        <color rgb="FF1155CC"/>
        <sz val="9.0"/>
        <u/>
      </rPr>
      <t>Motorpasion Moto</t>
    </r>
    <r>
      <rPr>
        <rFont val="Arial, sans-serif"/>
        <color rgb="FF1155CC"/>
        <sz val="15.0"/>
        <u/>
      </rPr>
      <t>La nueva Honda de MotoGP ya está rodando en Jerez, y podría guardar un secreto: "Son dos motos muy diferentes"</t>
    </r>
    <r>
      <rPr>
        <rFont val="Arial, sans-serif"/>
        <color rgb="FF1155CC"/>
        <sz val="11.0"/>
        <u/>
      </rPr>
      <t>La pretemporada 2024 de MotoGP ya ha comenzado para Honda. Aunque no será hasta la semana que viene cuando las motos comiencen a rodar en Sepang, Honda ha.</t>
    </r>
    <r>
      <rPr>
        <rFont val="Arial, sans-serif"/>
        <color rgb="FF1155CC"/>
        <sz val="12.0"/>
        <u/>
      </rPr>
      <t>.</t>
    </r>
    <r>
      <rPr>
        <rFont val="Arial, sans-serif"/>
        <color rgb="FF1155CC"/>
        <sz val="11.0"/>
        <u/>
      </rPr>
      <t>26 ene 2024</t>
    </r>
  </si>
  <si>
    <t>La nueva Honda de MotoGP ya está rodando en Jerez, y podría guardar un secreto: "Son dos motos muy diferentes"</t>
  </si>
  <si>
    <t>La pretemporada 2024 de MotoGP ya ha comenzado para Honda. Aunque no será hasta la semana que viene cuando las motos comiencen a rodar en Sepang, Honda ha...</t>
  </si>
  <si>
    <t>The new MotoGP Honda is already rolling in Jerez, and it could keep a secret: "They are two very different bikes"</t>
  </si>
  <si>
    <t>The 2024 MotoGP preseason has already begun for Honda. Although it won't be until next week when the bikes start rolling in Sepang, Honda has...</t>
  </si>
  <si>
    <r>
      <rPr>
        <rFont val="Arial, sans-serif"/>
        <color rgb="FF1155CC"/>
        <sz val="9.0"/>
        <u/>
      </rPr>
      <t>Plataforma del Estado Peruano</t>
    </r>
    <r>
      <rPr>
        <rFont val="Arial, sans-serif"/>
        <color rgb="FF1155CC"/>
        <sz val="15.0"/>
        <u/>
      </rPr>
      <t>OEFA supervisa derrame de hidrocarburos por fuga de válvula de camión cisterna en Trujillo</t>
    </r>
    <r>
      <rPr>
        <rFont val="Arial, sans-serif"/>
        <color rgb="FF1155CC"/>
        <sz val="11.0"/>
        <u/>
      </rPr>
      <t>El Organismo de Evaluación y Fiscalización Ambiental (OEFA), organismo adscrito al Ministerio del Ambiente, viene supervisando la fuga de aproximadamente 2...</t>
    </r>
    <r>
      <rPr>
        <rFont val="Arial, sans-serif"/>
        <color rgb="FF1155CC"/>
        <sz val="12.0"/>
        <u/>
      </rPr>
      <t>.</t>
    </r>
    <r>
      <rPr>
        <rFont val="Arial, sans-serif"/>
        <color rgb="FF1155CC"/>
        <sz val="11.0"/>
        <u/>
      </rPr>
      <t>26 ene 2024</t>
    </r>
  </si>
  <si>
    <t>Plataforma del Estado Peruano</t>
  </si>
  <si>
    <t>OEFA supervisa derrame de hidrocarburos por fuga de válvula de camión cisterna en Trujillo</t>
  </si>
  <si>
    <t>El Organismo de Evaluación y Fiscalización Ambiental (OEFA), organismo adscrito al Ministerio del Ambiente, viene supervisando la fuga de aproximadamente 2....</t>
  </si>
  <si>
    <t>OEFA supervises hydrocarbon spill due to tanker valve leak in Trujillo</t>
  </si>
  <si>
    <t>The Environmental Assessment and Supervision Agency (OEFA), an agency attached to the Ministry of the Environment, has been supervising the leak of approximately 2...</t>
  </si>
  <si>
    <t>hydrocarbon spill, OEFA supervision</t>
  </si>
  <si>
    <t>derrame de hidrocarburos, supervisión del OEFA</t>
  </si>
  <si>
    <t>Environmental investigations into spills reinforce negative sentiment toward Repsol.</t>
  </si>
  <si>
    <t>derrame de hidrocarburos, OEFA</t>
  </si>
  <si>
    <r>
      <rPr>
        <rFont val="Arial, sans-serif"/>
        <color rgb="FF1155CC"/>
        <sz val="9.0"/>
        <u/>
      </rPr>
      <t>Huelva Información</t>
    </r>
    <r>
      <rPr>
        <rFont val="Arial, sans-serif"/>
        <color rgb="FF1155CC"/>
        <sz val="15.0"/>
        <u/>
      </rPr>
      <t>Conceden la Declaración Ambiental al proyecto de Repsol para el sellado de pozos de gas submarinos en Huelva</t>
    </r>
    <r>
      <rPr>
        <rFont val="Arial, sans-serif"/>
        <color rgb="FF1155CC"/>
        <sz val="11.0"/>
        <u/>
      </rPr>
      <t>El objeto del proyecto es el sellado y abandono definitivo de los tres pozos submarinos asociados al campo de gas 'Poseidón', ubicado frente a la costa de...</t>
    </r>
    <r>
      <rPr>
        <rFont val="Arial, sans-serif"/>
        <color rgb="FF1155CC"/>
        <sz val="12.0"/>
        <u/>
      </rPr>
      <t>.</t>
    </r>
    <r>
      <rPr>
        <rFont val="Arial, sans-serif"/>
        <color rgb="FF1155CC"/>
        <sz val="11.0"/>
        <u/>
      </rPr>
      <t>27 ene 2024</t>
    </r>
  </si>
  <si>
    <t>Huelva Información</t>
  </si>
  <si>
    <t>Conceden la Declaración Ambiental al proyecto de Repsol para el sellado de pozos de gas submarinos en Huelva</t>
  </si>
  <si>
    <t>El objeto del proyecto es el sellado y abandono definitivo de los tres pozos submarinos asociados al campo de gas 'Poseidón', ubicado frente a la costa de....</t>
  </si>
  <si>
    <t>The Environmental Declaration is granted to the Repsol project to seal underwater gas wells in Huelva</t>
  </si>
  <si>
    <t>The object of the project is the sealing and definitive abandonment of the three underwater wells associated with the 'Poseidon' gas field, located off the coast of...</t>
  </si>
  <si>
    <t>Environmental certifications do not directly impact Repsol’s business.</t>
  </si>
  <si>
    <t>sellado de pozos, gas submarinos</t>
  </si>
  <si>
    <r>
      <rPr>
        <rFont val="Arial, sans-serif"/>
        <color rgb="FF1155CC"/>
        <sz val="9.0"/>
        <u/>
      </rPr>
      <t>EFE - Agencia de noticias</t>
    </r>
    <r>
      <rPr>
        <rFont val="Arial, sans-serif"/>
        <color rgb="FF1155CC"/>
        <sz val="15.0"/>
        <u/>
      </rPr>
      <t>Sierra Nevada se convierte en la primera estación del país con combustible 100 % renovable</t>
    </r>
    <r>
      <rPr>
        <rFont val="Arial, sans-serif"/>
        <color rgb="FF1155CC"/>
        <sz val="11.0"/>
        <u/>
      </rPr>
      <t>La estación de esquí de Sierra Nevada se ha convertido en la primera del país en utilizar combustible cien por cien renovable en sus máquinas pisapistas...</t>
    </r>
    <r>
      <rPr>
        <rFont val="Arial, sans-serif"/>
        <color rgb="FF1155CC"/>
        <sz val="12.0"/>
        <u/>
      </rPr>
      <t>.</t>
    </r>
    <r>
      <rPr>
        <rFont val="Arial, sans-serif"/>
        <color rgb="FF1155CC"/>
        <sz val="11.0"/>
        <u/>
      </rPr>
      <t>27 ene 2024</t>
    </r>
  </si>
  <si>
    <t>EFE - Agencia de noticias</t>
  </si>
  <si>
    <t>Sierra Nevada se convierte en la primera estación del país con combustible 100 % renovable</t>
  </si>
  <si>
    <t>La estación de esquí de Sierra Nevada se ha convertido en la primera del país en utilizar combustible cien por cien renovable en sus máquinas pisapistas.</t>
  </si>
  <si>
    <t>Sierra Nevada becomes the first station in the country with 100% renewable fuel</t>
  </si>
  <si>
    <t>The Sierra Nevada ski resort has become the first in the country to use 100% renewable fuel in its piste machines.</t>
  </si>
  <si>
    <t>100% renewable fuel, Sierra Nevada</t>
  </si>
  <si>
    <t>Combustible 100% renovable, Sierra Nevada</t>
  </si>
  <si>
    <t>Expanding renewable fuel use in major locations supports Repsol’s green energy image.</t>
  </si>
  <si>
    <t>combustible 100% renovable, Sierra Nevada</t>
  </si>
  <si>
    <t>Highly positive sentiment due to renewable energy adoption.</t>
  </si>
  <si>
    <t>Sentimiento muy positivo debido a la adopción de energías renovables.</t>
  </si>
  <si>
    <r>
      <rPr>
        <rFont val="Arial, sans-serif"/>
        <color rgb="FF1155CC"/>
        <sz val="9.0"/>
        <u/>
      </rPr>
      <t>Nevasport.com</t>
    </r>
    <r>
      <rPr>
        <rFont val="Arial, sans-serif"/>
        <color rgb="FF1155CC"/>
        <sz val="15.0"/>
        <u/>
      </rPr>
      <t>Sierra Nevada es la primera estación de esquí de España en utilizar combustible 100% renovable</t>
    </r>
    <r>
      <rPr>
        <rFont val="Arial, sans-serif"/>
        <color rgb="FF1155CC"/>
        <sz val="11.0"/>
        <u/>
      </rPr>
      <t>Nuevo paso de la estación de esquí de Sierra Nevada para preservar la sostenibilidad en la alta montaña. Usará combustible producido a partir de residuos...</t>
    </r>
    <r>
      <rPr>
        <rFont val="Arial, sans-serif"/>
        <color rgb="FF1155CC"/>
        <sz val="12.0"/>
        <u/>
      </rPr>
      <t>.</t>
    </r>
    <r>
      <rPr>
        <rFont val="Arial, sans-serif"/>
        <color rgb="FF1155CC"/>
        <sz val="11.0"/>
        <u/>
      </rPr>
      <t>27 ene 2024</t>
    </r>
  </si>
  <si>
    <t>Nevasport.com</t>
  </si>
  <si>
    <t>Sierra Nevada es la primera estación de esquí de España en utilizar combustible 100% renovable</t>
  </si>
  <si>
    <t>Nuevo paso de la estación de esquí de Sierra Nevada para preservar la sostenibilidad en la alta montaña. Usará combustible producido a partir de residuos.</t>
  </si>
  <si>
    <t>Sierra Nevada is the first ski resort in Spain to use 100% renewable fuel</t>
  </si>
  <si>
    <t>New step for the Sierra Nevada ski resort to preserve sustainability in the high mountains. It will use fuel produced from waste.</t>
  </si>
  <si>
    <t>sustainable fuel, ski resort</t>
  </si>
  <si>
    <t>combustible sostenible, estación de esquí</t>
  </si>
  <si>
    <t>Repsol’s involvement in sustainable fuel use reinforces its commitment to green initiatives.</t>
  </si>
  <si>
    <r>
      <rPr>
        <rFont val="Arial, sans-serif"/>
        <color rgb="FF1155CC"/>
        <sz val="9.0"/>
        <u/>
      </rPr>
      <t>Universidad Pontificia Comillas</t>
    </r>
    <r>
      <rPr>
        <rFont val="Arial, sans-serif"/>
        <color rgb="FF1155CC"/>
        <sz val="15.0"/>
        <u/>
      </rPr>
      <t>Fundación Repsol y Universidad Mondragón coorganizan webinar sobre almacenamiento</t>
    </r>
    <r>
      <rPr>
        <rFont val="Arial, sans-serif"/>
        <color rgb="FF1155CC"/>
        <sz val="11.0"/>
        <u/>
      </rPr>
      <t>Fundación Repsol y Universidad Mondragón coorganizan webinar sobre almacenamiento.</t>
    </r>
    <r>
      <rPr>
        <rFont val="Arial, sans-serif"/>
        <color rgb="FF1155CC"/>
        <sz val="12.0"/>
        <u/>
      </rPr>
      <t>.</t>
    </r>
    <r>
      <rPr>
        <rFont val="Arial, sans-serif"/>
        <color rgb="FF1155CC"/>
        <sz val="11.0"/>
        <u/>
      </rPr>
      <t>28 ene 2024</t>
    </r>
  </si>
  <si>
    <t>Universidad Pontificia Comillas</t>
  </si>
  <si>
    <t>Fundación Repsol y Universidad Mondragón coorganizan webinar sobre almacenamiento</t>
  </si>
  <si>
    <t>Fundación Repsol y Universidad Mondragón coorganizan webinar sobre almacenamiento.</t>
  </si>
  <si>
    <t>Repsol Foundation and Mondragón University co-organize webinar on storage</t>
  </si>
  <si>
    <t>Repsol Foundation and Mondragón University co-organize webinar on storage.</t>
  </si>
  <si>
    <t>energy transition, collaboration</t>
  </si>
  <si>
    <t>transición energética, colaboración</t>
  </si>
  <si>
    <t>Partnering with universities strengthens Repsol’s expertise and credibility in sustainable energy.</t>
  </si>
  <si>
    <r>
      <rPr>
        <rFont val="Arial, sans-serif"/>
        <color rgb="FF1155CC"/>
        <sz val="9.0"/>
        <u/>
      </rPr>
      <t>Mundo Deportivo</t>
    </r>
    <r>
      <rPr>
        <rFont val="Arial, sans-serif"/>
        <color rgb="FF1155CC"/>
        <sz val="15.0"/>
        <u/>
      </rPr>
      <t>Si llevas tu aceite de cocina usado a una gasolinera de Repsol, tendrás un descuento y ayudas a fabricar gasolina renovable que ya puedes comprar</t>
    </r>
    <r>
      <rPr>
        <rFont val="Arial, sans-serif"/>
        <color rgb="FF1155CC"/>
        <sz val="11.0"/>
        <u/>
      </rPr>
      <t>Nuestro país ya produce y vende gasolina renovable gracias a, entre otras cosas, el aceite de cocina usado que puedes entregar en una gasolinera de Repsol,...</t>
    </r>
    <r>
      <rPr>
        <rFont val="Arial, sans-serif"/>
        <color rgb="FF1155CC"/>
        <sz val="12.0"/>
        <u/>
      </rPr>
      <t>.</t>
    </r>
    <r>
      <rPr>
        <rFont val="Arial, sans-serif"/>
        <color rgb="FF1155CC"/>
        <sz val="11.0"/>
        <u/>
      </rPr>
      <t>28 ene 2024</t>
    </r>
  </si>
  <si>
    <t>Si llevas tu aceite de cocina usado a una gasolinera de Repsol, tendrás un descuento y ayudas a fabricar gasolina renovable que ya puedes comprar</t>
  </si>
  <si>
    <t>Si llevas tu aceite de cocina usado a una gasolinera de Repsol, tendrás un descuento y ayudas a fabricar gasolina renovable que ya puedes comprar.</t>
  </si>
  <si>
    <t>If you take your used cooking oil to a Repsol gas station, you will get a discount and help make renewable gasoline that you can now buy</t>
  </si>
  <si>
    <t>If you take your used cooking oil to a Repsol gas station, you will get a discount and help make renewable gasoline that you can now buy.</t>
  </si>
  <si>
    <t>used oil recycling, discount</t>
  </si>
  <si>
    <t>reciclaje de aceite usado, descuento</t>
  </si>
  <si>
    <t>Incentivizing recycling promotes Repsol’s circular economy efforts and environmental responsibility.</t>
  </si>
  <si>
    <t>aceite de cocina usado, gasolina renovable</t>
  </si>
  <si>
    <t>Positive sentiment due to sustainable initiative and customer incentives.</t>
  </si>
  <si>
    <t>Sentimiento positivo debido a la iniciativa sostenible y los incentivos para los clientes.</t>
  </si>
  <si>
    <r>
      <rPr>
        <rFont val="Arial, sans-serif"/>
        <color rgb="FF1155CC"/>
        <sz val="9.0"/>
        <u/>
      </rPr>
      <t>El Periódico de la Energía</t>
    </r>
    <r>
      <rPr>
        <rFont val="Arial, sans-serif"/>
        <color rgb="FF1155CC"/>
        <sz val="15.0"/>
        <u/>
      </rPr>
      <t>Mientras EEUU construye nuevas terminales de GNL, Europa reduce la demanda de gas y diversifica las fuentes de energía</t>
    </r>
    <r>
      <rPr>
        <rFont val="Arial, sans-serif"/>
        <color rgb="FF1155CC"/>
        <sz val="11.0"/>
        <u/>
      </rPr>
      <t>En 2022, el 9% de las importaciones de gas de Europa procedían de Rusia por gasoducto, el 40% de otros por gasoducto y el 41% del GNL.</t>
    </r>
    <r>
      <rPr>
        <rFont val="Arial, sans-serif"/>
        <color rgb="FF1155CC"/>
        <sz val="12.0"/>
        <u/>
      </rPr>
      <t>.</t>
    </r>
    <r>
      <rPr>
        <rFont val="Arial, sans-serif"/>
        <color rgb="FF1155CC"/>
        <sz val="11.0"/>
        <u/>
      </rPr>
      <t>28 ene 2024</t>
    </r>
  </si>
  <si>
    <t>Mientras EEUU construye nuevas terminales de GNL, Europa reduce la demanda de gas y diversifica las fuentes de energía</t>
  </si>
  <si>
    <t>En 2022, el 9% de las importaciones de gas de Europa procedían de Rusia por gasoducto, el 40% de otros por gasoducto y el 41% del GNL.</t>
  </si>
  <si>
    <t>While the US builds new LNG terminals, Europe reduces gas demand and diversifies energy sources</t>
  </si>
  <si>
    <t>In 2022, 9% of Europe's gas imports came from Russia by pipeline, 40% from others by pipeline and 41% from LNG.</t>
  </si>
  <si>
    <t>General energy supply trends do not directly impact Repsol.</t>
  </si>
  <si>
    <r>
      <rPr>
        <rFont val="Arial, sans-serif"/>
        <color rgb="FF1155CC"/>
        <sz val="9.0"/>
        <u/>
      </rPr>
      <t>El Español</t>
    </r>
    <r>
      <rPr>
        <rFont val="Arial, sans-serif"/>
        <color rgb="FF1155CC"/>
        <sz val="15.0"/>
        <u/>
      </rPr>
      <t>Málaga busca llenar el vacío que tiene de oficinas: estas son las operaciones que tiene Urbanismo sobre su mesa</t>
    </r>
    <r>
      <rPr>
        <rFont val="Arial, sans-serif"/>
        <color rgb="FF1155CC"/>
        <sz val="11.0"/>
        <u/>
      </rPr>
      <t>Cortijo Jurado, La Térmica, Repsol, Muelle Heredia… Ejemplos de los grandes proyectos activados que permitirán sumar unos 118.000 metros en el medio y largo...</t>
    </r>
    <r>
      <rPr>
        <rFont val="Arial, sans-serif"/>
        <color rgb="FF1155CC"/>
        <sz val="12.0"/>
        <u/>
      </rPr>
      <t>.</t>
    </r>
    <r>
      <rPr>
        <rFont val="Arial, sans-serif"/>
        <color rgb="FF1155CC"/>
        <sz val="11.0"/>
        <u/>
      </rPr>
      <t>28 ene 2024</t>
    </r>
  </si>
  <si>
    <t>Málaga busca llenar el vacío que tiene de oficinas: estas son las operaciones que tiene Urbanismo sobre su mesa</t>
  </si>
  <si>
    <t>Málaga busca llenar el vacío que tiene de oficinas: estas son las operaciones que tiene Urbanismo sobre su mesa. Cortijo Jurado, La Térmica, Repsol, Muelle Heredia… Ejemplos de los grandes proyectos activados que permitirán sumar unos 118.000 metros en el medio y largo....</t>
  </si>
  <si>
    <t>Málaga seeks to fill the void it has in offices: these are the operations that Urbanism has on its table</t>
  </si>
  <si>
    <t>Málaga seeks to fill the void it has in offices: these are the operations that Urbanism has on its table. Cortijo Jurado, La Térmica, Repsol, Muelle Heredia... Examples of the large activated projects that will allow the addition of some 118,000 meters in the medium and long....</t>
  </si>
  <si>
    <t>Real Estate</t>
  </si>
  <si>
    <r>
      <rPr>
        <rFont val="Arial, sans-serif"/>
        <color rgb="FF1155CC"/>
        <sz val="9.0"/>
        <u/>
      </rPr>
      <t>RTVE.es</t>
    </r>
    <r>
      <rPr>
        <rFont val="Arial, sans-serif"/>
        <color rgb="FF1155CC"/>
        <sz val="15.0"/>
        <u/>
      </rPr>
      <t>Con ellas. Mujeres que cuentan María José Martínez Vicente: la chef de las abejas</t>
    </r>
    <r>
      <rPr>
        <rFont val="Arial, sans-serif"/>
        <color rgb="FF1155CC"/>
        <sz val="11.0"/>
        <u/>
      </rPr>
      <t>María José Martínez Vicente es la chef y propietaria del restaurante Lienzo en Valencia que tiene como hilo conductor en su menú la miel.</t>
    </r>
    <r>
      <rPr>
        <rFont val="Arial, sans-serif"/>
        <color rgb="FF1155CC"/>
        <sz val="12.0"/>
        <u/>
      </rPr>
      <t>.</t>
    </r>
    <r>
      <rPr>
        <rFont val="Arial, sans-serif"/>
        <color rgb="FF1155CC"/>
        <sz val="11.0"/>
        <u/>
      </rPr>
      <t>28 ene 2024</t>
    </r>
  </si>
  <si>
    <t>María José Martínez Vicente: la chef de las abejas</t>
  </si>
  <si>
    <t>María José Martínez Vicente es la chef y propietaria del restaurante Lienzo en Valencia que tiene como hilo conductor en su menú la miel.</t>
  </si>
  <si>
    <t>María José Martínez Vicente: the bee chef</t>
  </si>
  <si>
    <t>María José Martínez Vicente is the chef and owner of the Lienzo restaurant in Valencia, which has honey as a common thread in its menu.</t>
  </si>
  <si>
    <r>
      <rPr>
        <rFont val="Arial, sans-serif"/>
        <color rgb="FF1155CC"/>
        <sz val="9.0"/>
        <u/>
      </rPr>
      <t>Coche Global</t>
    </r>
    <r>
      <rPr>
        <rFont val="Arial, sans-serif"/>
        <color rgb="FF1155CC"/>
        <sz val="15.0"/>
        <u/>
      </rPr>
      <t>El monopolio en los puntos de carga frena el coche eléctrico</t>
    </r>
    <r>
      <rPr>
        <rFont val="Arial, sans-serif"/>
        <color rgb="FF1155CC"/>
        <sz val="11.0"/>
        <u/>
      </rPr>
      <t>Un 34% de puntos de carga rápida son monopolios, según un estudio de la Autoridad de Competencia de Cataluña, que destaca los riesgos de la situación.</t>
    </r>
    <r>
      <rPr>
        <rFont val="Arial, sans-serif"/>
        <color rgb="FF1155CC"/>
        <sz val="12.0"/>
        <u/>
      </rPr>
      <t>.</t>
    </r>
    <r>
      <rPr>
        <rFont val="Arial, sans-serif"/>
        <color rgb="FF1155CC"/>
        <sz val="11.0"/>
        <u/>
      </rPr>
      <t>28 ene 2024</t>
    </r>
  </si>
  <si>
    <t>Coche Global</t>
  </si>
  <si>
    <t>El monopolio en los puntos de carga frena el coche eléctrico</t>
  </si>
  <si>
    <t>Un 34% de puntos de carga rápida son monopolios, según un estudio de la Autoridad de Competencia de Cataluña, que destaca los riesgos de la situación.</t>
  </si>
  <si>
    <t>The monopoly at charging points stops the electric car</t>
  </si>
  <si>
    <t>34% of fast charging points are monopolies, according to a study by the Competition Authority of Catalonia, which highlights the risks of the situation.</t>
  </si>
  <si>
    <r>
      <rPr>
        <rFont val="Arial, sans-serif"/>
        <color rgb="FF1155CC"/>
        <sz val="9.0"/>
        <u/>
      </rPr>
      <t>Crónica Vasca</t>
    </r>
    <r>
      <rPr>
        <rFont val="Arial, sans-serif"/>
        <color rgb="FF1155CC"/>
        <sz val="15.0"/>
        <u/>
      </rPr>
      <t>Así es el mejor restaurante vasco para degustar la tortilla de patatas: se encuentra en Bilbao</t>
    </r>
    <r>
      <rPr>
        <rFont val="Arial, sans-serif"/>
        <color rgb="FF1155CC"/>
        <sz val="11.0"/>
        <u/>
      </rPr>
      <t>En el País Vasco, la tortilla de patatas ocupa un lugar destacado, siendo un elemento omnipresente en bares, restaurantes y tabernas.</t>
    </r>
    <r>
      <rPr>
        <rFont val="Arial, sans-serif"/>
        <color rgb="FF1155CC"/>
        <sz val="12.0"/>
        <u/>
      </rPr>
      <t>.</t>
    </r>
    <r>
      <rPr>
        <rFont val="Arial, sans-serif"/>
        <color rgb="FF1155CC"/>
        <sz val="11.0"/>
        <u/>
      </rPr>
      <t>28 ene 2024</t>
    </r>
  </si>
  <si>
    <t>Así es el mejor restaurante vasco para degustar la tortilla de patatas: se encuentra en Bilbao</t>
  </si>
  <si>
    <t>En el País Vasco, la tortilla de patatas ocupa un lugar destacado, siendo un elemento omnipresente en bares, restaurantes y tabernas.</t>
  </si>
  <si>
    <t>This is the best Basque restaurant to taste potato omelette: it is located in Bilbao</t>
  </si>
  <si>
    <t>In the Basque Country, the potato omelette occupies a prominent place, being an omnipresent element in bars, restaurants and taverns.</t>
  </si>
  <si>
    <r>
      <rPr>
        <rFont val="Arial, sans-serif"/>
        <color rgb="FF1155CC"/>
        <sz val="9.0"/>
        <u/>
      </rPr>
      <t>Trome.com</t>
    </r>
    <r>
      <rPr>
        <rFont val="Arial, sans-serif"/>
        <color rgb="FF1155CC"/>
        <sz val="15.0"/>
        <u/>
      </rPr>
      <t>¿Día de playa? De 30, solo estas 5 son APTAS para el público tras derrame de petrólero</t>
    </r>
    <r>
      <rPr>
        <rFont val="Arial, sans-serif"/>
        <color rgb="FF1155CC"/>
        <sz val="11.0"/>
        <u/>
      </rPr>
      <t>ATENCIÓN. El derrame de petrólero en las playas de Ventanilla, durante las operaciones de la empresa Repsol, en el 2022, ha sido catalogado como uno de los...</t>
    </r>
    <r>
      <rPr>
        <rFont val="Arial, sans-serif"/>
        <color rgb="FF1155CC"/>
        <sz val="12.0"/>
        <u/>
      </rPr>
      <t>.</t>
    </r>
    <r>
      <rPr>
        <rFont val="Arial, sans-serif"/>
        <color rgb="FF1155CC"/>
        <sz val="11.0"/>
        <u/>
      </rPr>
      <t>28 ene 2024</t>
    </r>
  </si>
  <si>
    <t>Trome.com</t>
  </si>
  <si>
    <t>Día de playa? De 30, solo estas 5 son APTAS para el público tras derrame de petrólero</t>
  </si>
  <si>
    <t>El derrame de petrólero en las playas de Ventanilla, durante las operaciones de la empresa Repsol, en el 2022, ha sido catalogado como uno de los....</t>
  </si>
  <si>
    <t>Beach day? Of 30, only these 5 are SUITABLE for the public after oil spill</t>
  </si>
  <si>
    <t>The oil spill on the Ventanilla beaches, during the operations of the Repsol company, in 2022, has been classified as one of the...</t>
  </si>
  <si>
    <t>pollution, Ventanilla spill</t>
  </si>
  <si>
    <t>contaminación, derrame de Ventanilla</t>
  </si>
  <si>
    <t>Continued pollution from past spills keeps negative sentiment around Repsol high.</t>
  </si>
  <si>
    <t>derrame de petróleo, playas</t>
  </si>
  <si>
    <t>Highly negative sentiment due to environmental damage from oil spill.</t>
  </si>
  <si>
    <t>Sentimiento muy negativo debido al daño ambiental causado por el derrame de petróleo.</t>
  </si>
  <si>
    <r>
      <rPr>
        <rFont val="Arial, sans-serif"/>
        <color rgb="FF1155CC"/>
        <sz val="9.0"/>
        <u/>
      </rPr>
      <t>HuelvaHoy</t>
    </r>
    <r>
      <rPr>
        <rFont val="Arial, sans-serif"/>
        <color rgb="FF1155CC"/>
        <sz val="15.0"/>
        <u/>
      </rPr>
      <t>Los gaseoductos de Repsol permanecerán en Doñana: "riesgos de accidentes, afecciones a las playas y vertidos en una zona sensible"</t>
    </r>
    <r>
      <rPr>
        <rFont val="Arial, sans-serif"/>
        <color rgb="FF1155CC"/>
        <sz val="11.0"/>
        <u/>
      </rPr>
      <t>El Ministerio ha respondido a las alegaciones del partido Mesa de la Ría de Huelva, trasladando la respuesta de REPSOL: “El promotor responde que el...</t>
    </r>
    <r>
      <rPr>
        <rFont val="Arial, sans-serif"/>
        <color rgb="FF1155CC"/>
        <sz val="12.0"/>
        <u/>
      </rPr>
      <t>.</t>
    </r>
    <r>
      <rPr>
        <rFont val="Arial, sans-serif"/>
        <color rgb="FF1155CC"/>
        <sz val="11.0"/>
        <u/>
      </rPr>
      <t>29 ene 2024</t>
    </r>
  </si>
  <si>
    <t>HuelvaHoy</t>
  </si>
  <si>
    <t>Los gaseoductos de Repsol permanecerán en Doñana: "riesgos de accidentes, afecciones a las playas y vertidos en una zona sensible"</t>
  </si>
  <si>
    <t>"El promotor responde que el...."</t>
  </si>
  <si>
    <t>Repsol gas pipelines will remain in Doñana: "risks of accidents, effects on beaches and spills in a sensitive area"</t>
  </si>
  <si>
    <t>"The promoter responds that the...."</t>
  </si>
  <si>
    <t>gas pipelines, Doñana</t>
  </si>
  <si>
    <t>gasoductos, Doñana</t>
  </si>
  <si>
    <t>Controversies over gas infrastructure in protected areas may raise concerns for Repsol.</t>
  </si>
  <si>
    <t>gaseoductos, Doñana</t>
  </si>
  <si>
    <t>Negative sentiment due to environmental risks.</t>
  </si>
  <si>
    <t>Sentimiento negativo debido a los riesgos ambientales.</t>
  </si>
  <si>
    <r>
      <rPr>
        <rFont val="Arial, sans-serif"/>
        <color rgb="FF1155CC"/>
        <sz val="9.0"/>
        <u/>
      </rPr>
      <t>Crónica Global</t>
    </r>
    <r>
      <rPr>
        <rFont val="Arial, sans-serif"/>
        <color rgb="FF1155CC"/>
        <sz val="15.0"/>
        <u/>
      </rPr>
      <t>El restaurante de Girona con dos estrellas Michelin y dos soles Repsol situado en una antigua fábrica de carruajes</t>
    </r>
    <r>
      <rPr>
        <rFont val="Arial, sans-serif"/>
        <color rgb="FF1155CC"/>
        <sz val="11.0"/>
        <u/>
      </rPr>
      <t>Un establecimiento, ubicado en el Empordà, galardonado con dos de los mejores premios gastronómicos que se rigen por su excelencia culinaria y gastronómica.</t>
    </r>
    <r>
      <rPr>
        <rFont val="Arial, sans-serif"/>
        <color rgb="FF1155CC"/>
        <sz val="12.0"/>
        <u/>
      </rPr>
      <t>.</t>
    </r>
    <r>
      <rPr>
        <rFont val="Arial, sans-serif"/>
        <color rgb="FF1155CC"/>
        <sz val="11.0"/>
        <u/>
      </rPr>
      <t>29 ene 2024</t>
    </r>
  </si>
  <si>
    <t>Crónica Global</t>
  </si>
  <si>
    <t>El restaurante de Girona con dos estrellas Michelin y dos soles Repsol situado en una antigua fábrica de carruajes</t>
  </si>
  <si>
    <t>Un establecimiento, ubicado en el Empordà, galardonado con dos de los mejores premios gastronómicos que se rigen por su excelencia culinaria y gastronómica.</t>
  </si>
  <si>
    <t>The Girona restaurant with two Michelin stars and two Repsol suns located in an old carriage factory</t>
  </si>
  <si>
    <t>An establishment, located in Empordà, awarded with two of the best gastronomic awards that are governed by its culinary and gastronomic excellence.</t>
  </si>
  <si>
    <r>
      <rPr>
        <rFont val="Arial, sans-serif"/>
        <color rgb="FF1155CC"/>
        <sz val="9.0"/>
        <u/>
      </rPr>
      <t>Repsol</t>
    </r>
    <r>
      <rPr>
        <rFont val="Arial, sans-serif"/>
        <color rgb="FF1155CC"/>
        <sz val="15.0"/>
        <u/>
      </rPr>
      <t>¿Qué es mejor, un convector o un emisor térmico?</t>
    </r>
    <r>
      <rPr>
        <rFont val="Arial, sans-serif"/>
        <color rgb="FF1155CC"/>
        <sz val="11.0"/>
        <u/>
      </rPr>
      <t>Descubre las principales diferencias entre convector y emisor térmico para que elijas el que más te conviene para calentar tu hogar, ¡haz clic!</t>
    </r>
    <r>
      <rPr>
        <rFont val="Arial, sans-serif"/>
        <color rgb="FF1155CC"/>
        <sz val="12.0"/>
        <u/>
      </rPr>
      <t>.</t>
    </r>
    <r>
      <rPr>
        <rFont val="Arial, sans-serif"/>
        <color rgb="FF1155CC"/>
        <sz val="11.0"/>
        <u/>
      </rPr>
      <t>29 ene 2024</t>
    </r>
  </si>
  <si>
    <t>¿Qué es mejor, un convector o un emisor térmico?</t>
  </si>
  <si>
    <t>Descubre las principales diferencias entre convector y emisor térmico para que elijas el que más te conviene para calentar tu hogar, ¡haz clic!.</t>
  </si>
  <si>
    <t>What is better, a convector or a thermal emitter?</t>
  </si>
  <si>
    <t>Discover the main differences between a convector and a thermal emitter so you can choose the one that best suits you to heat your home, click!</t>
  </si>
  <si>
    <r>
      <rPr>
        <rFont val="Arial, sans-serif"/>
        <color rgb="FF1155CC"/>
        <sz val="9.0"/>
        <u/>
      </rPr>
      <t>Ayuntamiento de Cartagena</t>
    </r>
    <r>
      <rPr>
        <rFont val="Arial, sans-serif"/>
        <color rgb="FF1155CC"/>
        <sz val="15.0"/>
        <u/>
      </rPr>
      <t>Cartagena en Madrid Fusión 2024: el asiático y los chefs de Alviento, El Mosqui y Deskaro</t>
    </r>
    <r>
      <rPr>
        <rFont val="Arial, sans-serif"/>
        <color rgb="FF1155CC"/>
        <sz val="11.0"/>
        <u/>
      </rPr>
      <t>La alcaldesa de Cartagena ha asistiendo este lunes, 29 de enero, a la feria para apoyar al sector de restauración del municipio.</t>
    </r>
    <r>
      <rPr>
        <rFont val="Arial, sans-serif"/>
        <color rgb="FF1155CC"/>
        <sz val="12.0"/>
        <u/>
      </rPr>
      <t>.</t>
    </r>
    <r>
      <rPr>
        <rFont val="Arial, sans-serif"/>
        <color rgb="FF1155CC"/>
        <sz val="11.0"/>
        <u/>
      </rPr>
      <t>29 ene 2024</t>
    </r>
  </si>
  <si>
    <t>Cartagena en Madrid Fusión 2024: el asiático y los chefs de Alviento, El Mosqui y Deskaro</t>
  </si>
  <si>
    <t>La alcaldesa de Cartagena ha asistido este lunes, 29 de enero, a la feria para apoyar al sector de restauración del municipio.</t>
  </si>
  <si>
    <t>Cartagena in Madrid Fusion 2024: the Asian and the chefs of Alviento, El Mosqui and Deskaro</t>
  </si>
  <si>
    <t>The mayor of Cartagena attended the fair this Monday, January 29, to support the municipality's restaurant sector.</t>
  </si>
  <si>
    <r>
      <rPr>
        <rFont val="Arial, sans-serif"/>
        <color rgb="FF1155CC"/>
        <sz val="9.0"/>
        <u/>
      </rPr>
      <t>Expansión</t>
    </r>
    <r>
      <rPr>
        <rFont val="Arial, sans-serif"/>
        <color rgb="FF1155CC"/>
        <sz val="15.0"/>
        <u/>
      </rPr>
      <t>Así despliega BlackRock su poder en 71 empresas de la Bolsa española</t>
    </r>
    <r>
      <rPr>
        <rFont val="Arial, sans-serif"/>
        <color rgb="FF1155CC"/>
        <sz val="11.0"/>
        <u/>
      </rPr>
      <t>BlackRock, el mayor fondo de inversión privado del mundo, tiene desplegado en España un enorme poder empresarial. Su capacidad inversora se extiende a un...</t>
    </r>
    <r>
      <rPr>
        <rFont val="Arial, sans-serif"/>
        <color rgb="FF1155CC"/>
        <sz val="12.0"/>
        <u/>
      </rPr>
      <t>.</t>
    </r>
    <r>
      <rPr>
        <rFont val="Arial, sans-serif"/>
        <color rgb="FF1155CC"/>
        <sz val="11.0"/>
        <u/>
      </rPr>
      <t>29 ene 2024</t>
    </r>
  </si>
  <si>
    <t>Así despliega BlackRock su poder en 71 empresas de la Bolsa española</t>
  </si>
  <si>
    <t>BlackRock, el mayor fondo de inversión privado del mundo, tiene desplegado en España un enorme poder empresarial. Su capacidad inversora se extiende a un....</t>
  </si>
  <si>
    <t>This is how BlackRock deploys its power in 71 companies on the Spanish stock market</t>
  </si>
  <si>
    <t>BlackRock, the largest private investment fund in the world, has enormous business power deployed in Spain. Its investment capacity extends to a...</t>
  </si>
  <si>
    <t>General investment trends do not directly impact Repsol.</t>
  </si>
  <si>
    <r>
      <rPr>
        <rFont val="Arial, sans-serif"/>
        <color rgb="FF1155CC"/>
        <sz val="9.0"/>
        <u/>
      </rPr>
      <t>El Periódico</t>
    </r>
    <r>
      <rPr>
        <rFont val="Arial, sans-serif"/>
        <color rgb="FF1155CC"/>
        <sz val="15.0"/>
        <u/>
      </rPr>
      <t>Estos son los descuentos de Repsol por llevar aceite de cocina usado</t>
    </r>
    <r>
      <rPr>
        <rFont val="Arial, sans-serif"/>
        <color rgb="FF1155CC"/>
        <sz val="11.0"/>
        <u/>
      </rPr>
      <t>Buscar ahorrarnos unos céntimos en cada litro de gasolina que repostamos se ha convertido en deporte nacional, por eso hay que tener muy en cuenta la...</t>
    </r>
    <r>
      <rPr>
        <rFont val="Arial, sans-serif"/>
        <color rgb="FF1155CC"/>
        <sz val="12.0"/>
        <u/>
      </rPr>
      <t>.</t>
    </r>
    <r>
      <rPr>
        <rFont val="Arial, sans-serif"/>
        <color rgb="FF1155CC"/>
        <sz val="11.0"/>
        <u/>
      </rPr>
      <t>30 ene 2024</t>
    </r>
  </si>
  <si>
    <t>El Periódico</t>
  </si>
  <si>
    <t>Estos son los descuentos de Repsol por llevar aceite de cocina usado</t>
  </si>
  <si>
    <t>Buscar ahorrarnos unos céntimos en cada litro de gasolina que repostamos se ha convertido en deporte nacional, por eso hay que tener muy en cuenta la....</t>
  </si>
  <si>
    <t>These are the Repsol discounts for carrying used cooking oil</t>
  </si>
  <si>
    <t>Seeking to save a few cents on each liter of gasoline we refuel has become a national sport, which is why we must take into account the...</t>
  </si>
  <si>
    <t>Repsol discounts, used oil recycling</t>
  </si>
  <si>
    <t>Descuentos Repsol, reciclado de aceites usados</t>
  </si>
  <si>
    <t>Incentivizing used oil recycling strengthens Repsol’s circular economy efforts.</t>
  </si>
  <si>
    <t>descuentos, aceite de cocina usado</t>
  </si>
  <si>
    <t>Positive sentiment due to customer incentives and sustainability.</t>
  </si>
  <si>
    <t>Sentimiento positivo debido a los incentivos a los clientes y la sostenibilidad.</t>
  </si>
  <si>
    <r>
      <rPr>
        <rFont val="Arial, sans-serif"/>
        <color rgb="FF1155CC"/>
        <sz val="9.0"/>
        <u/>
      </rPr>
      <t>Neomotor</t>
    </r>
    <r>
      <rPr>
        <rFont val="Arial, sans-serif"/>
        <color rgb="FF1155CC"/>
        <sz val="15.0"/>
        <u/>
      </rPr>
      <t>Repsol tendrá 600 gasolineras con combustibles renovables a finales de 2024</t>
    </r>
    <r>
      <rPr>
        <rFont val="Arial, sans-serif"/>
        <color rgb="FF1155CC"/>
        <sz val="11.0"/>
        <u/>
      </rPr>
      <t>Los combustibles renovables parecen cosa del futuro, pero la realidad es que Repsol superará las 600 estaciones de servicio con combustible 100% renov...</t>
    </r>
    <r>
      <rPr>
        <rFont val="Arial, sans-serif"/>
        <color rgb="FF1155CC"/>
        <sz val="12.0"/>
        <u/>
      </rPr>
      <t>.</t>
    </r>
    <r>
      <rPr>
        <rFont val="Arial, sans-serif"/>
        <color rgb="FF1155CC"/>
        <sz val="11.0"/>
        <u/>
      </rPr>
      <t>30 ene 2024</t>
    </r>
  </si>
  <si>
    <t>Neomotor</t>
  </si>
  <si>
    <t>Repsol tendrá 600 gasolineras con combustibles renovables a finales de 2024</t>
  </si>
  <si>
    <t>Los combustibles renovables parecen cosa del futuro, pero la realidad es que Repsol superará las 600 estaciones de servicio con combustible 100% renovable a finales de 2024.</t>
  </si>
  <si>
    <t>Repsol will have 600 gas stations with renewable fuels by the end of 2024</t>
  </si>
  <si>
    <t>Renewable fuels seem like a thing of the future, but the reality is that Repsol will exceed 600 service stations with 100% renewable fuel by the end of 2024.</t>
  </si>
  <si>
    <t>600 gas stations, renewable fuels</t>
  </si>
  <si>
    <t>600 gasolineras, combustibles renovables</t>
  </si>
  <si>
    <t>Expanding renewable fuel stations supports Repsol’s green energy strategy.</t>
  </si>
  <si>
    <r>
      <rPr>
        <rFont val="Arial, sans-serif"/>
        <color rgb="FF1155CC"/>
        <sz val="9.0"/>
        <u/>
      </rPr>
      <t>2Playbook</t>
    </r>
    <r>
      <rPr>
        <rFont val="Arial, sans-serif"/>
        <color rgb="FF1155CC"/>
        <sz val="15.0"/>
        <u/>
      </rPr>
      <t>Sierra Nevada se alía con Repsol para reducir las emisiones de la estación</t>
    </r>
    <r>
      <rPr>
        <rFont val="Arial, sans-serif"/>
        <color rgb="FF1155CC"/>
        <sz val="11.0"/>
        <u/>
      </rPr>
      <t>La compañía energética suministrará a las máquinas pisapistas combustible 100% renovable que evitará la emisión de 180 toneladas de CO2.</t>
    </r>
    <r>
      <rPr>
        <rFont val="Arial, sans-serif"/>
        <color rgb="FF1155CC"/>
        <sz val="12.0"/>
        <u/>
      </rPr>
      <t>.</t>
    </r>
    <r>
      <rPr>
        <rFont val="Arial, sans-serif"/>
        <color rgb="FF1155CC"/>
        <sz val="11.0"/>
        <u/>
      </rPr>
      <t>30 ene 2024</t>
    </r>
  </si>
  <si>
    <t>Playbook</t>
  </si>
  <si>
    <t>La compañía energética suministrará a las máquinas pisapistas combustible 100% renovable que evitará la emisión de 180 toneladas de CO2.</t>
  </si>
  <si>
    <t>The energy company will supply the footpath machines with 100% renewable fuel that will avoid the emission of 180 tons of CO2.</t>
  </si>
  <si>
    <t>reduce emissions, Sierra Nevada</t>
  </si>
  <si>
    <t>reducir emisiones, Sierra Nevada</t>
  </si>
  <si>
    <t>Collaborations in reducing emissions reinforce Repsol’s commitment to sustainability.</t>
  </si>
  <si>
    <t>emisiones, combustible 100% renovable</t>
  </si>
  <si>
    <t>Highly positive sentiment due to sustainability efforts.</t>
  </si>
  <si>
    <t>Sentimiento muy positivo debido a los esfuerzos de sostenibilidad.</t>
  </si>
  <si>
    <r>
      <rPr>
        <rFont val="Arial, sans-serif"/>
        <color rgb="FF1155CC"/>
        <sz val="9.0"/>
        <u/>
      </rPr>
      <t>El Confidencial</t>
    </r>
    <r>
      <rPr>
        <rFont val="Arial, sans-serif"/>
        <color rgb="FF1155CC"/>
        <sz val="15.0"/>
        <u/>
      </rPr>
      <t>Esto es lo que Repsol te regala si llevas el aceite usado de tu casa a sus gasolineras</t>
    </r>
    <r>
      <rPr>
        <rFont val="Arial, sans-serif"/>
        <color rgb="FF1155CC"/>
        <sz val="11.0"/>
        <u/>
      </rPr>
      <t>La multinacional apuesta por el tratamiento de residuos orgánicos que no se destinan o compiten con la alimentación, como aceites de cocina usados.</t>
    </r>
    <r>
      <rPr>
        <rFont val="Arial, sans-serif"/>
        <color rgb="FF1155CC"/>
        <sz val="12.0"/>
        <u/>
      </rPr>
      <t>.</t>
    </r>
    <r>
      <rPr>
        <rFont val="Arial, sans-serif"/>
        <color rgb="FF1155CC"/>
        <sz val="11.0"/>
        <u/>
      </rPr>
      <t>30 ene 2024</t>
    </r>
  </si>
  <si>
    <t>Esto es lo que Repsol te regala si llevas el aceite usado de tu casa a sus gasolineras</t>
  </si>
  <si>
    <t>La multinacional apuesta por el tratamiento de residuos orgánicos que no se destinan o compiten con la alimentación, como aceites de cocina usados.</t>
  </si>
  <si>
    <t>This is what Repsol gives you if you take used oil from your home to its gas stations</t>
  </si>
  <si>
    <t>The multinational is committed to the treatment of organic waste that is not destined for or competes with food, such as used cooking oils.</t>
  </si>
  <si>
    <t>used oil recycling, Repsol incentives</t>
  </si>
  <si>
    <t>Reciclaje de aceites usados, Incentivos Repsol</t>
  </si>
  <si>
    <t>Promoting oil recycling incentives supports Repsol’s environmental responsibility.</t>
  </si>
  <si>
    <t>aceite usado, gasolineras</t>
  </si>
  <si>
    <r>
      <rPr>
        <rFont val="Arial, sans-serif"/>
        <color rgb="FF1155CC"/>
        <sz val="9.0"/>
        <u/>
      </rPr>
      <t>El Español</t>
    </r>
    <r>
      <rPr>
        <rFont val="Arial, sans-serif"/>
        <color rgb="FF1155CC"/>
        <sz val="15.0"/>
        <u/>
      </rPr>
      <t>El fondo soberano de Noruega escala en Repsol y alcanza una participación récord</t>
    </r>
    <r>
      <rPr>
        <rFont val="Arial, sans-serif"/>
        <color rgb="FF1155CC"/>
        <sz val="11.0"/>
        <u/>
      </rPr>
      <t>Consigue un 5417% en el capital de la petrolera y se pone muy cerca de BlackRock, que tiene un 5475%.</t>
    </r>
    <r>
      <rPr>
        <rFont val="Arial, sans-serif"/>
        <color rgb="FF1155CC"/>
        <sz val="12.0"/>
        <u/>
      </rPr>
      <t>.</t>
    </r>
    <r>
      <rPr>
        <rFont val="Arial, sans-serif"/>
        <color rgb="FF1155CC"/>
        <sz val="11.0"/>
        <u/>
      </rPr>
      <t>30 ene 2024</t>
    </r>
  </si>
  <si>
    <t>El fondo soberano de Noruega escala en Repsol y alcanza una participación récord</t>
  </si>
  <si>
    <t>Consigue un 5417% en el capital de la petrolera y se pone muy cerca de BlackRock, que tiene un 5475%.</t>
  </si>
  <si>
    <t>Norway's sovereign fund climbs into Repsol and reaches record participation</t>
  </si>
  <si>
    <t>It obtains 5,417% in the oil company's capital and is very close to BlackRock, which has 5,475%.</t>
  </si>
  <si>
    <t>Norway's sovereign fund, Repsol investment</t>
  </si>
  <si>
    <t>Fondo soberano de Noruega, Inversión Repsol</t>
  </si>
  <si>
    <t>Increased investment from major funds signals confidence in Repsol’s stability.</t>
  </si>
  <si>
    <r>
      <rPr>
        <rFont val="Arial, sans-serif"/>
        <color rgb="FF1155CC"/>
        <sz val="9.0"/>
        <u/>
      </rPr>
      <t>EL PAÍS</t>
    </r>
    <r>
      <rPr>
        <rFont val="Arial, sans-serif"/>
        <color rgb="FF1155CC"/>
        <sz val="15.0"/>
        <u/>
      </rPr>
      <t>Tom Goodhead, sobre el derrame de petróleo en Perú en 2022: “Repsol podría decir que ha proporcionado asistencia, pero no una reparación”</t>
    </r>
    <r>
      <rPr>
        <rFont val="Arial, sans-serif"/>
        <color rgb="FF1155CC"/>
        <sz val="11.0"/>
        <u/>
      </rPr>
      <t>El director de Pogust Goodhead, la firma internacional de abogados que acaba de presentar una demanda en contra de Repsol en La Haya, reclama una...</t>
    </r>
    <r>
      <rPr>
        <rFont val="Arial, sans-serif"/>
        <color rgb="FF1155CC"/>
        <sz val="12.0"/>
        <u/>
      </rPr>
      <t>.</t>
    </r>
    <r>
      <rPr>
        <rFont val="Arial, sans-serif"/>
        <color rgb="FF1155CC"/>
        <sz val="11.0"/>
        <u/>
      </rPr>
      <t>30 ene 2024</t>
    </r>
  </si>
  <si>
    <t>Repsol podría decir que ha proporcionado asistencia, pero no una reparación</t>
  </si>
  <si>
    <t>El director de Pogust Goodhead, la firma internacional de abogados que acaba de presentar una demanda en contra de Repsol en La Haya, reclama una....</t>
  </si>
  <si>
    <t>Repsol could say that it has provided assistance, but not a repair</t>
  </si>
  <si>
    <t>The director of Pogust Goodhead, the international law firm that has just filed a lawsuit against Repsol in The Hague, claims a...</t>
  </si>
  <si>
    <t>assistance insufficient, affected communities</t>
  </si>
  <si>
    <t>asistencia insuficiente, comunidades afectadas</t>
  </si>
  <si>
    <t>Ongoing legal disputes about environmental damage harm Repsol’s reputation.</t>
  </si>
  <si>
    <t>demanda, reparación</t>
  </si>
  <si>
    <r>
      <rPr>
        <rFont val="Arial, sans-serif"/>
        <color rgb="FF1155CC"/>
        <sz val="9.0"/>
        <u/>
      </rPr>
      <t>El Economista</t>
    </r>
    <r>
      <rPr>
        <rFont val="Arial, sans-serif"/>
        <color rgb="FF1155CC"/>
        <sz val="15.0"/>
        <u/>
      </rPr>
      <t>Repsol logra el permiso ambiental para desmantelar el yacimiento de gas Poseidón en Huelva</t>
    </r>
    <r>
      <rPr>
        <rFont val="Arial, sans-serif"/>
        <color rgb="FF1155CC"/>
        <sz val="11.0"/>
        <u/>
      </rPr>
      <t>El Ministerio de Transición Ecológica ha otorgado a Repsol la declaración de impacto ambiental para el cierre del yacimiento de gas ...</t>
    </r>
    <r>
      <rPr>
        <rFont val="Arial, sans-serif"/>
        <color rgb="FF1155CC"/>
        <sz val="12.0"/>
        <u/>
      </rPr>
      <t>.</t>
    </r>
    <r>
      <rPr>
        <rFont val="Arial, sans-serif"/>
        <color rgb="FF1155CC"/>
        <sz val="11.0"/>
        <u/>
      </rPr>
      <t>30 ene 2024</t>
    </r>
  </si>
  <si>
    <t>Repsol logra el permiso ambiental para desmantelar el yacimiento de gas Poseidón en Huelva</t>
  </si>
  <si>
    <t>El Ministerio de Transición Ecológica ha otorgado a Repsol la declaración de impacto ambiental para el cierre del yacimiento de gas ....</t>
  </si>
  <si>
    <t>Repsol obtains environmental permission to dismantle the Poseidon gas field in Huelva</t>
  </si>
  <si>
    <t>The Ministry of Ecological Transition has granted Repsol the environmental impact declaration for the closure of the gas field....</t>
  </si>
  <si>
    <t>environmental permission, dismantle oil platforms</t>
  </si>
  <si>
    <t>permiso ambiental, desmantelar plataformas petroleras</t>
  </si>
  <si>
    <t>Removing outdated oil infrastructure supports Repsol’s environmental efforts.</t>
  </si>
  <si>
    <r>
      <rPr>
        <rFont val="Arial, sans-serif"/>
        <color rgb="FF1155CC"/>
        <sz val="9.0"/>
        <u/>
      </rPr>
      <t>Óleo Revista</t>
    </r>
    <r>
      <rPr>
        <rFont val="Arial, sans-serif"/>
        <color rgb="FF1155CC"/>
        <sz val="15.0"/>
        <u/>
      </rPr>
      <t>La red de estaciones de servicio de Repsol en Galicia recoge aceite de cocina usado para fabricar combustible renovable</t>
    </r>
    <r>
      <rPr>
        <rFont val="Arial, sans-serif"/>
        <color rgb="FF1155CC"/>
        <sz val="11.0"/>
        <u/>
      </rPr>
      <t>Repsol pone en marcha 176 puntos de recogida de aceite de cocina usado en sus estaciones de servicio en Galicia. Esta iniciativa, que se realiza en...</t>
    </r>
    <r>
      <rPr>
        <rFont val="Arial, sans-serif"/>
        <color rgb="FF1155CC"/>
        <sz val="12.0"/>
        <u/>
      </rPr>
      <t>.</t>
    </r>
    <r>
      <rPr>
        <rFont val="Arial, sans-serif"/>
        <color rgb="FF1155CC"/>
        <sz val="11.0"/>
        <u/>
      </rPr>
      <t>30 ene 2024</t>
    </r>
  </si>
  <si>
    <t>La red de estaciones de servicio de Repsol en Galicia recoge aceite de cocina usado para fabricar combustible renovable</t>
  </si>
  <si>
    <t>Repsol pone en marcha 176 puntos de recogida de aceite de cocina usado en sus estaciones de servicio en Galicia. Esta iniciativa, que se realiza en....</t>
  </si>
  <si>
    <t>The Repsol service station network in Galicia collects used cooking oil to make renewable fuel</t>
  </si>
  <si>
    <t>Repsol launches 176 collection points for used cooking oil at its service stations in Galicia. This initiative, which is carried out in...</t>
  </si>
  <si>
    <t>used cooking oil, collection points</t>
  </si>
  <si>
    <t>aceite de cocina usado, puntos de recogida</t>
  </si>
  <si>
    <t>Expanding collection points supports Repsol’s circular economy and sustainability efforts.</t>
  </si>
  <si>
    <t>aceite de cocina usado, combustible renovable</t>
  </si>
  <si>
    <t>Positive sentiment due to sustainable initiative.</t>
  </si>
  <si>
    <t>Sentimiento positivo debido a una iniciativa sostenible.</t>
  </si>
  <si>
    <r>
      <rPr>
        <rFont val="Arial, sans-serif"/>
        <color rgb="FF1155CC"/>
        <sz val="9.0"/>
        <u/>
      </rPr>
      <t>Estrategias de Inversión</t>
    </r>
    <r>
      <rPr>
        <rFont val="Arial, sans-serif"/>
        <color rgb="FF1155CC"/>
        <sz val="15.0"/>
        <u/>
      </rPr>
      <t>El Fondo soberano de Noruega refuerza su apuesta por Repsol</t>
    </r>
    <r>
      <rPr>
        <rFont val="Arial, sans-serif"/>
        <color rgb="FF1155CC"/>
        <sz val="11.0"/>
        <u/>
      </rPr>
      <t>Norges Bank, gestor del fondo soberano de Noruega, ha incrementado su participación en Repsol hasta el 5417%, convirtiéndose en el segundo máximo accionista...</t>
    </r>
    <r>
      <rPr>
        <rFont val="Arial, sans-serif"/>
        <color rgb="FF1155CC"/>
        <sz val="12.0"/>
        <u/>
      </rPr>
      <t>.</t>
    </r>
    <r>
      <rPr>
        <rFont val="Arial, sans-serif"/>
        <color rgb="FF1155CC"/>
        <sz val="11.0"/>
        <u/>
      </rPr>
      <t>30 ene 2024</t>
    </r>
  </si>
  <si>
    <t>El Fondo soberano de Noruega refuerza su apuesta por Repsol</t>
  </si>
  <si>
    <t>Norges Bank, gestor del fondo soberano de Noruega, ha incrementado su participación en Repsol hasta el 5417%, convirtiéndose en el segundo máximo accionista....</t>
  </si>
  <si>
    <t>The Norwegian Sovereign Fund reinforces its commitment to Repsol</t>
  </si>
  <si>
    <t>Norges Bank, manager of Norway's sovereign fund, has increased its stake in Repsol to 5,417%, becoming the second largest shareholder....</t>
  </si>
  <si>
    <t>sovereign fund, Repsol investment</t>
  </si>
  <si>
    <t>fondo soberano, inversión Repsol</t>
  </si>
  <si>
    <t>Growing investment by Norway’s sovereign fund signals confidence in Repsol’s financial stability.</t>
  </si>
  <si>
    <r>
      <rPr>
        <rFont val="Arial, sans-serif"/>
        <color rgb="FF1155CC"/>
        <sz val="9.0"/>
        <u/>
      </rPr>
      <t>ABC</t>
    </r>
    <r>
      <rPr>
        <rFont val="Arial, sans-serif"/>
        <color rgb="FF1155CC"/>
        <sz val="15.0"/>
        <u/>
      </rPr>
      <t>Norges le disputa al gigante BlackRock el primer puesto en el accionariado de Repsol</t>
    </r>
    <r>
      <rPr>
        <rFont val="Arial, sans-serif"/>
        <color rgb="FF1155CC"/>
        <sz val="11.0"/>
        <u/>
      </rPr>
      <t>Mientras el fondo soberano de Noruega sube al 5417%, la gestora de fondos estadounidense mantiene el 5475%</t>
    </r>
    <r>
      <rPr>
        <rFont val="Arial, sans-serif"/>
        <color rgb="FF1155CC"/>
        <sz val="12.0"/>
        <u/>
      </rPr>
      <t>.</t>
    </r>
    <r>
      <rPr>
        <rFont val="Arial, sans-serif"/>
        <color rgb="FF1155CC"/>
        <sz val="11.0"/>
        <u/>
      </rPr>
      <t>30 ene 2024</t>
    </r>
  </si>
  <si>
    <t>ABC</t>
  </si>
  <si>
    <t>Norges le disputa al gigante BlackRock el primer puesto en el accionariado de Repsol</t>
  </si>
  <si>
    <t>Mientras el fondo soberano de Noruega sube al 5417%, la gestora de fondos estadounidense mantiene el 5475%.</t>
  </si>
  <si>
    <t>Norges disputes the giant BlackRock for first place in Repsol's shareholding</t>
  </si>
  <si>
    <t>While Norway's sovereign fund rises to 5417%, the American fund manager maintains 5475%.</t>
  </si>
  <si>
    <t>Norges, BlackRock, Repsol stake</t>
  </si>
  <si>
    <t>Norges, BlackRock, Participación Repsol</t>
  </si>
  <si>
    <t>Competition between major investors highlights Repsol’s attractiveness to financial institutions.</t>
  </si>
  <si>
    <r>
      <rPr>
        <rFont val="Arial, sans-serif"/>
        <color rgb="FF1155CC"/>
        <sz val="9.0"/>
        <u/>
      </rPr>
      <t>Infobae</t>
    </r>
    <r>
      <rPr>
        <rFont val="Arial, sans-serif"/>
        <color rgb="FF1155CC"/>
        <sz val="15.0"/>
        <u/>
      </rPr>
      <t>Un excampeón mundial de Honda, sobre la salida de Márquez: “Todo el mundo acaba queriendo irse”</t>
    </r>
    <r>
      <rPr>
        <rFont val="Arial, sans-serif"/>
        <color rgb="FF1155CC"/>
        <sz val="11.0"/>
        <u/>
      </rPr>
      <t>Casey Stoner es bicampeón mundial. Lo logró en 2007 con Ducati, y lo repitió en 2011 con Repsol Honda. El expiloto australiano ha realizado unas...</t>
    </r>
    <r>
      <rPr>
        <rFont val="Arial, sans-serif"/>
        <color rgb="FF1155CC"/>
        <sz val="12.0"/>
        <u/>
      </rPr>
      <t>.</t>
    </r>
    <r>
      <rPr>
        <rFont val="Arial, sans-serif"/>
        <color rgb="FF1155CC"/>
        <sz val="11.0"/>
        <u/>
      </rPr>
      <t>30 ene 2024</t>
    </r>
  </si>
  <si>
    <t>“Todo el mundo acaba queriendo irse”</t>
  </si>
  <si>
    <t>Casey Stoner es bicampeón mundial. Lo logró en 2007 con Ducati, y lo repitió en 2011 con Repsol Honda. El expiloto australiano ha realizado unas....</t>
  </si>
  <si>
    <t>“Everyone ends up wanting to leave”</t>
  </si>
  <si>
    <t>Casey Stoner is a two-time world champion. He achieved it in 2007 with Ducati, and repeated it in 2011 with Repsol Honda. The former Australian pilot has done some...</t>
  </si>
  <si>
    <r>
      <rPr>
        <rFont val="Arial, sans-serif"/>
        <color rgb="FF1155CC"/>
        <sz val="9.0"/>
        <u/>
      </rPr>
      <t>heraldo.es</t>
    </r>
    <r>
      <rPr>
        <rFont val="Arial, sans-serif"/>
        <color rgb="FF1155CC"/>
        <sz val="15.0"/>
        <u/>
      </rPr>
      <t>El único restaurante de Aragón en el 'Top 100' de la plataforma 'The Fork'</t>
    </r>
    <r>
      <rPr>
        <rFont val="Arial, sans-serif"/>
        <color rgb="FF1155CC"/>
        <sz val="11.0"/>
        <u/>
      </rPr>
      <t>Para elaborar este listado se tienen en cuenta diferentes criterios como las opiniones de los clientes, las visitas a la ficha del restaurante y también las...</t>
    </r>
    <r>
      <rPr>
        <rFont val="Arial, sans-serif"/>
        <color rgb="FF1155CC"/>
        <sz val="12.0"/>
        <u/>
      </rPr>
      <t>.</t>
    </r>
    <r>
      <rPr>
        <rFont val="Arial, sans-serif"/>
        <color rgb="FF1155CC"/>
        <sz val="11.0"/>
        <u/>
      </rPr>
      <t>30 ene 2024</t>
    </r>
  </si>
  <si>
    <t>El único restaurante de Aragón en el 'Top 100' de la plataforma 'The Fork'</t>
  </si>
  <si>
    <t>Para elaborar este listado se tienen en cuenta diferentes criterios como las opiniones de los clientes, las visitas a la ficha del restaurante y también las....</t>
  </si>
  <si>
    <t>The only restaurant in Aragón in the 'Top 100' of the 'The Fork' platform</t>
  </si>
  <si>
    <t>To prepare this list, different criteria are taken into account, such as customer opinions, visits to the restaurant's listing and also...</t>
  </si>
  <si>
    <r>
      <rPr>
        <rFont val="Arial, sans-serif"/>
        <color rgb="FF1155CC"/>
        <sz val="9.0"/>
        <u/>
      </rPr>
      <t>ABC</t>
    </r>
    <r>
      <rPr>
        <rFont val="Arial, sans-serif"/>
        <color rgb="FF1155CC"/>
        <sz val="15.0"/>
        <u/>
      </rPr>
      <t>Así es la cocina donde la basura se convierte en combustible para coches</t>
    </r>
    <r>
      <rPr>
        <rFont val="Arial, sans-serif"/>
        <color rgb="FF1155CC"/>
        <sz val="11.0"/>
        <u/>
      </rPr>
      <t>Los carburantes de origen 'bio' se presentan como una alternativa «inmediata» para descarbonizar la movilidad.</t>
    </r>
    <r>
      <rPr>
        <rFont val="Arial, sans-serif"/>
        <color rgb="FF1155CC"/>
        <sz val="12.0"/>
        <u/>
      </rPr>
      <t>.</t>
    </r>
    <r>
      <rPr>
        <rFont val="Arial, sans-serif"/>
        <color rgb="FF1155CC"/>
        <sz val="11.0"/>
        <u/>
      </rPr>
      <t>30 ene 2024</t>
    </r>
  </si>
  <si>
    <t>Así es la cocina donde la basura se convierte en combustible para coches</t>
  </si>
  <si>
    <t>Los carburantes de origen 'bio' se presentan como una alternativa «inmediata» para descarbonizar la movilidad.</t>
  </si>
  <si>
    <t>This is the kitchen where garbage becomes fuel for cars</t>
  </si>
  <si>
    <t>Fuels of 'bio' origin are presented as an "immediate" alternative to decarbonize mobility.</t>
  </si>
  <si>
    <t>biofuel, waste to fuel</t>
  </si>
  <si>
    <t>biocombustible, residuos para combustible</t>
  </si>
  <si>
    <t>Advancing biofuel production aligns with Repsol’s sustainability and innovation goals.</t>
  </si>
  <si>
    <r>
      <rPr>
        <rFont val="Arial, sans-serif"/>
        <color rgb="FF1155CC"/>
        <sz val="9.0"/>
        <u/>
      </rPr>
      <t>Europa Press</t>
    </r>
    <r>
      <rPr>
        <rFont val="Arial, sans-serif"/>
        <color rgb="FF1155CC"/>
        <sz val="15.0"/>
        <u/>
      </rPr>
      <t>Repsol, Airbus, Alsa y Mercadona impulsan la asociación 'Crecemos' para descarbonizar el transporte</t>
    </r>
    <r>
      <rPr>
        <rFont val="Arial, sans-serif"/>
        <color rgb="FF1155CC"/>
        <sz val="11.0"/>
        <u/>
      </rPr>
      <t>Un total de 19 compañías, entre las que figuran Repsol, Airbus, Alsa, o Mercadona, ha lanzado una asociación...</t>
    </r>
    <r>
      <rPr>
        <rFont val="Arial, sans-serif"/>
        <color rgb="FF1155CC"/>
        <sz val="12.0"/>
        <u/>
      </rPr>
      <t>.</t>
    </r>
    <r>
      <rPr>
        <rFont val="Arial, sans-serif"/>
        <color rgb="FF1155CC"/>
        <sz val="11.0"/>
        <u/>
      </rPr>
      <t>31 ene 2024</t>
    </r>
  </si>
  <si>
    <t>Repsol, Airbus, Alsa y Mercadona impulsan la asociación 'Crecemos' para descarbonizar el transporte</t>
  </si>
  <si>
    <t>Un total de 19 compañías, entre las que figuran Repsol, Airbus, Alsa, o Mercadona, ha lanzado una asociación....</t>
  </si>
  <si>
    <t>Repsol, Airbus, Alsa and Mercadona promote the 'We Grow' association to decarbonize transport</t>
  </si>
  <si>
    <t>A total of 19 companies, including Repsol, Airbus, Alsa, and Mercadona, have launched an association....</t>
  </si>
  <si>
    <t>renewable fuels, corporate collaboration</t>
  </si>
  <si>
    <t>combustibles renovables, colaboración empresarial</t>
  </si>
  <si>
    <t>Collaboration with major corporations strengthens Repsol’s role in the energy transition.</t>
  </si>
  <si>
    <t>descarbonizar, transporte</t>
  </si>
  <si>
    <t>Positive sentiment due to collaboration on decarbonization.</t>
  </si>
  <si>
    <t>Sentimiento positivo por la colaboración en materia de descarbonización.</t>
  </si>
  <si>
    <r>
      <rPr>
        <rFont val="Arial, sans-serif"/>
        <color rgb="FF1155CC"/>
        <sz val="9.0"/>
        <u/>
      </rPr>
      <t>Honda Racing Corporation</t>
    </r>
    <r>
      <rPr>
        <rFont val="Arial, sans-serif"/>
        <color rgb="FF1155CC"/>
        <sz val="15.0"/>
        <u/>
      </rPr>
      <t>Los pilotos del Repsol Honda Trial Team, listos para el inicio de la temporada 2024</t>
    </r>
    <r>
      <rPr>
        <rFont val="Arial, sans-serif"/>
        <color rgb="FF1155CC"/>
        <sz val="11.0"/>
        <u/>
      </rPr>
      <t>Toni Bou y Gabriel Marcelli se enfrentan a la primera cita del año el domingo 4 de febrero en el Palau Sant Jordi (Barcelona). Bou buscará revalidar el...</t>
    </r>
    <r>
      <rPr>
        <rFont val="Arial, sans-serif"/>
        <color rgb="FF1155CC"/>
        <sz val="12.0"/>
        <u/>
      </rPr>
      <t>.</t>
    </r>
    <r>
      <rPr>
        <rFont val="Arial, sans-serif"/>
        <color rgb="FF1155CC"/>
        <sz val="11.0"/>
        <u/>
      </rPr>
      <t>31 ene 2024</t>
    </r>
  </si>
  <si>
    <t>Honda Racing Corporation</t>
  </si>
  <si>
    <t>Los pilotos del Repsol Honda Trial Team, listos para el inicio de la temporada 2024</t>
  </si>
  <si>
    <t>Toni Bou y Gabriel Marcelli se enfrentan a la primera cita del año el domingo 4 de febrero en el Palau Sant Jordi (Barcelona). Bou buscará revalidar el....</t>
  </si>
  <si>
    <t>The Repsol Honda Trial Team riders, ready for the start of the 2024 season</t>
  </si>
  <si>
    <t>Toni Bou and Gabriel Marcelli face the first date of the year on Sunday, February 4 at the Palau Sant Jordi (Barcelona). Bou will seek to revalidate the...</t>
  </si>
  <si>
    <r>
      <rPr>
        <rFont val="Arial, sans-serif"/>
        <color rgb="FF1155CC"/>
        <sz val="9.0"/>
        <u/>
      </rPr>
      <t>Guía Repsol</t>
    </r>
    <r>
      <rPr>
        <rFont val="Arial, sans-serif"/>
        <color rgb="FF1155CC"/>
        <sz val="15.0"/>
        <u/>
      </rPr>
      <t>Las claves de Madrid Fusión 2024</t>
    </r>
    <r>
      <rPr>
        <rFont val="Arial, sans-serif"/>
        <color rgb="FF1155CC"/>
        <sz val="11.0"/>
        <u/>
      </rPr>
      <t>Visitamos la Feria de Gastronomía más importante de nuestro país en busca de esas tendencias que se cuecen entre los fogones. Mientras que los concursos...</t>
    </r>
    <r>
      <rPr>
        <rFont val="Arial, sans-serif"/>
        <color rgb="FF1155CC"/>
        <sz val="12.0"/>
        <u/>
      </rPr>
      <t>.</t>
    </r>
    <r>
      <rPr>
        <rFont val="Arial, sans-serif"/>
        <color rgb="FF1155CC"/>
        <sz val="11.0"/>
        <u/>
      </rPr>
      <t>31 ene 2024</t>
    </r>
  </si>
  <si>
    <t>Las claves de Madrid Fusión 2024</t>
  </si>
  <si>
    <t>Visitamos la Feria de Gastronomía más importante de nuestro país en busca de esas tendencias que se cuecen entre los fogones. Mientras que los concursos....</t>
  </si>
  <si>
    <t>The keys to Madrid Fusion 2024</t>
  </si>
  <si>
    <t>We visited the most important Gastronomy Fair in our country in search of those trends that are brewing in the kitchen. While the contests...</t>
  </si>
  <si>
    <r>
      <rPr>
        <rFont val="Arial, sans-serif"/>
        <color rgb="FF1155CC"/>
        <sz val="9.0"/>
        <u/>
      </rPr>
      <t>diarimes.com</t>
    </r>
    <r>
      <rPr>
        <rFont val="Arial, sans-serif"/>
        <color rgb="FF1155CC"/>
        <sz val="15.0"/>
        <u/>
      </rPr>
      <t>El CSN valida «con condiciones» el plan de Repsol de desmantelamiento parcial de la plataforma petrolífera Casablanca</t>
    </r>
    <r>
      <rPr>
        <rFont val="Arial, sans-serif"/>
        <color rgb="FF1155CC"/>
        <sz val="11.0"/>
        <u/>
      </rPr>
      <t>El proyecto prevé el sellado y abandono definitivo de los ocho pozos submarinos.</t>
    </r>
    <r>
      <rPr>
        <rFont val="Arial, sans-serif"/>
        <color rgb="FF1155CC"/>
        <sz val="12.0"/>
        <u/>
      </rPr>
      <t>.</t>
    </r>
    <r>
      <rPr>
        <rFont val="Arial, sans-serif"/>
        <color rgb="FF1155CC"/>
        <sz val="11.0"/>
        <u/>
      </rPr>
      <t>31 ene 2024</t>
    </r>
  </si>
  <si>
    <t>El CSN valida «con condiciones» el plan de Repsol de desmantelamiento parcial de la plataforma petrolífera Casablanca</t>
  </si>
  <si>
    <t>El proyecto prevé el sellado y abandono definitivo de los ocho pozos submarinos.</t>
  </si>
  <si>
    <t>The CSN validates "with conditions" Repsol's plan to partially dismantle the Casablanca oil platform</t>
  </si>
  <si>
    <t>The project provides for the sealing and definitive abandonment of the eight underwater wells.</t>
  </si>
  <si>
    <t>nuclear facility, closure project</t>
  </si>
  <si>
    <t>instalación nuclear, proyecto de cierre</t>
  </si>
  <si>
    <t>Regulatory approval for nuclear site closure aligns with Repsol’s environmental responsibility.</t>
  </si>
  <si>
    <r>
      <rPr>
        <rFont val="Arial, sans-serif"/>
        <color rgb="FF1155CC"/>
        <sz val="9.0"/>
        <u/>
      </rPr>
      <t>El Español</t>
    </r>
    <r>
      <rPr>
        <rFont val="Arial, sans-serif"/>
        <color rgb="FF1155CC"/>
        <sz val="15.0"/>
        <u/>
      </rPr>
      <t>El CSN aprueba desmantelar la plataforma petrolífera de Repsol frente a la costa de Tarragona, 'con condiciones'</t>
    </r>
    <r>
      <rPr>
        <rFont val="Arial, sans-serif"/>
        <color rgb="FF1155CC"/>
        <sz val="11.0"/>
        <u/>
      </rPr>
      <t>El proyecto contempla el sellado y abandono definitivo de los ocho pozos submarinos asociados a la plataforma marina.</t>
    </r>
    <r>
      <rPr>
        <rFont val="Arial, sans-serif"/>
        <color rgb="FF1155CC"/>
        <sz val="12.0"/>
        <u/>
      </rPr>
      <t>.</t>
    </r>
    <r>
      <rPr>
        <rFont val="Arial, sans-serif"/>
        <color rgb="FF1155CC"/>
        <sz val="11.0"/>
        <u/>
      </rPr>
      <t>31 ene 2024</t>
    </r>
  </si>
  <si>
    <t>El CSN aprueba desmantelar la plataforma petrolífera de Repsol frente a la costa de Tarragona, 'con condiciones'</t>
  </si>
  <si>
    <t>El proyecto contempla el sellado y abandono definitivo de los ocho pozos submarinos asociados a la plataforma marina.</t>
  </si>
  <si>
    <t>The CSN approves dismantling the Repsol oil platform off the coast of Tarragona, 'with conditions'</t>
  </si>
  <si>
    <t>The project contemplates the sealing and definitive abandonment of the eight underwater wells associated with the marine platform.</t>
  </si>
  <si>
    <t>dismantling, oil platform</t>
  </si>
  <si>
    <t>desmantelamiento, plataforma petrolera</t>
  </si>
  <si>
    <t>Closing outdated infrastructure supports Repsol’s environmental and sustainability goals.</t>
  </si>
  <si>
    <r>
      <rPr>
        <rFont val="Arial, sans-serif"/>
        <color rgb="FF1155CC"/>
        <sz val="9.0"/>
        <u/>
      </rPr>
      <t>infoLibre</t>
    </r>
    <r>
      <rPr>
        <rFont val="Arial, sans-serif"/>
        <color rgb="FF1155CC"/>
        <sz val="15.0"/>
        <u/>
      </rPr>
      <t>Luces y sombras del biocarburante, la gasolina 'verde' que quiere rivalizar con el coche eléctrico</t>
    </r>
    <r>
      <rPr>
        <rFont val="Arial, sans-serif"/>
        <color rgb="FF1155CC"/>
        <sz val="11.0"/>
        <u/>
      </rPr>
      <t>La semana pasada, Repsol anunció que comienza a vender gasolina 100% renovable en tres estaciones a un precio similar a la gasolina de 98 octanos —1,80...</t>
    </r>
    <r>
      <rPr>
        <rFont val="Arial, sans-serif"/>
        <color rgb="FF1155CC"/>
        <sz val="12.0"/>
        <u/>
      </rPr>
      <t>.</t>
    </r>
    <r>
      <rPr>
        <rFont val="Arial, sans-serif"/>
        <color rgb="FF1155CC"/>
        <sz val="11.0"/>
        <u/>
      </rPr>
      <t>31 ene 2024</t>
    </r>
  </si>
  <si>
    <t>infoLibre</t>
  </si>
  <si>
    <t>Luces y sombras del biocarburante, la gasolina 'verde' que quiere rivalizar con el coche eléctrico</t>
  </si>
  <si>
    <t>La semana pasada, Repsol anunció que comienza a vender gasolina 100% renovable en tres estaciones a un precio similar a la gasolina de 98 octanos —1,80....</t>
  </si>
  <si>
    <t>Lights and shadows of biofuel, the 'green' gasoline that wants to rival the electric car</t>
  </si>
  <si>
    <t>Last week, Repsol announced that it is beginning to sell 100% renewable gasoline at three stations at a price similar to 98 octane gasoline —1.80...</t>
  </si>
  <si>
    <t>biofuel, green gasoline</t>
  </si>
  <si>
    <t>biocombustible, gasolina verde</t>
  </si>
  <si>
    <t>Expanding biofuel production strengthens Repsol’s role in renewable energy.</t>
  </si>
  <si>
    <t>biocarburante, gasolina renovable</t>
  </si>
  <si>
    <t>Positive sentiment due to renewable fuel innovation.</t>
  </si>
  <si>
    <t>Sentimiento positivo debido a la innovación en combustibles renovables.</t>
  </si>
  <si>
    <r>
      <rPr>
        <rFont val="Arial, sans-serif"/>
        <color rgb="FF1155CC"/>
        <sz val="9.0"/>
        <u/>
      </rPr>
      <t>Box Repsol</t>
    </r>
    <r>
      <rPr>
        <rFont val="Arial, sans-serif"/>
        <color rgb="FF1155CC"/>
        <sz val="15.0"/>
        <u/>
      </rPr>
      <t>Concesiones MotoGP 2024: qué son y cómo funcionan</t>
    </r>
    <r>
      <rPr>
        <rFont val="Arial, sans-serif"/>
        <color rgb="FF1155CC"/>
        <sz val="11.0"/>
        <u/>
      </rPr>
      <t>Descubre el innovador sistema de concesiones de MotoGP 2024: equilibrio competitivo, tecnología avanzada y apasionantes carreras. ¡Únete a la emoción!</t>
    </r>
    <r>
      <rPr>
        <rFont val="Arial, sans-serif"/>
        <color rgb="FF1155CC"/>
        <sz val="12.0"/>
        <u/>
      </rPr>
      <t>.</t>
    </r>
    <r>
      <rPr>
        <rFont val="Arial, sans-serif"/>
        <color rgb="FF1155CC"/>
        <sz val="11.0"/>
        <u/>
      </rPr>
      <t>31 ene 2024</t>
    </r>
  </si>
  <si>
    <t>Concesiones MotoGP 2024: qué son y cómo funcionan</t>
  </si>
  <si>
    <t>Descubre el innovador sistema de concesiones de MotoGP 2024: equilibrio competitivo, tecnología avanzada y apasionantes carreras. ¡Únete a la emoción!.</t>
  </si>
  <si>
    <t>MotoGP 2024 concessions: what they are and how they work</t>
  </si>
  <si>
    <t>Discover the innovative MotoGP 2024 concession system: competitive balance, advanced technology and exciting races. Join the excitement!</t>
  </si>
  <si>
    <r>
      <rPr>
        <rFont val="Arial, sans-serif"/>
        <color rgb="FF1155CC"/>
        <sz val="9.0"/>
        <u/>
      </rPr>
      <t>Mongabay</t>
    </r>
    <r>
      <rPr>
        <rFont val="Arial, sans-serif"/>
        <color rgb="FF1155CC"/>
        <sz val="15.0"/>
        <u/>
      </rPr>
      <t>Balance negativo en remediación y reparación civil para Repsol dos años después del mayor derrame de petróleo en costas peruanas</t>
    </r>
    <r>
      <rPr>
        <rFont val="Arial, sans-serif"/>
        <color rgb="FF1155CC"/>
        <sz val="11.0"/>
        <u/>
      </rPr>
      <t>El procurador público del Ministerio del Ambiente, Julio César Guzmán, aseguró a Mongabay Latam que, respecto del proceso penal que el Estado lleva a cabo...</t>
    </r>
    <r>
      <rPr>
        <rFont val="Arial, sans-serif"/>
        <color rgb="FF1155CC"/>
        <sz val="12.0"/>
        <u/>
      </rPr>
      <t>.</t>
    </r>
    <r>
      <rPr>
        <rFont val="Arial, sans-serif"/>
        <color rgb="FF1155CC"/>
        <sz val="11.0"/>
        <u/>
      </rPr>
      <t>31 ene 2024</t>
    </r>
  </si>
  <si>
    <t>Mongabay</t>
  </si>
  <si>
    <t>Balance negativo en remediación y reparación civil para Repsol dos años después del mayor derrame de petróleo en costas peruanas</t>
  </si>
  <si>
    <t>Balance negativo en remediación y reparación civil para Repsol dos años después del mayor derrame de petróleo en costas peruanas.</t>
  </si>
  <si>
    <t>Negative balance in remediation and civil reparation for Repsol two years after the largest oil spill on the Peruvian coast</t>
  </si>
  <si>
    <t>Negative balance in remediation and civil reparation for Repsol two years after the largest oil spill on the Peruvian coast.</t>
  </si>
  <si>
    <t>negative balance, civil reparation</t>
  </si>
  <si>
    <t>saldo negativo, reparación civil</t>
  </si>
  <si>
    <t>Continued criticism over remediation efforts damages Repsol’s reputation.</t>
  </si>
  <si>
    <t>derrame de petróleo, remediación</t>
  </si>
  <si>
    <t>Highly negative sentiment due to environmental damage and lack of remediation.</t>
  </si>
  <si>
    <t>Sentimiento muy negativo debido al daño ambiental y la falta de remediación.</t>
  </si>
  <si>
    <r>
      <rPr>
        <rFont val="Arial, sans-serif"/>
        <color rgb="FF1155CC"/>
        <sz val="9.0"/>
        <u/>
      </rPr>
      <t>ElDesmarque</t>
    </r>
    <r>
      <rPr>
        <rFont val="Arial, sans-serif"/>
        <color rgb="FF1155CC"/>
        <sz val="15.0"/>
        <u/>
      </rPr>
      <t>El vídeo que desmonta uno de los mitos de la gasolina low cost</t>
    </r>
    <r>
      <rPr>
        <rFont val="Arial, sans-serif"/>
        <color rgb="FF1155CC"/>
        <sz val="11.0"/>
        <u/>
      </rPr>
      <t>Los precios de la gasolina y el diésel son un dolor de cabeza, y es que últimamente llenar el depósito es como si te estuvieran.</t>
    </r>
    <r>
      <rPr>
        <rFont val="Arial, sans-serif"/>
        <color rgb="FF1155CC"/>
        <sz val="12.0"/>
        <u/>
      </rPr>
      <t>.</t>
    </r>
    <r>
      <rPr>
        <rFont val="Arial, sans-serif"/>
        <color rgb="FF1155CC"/>
        <sz val="11.0"/>
        <u/>
      </rPr>
      <t>31 ene 2024</t>
    </r>
  </si>
  <si>
    <t>El vídeo que desmonta uno de los mitos de la gasolina low cost</t>
  </si>
  <si>
    <t>Los precios de la gasolina y el diésel son un dolor de cabeza, y es que últimamente llenar el depósito es como si te estuvieran..</t>
  </si>
  <si>
    <t>The video that dismantles one of the myths of low-cost gasoline</t>
  </si>
  <si>
    <t>Gasoline and diesel prices are a headache, and lately filling the tank is like being...</t>
  </si>
  <si>
    <r>
      <rPr>
        <rFont val="Arial, sans-serif"/>
        <color rgb="FF1155CC"/>
        <sz val="9.0"/>
        <u/>
      </rPr>
      <t>Atlántico Hoy</t>
    </r>
    <r>
      <rPr>
        <rFont val="Arial, sans-serif"/>
        <color rgb="FF1155CC"/>
        <sz val="15.0"/>
        <u/>
      </rPr>
      <t>La exploración superficial inicia el camino a la geotermia en Tenerife con el tiempo "justo"</t>
    </r>
    <r>
      <rPr>
        <rFont val="Arial, sans-serif"/>
        <color rgb="FF1155CC"/>
        <sz val="11.0"/>
        <u/>
      </rPr>
      <t>Disa y el Cabildo de Tenerife iniciarán este año las exploraciones superficiales que permitirán que en 2025 se profundice hasta los 2,5 kilómetros y hacer...</t>
    </r>
    <r>
      <rPr>
        <rFont val="Arial, sans-serif"/>
        <color rgb="FF1155CC"/>
        <sz val="12.0"/>
        <u/>
      </rPr>
      <t>.</t>
    </r>
    <r>
      <rPr>
        <rFont val="Arial, sans-serif"/>
        <color rgb="FF1155CC"/>
        <sz val="11.0"/>
        <u/>
      </rPr>
      <t>31 ene 2024</t>
    </r>
  </si>
  <si>
    <t>La exploración superficial inicia el camino a la geotermia en Tenerife con el tiempo "justo"</t>
  </si>
  <si>
    <t>La exploración superficial inicia el camino a la geotermia en Tenerife con el tiempo "justo". Disa y el Cabildo de Tenerife iniciarán este año las exploraciones superficiales que permitirán que en 2025 se profundice hasta los 2,5 kilómetros y hacer....</t>
  </si>
  <si>
    <t>Surface exploration begins the path to geothermal energy in Tenerife with "just the right" time</t>
  </si>
  <si>
    <t>Surface exploration begins the path to geothermal energy in Tenerife with "just the right" time. Disa and the Cabildo of Tenerife will begin surface exploration this year that will allow it to be deepened to 2.5 kilometers in 2025 and do...</t>
  </si>
  <si>
    <t>Geothermal energy exploration does not directly affect Repsol.</t>
  </si>
  <si>
    <r>
      <rPr>
        <rFont val="Arial, sans-serif"/>
        <color rgb="FF1155CC"/>
        <sz val="9.0"/>
        <u/>
      </rPr>
      <t>Repsol</t>
    </r>
    <r>
      <rPr>
        <rFont val="Arial, sans-serif"/>
        <color rgb="FF1155CC"/>
        <sz val="15.0"/>
        <u/>
      </rPr>
      <t>Soluciones digitales para dar voz a los clientes</t>
    </r>
    <r>
      <rPr>
        <rFont val="Arial, sans-serif"/>
        <color rgb="FF1155CC"/>
        <sz val="11.0"/>
        <u/>
      </rPr>
      <t>Cómo la tecnología ayuda a la interacción de las empresas con los clientes y a mejorar la experiencia de los usuarios.</t>
    </r>
    <r>
      <rPr>
        <rFont val="Arial, sans-serif"/>
        <color rgb="FF1155CC"/>
        <sz val="12.0"/>
        <u/>
      </rPr>
      <t>.</t>
    </r>
    <r>
      <rPr>
        <rFont val="Arial, sans-serif"/>
        <color rgb="FF1155CC"/>
        <sz val="11.0"/>
        <u/>
      </rPr>
      <t>1 feb 2024</t>
    </r>
  </si>
  <si>
    <t>Soluciones digitales para dar voz a los clientes</t>
  </si>
  <si>
    <t>Cómo la tecnología ayuda a la interacción de las empresas con los clientes y a mejorar la experiencia de los usuarios.</t>
  </si>
  <si>
    <t>Digital solutions to give customers a voice</t>
  </si>
  <si>
    <t>How technology helps companies interact with customers and improve the user experience.</t>
  </si>
  <si>
    <r>
      <rPr>
        <rFont val="Arial, sans-serif"/>
        <color rgb="FF1155CC"/>
        <sz val="9.0"/>
        <u/>
      </rPr>
      <t>fundacionrepsol.com</t>
    </r>
    <r>
      <rPr>
        <rFont val="Arial, sans-serif"/>
        <color rgb="FF1155CC"/>
        <sz val="15.0"/>
        <u/>
      </rPr>
      <t>Universidad de Navarra | Repsol Foundation</t>
    </r>
    <r>
      <rPr>
        <rFont val="Arial, sans-serif"/>
        <color rgb="FF1155CC"/>
        <sz val="11.0"/>
        <u/>
      </rPr>
      <t>Objetivo de la cátedra. Analizar los grandes retos del hidrógeno renovable como vector clave para alcanzar los objetivos de descarbonización.</t>
    </r>
    <r>
      <rPr>
        <rFont val="Arial, sans-serif"/>
        <color rgb="FF1155CC"/>
        <sz val="12.0"/>
        <u/>
      </rPr>
      <t>.</t>
    </r>
    <r>
      <rPr>
        <rFont val="Arial, sans-serif"/>
        <color rgb="FF1155CC"/>
        <sz val="11.0"/>
        <u/>
      </rPr>
      <t>1 feb 2024</t>
    </r>
  </si>
  <si>
    <t>fundacionrepsol.com</t>
  </si>
  <si>
    <t>Objetivo de la cátedra: Analizar los grandes retos del hidrógeno renovable como vector clave para alcanzar los objetivos de descarbonización.</t>
  </si>
  <si>
    <t>Analizar los grandes retos del hidrógeno renovable como vector clave para alcanzar los objetivos de descarbonización.</t>
  </si>
  <si>
    <t>Objective of the chair: Analyze the great challenges of renewable hydrogen as a key vector to achieve decarbonization objectives.</t>
  </si>
  <si>
    <t>Analyze the great challenges of renewable hydrogen as a key vector to achieve decarbonization objectives.</t>
  </si>
  <si>
    <t>renewable hydrogen, energy transition</t>
  </si>
  <si>
    <t>hidrógeno renovable, transición energética</t>
  </si>
  <si>
    <t>Research on hydrogen supports Repsol’s long-term commitment to clean energy.</t>
  </si>
  <si>
    <t>hidrógeno renovable, descarbonización</t>
  </si>
  <si>
    <t>Positive sentiment due to focus on renewable hydrogen and decarbonization.</t>
  </si>
  <si>
    <t>Sentimiento positivo debido al foco en el hidrógeno renovable y la descarbonización.</t>
  </si>
  <si>
    <r>
      <rPr>
        <rFont val="Arial, sans-serif"/>
        <color rgb="FF1155CC"/>
        <sz val="9.0"/>
        <u/>
      </rPr>
      <t>Moto1Pro</t>
    </r>
    <r>
      <rPr>
        <rFont val="Arial, sans-serif"/>
        <color rgb="FF1155CC"/>
        <sz val="15.0"/>
        <u/>
      </rPr>
      <t>Los pilotos del Repsol Honda Trial Team, listos para la temporada 2024</t>
    </r>
    <r>
      <rPr>
        <rFont val="Arial, sans-serif"/>
        <color rgb="FF1155CC"/>
        <sz val="11.0"/>
        <u/>
      </rPr>
      <t>Toni Bou y Gabriel Marcelli se enfrentan a la primera cita del año en el Palau Sant Jordi (Barcelona). Bou buscará revalidar el título este 2024 y Marcelli...</t>
    </r>
    <r>
      <rPr>
        <rFont val="Arial, sans-serif"/>
        <color rgb="FF1155CC"/>
        <sz val="12.0"/>
        <u/>
      </rPr>
      <t>.</t>
    </r>
    <r>
      <rPr>
        <rFont val="Arial, sans-serif"/>
        <color rgb="FF1155CC"/>
        <sz val="11.0"/>
        <u/>
      </rPr>
      <t>1 feb 2024</t>
    </r>
  </si>
  <si>
    <t>Moto1Pro</t>
  </si>
  <si>
    <t>Los pilotos del Repsol Honda Trial Team, listos para la temporada 2024</t>
  </si>
  <si>
    <t>Toni Bou y Gabriel Marcelli se enfrentan a la primera cita del año en el Palau Sant Jordi (Barcelona). Bou buscará revalidar el título este 2024 y Marcelli....</t>
  </si>
  <si>
    <t>The Repsol Honda Trial Team riders, ready for the 2024 season</t>
  </si>
  <si>
    <t>Toni Bou and Gabriel Marcelli face the first date of the year at the Palau Sant Jordi (Barcelona). Bou will seek to revalidate the title in 2024 and Marcelli....</t>
  </si>
  <si>
    <r>
      <rPr>
        <rFont val="Arial, sans-serif"/>
        <color rgb="FF1155CC"/>
        <sz val="9.0"/>
        <u/>
      </rPr>
      <t>Técnicas Reunidas</t>
    </r>
    <r>
      <rPr>
        <rFont val="Arial, sans-serif"/>
        <color rgb="FF1155CC"/>
        <sz val="15.0"/>
        <u/>
      </rPr>
      <t>Nace la asociación CRECEMOS para impulsar la economía circular y los combustibles renovables</t>
    </r>
    <r>
      <rPr>
        <rFont val="Arial, sans-serif"/>
        <color rgb="FF1155CC"/>
        <sz val="11.0"/>
        <u/>
      </rPr>
      <t>La asociación de Combustibles Renovables, Economía Circular y Movilidad Sostenible (CRECEMOS) se ha constituido en Madrid para impulsar la economía circular...</t>
    </r>
    <r>
      <rPr>
        <rFont val="Arial, sans-serif"/>
        <color rgb="FF1155CC"/>
        <sz val="12.0"/>
        <u/>
      </rPr>
      <t>.</t>
    </r>
    <r>
      <rPr>
        <rFont val="Arial, sans-serif"/>
        <color rgb="FF1155CC"/>
        <sz val="11.0"/>
        <u/>
      </rPr>
      <t>1 feb 2024</t>
    </r>
  </si>
  <si>
    <t>Técnicas Reunidas</t>
  </si>
  <si>
    <t>Nace la asociación CRECEMOS para impulsar la economía circular y los combustibles renovables</t>
  </si>
  <si>
    <t>La asociación de Combustibles Renovables, Economía Circular y Movilidad Sostenible (CRECEMOS) se ha constituido en Madrid para impulsar la economía circular....</t>
  </si>
  <si>
    <t>The CRECEMOS association is born to promote the circular economy and renewable fuels</t>
  </si>
  <si>
    <t>The association of Renewable Fuels, Circular Economy and Sustainable Mobility (CRECEMOS) has been established in Madrid to promote the circular economy....</t>
  </si>
  <si>
    <t>circular economy, sustainability</t>
  </si>
  <si>
    <t>economía circular, sostenibilidad</t>
  </si>
  <si>
    <t>Supporting circular economy initiatives aligns with Repsol’s sustainability efforts.</t>
  </si>
  <si>
    <t>CRECEMOS, economía circular, combustibles renovables</t>
  </si>
  <si>
    <t>Positive sentiment due to sustainability and renewable energy initiatives.</t>
  </si>
  <si>
    <t>Sentimiento positivo debido a las iniciativas de sostenibilidad y energías renovables.</t>
  </si>
  <si>
    <r>
      <rPr>
        <rFont val="Arial, sans-serif"/>
        <color rgb="FF1155CC"/>
        <sz val="9.0"/>
        <u/>
      </rPr>
      <t>El Confidencial</t>
    </r>
    <r>
      <rPr>
        <rFont val="Arial, sans-serif"/>
        <color rgb="FF1155CC"/>
        <sz val="15.0"/>
        <u/>
      </rPr>
      <t>El plan para reforestar España con 60 millones de árboles</t>
    </r>
    <r>
      <rPr>
        <rFont val="Arial, sans-serif"/>
        <color rgb="FF1155CC"/>
        <sz val="11.0"/>
        <u/>
      </rPr>
      <t>Un proyecto de la Fundación Repsol y el Grupo Sylvestris para reforestar 70.000 hectáreas de bosque para la compensación de 16 millones de toneladas de...</t>
    </r>
    <r>
      <rPr>
        <rFont val="Arial, sans-serif"/>
        <color rgb="FF1155CC"/>
        <sz val="12.0"/>
        <u/>
      </rPr>
      <t>.</t>
    </r>
    <r>
      <rPr>
        <rFont val="Arial, sans-serif"/>
        <color rgb="FF1155CC"/>
        <sz val="11.0"/>
        <u/>
      </rPr>
      <t>1 feb 2024</t>
    </r>
  </si>
  <si>
    <t>El plan para reforestar España con 60 millones de árboles</t>
  </si>
  <si>
    <t>Un proyecto de la Fundación Repsol y el Grupo Sylvestris para reforestar 70.000 hectáreas de bosque para la compensación de 16 millones de toneladas de....</t>
  </si>
  <si>
    <t>The plan to reforest Spain with 60 million trees</t>
  </si>
  <si>
    <t>A project by the Repsol Foundation and the Sylvestris Group to reforest 70,000 hectares of forest to compensate for 16 million tons of...</t>
  </si>
  <si>
    <t>reforestation, Repsol Foundation</t>
  </si>
  <si>
    <t>reforestación, Fundación Repsol</t>
  </si>
  <si>
    <t>Supporting large-scale reforestation enhances Repsol’s environmental responsibility.</t>
  </si>
  <si>
    <t>reforestación, Fundación Repsol, compensación de carbono</t>
  </si>
  <si>
    <t>Highly positive sentiment due to environmental restoration efforts.</t>
  </si>
  <si>
    <t>Sentimiento muy positivo debido a los esfuerzos de restauración ambiental.</t>
  </si>
  <si>
    <r>
      <rPr>
        <rFont val="Arial, sans-serif"/>
        <color rgb="FF1155CC"/>
        <sz val="9.0"/>
        <u/>
      </rPr>
      <t>OkDiario</t>
    </r>
    <r>
      <rPr>
        <rFont val="Arial, sans-serif"/>
        <color rgb="FF1155CC"/>
        <sz val="15.0"/>
        <u/>
      </rPr>
      <t>Adiós a Casablanca, la última plataforma petrolífera en suelo español</t>
    </r>
    <r>
      <rPr>
        <rFont val="Arial, sans-serif"/>
        <color rgb="FF1155CC"/>
        <sz val="11.0"/>
        <u/>
      </rPr>
      <t>El CSN aprecia favorablemente con condiciones el plan de desmantelamiento parcial de la plataforma petrolífera Casablanca.</t>
    </r>
    <r>
      <rPr>
        <rFont val="Arial, sans-serif"/>
        <color rgb="FF1155CC"/>
        <sz val="12.0"/>
        <u/>
      </rPr>
      <t>.</t>
    </r>
    <r>
      <rPr>
        <rFont val="Arial, sans-serif"/>
        <color rgb="FF1155CC"/>
        <sz val="11.0"/>
        <u/>
      </rPr>
      <t>1 feb 2024</t>
    </r>
  </si>
  <si>
    <t>Adiós a Casablanca, la última plataforma petrolífera en suelo español</t>
  </si>
  <si>
    <t>El CSN aprecia favorablemente con condiciones el plan de desmantelamiento parcial de la plataforma petrolífera Casablanca.</t>
  </si>
  <si>
    <t>Goodbye to Casablanca, the last oil platform on Spanish soil</t>
  </si>
  <si>
    <t>The CSN favorably appreciates with conditions the plan for partial dismantling of the Casablanca oil platform.</t>
  </si>
  <si>
    <t>oil platform closure, Casablanca</t>
  </si>
  <si>
    <t>Cierre de plataforma petrolera, Casablanca</t>
  </si>
  <si>
    <t>Decommissioning offshore oil infrastructure aligns with Repsol’s transition efforts.</t>
  </si>
  <si>
    <r>
      <rPr>
        <rFont val="Arial, sans-serif"/>
        <color rgb="FF1155CC"/>
        <sz val="9.0"/>
        <u/>
      </rPr>
      <t>Energía Estratégica España</t>
    </r>
    <r>
      <rPr>
        <rFont val="Arial, sans-serif"/>
        <color rgb="FF1155CC"/>
        <sz val="15.0"/>
        <u/>
      </rPr>
      <t>En 2024 avanzarán 31 GW renovables en Italia hacia el ready to build</t>
    </r>
    <r>
      <rPr>
        <rFont val="Arial, sans-serif"/>
        <color rgb="FF1155CC"/>
        <sz val="11.0"/>
        <u/>
      </rPr>
      <t>Actualmente, en la plataforma de tramitación existen 14.606 MW distribuidos entre 194 parques eólicos y 15.769 MW entre 375 plantas solares.</t>
    </r>
    <r>
      <rPr>
        <rFont val="Arial, sans-serif"/>
        <color rgb="FF1155CC"/>
        <sz val="12.0"/>
        <u/>
      </rPr>
      <t>.</t>
    </r>
    <r>
      <rPr>
        <rFont val="Arial, sans-serif"/>
        <color rgb="FF1155CC"/>
        <sz val="11.0"/>
        <u/>
      </rPr>
      <t>1 feb 2024</t>
    </r>
  </si>
  <si>
    <t>En 2024 avanzarán 31 GW renovables en Italia hacia el ready to build</t>
  </si>
  <si>
    <t>Actualmente, en la plataforma de tramitación existen 14.606 MW distribuidos entre 194 parques eólicos y 15.769 MW entre 375 plantas solares.</t>
  </si>
  <si>
    <t>In 2024, 31 GW of renewable energy will advance in Italy towards ready to build</t>
  </si>
  <si>
    <t>Currently, on the processing platform there are 14,606 MW distributed among 194 wind farms and 15,769 MW among 375 solar plants.</t>
  </si>
  <si>
    <r>
      <rPr>
        <rFont val="Arial, sans-serif"/>
        <color rgb="FF1155CC"/>
        <sz val="9.0"/>
        <u/>
      </rPr>
      <t>e-noticies.cat</t>
    </r>
    <r>
      <rPr>
        <rFont val="Arial, sans-serif"/>
        <color rgb="FF1155CC"/>
        <sz val="15.0"/>
        <u/>
      </rPr>
      <t>Felipe acudirá a un evento importante tras salir la única verdad sobre Letizia</t>
    </r>
    <r>
      <rPr>
        <rFont val="Arial, sans-serif"/>
        <color rgb="FF1155CC"/>
        <sz val="11.0"/>
        <u/>
      </rPr>
      <t>Felipe VI asistirá el próximo lunes, 5 de febrero, a un nuevo e importante evento social: la XXII edición de los Premios CODESPA. Gala q...</t>
    </r>
    <r>
      <rPr>
        <rFont val="Arial, sans-serif"/>
        <color rgb="FF1155CC"/>
        <sz val="12.0"/>
        <u/>
      </rPr>
      <t>.</t>
    </r>
    <r>
      <rPr>
        <rFont val="Arial, sans-serif"/>
        <color rgb="FF1155CC"/>
        <sz val="11.0"/>
        <u/>
      </rPr>
      <t>1 feb 2024</t>
    </r>
  </si>
  <si>
    <t>Felipe acudirá a un evento importante tras salir la única verdad sobre Letizia</t>
  </si>
  <si>
    <t>Felipe VI asistirá el próximo lunes, 5 de febrero, a un nuevo e importante evento social: la XXII edición de los Premios CODESPA. Gala q....</t>
  </si>
  <si>
    <t>Felipe will attend an important event after the only truth about Letizia comes out</t>
  </si>
  <si>
    <t>Felipe VI will attend next Monday, February 5, a new and important social event: the XXII edition of the CODESPA Awards. Gala that....</t>
  </si>
  <si>
    <r>
      <rPr>
        <rFont val="Arial, sans-serif"/>
        <color rgb="FF1155CC"/>
        <sz val="9.0"/>
        <u/>
      </rPr>
      <t>Fundación Repsol</t>
    </r>
    <r>
      <rPr>
        <rFont val="Arial, sans-serif"/>
        <color rgb="FF1155CC"/>
        <sz val="15.0"/>
        <u/>
      </rPr>
      <t>Convocatoria dirigida a:</t>
    </r>
    <r>
      <rPr>
        <rFont val="Arial, sans-serif"/>
        <color rgb="FF1155CC"/>
        <sz val="11.0"/>
        <u/>
      </rPr>
      <t>Que posean tecnologías y/o modelos de negocio innovadores con un mínimo producto viable o prototipo avanzado y que estén en fase pre-comercial o comercial...</t>
    </r>
    <r>
      <rPr>
        <rFont val="Arial, sans-serif"/>
        <color rgb="FF1155CC"/>
        <sz val="12.0"/>
        <u/>
      </rPr>
      <t>.</t>
    </r>
    <r>
      <rPr>
        <rFont val="Arial, sans-serif"/>
        <color rgb="FF1155CC"/>
        <sz val="11.0"/>
        <u/>
      </rPr>
      <t>2 feb 2024</t>
    </r>
  </si>
  <si>
    <t>Fundación Repsol</t>
  </si>
  <si>
    <t>Convocatoria dirigida a: Que posean tecnologías y/o modelos de negocio innovadores con un mínimo producto viable o prototipo avanzado y que estén en fase pre-comercial o comercial.</t>
  </si>
  <si>
    <t>Call addressed to: Those who have innovative technologies and/or business models with a minimum viable product or advanced prototype and who are in the pre-commercial or commercial phase.</t>
  </si>
  <si>
    <r>
      <rPr>
        <rFont val="Arial, sans-serif"/>
        <color rgb="FF1155CC"/>
        <sz val="9.0"/>
        <u/>
      </rPr>
      <t>El Español</t>
    </r>
    <r>
      <rPr>
        <rFont val="Arial, sans-serif"/>
        <color rgb="FF1155CC"/>
        <sz val="15.0"/>
        <u/>
      </rPr>
      <t>Repsol nombra a Oliver Fernández nuevo director de movilidad eléctrica</t>
    </r>
    <r>
      <rPr>
        <rFont val="Arial, sans-serif"/>
        <color rgb="FF1155CC"/>
        <sz val="11.0"/>
        <u/>
      </rPr>
      <t>Hasta ahora, era el responsable de aviación internacional. Compite junto a Iberdrola y Endesa X Way por liderar la recarga del coche eléctrico.</t>
    </r>
    <r>
      <rPr>
        <rFont val="Arial, sans-serif"/>
        <color rgb="FF1155CC"/>
        <sz val="12.0"/>
        <u/>
      </rPr>
      <t>.</t>
    </r>
    <r>
      <rPr>
        <rFont val="Arial, sans-serif"/>
        <color rgb="FF1155CC"/>
        <sz val="11.0"/>
        <u/>
      </rPr>
      <t>2 feb 2024</t>
    </r>
  </si>
  <si>
    <t>Repsol nombra a Oliver Fernández nuevo director de movilidad eléctrica</t>
  </si>
  <si>
    <t>Hasta ahora, era el responsable de aviación internacional. Compite junto a Iberdrola y Endesa X Way por liderar la recarga del coche eléctrico.</t>
  </si>
  <si>
    <t>Repsol appoints Oliver Fernández as new director of electric mobility</t>
  </si>
  <si>
    <t>Until now, he was responsible for international aviation. It competes alongside Iberdrola and Endesa X Way to lead the charge in electric cars.</t>
  </si>
  <si>
    <t>corporate strategy, new director</t>
  </si>
  <si>
    <t>estrategia corporativa, nuevo director</t>
  </si>
  <si>
    <t>Leadership changes in Repsol can influence strategic direction but have limited immediate impact.</t>
  </si>
  <si>
    <t>movilidad eléctrica, recarga de coches</t>
  </si>
  <si>
    <t>Positive sentiment due to focus on electric mobility.</t>
  </si>
  <si>
    <t>Sentimiento positivo debido al foco en la movilidad eléctrica.</t>
  </si>
  <si>
    <r>
      <rPr>
        <rFont val="Arial, sans-serif"/>
        <color rgb="FF1155CC"/>
        <sz val="9.0"/>
        <u/>
      </rPr>
      <t>Cadena SER</t>
    </r>
    <r>
      <rPr>
        <rFont val="Arial, sans-serif"/>
        <color rgb="FF1155CC"/>
        <sz val="15.0"/>
        <u/>
      </rPr>
      <t>Convirtiendo un subproducto de pesadilla en dulces sueños: Repsol pone en marcha en Puertollano su planta RECPUR</t>
    </r>
    <r>
      <rPr>
        <rFont val="Arial, sans-serif"/>
        <color rgb="FF1155CC"/>
        <sz val="11.0"/>
        <u/>
      </rPr>
      <t>Comienza a funcionar en el complejo industrial la primera planta del país que recicla espuma de poliuretano procedente de hasta dos mil toneladas de...</t>
    </r>
    <r>
      <rPr>
        <rFont val="Arial, sans-serif"/>
        <color rgb="FF1155CC"/>
        <sz val="12.0"/>
        <u/>
      </rPr>
      <t>.</t>
    </r>
    <r>
      <rPr>
        <rFont val="Arial, sans-serif"/>
        <color rgb="FF1155CC"/>
        <sz val="11.0"/>
        <u/>
      </rPr>
      <t>2 feb 2024</t>
    </r>
  </si>
  <si>
    <t>Convirtiendo un subproducto de pesadilla en dulces sueños: Repsol pone en marcha en Puertollano su planta RECPUR</t>
  </si>
  <si>
    <t>Convirtiendo un subproducto de pesadilla en dulces sueños: Repsol pone en marcha en Puertollano su planta RECPUR. Comienza a funcionar en el complejo industrial la primera planta del país que recicla espuma de poliuretano procedente de hasta dos mil toneladas de....</t>
  </si>
  <si>
    <t>Turning a nightmare by-product into sweet dreams: Repsol launches its RECPUR plant in Puertollano</t>
  </si>
  <si>
    <t>Turning a nightmare byproduct into sweet dreams: Repsol launches its RECPUR plant in Puertollano. The first plant in the country that recycles polyurethane foam from up to two thousand tons of... begins to operate in the industrial complex.</t>
  </si>
  <si>
    <t>General sustainability discussions do not impact Repsol unless explicitly mentioned.</t>
  </si>
  <si>
    <t>planta RECPUR, reciclaje de poliuretano</t>
  </si>
  <si>
    <t>Positive sentiment due to innovative recycling efforts.</t>
  </si>
  <si>
    <t>Sentimiento positivo debido a los esfuerzos innovadores de reciclaje.</t>
  </si>
  <si>
    <r>
      <rPr>
        <rFont val="Arial, sans-serif"/>
        <color rgb="FF1155CC"/>
        <sz val="9.0"/>
        <u/>
      </rPr>
      <t>El Correo</t>
    </r>
    <r>
      <rPr>
        <rFont val="Arial, sans-serif"/>
        <color rgb="FF1155CC"/>
        <sz val="15.0"/>
        <u/>
      </rPr>
      <t>Repsol solventará los problemas de suministro de bombonas de butano en Miranda</t>
    </r>
    <r>
      <rPr>
        <rFont val="Arial, sans-serif"/>
        <color rgb="FF1155CC"/>
        <sz val="11.0"/>
        <u/>
      </rPr>
      <t>Su compromiso arranca con el cambio de empresa suministrado que ahora será Gas Garín.</t>
    </r>
    <r>
      <rPr>
        <rFont val="Arial, sans-serif"/>
        <color rgb="FF1155CC"/>
        <sz val="12.0"/>
        <u/>
      </rPr>
      <t>.</t>
    </r>
    <r>
      <rPr>
        <rFont val="Arial, sans-serif"/>
        <color rgb="FF1155CC"/>
        <sz val="11.0"/>
        <u/>
      </rPr>
      <t>2 feb 2024</t>
    </r>
  </si>
  <si>
    <t>Repsol solventará los problemas de suministro de bombonas de butano en Miranda</t>
  </si>
  <si>
    <t>Repsol solventará los problemas de suministro de bombonas de butano en Miranda. Su compromiso arranca con el cambio de empresa suministrado que ahora será Gas Garín.</t>
  </si>
  <si>
    <t>Repsol will solve the problems with the supply of butane cylinders in Miranda</t>
  </si>
  <si>
    <t>Repsol will solve the problems with the supply of butane cylinders in Miranda. Their commitment begins with the change of the supplied company, which will now be Gas Garín.</t>
  </si>
  <si>
    <t>renewable fuel supply, Repsol solutions</t>
  </si>
  <si>
    <t>Suministro de combustibles renovables, Soluciones Repsol</t>
  </si>
  <si>
    <t>Addressing supply chain issues improves Repsol’s operational reliability.</t>
  </si>
  <si>
    <t>suministro de bombonas de butano, Gas Garín</t>
  </si>
  <si>
    <t>Positive sentiment due to resolving supply issues.</t>
  </si>
  <si>
    <t>Sentimiento positivo debido a la resolución de problemas de suministro.</t>
  </si>
  <si>
    <r>
      <rPr>
        <rFont val="Arial, sans-serif"/>
        <color rgb="FF1155CC"/>
        <sz val="9.0"/>
        <u/>
      </rPr>
      <t>GaliciaPress</t>
    </r>
    <r>
      <rPr>
        <rFont val="Arial, sans-serif"/>
        <color rgb="FF1155CC"/>
        <sz val="15.0"/>
        <u/>
      </rPr>
      <t>El silencio de Repsol y Prosegur agrava la crisis en la seguridad privada de la refinería de A Coruña</t>
    </r>
    <r>
      <rPr>
        <rFont val="Arial, sans-serif"/>
        <color rgb="FF1155CC"/>
        <sz val="11.0"/>
        <u/>
      </rPr>
      <t>El personal de seguridad de la empresa Prosegur, cliente de Repsol en el complejo petroquímico, celebran otra manifestación este viernes contra la...</t>
    </r>
    <r>
      <rPr>
        <rFont val="Arial, sans-serif"/>
        <color rgb="FF1155CC"/>
        <sz val="12.0"/>
        <u/>
      </rPr>
      <t>.</t>
    </r>
    <r>
      <rPr>
        <rFont val="Arial, sans-serif"/>
        <color rgb="FF1155CC"/>
        <sz val="11.0"/>
        <u/>
      </rPr>
      <t>2 feb 2024</t>
    </r>
  </si>
  <si>
    <t>El silencio de Repsol y Prosegur agrava la crisis en la seguridad privada de la refinería de A Coruña</t>
  </si>
  <si>
    <t>El personal de seguridad de la empresa Prosegur, cliente de Repsol en el complejo petroquímico, celebran otra manifestación este viernes contra la....</t>
  </si>
  <si>
    <t>The silence of Repsol and Prosegur aggravates the crisis in the private security of the A Coruña refinery</t>
  </si>
  <si>
    <t>The security personnel of the company Prosegur, a Repsol client at the petrochemical complex, held another demonstration this Friday against the...</t>
  </si>
  <si>
    <t>security crisis, refinery</t>
  </si>
  <si>
    <t>crisis de seguridad, refinería</t>
  </si>
  <si>
    <t>Security concerns at refineries can negatively affect Repsol’s public image.</t>
  </si>
  <si>
    <t>crisis de seguridad, manifestación</t>
  </si>
  <si>
    <r>
      <rPr>
        <rFont val="Arial, sans-serif"/>
        <color rgb="FF1155CC"/>
        <sz val="9.0"/>
        <u/>
      </rPr>
      <t>LaSexta</t>
    </r>
    <r>
      <rPr>
        <rFont val="Arial, sans-serif"/>
        <color rgb="FF1155CC"/>
        <sz val="15.0"/>
        <u/>
      </rPr>
      <t>La opinión de la OCU sobre los combustibles renovables de Repsol que permitirán a los coches de combustión seg</t>
    </r>
    <r>
      <rPr>
        <rFont val="Arial, sans-serif"/>
        <color rgb="FF1155CC"/>
        <sz val="11.0"/>
        <u/>
      </rPr>
      <t>La multinacional española comercializa ya carburantes sostenibles con el objetivo último de liberar a los vehículos de combustión de las prohibiciones de la...</t>
    </r>
    <r>
      <rPr>
        <rFont val="Arial, sans-serif"/>
        <color rgb="FF1155CC"/>
        <sz val="12.0"/>
        <u/>
      </rPr>
      <t>.</t>
    </r>
    <r>
      <rPr>
        <rFont val="Arial, sans-serif"/>
        <color rgb="FF1155CC"/>
        <sz val="11.0"/>
        <u/>
      </rPr>
      <t>2 feb 2024</t>
    </r>
  </si>
  <si>
    <t>La opinión de la OCU sobre los combustibles renovables de Repsol que permitirán a los coches de combustión seg</t>
  </si>
  <si>
    <t>La opinión de la OCU sobre los combustibles renovables de Repsol que permitirán a los coches de combustión seg. La multinacional española comercializa ya carburantes sostenibles con el objetivo último de liberar a los vehículos de combustión de las prohibiciones de la....</t>
  </si>
  <si>
    <t>The OCU's opinion on Repsol's renewable fuels that will allow combustion cars to run</t>
  </si>
  <si>
    <t>The OCU's opinion on Repsol's renewable fuels that will allow sec combustion cars. The Spanish multinational already markets sustainable fuels with the ultimate goal of freeing combustion vehicles from the prohibitions of...</t>
  </si>
  <si>
    <t>OCU opinion, renewable fuels</t>
  </si>
  <si>
    <t>Opinión OCU, combustibles renovables</t>
  </si>
  <si>
    <t>Positive consumer feedback can enhance public perception of Repsol’s green fuels.</t>
  </si>
  <si>
    <t>combustibles renovables, OCU</t>
  </si>
  <si>
    <r>
      <rPr>
        <rFont val="Arial, sans-serif"/>
        <color rgb="FF1155CC"/>
        <sz val="9.0"/>
        <u/>
      </rPr>
      <t>Ponferrada Hoy</t>
    </r>
    <r>
      <rPr>
        <rFont val="Arial, sans-serif"/>
        <color rgb="FF1155CC"/>
        <sz val="15.0"/>
        <u/>
      </rPr>
      <t>La A6 en el Bierzo ya dispone de dos de las primeras estaciones de servicio Repsol con combustible renovab ...</t>
    </r>
    <r>
      <rPr>
        <rFont val="Arial, sans-serif"/>
        <color rgb="FF1155CC"/>
        <sz val="11.0"/>
        <u/>
      </rPr>
      <t>Repsol, la compañía multienergética española, ha comenzado el despliege de estaciones de servicio donde se puede repostar su innovador combustible renovable...</t>
    </r>
    <r>
      <rPr>
        <rFont val="Arial, sans-serif"/>
        <color rgb="FF1155CC"/>
        <sz val="12.0"/>
        <u/>
      </rPr>
      <t>.</t>
    </r>
    <r>
      <rPr>
        <rFont val="Arial, sans-serif"/>
        <color rgb="FF1155CC"/>
        <sz val="11.0"/>
        <u/>
      </rPr>
      <t>2 feb 2024</t>
    </r>
  </si>
  <si>
    <t>Ponferrada Hoy</t>
  </si>
  <si>
    <t>La A6 en el Bierzo ya dispone de dos de las primeras estaciones de servicio Repsol con combustible renovable</t>
  </si>
  <si>
    <t>Repsol, la compañía multienergética española, ha comenzado el despliege de estaciones de servicio donde se puede repostar su innovador combustible renovable.</t>
  </si>
  <si>
    <t>The A6 in Bierzo already has two of the first Repsol service stations with renewable fuel</t>
  </si>
  <si>
    <t>Repsol, the Spanish multi-energy company, has begun the deployment of service stations where its innovative renewable fuel can be refueled.</t>
  </si>
  <si>
    <t>renewable fuels, service stations</t>
  </si>
  <si>
    <t>Expanding renewable fuel stations strengthens Repsol’s commitment to green energy.</t>
  </si>
  <si>
    <t>Positive sentiment due to renewable fuel availability.</t>
  </si>
  <si>
    <t>Sentimiento positivo debido a la disponibilidad de combustible renovable.</t>
  </si>
  <si>
    <r>
      <rPr>
        <rFont val="Arial, sans-serif"/>
        <color rgb="FF1155CC"/>
        <sz val="9.0"/>
        <u/>
      </rPr>
      <t>Guía Repsol</t>
    </r>
    <r>
      <rPr>
        <rFont val="Arial, sans-serif"/>
        <color rgb="FF1155CC"/>
        <sz val="15.0"/>
        <u/>
      </rPr>
      <t>Mercader, nuevo mercado gastronómico de El Cabanyal (Valencia)</t>
    </r>
    <r>
      <rPr>
        <rFont val="Arial, sans-serif"/>
        <color rgb="FF1155CC"/>
        <sz val="11.0"/>
        <u/>
      </rPr>
      <t>El Cabanyal, uno de los barrios más emblemáticos de Valencia, uno de los más salerosos y más de moda presume de tener el primer “mercado de cocinas” en las...</t>
    </r>
    <r>
      <rPr>
        <rFont val="Arial, sans-serif"/>
        <color rgb="FF1155CC"/>
        <sz val="12.0"/>
        <u/>
      </rPr>
      <t>.</t>
    </r>
    <r>
      <rPr>
        <rFont val="Arial, sans-serif"/>
        <color rgb="FF1155CC"/>
        <sz val="11.0"/>
        <u/>
      </rPr>
      <t>2 feb 2024</t>
    </r>
  </si>
  <si>
    <t>Mercader, nuevo mercado gastronómico de El Cabanyal (Valencia)</t>
  </si>
  <si>
    <t>El Cabanyal, uno de los barrios más emblemáticos de Valencia, uno de los más salerosos y más de moda presume de tener el primer “mercado de cocinas” en las....</t>
  </si>
  <si>
    <t>Mercader, new gastronomic market in El Cabanyal (Valencia)</t>
  </si>
  <si>
    <t>El Cabanyal, one of the most emblematic neighborhoods in Valencia, one of the most salient and most fashionable, boasts of having the first “kitchen market” in the...</t>
  </si>
  <si>
    <r>
      <rPr>
        <rFont val="Arial, sans-serif"/>
        <color rgb="FF1155CC"/>
        <sz val="9.0"/>
        <u/>
      </rPr>
      <t>Motor16</t>
    </r>
    <r>
      <rPr>
        <rFont val="Arial, sans-serif"/>
        <color rgb="FF1155CC"/>
        <sz val="15.0"/>
        <u/>
      </rPr>
      <t>Esto es lo que opina la OCU sobre la gasolina del futuro que ya ofrece Repsol en sus gasolineras</t>
    </r>
    <r>
      <rPr>
        <rFont val="Arial, sans-serif"/>
        <color rgb="FF1155CC"/>
        <sz val="11.0"/>
        <u/>
      </rPr>
      <t>Un informe de la OCU analiza las posibilidades, ventajas e inconvenientes de la gasolina del futuro, que se presenta como alternativa real para evitar las.</t>
    </r>
    <r>
      <rPr>
        <rFont val="Arial, sans-serif"/>
        <color rgb="FF1155CC"/>
        <sz val="12.0"/>
        <u/>
      </rPr>
      <t>.</t>
    </r>
    <r>
      <rPr>
        <rFont val="Arial, sans-serif"/>
        <color rgb="FF1155CC"/>
        <sz val="11.0"/>
        <u/>
      </rPr>
      <t>2 feb 2024</t>
    </r>
  </si>
  <si>
    <t>Esto es lo que opina la OCU sobre la gasolina del futuro que ya ofrece Repsol en sus gasolineras</t>
  </si>
  <si>
    <t>Un informe de la OCU analiza las posibilidades, ventajas e inconvenientes de la gasolina del futuro, que se presenta como alternativa real para evitar las..</t>
  </si>
  <si>
    <t>This is what the OCU thinks about the gasoline of the future that Repsol already offers at its gas stations</t>
  </si>
  <si>
    <t>An OCU report analyzes the possibilities, advantages and disadvantages of the gasoline of the future, which is presented as a real alternative to avoid...</t>
  </si>
  <si>
    <t>OCU report, Repsol gasoline</t>
  </si>
  <si>
    <t>Informe OCU, Gasolina Repsol</t>
  </si>
  <si>
    <t>Consumer evaluations can influence public perception of Repsol’s fuel offerings.</t>
  </si>
  <si>
    <t>gasolina del futuro, OCU</t>
  </si>
  <si>
    <r>
      <rPr>
        <rFont val="Arial, sans-serif"/>
        <color rgb="FF1155CC"/>
        <sz val="9.0"/>
        <u/>
      </rPr>
      <t>Crónica Global</t>
    </r>
    <r>
      <rPr>
        <rFont val="Arial, sans-serif"/>
        <color rgb="FF1155CC"/>
        <sz val="15.0"/>
        <u/>
      </rPr>
      <t>Alta cocina de barrio: este es el restaurante de polígono que enamora a José Andrés y a la Guía Repsol</t>
    </r>
    <r>
      <rPr>
        <rFont val="Arial, sans-serif"/>
        <color rgb="FF1155CC"/>
        <sz val="11.0"/>
        <u/>
      </rPr>
      <t>La Guía Repsol le otorgó un sol, y el chef asturiano mencionó en redes la calidad de este simpático local.</t>
    </r>
    <r>
      <rPr>
        <rFont val="Arial, sans-serif"/>
        <color rgb="FF1155CC"/>
        <sz val="12.0"/>
        <u/>
      </rPr>
      <t>.</t>
    </r>
    <r>
      <rPr>
        <rFont val="Arial, sans-serif"/>
        <color rgb="FF1155CC"/>
        <sz val="11.0"/>
        <u/>
      </rPr>
      <t>2 feb 2024</t>
    </r>
  </si>
  <si>
    <t>Alta cocina de barrio: este es el restaurante de polígono que enamora a José Andrés y a la Guía Repsol</t>
  </si>
  <si>
    <t>La Guía Repsol le otorgó un sol, y el chef asturiano mencionó en redes la calidad de este simpático local.</t>
  </si>
  <si>
    <t>Neighborhood haute cuisine: this is the industrial estate restaurant that José Andrés and the Repsol Guide fall in love with</t>
  </si>
  <si>
    <t>The Repsol Guide gave it a sun, and the Asturian chef mentioned the quality of this friendly place on social networks.</t>
  </si>
  <si>
    <r>
      <rPr>
        <rFont val="Arial, sans-serif"/>
        <color rgb="FF1155CC"/>
        <sz val="9.0"/>
        <u/>
      </rPr>
      <t>ECOticias.com</t>
    </r>
    <r>
      <rPr>
        <rFont val="Arial, sans-serif"/>
        <color rgb="FF1155CC"/>
        <sz val="15.0"/>
        <u/>
      </rPr>
      <t>La OCU analiza los «combustibles ecológicos» de Repsol y confirma esto sobre su futuro</t>
    </r>
    <r>
      <rPr>
        <rFont val="Arial, sans-serif"/>
        <color rgb="FF1155CC"/>
        <sz val="11.0"/>
        <u/>
      </rPr>
      <t>Repsol ha lanzado al mercado una nueva gama de combustibles ecológicos con el propósito de allanar el camino para los vehículos de combustión frente a las.</t>
    </r>
    <r>
      <rPr>
        <rFont val="Arial, sans-serif"/>
        <color rgb="FF1155CC"/>
        <sz val="12.0"/>
        <u/>
      </rPr>
      <t>.</t>
    </r>
    <r>
      <rPr>
        <rFont val="Arial, sans-serif"/>
        <color rgb="FF1155CC"/>
        <sz val="11.0"/>
        <u/>
      </rPr>
      <t>3 feb 2024</t>
    </r>
  </si>
  <si>
    <t>ECOticias.com</t>
  </si>
  <si>
    <t>La OCU analiza los «combustibles ecológicos» de Repsol y confirma esto sobre su futuro</t>
  </si>
  <si>
    <t>Repsol ha lanzado al mercado una nueva gama de combustibles ecológicos con el propósito de allanar el camino para los vehículos de combustión frente a las..</t>
  </si>
  <si>
    <t>The OCU analyzes Repsol's "ecological fuels" and confirms this about its future</t>
  </si>
  <si>
    <t>Repsol has launched a new range of ecological fuels on the market with the purpose of paving the way for combustion vehicles against...</t>
  </si>
  <si>
    <t>ecological fuels, OCU verdict</t>
  </si>
  <si>
    <t>combustibles ecológicos, veredicto OCU</t>
  </si>
  <si>
    <t>Consumer assessments of ecological fuels can influence Repsol’s brand perception.</t>
  </si>
  <si>
    <t>combustibles ecológicos, OCU</t>
  </si>
  <si>
    <r>
      <rPr>
        <rFont val="Arial, sans-serif"/>
        <color rgb="FF1155CC"/>
        <sz val="9.0"/>
        <u/>
      </rPr>
      <t>El Periódico de la Energía</t>
    </r>
    <r>
      <rPr>
        <rFont val="Arial, sans-serif"/>
        <color rgb="FF1155CC"/>
        <sz val="15.0"/>
        <u/>
      </rPr>
      <t>El primer parque eólico marino flotante semisumergible del mundo supera todas las predicciones</t>
    </r>
    <r>
      <rPr>
        <rFont val="Arial, sans-serif"/>
        <color rgb="FF1155CC"/>
        <sz val="11.0"/>
        <u/>
      </rPr>
      <t>WindFloat Atlantic cerró 2023 con una producción eléctrica de 80 GWh.</t>
    </r>
    <r>
      <rPr>
        <rFont val="Arial, sans-serif"/>
        <color rgb="FF1155CC"/>
        <sz val="12.0"/>
        <u/>
      </rPr>
      <t>.</t>
    </r>
    <r>
      <rPr>
        <rFont val="Arial, sans-serif"/>
        <color rgb="FF1155CC"/>
        <sz val="11.0"/>
        <u/>
      </rPr>
      <t>3 feb 2024</t>
    </r>
  </si>
  <si>
    <t>El primer parque eólico marino flotante semisumergible del mundo supera todas las predicciones</t>
  </si>
  <si>
    <t>El primer parque eólico marino flotante semisumergible del mundo supera todas las predicciones. WindFloat Atlantic cerró 2023 con una producción eléctrica de 80 GWh.</t>
  </si>
  <si>
    <t>World's first semi-submersible floating offshore wind farm exceeds all predictions</t>
  </si>
  <si>
    <t>The world's first semi-submersible floating offshore wind farm exceeds all predictions. WindFloat Atlantic closed 2023 with an electrical production of 80 GWh.</t>
  </si>
  <si>
    <t>Offshore wind advancements do not directly impact Repsol unless it is involved.</t>
  </si>
  <si>
    <r>
      <rPr>
        <rFont val="Arial, sans-serif"/>
        <color rgb="FF1155CC"/>
        <sz val="9.0"/>
        <u/>
      </rPr>
      <t>Motorsport.com España</t>
    </r>
    <r>
      <rPr>
        <rFont val="Arial, sans-serif"/>
        <color rgb="FF1155CC"/>
        <sz val="15.0"/>
        <u/>
      </rPr>
      <t>Las fotos del viernes de Shakedown de MotoGP en Sepang, con más nombres</t>
    </r>
    <r>
      <rPr>
        <rFont val="Arial, sans-serif"/>
        <color rgb="FF1155CC"/>
        <sz val="11.0"/>
        <u/>
      </rPr>
      <t>El Shakedown de Sepang, primeros test del año 2024 de MotoGP antes de los test colectivos que el mismo circuito acogerá la semana próxima, ha completado ya...</t>
    </r>
    <r>
      <rPr>
        <rFont val="Arial, sans-serif"/>
        <color rgb="FF1155CC"/>
        <sz val="12.0"/>
        <u/>
      </rPr>
      <t>.</t>
    </r>
    <r>
      <rPr>
        <rFont val="Arial, sans-serif"/>
        <color rgb="FF1155CC"/>
        <sz val="11.0"/>
        <u/>
      </rPr>
      <t>3 feb 2024</t>
    </r>
  </si>
  <si>
    <t>Las fotos del viernes de Shakedown de MotoGP en Sepang, con más nombres</t>
  </si>
  <si>
    <t>El Shakedown de Sepang, primeros test del año 2024 de MotoGP antes de los test colectivos que el mismo circuito acogerá la semana próxima, ha completado ya....</t>
  </si>
  <si>
    <t>Photos from Friday's MotoGP Shakedown in Sepang, with more names</t>
  </si>
  <si>
    <t>The Sepang Shakedown, the first test of the 2024 MotoGP year before the collective tests that the same circuit will host next week, has already completed....</t>
  </si>
  <si>
    <r>
      <rPr>
        <rFont val="Arial, sans-serif"/>
        <color rgb="FF1155CC"/>
        <sz val="9.0"/>
        <u/>
      </rPr>
      <t>Moto1Pro</t>
    </r>
    <r>
      <rPr>
        <rFont val="Arial, sans-serif"/>
        <color rgb="FF1155CC"/>
        <sz val="15.0"/>
        <u/>
      </rPr>
      <t>Descuentos en gasolineras: cómo ahorrar en el combustible</t>
    </r>
    <r>
      <rPr>
        <rFont val="Arial, sans-serif"/>
        <color rgb="FF1155CC"/>
        <sz val="11.0"/>
        <u/>
      </rPr>
      <t>Muchas gasolineras cuentan con promociones y descuentos que pueden ayudarte a ahorrar bastante dinero en tus repostajes. Descubre cómo sacar el mejor...</t>
    </r>
    <r>
      <rPr>
        <rFont val="Arial, sans-serif"/>
        <color rgb="FF1155CC"/>
        <sz val="12.0"/>
        <u/>
      </rPr>
      <t>.</t>
    </r>
    <r>
      <rPr>
        <rFont val="Arial, sans-serif"/>
        <color rgb="FF1155CC"/>
        <sz val="11.0"/>
        <u/>
      </rPr>
      <t>3 feb 2024</t>
    </r>
  </si>
  <si>
    <t>Descuentos en gasolineras: cómo ahorrar en el combustible</t>
  </si>
  <si>
    <t>Muchas gasolineras cuentan con promociones y descuentos que pueden ayudarte a ahorrar bastante dinero en tus repostajes. Descubre cómo sacar el mejor....</t>
  </si>
  <si>
    <t>Discounts at gas stations: how to save on fuel</t>
  </si>
  <si>
    <t>Many gas stations have promotions and discounts that can help you save a lot of money when refueling. Discover how to get the best....</t>
  </si>
  <si>
    <r>
      <rPr>
        <rFont val="Arial, sans-serif"/>
        <color rgb="FF1155CC"/>
        <sz val="9.0"/>
        <u/>
      </rPr>
      <t>www.motogp.com</t>
    </r>
    <r>
      <rPr>
        <rFont val="Arial, sans-serif"/>
        <color rgb="FF1155CC"/>
        <sz val="15.0"/>
        <u/>
      </rPr>
      <t>Acosta, el más rápido en el Shakedown de Sepang</t>
    </r>
    <r>
      <rPr>
        <rFont val="Arial, sans-serif"/>
        <color rgb="FF1155CC"/>
        <sz val="11.0"/>
        <u/>
      </rPr>
      <t>El rookie marca un llamativo 1:58.189 en una tercera jornada de pruebas en Malasia marcada por las numerosas pruebas aerodinámicas.</t>
    </r>
    <r>
      <rPr>
        <rFont val="Arial, sans-serif"/>
        <color rgb="FF1155CC"/>
        <sz val="12.0"/>
        <u/>
      </rPr>
      <t>.</t>
    </r>
    <r>
      <rPr>
        <rFont val="Arial, sans-serif"/>
        <color rgb="FF1155CC"/>
        <sz val="11.0"/>
        <u/>
      </rPr>
      <t>3 feb 2024</t>
    </r>
  </si>
  <si>
    <t>www.motogp.com</t>
  </si>
  <si>
    <t>Acosta, el más rápido en el Shakedown de Sepang</t>
  </si>
  <si>
    <t>El rookie marca un llamativo 1:58.189 en una tercera jornada de pruebas en Malasia marcada por las numerosas pruebas aerodinámicas.</t>
  </si>
  <si>
    <t>Acosta, the fastest in the Sepang Shakedown</t>
  </si>
  <si>
    <t>The rookie clocks an eye-catching 1:58.189 on a third day of testing in Malaysia marked by numerous aerodynamic tests.</t>
  </si>
  <si>
    <r>
      <rPr>
        <rFont val="Arial, sans-serif"/>
        <color rgb="FF1155CC"/>
        <sz val="9.0"/>
        <u/>
      </rPr>
      <t>El Periódico de la Energía</t>
    </r>
    <r>
      <rPr>
        <rFont val="Arial, sans-serif"/>
        <color rgb="FF1155CC"/>
        <sz val="15.0"/>
        <u/>
      </rPr>
      <t>CHC Energía se reinventa de la mano de Repsol</t>
    </r>
    <r>
      <rPr>
        <rFont val="Arial, sans-serif"/>
        <color rgb="FF1155CC"/>
        <sz val="11.0"/>
        <u/>
      </rPr>
      <t>La comercializadora CHC Energía ha reunido en Madrid a representantes de sus delegaciones comerciales para impulsar su expansión en España con una renovada...</t>
    </r>
    <r>
      <rPr>
        <rFont val="Arial, sans-serif"/>
        <color rgb="FF1155CC"/>
        <sz val="12.0"/>
        <u/>
      </rPr>
      <t>.</t>
    </r>
    <r>
      <rPr>
        <rFont val="Arial, sans-serif"/>
        <color rgb="FF1155CC"/>
        <sz val="11.0"/>
        <u/>
      </rPr>
      <t>4 feb 2024</t>
    </r>
  </si>
  <si>
    <t>CHC Energía se reinventa de la mano de Repsol</t>
  </si>
  <si>
    <t>La comercializadora CHC Energía ha reunido en Madrid a representantes de sus delegaciones comerciales para impulsar su expansión en España con una renovada....</t>
  </si>
  <si>
    <t>CHC Energía reinvents itself with Repsol</t>
  </si>
  <si>
    <t>The marketing company CHC Energía has brought together representatives of its commercial delegations in Madrid to promote its expansion in Spain with a renewed...</t>
  </si>
  <si>
    <t>CHC Energía, Repsol expansion</t>
  </si>
  <si>
    <t>CHC Energía, Expansión de Repsol</t>
  </si>
  <si>
    <t>Expanding partnerships with CHC Energía strengthens Repsol’s market presence.</t>
  </si>
  <si>
    <t>CHC Energía, expansión</t>
  </si>
  <si>
    <t>Positive sentiment due to business expansion.</t>
  </si>
  <si>
    <t>Sentimiento positivo debido a la expansión del negocio.</t>
  </si>
  <si>
    <r>
      <rPr>
        <rFont val="Arial, sans-serif"/>
        <color rgb="FF1155CC"/>
        <sz val="9.0"/>
        <u/>
      </rPr>
      <t>Box Repsol</t>
    </r>
    <r>
      <rPr>
        <rFont val="Arial, sans-serif"/>
        <color rgb="FF1155CC"/>
        <sz val="15.0"/>
        <u/>
      </rPr>
      <t>Resultados del X-Trial de Barcelona 2024</t>
    </r>
    <r>
      <rPr>
        <rFont val="Arial, sans-serif"/>
        <color rgb="FF1155CC"/>
        <sz val="11.0"/>
        <u/>
      </rPr>
      <t>El Palau Sant Jordi de Barcelona ha acogido la primera ronda de la disciplina indoor de Trial 2024, del mismo modo que sucedió en la temporada pasada.</t>
    </r>
    <r>
      <rPr>
        <rFont val="Arial, sans-serif"/>
        <color rgb="FF1155CC"/>
        <sz val="12.0"/>
        <u/>
      </rPr>
      <t>.</t>
    </r>
    <r>
      <rPr>
        <rFont val="Arial, sans-serif"/>
        <color rgb="FF1155CC"/>
        <sz val="11.0"/>
        <u/>
      </rPr>
      <t>4 feb 2024</t>
    </r>
  </si>
  <si>
    <t>Resultados del X-Trial de Barcelona 2024</t>
  </si>
  <si>
    <t>El Palau Sant Jordi de Barcelona ha acogido la primera ronda de la disciplina indoor de Trial 2024, del mismo modo que sucedió en la temporada pasada.</t>
  </si>
  <si>
    <t>Results of the Barcelona X-Trial 2024</t>
  </si>
  <si>
    <t>The Palau Sant Jordi in Barcelona has hosted the first round of the indoor discipline of Trial 2024, in the same way as it happened last season.</t>
  </si>
  <si>
    <r>
      <rPr>
        <rFont val="Arial, sans-serif"/>
        <color rgb="FF1155CC"/>
        <sz val="9.0"/>
        <u/>
      </rPr>
      <t>La Razón</t>
    </r>
    <r>
      <rPr>
        <rFont val="Arial, sans-serif"/>
        <color rgb="FF1155CC"/>
        <sz val="15.0"/>
        <u/>
      </rPr>
      <t>Las mujeres del hidrógeno verde</t>
    </r>
    <r>
      <rPr>
        <rFont val="Arial, sans-serif"/>
        <color rgb="FF1155CC"/>
        <sz val="11.0"/>
        <u/>
      </rPr>
      <t>Los nuevos combustibles renovables podrán crear 1, 7 millones de empleos en Europa hasta 2040. España liderará el crecimiento de esta economía donde las...</t>
    </r>
    <r>
      <rPr>
        <rFont val="Arial, sans-serif"/>
        <color rgb="FF1155CC"/>
        <sz val="12.0"/>
        <u/>
      </rPr>
      <t>.</t>
    </r>
    <r>
      <rPr>
        <rFont val="Arial, sans-serif"/>
        <color rgb="FF1155CC"/>
        <sz val="11.0"/>
        <u/>
      </rPr>
      <t>4 feb 2024</t>
    </r>
  </si>
  <si>
    <t>Las mujeres del hidrógeno verde</t>
  </si>
  <si>
    <t>Los nuevos combustibles renovables podrán crear 1, 7 millones de empleos en Europa hasta 2040. España liderará el crecimiento de esta economía donde las....</t>
  </si>
  <si>
    <t>The women of green hydrogen</t>
  </si>
  <si>
    <t>New renewable fuels will be able to create 1.7 million jobs in Europe until 2040. Spain will lead the growth of this economy where...</t>
  </si>
  <si>
    <t>General discussions on green hydrogen do not directly impact Repsol.</t>
  </si>
  <si>
    <t>hidrógeno verde, empleos</t>
  </si>
  <si>
    <t>Positive sentiment due to renewable energy and job creation.</t>
  </si>
  <si>
    <t>Sentimiento positivo debido a las energías renovables y la creación de empleo.</t>
  </si>
  <si>
    <r>
      <rPr>
        <rFont val="Arial, sans-serif"/>
        <color rgb="FF1155CC"/>
        <sz val="9.0"/>
        <u/>
      </rPr>
      <t>El Español</t>
    </r>
    <r>
      <rPr>
        <rFont val="Arial, sans-serif"/>
        <color rgb="FF1155CC"/>
        <sz val="15.0"/>
        <u/>
      </rPr>
      <t>Los últimos días de Kappo: la pionera barra japonesa de Madrid con dos Soles Repsol cierra sus puertas</t>
    </r>
    <r>
      <rPr>
        <rFont val="Arial, sans-serif"/>
        <color rgb="FF1155CC"/>
        <sz val="11.0"/>
        <u/>
      </rPr>
      <t>El 16 de febrero, el restaurante de sushi del barrio de Chamberí cierra sus puertas, por lo que han aumentado sus reservas un 25%.</t>
    </r>
    <r>
      <rPr>
        <rFont val="Arial, sans-serif"/>
        <color rgb="FF1155CC"/>
        <sz val="12.0"/>
        <u/>
      </rPr>
      <t>.</t>
    </r>
    <r>
      <rPr>
        <rFont val="Arial, sans-serif"/>
        <color rgb="FF1155CC"/>
        <sz val="11.0"/>
        <u/>
      </rPr>
      <t>4 feb 2024</t>
    </r>
  </si>
  <si>
    <t>Los últimos días de Kappo: la pionera barra japonesa de Madrid con dos Soles Repsol cierra sus puertas</t>
  </si>
  <si>
    <t>El 16 de febrero, el restaurante de sushi del barrio de Chamberí cierra sus puertas, por lo que han aumentado sus reservas un 25%.</t>
  </si>
  <si>
    <t>The last days of Kappo: the pioneering Japanese bar in Madrid with two Repsol Suns closes its doors</t>
  </si>
  <si>
    <t>On February 16, the sushi restaurant in the Chamberí neighborhood closes its doors, so its reservations have increased by 25%.</t>
  </si>
  <si>
    <r>
      <rPr>
        <rFont val="Arial, sans-serif"/>
        <color rgb="FF1155CC"/>
        <sz val="9.0"/>
        <u/>
      </rPr>
      <t>EL PAÍS</t>
    </r>
    <r>
      <rPr>
        <rFont val="Arial, sans-serif"/>
        <color rgb="FF1155CC"/>
        <sz val="15.0"/>
        <u/>
      </rPr>
      <t>Dónde comer en Lleida, según el cocinero Joel Castanyé</t>
    </r>
    <r>
      <rPr>
        <rFont val="Arial, sans-serif"/>
        <color rgb="FF1155CC"/>
        <sz val="11.0"/>
        <u/>
      </rPr>
      <t>El propietario de La Boscana aconseja empezar fuerte con un bocadillo de papada, tomar los canelones de su madre, visitar un templo del whisky y comprar...</t>
    </r>
    <r>
      <rPr>
        <rFont val="Arial, sans-serif"/>
        <color rgb="FF1155CC"/>
        <sz val="12.0"/>
        <u/>
      </rPr>
      <t>.</t>
    </r>
    <r>
      <rPr>
        <rFont val="Arial, sans-serif"/>
        <color rgb="FF1155CC"/>
        <sz val="11.0"/>
        <u/>
      </rPr>
      <t>4 feb 2024</t>
    </r>
  </si>
  <si>
    <t>Dónde comer en Lleida, según el cocinero Joel Castanyé</t>
  </si>
  <si>
    <t>El propietario de La Boscana aconseja empezar fuerte con un bocadillo de papada, tomar los canelones de su madre, visitar un templo del whisky y comprar....</t>
  </si>
  <si>
    <t>Where to eat in Lleida, according to chef Joel Castanyé</t>
  </si>
  <si>
    <t>The owner of La Boscana advises starting strong with a double chin sandwich, having his mother's cannelloni, visiting a whiskey temple and buying...</t>
  </si>
  <si>
    <r>
      <rPr>
        <rFont val="Arial, sans-serif"/>
        <color rgb="FF1155CC"/>
        <sz val="9.0"/>
        <u/>
      </rPr>
      <t>La Vanguardia</t>
    </r>
    <r>
      <rPr>
        <rFont val="Arial, sans-serif"/>
        <color rgb="FF1155CC"/>
        <sz val="15.0"/>
        <u/>
      </rPr>
      <t>Toni Bou abre el Mundial indoor con triunfo incontestable en Barcelona</t>
    </r>
    <r>
      <rPr>
        <rFont val="Arial, sans-serif"/>
        <color rgb="FF1155CC"/>
        <sz val="11.0"/>
        <u/>
      </rPr>
      <t>Toni Bou (Repsol Montesa) comienza con fuerza su camino hacia el 35.º título mundial de trial con su victoria incontestable en la Catedral, el Palau Sant...</t>
    </r>
    <r>
      <rPr>
        <rFont val="Arial, sans-serif"/>
        <color rgb="FF1155CC"/>
        <sz val="12.0"/>
        <u/>
      </rPr>
      <t>.</t>
    </r>
    <r>
      <rPr>
        <rFont val="Arial, sans-serif"/>
        <color rgb="FF1155CC"/>
        <sz val="11.0"/>
        <u/>
      </rPr>
      <t>4 feb 2024</t>
    </r>
  </si>
  <si>
    <t>Toni Bou abre el Mundial indoor con triunfo incontestable en Barcelona</t>
  </si>
  <si>
    <t>Toni Bou (Repsol Montesa) comienza con fuerza su camino hacia el 35.º título mundial de trial con su victoria incontestable en la Catedral, el Palau Sant....</t>
  </si>
  <si>
    <t>Toni Bou opens the indoor World Cup with an indisputable victory in Barcelona</t>
  </si>
  <si>
    <t>Toni Bou (Repsol Montesa) begins his path towards the 35th world trial title with his undeniable victory in the Cathedral, the Palau Sant....</t>
  </si>
  <si>
    <r>
      <rPr>
        <rFont val="Arial, sans-serif"/>
        <color rgb="FF1155CC"/>
        <sz val="9.0"/>
        <u/>
      </rPr>
      <t xml:space="preserve">MOTOSAN </t>
    </r>
    <r>
      <rPr>
        <rFont val="Arial, sans-serif"/>
        <color rgb="FF1155CC"/>
        <sz val="15.0"/>
        <u/>
      </rPr>
      <t>El ingeniero jefe de Marc Márquez:”El objetivo es empezar con el mejor nivel posible y desde ahí seguir mejorando</t>
    </r>
    <r>
      <rPr>
        <rFont val="Arial, sans-serif"/>
        <color rgb="FF1155CC"/>
        <sz val="11.0"/>
        <u/>
      </rPr>
      <t>El ocho veces Campeón del Mundo afronta una nueva temporada llena de cambios. Marc Márquez cambia el Repsol Honda Team por el Gresini Racing.</t>
    </r>
    <r>
      <rPr>
        <rFont val="Arial, sans-serif"/>
        <color rgb="FF1155CC"/>
        <sz val="12.0"/>
        <u/>
      </rPr>
      <t>.</t>
    </r>
    <r>
      <rPr>
        <rFont val="Arial, sans-serif"/>
        <color rgb="FF1155CC"/>
        <sz val="11.0"/>
        <u/>
      </rPr>
      <t>4 feb 2024</t>
    </r>
  </si>
  <si>
    <t>El ingeniero jefe de Marc Márquez: “El objetivo es empezar con el mejor nivel posible y desde ahí seguir mejorando”</t>
  </si>
  <si>
    <t>El objetivo es empezar con el mejor nivel posible y desde ahí seguir mejorando.</t>
  </si>
  <si>
    <t>Marc Márquez's chief engineer: “The goal is to start with the best possible level and from there continue improving”</t>
  </si>
  <si>
    <t>The goal is to start with the best possible level and continue improving from there.</t>
  </si>
  <si>
    <r>
      <rPr>
        <rFont val="Arial, sans-serif"/>
        <color rgb="FF1155CC"/>
        <sz val="9.0"/>
        <u/>
      </rPr>
      <t>Canariasenmoto.com</t>
    </r>
    <r>
      <rPr>
        <rFont val="Arial, sans-serif"/>
        <color rgb="FF1155CC"/>
        <sz val="15.0"/>
        <u/>
      </rPr>
      <t>Pedro Acosta avisa: el novato fue el más rápido en el shakedown</t>
    </r>
    <r>
      <rPr>
        <rFont val="Arial, sans-serif"/>
        <color rgb="FF1155CC"/>
        <sz val="11.0"/>
        <u/>
      </rPr>
      <t>El novato en la categoría reina, Pedro Acosta ha liderado el tercer día de `shakedown` de MotoGP en Sepang. Como si llevase toda la vida con la GASGAS,...</t>
    </r>
    <r>
      <rPr>
        <rFont val="Arial, sans-serif"/>
        <color rgb="FF1155CC"/>
        <sz val="12.0"/>
        <u/>
      </rPr>
      <t>.</t>
    </r>
    <r>
      <rPr>
        <rFont val="Arial, sans-serif"/>
        <color rgb="FF1155CC"/>
        <sz val="11.0"/>
        <u/>
      </rPr>
      <t>4 feb 2024</t>
    </r>
  </si>
  <si>
    <t>Canariasenmoto.com</t>
  </si>
  <si>
    <t>Pedro Acosta avisa: el novato fue el más rápido en el shakedown</t>
  </si>
  <si>
    <t>El novato en la categoría reina, Pedro Acosta ha liderado el tercer día de `shakedown` de MotoGP en Sepang. Como si llevase toda la vida con la GASGAS,....</t>
  </si>
  <si>
    <t>Pedro Acosta warns: the rookie was the fastest in the shakedown</t>
  </si>
  <si>
    <t>The rookie in the premier class, Pedro Acosta has led the third day of the MotoGP shakedown in Sepang. As if he had been with GASGAS all his life,...</t>
  </si>
  <si>
    <r>
      <rPr>
        <rFont val="Arial, sans-serif"/>
        <color rgb="FF1155CC"/>
        <sz val="9.0"/>
        <u/>
      </rPr>
      <t>Mundo Deportivo</t>
    </r>
    <r>
      <rPr>
        <rFont val="Arial, sans-serif"/>
        <color rgb="FF1155CC"/>
        <sz val="15.0"/>
        <u/>
      </rPr>
      <t>KTM tiene un plan para Dani Pedrosa</t>
    </r>
    <r>
      <rPr>
        <rFont val="Arial, sans-serif"/>
        <color rgb="FF1155CC"/>
        <sz val="11.0"/>
        <u/>
      </rPr>
      <t>Nadie duda de que Dani Pedrosa fue uno de los nombre propios del pasado Mundial de MotoGP 2023 con sus brillantísimas actuaciones tanto en el GP de España...</t>
    </r>
    <r>
      <rPr>
        <rFont val="Arial, sans-serif"/>
        <color rgb="FF1155CC"/>
        <sz val="12.0"/>
        <u/>
      </rPr>
      <t>.</t>
    </r>
    <r>
      <rPr>
        <rFont val="Arial, sans-serif"/>
        <color rgb="FF1155CC"/>
        <sz val="11.0"/>
        <u/>
      </rPr>
      <t>4 feb 2024</t>
    </r>
  </si>
  <si>
    <t>KTM tiene un plan para Dani Pedrosa</t>
  </si>
  <si>
    <t>Nadie duda de que Dani Pedrosa fue uno de los nombre propios del pasado Mundial de MotoGP 2023 con sus brillantísimas actuaciones tanto en el GP de España....</t>
  </si>
  <si>
    <t>KTM has a plan for Dani Pedrosa</t>
  </si>
  <si>
    <t>No one doubts that Dani Pedrosa was one of the stars of the last 2023 MotoGP World Championship with his brilliant performances in both the Spanish GP....</t>
  </si>
  <si>
    <r>
      <rPr>
        <rFont val="Arial, sans-serif"/>
        <color rgb="FF1155CC"/>
        <sz val="9.0"/>
        <u/>
      </rPr>
      <t>Vozpópuli</t>
    </r>
    <r>
      <rPr>
        <rFont val="Arial, sans-serif"/>
        <color rgb="FF1155CC"/>
        <sz val="15.0"/>
        <u/>
      </rPr>
      <t>La trampa del IVA permite que 1.200 gasolineras vendan carburante por debajo de coste</t>
    </r>
    <r>
      <rPr>
        <rFont val="Arial, sans-serif"/>
        <color rgb="FF1155CC"/>
        <sz val="11.0"/>
        <u/>
      </rPr>
      <t>Cerca de un 10% de las estaciones de servicio en España registraron hace una semana precios de diésel por debajo de mínimos. Una anomalía al alza en los...</t>
    </r>
    <r>
      <rPr>
        <rFont val="Arial, sans-serif"/>
        <color rgb="FF1155CC"/>
        <sz val="12.0"/>
        <u/>
      </rPr>
      <t>.</t>
    </r>
    <r>
      <rPr>
        <rFont val="Arial, sans-serif"/>
        <color rgb="FF1155CC"/>
        <sz val="11.0"/>
        <u/>
      </rPr>
      <t>4 feb 2024</t>
    </r>
  </si>
  <si>
    <t>Vozpópuli</t>
  </si>
  <si>
    <t>La trampa del IVA permite que 1.200 gasolineras vendan carburante por debajo de coste</t>
  </si>
  <si>
    <t>Cerca de un 10% de las estaciones de servicio en España registraron hace una semana precios de diésel por debajo de mínimos. Una anomalía al alza en los....</t>
  </si>
  <si>
    <t>The VAT trap allows 1,200 gas stations to sell fuel below cost</t>
  </si>
  <si>
    <t>About 10% of service stations in Spain registered diesel prices below minimum levels a week ago. An upward anomaly in the...</t>
  </si>
  <si>
    <t>Fuel pricing tax strategies do not directly impact Repsol.</t>
  </si>
  <si>
    <t>IVA, gasolineras</t>
  </si>
  <si>
    <t>Negative sentiment due to pricing anomalies and potential fraud.</t>
  </si>
  <si>
    <t>Sentimiento negativo debido a anomalías en los precios y posible fraude.</t>
  </si>
  <si>
    <r>
      <rPr>
        <rFont val="Arial, sans-serif"/>
        <color rgb="FF1155CC"/>
        <sz val="9.0"/>
        <u/>
      </rPr>
      <t>El Economista</t>
    </r>
    <r>
      <rPr>
        <rFont val="Arial, sans-serif"/>
        <color rgb="FF1155CC"/>
        <sz val="15.0"/>
        <u/>
      </rPr>
      <t>Repsol y Aliseda venden suelo a Ibosa para levantar vivienda asequible en Los Berrocales</t>
    </r>
    <r>
      <rPr>
        <rFont val="Arial, sans-serif"/>
        <color rgb="FF1155CC"/>
        <sz val="11.0"/>
        <u/>
      </rPr>
      <t>Aliseda y Repsol han cerrado la venta de dos parcelas residenciales con Ibosa que se encuentran en Los Berrocales, uno de los nuevos ...</t>
    </r>
    <r>
      <rPr>
        <rFont val="Arial, sans-serif"/>
        <color rgb="FF1155CC"/>
        <sz val="12.0"/>
        <u/>
      </rPr>
      <t>.</t>
    </r>
    <r>
      <rPr>
        <rFont val="Arial, sans-serif"/>
        <color rgb="FF1155CC"/>
        <sz val="11.0"/>
        <u/>
      </rPr>
      <t>5 feb 2024</t>
    </r>
  </si>
  <si>
    <t>Repsol y Aliseda venden suelo a Ibosa para levantar vivienda asequible en Los Berrocales</t>
  </si>
  <si>
    <t>Aliseda y Repsol han cerrado la venta de dos parcelas residenciales con Ibosa que se encuentran en Los Berrocales, uno de los nuevos ....</t>
  </si>
  <si>
    <t>Repsol and Aliseda sell land to Ibosa to build affordable housing in Los Berrocales</t>
  </si>
  <si>
    <t>Aliseda and Repsol have closed the sale of two residential plots with Ibosa that are located in Los Berrocales, one of the new...</t>
  </si>
  <si>
    <t>land sale, real estate</t>
  </si>
  <si>
    <t>venta de terrenos, bienes raíces</t>
  </si>
  <si>
    <t>Selling land for real estate development supports Repsol’s diversification strategy.</t>
  </si>
  <si>
    <t>vivienda asequible, Los Berrocales</t>
  </si>
  <si>
    <t>Positive sentiment due to affordable housing initiative.</t>
  </si>
  <si>
    <t>Sentimiento positivo debido a la iniciativa de vivienda asequible.</t>
  </si>
  <si>
    <r>
      <rPr>
        <rFont val="Arial, sans-serif"/>
        <color rgb="FF1155CC"/>
        <sz val="9.0"/>
        <u/>
      </rPr>
      <t>La Opinión de Málaga</t>
    </r>
    <r>
      <rPr>
        <rFont val="Arial, sans-serif"/>
        <color rgb="FF1155CC"/>
        <sz val="15.0"/>
        <u/>
      </rPr>
      <t>Ocho años del sueño de un bosque urbano en Repsol</t>
    </r>
    <r>
      <rPr>
        <rFont val="Arial, sans-serif"/>
        <color rgb="FF1155CC"/>
        <sz val="11.0"/>
        <u/>
      </rPr>
      <t>Paula Aranda, Francisco Javier López y Pedro Francisco Sánchez, a finales de enero en la zona de Repsol repoblada por la plataforma con 300 ejemplares entre...</t>
    </r>
    <r>
      <rPr>
        <rFont val="Arial, sans-serif"/>
        <color rgb="FF1155CC"/>
        <sz val="12.0"/>
        <u/>
      </rPr>
      <t>.</t>
    </r>
    <r>
      <rPr>
        <rFont val="Arial, sans-serif"/>
        <color rgb="FF1155CC"/>
        <sz val="11.0"/>
        <u/>
      </rPr>
      <t>5 feb 2024</t>
    </r>
  </si>
  <si>
    <t>La Opinión de Málaga</t>
  </si>
  <si>
    <t>Ocho años del sueño de un bosque urbano en Repsol</t>
  </si>
  <si>
    <t>Paula Aranda, Francisco Javier López y Pedro Francisco Sánchez, a finales de enero en la zona de Repsol repoblada por la plataforma con 300 ejemplares entre....</t>
  </si>
  <si>
    <t>Eight years of the dream of an urban forest at Repsol</t>
  </si>
  <si>
    <t>Paula Aranda, Francisco Javier López and Pedro Francisco Sánchez, at the end of January in the Repsol area repopulated by the platform with 300 specimens between....</t>
  </si>
  <si>
    <r>
      <rPr>
        <rFont val="Arial, sans-serif"/>
        <color rgb="FF1155CC"/>
        <sz val="9.0"/>
        <u/>
      </rPr>
      <t>EjePrime</t>
    </r>
    <r>
      <rPr>
        <rFont val="Arial, sans-serif"/>
        <color rgb="FF1155CC"/>
        <sz val="15.0"/>
        <u/>
      </rPr>
      <t>Ibosa compra suelo a Repsol y Alisefa para levantar vivienda asequible en Los Berrocales</t>
    </r>
    <r>
      <rPr>
        <rFont val="Arial, sans-serif"/>
        <color rgb="FF1155CC"/>
        <sz val="11.0"/>
        <u/>
      </rPr>
      <t>La gestora tiene previsto construir 74 pisos en régimen de cooperativa que se entregarán en tres años. Los terrenos transaccionados se encuentran en…</t>
    </r>
    <r>
      <rPr>
        <rFont val="Arial, sans-serif"/>
        <color rgb="FF1155CC"/>
        <sz val="12.0"/>
        <u/>
      </rPr>
      <t>.</t>
    </r>
    <r>
      <rPr>
        <rFont val="Arial, sans-serif"/>
        <color rgb="FF1155CC"/>
        <sz val="11.0"/>
        <u/>
      </rPr>
      <t>5 feb 2024</t>
    </r>
  </si>
  <si>
    <t>EjePrime</t>
  </si>
  <si>
    <t>Ibosa compra suelo a Repsol y Alisefa para levantar vivienda asequible en Los Berrocales</t>
  </si>
  <si>
    <t>La gestora tiene previsto construir 74 pisos en régimen de cooperativa que se entregarán en tres años. Los terrenos transaccionados se encuentran en….</t>
  </si>
  <si>
    <t>Ibosa buys land from Repsol and Alisefa to build affordable housing in Los Berrocales</t>
  </si>
  <si>
    <t>The manager plans to build 74 apartments under a cooperative regime that will be delivered in three years. The lands transacted are located in….</t>
  </si>
  <si>
    <t>Selling land for residential development aligns with Repsol’s asset management strategy.</t>
  </si>
  <si>
    <r>
      <rPr>
        <rFont val="Arial, sans-serif"/>
        <color rgb="FF1155CC"/>
        <sz val="9.0"/>
        <u/>
      </rPr>
      <t>elDiarioAR.com</t>
    </r>
    <r>
      <rPr>
        <rFont val="Arial, sans-serif"/>
        <color rgb="FF1155CC"/>
        <sz val="15.0"/>
        <u/>
      </rPr>
      <t>Derrame de Repsol en Perú: balance negativo en remediación y reparación civil, a dos años del mayor accidente de petróleo en costas peruanas</t>
    </r>
    <r>
      <rPr>
        <rFont val="Arial, sans-serif"/>
        <color rgb="FF1155CC"/>
        <sz val="11.0"/>
        <u/>
      </rPr>
      <t>la investigación penal que el Estado peruano lleva a cabo en contra de Repsol está culminando. La compañía multinacional es investigada por el derrame de...</t>
    </r>
    <r>
      <rPr>
        <rFont val="Arial, sans-serif"/>
        <color rgb="FF1155CC"/>
        <sz val="12.0"/>
        <u/>
      </rPr>
      <t>.</t>
    </r>
    <r>
      <rPr>
        <rFont val="Arial, sans-serif"/>
        <color rgb="FF1155CC"/>
        <sz val="11.0"/>
        <u/>
      </rPr>
      <t>5 feb 2024</t>
    </r>
  </si>
  <si>
    <t>elDiarioAR.com</t>
  </si>
  <si>
    <t>Derrame de Repsol en Perú: balance negativo en remediación y reparación civil, a dos años del mayor accidente de petróleo en costas peruanas</t>
  </si>
  <si>
    <t>la investigación penal que el Estado peruano lleva a cabo en contra de Repsol está culminando. La compañía multinacional es investigada por el derrame de....</t>
  </si>
  <si>
    <t>Repsol spill in Peru: negative balance in remediation and civil repair, two years after the largest oil accident on the Peruvian coast</t>
  </si>
  <si>
    <t>The criminal investigation that the Peruvian State is carrying out against Repsol is culminating. The multinational company is investigated for the spill of....</t>
  </si>
  <si>
    <t>negative balance, remediation issues</t>
  </si>
  <si>
    <t>saldo negativo, cuestiones de remediación</t>
  </si>
  <si>
    <t>Ongoing legal scrutiny over the spill reinforces negative sentiment towards Repsol.</t>
  </si>
  <si>
    <r>
      <rPr>
        <rFont val="Arial, sans-serif"/>
        <color rgb="FF1155CC"/>
        <sz val="9.0"/>
        <u/>
      </rPr>
      <t>Moto1Pro</t>
    </r>
    <r>
      <rPr>
        <rFont val="Arial, sans-serif"/>
        <color rgb="FF1155CC"/>
        <sz val="15.0"/>
        <u/>
      </rPr>
      <t>Toni Bou empieza el Mundial de X-Trial en lo más alto</t>
    </r>
    <r>
      <rPr>
        <rFont val="Arial, sans-serif"/>
        <color rgb="FF1155CC"/>
        <sz val="11.0"/>
        <u/>
      </rPr>
      <t>El Palau Sant Jordi (Barcelona) ha sido el escenario inaugural del Campeonato del Mundo de X-Trial 2024 donde los pilotos del Repsol Honda Trial Team han...</t>
    </r>
    <r>
      <rPr>
        <rFont val="Arial, sans-serif"/>
        <color rgb="FF1155CC"/>
        <sz val="12.0"/>
        <u/>
      </rPr>
      <t>.</t>
    </r>
    <r>
      <rPr>
        <rFont val="Arial, sans-serif"/>
        <color rgb="FF1155CC"/>
        <sz val="11.0"/>
        <u/>
      </rPr>
      <t>5 feb 2024</t>
    </r>
  </si>
  <si>
    <t>Toni Bou empieza el Mundial de X-Trial en lo más alto</t>
  </si>
  <si>
    <t>El Palau Sant Jordi (Barcelona) ha sido el escenario inaugural del Campeonato del Mundo de X-Trial 2024 donde los pilotos del Repsol Honda Trial Team han....</t>
  </si>
  <si>
    <t>Toni Bou starts the X-Trial World Championship at the top</t>
  </si>
  <si>
    <t>The Palau Sant Jordi (Barcelona) has been the inaugural venue for the 2024 X-Trial World Championship where the Repsol Honda Trial Team riders have...</t>
  </si>
  <si>
    <r>
      <rPr>
        <rFont val="Arial, sans-serif"/>
        <color rgb="FF1155CC"/>
        <sz val="9.0"/>
        <u/>
      </rPr>
      <t>El Español</t>
    </r>
    <r>
      <rPr>
        <rFont val="Arial, sans-serif"/>
        <color rgb="FF1155CC"/>
        <sz val="15.0"/>
        <u/>
      </rPr>
      <t>La tradicional bodega de Barcelona que se convirtió en una taberna japonesa: así es su sushi clandestino</t>
    </r>
    <r>
      <rPr>
        <rFont val="Arial, sans-serif"/>
        <color rgb="FF1155CC"/>
        <sz val="11.0"/>
        <u/>
      </rPr>
      <t>Este bar catalán de toda la vida combina bocadillos y pinchos con makis y nigiris.</t>
    </r>
    <r>
      <rPr>
        <rFont val="Arial, sans-serif"/>
        <color rgb="FF1155CC"/>
        <sz val="12.0"/>
        <u/>
      </rPr>
      <t>.</t>
    </r>
    <r>
      <rPr>
        <rFont val="Arial, sans-serif"/>
        <color rgb="FF1155CC"/>
        <sz val="11.0"/>
        <u/>
      </rPr>
      <t>5 feb 2024</t>
    </r>
  </si>
  <si>
    <t>La tradicional bodega de Barcelona que se convirtió en una taberna japonesa: así es su sushi clandestino</t>
  </si>
  <si>
    <t>Este bar catalán de toda la vida combina bocadillos y pinchos con makis y nigiris.</t>
  </si>
  <si>
    <t>The traditional Barcelona winery that became a Japanese tavern: this is its clandestine sushi</t>
  </si>
  <si>
    <t>This traditional Catalan bar combines sandwiches and pinchos with makis and nigiris.</t>
  </si>
  <si>
    <r>
      <rPr>
        <rFont val="Arial, sans-serif"/>
        <color rgb="FF1155CC"/>
        <sz val="9.0"/>
        <u/>
      </rPr>
      <t>Hule y Mantel</t>
    </r>
    <r>
      <rPr>
        <rFont val="Arial, sans-serif"/>
        <color rgb="FF1155CC"/>
        <sz val="15.0"/>
        <u/>
      </rPr>
      <t>Guía Macarfi 2024: lista completa de restaurantes en el Top 10 y mejores aperturas</t>
    </r>
    <r>
      <rPr>
        <rFont val="Arial, sans-serif"/>
        <color rgb="FF1155CC"/>
        <sz val="11.0"/>
        <u/>
      </rPr>
      <t>La guía destaca restaurantes de Madrid, Barcelona, Girona, País Vasco, La Rioja y, por primera vez, también de Málaga y Valencia.</t>
    </r>
    <r>
      <rPr>
        <rFont val="Arial, sans-serif"/>
        <color rgb="FF1155CC"/>
        <sz val="12.0"/>
        <u/>
      </rPr>
      <t>.</t>
    </r>
    <r>
      <rPr>
        <rFont val="Arial, sans-serif"/>
        <color rgb="FF1155CC"/>
        <sz val="11.0"/>
        <u/>
      </rPr>
      <t>5 feb 2024</t>
    </r>
  </si>
  <si>
    <t>Hule y Mantel</t>
  </si>
  <si>
    <t>Guía Macarfi 2024: lista completa de restaurantes en el Top 10 y mejores aperturas</t>
  </si>
  <si>
    <t>La guía destaca restaurantes de Madrid, Barcelona, Girona, País Vasco, La Rioja y, por primera vez, también de Málaga y Valencia.</t>
  </si>
  <si>
    <t>Macarfi Guide 2024: complete list of restaurants in the Top 10 and best openings</t>
  </si>
  <si>
    <t>The guide highlights restaurants in Madrid, Barcelona, ​​Girona, the Basque Country, La Rioja and, for the first time, also in Malaga and Valencia.</t>
  </si>
  <si>
    <r>
      <rPr>
        <rFont val="Arial, sans-serif"/>
        <color rgb="FF1155CC"/>
        <sz val="9.0"/>
        <u/>
      </rPr>
      <t>InfoHoreca</t>
    </r>
    <r>
      <rPr>
        <rFont val="Arial, sans-serif"/>
        <color rgb="FF1155CC"/>
        <sz val="15.0"/>
        <u/>
      </rPr>
      <t>La cocina sostenible de los Hermanos Torres protagoniza el primer día de H&amp;T Málaga</t>
    </r>
    <r>
      <rPr>
        <rFont val="Arial, sans-serif"/>
        <color rgb="FF1155CC"/>
        <sz val="11.0"/>
        <u/>
      </rPr>
      <t>El Palacios de Ferias y Congresos de Málaga acoge hasta el 7 de febrero una nueva edición de H&amp;T, Salón de Innovación en Hostelería, con un amplio programa...</t>
    </r>
    <r>
      <rPr>
        <rFont val="Arial, sans-serif"/>
        <color rgb="FF1155CC"/>
        <sz val="12.0"/>
        <u/>
      </rPr>
      <t>.</t>
    </r>
    <r>
      <rPr>
        <rFont val="Arial, sans-serif"/>
        <color rgb="FF1155CC"/>
        <sz val="11.0"/>
        <u/>
      </rPr>
      <t>5 feb 2024</t>
    </r>
  </si>
  <si>
    <t>InfoHoreca</t>
  </si>
  <si>
    <t>La cocina sostenible de los Hermanos Torres protagoniza el primer día de H&amp;T Málaga</t>
  </si>
  <si>
    <t>La cocina sostenible de los Hermanos Torres protagoniza el primer día de H&amp;T Málaga.</t>
  </si>
  <si>
    <t>The sustainable cuisine of the Torres Brothers stars on the first day of H&amp;T Málaga</t>
  </si>
  <si>
    <t>The sustainable cuisine of the Torres Brothers stars on the first day of H&amp;T Málaga.</t>
  </si>
  <si>
    <r>
      <rPr>
        <rFont val="Arial, sans-serif"/>
        <color rgb="FF1155CC"/>
        <sz val="9.0"/>
        <u/>
      </rPr>
      <t>El Economista</t>
    </r>
    <r>
      <rPr>
        <rFont val="Arial, sans-serif"/>
        <color rgb="FF1155CC"/>
        <sz val="15.0"/>
        <u/>
      </rPr>
      <t>Ibercaja gestiona tres de los cuatro planes de pensiones de empleo más rentables del último año</t>
    </r>
    <r>
      <rPr>
        <rFont val="Arial, sans-serif"/>
        <color rgb="FF1155CC"/>
        <sz val="11.0"/>
        <u/>
      </rPr>
      <t>Entre los mayores planes de pensiones de empleo, que las grandes compañías ofrecen a sus trabajadores, destacan cuatro por conseguir ...</t>
    </r>
    <r>
      <rPr>
        <rFont val="Arial, sans-serif"/>
        <color rgb="FF1155CC"/>
        <sz val="12.0"/>
        <u/>
      </rPr>
      <t>.</t>
    </r>
    <r>
      <rPr>
        <rFont val="Arial, sans-serif"/>
        <color rgb="FF1155CC"/>
        <sz val="11.0"/>
        <u/>
      </rPr>
      <t>5 feb 2024</t>
    </r>
  </si>
  <si>
    <t>Ibercaja gestiona tres de los cuatro planes de pensiones de empleo más rentables del último año</t>
  </si>
  <si>
    <t>Entre los mayores planes de pensiones de empleo, que las grandes compañías ofrecen a sus trabajadores, destacan cuatro por conseguir ....</t>
  </si>
  <si>
    <t>Ibercaja manages three of the four most profitable employment pension plans in the last year</t>
  </si>
  <si>
    <t>Among the largest employment pension plans that large companies offer their workers, four stand out...</t>
  </si>
  <si>
    <r>
      <rPr>
        <rFont val="Arial, sans-serif"/>
        <color rgb="FF1155CC"/>
        <sz val="9.0"/>
        <u/>
      </rPr>
      <t>La Opinión de Málaga</t>
    </r>
    <r>
      <rPr>
        <rFont val="Arial, sans-serif"/>
        <color rgb="FF1155CC"/>
        <sz val="15.0"/>
        <u/>
      </rPr>
      <t>La Gala Macarfi revela y premia a los diez mejores restaurantes de Málaga</t>
    </r>
    <r>
      <rPr>
        <rFont val="Arial, sans-serif"/>
        <color rgb="FF1155CC"/>
        <sz val="11.0"/>
        <u/>
      </rPr>
      <t>Por primera vez, la capital acoge la Gala de Premios Macarfi 2024, que ha reunido a 60 de los mejores chefs del panorama nacional.</t>
    </r>
    <r>
      <rPr>
        <rFont val="Arial, sans-serif"/>
        <color rgb="FF1155CC"/>
        <sz val="12.0"/>
        <u/>
      </rPr>
      <t>.</t>
    </r>
    <r>
      <rPr>
        <rFont val="Arial, sans-serif"/>
        <color rgb="FF1155CC"/>
        <sz val="11.0"/>
        <u/>
      </rPr>
      <t>5 feb 2024</t>
    </r>
  </si>
  <si>
    <t>La Gala Macarfi revela y premia a los diez mejores restaurantes de Málaga</t>
  </si>
  <si>
    <t>Por primera vez, la capital acoge la Gala de Premios Macarfi 2024, que ha reunido a 60 de los mejores chefs del panorama nacional.</t>
  </si>
  <si>
    <t>The Macarfi Gala reveals and awards the ten best restaurants in Malaga</t>
  </si>
  <si>
    <t>For the first time, the capital hosts the Macarfi 2024 Awards Gala, which has brought together 60 of the best chefs on the national scene.</t>
  </si>
  <si>
    <r>
      <rPr>
        <rFont val="Arial, sans-serif"/>
        <color rgb="FF1155CC"/>
        <sz val="9.0"/>
        <u/>
      </rPr>
      <t>Europa Press</t>
    </r>
    <r>
      <rPr>
        <rFont val="Arial, sans-serif"/>
        <color rgb="FF1155CC"/>
        <sz val="15.0"/>
        <u/>
      </rPr>
      <t>La captura de CO2 o la gestión del agua, entre los retos del hub de Repsol, Iberia, ArcelorMittal y Holcim</t>
    </r>
    <r>
      <rPr>
        <rFont val="Arial, sans-serif"/>
        <color rgb="FF1155CC"/>
        <sz val="11.0"/>
        <u/>
      </rPr>
      <t>La captura de carbono, la gestión de los recursos hídricos, el hidrógeno renovable, los combustibles...</t>
    </r>
    <r>
      <rPr>
        <rFont val="Arial, sans-serif"/>
        <color rgb="FF1155CC"/>
        <sz val="12.0"/>
        <u/>
      </rPr>
      <t>.</t>
    </r>
    <r>
      <rPr>
        <rFont val="Arial, sans-serif"/>
        <color rgb="FF1155CC"/>
        <sz val="11.0"/>
        <u/>
      </rPr>
      <t>6 feb 2024</t>
    </r>
  </si>
  <si>
    <t>La captura de CO2 o la gestión del agua, entre los retos del hub de Repsol, Iberia, ArcelorMittal y Holcim</t>
  </si>
  <si>
    <t>La captura de carbono, la gestión de los recursos hídricos, el hidrógeno renovable, los combustibles....</t>
  </si>
  <si>
    <t>CO2 capture or water management, among the challenges of the Repsol, Iberia, ArcelorMittal and Holcim hub</t>
  </si>
  <si>
    <t>Carbon capture, water resource management, renewable hydrogen, fuels....</t>
  </si>
  <si>
    <t>General discussions on sustainability challenges do not directly impact Repsol.</t>
  </si>
  <si>
    <t>captura de CO2, gestión del agua</t>
  </si>
  <si>
    <r>
      <rPr>
        <rFont val="Arial, sans-serif"/>
        <color rgb="FF1155CC"/>
        <sz val="9.0"/>
        <u/>
      </rPr>
      <t>Guía Repsol</t>
    </r>
    <r>
      <rPr>
        <rFont val="Arial, sans-serif"/>
        <color rgb="FF1155CC"/>
        <sz val="15.0"/>
        <u/>
      </rPr>
      <t>Locales distinguidos en la ciudad del cine</t>
    </r>
    <r>
      <rPr>
        <rFont val="Arial, sans-serif"/>
        <color rgb="FF1155CC"/>
        <sz val="11.0"/>
        <u/>
      </rPr>
      <t>Valladolid tiene experiencia como ciudad del cine -67 SEMINCI les avalan- y ya lo tiene todo listo para esa noche en la que el cine español saca sus galas.</t>
    </r>
    <r>
      <rPr>
        <rFont val="Arial, sans-serif"/>
        <color rgb="FF1155CC"/>
        <sz val="12.0"/>
        <u/>
      </rPr>
      <t>.</t>
    </r>
    <r>
      <rPr>
        <rFont val="Arial, sans-serif"/>
        <color rgb="FF1155CC"/>
        <sz val="11.0"/>
        <u/>
      </rPr>
      <t>6 feb 2024</t>
    </r>
  </si>
  <si>
    <t>Locales distinguidos en la ciudad del cine</t>
  </si>
  <si>
    <t>Valladolid tiene experiencia como ciudad del cine -67 SEMINCI les avalan- y ya lo tiene todo listo para esa noche en la que el cine español saca sus galas.</t>
  </si>
  <si>
    <t>Distinguished premises in the city of cinema</t>
  </si>
  <si>
    <t>Valladolid has experience as a city of cinema - 67 SEMINCI endorse them - and it already has everything ready for that night in which Spanish cinema shows off its finery.</t>
  </si>
  <si>
    <r>
      <rPr>
        <rFont val="Arial, sans-serif"/>
        <color rgb="FF1155CC"/>
        <sz val="9.0"/>
        <u/>
      </rPr>
      <t>Rue20 Espagnol</t>
    </r>
    <r>
      <rPr>
        <rFont val="Arial, sans-serif"/>
        <color rgb="FF1155CC"/>
        <sz val="15.0"/>
        <u/>
      </rPr>
      <t>La española Repsol y la belga Ravago estrenan planta de compuestos en Tánger</t>
    </r>
    <r>
      <rPr>
        <rFont val="Arial, sans-serif"/>
        <color rgb="FF1155CC"/>
        <sz val="11.0"/>
        <u/>
      </rPr>
      <t>La belga 'Ravago' y la española 'Repsol' acaban de inaugurar, hoy martes, su nueva planta de «compounding» —o sea, «pulido acondicionador de pintura»—...</t>
    </r>
    <r>
      <rPr>
        <rFont val="Arial, sans-serif"/>
        <color rgb="FF1155CC"/>
        <sz val="12.0"/>
        <u/>
      </rPr>
      <t>.</t>
    </r>
    <r>
      <rPr>
        <rFont val="Arial, sans-serif"/>
        <color rgb="FF1155CC"/>
        <sz val="11.0"/>
        <u/>
      </rPr>
      <t>6 feb 2024</t>
    </r>
  </si>
  <si>
    <t>Rue20 Espagnol</t>
  </si>
  <si>
    <t>La española Repsol y la belga Ravago estrenan planta de compuestos en Tánger</t>
  </si>
  <si>
    <t>La belga 'Ravago' y la española 'Repsol' acaban de inaugurar, hoy martes, su nueva planta de «compounding» —o sea, «pulido acondicionador de pintura»—.</t>
  </si>
  <si>
    <t>The Spanish Repsol and the Belgian Ravago launch a composite plant in Tangier</t>
  </si>
  <si>
    <t>The Belgian 'Ravago' and the Spanish 'Repsol' have just inaugurated, today Tuesday, their new "compounding" plant - that is, "paint conditioning polishing" -.</t>
  </si>
  <si>
    <t>plastics recycling, Repsol initiative</t>
  </si>
  <si>
    <t>Reciclaje de plásticos, Iniciativa Repsol</t>
  </si>
  <si>
    <t>Expanding recycling efforts supports Repsol’s commitment to circular economy initiatives.</t>
  </si>
  <si>
    <t>planta de compuestos, Tánger</t>
  </si>
  <si>
    <t>Positive sentiment due to business expansion and innovation.</t>
  </si>
  <si>
    <t>Sentimiento positivo debido a la expansión empresarial y la innovación.</t>
  </si>
  <si>
    <r>
      <rPr>
        <rFont val="Arial, sans-serif"/>
        <color rgb="FF1155CC"/>
        <sz val="9.0"/>
        <u/>
      </rPr>
      <t>Todocircuito.com</t>
    </r>
    <r>
      <rPr>
        <rFont val="Arial, sans-serif"/>
        <color rgb="FF1155CC"/>
        <sz val="15.0"/>
        <u/>
      </rPr>
      <t>El logo de Repsol se hace pequeño en las Honda de Joan Mir y Luca Marini</t>
    </r>
    <r>
      <rPr>
        <rFont val="Arial, sans-serif"/>
        <color rgb="FF1155CC"/>
        <sz val="11.0"/>
        <u/>
      </rPr>
      <t>El 2024 marcará un antes y un después en el equipo oficial Honda de MotoGP, y no solo por la salida de Marc Márquez. El adiós del #93 al equipo de toda su...</t>
    </r>
    <r>
      <rPr>
        <rFont val="Arial, sans-serif"/>
        <color rgb="FF1155CC"/>
        <sz val="12.0"/>
        <u/>
      </rPr>
      <t>.</t>
    </r>
    <r>
      <rPr>
        <rFont val="Arial, sans-serif"/>
        <color rgb="FF1155CC"/>
        <sz val="11.0"/>
        <u/>
      </rPr>
      <t>6 feb 2024</t>
    </r>
  </si>
  <si>
    <t>El logo de Repsol se hace pequeño en las Honda de Joan Mir y Luca Marini</t>
  </si>
  <si>
    <t>El 2024 marcará un antes y un después en el equipo oficial Honda de MotoGP, y no solo por la salida de Marc Márquez. El adiós del #93 al equipo de toda su....</t>
  </si>
  <si>
    <t>The Repsol logo becomes small on the Hondas of Joan Mir and Luca Marini</t>
  </si>
  <si>
    <t>2024 will mark a before and after for the official Honda MotoGP team, and not only because of the departure of Marc Márquez. The farewell of #93 to the entire team....</t>
  </si>
  <si>
    <r>
      <rPr>
        <rFont val="Arial, sans-serif"/>
        <color rgb="FF1155CC"/>
        <sz val="9.0"/>
        <u/>
      </rPr>
      <t>Box Repsol</t>
    </r>
    <r>
      <rPr>
        <rFont val="Arial, sans-serif"/>
        <color rgb="FF1155CC"/>
        <sz val="15.0"/>
        <u/>
      </rPr>
      <t>Test de Sepang MotoGP 2024: Resultados de la primera jornada</t>
    </r>
    <r>
      <rPr>
        <rFont val="Arial, sans-serif"/>
        <color rgb="FF1155CC"/>
        <sz val="11.0"/>
        <u/>
      </rPr>
      <t>Tras las primeras pruebas en el Test de Valencia de noviembre, los pilotos de la categoría reina han comenzado a preparar su puesta a punto de cara al...</t>
    </r>
    <r>
      <rPr>
        <rFont val="Arial, sans-serif"/>
        <color rgb="FF1155CC"/>
        <sz val="12.0"/>
        <u/>
      </rPr>
      <t>.</t>
    </r>
    <r>
      <rPr>
        <rFont val="Arial, sans-serif"/>
        <color rgb="FF1155CC"/>
        <sz val="11.0"/>
        <u/>
      </rPr>
      <t>6 feb 2024</t>
    </r>
  </si>
  <si>
    <t>Test de Sepang MotoGP 2024: Resultados de la primera jornada</t>
  </si>
  <si>
    <t>Tras las primeras pruebas en el Test de Valencia de noviembre, los pilotos de la categoría reina han comenzado a preparar su puesta a punto de cara al....</t>
  </si>
  <si>
    <t>Sepang MotoGP 2024 test: Results of the first day</t>
  </si>
  <si>
    <t>After the first tests at the Valencia Test in November, the premier class drivers have begun to prepare their set-up for the...</t>
  </si>
  <si>
    <r>
      <rPr>
        <rFont val="Arial, sans-serif"/>
        <color rgb="FF1155CC"/>
        <sz val="9.0"/>
        <u/>
      </rPr>
      <t>Idealista</t>
    </r>
    <r>
      <rPr>
        <rFont val="Arial, sans-serif"/>
        <color rgb="FF1155CC"/>
        <sz val="15.0"/>
        <u/>
      </rPr>
      <t>Nuevo impulso para la vivienda asequible: Ibosa adquiere terrenos de Repsol y Aliseda en Los Berrocales</t>
    </r>
    <r>
      <rPr>
        <rFont val="Arial, sans-serif"/>
        <color rgb="FF1155CC"/>
        <sz val="11.0"/>
        <u/>
      </rPr>
      <t>Aliseda y Repsol han finalizado la transacción de dos terrenos destinados a uso residencial en Los Berrocales, una de las áreas de expansión reciente en el...</t>
    </r>
    <r>
      <rPr>
        <rFont val="Arial, sans-serif"/>
        <color rgb="FF1155CC"/>
        <sz val="12.0"/>
        <u/>
      </rPr>
      <t>.</t>
    </r>
    <r>
      <rPr>
        <rFont val="Arial, sans-serif"/>
        <color rgb="FF1155CC"/>
        <sz val="11.0"/>
        <u/>
      </rPr>
      <t>6 feb 2024</t>
    </r>
  </si>
  <si>
    <t>Idealista</t>
  </si>
  <si>
    <t>Nuevo impulso para la vivienda asequible: Ibosa adquiere terrenos de Repsol y Aliseda en Los Berrocales</t>
  </si>
  <si>
    <t>Aliseda y Repsol han finalizado la transacción de dos terrenos destinados a uso residencial en Los Berrocales, una de las áreas de expansión reciente en el....</t>
  </si>
  <si>
    <t>New push for affordable housing: Ibosa acquires land from Repsol and Aliseda in Los Berrocales</t>
  </si>
  <si>
    <t>Aliseda and Repsol have completed the transaction of two plots of land intended for residential use in Los Berrocales, one of the recent expansion areas in the...</t>
  </si>
  <si>
    <t>Selling land for housing development aligns with Repsol’s asset management strategy.</t>
  </si>
  <si>
    <r>
      <rPr>
        <rFont val="Arial, sans-serif"/>
        <color rgb="FF1155CC"/>
        <sz val="9.0"/>
        <u/>
      </rPr>
      <t>Ultima Hora</t>
    </r>
    <r>
      <rPr>
        <rFont val="Arial, sans-serif"/>
        <color rgb="FF1155CC"/>
        <sz val="15.0"/>
        <u/>
      </rPr>
      <t>Joan Mir lamenta que la moto «no haya mejorado»</t>
    </r>
    <r>
      <rPr>
        <rFont val="Arial, sans-serif"/>
        <color rgb="FF1155CC"/>
        <sz val="11.0"/>
        <u/>
      </rPr>
      <t>El campeón del mundo de 2020 asegura que «no es un gran problema» porque estuvieron probando «muchas cosas» de cara al inicio de la temporada.</t>
    </r>
    <r>
      <rPr>
        <rFont val="Arial, sans-serif"/>
        <color rgb="FF1155CC"/>
        <sz val="12.0"/>
        <u/>
      </rPr>
      <t>.</t>
    </r>
    <r>
      <rPr>
        <rFont val="Arial, sans-serif"/>
        <color rgb="FF1155CC"/>
        <sz val="11.0"/>
        <u/>
      </rPr>
      <t>6 feb 2024</t>
    </r>
  </si>
  <si>
    <t>Ultima Hora</t>
  </si>
  <si>
    <t>Joan Mir lamenta que la moto «no haya mejorado»</t>
  </si>
  <si>
    <t>El campeón del mundo de 2020 asegura que «no es un gran problema» porque estuvieron probando «muchas cosas» de cara al inicio de la temporada.</t>
  </si>
  <si>
    <t>Joan Mir regrets that the motorcycle "has not improved"</t>
  </si>
  <si>
    <t>The 2020 world champion assures that "it is not a big problem" because they were testing "many things" for the start of the season.</t>
  </si>
  <si>
    <r>
      <rPr>
        <rFont val="Arial, sans-serif"/>
        <color rgb="FF1155CC"/>
        <sz val="9.0"/>
        <u/>
      </rPr>
      <t>Menorca - Es diari</t>
    </r>
    <r>
      <rPr>
        <rFont val="Arial, sans-serif"/>
        <color rgb="FF1155CC"/>
        <sz val="15.0"/>
        <u/>
      </rPr>
      <t>Luca Marini: "Cada vez las sensaciones son mejores"</t>
    </r>
    <r>
      <rPr>
        <rFont val="Arial, sans-serif"/>
        <color rgb="FF1155CC"/>
        <sz val="11.0"/>
        <u/>
      </rPr>
      <t>El piloto italiano de MotoGP Luca Marini (Repsol Honda) aseguró que tiene mejores sensaciones a medida que va probando la nueva Honda, pese a finalizar a...</t>
    </r>
    <r>
      <rPr>
        <rFont val="Arial, sans-serif"/>
        <color rgb="FF1155CC"/>
        <sz val="12.0"/>
        <u/>
      </rPr>
      <t>.</t>
    </r>
    <r>
      <rPr>
        <rFont val="Arial, sans-serif"/>
        <color rgb="FF1155CC"/>
        <sz val="11.0"/>
        <u/>
      </rPr>
      <t>6 feb 2024</t>
    </r>
  </si>
  <si>
    <t>Es diari</t>
  </si>
  <si>
    <t>Luca Marini: "Cada vez las sensaciones son mejores"</t>
  </si>
  <si>
    <t>"Cada vez las sensaciones son mejores"</t>
  </si>
  <si>
    <t>Luca Marini: "Every time the sensations are better"</t>
  </si>
  <si>
    <t>"Every time the sensations are better"</t>
  </si>
  <si>
    <r>
      <rPr>
        <rFont val="Arial, sans-serif"/>
        <color rgb="FF1155CC"/>
        <sz val="9.0"/>
        <u/>
      </rPr>
      <t>Gestión</t>
    </r>
    <r>
      <rPr>
        <rFont val="Arial, sans-serif"/>
        <color rgb="FF1155CC"/>
        <sz val="15.0"/>
        <u/>
      </rPr>
      <t>Repsol mira proyectos de hidrógeno verde con Antamina, Chinalco y Las Bambas</t>
    </r>
    <r>
      <rPr>
        <rFont val="Arial, sans-serif"/>
        <color rgb="FF1155CC"/>
        <sz val="11.0"/>
        <u/>
      </rPr>
      <t>Repsol reveló que han empezado a hablar y coordinar la implementación de hidrógeno verde con las mineras Antamina, Chinalco y Las Bambas, que operan en...</t>
    </r>
    <r>
      <rPr>
        <rFont val="Arial, sans-serif"/>
        <color rgb="FF1155CC"/>
        <sz val="12.0"/>
        <u/>
      </rPr>
      <t>.</t>
    </r>
    <r>
      <rPr>
        <rFont val="Arial, sans-serif"/>
        <color rgb="FF1155CC"/>
        <sz val="11.0"/>
        <u/>
      </rPr>
      <t>6 feb 2024</t>
    </r>
  </si>
  <si>
    <t>Repsol mira proyectos de hidrógeno verde con Antamina, Chinalco y Las Bambas</t>
  </si>
  <si>
    <t>Repsol reveló que han empezado a hablar y coordinar la implementación de hidrógeno verde con las mineras Antamina, Chinalco y Las Bambas, que operan en....</t>
  </si>
  <si>
    <t>Repsol eyes green hydrogen projects with Antamina, Chinalco and Las Bambas</t>
  </si>
  <si>
    <t>Repsol revealed that they have begun to talk and coordinate the implementation of green hydrogen with the mining companies Antamina, Chinalco and Las Bambas, which operate in...</t>
  </si>
  <si>
    <t>green hydrogen, Antamina project</t>
  </si>
  <si>
    <t>hidrógeno verde, proyecto Antamina</t>
  </si>
  <si>
    <t>Expanding green hydrogen projects aligns with Repsol’s long-term sustainability goals.</t>
  </si>
  <si>
    <t>hidrógeno verde, Antamina, Chinalco, Las Bambas</t>
  </si>
  <si>
    <t>Positive sentiment due to renewable energy initiatives.</t>
  </si>
  <si>
    <t>Sentimiento positivo debido a las iniciativas de energía renovable.</t>
  </si>
  <si>
    <r>
      <rPr>
        <rFont val="Arial, sans-serif"/>
        <color rgb="FF1155CC"/>
        <sz val="9.0"/>
        <u/>
      </rPr>
      <t>Box Repsol</t>
    </r>
    <r>
      <rPr>
        <rFont val="Arial, sans-serif"/>
        <color rgb="FF1155CC"/>
        <sz val="15.0"/>
        <u/>
      </rPr>
      <t>Dónde ver el Mundial de MotoGP 2024: televisión y online</t>
    </r>
    <r>
      <rPr>
        <rFont val="Arial, sans-serif"/>
        <color rgb="FF1155CC"/>
        <sz val="11.0"/>
        <u/>
      </rPr>
      <t>El Mundial de MotoGP está de vuelta y en Box Repsol te brindamos todas las opciones para seguir la temporada 2024. ¡No te pierdas nada!</t>
    </r>
    <r>
      <rPr>
        <rFont val="Arial, sans-serif"/>
        <color rgb="FF1155CC"/>
        <sz val="12.0"/>
        <u/>
      </rPr>
      <t>.</t>
    </r>
    <r>
      <rPr>
        <rFont val="Arial, sans-serif"/>
        <color rgb="FF1155CC"/>
        <sz val="11.0"/>
        <u/>
      </rPr>
      <t>6 feb 2024</t>
    </r>
  </si>
  <si>
    <t>Dónde ver el Mundial de MotoGP 2024: televisión y online</t>
  </si>
  <si>
    <t>El Mundial de MotoGP está de vuelta y en Box Repsol te brindamos todas las opciones para seguir la temporada 2024. ¡No te pierdas nada!.</t>
  </si>
  <si>
    <t>Where to watch the 2024 MotoGP World Championship: television and online</t>
  </si>
  <si>
    <t>The MotoGP World Championship is back and at Box Repsol we give you all the options to follow the 2024 season. Don't miss anything!</t>
  </si>
  <si>
    <r>
      <rPr>
        <rFont val="Arial, sans-serif"/>
        <color rgb="FF1155CC"/>
        <sz val="9.0"/>
        <u/>
      </rPr>
      <t>Repsol</t>
    </r>
    <r>
      <rPr>
        <rFont val="Arial, sans-serif"/>
        <color rgb="FF1155CC"/>
        <sz val="15.0"/>
        <u/>
      </rPr>
      <t>T-HYNET, el proyecto del mayor electrolizador de España</t>
    </r>
    <r>
      <rPr>
        <rFont val="Arial, sans-serif"/>
        <color rgb="FF1155CC"/>
        <sz val="11.0"/>
        <u/>
      </rPr>
      <t>El proyecto del mayor electrolizador de España, premiado con el Fondo de Innovación de la Unión Europea.</t>
    </r>
    <r>
      <rPr>
        <rFont val="Arial, sans-serif"/>
        <color rgb="FF1155CC"/>
        <sz val="12.0"/>
        <u/>
      </rPr>
      <t>.</t>
    </r>
    <r>
      <rPr>
        <rFont val="Arial, sans-serif"/>
        <color rgb="FF1155CC"/>
        <sz val="11.0"/>
        <u/>
      </rPr>
      <t>7 feb 2024</t>
    </r>
  </si>
  <si>
    <t>T-HYNET, el proyecto del mayor electrolizador de España</t>
  </si>
  <si>
    <t>El proyecto del mayor electrolizador de España, premiado con el Fondo de Innovación de la Unión Europea.</t>
  </si>
  <si>
    <t>T-HYNET, the project for the largest electrolyzer in Spain</t>
  </si>
  <si>
    <t>The project for the largest electrolyzer in Spain, awarded with the European Union Innovation Fund.</t>
  </si>
  <si>
    <t>largest electrolyzer, hydrogen project</t>
  </si>
  <si>
    <t>mayor electrolizador, proyecto de hidrógeno</t>
  </si>
  <si>
    <t>Investing in large-scale hydrogen infrastructure strengthens Repsol’s energy transition strategy.</t>
  </si>
  <si>
    <r>
      <rPr>
        <rFont val="Arial, sans-serif"/>
        <color rgb="FF1155CC"/>
        <sz val="9.0"/>
        <u/>
      </rPr>
      <t>El Español</t>
    </r>
    <r>
      <rPr>
        <rFont val="Arial, sans-serif"/>
        <color rgb="FF1155CC"/>
        <sz val="15.0"/>
        <u/>
      </rPr>
      <t>Repsol firma un contrato a tres años con Centrica para el suministro de un millón de toneladas de gas licuado</t>
    </r>
    <r>
      <rPr>
        <rFont val="Arial, sans-serif"/>
        <color rgb="FF1155CC"/>
        <sz val="11.0"/>
        <u/>
      </rPr>
      <t>Se espera que todos estos cargamentos se entreguen en la terminal de GNL de Grain, en Kent, entre 2025 y 2027.</t>
    </r>
    <r>
      <rPr>
        <rFont val="Arial, sans-serif"/>
        <color rgb="FF1155CC"/>
        <sz val="12.0"/>
        <u/>
      </rPr>
      <t>.</t>
    </r>
    <r>
      <rPr>
        <rFont val="Arial, sans-serif"/>
        <color rgb="FF1155CC"/>
        <sz val="11.0"/>
        <u/>
      </rPr>
      <t>7 feb 2024</t>
    </r>
  </si>
  <si>
    <t>Repsol firma un contrato a tres años con Centrica para el suministro de un millón de toneladas de gas licuado</t>
  </si>
  <si>
    <t>Se espera que todos estos cargamentos se entreguen en la terminal de GNL de Grain, en Kent, entre 2025 y 2027.</t>
  </si>
  <si>
    <t>Repsol signs a three-year contract with Centrica for the supply of one million tons of liquefied gas</t>
  </si>
  <si>
    <t>All of these cargoes are expected to be delivered to the Grain LNG terminal in Kent between 2025 and 2027.</t>
  </si>
  <si>
    <t>LNG supply, Centrica contract</t>
  </si>
  <si>
    <t>Suministro de GNL, Contrato Centrica</t>
  </si>
  <si>
    <t>Securing long-term LNG supply contracts supports Repsol’s global energy operations.</t>
  </si>
  <si>
    <t>contrato, Centrica, gas licuado</t>
  </si>
  <si>
    <t>Positive sentiment due to business expansion and energy supply.</t>
  </si>
  <si>
    <t>Sentimiento positivo debido a la expansión del negocio y el suministro de energía.</t>
  </si>
  <si>
    <r>
      <rPr>
        <rFont val="Arial, sans-serif"/>
        <color rgb="FF1155CC"/>
        <sz val="9.0"/>
        <u/>
      </rPr>
      <t>El Economista</t>
    </r>
    <r>
      <rPr>
        <rFont val="Arial, sans-serif"/>
        <color rgb="FF1155CC"/>
        <sz val="15.0"/>
        <u/>
      </rPr>
      <t>Repsol firma un gran contrato de suministro de GNL con la británica Centrica</t>
    </r>
    <r>
      <rPr>
        <rFont val="Arial, sans-serif"/>
        <color rgb="FF1155CC"/>
        <sz val="11.0"/>
        <u/>
      </rPr>
      <t>Repsol y Centrica han firmado un acuerdo que permitirá incrementar la seguridad energética del Reino Unido en los próximos años.</t>
    </r>
    <r>
      <rPr>
        <rFont val="Arial, sans-serif"/>
        <color rgb="FF1155CC"/>
        <sz val="12.0"/>
        <u/>
      </rPr>
      <t>.</t>
    </r>
    <r>
      <rPr>
        <rFont val="Arial, sans-serif"/>
        <color rgb="FF1155CC"/>
        <sz val="11.0"/>
        <u/>
      </rPr>
      <t>7 feb 2024</t>
    </r>
  </si>
  <si>
    <t>Repsol firma un gran contrato de suministro de GNL con la británica Centrica</t>
  </si>
  <si>
    <t>Repsol y Centrica han firmado un acuerdo que permitirá incrementar la seguridad energética del Reino Unido en los próximos años.</t>
  </si>
  <si>
    <t>Repsol signs a large LNG supply contract with the British company Centrica</t>
  </si>
  <si>
    <t>Repsol and Centrica have signed an agreement that will increase the energy security of the United Kingdom in the coming years.</t>
  </si>
  <si>
    <t>LNG contract, Centrica deal</t>
  </si>
  <si>
    <t>Contrato de GNL, Acuerdo con Centrica</t>
  </si>
  <si>
    <t>Expanding LNG agreements enhances Repsol’s role in global energy supply.</t>
  </si>
  <si>
    <t>contrato, Centrica, GNL</t>
  </si>
  <si>
    <r>
      <rPr>
        <rFont val="Arial, sans-serif"/>
        <color rgb="FF1155CC"/>
        <sz val="9.0"/>
        <u/>
      </rPr>
      <t>heraldo.es</t>
    </r>
    <r>
      <rPr>
        <rFont val="Arial, sans-serif"/>
        <color rgb="FF1155CC"/>
        <sz val="15.0"/>
        <u/>
      </rPr>
      <t>Esta es la calle con más soletes Repsol de Zaragoza</t>
    </r>
    <r>
      <rPr>
        <rFont val="Arial, sans-serif"/>
        <color rgb="FF1155CC"/>
        <sz val="11.0"/>
        <u/>
      </rPr>
      <t>En el centro de la capital aragonesa se descubre una calle con media docena de estas distinciones, la que más suma de toda la ciudad.</t>
    </r>
    <r>
      <rPr>
        <rFont val="Arial, sans-serif"/>
        <color rgb="FF1155CC"/>
        <sz val="12.0"/>
        <u/>
      </rPr>
      <t>.</t>
    </r>
    <r>
      <rPr>
        <rFont val="Arial, sans-serif"/>
        <color rgb="FF1155CC"/>
        <sz val="11.0"/>
        <u/>
      </rPr>
      <t>7 feb 2024</t>
    </r>
  </si>
  <si>
    <t>Esta es la calle con más soletes Repsol de Zaragoza</t>
  </si>
  <si>
    <t>En el centro de la capital aragonesa se descubre una calle con media docena de estas distinciones, la que más suma de toda la ciudad.</t>
  </si>
  <si>
    <t>This is the street with the most Repsol sun in Zaragoza</t>
  </si>
  <si>
    <t>In the center of the Aragonese capital you can discover a street with half a dozen of these distinctions, the one with the most in the entire city.</t>
  </si>
  <si>
    <r>
      <rPr>
        <rFont val="Arial, sans-serif"/>
        <color rgb="FF1155CC"/>
        <sz val="9.0"/>
        <u/>
      </rPr>
      <t>20Minutos</t>
    </r>
    <r>
      <rPr>
        <rFont val="Arial, sans-serif"/>
        <color rgb="FF1155CC"/>
        <sz val="15.0"/>
        <u/>
      </rPr>
      <t>La nueva iniciativa de Repsol: recoge aceite usado a cambio de descuentos para fabricar combustible renovable</t>
    </r>
    <r>
      <rPr>
        <rFont val="Arial, sans-serif"/>
        <color rgb="FF1155CC"/>
        <sz val="11.0"/>
        <u/>
      </rPr>
      <t>Según indica esta empresa instalada en España, los usuarios que entreguen aceite usado en las estaciones de servicio podrán 'beneficiarse de un descuento de...</t>
    </r>
    <r>
      <rPr>
        <rFont val="Arial, sans-serif"/>
        <color rgb="FF1155CC"/>
        <sz val="12.0"/>
        <u/>
      </rPr>
      <t>.</t>
    </r>
    <r>
      <rPr>
        <rFont val="Arial, sans-serif"/>
        <color rgb="FF1155CC"/>
        <sz val="11.0"/>
        <u/>
      </rPr>
      <t>7 feb 2024</t>
    </r>
  </si>
  <si>
    <t>La nueva iniciativa de Repsol: recoge aceite usado a cambio de descuentos para fabricar combustible renovable</t>
  </si>
  <si>
    <t>los precios de combustible renovable.</t>
  </si>
  <si>
    <t>Repsol's new initiative: collects used oil in exchange for discounts to manufacture renewable fuel</t>
  </si>
  <si>
    <t>renewable fuel prices.</t>
  </si>
  <si>
    <t>used oil collection, Galicia</t>
  </si>
  <si>
    <t>recogida de aceites usados, Galicia</t>
  </si>
  <si>
    <t>Encouraging used oil recycling aligns with Repsol’s circular economy initiatives.</t>
  </si>
  <si>
    <t>aceite usado, combustible renovable</t>
  </si>
  <si>
    <r>
      <rPr>
        <rFont val="Arial, sans-serif"/>
        <color rgb="FF1155CC"/>
        <sz val="9.0"/>
        <u/>
      </rPr>
      <t>Alimarket.es</t>
    </r>
    <r>
      <rPr>
        <rFont val="Arial, sans-serif"/>
        <color rgb="FF1155CC"/>
        <sz val="15.0"/>
        <u/>
      </rPr>
      <t>Supercor Stop&amp;Go abre medio centenar de tiendas en estaciones de servicio de Repsol y supera las 600</t>
    </r>
    <r>
      <rPr>
        <rFont val="Arial, sans-serif"/>
        <color rgb="FF1155CC"/>
        <sz val="11.0"/>
        <u/>
      </rPr>
      <t>La red de tiendas de conveniencia Supercor Stop&amp;Go en estaciones de servicio de Repsol sumó medio centenar de aperturas el pasado año.</t>
    </r>
    <r>
      <rPr>
        <rFont val="Arial, sans-serif"/>
        <color rgb="FF1155CC"/>
        <sz val="12.0"/>
        <u/>
      </rPr>
      <t>.</t>
    </r>
    <r>
      <rPr>
        <rFont val="Arial, sans-serif"/>
        <color rgb="FF1155CC"/>
        <sz val="11.0"/>
        <u/>
      </rPr>
      <t>7 feb 2024</t>
    </r>
  </si>
  <si>
    <t>Alimarket.es</t>
  </si>
  <si>
    <t>Supercor Stop&amp;Go abre medio centenar de tiendas en estaciones de servicio de Repsol y supera las 600</t>
  </si>
  <si>
    <t>La red de tiendas de conveniencia Supercor Stop&amp;Go en estaciones de servicio de Repsol sumó medio centenar de aperturas el pasado año.</t>
  </si>
  <si>
    <t>Supercor Stop&amp;Go opens fifty stores in Repsol service stations and exceeds 600</t>
  </si>
  <si>
    <t>The network of Supercor Stop&amp;Go convenience stores at Repsol service stations added fifty openings last year.</t>
  </si>
  <si>
    <t>Supercor Stop&amp;Go, Repsol expansion</t>
  </si>
  <si>
    <t>Supercor Stop&amp;Go, Expansión de Repsol</t>
  </si>
  <si>
    <t>Expanding convenience store partnerships enhances Repsol’s retail services.</t>
  </si>
  <si>
    <t>Supercor Stop&amp;Go, estaciones de servicio</t>
  </si>
  <si>
    <r>
      <rPr>
        <rFont val="Arial, sans-serif"/>
        <color rgb="FF1155CC"/>
        <sz val="9.0"/>
        <u/>
      </rPr>
      <t>La Razón</t>
    </r>
    <r>
      <rPr>
        <rFont val="Arial, sans-serif"/>
        <color rgb="FF1155CC"/>
        <sz val="15.0"/>
        <u/>
      </rPr>
      <t>Repsol inaugura una fábrica de propileno en Tánger</t>
    </r>
    <r>
      <rPr>
        <rFont val="Arial, sans-serif"/>
        <color rgb="FF1155CC"/>
        <sz val="11.0"/>
        <u/>
      </rPr>
      <t>Ravago y Repsol han anunciado la inauguración de una nueva planta de composites en la zona franca de Tánger Automotive City 2.</t>
    </r>
    <r>
      <rPr>
        <rFont val="Arial, sans-serif"/>
        <color rgb="FF1155CC"/>
        <sz val="12.0"/>
        <u/>
      </rPr>
      <t>.</t>
    </r>
    <r>
      <rPr>
        <rFont val="Arial, sans-serif"/>
        <color rgb="FF1155CC"/>
        <sz val="11.0"/>
        <u/>
      </rPr>
      <t>7 feb 2024</t>
    </r>
  </si>
  <si>
    <t>Repsol inaugura una fábrica de propileno en Tánger</t>
  </si>
  <si>
    <t>Ravago y Repsol han anunciado la inauguración de una nueva planta de composites en la zona franca de Tánger Automotive City.</t>
  </si>
  <si>
    <t>Repsol inaugurates a propylene factory in Tangier</t>
  </si>
  <si>
    <t>Ravago and Repsol have announced the inauguration of a new composites plant in the free zone of Tangier Automotive City.</t>
  </si>
  <si>
    <t>propylene factory, Tangier</t>
  </si>
  <si>
    <t>fábrica de propileno, Tánger</t>
  </si>
  <si>
    <t>Opening a new factory strengthens Repsol’s presence in the petrochemical sector.</t>
  </si>
  <si>
    <r>
      <rPr>
        <rFont val="Arial, sans-serif"/>
        <color rgb="FF1155CC"/>
        <sz val="9.0"/>
        <u/>
      </rPr>
      <t>Atalayar</t>
    </r>
    <r>
      <rPr>
        <rFont val="Arial, sans-serif"/>
        <color rgb="FF1155CC"/>
        <sz val="15.0"/>
        <u/>
      </rPr>
      <t>La española Repsol y la belga Ravago inauguran su nueva fábrica en Tánger</t>
    </r>
    <r>
      <rPr>
        <rFont val="Arial, sans-serif"/>
        <color rgb="FF1155CC"/>
        <sz val="11.0"/>
        <u/>
      </rPr>
      <t>La compañía multienergética española Repsol y la gigante belga de los plásticos Ravago han inaugurado de la nueva fábrica de compounding (formación d.</t>
    </r>
    <r>
      <rPr>
        <rFont val="Arial, sans-serif"/>
        <color rgb="FF1155CC"/>
        <sz val="12.0"/>
        <u/>
      </rPr>
      <t>.</t>
    </r>
    <r>
      <rPr>
        <rFont val="Arial, sans-serif"/>
        <color rgb="FF1155CC"/>
        <sz val="11.0"/>
        <u/>
      </rPr>
      <t>7 feb 2024</t>
    </r>
  </si>
  <si>
    <t>Atalayar</t>
  </si>
  <si>
    <t>La española Repsol y la belga Ravago inauguran su nueva fábrica en Tánger</t>
  </si>
  <si>
    <t>La compañía multienergética española Repsol y la gigante belga de los plásticos Ravago han inaugurado de la nueva fábrica de compounding (formación d..</t>
  </si>
  <si>
    <t>The Spanish Repsol and the Belgian Ravago inaugurate their new factory in Tangier</t>
  </si>
  <si>
    <t>The Spanish multi-energy company Repsol and the Belgian plastics giant Ravago have inaugurated the new compounding factory (training..</t>
  </si>
  <si>
    <t>plastics recycling, Repsol plant</t>
  </si>
  <si>
    <t>“reciclado de plásticos”, “planta Repsol”</t>
  </si>
  <si>
    <t>Investing in recycling plants supports Repsol’s sustainability and circular economy goals.</t>
  </si>
  <si>
    <t>fábrica, Tánger</t>
  </si>
  <si>
    <r>
      <rPr>
        <rFont val="Arial, sans-serif"/>
        <color rgb="FF1155CC"/>
        <sz val="9.0"/>
        <u/>
      </rPr>
      <t>Guía Repsol</t>
    </r>
    <r>
      <rPr>
        <rFont val="Arial, sans-serif"/>
        <color rgb="FF1155CC"/>
        <sz val="15.0"/>
        <u/>
      </rPr>
      <t>Documental El Mantel: el viaje hacia la sostenibilidad de los hermanos Torres</t>
    </r>
    <r>
      <rPr>
        <rFont val="Arial, sans-serif"/>
        <color rgb="FF1155CC"/>
        <sz val="11.0"/>
        <u/>
      </rPr>
      <t>Javier y Sergio Torres se han propuesto ser más sostenibles en los fogones de su 'Cocina Hermanos Torres' (3 Soles Guía Repsol). Para ello, los barceloneses...</t>
    </r>
    <r>
      <rPr>
        <rFont val="Arial, sans-serif"/>
        <color rgb="FF1155CC"/>
        <sz val="12.0"/>
        <u/>
      </rPr>
      <t>.</t>
    </r>
    <r>
      <rPr>
        <rFont val="Arial, sans-serif"/>
        <color rgb="FF1155CC"/>
        <sz val="11.0"/>
        <u/>
      </rPr>
      <t>7 feb 2024</t>
    </r>
  </si>
  <si>
    <t>Documental El Mantel: el viaje hacia la sostenibilidad de los hermanos Torres</t>
  </si>
  <si>
    <t>Javier y Sergio Torres se han propuesto ser más sostenibles en los fogones de su 'Cocina Hermanos Torres' (3 Soles Guía Repsol). Para ello, los barceloneses....</t>
  </si>
  <si>
    <t>Documentary El Mantel: the journey towards sustainability of the Torres brothers</t>
  </si>
  <si>
    <t>Javier and Sergio Torres have proposed to be more sustainable in the kitchen of their 'Kitchen Hermanos Torres' (3 Suns Repsol Guide). For this, the people of Barcelona...</t>
  </si>
  <si>
    <r>
      <rPr>
        <rFont val="Arial, sans-serif"/>
        <color rgb="FF1155CC"/>
        <sz val="9.0"/>
        <u/>
      </rPr>
      <t>El Comercio</t>
    </r>
    <r>
      <rPr>
        <rFont val="Arial, sans-serif"/>
        <color rgb="FF1155CC"/>
        <sz val="15.0"/>
        <u/>
      </rPr>
      <t>Gonvarri suministrará a Repsol 220 MW para tres proyectos fotovoltaicos</t>
    </r>
    <r>
      <rPr>
        <rFont val="Arial, sans-serif"/>
        <color rgb="FF1155CC"/>
        <sz val="11.0"/>
        <u/>
      </rPr>
      <t>Gonvarri Solar Steel, la división de la empresa corverana dedicada a la energía solar y fotovoltaica, acaba de firmar con la multinacional Repsol un acuerdo...</t>
    </r>
    <r>
      <rPr>
        <rFont val="Arial, sans-serif"/>
        <color rgb="FF1155CC"/>
        <sz val="12.0"/>
        <u/>
      </rPr>
      <t>.</t>
    </r>
    <r>
      <rPr>
        <rFont val="Arial, sans-serif"/>
        <color rgb="FF1155CC"/>
        <sz val="11.0"/>
        <u/>
      </rPr>
      <t>7 feb 2024</t>
    </r>
  </si>
  <si>
    <t>Gonvarri suministrará a Repsol 220 MW para tres proyectos fotovoltaicos</t>
  </si>
  <si>
    <t>Gonvarri Solar Steel, la división de la empresa corverana dedicada a la energía solar y fotovoltaica, acaba de firmar con la multinacional Repsol un acuerdo....</t>
  </si>
  <si>
    <t>Gonvarri will supply Repsol with 220 MW for three photovoltaic projects</t>
  </si>
  <si>
    <t>Gonvarri Solar Steel, the division of the Corvera company dedicated to solar and photovoltaic energy, has just signed an agreement with the multinational Repsol....</t>
  </si>
  <si>
    <t>solar projects, Repsol-Gonvarri partnership</t>
  </si>
  <si>
    <t>Proyectos solares, Colaboración Repsol-Gonvarri</t>
  </si>
  <si>
    <t>Expanding solar energy partnerships aligns with Repsol’s transition to renewables.</t>
  </si>
  <si>
    <t>proyectos fotovoltaicos, Gonvarri</t>
  </si>
  <si>
    <r>
      <rPr>
        <rFont val="Arial, sans-serif"/>
        <color rgb="FF1155CC"/>
        <sz val="9.0"/>
        <u/>
      </rPr>
      <t>Diari de Tarragona</t>
    </r>
    <r>
      <rPr>
        <rFont val="Arial, sans-serif"/>
        <color rgb="FF1155CC"/>
        <sz val="15.0"/>
        <u/>
      </rPr>
      <t>La ‘miniciudad’ de grúas y andamios</t>
    </r>
    <r>
      <rPr>
        <rFont val="Arial, sans-serif"/>
        <color rgb="FF1155CC"/>
        <sz val="11.0"/>
        <u/>
      </rPr>
      <t>Es un no parar de día y de noche, si bien cuando oscurece el número de operarios es mucho menor. Son 52 días de parada del área de Química derivada de...</t>
    </r>
    <r>
      <rPr>
        <rFont val="Arial, sans-serif"/>
        <color rgb="FF1155CC"/>
        <sz val="12.0"/>
        <u/>
      </rPr>
      <t>.</t>
    </r>
    <r>
      <rPr>
        <rFont val="Arial, sans-serif"/>
        <color rgb="FF1155CC"/>
        <sz val="11.0"/>
        <u/>
      </rPr>
      <t>7 feb 2024</t>
    </r>
  </si>
  <si>
    <t>La ‘miniciudad’ de grúas y andamios</t>
  </si>
  <si>
    <t>Es un no parar de día y de noche, si bien cuando oscurece el número de operarios es mucho menor. Son 52 días de parada del área de Química derivada de....</t>
  </si>
  <si>
    <t>The 'mini-city' of cranes and scaffolding</t>
  </si>
  <si>
    <t>It is non-stop day and night, although when it gets dark the number of workers is much smaller. There are 52 days of shutdown of the Chemistry area derived from....</t>
  </si>
  <si>
    <t>Construction</t>
  </si>
  <si>
    <r>
      <rPr>
        <rFont val="Arial, sans-serif"/>
        <color rgb="FF1155CC"/>
        <sz val="9.0"/>
        <u/>
      </rPr>
      <t>Box Repsol</t>
    </r>
    <r>
      <rPr>
        <rFont val="Arial, sans-serif"/>
        <color rgb="FF1155CC"/>
        <sz val="15.0"/>
        <u/>
      </rPr>
      <t>Test de Sepang MotoGP 2024: Resultados de la segunda jornada</t>
    </r>
    <r>
      <rPr>
        <rFont val="Arial, sans-serif"/>
        <color rgb="FF1155CC"/>
        <sz val="11.0"/>
        <u/>
      </rPr>
      <t>El segundo día de acción en el Circuito Internacional de Sepang ha visto como Enea Bastianini (Ducati) se ha llevado el mejor registro de récord sobre sus...</t>
    </r>
    <r>
      <rPr>
        <rFont val="Arial, sans-serif"/>
        <color rgb="FF1155CC"/>
        <sz val="12.0"/>
        <u/>
      </rPr>
      <t>.</t>
    </r>
    <r>
      <rPr>
        <rFont val="Arial, sans-serif"/>
        <color rgb="FF1155CC"/>
        <sz val="11.0"/>
        <u/>
      </rPr>
      <t>7 feb 2024</t>
    </r>
  </si>
  <si>
    <t>Test de Sepang MotoGP 2024: Resultados de la segunda jornada</t>
  </si>
  <si>
    <t>El segundo día de acción en el Circuito Internacional de Sepang ha visto como Enea Bastianini (Ducati) se ha llevado el mejor registro de récord sobre sus....</t>
  </si>
  <si>
    <t>Sepang MotoGP 2024 test: Results of the second day</t>
  </si>
  <si>
    <t>The second day of action at the Sepang International Circuit has seen Enea Bastianini (Ducati) take the best record time on his....</t>
  </si>
  <si>
    <r>
      <rPr>
        <rFont val="Arial, sans-serif"/>
        <color rgb="FF1155CC"/>
        <sz val="9.0"/>
        <u/>
      </rPr>
      <t>Huelva Información</t>
    </r>
    <r>
      <rPr>
        <rFont val="Arial, sans-serif"/>
        <color rgb="FF1155CC"/>
        <sz val="15.0"/>
        <u/>
      </rPr>
      <t>El "kiosco" de Isla Cristina con el mejor atún de Huelva que recomienda la Guía Repsol</t>
    </r>
    <r>
      <rPr>
        <rFont val="Arial, sans-serif"/>
        <color rgb="FF1155CC"/>
        <sz val="11.0"/>
        <u/>
      </rPr>
      <t>En este modesto bar se sirven algunas de las mejores tapas no solo de Isla Cristina, sino de Huelva, y la Guía Repsol lo confirma. El atún es el claro...</t>
    </r>
    <r>
      <rPr>
        <rFont val="Arial, sans-serif"/>
        <color rgb="FF1155CC"/>
        <sz val="12.0"/>
        <u/>
      </rPr>
      <t>.</t>
    </r>
    <r>
      <rPr>
        <rFont val="Arial, sans-serif"/>
        <color rgb="FF1155CC"/>
        <sz val="11.0"/>
        <u/>
      </rPr>
      <t>7 feb 2024</t>
    </r>
  </si>
  <si>
    <t>El "kiosco" de Isla Cristina con el mejor atún de Huelva que recomienda la Guía Repsol</t>
  </si>
  <si>
    <t>En este modesto bar se sirven algunas de las mejores tapas no solo de Isla Cristina, sino de Huelva, y la Guía Repsol lo confirma. El atún es el claro....</t>
  </si>
  <si>
    <t>The "kiosk" of Isla Cristina with the best tuna in Huelva recommended by the Repsol Guide</t>
  </si>
  <si>
    <t>This modest bar serves some of the best tapas not only on Isla Cristina, but also in Huelva, and the Repsol Guide confirms this. The tuna is the clear one....</t>
  </si>
  <si>
    <r>
      <rPr>
        <rFont val="Arial, sans-serif"/>
        <color rgb="FF1155CC"/>
        <sz val="9.0"/>
        <u/>
      </rPr>
      <t>Cantabria Económica</t>
    </r>
    <r>
      <rPr>
        <rFont val="Arial, sans-serif"/>
        <color rgb="FF1155CC"/>
        <sz val="15.0"/>
        <u/>
      </rPr>
      <t>Media dice que la ampliación de la central de Aguayo solo está pendiente del apoyo del Ministerio</t>
    </r>
    <r>
      <rPr>
        <rFont val="Arial, sans-serif"/>
        <color rgb="FF1155CC"/>
        <sz val="11.0"/>
        <u/>
      </rPr>
      <t>La ampliación de la central hidroeléctrica de Repsol en San Miguel de Aguayo, con un presupuesto cercano a los 636 millones de euros, solo está pendiente...</t>
    </r>
    <r>
      <rPr>
        <rFont val="Arial, sans-serif"/>
        <color rgb="FF1155CC"/>
        <sz val="12.0"/>
        <u/>
      </rPr>
      <t>.</t>
    </r>
    <r>
      <rPr>
        <rFont val="Arial, sans-serif"/>
        <color rgb="FF1155CC"/>
        <sz val="11.0"/>
        <u/>
      </rPr>
      <t>7 feb 2024</t>
    </r>
  </si>
  <si>
    <t>Cantabria Económica</t>
  </si>
  <si>
    <t>La ampliación de la central de Aguayo solo está pendiente del apoyo del Ministerio</t>
  </si>
  <si>
    <t>La ampliación de la central hidroeléctrica de Repsol en San Miguel de Aguayo, con un presupuesto cercano a los 636 millones de euros, solo está pendiente....</t>
  </si>
  <si>
    <t>The expansion of the Aguayo plant is only pending support from the Ministry</t>
  </si>
  <si>
    <t>The expansion of the Repsol hydroelectric plant in San Miguel de Aguayo, with a budget close to 636 million euros, is only pending...</t>
  </si>
  <si>
    <t>Aguayo plant, hydroelectric expansion</t>
  </si>
  <si>
    <t>Planta Aguayo, ampliación hidroeléctrica</t>
  </si>
  <si>
    <t>Expanding hydroelectric capacity reinforces Repsol’s clean energy initiatives.</t>
  </si>
  <si>
    <r>
      <rPr>
        <rFont val="Arial, sans-serif"/>
        <color rgb="FF1155CC"/>
        <sz val="9.0"/>
        <u/>
      </rPr>
      <t>Guía Repsol</t>
    </r>
    <r>
      <rPr>
        <rFont val="Arial, sans-serif"/>
        <color rgb="FF1155CC"/>
        <sz val="15.0"/>
        <u/>
      </rPr>
      <t>Ahumadero de Madarcos: el salmón ahumado más rico en el pueblo más pequeño</t>
    </r>
    <r>
      <rPr>
        <rFont val="Arial, sans-serif"/>
        <color rgb="FF1155CC"/>
        <sz val="11.0"/>
        <u/>
      </rPr>
      <t>La visita promete. Cuando buscas el pueblo más pequeño de la Comunidad de Madrid, Madarcos, donde está el ahumadero de salmón que conquista a los...</t>
    </r>
    <r>
      <rPr>
        <rFont val="Arial, sans-serif"/>
        <color rgb="FF1155CC"/>
        <sz val="12.0"/>
        <u/>
      </rPr>
      <t>.</t>
    </r>
    <r>
      <rPr>
        <rFont val="Arial, sans-serif"/>
        <color rgb="FF1155CC"/>
        <sz val="11.0"/>
        <u/>
      </rPr>
      <t>7 feb 2024</t>
    </r>
  </si>
  <si>
    <t>Ahumadero de Madarcos: el salmón ahumado más rico en el pueblo más pequeño</t>
  </si>
  <si>
    <t>La visita promete. Cuando buscas el pueblo más pequeño de la Comunidad de Madrid, Madarcos, donde está el ahumadero de salmón que conquista a los....</t>
  </si>
  <si>
    <t>Madarcos Smokehouse: the tastiest smoked salmon in the smallest town</t>
  </si>
  <si>
    <t>The visit promises. When you are looking for the smallest town in the Community of Madrid, Madarcos, where the salmon smokehouse that conquers the... is located.</t>
  </si>
  <si>
    <r>
      <rPr>
        <rFont val="Arial, sans-serif"/>
        <color rgb="FF1155CC"/>
        <sz val="9.0"/>
        <u/>
      </rPr>
      <t>Repsol</t>
    </r>
    <r>
      <rPr>
        <rFont val="Arial, sans-serif"/>
        <color rgb="FF1155CC"/>
        <sz val="15.0"/>
        <u/>
      </rPr>
      <t>(2024) Inauguramos, junto a Ravago, una nueva planta de compuestos para la industria del automóvil en la zona franca de Tánger, Marruecos</t>
    </r>
    <r>
      <rPr>
        <rFont val="Arial, sans-serif"/>
        <color rgb="FF1155CC"/>
        <sz val="11.0"/>
        <u/>
      </rPr>
      <t>La inauguración ha contado con la presencia del Sr. Ryad Mezzour, Ministro de Industria y Comercio del Reino Real de Marruecos y el Sr. Ahmed Bennis,...</t>
    </r>
    <r>
      <rPr>
        <rFont val="Arial, sans-serif"/>
        <color rgb="FF1155CC"/>
        <sz val="12.0"/>
        <u/>
      </rPr>
      <t>.</t>
    </r>
    <r>
      <rPr>
        <rFont val="Arial, sans-serif"/>
        <color rgb="FF1155CC"/>
        <sz val="11.0"/>
        <u/>
      </rPr>
      <t>8 feb 2024</t>
    </r>
  </si>
  <si>
    <t>Inauguramos, junto a Ravago, una nueva planta de compuestos para la industria del automóvil en la zona franca de Tánger, Marruecos</t>
  </si>
  <si>
    <t>La inauguración ha contado con la presencia del Sr. Ryad Mezzour, Ministro de Industria y Comercio del Reino Real de Marruecos y el Sr. Ahmed Bennis,....</t>
  </si>
  <si>
    <t>We inaugurated, together with Ravago, a new compounds plant for the automotive industry in the free zone of Tangier, Morocco</t>
  </si>
  <si>
    <t>The inauguration was attended by Mr. Ryad Mezzour, Minister of Industry and Commerce of the Royal Kingdom of Morocco and Mr. Ahmed Bennis,....</t>
  </si>
  <si>
    <t>circular economy, Ravago collaboration</t>
  </si>
  <si>
    <t>economía circular, colaboración Ravago</t>
  </si>
  <si>
    <t>Strengthening partnerships in circular economy initiatives supports Repsol’s sustainability strategy.</t>
  </si>
  <si>
    <r>
      <rPr>
        <rFont val="Arial, sans-serif"/>
        <color rgb="FF1155CC"/>
        <sz val="9.0"/>
        <u/>
      </rPr>
      <t>La Razón</t>
    </r>
    <r>
      <rPr>
        <rFont val="Arial, sans-serif"/>
        <color rgb="FF1155CC"/>
        <sz val="15.0"/>
        <u/>
      </rPr>
      <t>Repsol Tech Lab: los fogones donde se cocinan los biocarburantes del futuro</t>
    </r>
    <r>
      <rPr>
        <rFont val="Arial, sans-serif"/>
        <color rgb="FF1155CC"/>
        <sz val="11.0"/>
        <u/>
      </rPr>
      <t>El Repsol Tech Lab es un recinto de techos altos, suelos pulidos y laboratorios impolutos. En poco se asemeja a los fogones de la cocina de un restaurante...</t>
    </r>
    <r>
      <rPr>
        <rFont val="Arial, sans-serif"/>
        <color rgb="FF1155CC"/>
        <sz val="12.0"/>
        <u/>
      </rPr>
      <t>.</t>
    </r>
    <r>
      <rPr>
        <rFont val="Arial, sans-serif"/>
        <color rgb="FF1155CC"/>
        <sz val="11.0"/>
        <u/>
      </rPr>
      <t>8 feb 2024</t>
    </r>
  </si>
  <si>
    <t>Repsol Tech Lab: los fogones donde se cocinan los biocarburantes del futuro</t>
  </si>
  <si>
    <t>El Repsol Tech Lab es un recinto de techos altos, suelos pulidos y laboratorios impolutos. En poco se asemeja a los fogones de la cocina de un restaurante.</t>
  </si>
  <si>
    <t>Repsol Tech Lab: the stoves where the biofuels of the future are cooked</t>
  </si>
  <si>
    <t>The Repsol Tech Lab is a facility with high ceilings, polished floors and pristine laboratories. It bears little resemblance to the kitchen stove of a restaurant.</t>
  </si>
  <si>
    <t>Repsol Tech Lab, biofuels research</t>
  </si>
  <si>
    <t>Repsol Tech Lab, investigación en biocombustibles</t>
  </si>
  <si>
    <t>Investing in biofuels research enhances Repsol’s leadership in alternative energy.</t>
  </si>
  <si>
    <t>Repsol Tech Lab, biocarburantes</t>
  </si>
  <si>
    <t>Positive sentiment due to innovation in renewable fuels.</t>
  </si>
  <si>
    <t>Sentimiento positivo por la innovación en combustibles renovables.</t>
  </si>
  <si>
    <r>
      <rPr>
        <rFont val="Arial, sans-serif"/>
        <color rgb="FF1155CC"/>
        <sz val="9.0"/>
        <u/>
      </rPr>
      <t>Guía Repsol</t>
    </r>
    <r>
      <rPr>
        <rFont val="Arial, sans-serif"/>
        <color rgb="FF1155CC"/>
        <sz val="15.0"/>
        <u/>
      </rPr>
      <t>Valladolid, escenario de cine y series</t>
    </r>
    <r>
      <rPr>
        <rFont val="Arial, sans-serif"/>
        <color rgb="FF1155CC"/>
        <sz val="11.0"/>
        <u/>
      </rPr>
      <t>La celebración de los Goya 2024 en Valladolid convierte a Pucela en la capital del cine español, un evento cinéfilo que asienta su crecimiento como...</t>
    </r>
    <r>
      <rPr>
        <rFont val="Arial, sans-serif"/>
        <color rgb="FF1155CC"/>
        <sz val="12.0"/>
        <u/>
      </rPr>
      <t>.</t>
    </r>
    <r>
      <rPr>
        <rFont val="Arial, sans-serif"/>
        <color rgb="FF1155CC"/>
        <sz val="11.0"/>
        <u/>
      </rPr>
      <t>8 feb 2024</t>
    </r>
  </si>
  <si>
    <t>Valladolid, escenario de cine y series</t>
  </si>
  <si>
    <t>La celebración de los Goya 2024 en Valladolid convierte a Pucela en la capital del cine español, un evento cinéfilo que asienta su crecimiento como....</t>
  </si>
  <si>
    <t>Valladolid, setting for movies and series</t>
  </si>
  <si>
    <t>The celebration of the Goya 2024 in Valladolid turns Pucela into the capital of Spanish cinema, a film-loving event that establishes its growth as...</t>
  </si>
  <si>
    <r>
      <rPr>
        <rFont val="Arial, sans-serif"/>
        <color rgb="FF1155CC"/>
        <sz val="9.0"/>
        <u/>
      </rPr>
      <t>Box Repsol</t>
    </r>
    <r>
      <rPr>
        <rFont val="Arial, sans-serif"/>
        <color rgb="FF1155CC"/>
        <sz val="15.0"/>
        <u/>
      </rPr>
      <t>Test de Sepang MotoGP 2024: Resultados de la tercera jornada</t>
    </r>
    <r>
      <rPr>
        <rFont val="Arial, sans-serif"/>
        <color rgb="FF1155CC"/>
        <sz val="11.0"/>
        <u/>
      </rPr>
      <t>El Test de Sepang llega a su fin con unos tiempos de récord para los pilotos de la categoría reina. Pecco Bagnaia, vigente campeón del mundo de MotoGP,...</t>
    </r>
    <r>
      <rPr>
        <rFont val="Arial, sans-serif"/>
        <color rgb="FF1155CC"/>
        <sz val="12.0"/>
        <u/>
      </rPr>
      <t>.</t>
    </r>
    <r>
      <rPr>
        <rFont val="Arial, sans-serif"/>
        <color rgb="FF1155CC"/>
        <sz val="11.0"/>
        <u/>
      </rPr>
      <t>8 feb 2024</t>
    </r>
  </si>
  <si>
    <t>Test de Sepang MotoGP 2024: Resultados de la tercera jornada</t>
  </si>
  <si>
    <t>El Test de Sepang llega a su fin con unos tiempos de récord para los pilotos de la categoría reina. Pecco Bagnaia, vigente campeón del mundo de MotoGP,....</t>
  </si>
  <si>
    <t>Sepang MotoGP 2024 test: Results of the third day</t>
  </si>
  <si>
    <t>The Sepang Test comes to an end with record times for the premier class drivers. Pecco Bagnaia, current MotoGP world champion,....</t>
  </si>
  <si>
    <r>
      <rPr>
        <rFont val="Arial, sans-serif"/>
        <color rgb="FF1155CC"/>
        <sz val="9.0"/>
        <u/>
      </rPr>
      <t>DAZN</t>
    </r>
    <r>
      <rPr>
        <rFont val="Arial, sans-serif"/>
        <color rgb="FF1155CC"/>
        <sz val="15.0"/>
        <u/>
      </rPr>
      <t>Joan Mir destaca el aporte de los ex Ducati a Honda y manda un mensaje a los japoneses: "Con esta moto el año pasado hubiera disfrutado un poco más"</t>
    </r>
    <r>
      <rPr>
        <rFont val="Arial, sans-serif"/>
        <color rgb="FF1155CC"/>
        <sz val="11.0"/>
        <u/>
      </rPr>
      <t>El piloto del equipo Repsol Honda reconoce que se siente más cómodo en la moto en comparación con el año pasado y elogia el trabajo realizado por Marini y...</t>
    </r>
    <r>
      <rPr>
        <rFont val="Arial, sans-serif"/>
        <color rgb="FF1155CC"/>
        <sz val="12.0"/>
        <u/>
      </rPr>
      <t>.</t>
    </r>
    <r>
      <rPr>
        <rFont val="Arial, sans-serif"/>
        <color rgb="FF1155CC"/>
        <sz val="11.0"/>
        <u/>
      </rPr>
      <t>8 feb 2024</t>
    </r>
  </si>
  <si>
    <t>Joan Mir destaca el aporte de los ex Ducati a Honda y manda un mensaje a los japoneses: "Con esta moto el año pasado hubiera disfrutado un poco más"</t>
  </si>
  <si>
    <t>El piloto del equipo Repsol Honda reconoce que se siente más cómodo en la moto en comparación con el año pasado y elogia el trabajo realizado por Marini y....</t>
  </si>
  <si>
    <t>Joan Mir highlights the contribution of the former Ducati to Honda and sends a message to the Japanese: "I would have enjoyed this bike a little more last year"</t>
  </si>
  <si>
    <t>The Repsol Honda team rider acknowledges that he feels more comfortable on the bike compared to last year and praises the work done by Marini and...</t>
  </si>
  <si>
    <r>
      <rPr>
        <rFont val="Arial, sans-serif"/>
        <color rgb="FF1155CC"/>
        <sz val="9.0"/>
        <u/>
      </rPr>
      <t>Menorca - Es diari</t>
    </r>
    <r>
      <rPr>
        <rFont val="Arial, sans-serif"/>
        <color rgb="FF1155CC"/>
        <sz val="15.0"/>
        <u/>
      </rPr>
      <t>Joan Mir: "Honda tiene que estar orgullosa del test"</t>
    </r>
    <r>
      <rPr>
        <rFont val="Arial, sans-serif"/>
        <color rgb="FF1155CC"/>
        <sz val="11.0"/>
        <u/>
      </rPr>
      <t>Luca Marini: "La dirección es la correcta y nos hace falta más tiempo". El piloto español de MotoGP Joan Mir (Repsol Honda) aseguró que han progresado mucho...</t>
    </r>
    <r>
      <rPr>
        <rFont val="Arial, sans-serif"/>
        <color rgb="FF1155CC"/>
        <sz val="12.0"/>
        <u/>
      </rPr>
      <t>.</t>
    </r>
    <r>
      <rPr>
        <rFont val="Arial, sans-serif"/>
        <color rgb="FF1155CC"/>
        <sz val="11.0"/>
        <u/>
      </rPr>
      <t>8 feb 2024</t>
    </r>
  </si>
  <si>
    <t>Joan Mir: "Honda tiene que estar orgullosa del test"</t>
  </si>
  <si>
    <t>"La dirección es la correcta y nos hace falta más tiempo". El piloto español de MotoGP Joan Mir (Repsol Honda) aseguró que han progresado mucho....</t>
  </si>
  <si>
    <t>Joan Mir: "Honda has to be proud of the test"</t>
  </si>
  <si>
    <t>"The direction is correct and we need more time." The Spanish MotoGP rider Joan Mir (Repsol Honda) assured that they have made a lot of progress....</t>
  </si>
  <si>
    <r>
      <rPr>
        <rFont val="Arial, sans-serif"/>
        <color rgb="FF1155CC"/>
        <sz val="9.0"/>
        <u/>
      </rPr>
      <t>El Español</t>
    </r>
    <r>
      <rPr>
        <rFont val="Arial, sans-serif"/>
        <color rgb="FF1155CC"/>
        <sz val="15.0"/>
        <u/>
      </rPr>
      <t>Los mejores restaurantes de Valladolid calidad-precio para disfrutar de los Goya</t>
    </r>
    <r>
      <rPr>
        <rFont val="Arial, sans-serif"/>
        <color rgb="FF1155CC"/>
        <sz val="11.0"/>
        <u/>
      </rPr>
      <t>Dos espacios gastronómicos en la ciudad recomendados por la Guía Michelin y la Guía Repsol para comer bien y barato.</t>
    </r>
    <r>
      <rPr>
        <rFont val="Arial, sans-serif"/>
        <color rgb="FF1155CC"/>
        <sz val="12.0"/>
        <u/>
      </rPr>
      <t>.</t>
    </r>
    <r>
      <rPr>
        <rFont val="Arial, sans-serif"/>
        <color rgb="FF1155CC"/>
        <sz val="11.0"/>
        <u/>
      </rPr>
      <t>8 feb 2024</t>
    </r>
  </si>
  <si>
    <t>Los mejores restaurantes de Valladolid calidad-precio para disfrutar de los Goya</t>
  </si>
  <si>
    <t>Dos espacios gastronómicos en la ciudad recomendados por la Guía Michelin y la Guía Repsol para comer bien y barato.</t>
  </si>
  <si>
    <t>The best quality-price restaurants in Valladolid to enjoy the Goya</t>
  </si>
  <si>
    <t>Two gastronomic spaces in the city recommended by the Michelin Guide and the Repsol Guide to eat well and cheaply.</t>
  </si>
  <si>
    <r>
      <rPr>
        <rFont val="Arial, sans-serif"/>
        <color rgb="FF1155CC"/>
        <sz val="9.0"/>
        <u/>
      </rPr>
      <t xml:space="preserve">El Generacional </t>
    </r>
    <r>
      <rPr>
        <rFont val="Arial, sans-serif"/>
        <color rgb="FF1155CC"/>
        <sz val="15.0"/>
        <u/>
      </rPr>
      <t>Este es el horario del jueves 8 febrero en la Academia de ‘OT 2023’</t>
    </r>
    <r>
      <rPr>
        <rFont val="Arial, sans-serif"/>
        <color rgb="FF1155CC"/>
        <sz val="11.0"/>
        <u/>
      </rPr>
      <t>Hoy los concursantes tendrán su penúltimo primer pase de micros, en el que por primera vez ni Paul, ni Juanjo, ni Naiara se juegan el pase a la final ya que...</t>
    </r>
    <r>
      <rPr>
        <rFont val="Arial, sans-serif"/>
        <color rgb="FF1155CC"/>
        <sz val="12.0"/>
        <u/>
      </rPr>
      <t>.</t>
    </r>
    <r>
      <rPr>
        <rFont val="Arial, sans-serif"/>
        <color rgb="FF1155CC"/>
        <sz val="11.0"/>
        <u/>
      </rPr>
      <t>8 feb 2024</t>
    </r>
  </si>
  <si>
    <t>El Generacional</t>
  </si>
  <si>
    <t>Este es el horario del jueves 8 febrero en la Academia de ‘OT 2023’</t>
  </si>
  <si>
    <t>Hoy los concursantes tendrán su penúltimo primer pase de micros, en el que por primera vez ni Paul, ni Juanjo, ni Naiara se juegan el pase a la final ya que....</t>
  </si>
  <si>
    <t>This is the schedule for Thursday, February 8 at the 'OT 2023' Academy</t>
  </si>
  <si>
    <t>Today the contestants will have their penultimate first bus pass, in which for the first time neither Paul, nor Juanjo, nor Naiara are risking their place in the final since....</t>
  </si>
  <si>
    <r>
      <rPr>
        <rFont val="Arial, sans-serif"/>
        <color rgb="FF1155CC"/>
        <sz val="9.0"/>
        <u/>
      </rPr>
      <t>El Debate</t>
    </r>
    <r>
      <rPr>
        <rFont val="Arial, sans-serif"/>
        <color rgb="FF1155CC"/>
        <sz val="15.0"/>
        <u/>
      </rPr>
      <t>¿Qué pasará con los coches gasolina y diésel más allá de 2035?</t>
    </r>
    <r>
      <rPr>
        <rFont val="Arial, sans-serif"/>
        <color rgb="FF1155CC"/>
        <sz val="11.0"/>
        <u/>
      </rPr>
      <t>Damos respuesta a la pregunta que más se hacen los usuarios y compradores de coches de combustión, hay novedades que abren un horizonte mucho más p...</t>
    </r>
    <r>
      <rPr>
        <rFont val="Arial, sans-serif"/>
        <color rgb="FF1155CC"/>
        <sz val="12.0"/>
        <u/>
      </rPr>
      <t>.</t>
    </r>
    <r>
      <rPr>
        <rFont val="Arial, sans-serif"/>
        <color rgb="FF1155CC"/>
        <sz val="11.0"/>
        <u/>
      </rPr>
      <t>8 feb 2024</t>
    </r>
  </si>
  <si>
    <t>¿Qué pasará con los coches gasolina y diésel más allá de 2035?</t>
  </si>
  <si>
    <t>Damos respuesta a la pregunta que más se hacen los usuarios y compradores de coches de combustión, hay novedades que abren un horizonte mucho más p....</t>
  </si>
  <si>
    <t>What will happen to gasoline and diesel cars beyond 2035?</t>
  </si>
  <si>
    <t>We answer the question that users and buyers of combustion cars ask the most, there are new developments that open a much broader horizon....</t>
  </si>
  <si>
    <r>
      <rPr>
        <rFont val="Arial, sans-serif"/>
        <color rgb="FF1155CC"/>
        <sz val="9.0"/>
        <u/>
      </rPr>
      <t>El Periódico de España</t>
    </r>
    <r>
      <rPr>
        <rFont val="Arial, sans-serif"/>
        <color rgb="FF1155CC"/>
        <sz val="15.0"/>
        <u/>
      </rPr>
      <t>Niccolò Ammaniti, en defensa del pudor</t>
    </r>
    <r>
      <rPr>
        <rFont val="Arial, sans-serif"/>
        <color rgb="FF1155CC"/>
        <sz val="11.0"/>
        <u/>
      </rPr>
      <t>El escritor italiano regresa a las librerías españolas con 'La vida íntima', ficción realista como ninguna antes, sátira de la sociología política y...</t>
    </r>
    <r>
      <rPr>
        <rFont val="Arial, sans-serif"/>
        <color rgb="FF1155CC"/>
        <sz val="12.0"/>
        <u/>
      </rPr>
      <t>.</t>
    </r>
    <r>
      <rPr>
        <rFont val="Arial, sans-serif"/>
        <color rgb="FF1155CC"/>
        <sz val="11.0"/>
        <u/>
      </rPr>
      <t>8 feb 2024</t>
    </r>
  </si>
  <si>
    <t>Niccolò Ammaniti, en defensa del pudor</t>
  </si>
  <si>
    <t>El escritor italiano regresa a las librerías españolas con 'La vida íntima', ficción realista como ninguna antes, sátira de la sociología política y....</t>
  </si>
  <si>
    <t>Niccolò Ammaniti, in defense of modesty</t>
  </si>
  <si>
    <t>The Italian writer returns to Spanish bookstores with 'The Intimate Life', realistic fiction like none before, satire of political sociology and....</t>
  </si>
  <si>
    <r>
      <rPr>
        <rFont val="Arial, sans-serif"/>
        <color rgb="FF1155CC"/>
        <sz val="9.0"/>
        <u/>
      </rPr>
      <t>Festival de Málaga</t>
    </r>
    <r>
      <rPr>
        <rFont val="Arial, sans-serif"/>
        <color rgb="FF1155CC"/>
        <sz val="15.0"/>
        <u/>
      </rPr>
      <t>Repsol será patrocinador oficial de la 27ª edición del Festival de Málaga como partner multienergía del certamen</t>
    </r>
    <r>
      <rPr>
        <rFont val="Arial, sans-serif"/>
        <color rgb="FF1155CC"/>
        <sz val="11.0"/>
        <u/>
      </rPr>
      <t>El Festival de Málaga y Repsol han firmado un acuerdo que convierte a esta compañía energética en patrocinador oficial del certamen para la 27ª edición (1...</t>
    </r>
    <r>
      <rPr>
        <rFont val="Arial, sans-serif"/>
        <color rgb="FF1155CC"/>
        <sz val="12.0"/>
        <u/>
      </rPr>
      <t>.</t>
    </r>
    <r>
      <rPr>
        <rFont val="Arial, sans-serif"/>
        <color rgb="FF1155CC"/>
        <sz val="11.0"/>
        <u/>
      </rPr>
      <t>9 feb 2024</t>
    </r>
  </si>
  <si>
    <t>Festival de Málaga</t>
  </si>
  <si>
    <t>Repsol será patrocinador oficial de la 27ª edición del Festival de Málaga como partner multienergía del certamen</t>
  </si>
  <si>
    <t>Repsol será patrocinador oficial de la 27ª edición del Festival de Málaga como partner multienergía del certamen.</t>
  </si>
  <si>
    <t>Repsol will be the official sponsor of the 27th edition of the Malaga Festival as a multi-energy partner of the event</t>
  </si>
  <si>
    <t>Repsol will be the official sponsor of the 27th edition of the Malaga Festival as a multi-energy partner of the event.</t>
  </si>
  <si>
    <t>sponsorship, Málaga Festival</t>
  </si>
  <si>
    <t>patrocinio, Festival de Málaga</t>
  </si>
  <si>
    <t>Sponsoring cultural events enhances Repsol’s brand visibility.</t>
  </si>
  <si>
    <t>Festival de Málaga, patrocinio</t>
  </si>
  <si>
    <t>Positive sentiment due to sponsorship and branding.</t>
  </si>
  <si>
    <t>Sentimiento positivo debido al patrocinio y la marca.</t>
  </si>
  <si>
    <r>
      <rPr>
        <rFont val="Arial, sans-serif"/>
        <color rgb="FF1155CC"/>
        <sz val="9.0"/>
        <u/>
      </rPr>
      <t>Cinco Días</t>
    </r>
    <r>
      <rPr>
        <rFont val="Arial, sans-serif"/>
        <color rgb="FF1155CC"/>
        <sz val="15.0"/>
        <u/>
      </rPr>
      <t>Repsol compra una participación mayoritaria en la app lusa Miio y gana peso en la carga de coches eléctricos</t>
    </r>
    <r>
      <rPr>
        <rFont val="Arial, sans-serif"/>
        <color rgb="FF1155CC"/>
        <sz val="11.0"/>
        <u/>
      </rPr>
      <t>Se suma a Waylet, también de Repsol. La compañía portuguesa de servicios de recarga cuenta con 280.000 usuarios registrados en Portugal, Francia y España.</t>
    </r>
    <r>
      <rPr>
        <rFont val="Arial, sans-serif"/>
        <color rgb="FF1155CC"/>
        <sz val="12.0"/>
        <u/>
      </rPr>
      <t>.</t>
    </r>
    <r>
      <rPr>
        <rFont val="Arial, sans-serif"/>
        <color rgb="FF1155CC"/>
        <sz val="11.0"/>
        <u/>
      </rPr>
      <t>9 feb 2024</t>
    </r>
  </si>
  <si>
    <t>Repsol compra una participación mayoritaria en la app lusa Miio y gana peso en la carga de coches eléctricos</t>
  </si>
  <si>
    <t>Se suma a Waylet, también de Repsol. La compañía portuguesa de servicios de recarga cuenta con 280.000 usuarios registrados en Portugal, Francia y España.</t>
  </si>
  <si>
    <t>Repsol buys a majority stake in the Portuguese app Miio and gains weight in charging electric cars</t>
  </si>
  <si>
    <t>He joins Waylet, also from Repsol. The Portuguese charging services company has 280,000 registered users in Portugal, France and Spain.</t>
  </si>
  <si>
    <t>Portuguese acquisition, miio deal</t>
  </si>
  <si>
    <t>Adquisición portuguesa, acuerdo miio</t>
  </si>
  <si>
    <t>Expanding into Portugal reinforces Repsol’s footprint in the electromobility sector.</t>
  </si>
  <si>
    <t>Miio, carga de coches eléctricos</t>
  </si>
  <si>
    <r>
      <rPr>
        <rFont val="Arial, sans-serif"/>
        <color rgb="FF1155CC"/>
        <sz val="9.0"/>
        <u/>
      </rPr>
      <t>El Economista</t>
    </r>
    <r>
      <rPr>
        <rFont val="Arial, sans-serif"/>
        <color rgb="FF1155CC"/>
        <sz val="15.0"/>
        <u/>
      </rPr>
      <t>Repsol compra la portuguesa Miio para reforzarse en la recarga de vehículos eléctricos</t>
    </r>
    <r>
      <rPr>
        <rFont val="Arial, sans-serif"/>
        <color rgb="FF1155CC"/>
        <sz val="11.0"/>
        <u/>
      </rPr>
      <t>Repsol ha comprado una participación mayoritaria en miio, una empresa portuguesa dedica a la gestión de recargas de vehículos eléctricos ...</t>
    </r>
    <r>
      <rPr>
        <rFont val="Arial, sans-serif"/>
        <color rgb="FF1155CC"/>
        <sz val="12.0"/>
        <u/>
      </rPr>
      <t>.</t>
    </r>
    <r>
      <rPr>
        <rFont val="Arial, sans-serif"/>
        <color rgb="FF1155CC"/>
        <sz val="11.0"/>
        <u/>
      </rPr>
      <t>9 feb 2024</t>
    </r>
  </si>
  <si>
    <t>Repsol compra la portuguesa Miio para reforzarse en la recarga de vehículos eléctricos</t>
  </si>
  <si>
    <t>Repsol ha comprado una participación mayoritaria en miio, una empresa portuguesa dedica a la gestión de recargas de vehículos eléctricos ....</t>
  </si>
  <si>
    <t>Repsol buys the Portuguese company Miio to strengthen itself in the charging of electric vehicles</t>
  </si>
  <si>
    <t>Repsol has purchased a majority stake in miio, a Portuguese company dedicated to the management of electric vehicle recharging....</t>
  </si>
  <si>
    <t>electric mobility, miio acquisition</t>
  </si>
  <si>
    <t>movilidad eléctrica, adquisición de miio</t>
  </si>
  <si>
    <t>Investing in electric mobility strengthens Repsol’s transition towards sustainable energy.</t>
  </si>
  <si>
    <t>Miio, recarga de vehículos eléctricos</t>
  </si>
  <si>
    <r>
      <rPr>
        <rFont val="Arial, sans-serif"/>
        <color rgb="FF1155CC"/>
        <sz val="9.0"/>
        <u/>
      </rPr>
      <t>El Confidencial</t>
    </r>
    <r>
      <rPr>
        <rFont val="Arial, sans-serif"/>
        <color rgb="FF1155CC"/>
        <sz val="15.0"/>
        <u/>
      </rPr>
      <t>Repsol se hace con una participación mayoritaria de la empresa portuguesa Miio</t>
    </r>
    <r>
      <rPr>
        <rFont val="Arial, sans-serif"/>
        <color rgb="FF1155CC"/>
        <sz val="11.0"/>
        <u/>
      </rPr>
      <t>Para reforzar su apuesta por la electromovilidad en la península Ibérica, Repsol ha comprado una participación mayoritaria de Miio, empresa fundada en 2019...</t>
    </r>
    <r>
      <rPr>
        <rFont val="Arial, sans-serif"/>
        <color rgb="FF1155CC"/>
        <sz val="12.0"/>
        <u/>
      </rPr>
      <t>.</t>
    </r>
    <r>
      <rPr>
        <rFont val="Arial, sans-serif"/>
        <color rgb="FF1155CC"/>
        <sz val="11.0"/>
        <u/>
      </rPr>
      <t>9 feb 2024</t>
    </r>
  </si>
  <si>
    <t>Repsol se hace con una participación mayoritaria de la empresa portuguesa Miio</t>
  </si>
  <si>
    <t>Para reforzar su apuesta por la electromovilidad en la península Ibérica, Repsol ha comprado una participación mayoritaria de Miio, empresa fundada en 2019.</t>
  </si>
  <si>
    <t>Repsol acquires a majority stake in the Portuguese company Miio</t>
  </si>
  <si>
    <t>To reinforce its commitment to electromobility in the Iberian Peninsula, Repsol has purchased a majority stake in Miio, a company founded in 2019.</t>
  </si>
  <si>
    <t>electromobility, miio acquisition</t>
  </si>
  <si>
    <t>electromovilidad, adquisición de miio</t>
  </si>
  <si>
    <t>Strengthening its electromobility presence aligns with Repsol’s green energy strategy.</t>
  </si>
  <si>
    <t>Miio, electromovilidad</t>
  </si>
  <si>
    <r>
      <rPr>
        <rFont val="Arial, sans-serif"/>
        <color rgb="FF1155CC"/>
        <sz val="9.0"/>
        <u/>
      </rPr>
      <t>Europa Press</t>
    </r>
    <r>
      <rPr>
        <rFont val="Arial, sans-serif"/>
        <color rgb="FF1155CC"/>
        <sz val="15.0"/>
        <u/>
      </rPr>
      <t>Repsol se alía con los Goya y el Festival de Málaga para impulsar su sotenibilidad con sus combustibles 'verdes'</t>
    </r>
    <r>
      <rPr>
        <rFont val="Arial, sans-serif"/>
        <color rgb="FF1155CC"/>
        <sz val="11.0"/>
        <u/>
      </rPr>
      <t>Repsol se ha aliado con la gala de los Goya, cuya 38 edición se celebra este sábado en Valladolid, y con el...</t>
    </r>
    <r>
      <rPr>
        <rFont val="Arial, sans-serif"/>
        <color rgb="FF1155CC"/>
        <sz val="12.0"/>
        <u/>
      </rPr>
      <t>.</t>
    </r>
    <r>
      <rPr>
        <rFont val="Arial, sans-serif"/>
        <color rgb="FF1155CC"/>
        <sz val="11.0"/>
        <u/>
      </rPr>
      <t>9 feb 2024</t>
    </r>
  </si>
  <si>
    <t>Repsol se alía con los Goya y el Festival de Málaga para impulsar su sostenibilidad con sus combustibles 'verdes'</t>
  </si>
  <si>
    <t>Repsol se ha aliado con la gala de los Goya, cuya 38 edición se celebra este sábado en Valladolid, y con el....</t>
  </si>
  <si>
    <t>Repsol joins forces with the Goya and the Malaga Festival to promote its sustainability with its 'green' fuels</t>
  </si>
  <si>
    <t>Repsol has partnered with the Goya gala, whose 38th edition will be held this Saturday in Valladolid, and with the...</t>
  </si>
  <si>
    <t>sponsorship, film festivals</t>
  </si>
  <si>
    <t>patrocinio, festivales de cine</t>
  </si>
  <si>
    <t>Supporting cultural events increases Repsol’s brand presence.</t>
  </si>
  <si>
    <t>Goya, Festival de Málaga</t>
  </si>
  <si>
    <t>Positive sentiment due to sponsorship and sustainability efforts.</t>
  </si>
  <si>
    <t>Sentimiento positivo debido al patrocinio y los esfuerzos de sostenibilidad.</t>
  </si>
  <si>
    <r>
      <rPr>
        <rFont val="Arial, sans-serif"/>
        <color rgb="FF1155CC"/>
        <sz val="9.0"/>
        <u/>
      </rPr>
      <t>Movilidad Eléctrica</t>
    </r>
    <r>
      <rPr>
        <rFont val="Arial, sans-serif"/>
        <color rgb="FF1155CC"/>
        <sz val="15.0"/>
        <u/>
      </rPr>
      <t>Repsol se hace con una participación mayoritaria de la portuguesa miio</t>
    </r>
    <r>
      <rPr>
        <rFont val="Arial, sans-serif"/>
        <color rgb="FF1155CC"/>
        <sz val="11.0"/>
        <u/>
      </rPr>
      <t>Repsol ha anunciado la adquisición de una participación mayoritaria en miio, una empresa portuguesa de soluciones de recarga.</t>
    </r>
    <r>
      <rPr>
        <rFont val="Arial, sans-serif"/>
        <color rgb="FF1155CC"/>
        <sz val="12.0"/>
        <u/>
      </rPr>
      <t>.</t>
    </r>
    <r>
      <rPr>
        <rFont val="Arial, sans-serif"/>
        <color rgb="FF1155CC"/>
        <sz val="11.0"/>
        <u/>
      </rPr>
      <t>9 feb 2024</t>
    </r>
  </si>
  <si>
    <t>Repsol se hace con una participación mayoritaria de la portuguesa miio</t>
  </si>
  <si>
    <t>Repsol ha anunciado la adquisición de una participación mayoritaria en miio, una empresa portuguesa de soluciones de recarga.</t>
  </si>
  <si>
    <t>Repsol takes over a majority stake in the Portuguese company miio</t>
  </si>
  <si>
    <t>Repsol has announced the acquisition of a majority stake in miio, a Portuguese charging solutions company.</t>
  </si>
  <si>
    <t>miio acquisition, Portugal expansion</t>
  </si>
  <si>
    <t>adquisición de miio, expansión de Portugal</t>
  </si>
  <si>
    <t>Investing in electric mobility enhances Repsol’s position in the sustainable energy sector.</t>
  </si>
  <si>
    <t>miio, recarga</t>
  </si>
  <si>
    <r>
      <rPr>
        <rFont val="Arial, sans-serif"/>
        <color rgb="FF1155CC"/>
        <sz val="9.0"/>
        <u/>
      </rPr>
      <t>La Tribuna de Ciudad Real</t>
    </r>
    <r>
      <rPr>
        <rFont val="Arial, sans-serif"/>
        <color rgb="FF1155CC"/>
        <sz val="15.0"/>
        <u/>
      </rPr>
      <t>Puertollano: Repsol impulsa las vocaciones tecnológicas entre las niñas</t>
    </r>
    <r>
      <rPr>
        <rFont val="Arial, sans-serif"/>
        <color rgb="FF1155CC"/>
        <sz val="11.0"/>
        <u/>
      </rPr>
      <t>En el Complejo Industrial de Repsol en Puertollano, seis profesionales de diferentes perfiles técnicos asesoran e impulsan el trabajo y la audacia de trece...</t>
    </r>
    <r>
      <rPr>
        <rFont val="Arial, sans-serif"/>
        <color rgb="FF1155CC"/>
        <sz val="12.0"/>
        <u/>
      </rPr>
      <t>.</t>
    </r>
    <r>
      <rPr>
        <rFont val="Arial, sans-serif"/>
        <color rgb="FF1155CC"/>
        <sz val="11.0"/>
        <u/>
      </rPr>
      <t>9 feb 2024</t>
    </r>
  </si>
  <si>
    <t>Repsol impulsa las vocaciones tecnológicas entre las niñas</t>
  </si>
  <si>
    <t>Seis profesionales de diferentes perfiles técnicos asesoran e impulsan el trabajo y la audacia de trece niñas en el Complejo Industrial de Repsol en Puertollano.</t>
  </si>
  <si>
    <t>Repsol promotes technological vocations among girls</t>
  </si>
  <si>
    <t>Six professionals with different technical profiles advise and promote the work and audacity of thirteen girls at the Repsol Industrial Complex in Puertollano.</t>
  </si>
  <si>
    <t>Education</t>
  </si>
  <si>
    <t>Educational initiatives do not impact Repsol’s business.</t>
  </si>
  <si>
    <t>vocaciones tecnológicas, niñas</t>
  </si>
  <si>
    <t>Positive sentiment due to educational and gender equality initiatives.</t>
  </si>
  <si>
    <t>Sentimiento positivo debido a las iniciativas educativas y de igualdad de género.</t>
  </si>
  <si>
    <r>
      <rPr>
        <rFont val="Arial, sans-serif"/>
        <color rgb="FF1155CC"/>
        <sz val="9.0"/>
        <u/>
      </rPr>
      <t>El Español</t>
    </r>
    <r>
      <rPr>
        <rFont val="Arial, sans-serif"/>
        <color rgb="FF1155CC"/>
        <sz val="15.0"/>
        <u/>
      </rPr>
      <t>Repsol compra miio, la app líder en Portugal en la recarga pública de coche eléctrico</t>
    </r>
    <r>
      <rPr>
        <rFont val="Arial, sans-serif"/>
        <color rgb="FF1155CC"/>
        <sz val="11.0"/>
        <u/>
      </rPr>
      <t>Movimiento estratégico de Repsol para fomentar su apuesta por la movilidad eléctrica. La compañía energética ha anunciado la compra de una participación...</t>
    </r>
    <r>
      <rPr>
        <rFont val="Arial, sans-serif"/>
        <color rgb="FF1155CC"/>
        <sz val="12.0"/>
        <u/>
      </rPr>
      <t>.</t>
    </r>
    <r>
      <rPr>
        <rFont val="Arial, sans-serif"/>
        <color rgb="FF1155CC"/>
        <sz val="11.0"/>
        <u/>
      </rPr>
      <t>9 feb 2024</t>
    </r>
  </si>
  <si>
    <t>Repsol compra miio, la app líder en Portugal en la recarga pública de coche eléctrico</t>
  </si>
  <si>
    <t>Movimiento estratégico de Repsol para fomentar su apuesta por la movilidad eléctrica. La compañía energética ha anunciado la compra de una participación....</t>
  </si>
  <si>
    <t>Repsol buys miio, the leading app in Portugal for public charging of electric cars</t>
  </si>
  <si>
    <t>Strategic move by Repsol to promote its commitment to electric mobility. The energy company has announced the purchase of a stake....</t>
  </si>
  <si>
    <t>miio acquisition, electric mobility</t>
  </si>
  <si>
    <t>adquisición de miio, movilidad eléctrica</t>
  </si>
  <si>
    <t>Strengthening its electric vehicle charging network supports Repsol’s energy transition strategy.</t>
  </si>
  <si>
    <t>miio, recarga de coche eléctrico</t>
  </si>
  <si>
    <r>
      <rPr>
        <rFont val="Arial, sans-serif"/>
        <color rgb="FF1155CC"/>
        <sz val="9.0"/>
        <u/>
      </rPr>
      <t>ABC</t>
    </r>
    <r>
      <rPr>
        <rFont val="Arial, sans-serif"/>
        <color rgb="FF1155CC"/>
        <sz val="15.0"/>
        <u/>
      </rPr>
      <t>Una planta pionera en España da una segunda vida a los colchones</t>
    </r>
    <r>
      <rPr>
        <rFont val="Arial, sans-serif"/>
        <color rgb="FF1155CC"/>
        <sz val="11.0"/>
        <u/>
      </rPr>
      <t>Comienza a funcionar en Puertollano la primera fábrica de reciclaje químico de espuma de poliuretano que reutilizará 200.000 colchones al año.</t>
    </r>
    <r>
      <rPr>
        <rFont val="Arial, sans-serif"/>
        <color rgb="FF1155CC"/>
        <sz val="12.0"/>
        <u/>
      </rPr>
      <t>.</t>
    </r>
    <r>
      <rPr>
        <rFont val="Arial, sans-serif"/>
        <color rgb="FF1155CC"/>
        <sz val="11.0"/>
        <u/>
      </rPr>
      <t>9 feb 2024</t>
    </r>
  </si>
  <si>
    <t>Una planta pionera en España da una segunda vida a los colchones</t>
  </si>
  <si>
    <t>Comienza a funcionar en Puertollano la primera fábrica de reciclaje químico de espuma de poliuretano que reutilizará 200.000 colchones al año.</t>
  </si>
  <si>
    <t>A pioneering plant in Spain gives a second life to mattresses</t>
  </si>
  <si>
    <t>The first chemical recycling factory for polyurethane foam begins to operate in Puertollano, which will reuse 200,000 mattresses per year.</t>
  </si>
  <si>
    <t>polyurethane recycling, sustainability</t>
  </si>
  <si>
    <t>reciclaje de poliuretano, sostenibilidad</t>
  </si>
  <si>
    <t>Investing in recycling plants aligns with Repsol’s circular economy goals.</t>
  </si>
  <si>
    <t>reciclaje químico, colchones</t>
  </si>
  <si>
    <r>
      <rPr>
        <rFont val="Arial, sans-serif"/>
        <color rgb="FF1155CC"/>
        <sz val="9.0"/>
        <u/>
      </rPr>
      <t>Guía Repsol</t>
    </r>
    <r>
      <rPr>
        <rFont val="Arial, sans-serif"/>
        <color rgb="FF1155CC"/>
        <sz val="15.0"/>
        <u/>
      </rPr>
      <t>Escapada a Tobed (Zaragoza): el pueblo mudéjar que se rinde a San Valentín</t>
    </r>
    <r>
      <rPr>
        <rFont val="Arial, sans-serif"/>
        <color rgb="FF1155CC"/>
        <sz val="11.0"/>
        <u/>
      </rPr>
      <t>Dicen que vincular el amor al 14 de febrero es una invención comercial. Y aunque es evidente el componente mercantil, no es menos verdad que hay lugares...</t>
    </r>
    <r>
      <rPr>
        <rFont val="Arial, sans-serif"/>
        <color rgb="FF1155CC"/>
        <sz val="12.0"/>
        <u/>
      </rPr>
      <t>.</t>
    </r>
    <r>
      <rPr>
        <rFont val="Arial, sans-serif"/>
        <color rgb="FF1155CC"/>
        <sz val="11.0"/>
        <u/>
      </rPr>
      <t>9 feb 2024</t>
    </r>
  </si>
  <si>
    <t>Escapada a Tobed (Zaragoza): el pueblo mudéjar que se rinde a San Valentín</t>
  </si>
  <si>
    <t>Dicen que vincular el amor al 14 de febrero es una invención comercial. Y aunque es evidente el componente mercantil, no es menos verdad que hay lugares....</t>
  </si>
  <si>
    <t>Getaway to Tobed (Zaragoza): the Mudejar town that surrenders to Valentine's Day</t>
  </si>
  <si>
    <t>They say that linking love to February 14 is a commercial invention. And although the commercial component is evident, it is no less true that there are places...</t>
  </si>
  <si>
    <r>
      <rPr>
        <rFont val="Arial, sans-serif"/>
        <color rgb="FF1155CC"/>
        <sz val="9.0"/>
        <u/>
      </rPr>
      <t>Europa Press</t>
    </r>
    <r>
      <rPr>
        <rFont val="Arial, sans-serif"/>
        <color rgb="FF1155CC"/>
        <sz val="15.0"/>
        <u/>
      </rPr>
      <t>Trasmed (Grimaldi) y Waylet (Repsol) cierran una alianza para ofrecer descuentos del 5% a sus usuarios</t>
    </r>
    <r>
      <rPr>
        <rFont val="Arial, sans-serif"/>
        <color rgb="FF1155CC"/>
        <sz val="11.0"/>
        <u/>
      </rPr>
      <t>Trasmed, la naviera española del Grupo Grimaldi, y Waylet, la aplicación de Repsol, han firmado un acuerdo...</t>
    </r>
    <r>
      <rPr>
        <rFont val="Arial, sans-serif"/>
        <color rgb="FF1155CC"/>
        <sz val="12.0"/>
        <u/>
      </rPr>
      <t>.</t>
    </r>
    <r>
      <rPr>
        <rFont val="Arial, sans-serif"/>
        <color rgb="FF1155CC"/>
        <sz val="11.0"/>
        <u/>
      </rPr>
      <t>9 feb 2024</t>
    </r>
  </si>
  <si>
    <t>Trasmed y Waylet cierran una alianza para ofrecer descuentos del 5% a sus usuarios</t>
  </si>
  <si>
    <t>Trasmed, la naviera española del Grupo Grimaldi, y Waylet, la aplicación de Repsol, han firmado un acuerdo....</t>
  </si>
  <si>
    <t>Trasmed and Waylet close an alliance to offer 5% discounts to their users</t>
  </si>
  <si>
    <t>Trasmed, the Spanish shipping company of the Grimaldi Group, and Waylet, Repsol's application, have signed an agreement....</t>
  </si>
  <si>
    <t>Waylet alliance, discounts for travelers</t>
  </si>
  <si>
    <t>Alianza Waylet, descuentos para viajeros</t>
  </si>
  <si>
    <t>Expanding digital payment solutions strengthens Repsol’s customer engagement strategy.</t>
  </si>
  <si>
    <t>Trasmed, Waylet</t>
  </si>
  <si>
    <t>Positive sentiment due to customer incentives.</t>
  </si>
  <si>
    <t>Sentimiento positivo debido a los incentivos de los clientes.</t>
  </si>
  <si>
    <r>
      <rPr>
        <rFont val="Arial, sans-serif"/>
        <color rgb="FF1155CC"/>
        <sz val="9.0"/>
        <u/>
      </rPr>
      <t>El Confidencial</t>
    </r>
    <r>
      <rPr>
        <rFont val="Arial, sans-serif"/>
        <color rgb="FF1155CC"/>
        <sz val="15.0"/>
        <u/>
      </rPr>
      <t>BP, Cepsa y Repsol repercuten hasta un 10% más de margen en el diésel y la gasolina 95</t>
    </r>
    <r>
      <rPr>
        <rFont val="Arial, sans-serif"/>
        <color rgb="FF1155CC"/>
        <sz val="11.0"/>
        <u/>
      </rPr>
      <t>Excluyendo impuestos y coste de la materia prima, las estaciones de servicio de las tres principales marcas han repercutido entre uno y tres céntimos más...</t>
    </r>
    <r>
      <rPr>
        <rFont val="Arial, sans-serif"/>
        <color rgb="FF1155CC"/>
        <sz val="12.0"/>
        <u/>
      </rPr>
      <t>.</t>
    </r>
    <r>
      <rPr>
        <rFont val="Arial, sans-serif"/>
        <color rgb="FF1155CC"/>
        <sz val="11.0"/>
        <u/>
      </rPr>
      <t>9 feb 2024</t>
    </r>
  </si>
  <si>
    <t>BP, Cepsa y Repsol repercuten hasta un 10% más de margen en el diésel y la gasolina 95</t>
  </si>
  <si>
    <t>Excluyendo impuestos y coste de la materia prima, las estaciones de servicio de las tres principales marcas han repercutido entre uno y tres céntimos más....</t>
  </si>
  <si>
    <t>BP, Cepsa and Repsol impact up to 10% more margin on diesel and gasoline 95</t>
  </si>
  <si>
    <t>Excluding taxes and the cost of raw materials, the service stations of the three main brands have generated between one and three cents more....</t>
  </si>
  <si>
    <t>profit margins, Repsol fuel pricing</t>
  </si>
  <si>
    <t>Márgenes de beneficio, Precio del combustible Repsol</t>
  </si>
  <si>
    <t>Higher margins compared to European competitors signal strong financial performance.</t>
  </si>
  <si>
    <t>BP, Cepsa, Repsol</t>
  </si>
  <si>
    <t>Negative sentiment due to increased fuel prices.</t>
  </si>
  <si>
    <t>Sentimiento negativo debido al aumento de los precios del combustible.</t>
  </si>
  <si>
    <r>
      <rPr>
        <rFont val="Arial, sans-serif"/>
        <color rgb="FF1155CC"/>
        <sz val="9.0"/>
        <u/>
      </rPr>
      <t>El Español</t>
    </r>
    <r>
      <rPr>
        <rFont val="Arial, sans-serif"/>
        <color rgb="FF1155CC"/>
        <sz val="15.0"/>
        <u/>
      </rPr>
      <t>Este bar de Barcelona tiene los mejores bocadillos de la ciudad: aparece en la Guía Repsol</t>
    </r>
    <r>
      <rPr>
        <rFont val="Arial, sans-serif"/>
        <color rgb="FF1155CC"/>
        <sz val="11.0"/>
        <u/>
      </rPr>
      <t>Este centenario local ofrece casi un centenar de suculentos bocadillos, de los cuales 37 son de tortilla.</t>
    </r>
    <r>
      <rPr>
        <rFont val="Arial, sans-serif"/>
        <color rgb="FF1155CC"/>
        <sz val="12.0"/>
        <u/>
      </rPr>
      <t>.</t>
    </r>
    <r>
      <rPr>
        <rFont val="Arial, sans-serif"/>
        <color rgb="FF1155CC"/>
        <sz val="11.0"/>
        <u/>
      </rPr>
      <t>9 feb 2024</t>
    </r>
  </si>
  <si>
    <t>Este bar de Barcelona tiene los mejores bocadillos de la ciudad: aparece en la Guía Repsol</t>
  </si>
  <si>
    <t>Este centenario local ofrece casi un centenar de suculentos bocadillos, de los cuales 37 son de tortilla.</t>
  </si>
  <si>
    <t>This bar in Barcelona has the best sandwiches in the city: it appears in the Repsol Guide</t>
  </si>
  <si>
    <t>This centenary establishment offers almost a hundred succulent sandwiches, of which 37 are tortillas.</t>
  </si>
  <si>
    <r>
      <rPr>
        <rFont val="Arial, sans-serif"/>
        <color rgb="FF1155CC"/>
        <sz val="9.0"/>
        <u/>
      </rPr>
      <t>Puente de Mando</t>
    </r>
    <r>
      <rPr>
        <rFont val="Arial, sans-serif"/>
        <color rgb="FF1155CC"/>
        <sz val="15.0"/>
        <u/>
      </rPr>
      <t>Trasmed cierra una alianza con Waylet, la aplicación de Repsol</t>
    </r>
    <r>
      <rPr>
        <rFont val="Arial, sans-serif"/>
        <color rgb="FF1155CC"/>
        <sz val="11.0"/>
        <u/>
      </rPr>
      <t>Descubre toda la actualidad del acontecer marítimo, la aviación, cultura naval y los protagonistas de la Mar en nuestro blog de novedades y de interés en...</t>
    </r>
    <r>
      <rPr>
        <rFont val="Arial, sans-serif"/>
        <color rgb="FF1155CC"/>
        <sz val="12.0"/>
        <u/>
      </rPr>
      <t>.</t>
    </r>
    <r>
      <rPr>
        <rFont val="Arial, sans-serif"/>
        <color rgb="FF1155CC"/>
        <sz val="11.0"/>
        <u/>
      </rPr>
      <t>10 feb 2024</t>
    </r>
  </si>
  <si>
    <t>Puente de Mando</t>
  </si>
  <si>
    <t>Trasmed cierra una alianza con Waylet, la aplicación de Repsol</t>
  </si>
  <si>
    <t>Descubre toda la actualidad del acontecer marítimo, la aviación, cultura naval y los protagonistas de la Mar en nuestro blog de novedades y de interés en....</t>
  </si>
  <si>
    <t>Trasmed closes an alliance with Waylet, Repsol's application</t>
  </si>
  <si>
    <t>Discover all the latest news about maritime events, aviation, naval culture and the protagonists of the Sea in our blog of news and interest in...</t>
  </si>
  <si>
    <t>Waylet alliance, maritime transport</t>
  </si>
  <si>
    <t>Alianza Waylet, transporte marítimo</t>
  </si>
  <si>
    <t>Expanding digital payment solutions enhances Repsol’s service offerings.</t>
  </si>
  <si>
    <t>Positive sentiment due to business collaboration.</t>
  </si>
  <si>
    <t>Sentimiento positivo debido a la colaboración empresarial.</t>
  </si>
  <si>
    <r>
      <rPr>
        <rFont val="Arial, sans-serif"/>
        <color rgb="FF1155CC"/>
        <sz val="9.0"/>
        <u/>
      </rPr>
      <t>El Español</t>
    </r>
    <r>
      <rPr>
        <rFont val="Arial, sans-serif"/>
        <color rgb="FF1155CC"/>
        <sz val="15.0"/>
        <u/>
      </rPr>
      <t>Así es el restaurante más tecnológico de Madrid: proyecciones, sólo 16 personas y un menú de 270€</t>
    </r>
    <r>
      <rPr>
        <rFont val="Arial, sans-serif"/>
        <color rgb="FF1155CC"/>
        <sz val="11.0"/>
        <u/>
      </rPr>
      <t>Sólo 16 personas pueden disfrutar de una experiencia gastronómica de la mano de un chef con dos estrellas Michelin y tres Soles Repsol.</t>
    </r>
    <r>
      <rPr>
        <rFont val="Arial, sans-serif"/>
        <color rgb="FF1155CC"/>
        <sz val="12.0"/>
        <u/>
      </rPr>
      <t>.</t>
    </r>
    <r>
      <rPr>
        <rFont val="Arial, sans-serif"/>
        <color rgb="FF1155CC"/>
        <sz val="11.0"/>
        <u/>
      </rPr>
      <t>10 feb 2024</t>
    </r>
  </si>
  <si>
    <t>Así es el restaurante más tecnológico de Madrid: proyecciones, sólo 16 personas y un menú de 270€</t>
  </si>
  <si>
    <t>Sólo 16 personas pueden disfrutar de una experiencia gastronómica de la mano de un chef con dos estrellas Michelin y tres Soles Repsol.</t>
  </si>
  <si>
    <t>This is the most technological restaurant in Madrid: projections, only 16 people and a €270 menu</t>
  </si>
  <si>
    <t>Only 16 people can enjoy a gastronomic experience from a chef with two Michelin stars and three Repsol Suns.</t>
  </si>
  <si>
    <r>
      <rPr>
        <rFont val="Arial, sans-serif"/>
        <color rgb="FF1155CC"/>
        <sz val="9.0"/>
        <u/>
      </rPr>
      <t>The Objective</t>
    </r>
    <r>
      <rPr>
        <rFont val="Arial, sans-serif"/>
        <color rgb="FF1155CC"/>
        <sz val="15.0"/>
        <u/>
      </rPr>
      <t>España tiene agua de sobra, hay que saber aprovecharla</t>
    </r>
    <r>
      <rPr>
        <rFont val="Arial, sans-serif"/>
        <color rgb="FF1155CC"/>
        <sz val="11.0"/>
        <u/>
      </rPr>
      <t>Comencemos por hablar brevemente del agua en Europa, con el fin de ir rompiendo toda una serie de mantras que se repiten.</t>
    </r>
    <r>
      <rPr>
        <rFont val="Arial, sans-serif"/>
        <color rgb="FF1155CC"/>
        <sz val="12.0"/>
        <u/>
      </rPr>
      <t>.</t>
    </r>
    <r>
      <rPr>
        <rFont val="Arial, sans-serif"/>
        <color rgb="FF1155CC"/>
        <sz val="11.0"/>
        <u/>
      </rPr>
      <t>10 feb 2024</t>
    </r>
  </si>
  <si>
    <t>ObjectiveEspaña</t>
  </si>
  <si>
    <t>España tiene agua de sobra, hay que saber aprovecharla</t>
  </si>
  <si>
    <t>España tiene agua de sobra, hay que saber aprovecharla. Comencemos por hablar brevemente del agua en Europa, con el fin de ir rompiendo toda una serie de mantras que se repiten.</t>
  </si>
  <si>
    <t>Spain has plenty of water, you have to know how to take advantage of it</t>
  </si>
  <si>
    <t>Spain has plenty of water, you have to know how to take advantage of it. Let's start by talking briefly about water in Europe, in order to break a whole series of mantras that are repeated.</t>
  </si>
  <si>
    <r>
      <rPr>
        <rFont val="Arial, sans-serif"/>
        <color rgb="FF1155CC"/>
        <sz val="9.0"/>
        <u/>
      </rPr>
      <t>El Español</t>
    </r>
    <r>
      <rPr>
        <rFont val="Arial, sans-serif"/>
        <color rgb="FF1155CC"/>
        <sz val="15.0"/>
        <u/>
      </rPr>
      <t>Iberdrola, Endesa, Repsol: el quién es quién de la recarga pública de coche eléctrico en España</t>
    </r>
    <r>
      <rPr>
        <rFont val="Arial, sans-serif"/>
        <color rgb="FF1155CC"/>
        <sz val="11.0"/>
        <u/>
      </rPr>
      <t>Entre los 10 principales operadores, con alrededor de 20.000 puntos de recarga pública, copan el 70% del mercado. Así está la clasificación.</t>
    </r>
    <r>
      <rPr>
        <rFont val="Arial, sans-serif"/>
        <color rgb="FF1155CC"/>
        <sz val="12.0"/>
        <u/>
      </rPr>
      <t>.</t>
    </r>
    <r>
      <rPr>
        <rFont val="Arial, sans-serif"/>
        <color rgb="FF1155CC"/>
        <sz val="11.0"/>
        <u/>
      </rPr>
      <t>11 feb 2024</t>
    </r>
  </si>
  <si>
    <t>Iberdrola, Endesa, Repsol: el quién es quién de la recarga pública de coche eléctrico en España</t>
  </si>
  <si>
    <t>Entre los 10 principales operadores, con alrededor de 20.000 puntos de recarga pública, copan el 70% del mercado. Así está la clasificación.</t>
  </si>
  <si>
    <t>Iberdrola, Endesa, Repsol: the who's who of public electric car charging in Spain</t>
  </si>
  <si>
    <t>Among the 10 main operators, with around 20,000 public charging points, they hold 70% of the market. This is the classification.</t>
  </si>
  <si>
    <t>Energy Transition</t>
  </si>
  <si>
    <t>public charging, Repsol presence</t>
  </si>
  <si>
    <t>carga pública, presencia de Repsol</t>
  </si>
  <si>
    <t>Expanding public charging networks reinforces Repsol’s role in the electric mobility sector.</t>
  </si>
  <si>
    <r>
      <rPr>
        <rFont val="Arial, sans-serif"/>
        <color rgb="FF1155CC"/>
        <sz val="9.0"/>
        <u/>
      </rPr>
      <t>20Minutos</t>
    </r>
    <r>
      <rPr>
        <rFont val="Arial, sans-serif"/>
        <color rgb="FF1155CC"/>
        <sz val="15.0"/>
        <u/>
      </rPr>
      <t>La gran ventaja de los nuevos combustibles renovables que casi nadie conoce en España</t>
    </r>
    <r>
      <rPr>
        <rFont val="Arial, sans-serif"/>
        <color rgb="FF1155CC"/>
        <sz val="11.0"/>
        <u/>
      </rPr>
      <t>Repsol, a través de sus distintas estaciones de servicio en España, recoge aceite de cocina usado para fabricar combustibles renovables a cambio de...</t>
    </r>
    <r>
      <rPr>
        <rFont val="Arial, sans-serif"/>
        <color rgb="FF1155CC"/>
        <sz val="12.0"/>
        <u/>
      </rPr>
      <t>.</t>
    </r>
    <r>
      <rPr>
        <rFont val="Arial, sans-serif"/>
        <color rgb="FF1155CC"/>
        <sz val="11.0"/>
        <u/>
      </rPr>
      <t>11 feb 2024</t>
    </r>
  </si>
  <si>
    <t>La gran ventaja de los nuevos combustibles renovables que casi nadie conoce en España</t>
  </si>
  <si>
    <t>Repsol, a través de sus distintas estaciones de servicio en España, recoge aceite de cocina usado para fabricar combustibles renovables a cambio de....</t>
  </si>
  <si>
    <t>The great advantage of new renewable fuels that almost no one knows about in Spain</t>
  </si>
  <si>
    <t>Repsol, through its different service stations in Spain, collects used cooking oil to manufacture renewable fuels in exchange for...</t>
  </si>
  <si>
    <t>renewable fuels, Repsol introduction</t>
  </si>
  <si>
    <t>combustibles renovables, presentación de Repsol</t>
  </si>
  <si>
    <t>Advancing renewable fuels strengthens Repsol’s commitment to sustainable energy solutions.</t>
  </si>
  <si>
    <t>combustibles renovables, aceite de cocina usado</t>
  </si>
  <si>
    <t>Positive sentiment due to sustainable initiative and renewable fuels.</t>
  </si>
  <si>
    <t>Sentimiento positivo debido a la iniciativa sostenible y los combustibles renovables.</t>
  </si>
  <si>
    <r>
      <rPr>
        <rFont val="Arial, sans-serif"/>
        <color rgb="FF1155CC"/>
        <sz val="9.0"/>
        <u/>
      </rPr>
      <t>El Economista</t>
    </r>
    <r>
      <rPr>
        <rFont val="Arial, sans-serif"/>
        <color rgb="FF1155CC"/>
        <sz val="15.0"/>
        <u/>
      </rPr>
      <t>Las firmas españolas que cotizan por debajo de su valor en libros, además de la banca</t>
    </r>
    <r>
      <rPr>
        <rFont val="Arial, sans-serif"/>
        <color rgb="FF1155CC"/>
        <sz val="11.0"/>
        <u/>
      </rPr>
      <t>Cuando estamos preparando una salida al monte o una larga travesía uno de los puntos más importantes a tener en cuenta es el equipaje ...</t>
    </r>
    <r>
      <rPr>
        <rFont val="Arial, sans-serif"/>
        <color rgb="FF1155CC"/>
        <sz val="12.0"/>
        <u/>
      </rPr>
      <t>.</t>
    </r>
    <r>
      <rPr>
        <rFont val="Arial, sans-serif"/>
        <color rgb="FF1155CC"/>
        <sz val="11.0"/>
        <u/>
      </rPr>
      <t>11 feb 2024</t>
    </r>
  </si>
  <si>
    <t>Las firmas españolas que cotizan por debajo de su valor en libros, además de la banca</t>
  </si>
  <si>
    <t>Las firmas españolas que cotizan por debajo de su valor en libros, además de la banca. Cuando estamos preparando una salida al monte o una larga travesía uno de los puntos más importantes a tener en cuenta es el equipaje ....</t>
  </si>
  <si>
    <t>Spanish firms that trade below their book value, in addition to banks</t>
  </si>
  <si>
    <t>Spanish firms that trade below their book value, in addition to banks. When we are preparing an outing to the mountains or a long journey, one of the most important points to take into account is the luggage....</t>
  </si>
  <si>
    <r>
      <rPr>
        <rFont val="Arial, sans-serif"/>
        <color rgb="FF1155CC"/>
        <sz val="9.0"/>
        <u/>
      </rPr>
      <t>Diario de Castilla y León</t>
    </r>
    <r>
      <rPr>
        <rFont val="Arial, sans-serif"/>
        <color rgb="FF1155CC"/>
        <sz val="15.0"/>
        <u/>
      </rPr>
      <t>Muere la 'leonesa' Isabel Mijares, primera enóloga de España</t>
    </r>
    <r>
      <rPr>
        <rFont val="Arial, sans-serif"/>
        <color rgb="FF1155CC"/>
        <sz val="11.0"/>
        <u/>
      </rPr>
      <t>El mundo del vino despide a una de sus más ilustres referentes, hija de un leonés y cuyos conocimientos sirvieron de guía en grandes proyectos del país.</t>
    </r>
    <r>
      <rPr>
        <rFont val="Arial, sans-serif"/>
        <color rgb="FF1155CC"/>
        <sz val="12.0"/>
        <u/>
      </rPr>
      <t>.</t>
    </r>
    <r>
      <rPr>
        <rFont val="Arial, sans-serif"/>
        <color rgb="FF1155CC"/>
        <sz val="11.0"/>
        <u/>
      </rPr>
      <t>11 feb 2024</t>
    </r>
  </si>
  <si>
    <t>Diario de Castilla y León</t>
  </si>
  <si>
    <t>Muere la 'leonesa' Isabel Mijares, primera enóloga de España</t>
  </si>
  <si>
    <t>El mundo del vino despide a una de sus más ilustres referentes, hija de un leonés y cuyos conocimientos sirvieron de guía en grandes proyectos del país.</t>
  </si>
  <si>
    <t>The 'Leonese' Isabel Mijares, Spain's first winemaker, dies</t>
  </si>
  <si>
    <t>The world of wine bids farewell to one of its most illustrious references, the daughter of a man from Leon and whose knowledge served as a guide in major projects in the country.</t>
  </si>
  <si>
    <r>
      <rPr>
        <rFont val="Arial, sans-serif"/>
        <color rgb="FF1155CC"/>
        <sz val="9.0"/>
        <u/>
      </rPr>
      <t>Esciclismo</t>
    </r>
    <r>
      <rPr>
        <rFont val="Arial, sans-serif"/>
        <color rgb="FF1155CC"/>
        <sz val="15.0"/>
        <u/>
      </rPr>
      <t>UAE Tour Femenino 2024: Clasificaciones de la 4ª etapa (última)</t>
    </r>
    <r>
      <rPr>
        <rFont val="Arial, sans-serif"/>
        <color rgb="FF1155CC"/>
        <sz val="11.0"/>
        <u/>
      </rPr>
      <t>Éstas son las clasificaciones completas tras la cuarta y última etapa del UAE Tour Femenino 2024, de 105 kilómetros de recorrido y disputada este domingo,...</t>
    </r>
    <r>
      <rPr>
        <rFont val="Arial, sans-serif"/>
        <color rgb="FF1155CC"/>
        <sz val="12.0"/>
        <u/>
      </rPr>
      <t>.</t>
    </r>
    <r>
      <rPr>
        <rFont val="Arial, sans-serif"/>
        <color rgb="FF1155CC"/>
        <sz val="11.0"/>
        <u/>
      </rPr>
      <t>11 feb 2024</t>
    </r>
  </si>
  <si>
    <t>Esciclismo</t>
  </si>
  <si>
    <t>UAE Tour Femenino 2024: Clasificaciones de la 4ª etapa (última)</t>
  </si>
  <si>
    <t>Éstas son las clasificaciones completas tras la cuarta y última etapa del UAE Tour Femenino 2024, de 105 kilómetros de recorrido y disputada este domingo,....</t>
  </si>
  <si>
    <t>UAE Women's Tour 2024: Classifications for the 4th stage (last)</t>
  </si>
  <si>
    <t>These are the complete classifications after the fourth and final stage of the UAE Women's Tour 2024, 105 kilometers long and held this Sunday....</t>
  </si>
  <si>
    <t>Sports</t>
  </si>
  <si>
    <r>
      <rPr>
        <rFont val="Arial, sans-serif"/>
        <color rgb="FF1155CC"/>
        <sz val="9.0"/>
        <u/>
      </rPr>
      <t>heraldo.es</t>
    </r>
    <r>
      <rPr>
        <rFont val="Arial, sans-serif"/>
        <color rgb="FF1155CC"/>
        <sz val="15.0"/>
        <u/>
      </rPr>
      <t>Muere Isabel Mijares, considerada la primera enóloga de España</t>
    </r>
    <r>
      <rPr>
        <rFont val="Arial, sans-serif"/>
        <color rgb="FF1155CC"/>
        <sz val="11.0"/>
        <u/>
      </rPr>
      <t>La Real Academia de Gastronomía destaca que "fue pionera en un mundo entonces mayoritariamente masculino".</t>
    </r>
    <r>
      <rPr>
        <rFont val="Arial, sans-serif"/>
        <color rgb="FF1155CC"/>
        <sz val="12.0"/>
        <u/>
      </rPr>
      <t>.</t>
    </r>
    <r>
      <rPr>
        <rFont val="Arial, sans-serif"/>
        <color rgb="FF1155CC"/>
        <sz val="11.0"/>
        <u/>
      </rPr>
      <t>11 feb 2024</t>
    </r>
  </si>
  <si>
    <t>Muere Isabel Mijares, considerada la primera enóloga de España</t>
  </si>
  <si>
    <t>"fue pionera en un mundo entonces mayoritariamente masculino"</t>
  </si>
  <si>
    <t>Isabel Mijares, considered Spain's first winemaker, dies</t>
  </si>
  <si>
    <t>"she was a pioneer in a world that was then predominantly male"</t>
  </si>
  <si>
    <r>
      <rPr>
        <rFont val="Arial, sans-serif"/>
        <color rgb="FF1155CC"/>
        <sz val="9.0"/>
        <u/>
      </rPr>
      <t>El Mundo</t>
    </r>
    <r>
      <rPr>
        <rFont val="Arial, sans-serif"/>
        <color rgb="FF1155CC"/>
        <sz val="15.0"/>
        <u/>
      </rPr>
      <t>Muere Isabel Mijares, primera enóloga de España y gran maestra y divulgadora del vino</t>
    </r>
    <r>
      <rPr>
        <rFont val="Arial, sans-serif"/>
        <color rgb="FF1155CC"/>
        <sz val="11.0"/>
        <u/>
      </rPr>
      <t>El universo del vino llora la muerte de su gran dama. María Isabel Mijares García -Pelayo (81 años) primera mujer enóloga de España y referente absoluto de...</t>
    </r>
    <r>
      <rPr>
        <rFont val="Arial, sans-serif"/>
        <color rgb="FF1155CC"/>
        <sz val="12.0"/>
        <u/>
      </rPr>
      <t>.</t>
    </r>
    <r>
      <rPr>
        <rFont val="Arial, sans-serif"/>
        <color rgb="FF1155CC"/>
        <sz val="11.0"/>
        <u/>
      </rPr>
      <t>11 feb 2024</t>
    </r>
  </si>
  <si>
    <t>El Mundo</t>
  </si>
  <si>
    <t>Muere Isabel Mijares, primera enóloga de España y gran maestra y divulgadora del vino</t>
  </si>
  <si>
    <t>El universo del vino llora la muerte de su gran dama. María Isabel Mijares García -Pelayo (81 años) primera mujer enóloga de España y referente absoluto de....</t>
  </si>
  <si>
    <t>Isabel Mijares, Spain's first winemaker and great teacher and disseminator of wine, dies</t>
  </si>
  <si>
    <t>The wine universe mourns the death of its great lady. María Isabel Mijares García-Pelayo (81 years old), the first female winemaker in Spain and an absolute reference for....</t>
  </si>
  <si>
    <r>
      <rPr>
        <rFont val="Arial, sans-serif"/>
        <color rgb="FF1155CC"/>
        <sz val="9.0"/>
        <u/>
      </rPr>
      <t>Casacochecurro</t>
    </r>
    <r>
      <rPr>
        <rFont val="Arial, sans-serif"/>
        <color rgb="FF1155CC"/>
        <sz val="15.0"/>
        <u/>
      </rPr>
      <t>Por qué nunca debes usar el móvil en una gasolinera y la multa a la que te enfrentas si lo haces</t>
    </r>
    <r>
      <rPr>
        <rFont val="Arial, sans-serif"/>
        <color rgb="FF1155CC"/>
        <sz val="11.0"/>
        <u/>
      </rPr>
      <t>Se puede hablar por teléfono mientras echas gasolina? No, de hecho, esta es una de las cosas que no pueden hacerse en una gasolinera. La prohibición está.</t>
    </r>
    <r>
      <rPr>
        <rFont val="Arial, sans-serif"/>
        <color rgb="FF1155CC"/>
        <sz val="12.0"/>
        <u/>
      </rPr>
      <t>.</t>
    </r>
    <r>
      <rPr>
        <rFont val="Arial, sans-serif"/>
        <color rgb="FF1155CC"/>
        <sz val="11.0"/>
        <u/>
      </rPr>
      <t>11 feb 2024</t>
    </r>
  </si>
  <si>
    <t>Casacochecurro</t>
  </si>
  <si>
    <t>Por qué nunca debes usar el móvil en una gasolinera y la multa a la que te enfrentas si lo haces</t>
  </si>
  <si>
    <t>No, de hecho, esta es una de las cosas que no pueden hacerse en una gasolinera. La prohibición está...</t>
  </si>
  <si>
    <t>Why you should never use your cell phone at a gas station and the fine you face if you do</t>
  </si>
  <si>
    <t>No, in fact, this is one of the things that cannot be done at a gas station. The ban is...</t>
  </si>
  <si>
    <r>
      <rPr>
        <rFont val="Arial, sans-serif"/>
        <color rgb="FF1155CC"/>
        <sz val="9.0"/>
        <u/>
      </rPr>
      <t>El Periódico de la Energía</t>
    </r>
    <r>
      <rPr>
        <rFont val="Arial, sans-serif"/>
        <color rgb="FF1155CC"/>
        <sz val="15.0"/>
        <u/>
      </rPr>
      <t>Repsol y la Junta impulsan la recogida de aceite de cocina usado en Castilla-La Mancha</t>
    </r>
    <r>
      <rPr>
        <rFont val="Arial, sans-serif"/>
        <color rgb="FF1155CC"/>
        <sz val="11.0"/>
        <u/>
      </rPr>
      <t>La compañía Repsol y la Consejería de Desarrollo Sostenible de Castilla-La Mancha han firmado un convenio de colaboración para impulsar la recogida de...</t>
    </r>
    <r>
      <rPr>
        <rFont val="Arial, sans-serif"/>
        <color rgb="FF1155CC"/>
        <sz val="12.0"/>
        <u/>
      </rPr>
      <t>.</t>
    </r>
    <r>
      <rPr>
        <rFont val="Arial, sans-serif"/>
        <color rgb="FF1155CC"/>
        <sz val="11.0"/>
        <u/>
      </rPr>
      <t>12 feb 2024</t>
    </r>
  </si>
  <si>
    <t>Repsol y la Junta impulsan la recogida de aceite de cocina usado en Castilla-La Mancha</t>
  </si>
  <si>
    <t>La compañía Repsol y la Consejería de Desarrollo Sostenible de Castilla-La Mancha han firmado un convenio de colaboración para impulsar la recogida de....</t>
  </si>
  <si>
    <t>Repsol and the Board promote the collection of used cooking oil in Castilla-La Mancha</t>
  </si>
  <si>
    <t>The Repsol company and the Department of Sustainable Development of Castilla-La Mancha have signed a collaboration agreement to promote the collection of...</t>
  </si>
  <si>
    <t>used oil collection, sustainability initiative</t>
  </si>
  <si>
    <t>recolección de aceite usado, iniciativa de sostenibilidad</t>
  </si>
  <si>
    <t>Expanding oil recycling efforts aligns with Repsol’s circular economy goals.</t>
  </si>
  <si>
    <t>colaboración, desarrollo sostenible, impulso</t>
  </si>
  <si>
    <t>Positive collaboration for sustainability initiatives.</t>
  </si>
  <si>
    <t>Colaboración positiva para iniciativas de sostenibilidad.</t>
  </si>
  <si>
    <r>
      <rPr>
        <rFont val="Arial, sans-serif"/>
        <color rgb="FF1155CC"/>
        <sz val="9.0"/>
        <u/>
      </rPr>
      <t>Interempresas.net</t>
    </r>
    <r>
      <rPr>
        <rFont val="Arial, sans-serif"/>
        <color rgb="FF1155CC"/>
        <sz val="15.0"/>
        <u/>
      </rPr>
      <t>Repsol comienza a recoger aceite de cocina usado en Castilla-La Mancha para producir combustibles renovables</t>
    </r>
    <r>
      <rPr>
        <rFont val="Arial, sans-serif"/>
        <color rgb="FF1155CC"/>
        <sz val="11.0"/>
        <u/>
      </rPr>
      <t>Repsol y la Consejería de Desarrollo Sostenible del Gobierno de Castilla-La Mancha firmaron un convenio de colaboración, para desplegar la recogida de...</t>
    </r>
    <r>
      <rPr>
        <rFont val="Arial, sans-serif"/>
        <color rgb="FF1155CC"/>
        <sz val="12.0"/>
        <u/>
      </rPr>
      <t>.</t>
    </r>
    <r>
      <rPr>
        <rFont val="Arial, sans-serif"/>
        <color rgb="FF1155CC"/>
        <sz val="11.0"/>
        <u/>
      </rPr>
      <t>12 feb 2024</t>
    </r>
  </si>
  <si>
    <t>Repsol y la Consejería de Desarrollo Sostenible del Gobierno de Castilla-La Mancha firmaron un convenio de colaboración, para desplegar la recogida de....</t>
  </si>
  <si>
    <t>Repsol y la Consejería de Desarrollo Sostenible del Gobierno de Castilla-La Mancha firmaron un convenio de colaboración para desplegar la recogida de...</t>
  </si>
  <si>
    <t>Repsol and the Department of Sustainable Development of the Government of Castilla-La Mancha signed a collaboration agreement to deploy the collection of...</t>
  </si>
  <si>
    <t>circular economy, Repsol sustainability</t>
  </si>
  <si>
    <t>economía circular, Sostenibilidad Repsol</t>
  </si>
  <si>
    <t>Partnering in circular economy projects enhances Repsol’s commitment to environmental sustainability.</t>
  </si>
  <si>
    <r>
      <rPr>
        <rFont val="Arial, sans-serif"/>
        <color rgb="FF1155CC"/>
        <sz val="9.0"/>
        <u/>
      </rPr>
      <t>GaliciaPress</t>
    </r>
    <r>
      <rPr>
        <rFont val="Arial, sans-serif"/>
        <color rgb="FF1155CC"/>
        <sz val="15.0"/>
        <u/>
      </rPr>
      <t>La seguridad privada de Prosegur en la refinería de Repsol A Coruña, al borde de la huelga con protestas diarias</t>
    </r>
    <r>
      <rPr>
        <rFont val="Arial, sans-serif"/>
        <color rgb="FF1155CC"/>
        <sz val="11.0"/>
        <u/>
      </rPr>
      <t>Tras más de un mes de concentraciones los viernes, la plantilla endurece su postura y pasa a celebrar movilizaciones diarias. ...</t>
    </r>
    <r>
      <rPr>
        <rFont val="Arial, sans-serif"/>
        <color rgb="FF1155CC"/>
        <sz val="12.0"/>
        <u/>
      </rPr>
      <t>.</t>
    </r>
    <r>
      <rPr>
        <rFont val="Arial, sans-serif"/>
        <color rgb="FF1155CC"/>
        <sz val="11.0"/>
        <u/>
      </rPr>
      <t>12 feb 2024</t>
    </r>
  </si>
  <si>
    <t>La seguridad privada de Prosegur en la refinería de Repsol A Coruña, al borde de la huelga con protestas diarias</t>
  </si>
  <si>
    <t>La seguridad privada de Prosegur en la refinería de Repsol A Coruña, al borde de la huelga con protestas diarias. Tras más de un mes de concentraciones los viernes, la plantilla endurece su postura y pasa a celebrar movilizaciones diarias.</t>
  </si>
  <si>
    <t>Prosegur's private security at the Repsol A Coruña refinery, on the verge of strike with daily protests</t>
  </si>
  <si>
    <t>Prosegur's private security at the Repsol A Coruña refinery, on the verge of strike with daily protests. After more than a month of rallies on Fridays, the squad hardens its stance and begins to hold daily demonstrations.</t>
  </si>
  <si>
    <t>security strike, Repsol refinery</t>
  </si>
  <si>
    <t>Huelga de seguridad, Refinería Repsol</t>
  </si>
  <si>
    <t>Labor strikes at Repsol’s facilities can create operational disruptions and negative publicity.</t>
  </si>
  <si>
    <t>huelga, protestas, endurece postura</t>
  </si>
  <si>
    <t>Negative due to labor disputes and protests.</t>
  </si>
  <si>
    <t>Negativo debido a conflictos laborales y protestas.</t>
  </si>
  <si>
    <r>
      <rPr>
        <rFont val="Arial, sans-serif"/>
        <color rgb="FF1155CC"/>
        <sz val="9.0"/>
        <u/>
      </rPr>
      <t>Cadena SER</t>
    </r>
    <r>
      <rPr>
        <rFont val="Arial, sans-serif"/>
        <color rgb="FF1155CC"/>
        <sz val="15.0"/>
        <u/>
      </rPr>
      <t>Bosque Urbano lleva a los tribunales el proyecto de descontaminación de los antiguos terrenos de Repsol</t>
    </r>
    <r>
      <rPr>
        <rFont val="Arial, sans-serif"/>
        <color rgb="FF1155CC"/>
        <sz val="11.0"/>
        <u/>
      </rPr>
      <t>Málaga. El Juzgado de lo Contencioso-Administrativo número siete de Málaga ha admitido a trámite el recurso judicial presentado por el equipo legal de la...</t>
    </r>
    <r>
      <rPr>
        <rFont val="Arial, sans-serif"/>
        <color rgb="FF1155CC"/>
        <sz val="12.0"/>
        <u/>
      </rPr>
      <t>.</t>
    </r>
    <r>
      <rPr>
        <rFont val="Arial, sans-serif"/>
        <color rgb="FF1155CC"/>
        <sz val="11.0"/>
        <u/>
      </rPr>
      <t>12 feb 2024</t>
    </r>
  </si>
  <si>
    <t>Bosque Urbano lleva a los tribunales el proyecto de descontaminación de los antiguos terrenos de Repsol</t>
  </si>
  <si>
    <t>El Juzgado de lo Contencioso-Administrativo número siete de Málaga ha admitido a trámite el recurso judicial presentado por el equipo legal de la....</t>
  </si>
  <si>
    <t>Bosque Urbano takes the decontamination project for the former Repsol lands to court</t>
  </si>
  <si>
    <t>The Contentious-Administrative Court number seven of Malaga has accepted for processing the judicial appeal presented by the legal team of the...</t>
  </si>
  <si>
    <r>
      <rPr>
        <rFont val="Arial, sans-serif"/>
        <color rgb="FF1155CC"/>
        <sz val="9.0"/>
        <u/>
      </rPr>
      <t>Málaga Hoy</t>
    </r>
    <r>
      <rPr>
        <rFont val="Arial, sans-serif"/>
        <color rgb="FF1155CC"/>
        <sz val="15.0"/>
        <u/>
      </rPr>
      <t>Bosque Urbano Málaga lleva a los tribunales el proyecto de descontaminación de lo antiguos terrenos de Repsol</t>
    </r>
    <r>
      <rPr>
        <rFont val="Arial, sans-serif"/>
        <color rgb="FF1155CC"/>
        <sz val="11.0"/>
        <u/>
      </rPr>
      <t>La plataforma ciudadana quiere "garantizar que estas labores se lleva a cabo de manera adecuada". Voluntarios de Greenpeace visitan los terrenos de Repsol...</t>
    </r>
    <r>
      <rPr>
        <rFont val="Arial, sans-serif"/>
        <color rgb="FF1155CC"/>
        <sz val="12.0"/>
        <u/>
      </rPr>
      <t>.</t>
    </r>
    <r>
      <rPr>
        <rFont val="Arial, sans-serif"/>
        <color rgb="FF1155CC"/>
        <sz val="11.0"/>
        <u/>
      </rPr>
      <t>12 feb 2024</t>
    </r>
  </si>
  <si>
    <t>Málaga Hoy</t>
  </si>
  <si>
    <t>Bosque Urbano Málaga lleva a los tribunales el proyecto de descontaminación de lo antiguos terrenos de Repsol</t>
  </si>
  <si>
    <t>La plataforma ciudadana quiere "garantizar que estas labores se lleva a cabo de manera adecuada". Voluntarios de Greenpeace visitan los terrenos de Repsol.</t>
  </si>
  <si>
    <t>Bosque Urbano Málaga takes the decontamination project of the former Repsol lands to court</t>
  </si>
  <si>
    <t>The citizen platform wants to "guarantee that these tasks are carried out appropriately." Greenpeace volunteers visit the Repsol grounds.</t>
  </si>
  <si>
    <r>
      <rPr>
        <rFont val="Arial, sans-serif"/>
        <color rgb="FF1155CC"/>
        <sz val="9.0"/>
        <u/>
      </rPr>
      <t>Guía Repsol</t>
    </r>
    <r>
      <rPr>
        <rFont val="Arial, sans-serif"/>
        <color rgb="FF1155CC"/>
        <sz val="15.0"/>
        <u/>
      </rPr>
      <t>Restaurante Agreste de Fabio &amp; Roser (Barcelona): cariño al producto y al comensal</t>
    </r>
    <r>
      <rPr>
        <rFont val="Arial, sans-serif"/>
        <color rgb="FF1155CC"/>
        <sz val="11.0"/>
        <u/>
      </rPr>
      <t>Después de siete años de andadura, 'Agreste' (Barcelona, Un Sol Guía Repsol 2024) se confirma como un restaurante de peregrinación.</t>
    </r>
    <r>
      <rPr>
        <rFont val="Arial, sans-serif"/>
        <color rgb="FF1155CC"/>
        <sz val="12.0"/>
        <u/>
      </rPr>
      <t>.</t>
    </r>
    <r>
      <rPr>
        <rFont val="Arial, sans-serif"/>
        <color rgb="FF1155CC"/>
        <sz val="11.0"/>
        <u/>
      </rPr>
      <t>12 feb 2024</t>
    </r>
  </si>
  <si>
    <t>Restaurante Agreste de Fabio &amp; Roser (Barcelona): cariño al producto y al comensal</t>
  </si>
  <si>
    <t>Después de siete años de andadura, 'Agreste' (Barcelona, Un Sol Guía Repsol 2024) se confirma como un restaurante de peregrinación.</t>
  </si>
  <si>
    <t>Agreste Restaurant by Fabio &amp; Roser (Barcelona): love for the product and the diner</t>
  </si>
  <si>
    <t>After seven years of operation, 'Agreste' (Barcelona, ​​Un Sol Guía Repsol 2024) is confirmed as a pilgrimage restaurant.</t>
  </si>
  <si>
    <r>
      <rPr>
        <rFont val="Arial, sans-serif"/>
        <color rgb="FF1155CC"/>
        <sz val="9.0"/>
        <u/>
      </rPr>
      <t>chasiscero.com</t>
    </r>
    <r>
      <rPr>
        <rFont val="Arial, sans-serif"/>
        <color rgb="FF1155CC"/>
        <sz val="15.0"/>
        <u/>
      </rPr>
      <t>Destapan cuál es la gasolina con la que tu coche hará más kilómetros... y no es Repsol</t>
    </r>
    <r>
      <rPr>
        <rFont val="Arial, sans-serif"/>
        <color rgb="FF1155CC"/>
        <sz val="11.0"/>
        <u/>
      </rPr>
      <t>Los precios de los combustibles continúan su tendencia al alza, alcanzando recientemente máximos históricos. Esta situación.</t>
    </r>
    <r>
      <rPr>
        <rFont val="Arial, sans-serif"/>
        <color rgb="FF1155CC"/>
        <sz val="12.0"/>
        <u/>
      </rPr>
      <t>.</t>
    </r>
    <r>
      <rPr>
        <rFont val="Arial, sans-serif"/>
        <color rgb="FF1155CC"/>
        <sz val="11.0"/>
        <u/>
      </rPr>
      <t>12 feb 2024</t>
    </r>
  </si>
  <si>
    <t>Destapan cuál es la gasolina con la que tu coche hará más kilómetros... y no es Repsol</t>
  </si>
  <si>
    <t>Los precios de los combustibles continúan su tendencia al alza, alcanzando recientemente máximos históricos. Esta situación...</t>
  </si>
  <si>
    <t>They reveal which is the gasoline with which your car will do the most kilometers... and it is not Repsol</t>
  </si>
  <si>
    <t>Fuel prices continue their upward trend, recently reaching all-time highs. This situation...</t>
  </si>
  <si>
    <r>
      <rPr>
        <rFont val="Arial, sans-serif"/>
        <color rgb="FF1155CC"/>
        <sz val="9.0"/>
        <u/>
      </rPr>
      <t>Diariomotor</t>
    </r>
    <r>
      <rPr>
        <rFont val="Arial, sans-serif"/>
        <color rgb="FF1155CC"/>
        <sz val="15.0"/>
        <u/>
      </rPr>
      <t>¿Puede mi viejo coche diésel o gasolina usar los nuevos e-fuels que ya se venden en España?</t>
    </r>
    <r>
      <rPr>
        <rFont val="Arial, sans-serif"/>
        <color rgb="FF1155CC"/>
        <sz val="11.0"/>
        <u/>
      </rPr>
      <t>En España ya es posible repostar combustibles sintéticos renovables, tanto diésel como gasolina, lo cual supone reducir el impacto de nuestro co.</t>
    </r>
    <r>
      <rPr>
        <rFont val="Arial, sans-serif"/>
        <color rgb="FF1155CC"/>
        <sz val="12.0"/>
        <u/>
      </rPr>
      <t>.</t>
    </r>
    <r>
      <rPr>
        <rFont val="Arial, sans-serif"/>
        <color rgb="FF1155CC"/>
        <sz val="11.0"/>
        <u/>
      </rPr>
      <t>12 feb 2024</t>
    </r>
  </si>
  <si>
    <t>¿Puede mi viejo coche diésel o gasolina usar los nuevos e-fuels que ya se venden en España?</t>
  </si>
  <si>
    <t>En España ya es posible repostar combustibles sintéticos renovables, tanto diésel como gasolina, lo cual supone reducir el impacto de nuestro coche.</t>
  </si>
  <si>
    <t>Can my old diesel or gasoline car use the new e-fuels that are already sold in Spain?</t>
  </si>
  <si>
    <t>In Spain it is now possible to refuel with renewable synthetic fuels, both diesel and gasoline, which means reducing the impact of our car.</t>
  </si>
  <si>
    <t>renewable fuel, diesel and gasoline cars</t>
  </si>
  <si>
    <t>combustibles renovables, coches diésel y gasolina</t>
  </si>
  <si>
    <t>Expanding renewable fuel availability supports Repsol’s energy transition strategy.</t>
  </si>
  <si>
    <t>combustibles renovables, reducir impacto</t>
  </si>
  <si>
    <t>Positive due to renewable fuel innovation.</t>
  </si>
  <si>
    <t>Positivo debido a la innovación en combustibles renovables.</t>
  </si>
  <si>
    <r>
      <rPr>
        <rFont val="Arial, sans-serif"/>
        <color rgb="FF1155CC"/>
        <sz val="9.0"/>
        <u/>
      </rPr>
      <t>DW</t>
    </r>
    <r>
      <rPr>
        <rFont val="Arial, sans-serif"/>
        <color rgb="FF1155CC"/>
        <sz val="15.0"/>
        <u/>
      </rPr>
      <t>Empresas y DDHH: peligra una ley vital para Latinoamérica</t>
    </r>
    <r>
      <rPr>
        <rFont val="Arial, sans-serif"/>
        <color rgb="FF1155CC"/>
        <sz val="11.0"/>
        <u/>
      </rPr>
      <t>En la directiva de "debida diligencia" de la UE se ha cifrado mucha esperanza: las empresas se verian obligadas a respetar poblaciones y medio ambiente,...</t>
    </r>
    <r>
      <rPr>
        <rFont val="Arial, sans-serif"/>
        <color rgb="FF1155CC"/>
        <sz val="12.0"/>
        <u/>
      </rPr>
      <t>.</t>
    </r>
    <r>
      <rPr>
        <rFont val="Arial, sans-serif"/>
        <color rgb="FF1155CC"/>
        <sz val="11.0"/>
        <u/>
      </rPr>
      <t>12 feb 2024</t>
    </r>
  </si>
  <si>
    <t>DW</t>
  </si>
  <si>
    <t>Empresas y DDHH: peligra una ley vital para Latinoamérica</t>
  </si>
  <si>
    <t>las empresas se verían obligadas a respetar poblaciones y medio ambiente,...</t>
  </si>
  <si>
    <t>Companies and Human Rights: a vital law for Latin America is in danger</t>
  </si>
  <si>
    <t>Companies would be forced to respect populations and the environment,...</t>
  </si>
  <si>
    <r>
      <rPr>
        <rFont val="Arial, sans-serif"/>
        <color rgb="FF1155CC"/>
        <sz val="9.0"/>
        <u/>
      </rPr>
      <t>Actualidad Ambiental</t>
    </r>
    <r>
      <rPr>
        <rFont val="Arial, sans-serif"/>
        <color rgb="FF1155CC"/>
        <sz val="15.0"/>
        <u/>
      </rPr>
      <t>Derrame de Repsol: conoce el avance de la evaluación de los planes de rehabilitación</t>
    </r>
    <r>
      <rPr>
        <rFont val="Arial, sans-serif"/>
        <color rgb="FF1155CC"/>
        <sz val="11.0"/>
        <u/>
      </rPr>
      <t>Foto: Jonathan Fleischman El 4 de octubre de 2023 se cumplió el plazo para que la Refinería La Pampilla S. A. A. presente los planes de rehabilitación...</t>
    </r>
    <r>
      <rPr>
        <rFont val="Arial, sans-serif"/>
        <color rgb="FF1155CC"/>
        <sz val="12.0"/>
        <u/>
      </rPr>
      <t>.</t>
    </r>
    <r>
      <rPr>
        <rFont val="Arial, sans-serif"/>
        <color rgb="FF1155CC"/>
        <sz val="11.0"/>
        <u/>
      </rPr>
      <t>12 feb 2024</t>
    </r>
  </si>
  <si>
    <t>Derrame de Repsol: conoce el avance de la evaluación de los planes de rehabilitación</t>
  </si>
  <si>
    <t>El 4 de octubre de 2023 se cumplió el plazo para que la Refinería La Pampilla S. A. A. presente los planes de rehabilitación.</t>
  </si>
  <si>
    <t>Repsol spill: learn about the progress of the evaluation of the rehabilitation plans</t>
  </si>
  <si>
    <t>On October 4, 2023, the deadline for the La Pampilla S.A. Refinery to present the rehabilitation plans was met.</t>
  </si>
  <si>
    <t>Repsol spill, case progress</t>
  </si>
  <si>
    <t>Derrame de Repsol, avance del caso</t>
  </si>
  <si>
    <t>Ongoing litigation over environmental damage continues to negatively impact Repsol.</t>
  </si>
  <si>
    <t>derrame, rehabilitación, evaluación</t>
  </si>
  <si>
    <t>Negative due to environmental spill and rehabilitation efforts.</t>
  </si>
  <si>
    <t>Negativo por derrame ambiental y esfuerzos de rehabilitación.</t>
  </si>
  <si>
    <r>
      <rPr>
        <rFont val="Arial, sans-serif"/>
        <color rgb="FF1155CC"/>
        <sz val="9.0"/>
        <u/>
      </rPr>
      <t>Infobae</t>
    </r>
    <r>
      <rPr>
        <rFont val="Arial, sans-serif"/>
        <color rgb="FF1155CC"/>
        <sz val="15.0"/>
        <u/>
      </rPr>
      <t>El restaurante recomendado por la Guía Michelin situado junto a una ermita y con unas increíbles vistas a un acantilado</t>
    </r>
    <r>
      <rPr>
        <rFont val="Arial, sans-serif"/>
        <color rgb="FF1155CC"/>
        <sz val="11.0"/>
        <u/>
      </rPr>
      <t>El restaurante destaca sin duda por su ubicación, aunque también por su cocina, recomendada por la Guía Michelin y la Guía Repsol.</t>
    </r>
    <r>
      <rPr>
        <rFont val="Arial, sans-serif"/>
        <color rgb="FF1155CC"/>
        <sz val="12.0"/>
        <u/>
      </rPr>
      <t>.</t>
    </r>
    <r>
      <rPr>
        <rFont val="Arial, sans-serif"/>
        <color rgb="FF1155CC"/>
        <sz val="11.0"/>
        <u/>
      </rPr>
      <t>12 feb 2024</t>
    </r>
  </si>
  <si>
    <t>El restaurante recomendado por la Guía Michelin situado junto a una ermita y con unas increíbles vistas a un acantilado</t>
  </si>
  <si>
    <t>El restaurante destaca sin duda por su ubicación, aunque también por su cocina, recomendada por la Guía Michelin y la Guía Repsol.</t>
  </si>
  <si>
    <t>The restaurant recommended by the Michelin Guide located next to a hermitage and with incredible views of a cliff</t>
  </si>
  <si>
    <t>The restaurant undoubtedly stands out for its location, but also for its cuisine, recommended by the Michelin Guide and the Repsol Guide.</t>
  </si>
  <si>
    <r>
      <rPr>
        <rFont val="Arial, sans-serif"/>
        <color rgb="FF1155CC"/>
        <sz val="9.0"/>
        <u/>
      </rPr>
      <t>Actualidad Ambiental</t>
    </r>
    <r>
      <rPr>
        <rFont val="Arial, sans-serif"/>
        <color rgb="FF1155CC"/>
        <sz val="15.0"/>
        <u/>
      </rPr>
      <t>[Publicación] Derrame Repsol: conoce el rol del tercero administrado en procedimientos de relevancia ambiental</t>
    </r>
    <r>
      <rPr>
        <rFont val="Arial, sans-serif"/>
        <color rgb="FF1155CC"/>
        <sz val="11.0"/>
        <u/>
      </rPr>
      <t>Informe legal de la Sociedad Peruana de Derecho Ambiental (SPDA) presenta un análisis y descripción de la figura del “tercero administrado”, resaltando sus...</t>
    </r>
    <r>
      <rPr>
        <rFont val="Arial, sans-serif"/>
        <color rgb="FF1155CC"/>
        <sz val="12.0"/>
        <u/>
      </rPr>
      <t>.</t>
    </r>
    <r>
      <rPr>
        <rFont val="Arial, sans-serif"/>
        <color rgb="FF1155CC"/>
        <sz val="11.0"/>
        <u/>
      </rPr>
      <t>12 feb 2024</t>
    </r>
  </si>
  <si>
    <t>Derrame Repsol: conoce el rol del tercero administrado en procedimientos de relevancia ambiental</t>
  </si>
  <si>
    <t>Informe legal de la Sociedad Peruana de Derecho Ambiental (SPDA) presenta un análisis y descripción de la figura del “tercero administrado”, resaltando sus....</t>
  </si>
  <si>
    <t>Repsol spill: know the role of the third party administered in procedures of environmental relevance</t>
  </si>
  <si>
    <t>Legal report from the Peruvian Society of Environmental Law (SPDA) presents an analysis and description of the figure of the “managed third party”, highlighting its...</t>
  </si>
  <si>
    <t>Repsol spill, third-party liability</t>
  </si>
  <si>
    <t>Derrame de Repsol, responsabilidad civil</t>
  </si>
  <si>
    <t>Legal debates over liability in the oil spill case contribute to negative sentiment.</t>
  </si>
  <si>
    <t>derrame, tercero administrado, relevancia ambiental</t>
  </si>
  <si>
    <t>Negative due to environmental spill and legal proceedings.</t>
  </si>
  <si>
    <t>Negativo por derrame ambiental y procesos judiciales.</t>
  </si>
  <si>
    <r>
      <rPr>
        <rFont val="Arial, sans-serif"/>
        <color rgb="FF1155CC"/>
        <sz val="9.0"/>
        <u/>
      </rPr>
      <t>www.fundacionrepsol.com</t>
    </r>
    <r>
      <rPr>
        <rFont val="Arial, sans-serif"/>
        <color rgb="FF1155CC"/>
        <sz val="15.0"/>
        <u/>
      </rPr>
      <t>Fundación Repsol renueva su compromiso con la educación y las mujeres STEM</t>
    </r>
    <r>
      <rPr>
        <rFont val="Arial, sans-serif"/>
        <color rgb="FF1155CC"/>
        <sz val="11.0"/>
        <u/>
      </rPr>
      <t>La Fundación Repsol y la Fundación Carolina vienen desarrollando un programa de becas institucionales, dirigidas exclusivamente a la formación de postgrado...</t>
    </r>
    <r>
      <rPr>
        <rFont val="Arial, sans-serif"/>
        <color rgb="FF1155CC"/>
        <sz val="12.0"/>
        <u/>
      </rPr>
      <t>.</t>
    </r>
    <r>
      <rPr>
        <rFont val="Arial, sans-serif"/>
        <color rgb="FF1155CC"/>
        <sz val="11.0"/>
        <u/>
      </rPr>
      <t>13 feb 2024</t>
    </r>
  </si>
  <si>
    <t>Fundación Repsol renueva su compromiso con la educación y las mujeres STEM</t>
  </si>
  <si>
    <t>La Fundación Repsol y la Fundación Carolina vienen desarrollando un programa de becas institucionales, dirigidas exclusivamente a la formación de postgrado....</t>
  </si>
  <si>
    <t>Repsol Foundation renews its commitment to education and STEM women</t>
  </si>
  <si>
    <t>The Repsol Foundation and the Carolina Foundation have been developing an institutional scholarship program, aimed exclusively at postgraduate training....</t>
  </si>
  <si>
    <t>education commitment, Carolina Foundation</t>
  </si>
  <si>
    <t>“compromiso educativo”, “Fundación Carolina”</t>
  </si>
  <si>
    <t>Supporting education initiatives enhances Repsol’s corporate social responsibility image.</t>
  </si>
  <si>
    <t>educación, mujeres STEM, compromiso</t>
  </si>
  <si>
    <t>Positive due to educational and social initiatives.</t>
  </si>
  <si>
    <t>Positivo por iniciativas educativas y sociales.</t>
  </si>
  <si>
    <r>
      <rPr>
        <rFont val="Arial, sans-serif"/>
        <color rgb="FF1155CC"/>
        <sz val="9.0"/>
        <u/>
      </rPr>
      <t>motogp.com</t>
    </r>
    <r>
      <rPr>
        <rFont val="Arial, sans-serif"/>
        <color rgb="FF1155CC"/>
        <sz val="15.0"/>
        <u/>
      </rPr>
      <t>GALLERY: Repsol Honda unveil fresh colours for 2024</t>
    </r>
    <r>
      <rPr>
        <rFont val="Arial, sans-serif"/>
        <color rgb="FF1155CC"/>
        <sz val="11.0"/>
        <u/>
      </rPr>
      <t>Check out the studio pictures of the new-look MotoGP™ factory Hondas that Mir and Marini will be racing in 2024.</t>
    </r>
    <r>
      <rPr>
        <rFont val="Arial, sans-serif"/>
        <color rgb="FF1155CC"/>
        <sz val="12.0"/>
        <u/>
      </rPr>
      <t>.</t>
    </r>
    <r>
      <rPr>
        <rFont val="Arial, sans-serif"/>
        <color rgb="FF1155CC"/>
        <sz val="11.0"/>
        <u/>
      </rPr>
      <t>13 feb 2024</t>
    </r>
  </si>
  <si>
    <t>motogp.com</t>
  </si>
  <si>
    <t>GALLERY: Repsol Honda unveil fresh colours for 2024</t>
  </si>
  <si>
    <t>Check out the studio pictures of the new-look MotoGP™ factory Hondas that Mir and Marini will be racing in 2024.</t>
  </si>
  <si>
    <t>GALLERY: Repsol Honda unveil fresh colors for 2024</t>
  </si>
  <si>
    <r>
      <rPr>
        <rFont val="Arial, sans-serif"/>
        <color rgb="FF1155CC"/>
        <sz val="9.0"/>
        <u/>
      </rPr>
      <t>Box Repsol</t>
    </r>
    <r>
      <rPr>
        <rFont val="Arial, sans-serif"/>
        <color rgb="FF1155CC"/>
        <sz val="15.0"/>
        <u/>
      </rPr>
      <t>El equipo Repsol Honda se presenta en Madrid en un año clave por la llegada de los combustibles renovables a MotoGP</t>
    </r>
    <r>
      <rPr>
        <rFont val="Arial, sans-serif"/>
        <color rgb="FF1155CC"/>
        <sz val="11.0"/>
        <u/>
      </rPr>
      <t>Los pilotos Joan Mir y Luca Marini han sido los protagonistas de un gran evento, en el que también se ha conmemorado el 30 aniversario de alianza de Repsol...</t>
    </r>
    <r>
      <rPr>
        <rFont val="Arial, sans-serif"/>
        <color rgb="FF1155CC"/>
        <sz val="12.0"/>
        <u/>
      </rPr>
      <t>.</t>
    </r>
    <r>
      <rPr>
        <rFont val="Arial, sans-serif"/>
        <color rgb="FF1155CC"/>
        <sz val="11.0"/>
        <u/>
      </rPr>
      <t>13 feb 2024</t>
    </r>
  </si>
  <si>
    <t>El equipo Repsol Honda se presenta en Madrid en un año clave por la llegada de los combustibles renovables a MotoGP</t>
  </si>
  <si>
    <t>El equipo Repsol Honda se presenta en Madrid en un año clave por la llegada de los combustibles renovables a MotoGP. Los pilotos Joan Mir y Luca Marini han sido los protagonistas de un gran evento, en el que también se ha conmemorado el 30 aniversario de alianza de Repsol.</t>
  </si>
  <si>
    <t>The Repsol Honda team presents in Madrid in a key year due to the arrival of renewable fuels to MotoGP</t>
  </si>
  <si>
    <t>The Repsol Honda team appears in Madrid in a key year due to the arrival of renewable fuels to MotoGP. The drivers Joan Mir and Luca Marini have been the protagonists of a great event, which also commemorated the 30th anniversary of the Repsol alliance.</t>
  </si>
  <si>
    <t>combustibles renovables, gran evento</t>
  </si>
  <si>
    <t>Positive due to focus on renewable fuels and event success.</t>
  </si>
  <si>
    <t>Positivo debido al enfoque en los combustibles renovables y al éxito del evento.</t>
  </si>
  <si>
    <r>
      <rPr>
        <rFont val="Arial, sans-serif"/>
        <color rgb="FF1155CC"/>
        <sz val="9.0"/>
        <u/>
      </rPr>
      <t>Cadena SER</t>
    </r>
    <r>
      <rPr>
        <rFont val="Arial, sans-serif"/>
        <color rgb="FF1155CC"/>
        <sz val="15.0"/>
        <u/>
      </rPr>
      <t>Repsol despide a seis trabajadores de la planta de Asfaltos de Puertollano por un caso de acoso laboral a una compañera</t>
    </r>
    <r>
      <rPr>
        <rFont val="Arial, sans-serif"/>
        <color rgb="FF1155CC"/>
        <sz val="11.0"/>
        <u/>
      </rPr>
      <t>Puertollano. Es noticia que les adelanta Radio Puertollano Cadena SER. Repsol interpone la mayor sanción disciplinaria de la historia del Complejo...</t>
    </r>
    <r>
      <rPr>
        <rFont val="Arial, sans-serif"/>
        <color rgb="FF1155CC"/>
        <sz val="12.0"/>
        <u/>
      </rPr>
      <t>.</t>
    </r>
    <r>
      <rPr>
        <rFont val="Arial, sans-serif"/>
        <color rgb="FF1155CC"/>
        <sz val="11.0"/>
        <u/>
      </rPr>
      <t>13 feb 2024</t>
    </r>
  </si>
  <si>
    <t>Repsol despide a seis trabajadores de la planta de Asfaltos de Puertollano por un caso de acoso laboral a una compañera</t>
  </si>
  <si>
    <t>Repsol despide a seis trabajadores de la planta de Asfaltos de Puertollano por un caso de acoso laboral a una compañera. Repsol interpone la mayor sanción disciplinaria de la historia del Complejo.</t>
  </si>
  <si>
    <t>Repsol fires six workers from the Puertollano Asfaltos plant due to a case of workplace harassment of a colleague</t>
  </si>
  <si>
    <t>Repsol dismisses six workers from the Puertollano Asfaltos plant due to a case of workplace harassment of a colleague. Repsol files the largest disciplinary sanction in the history of the Complex.</t>
  </si>
  <si>
    <t>worker dismissals, Puertollano refinery</t>
  </si>
  <si>
    <t>Despidos de trabajadores, Refinería de Puertollano</t>
  </si>
  <si>
    <t>Layoffs at key facilities may create negative sentiment about Repsol’s labor practices.</t>
  </si>
  <si>
    <t>acoso laboral, despido, sanción</t>
  </si>
  <si>
    <t>Negative due to workplace harassment and disciplinary actions.</t>
  </si>
  <si>
    <t>Negativo por acoso laboral y acciones disciplinarias.</t>
  </si>
  <si>
    <r>
      <rPr>
        <rFont val="Arial, sans-serif"/>
        <color rgb="FF1155CC"/>
        <sz val="9.0"/>
        <u/>
      </rPr>
      <t>Mundo Deportivo</t>
    </r>
    <r>
      <rPr>
        <rFont val="Arial, sans-serif"/>
        <color rgb="FF1155CC"/>
        <sz val="15.0"/>
        <u/>
      </rPr>
      <t>El equipo Repsol Honda presenta su nueva moto en Madrid</t>
    </r>
    <r>
      <rPr>
        <rFont val="Arial, sans-serif"/>
        <color rgb="FF1155CC"/>
        <sz val="11.0"/>
        <u/>
      </rPr>
      <t>El auditorio madrileño Warner Music de Príncipe Pío fue el lugar elegido por Repsol Honda para dar a conocer al mundo el que será su nuevo equipo,...</t>
    </r>
    <r>
      <rPr>
        <rFont val="Arial, sans-serif"/>
        <color rgb="FF1155CC"/>
        <sz val="12.0"/>
        <u/>
      </rPr>
      <t>.</t>
    </r>
    <r>
      <rPr>
        <rFont val="Arial, sans-serif"/>
        <color rgb="FF1155CC"/>
        <sz val="11.0"/>
        <u/>
      </rPr>
      <t>13 feb 2024</t>
    </r>
  </si>
  <si>
    <t>El equipo Repsol Honda presenta su nueva moto en Madrid</t>
  </si>
  <si>
    <t>El auditorio madrileño Warner Music de Príncipe Pío fue el lugar elegido por Repsol Honda para dar a conocer al mundo el que será su nuevo equipo,....</t>
  </si>
  <si>
    <t>The Repsol Honda team presents its new motorcycle in Madrid</t>
  </si>
  <si>
    <t>The Madrid Warner Music auditorium in Príncipe Pío was the place chosen by Repsol Honda to make known to the world what will be its new team....</t>
  </si>
  <si>
    <t>Team motorcycle launches do not affect Repsol’s corporate perception.</t>
  </si>
  <si>
    <t>nueva moto, presentación</t>
  </si>
  <si>
    <t>Positive due to new product launch.</t>
  </si>
  <si>
    <t>Positivo debido al lanzamiento de nuevos productos.</t>
  </si>
  <si>
    <r>
      <rPr>
        <rFont val="Arial, sans-serif"/>
        <color rgb="FF1155CC"/>
        <sz val="9.0"/>
        <u/>
      </rPr>
      <t>Cinco Días</t>
    </r>
    <r>
      <rPr>
        <rFont val="Arial, sans-serif"/>
        <color rgb="FF1155CC"/>
        <sz val="15.0"/>
        <u/>
      </rPr>
      <t>Eléctrica contra petrolera: la batalla abierta entre Iberdrola y Repsol</t>
    </r>
    <r>
      <rPr>
        <rFont val="Arial, sans-serif"/>
        <color rgb="FF1155CC"/>
        <sz val="11.0"/>
        <u/>
      </rPr>
      <t>A raíz de la crisis energética derivada de la guerra de Ucrania, el Gobierno decidió intervenir el mercado eléctrico imponiendo límites a los precios que...</t>
    </r>
    <r>
      <rPr>
        <rFont val="Arial, sans-serif"/>
        <color rgb="FF1155CC"/>
        <sz val="12.0"/>
        <u/>
      </rPr>
      <t>.</t>
    </r>
    <r>
      <rPr>
        <rFont val="Arial, sans-serif"/>
        <color rgb="FF1155CC"/>
        <sz val="11.0"/>
        <u/>
      </rPr>
      <t>13 feb 2024</t>
    </r>
  </si>
  <si>
    <t>Eléctrica contra petrolera: la batalla abierta entre Iberdrola y Repsol</t>
  </si>
  <si>
    <t>A raíz de la crisis energética derivada de la guerra de Ucrania, el Gobierno decidió intervenir el mercado eléctrico imponiendo límites a los precios que....</t>
  </si>
  <si>
    <t>Electricity against oil: the open battle between Iberdrola and Repsol</t>
  </si>
  <si>
    <t>As a result of the energy crisis derived from the war in Ukraine, the Government decided to intervene in the electricity market by imposing limits on the prices that...</t>
  </si>
  <si>
    <t>General discussions on energy transitions do not directly impact Repsol.</t>
  </si>
  <si>
    <t>batalla, crisis energética, límites</t>
  </si>
  <si>
    <t>Negative due to conflict and market intervention.</t>
  </si>
  <si>
    <t>Negativo debido al conflicto y la intervención del mercado.</t>
  </si>
  <si>
    <r>
      <rPr>
        <rFont val="Arial, sans-serif"/>
        <color rgb="FF1155CC"/>
        <sz val="9.0"/>
        <u/>
      </rPr>
      <t>Diario AS</t>
    </r>
    <r>
      <rPr>
        <rFont val="Arial, sans-serif"/>
        <color rgb="FF1155CC"/>
        <sz val="15.0"/>
        <u/>
      </rPr>
      <t>Repsol Honda presenta la primera moto ‘post’ Márquez</t>
    </r>
    <r>
      <rPr>
        <rFont val="Arial, sans-serif"/>
        <color rgb="FF1155CC"/>
        <sz val="11.0"/>
        <u/>
      </rPr>
      <t>El piloto español nacido en Palma de Mallorca, Joan Mir, durante la presentación de la nueva moto de Repsol Honda. FOTO:@HRC_MotoGPDIARIO AS.</t>
    </r>
    <r>
      <rPr>
        <rFont val="Arial, sans-serif"/>
        <color rgb="FF1155CC"/>
        <sz val="12.0"/>
        <u/>
      </rPr>
      <t>.</t>
    </r>
    <r>
      <rPr>
        <rFont val="Arial, sans-serif"/>
        <color rgb="FF1155CC"/>
        <sz val="11.0"/>
        <u/>
      </rPr>
      <t>13 feb 2024</t>
    </r>
  </si>
  <si>
    <t>Diario AS</t>
  </si>
  <si>
    <t>Repsol Honda presenta la primera moto ‘post’ Márquez</t>
  </si>
  <si>
    <t>El piloto español nacido en Palma de Mallorca, Joan Mir, durante la presentación de la nueva moto de Repsol Honda. FOTO:@HRC_MotoGP</t>
  </si>
  <si>
    <t>Repsol Honda presents the first 'post' Márquez motorcycle</t>
  </si>
  <si>
    <t>The Spanish rider born in Palma de Mallorca, Joan Mir, during the presentation of the new Repsol Honda motorcycle. PHOTO:@HRC_MotoGP</t>
  </si>
  <si>
    <r>
      <rPr>
        <rFont val="Arial, sans-serif"/>
        <color rgb="FF1155CC"/>
        <sz val="9.0"/>
        <u/>
      </rPr>
      <t>Motorpoint</t>
    </r>
    <r>
      <rPr>
        <rFont val="Arial, sans-serif"/>
        <color rgb="FF1155CC"/>
        <sz val="15.0"/>
        <u/>
      </rPr>
      <t>Presentación de la nueva RC213V: cambios radicales en diseño y apuesta por combustible renovable en MotoGP</t>
    </r>
    <r>
      <rPr>
        <rFont val="Arial, sans-serif"/>
        <color rgb="FF1155CC"/>
        <sz val="11.0"/>
        <u/>
      </rPr>
      <t>En un evento celebrado en el espacio Warner Music, en el centro de Madrid, el equipo más laureado (16 títulos a nivel de pilotos y 15 a nivel de equipo...</t>
    </r>
    <r>
      <rPr>
        <rFont val="Arial, sans-serif"/>
        <color rgb="FF1155CC"/>
        <sz val="12.0"/>
        <u/>
      </rPr>
      <t>.</t>
    </r>
    <r>
      <rPr>
        <rFont val="Arial, sans-serif"/>
        <color rgb="FF1155CC"/>
        <sz val="11.0"/>
        <u/>
      </rPr>
      <t>13 feb 2024</t>
    </r>
  </si>
  <si>
    <t>Motorpoint</t>
  </si>
  <si>
    <t>Presentación de la nueva RC213V: cambios radicales en diseño y apuesta por combustible renovable en MotoGP</t>
  </si>
  <si>
    <t>cambios radicales en diseño y apuesta por combustible renovable en MotoGP</t>
  </si>
  <si>
    <t>Presentation of the new RC213V: radical changes in design and commitment to renewable fuel in MotoGP</t>
  </si>
  <si>
    <t>radical changes in design and commitment to renewable fuel in MotoGP</t>
  </si>
  <si>
    <t>Motorcycle redesigns do not impact Repsol’s corporate image.</t>
  </si>
  <si>
    <t>cambios radicales, combustible renovable</t>
  </si>
  <si>
    <t>Positive due to innovation and renewable fuels.</t>
  </si>
  <si>
    <t>Positivo por la innovación y los combustibles renovables.</t>
  </si>
  <si>
    <r>
      <rPr>
        <rFont val="Arial, sans-serif"/>
        <color rgb="FF1155CC"/>
        <sz val="9.0"/>
        <u/>
      </rPr>
      <t>Kelisto</t>
    </r>
    <r>
      <rPr>
        <rFont val="Arial, sans-serif"/>
        <color rgb="FF1155CC"/>
        <sz val="15.0"/>
        <u/>
      </rPr>
      <t>Waylet, de Repsol: los cinco trucos definitivos para sacarle el máximo partido</t>
    </r>
    <r>
      <rPr>
        <rFont val="Arial, sans-serif"/>
        <color rgb="FF1155CC"/>
        <sz val="11.0"/>
        <u/>
      </rPr>
      <t>Con Waylet, la app de Repsol, puedes ahorrar hasta 200 euros al año si la utilizas para repostar y si contratas alguna de sus tarifas de luz.</t>
    </r>
    <r>
      <rPr>
        <rFont val="Arial, sans-serif"/>
        <color rgb="FF1155CC"/>
        <sz val="12.0"/>
        <u/>
      </rPr>
      <t>.</t>
    </r>
    <r>
      <rPr>
        <rFont val="Arial, sans-serif"/>
        <color rgb="FF1155CC"/>
        <sz val="11.0"/>
        <u/>
      </rPr>
      <t>13 feb 2024</t>
    </r>
  </si>
  <si>
    <t>Kelisto</t>
  </si>
  <si>
    <t>Los cinco trucos definitivos para sacarle el máximo partido a Waylet, la app de Repsol</t>
  </si>
  <si>
    <t>Con Waylet, la app de Repsol, puedes ahorrar hasta 200 euros al año si la utilizas para repostar y si contratas alguna de sus tarifas de luz.</t>
  </si>
  <si>
    <t>The five definitive tricks to get the most out of Waylet, the Repsol app</t>
  </si>
  <si>
    <t>With Waylet, Repsol's app, you can save up to 200 euros a year if you use it to refuel and if you subscribe to one of their electricity rates.</t>
  </si>
  <si>
    <r>
      <rPr>
        <rFont val="Arial, sans-serif"/>
        <color rgb="FF1155CC"/>
        <sz val="9.0"/>
        <u/>
      </rPr>
      <t>Canariasenmoto.com</t>
    </r>
    <r>
      <rPr>
        <rFont val="Arial, sans-serif"/>
        <color rgb="FF1155CC"/>
        <sz val="15.0"/>
        <u/>
      </rPr>
      <t>Presentación del Honda Repsol Team de Luca Marini y Joan Mir</t>
    </r>
    <r>
      <rPr>
        <rFont val="Arial, sans-serif"/>
        <color rgb="FF1155CC"/>
        <sz val="11.0"/>
        <u/>
      </rPr>
      <t>Joan Mir y Luca Marini desvelan los nuevos colores del Repsol Honda. La presentación oficial del equipo Repsol Honda ha servido como pistoletazo de salida...</t>
    </r>
    <r>
      <rPr>
        <rFont val="Arial, sans-serif"/>
        <color rgb="FF1155CC"/>
        <sz val="12.0"/>
        <u/>
      </rPr>
      <t>.</t>
    </r>
    <r>
      <rPr>
        <rFont val="Arial, sans-serif"/>
        <color rgb="FF1155CC"/>
        <sz val="11.0"/>
        <u/>
      </rPr>
      <t>13 feb 2024</t>
    </r>
  </si>
  <si>
    <t>Presentación del Honda Repsol Team de Luca Marini y Joan Mir</t>
  </si>
  <si>
    <t>Joan Mir y Luca Marini desvelan los nuevos colores del Repsol Honda. La presentación oficial del equipo Repsol Honda ha servido como pistoletazo de salida....</t>
  </si>
  <si>
    <t>Presentation of the Honda Repsol Team by Luca Marini and Joan Mir</t>
  </si>
  <si>
    <t>Joan Mir and Luca Marini reveal the new colors of the Repsol Honda. The official presentation of the Repsol Honda team served as the starting signal....</t>
  </si>
  <si>
    <t>nuevos colores, presentación</t>
  </si>
  <si>
    <r>
      <rPr>
        <rFont val="Arial, sans-serif"/>
        <color rgb="FF1155CC"/>
        <sz val="9.0"/>
        <u/>
      </rPr>
      <t>Híbridos y Eléctricos</t>
    </r>
    <r>
      <rPr>
        <rFont val="Arial, sans-serif"/>
        <color rgb="FF1155CC"/>
        <sz val="15.0"/>
        <u/>
      </rPr>
      <t>Repsol compra una prometedora empresa de puntos de recarga con más de 125.000 estaciones</t>
    </r>
    <r>
      <rPr>
        <rFont val="Arial, sans-serif"/>
        <color rgb="FF1155CC"/>
        <sz val="11.0"/>
        <u/>
      </rPr>
      <t>Repsol impulsa su apuesta por la movilidad eléctrica en la Península Ibérica con la compra de la lusa miio. Con esta alianza, Repsol ampliará sus puntos de...</t>
    </r>
    <r>
      <rPr>
        <rFont val="Arial, sans-serif"/>
        <color rgb="FF1155CC"/>
        <sz val="12.0"/>
        <u/>
      </rPr>
      <t>.</t>
    </r>
    <r>
      <rPr>
        <rFont val="Arial, sans-serif"/>
        <color rgb="FF1155CC"/>
        <sz val="11.0"/>
        <u/>
      </rPr>
      <t>13 feb 2024</t>
    </r>
  </si>
  <si>
    <t>Repsol compra una prometedora empresa de puntos de recarga con más de 125.000 estaciones</t>
  </si>
  <si>
    <t>Repsol impulsa su apuesta por la movilidad eléctrica en la Península Ibérica con la compra de la lusa miio. Con esta alianza, Repsol ampliará sus puntos de....</t>
  </si>
  <si>
    <t>Repsol buys a promising charging point company with more than 125,000 stations</t>
  </si>
  <si>
    <t>Repsol promotes its commitment to electric mobility in the Iberian Peninsula with the purchase of Lusa Miio. With this alliance, Repsol will expand its points of...</t>
  </si>
  <si>
    <t>charging point company, electric mobility</t>
  </si>
  <si>
    <t>empresa de puntos de recarga, movilidad eléctrica</t>
  </si>
  <si>
    <t>Expanding electric charging infrastructure aligns with Repsol’s energy transition strategy.</t>
  </si>
  <si>
    <t>movilidad eléctrica, compra, ampliación</t>
  </si>
  <si>
    <t>Positive due to investment in electric mobility.</t>
  </si>
  <si>
    <t>Positivo por la inversión en movilidad eléctrica.</t>
  </si>
  <si>
    <r>
      <rPr>
        <rFont val="Arial, sans-serif"/>
        <color rgb="FF1155CC"/>
        <sz val="9.0"/>
        <u/>
      </rPr>
      <t>Marca.com</t>
    </r>
    <r>
      <rPr>
        <rFont val="Arial, sans-serif"/>
        <color rgb="FF1155CC"/>
        <sz val="15.0"/>
        <u/>
      </rPr>
      <t>Repsol Honda: Una nueva era sin Marc Márquez y con Mir y Marini</t>
    </r>
    <r>
      <rPr>
        <rFont val="Arial, sans-serif"/>
        <color rgb="FF1155CC"/>
        <sz val="11.0"/>
        <u/>
      </rPr>
      <t>El equipo más laureado del Mundial de MotoGP, el Repsol Honda, se presentó en Madrid. Por primera vez desde 2012 no estaba Marc Márquez, un hueco difícil de...</t>
    </r>
    <r>
      <rPr>
        <rFont val="Arial, sans-serif"/>
        <color rgb="FF1155CC"/>
        <sz val="12.0"/>
        <u/>
      </rPr>
      <t>.</t>
    </r>
    <r>
      <rPr>
        <rFont val="Arial, sans-serif"/>
        <color rgb="FF1155CC"/>
        <sz val="11.0"/>
        <u/>
      </rPr>
      <t>13 feb 2024</t>
    </r>
  </si>
  <si>
    <t>Marca.com</t>
  </si>
  <si>
    <t>Repsol Honda: Una nueva era sin Marc Márquez y con Mir y Marini</t>
  </si>
  <si>
    <t>El equipo más laureado del Mundial de MotoGP, el Repsol Honda, se presentó en Madrid. Por primera vez desde 2012 no estaba Marc Márquez, un hueco difícil de....</t>
  </si>
  <si>
    <t>Repsol Honda: A new era without Marc Márquez and with Mir and Marini</t>
  </si>
  <si>
    <t>The most successful team in the MotoGP World Championship, Repsol Honda, was presented in Madrid. For the first time since 2012, Marc Márquez was not there, a difficult gap to...</t>
  </si>
  <si>
    <t>Changes in rider lineup do not impact Repsol’s business.</t>
  </si>
  <si>
    <t>nueva era, Mir y Marini</t>
  </si>
  <si>
    <t>Neutral to positive due to new team dynamics.</t>
  </si>
  <si>
    <t>De neutral a positivo debido a la nueva dinámica del equipo.</t>
  </si>
  <si>
    <r>
      <rPr>
        <rFont val="Arial, sans-serif"/>
        <color rgb="FF1155CC"/>
        <sz val="9.0"/>
        <u/>
      </rPr>
      <t>Motociclismo</t>
    </r>
    <r>
      <rPr>
        <rFont val="Arial, sans-serif"/>
        <color rgb="FF1155CC"/>
        <sz val="15.0"/>
        <u/>
      </rPr>
      <t>Presentación del Repsol Honda MotoGP 2024 con Joan Mir y Luca Marini</t>
    </r>
    <r>
      <rPr>
        <rFont val="Arial, sans-serif"/>
        <color rgb="FF1155CC"/>
        <sz val="11.0"/>
        <u/>
      </rPr>
      <t>El Repsol Honda desvela la decoración de las Honda RC213V para la temporada 2024 del Mundial de MotoGP.</t>
    </r>
    <r>
      <rPr>
        <rFont val="Arial, sans-serif"/>
        <color rgb="FF1155CC"/>
        <sz val="12.0"/>
        <u/>
      </rPr>
      <t>.</t>
    </r>
    <r>
      <rPr>
        <rFont val="Arial, sans-serif"/>
        <color rgb="FF1155CC"/>
        <sz val="11.0"/>
        <u/>
      </rPr>
      <t>13 feb 2024</t>
    </r>
  </si>
  <si>
    <t>Presentación del Repsol Honda MotoGP 2024 con Joan Mir y Luca Marini</t>
  </si>
  <si>
    <t>El Repsol Honda desvela la decoración de las Honda RC213V para la temporada 2024 del Mundial de MotoGP.</t>
  </si>
  <si>
    <t>Presentation of the Repsol Honda MotoGP 2024 with Joan Mir and Luca Marini</t>
  </si>
  <si>
    <t>Repsol Honda reveals the livery of the Honda RC213V for the 2024 season of the MotoGP World Championship.</t>
  </si>
  <si>
    <t>Team motorcycle designs do not impact Repsol’s corporate reputation.</t>
  </si>
  <si>
    <t>decoración, nueva temporada</t>
  </si>
  <si>
    <r>
      <rPr>
        <rFont val="Arial, sans-serif"/>
        <color rgb="FF1155CC"/>
        <sz val="9.0"/>
        <u/>
      </rPr>
      <t>20Minutos</t>
    </r>
    <r>
      <rPr>
        <rFont val="Arial, sans-serif"/>
        <color rgb="FF1155CC"/>
        <sz val="15.0"/>
        <u/>
      </rPr>
      <t>Cambio radical en la nueva moto de Repsol Honda tras el adiós de Marc Márquez</t>
    </r>
    <r>
      <rPr>
        <rFont val="Arial, sans-serif"/>
        <color rgb="FF1155CC"/>
        <sz val="11.0"/>
        <u/>
      </rPr>
      <t>Repsol Honda inicia una nueva etapa sin Marc Márquez para esta nueva temporada con Joan Mir y Luca Marini. El auditorio madrileño Warner Music de Príncipe...</t>
    </r>
    <r>
      <rPr>
        <rFont val="Arial, sans-serif"/>
        <color rgb="FF1155CC"/>
        <sz val="12.0"/>
        <u/>
      </rPr>
      <t>.</t>
    </r>
    <r>
      <rPr>
        <rFont val="Arial, sans-serif"/>
        <color rgb="FF1155CC"/>
        <sz val="11.0"/>
        <u/>
      </rPr>
      <t>13 feb 2024</t>
    </r>
  </si>
  <si>
    <t>Cambio radical en la nueva moto de Repsol Honda tras el adiós de Marc Márquez</t>
  </si>
  <si>
    <t>Repsol Honda inicia una nueva etapa sin Marc Márquez para esta nueva temporada con Joan Mir y Luca Marini. El auditorio madrileño Warner Music de Príncipe....</t>
  </si>
  <si>
    <t>Radical change in the new Repsol Honda motorcycle after Marc Márquez's goodbye</t>
  </si>
  <si>
    <t>Repsol Honda begins a new stage without Marc Márquez for this new season with Joan Mir and Luca Marini. The Warner Music de Príncipe Madrid auditorium....</t>
  </si>
  <si>
    <t>Motorsport design updates do not impact Repsol’s business.</t>
  </si>
  <si>
    <t>nueva etapa, cambio radical</t>
  </si>
  <si>
    <r>
      <rPr>
        <rFont val="Arial, sans-serif"/>
        <color rgb="FF1155CC"/>
        <sz val="9.0"/>
        <u/>
      </rPr>
      <t>Mundo Deportivo</t>
    </r>
    <r>
      <rPr>
        <rFont val="Arial, sans-serif"/>
        <color rgb="FF1155CC"/>
        <sz val="15.0"/>
        <u/>
      </rPr>
      <t>Así es la moto de Repsol Honda Team del 2024</t>
    </r>
    <r>
      <rPr>
        <rFont val="Arial, sans-serif"/>
        <color rgb="FF1155CC"/>
        <sz val="11.0"/>
        <u/>
      </rPr>
      <t>Repsol Honda ha revelado el nuevo diseño de las RC213V para la temporada 2024. Con Joan Mir y Luca Marini como pilotos y una estética renovada,...</t>
    </r>
    <r>
      <rPr>
        <rFont val="Arial, sans-serif"/>
        <color rgb="FF1155CC"/>
        <sz val="12.0"/>
        <u/>
      </rPr>
      <t>.</t>
    </r>
    <r>
      <rPr>
        <rFont val="Arial, sans-serif"/>
        <color rgb="FF1155CC"/>
        <sz val="11.0"/>
        <u/>
      </rPr>
      <t>13 feb 2024</t>
    </r>
  </si>
  <si>
    <t>Así es la moto de Repsol Honda Team del 2024</t>
  </si>
  <si>
    <t>Repsol Honda ha revelado el nuevo diseño de las RC213V para la temporada 2024. Con Joan Mir y Luca Marini como pilotos y una estética renovada,....</t>
  </si>
  <si>
    <t>This is the Repsol Honda Team motorcycle of 2024</t>
  </si>
  <si>
    <t>Repsol Honda has revealed the new design of the RC213V for the 2024 season. With Joan Mir and Luca Marini as drivers and a renewed aesthetic,....</t>
  </si>
  <si>
    <t>Motorcycle redesigns do not impact Repsol’s corporate perception.</t>
  </si>
  <si>
    <t>nuevo diseño, estética renovada</t>
  </si>
  <si>
    <t>Positive due to new design and innovation.</t>
  </si>
  <si>
    <t>Positivo debido al nuevo diseño y la innovación.</t>
  </si>
  <si>
    <r>
      <rPr>
        <rFont val="Arial, sans-serif"/>
        <color rgb="FF1155CC"/>
        <sz val="9.0"/>
        <u/>
      </rPr>
      <t>www.motogp.com</t>
    </r>
    <r>
      <rPr>
        <rFont val="Arial, sans-serif"/>
        <color rgb="FF1155CC"/>
        <sz val="15.0"/>
        <u/>
      </rPr>
      <t>El Repsol Honda Team presenta nuevo diseño para la campaña 2024</t>
    </r>
    <r>
      <rPr>
        <rFont val="Arial, sans-serif"/>
        <color rgb="FF1155CC"/>
        <sz val="11.0"/>
        <u/>
      </rPr>
      <t>Para celebrar los 30 años de colaboración y asociación entre Honda HRC y Repsol, Joan Mir y Luca Marini desvelan sus llamativas máquinas RC213V 2024 en la...</t>
    </r>
    <r>
      <rPr>
        <rFont val="Arial, sans-serif"/>
        <color rgb="FF1155CC"/>
        <sz val="12.0"/>
        <u/>
      </rPr>
      <t>.</t>
    </r>
    <r>
      <rPr>
        <rFont val="Arial, sans-serif"/>
        <color rgb="FF1155CC"/>
        <sz val="11.0"/>
        <u/>
      </rPr>
      <t>13 feb 2024</t>
    </r>
  </si>
  <si>
    <t>El Repsol Honda Team presenta nuevo diseño para la campaña 2024</t>
  </si>
  <si>
    <t>Para celebrar los 30 años de colaboración y asociación entre Honda HRC y Repsol, Joan Mir y Luca Marini desvelan sus llamativas máquinas RC213V 2024 en la....</t>
  </si>
  <si>
    <t>The Repsol Honda Team presents new design for the 2024 campaign</t>
  </si>
  <si>
    <t>To celebrate 30 years of collaboration and partnership between Honda HRC and Repsol, Joan Mir and Luca Marini unveil their striking 2024 RC213V machines at the....</t>
  </si>
  <si>
    <t>Team branding updates do not impact Repsol’s business.</t>
  </si>
  <si>
    <t>nuevo diseño, 30 años de colaboración</t>
  </si>
  <si>
    <t>Positive due to new design and long-term collaboration.</t>
  </si>
  <si>
    <t>Positivo debido al nuevo diseño y la colaboración a largo plazo.</t>
  </si>
  <si>
    <r>
      <rPr>
        <rFont val="Arial, sans-serif"/>
        <color rgb="FF1155CC"/>
        <sz val="9.0"/>
        <u/>
      </rPr>
      <t>Todocircuito.com</t>
    </r>
    <r>
      <rPr>
        <rFont val="Arial, sans-serif"/>
        <color rgb="FF1155CC"/>
        <sz val="15.0"/>
        <u/>
      </rPr>
      <t>FOTOS: La nueva y rompedora decoración del Repsol Honda Team 2024 en MotoGP</t>
    </r>
    <r>
      <rPr>
        <rFont val="Arial, sans-serif"/>
        <color rgb="FF1155CC"/>
        <sz val="11.0"/>
        <u/>
      </rPr>
      <t>El Teatro Warner Music de Príncipe Pío ha sido el escenario elegido por el Repsol Honda Team para la puesta de largo de su proyecto 2024 en MotoGP,...</t>
    </r>
    <r>
      <rPr>
        <rFont val="Arial, sans-serif"/>
        <color rgb="FF1155CC"/>
        <sz val="12.0"/>
        <u/>
      </rPr>
      <t>.</t>
    </r>
    <r>
      <rPr>
        <rFont val="Arial, sans-serif"/>
        <color rgb="FF1155CC"/>
        <sz val="11.0"/>
        <u/>
      </rPr>
      <t>13 feb 2024</t>
    </r>
  </si>
  <si>
    <t>FOTOS: La nueva y rompedora decoración del Repsol Honda Team 2024 en MotoGP</t>
  </si>
  <si>
    <t>El Teatro Warner Music de Príncipe Pío ha sido el escenario elegido por el Repsol Honda Team para la puesta de largo de su proyecto 2024 en MotoGP,....</t>
  </si>
  <si>
    <t>PHOTOS: The new and groundbreaking decoration of the Repsol Honda Team 2024 in MotoGP</t>
  </si>
  <si>
    <t>The Warner Music Theater in Príncipe Pío has been the setting chosen by the Repsol Honda Team for the launch of its 2024 project in MotoGP,...</t>
  </si>
  <si>
    <r>
      <rPr>
        <rFont val="Arial, sans-serif"/>
        <color rgb="FF1155CC"/>
        <sz val="9.0"/>
        <u/>
      </rPr>
      <t>La Razón</t>
    </r>
    <r>
      <rPr>
        <rFont val="Arial, sans-serif"/>
        <color rgb="FF1155CC"/>
        <sz val="15.0"/>
        <u/>
      </rPr>
      <t>El Repsol Honda se transforma para volver a lo más alto sin Marc Márquez</t>
    </r>
    <r>
      <rPr>
        <rFont val="Arial, sans-serif"/>
        <color rgb="FF1155CC"/>
        <sz val="11.0"/>
        <u/>
      </rPr>
      <t>El equipo Repsol Honda quiere dejar el pasado atrás, empezar de cero y crecer apoyado en las concesiones que les da el reglamento para ponerse a la altura...</t>
    </r>
    <r>
      <rPr>
        <rFont val="Arial, sans-serif"/>
        <color rgb="FF1155CC"/>
        <sz val="12.0"/>
        <u/>
      </rPr>
      <t>.</t>
    </r>
    <r>
      <rPr>
        <rFont val="Arial, sans-serif"/>
        <color rgb="FF1155CC"/>
        <sz val="11.0"/>
        <u/>
      </rPr>
      <t>13 feb 2024</t>
    </r>
  </si>
  <si>
    <t>El Repsol Honda se transforma para volver a lo más alto sin Marc Márquez</t>
  </si>
  <si>
    <t>El equipo Repsol Honda quiere dejar el pasado atrás, empezar de cero y crecer apoyado en las concesiones que les da el reglamento para ponerse a la altura....</t>
  </si>
  <si>
    <t>Repsol Honda transforms to return to the top without Marc Márquez</t>
  </si>
  <si>
    <t>The Repsol Honda team wants to leave the past behind, start from scratch and grow supported by the concessions that the regulations give them to catch up...</t>
  </si>
  <si>
    <t>Motorsport team updates do not impact Repsol’s business.</t>
  </si>
  <si>
    <t>transformación, volver a lo más alto</t>
  </si>
  <si>
    <t>Neutral to positive due to team transformation.</t>
  </si>
  <si>
    <t>De neutral a positivo debido a la transformación del equipo.</t>
  </si>
  <si>
    <r>
      <rPr>
        <rFont val="Arial, sans-serif"/>
        <color rgb="FF1155CC"/>
        <sz val="9.0"/>
        <u/>
      </rPr>
      <t>Motociclismo</t>
    </r>
    <r>
      <rPr>
        <rFont val="Arial, sans-serif"/>
        <color rgb="FF1155CC"/>
        <sz val="15.0"/>
        <u/>
      </rPr>
      <t>Honda RC213V Repsol MotoGP 2024 de Joan Mir y Luca Marini</t>
    </r>
    <r>
      <rPr>
        <rFont val="Arial, sans-serif"/>
        <color rgb="FF1155CC"/>
        <sz val="11.0"/>
        <u/>
      </rPr>
      <t>Cambio radical en la decoración de la Honda RC213V, donde Repsol pierde presencia en favor de HRC.</t>
    </r>
    <r>
      <rPr>
        <rFont val="Arial, sans-serif"/>
        <color rgb="FF1155CC"/>
        <sz val="12.0"/>
        <u/>
      </rPr>
      <t>.</t>
    </r>
    <r>
      <rPr>
        <rFont val="Arial, sans-serif"/>
        <color rgb="FF1155CC"/>
        <sz val="11.0"/>
        <u/>
      </rPr>
      <t>13 feb 2024</t>
    </r>
  </si>
  <si>
    <t>Cambio radical en la decoración de la Honda RC213V, donde Repsol pierde presencia en favor de HRC.</t>
  </si>
  <si>
    <t>Radical change in the decoration of the Honda RC213V, where Repsol loses presence in favor of HRC.</t>
  </si>
  <si>
    <t>Team design updates do not impact Repsol’s corporate perception.</t>
  </si>
  <si>
    <t>cambio radical, pierde presencia</t>
  </si>
  <si>
    <t>Slightly negative due to reduced brand presence.</t>
  </si>
  <si>
    <t>Ligeramente negativo debido a la reducida presencia de la marca.</t>
  </si>
  <si>
    <r>
      <rPr>
        <rFont val="Arial, sans-serif"/>
        <color rgb="FF1155CC"/>
        <sz val="9.0"/>
        <u/>
      </rPr>
      <t>El Mundo</t>
    </r>
    <r>
      <rPr>
        <rFont val="Arial, sans-serif"/>
        <color rgb="FF1155CC"/>
        <sz val="15.0"/>
        <u/>
      </rPr>
      <t>Repsol Honda presenta la moto de la recuperación: "No pensamos en Márquez"</t>
    </r>
    <r>
      <rPr>
        <rFont val="Arial, sans-serif"/>
        <color rgb="FF1155CC"/>
        <sz val="11.0"/>
        <u/>
      </rPr>
      <t>La alegría debe regresar al Repsol Honda. Por MotoGP, que necesita celebraciones en el equipo más laureado de su historia. Por sus pilotos, Joan Mir y Luca...</t>
    </r>
    <r>
      <rPr>
        <rFont val="Arial, sans-serif"/>
        <color rgb="FF1155CC"/>
        <sz val="12.0"/>
        <u/>
      </rPr>
      <t>.</t>
    </r>
    <r>
      <rPr>
        <rFont val="Arial, sans-serif"/>
        <color rgb="FF1155CC"/>
        <sz val="11.0"/>
        <u/>
      </rPr>
      <t>13 feb 2024</t>
    </r>
  </si>
  <si>
    <t>Repsol Honda presenta la moto de la recuperación: "No pensamos en Márquez"</t>
  </si>
  <si>
    <t>La alegría debe regresar al Repsol Honda. Por MotoGP, que necesita celebraciones en el equipo más laureado de su historia. Por sus pilotos, Joan Mir y Luca....</t>
  </si>
  <si>
    <t>Repsol Honda presents the recovery bike: "We are not thinking about Márquez"</t>
  </si>
  <si>
    <t>Joy must return to Repsol Honda. For MotoGP, which needs celebrations in the most successful team in its history. For its pilots, Joan Mir and Luca....</t>
  </si>
  <si>
    <t>Motorsport strategy discussions do not impact Repsol’s business.</t>
  </si>
  <si>
    <t>recuperación, no pensamos en Márquez</t>
  </si>
  <si>
    <t>Neutral to positive due to focus on recovery.</t>
  </si>
  <si>
    <t>De neutral a positivo debido al enfoque en la recuperación.</t>
  </si>
  <si>
    <r>
      <rPr>
        <rFont val="Arial, sans-serif"/>
        <color rgb="FF1155CC"/>
        <sz val="9.0"/>
        <u/>
      </rPr>
      <t>Motorsport.com España</t>
    </r>
    <r>
      <rPr>
        <rFont val="Arial, sans-serif"/>
        <color rgb="FF1155CC"/>
        <sz val="15.0"/>
        <u/>
      </rPr>
      <t>Honda presenta la primera decoración post Márquez con muchos cambios</t>
    </r>
    <r>
      <rPr>
        <rFont val="Arial, sans-serif"/>
        <color rgb="FF1155CC"/>
        <sz val="11.0"/>
        <u/>
      </rPr>
      <t>En el 30 aniversario de la llegada de Repsol como patrocinador del equipo oficial Honda en el Mundial de Motociclismo, muchos son los cambios del equipo...</t>
    </r>
    <r>
      <rPr>
        <rFont val="Arial, sans-serif"/>
        <color rgb="FF1155CC"/>
        <sz val="12.0"/>
        <u/>
      </rPr>
      <t>.</t>
    </r>
    <r>
      <rPr>
        <rFont val="Arial, sans-serif"/>
        <color rgb="FF1155CC"/>
        <sz val="11.0"/>
        <u/>
      </rPr>
      <t>13 feb 2024</t>
    </r>
  </si>
  <si>
    <t>Honda presenta la primera decoración post Márquez con muchos cambios</t>
  </si>
  <si>
    <t>En el 30 aniversario de la llegada de Repsol como patrocinador del equipo oficial Honda en el Mundial de Motociclismo, muchos son los cambios del equipo....</t>
  </si>
  <si>
    <t>Honda presents the first post-Márquez livery with many changes</t>
  </si>
  <si>
    <t>On the 30th anniversary of Repsol's arrival as a sponsor of the official Honda team in the Motorcycle World Championship, there are many changes to the team...</t>
  </si>
  <si>
    <t>Team livery changes do not impact Repsol’s business.</t>
  </si>
  <si>
    <t>decoración post Márquez, cambios</t>
  </si>
  <si>
    <t>Neutral to positive due to new design and changes.</t>
  </si>
  <si>
    <t>De neutral a positivo debido al nuevo diseño y cambios.</t>
  </si>
  <si>
    <r>
      <rPr>
        <rFont val="Arial, sans-serif"/>
        <color rgb="FF1155CC"/>
        <sz val="9.0"/>
        <u/>
      </rPr>
      <t>El Español</t>
    </r>
    <r>
      <rPr>
        <rFont val="Arial, sans-serif"/>
        <color rgb="FF1155CC"/>
        <sz val="15.0"/>
        <u/>
      </rPr>
      <t>Joan Mir y el peso de Marc Márquez en el Repsol Honda: "No he pensado en él en todo el año"</t>
    </r>
    <r>
      <rPr>
        <rFont val="Arial, sans-serif"/>
        <color rgb="FF1155CC"/>
        <sz val="11.0"/>
        <u/>
      </rPr>
      <t>El piloto mallorquín, punta de lanza del proyecto y heredero de la estructura técnica de Márquez, se enfrenta a la temporada más decisiva de su carrera.</t>
    </r>
    <r>
      <rPr>
        <rFont val="Arial, sans-serif"/>
        <color rgb="FF1155CC"/>
        <sz val="12.0"/>
        <u/>
      </rPr>
      <t>.</t>
    </r>
    <r>
      <rPr>
        <rFont val="Arial, sans-serif"/>
        <color rgb="FF1155CC"/>
        <sz val="11.0"/>
        <u/>
      </rPr>
      <t>13 feb 2024</t>
    </r>
  </si>
  <si>
    <t>Joan Mir y el peso de Marc Márquez en el Repsol Honda: "No he pensado en él en todo el año"</t>
  </si>
  <si>
    <t>El piloto mallorquín, punta de lanza del proyecto y heredero de la estructura técnica de Márquez, se enfrenta a la temporada más decisiva de su carrera.</t>
  </si>
  <si>
    <t>Joan Mir and Marc Márquez's weight at Repsol Honda: "I haven't thought about him all year"</t>
  </si>
  <si>
    <t>The Mallorcan driver, spearhead of the project and heir to Márquez's technical structure, faces the most decisive season of his career.</t>
  </si>
  <si>
    <r>
      <rPr>
        <rFont val="Arial, sans-serif"/>
        <color rgb="FF1155CC"/>
        <sz val="9.0"/>
        <u/>
      </rPr>
      <t>Diario AS</t>
    </r>
    <r>
      <rPr>
        <rFont val="Arial, sans-serif"/>
        <color rgb="FF1155CC"/>
        <sz val="15.0"/>
        <u/>
      </rPr>
      <t>Mir, Marini y Honda nueva para olvidar a Márquez</t>
    </r>
    <r>
      <rPr>
        <rFont val="Arial, sans-serif"/>
        <color rgb="FF1155CC"/>
        <sz val="11.0"/>
        <u/>
      </rPr>
      <t>El arranque de la temporada 2024 de MotoGP, programado para el fin de semana del 8 al 9 de marzo, en Qatar, está más cerca cada vez y hoy se ha presentado...</t>
    </r>
    <r>
      <rPr>
        <rFont val="Arial, sans-serif"/>
        <color rgb="FF1155CC"/>
        <sz val="12.0"/>
        <u/>
      </rPr>
      <t>.</t>
    </r>
    <r>
      <rPr>
        <rFont val="Arial, sans-serif"/>
        <color rgb="FF1155CC"/>
        <sz val="11.0"/>
        <u/>
      </rPr>
      <t>13 feb 2024</t>
    </r>
  </si>
  <si>
    <t>Mir, Marini y Honda nueva para olvidar a Márquez</t>
  </si>
  <si>
    <t>El arranque de la temporada 2024 de MotoGP, programado para el fin de semana del 8 al 9 de marzo, en Qatar, está más cerca cada vez y hoy se ha presentado....</t>
  </si>
  <si>
    <t>Mir, Marini and new Honda to forget Márquez</t>
  </si>
  <si>
    <t>The start of the 2024 MotoGP season, scheduled for the weekend of March 8 to 9, in Qatar, is getting closer and closer and today it was presented....</t>
  </si>
  <si>
    <t>Rider transitions do not impact Repsol’s corporate perception.</t>
  </si>
  <si>
    <t>olvidar a Márquez, nueva temporada</t>
  </si>
  <si>
    <r>
      <rPr>
        <rFont val="Arial, sans-serif"/>
        <color rgb="FF1155CC"/>
        <sz val="9.0"/>
        <u/>
      </rPr>
      <t>Motorbike Magazine</t>
    </r>
    <r>
      <rPr>
        <rFont val="Arial, sans-serif"/>
        <color rgb="FF1155CC"/>
        <sz val="15.0"/>
        <u/>
      </rPr>
      <t>El Repsol Honda comienza la era post-Márquez con un diseño rompedor</t>
    </r>
    <r>
      <rPr>
        <rFont val="Arial, sans-serif"/>
        <color rgb="FF1155CC"/>
        <sz val="11.0"/>
        <u/>
      </rPr>
      <t>El Repsol Honda Team ha arrancado oficialmente en Madrid su nueva etapa con Joan Mir y Luca Marini para MotoGP 2024, mostrando un diseño muy diferente en...</t>
    </r>
    <r>
      <rPr>
        <rFont val="Arial, sans-serif"/>
        <color rgb="FF1155CC"/>
        <sz val="12.0"/>
        <u/>
      </rPr>
      <t>.</t>
    </r>
    <r>
      <rPr>
        <rFont val="Arial, sans-serif"/>
        <color rgb="FF1155CC"/>
        <sz val="11.0"/>
        <u/>
      </rPr>
      <t>13 feb 2024</t>
    </r>
  </si>
  <si>
    <t>Motorbike Magazine</t>
  </si>
  <si>
    <t>El Repsol Honda comienza la era post-Márquez con un diseño rompedor</t>
  </si>
  <si>
    <t>El Repsol Honda Team ha arrancado oficialmente en Madrid su nueva etapa con Joan Mir y Luca Marini para MotoGP 2024, mostrando un diseño muy diferente en....</t>
  </si>
  <si>
    <t>Repsol Honda begins the post-Márquez era with a groundbreaking design</t>
  </si>
  <si>
    <t>The Repsol Honda Team has officially started its new stage in Madrid with Joan Mir and Luca Marini for MotoGP 2024, showing a very different design in....</t>
  </si>
  <si>
    <t>Rider lineup updates do not impact Repsol’s corporate reputation.</t>
  </si>
  <si>
    <t>era post-Márquez, diseño rompedor</t>
  </si>
  <si>
    <t>Positive due to new design and team dynamics.</t>
  </si>
  <si>
    <t>Positivo por el nuevo diseño y la dinámica del equipo.</t>
  </si>
  <si>
    <r>
      <rPr>
        <rFont val="Arial, sans-serif"/>
        <color rgb="FF1155CC"/>
        <sz val="9.0"/>
        <u/>
      </rPr>
      <t>Menorca - Es diari</t>
    </r>
    <r>
      <rPr>
        <rFont val="Arial, sans-serif"/>
        <color rgb="FF1155CC"/>
        <sz val="15.0"/>
        <u/>
      </rPr>
      <t>Joan Mir: «Sienta bien empezar a ver la luz al final del túnel»</t>
    </r>
    <r>
      <rPr>
        <rFont val="Arial, sans-serif"/>
        <color rgb="FF1155CC"/>
        <sz val="11.0"/>
        <u/>
      </rPr>
      <t>El piloto mallorquín se marca el objetivo de «volver a lo más alto» con el equipo Repsol Honda. El piloto mallorquín de MotoGP Joan Mir (Repsol Honda)...</t>
    </r>
    <r>
      <rPr>
        <rFont val="Arial, sans-serif"/>
        <color rgb="FF1155CC"/>
        <sz val="12.0"/>
        <u/>
      </rPr>
      <t>.</t>
    </r>
    <r>
      <rPr>
        <rFont val="Arial, sans-serif"/>
        <color rgb="FF1155CC"/>
        <sz val="11.0"/>
        <u/>
      </rPr>
      <t>13 feb 2024</t>
    </r>
  </si>
  <si>
    <t>Menorca - Es diari</t>
  </si>
  <si>
    <t>Joan Mir: «Sienta bien empezar a ver la luz al final del túnel»</t>
  </si>
  <si>
    <t>El piloto mallorquín se marca el objetivo de «volver a lo más alto» con el equipo Repsol Honda. El piloto mallorquín de MotoGP Joan Mir (Repsol Honda)....</t>
  </si>
  <si>
    <t>Joan Mir: "It feels good to start seeing the light at the end of the tunnel"</t>
  </si>
  <si>
    <t>The Mallorcan rider has the goal of "returning to the top" with the Repsol Honda team. The Mallorcan MotoGP rider Joan Mir (Repsol Honda)....</t>
  </si>
  <si>
    <r>
      <rPr>
        <rFont val="Arial, sans-serif"/>
        <color rgb="FF1155CC"/>
        <sz val="9.0"/>
        <u/>
      </rPr>
      <t>MOTOSAN</t>
    </r>
    <r>
      <rPr>
        <rFont val="Arial, sans-serif"/>
        <color rgb="FF1155CC"/>
        <sz val="15.0"/>
        <u/>
      </rPr>
      <t>ÚLTIMA HORA. Repsol Honda sorprende al fin con un diseño rompedor en sus motos</t>
    </r>
    <r>
      <rPr>
        <rFont val="Arial, sans-serif"/>
        <color rgb="FF1155CC"/>
        <sz val="11.0"/>
        <u/>
      </rPr>
      <t>Honda acaba de presentar el diseño de las motos que llevarán Joan Mir y Luca Marini Llegó la fecha esperada. Cada vez quedan menos equipos por revelar sus.</t>
    </r>
    <r>
      <rPr>
        <rFont val="Arial, sans-serif"/>
        <color rgb="FF1155CC"/>
        <sz val="12.0"/>
        <u/>
      </rPr>
      <t>.</t>
    </r>
    <r>
      <rPr>
        <rFont val="Arial, sans-serif"/>
        <color rgb="FF1155CC"/>
        <sz val="11.0"/>
        <u/>
      </rPr>
      <t>13 feb 2024</t>
    </r>
  </si>
  <si>
    <t>MOTOSANÚLTIMA HORA</t>
  </si>
  <si>
    <t>Repsol Honda sorprende al fin con un diseño rompedor en sus motos</t>
  </si>
  <si>
    <t>Repsol Honda sorprende al fin con un diseño rompedor en sus motos Honda acaba de presentar el diseño de las motos que llevarán Joan Mir y Luca Marini.</t>
  </si>
  <si>
    <t>Repsol Honda finally surprises with a groundbreaking design for its motorcycles</t>
  </si>
  <si>
    <t>Repsol Honda finally surprises with a groundbreaking design for its motorcycles. Honda has just presented the design of the motorcycles that Joan Mir and Luca Marini will ride.</t>
  </si>
  <si>
    <t>Motorcycle design changes do not affect Repsol’s corporate perception.</t>
  </si>
  <si>
    <t>diseño rompedor, sorprende</t>
  </si>
  <si>
    <r>
      <rPr>
        <rFont val="Arial, sans-serif"/>
        <color rgb="FF1155CC"/>
        <sz val="9.0"/>
        <u/>
      </rPr>
      <t>Motorsport.com España</t>
    </r>
    <r>
      <rPr>
        <rFont val="Arial, sans-serif"/>
        <color rgb="FF1155CC"/>
        <sz val="15.0"/>
        <u/>
      </rPr>
      <t>Fotos: todos los detalles de la moto de Honda para MotoGP 2024</t>
    </r>
    <r>
      <rPr>
        <rFont val="Arial, sans-serif"/>
        <color rgb="FF1155CC"/>
        <sz val="11.0"/>
        <u/>
      </rPr>
      <t>Ya conocemos una nueva moto para la temporada 2024 de MotoGP. Después de las presentaciones de Gresini Racing, de Ducati, del Pertamina Enduro VR46,...</t>
    </r>
    <r>
      <rPr>
        <rFont val="Arial, sans-serif"/>
        <color rgb="FF1155CC"/>
        <sz val="12.0"/>
        <u/>
      </rPr>
      <t>.</t>
    </r>
    <r>
      <rPr>
        <rFont val="Arial, sans-serif"/>
        <color rgb="FF1155CC"/>
        <sz val="11.0"/>
        <u/>
      </rPr>
      <t>13 feb 2024</t>
    </r>
  </si>
  <si>
    <t>Fotos: todos los detalles de la moto de Honda para MotoGP 2024</t>
  </si>
  <si>
    <t>Ya conocemos una nueva moto para la temporada 2024 de MotoGP. Después de las presentaciones de Gresini Racing, de Ducati, del Pertamina Enduro VR46,....</t>
  </si>
  <si>
    <t>Photos: all the details of the Honda motorcycle for MotoGP 2024</t>
  </si>
  <si>
    <t>We already know a new bike for the 2024 MotoGP season. After the presentations of Gresini Racing, Ducati, the Pertamina Enduro VR46,....</t>
  </si>
  <si>
    <r>
      <rPr>
        <rFont val="Arial, sans-serif"/>
        <color rgb="FF1155CC"/>
        <sz val="9.0"/>
        <u/>
      </rPr>
      <t>Motorsport.com España</t>
    </r>
    <r>
      <rPr>
        <rFont val="Arial, sans-serif"/>
        <color rgb="FF1155CC"/>
        <sz val="15.0"/>
        <u/>
      </rPr>
      <t>Mir: "Este año seguro que es el más importante de mi carrera"</t>
    </r>
    <r>
      <rPr>
        <rFont val="Arial, sans-serif"/>
        <color rgb="FF1155CC"/>
        <sz val="11.0"/>
        <u/>
      </rPr>
      <t>La marcha de Marc Márquez y el cambio radical en la decoración de la RC213V de Repsol Honda escenifican la importancia de los cambios que afronta el equipo...</t>
    </r>
    <r>
      <rPr>
        <rFont val="Arial, sans-serif"/>
        <color rgb="FF1155CC"/>
        <sz val="12.0"/>
        <u/>
      </rPr>
      <t>.</t>
    </r>
    <r>
      <rPr>
        <rFont val="Arial, sans-serif"/>
        <color rgb="FF1155CC"/>
        <sz val="11.0"/>
        <u/>
      </rPr>
      <t>13 feb 2024</t>
    </r>
  </si>
  <si>
    <t>"Este año seguro que es el más importante de mi carrera"</t>
  </si>
  <si>
    <t>La marcha de Marc Márquez y el cambio radical en la decoración de la RC213V de Repsol Honda escenifican la importancia de los cambios que afronta el equipo.</t>
  </si>
  <si>
    <t>"This year is surely the most important of my career"</t>
  </si>
  <si>
    <t>The departure of Marc Márquez and the radical change in the livery of Repsol Honda's RC213V demonstrate the importance of the changes facing the team.</t>
  </si>
  <si>
    <r>
      <rPr>
        <rFont val="Arial, sans-serif"/>
        <color rgb="FF1155CC"/>
        <sz val="9.0"/>
        <u/>
      </rPr>
      <t>Eurosport</t>
    </r>
    <r>
      <rPr>
        <rFont val="Arial, sans-serif"/>
        <color rgb="FF1155CC"/>
        <sz val="15.0"/>
        <u/>
      </rPr>
      <t>Honda también 'rompe' con su pasado y el color naranja 'casi' desaparece de sus motos</t>
    </r>
    <r>
      <rPr>
        <rFont val="Arial, sans-serif"/>
        <color rgb="FF1155CC"/>
        <sz val="11.0"/>
        <u/>
      </rPr>
      <t>El equipo Repsol Honda de MotoGP presentó en Madrid su moto para el Mundial 2024, la RC213V, y que será la primera sin Marc Márquez como piloto del equipo.</t>
    </r>
    <r>
      <rPr>
        <rFont val="Arial, sans-serif"/>
        <color rgb="FF1155CC"/>
        <sz val="12.0"/>
        <u/>
      </rPr>
      <t>.</t>
    </r>
    <r>
      <rPr>
        <rFont val="Arial, sans-serif"/>
        <color rgb="FF1155CC"/>
        <sz val="11.0"/>
        <u/>
      </rPr>
      <t>13 feb 2024</t>
    </r>
  </si>
  <si>
    <t>Eurosport</t>
  </si>
  <si>
    <t>Honda también 'rompe' con su pasado y el color naranja 'casi' desaparece de sus motos</t>
  </si>
  <si>
    <t>El equipo Repsol Honda de MotoGP presentó en Madrid su moto para el Mundial 2024, la RC213V, y que será la primera sin Marc Márquez como piloto del equipo.</t>
  </si>
  <si>
    <t>Honda also 'breaks' with its past and the orange color 'almost' disappears from its motorcycles</t>
  </si>
  <si>
    <t>The Repsol Honda MotoGP team presented its motorcycle for the 2024 World Championship in Madrid, the RC213V, which will be the first without Marc Márquez as the team's rider.</t>
  </si>
  <si>
    <t>rompe con el pasado, color naranja desaparece</t>
  </si>
  <si>
    <r>
      <rPr>
        <rFont val="Arial, sans-serif"/>
        <color rgb="FF1155CC"/>
        <sz val="9.0"/>
        <u/>
      </rPr>
      <t>Motorsport.com España</t>
    </r>
    <r>
      <rPr>
        <rFont val="Arial, sans-serif"/>
        <color rgb="FF1155CC"/>
        <sz val="15.0"/>
        <u/>
      </rPr>
      <t>Marini: "Márquez ha hecho cosas muy grandes; es lo que quiero hacer yo"</t>
    </r>
    <r>
      <rPr>
        <rFont val="Arial, sans-serif"/>
        <color rgb="FF1155CC"/>
        <sz val="11.0"/>
        <u/>
      </rPr>
      <t>Si el Repsol Honda afronta una temporada de cambios en este 2024, también lo hace Luca Marini. Y es que, mientras que el equipo liderado por Alberto Puig...</t>
    </r>
    <r>
      <rPr>
        <rFont val="Arial, sans-serif"/>
        <color rgb="FF1155CC"/>
        <sz val="12.0"/>
        <u/>
      </rPr>
      <t>.</t>
    </r>
    <r>
      <rPr>
        <rFont val="Arial, sans-serif"/>
        <color rgb="FF1155CC"/>
        <sz val="11.0"/>
        <u/>
      </rPr>
      <t>13 feb 2024</t>
    </r>
  </si>
  <si>
    <t>Marini: "Márquez ha hecho cosas muy grandes; es lo que quiero hacer yo"</t>
  </si>
  <si>
    <t>Si el Repsol Honda afronta una temporada de cambios en este 2024, también lo hace Luca Marini. Y es que, mientras que el equipo liderado por Alberto Puig....</t>
  </si>
  <si>
    <t>Marini: "Márquez has done very great things; it's what I want to do"</t>
  </si>
  <si>
    <t>If Repsol Honda faces a season of changes in 2024, so does Luca Marini. And the thing is, while the team led by Alberto Puig...</t>
  </si>
  <si>
    <r>
      <rPr>
        <rFont val="Arial, sans-serif"/>
        <color rgb="FF1155CC"/>
        <sz val="9.0"/>
        <u/>
      </rPr>
      <t>Motorbike Magazine</t>
    </r>
    <r>
      <rPr>
        <rFont val="Arial, sans-serif"/>
        <color rgb="FF1155CC"/>
        <sz val="15.0"/>
        <u/>
      </rPr>
      <t>Joan Mir: «Seguramente, es el año más importante de mi carrera»</t>
    </r>
    <r>
      <rPr>
        <rFont val="Arial, sans-serif"/>
        <color rgb="FF1155CC"/>
        <sz val="11.0"/>
        <u/>
      </rPr>
      <t>Para un piloto, hacer un año sin estar en el foco es fatal, y dos ya ni te cuento», dice Joan Mir, focalizado en dar la vuelta a la situación con Honda tras...</t>
    </r>
    <r>
      <rPr>
        <rFont val="Arial, sans-serif"/>
        <color rgb="FF1155CC"/>
        <sz val="12.0"/>
        <u/>
      </rPr>
      <t>.</t>
    </r>
    <r>
      <rPr>
        <rFont val="Arial, sans-serif"/>
        <color rgb="FF1155CC"/>
        <sz val="11.0"/>
        <u/>
      </rPr>
      <t>13 feb 2024</t>
    </r>
  </si>
  <si>
    <t>Joan Mir: «Seguramente, es el año más importante de mi carrera»</t>
  </si>
  <si>
    <t>Para un piloto, hacer un año sin estar en el foco es fatal, y dos ya ni te cuento», dice Joan Mir, focalizado en dar la vuelta a la situación con Honda tras....</t>
  </si>
  <si>
    <t>Joan Mir: «Surely, it is the most important year of my career»</t>
  </si>
  <si>
    <t>For a driver, doing a year without being in the spotlight is fatal, and I won't even tell you two," says Joan Mir, focused on turning the situation around with Honda after...</t>
  </si>
  <si>
    <r>
      <rPr>
        <rFont val="Arial, sans-serif"/>
        <color rgb="FF1155CC"/>
        <sz val="9.0"/>
        <u/>
      </rPr>
      <t>MOTOSAN</t>
    </r>
    <r>
      <rPr>
        <rFont val="Arial, sans-serif"/>
        <color rgb="FF1155CC"/>
        <sz val="15.0"/>
        <u/>
      </rPr>
      <t>Alberto Puig: "Vamos a utilizar bien las concesiones para volver a las posiciones que nos tocan"</t>
    </r>
    <r>
      <rPr>
        <rFont val="Arial, sans-serif"/>
        <color rgb="FF1155CC"/>
        <sz val="11.0"/>
        <u/>
      </rPr>
      <t>El Team Manager del Repsol Honda Team, Alberto Puig, habla sobre el nuevo diseño de la moto, los objetivos que tiene su equipo y qué pueden conseguir sus.</t>
    </r>
    <r>
      <rPr>
        <rFont val="Arial, sans-serif"/>
        <color rgb="FF1155CC"/>
        <sz val="12.0"/>
        <u/>
      </rPr>
      <t>.</t>
    </r>
    <r>
      <rPr>
        <rFont val="Arial, sans-serif"/>
        <color rgb="FF1155CC"/>
        <sz val="11.0"/>
        <u/>
      </rPr>
      <t>13 feb 2024</t>
    </r>
  </si>
  <si>
    <t>MOTOSANA</t>
  </si>
  <si>
    <t>Alberto Puig: "Vamos a utilizar bien las concesiones para volver a las posiciones que nos tocan"</t>
  </si>
  <si>
    <t>El Team Manager del Repsol Honda Team, Alberto Puig, habla sobre el nuevo diseño de la moto, los objetivos que tiene su equipo y qué pueden conseguir sus.</t>
  </si>
  <si>
    <t>Alberto Puig: "We are going to use the concessions well to return to the positions we have"</t>
  </si>
  <si>
    <t>The Team Manager of the Repsol Honda Team, Alberto Puig, talks about the new design of the bike, the objectives his team has and what they can achieve.</t>
  </si>
  <si>
    <r>
      <rPr>
        <rFont val="Arial, sans-serif"/>
        <color rgb="FF1155CC"/>
        <sz val="9.0"/>
        <u/>
      </rPr>
      <t>SPORT</t>
    </r>
    <r>
      <rPr>
        <rFont val="Arial, sans-serif"/>
        <color rgb="FF1155CC"/>
        <sz val="15.0"/>
        <u/>
      </rPr>
      <t>Honda inicia la era post Márquez con un cambio radical</t>
    </r>
    <r>
      <rPr>
        <rFont val="Arial, sans-serif"/>
        <color rgb="FF1155CC"/>
        <sz val="11.0"/>
        <u/>
      </rPr>
      <t>El Team Repsol Honda ha presentado en Madrid la nueva moto para el Mundial 2024, que arrancará el 10 de marzo con el Gran Premio de Catar.</t>
    </r>
    <r>
      <rPr>
        <rFont val="Arial, sans-serif"/>
        <color rgb="FF1155CC"/>
        <sz val="12.0"/>
        <u/>
      </rPr>
      <t>.</t>
    </r>
    <r>
      <rPr>
        <rFont val="Arial, sans-serif"/>
        <color rgb="FF1155CC"/>
        <sz val="11.0"/>
        <u/>
      </rPr>
      <t>13 feb 2024</t>
    </r>
  </si>
  <si>
    <t>Repsol Honda</t>
  </si>
  <si>
    <t>Honda inicia la era post Márquez con un cambio radical</t>
  </si>
  <si>
    <t>El Team Repsol Honda ha presentado en Madrid la nueva moto para el Mundial 2024, que arrancará el 10 de marzo con el Gran Premio de Catar.</t>
  </si>
  <si>
    <t>Honda begins the post-Márquez era with a radical change</t>
  </si>
  <si>
    <t>The Repsol Honda Team has presented in Madrid the new motorcycle for the 2024 World Championship, which will start on March 10 with the Qatar Grand Prix.</t>
  </si>
  <si>
    <t>era post Márquez, cambio radical</t>
  </si>
  <si>
    <r>
      <rPr>
        <rFont val="Arial, sans-serif"/>
        <color rgb="FF1155CC"/>
        <sz val="9.0"/>
        <u/>
      </rPr>
      <t>MOTOSAN</t>
    </r>
    <r>
      <rPr>
        <rFont val="Arial, sans-serif"/>
        <color rgb="FF1155CC"/>
        <sz val="15.0"/>
        <u/>
      </rPr>
      <t>Marini, tras fichar por Honda: "Valentino Rossi se alegra de que esté aquí"</t>
    </r>
    <r>
      <rPr>
        <rFont val="Arial, sans-serif"/>
        <color rgb="FF1155CC"/>
        <sz val="11.0"/>
        <u/>
      </rPr>
      <t>El piloto del Repsol Honda, Luca Marini, comenta en la presentación de su equipo qué espera de esta nueva temporada y de esta nueva aventura junto a la.</t>
    </r>
    <r>
      <rPr>
        <rFont val="Arial, sans-serif"/>
        <color rgb="FF1155CC"/>
        <sz val="12.0"/>
        <u/>
      </rPr>
      <t>.</t>
    </r>
    <r>
      <rPr>
        <rFont val="Arial, sans-serif"/>
        <color rgb="FF1155CC"/>
        <sz val="11.0"/>
        <u/>
      </rPr>
      <t>13 feb 2024</t>
    </r>
  </si>
  <si>
    <t>Marini, tras fichar por Honda: "Valentino Rossi se alegra de que esté aquí"</t>
  </si>
  <si>
    <t>El piloto del Repsol Honda, Luca Marini, comenta en la presentación de su equipo qué espera de esta nueva temporada y de esta nueva aventura junto a la..</t>
  </si>
  <si>
    <t>Marini, after signing for Honda: "Valentino Rossi is happy that he is here"</t>
  </si>
  <si>
    <t>The Repsol Honda rider, Luca Marini, comments in the presentation of his team what he expects from this new season and this new adventure with the...</t>
  </si>
  <si>
    <r>
      <rPr>
        <rFont val="Arial, sans-serif"/>
        <color rgb="FF1155CC"/>
        <sz val="9.0"/>
        <u/>
      </rPr>
      <t>Motorpasion Moto</t>
    </r>
    <r>
      <rPr>
        <rFont val="Arial, sans-serif"/>
        <color rgb="FF1155CC"/>
        <sz val="15.0"/>
        <u/>
      </rPr>
      <t>Honda revoluciona su MotoGP sin Marc Márquez. Cambio drástico de decoración y muchos menos patrocinadores</t>
    </r>
    <r>
      <rPr>
        <rFont val="Arial, sans-serif"/>
        <color rgb="FF1155CC"/>
        <sz val="11.0"/>
        <u/>
      </rPr>
      <t>La expectativa por conocer la nueva Honda de MotoGP era enorme y no ha decepcionado. La marca del ala dorada ha acometido un cambio de decoración radical,...</t>
    </r>
    <r>
      <rPr>
        <rFont val="Arial, sans-serif"/>
        <color rgb="FF1155CC"/>
        <sz val="12.0"/>
        <u/>
      </rPr>
      <t>.</t>
    </r>
    <r>
      <rPr>
        <rFont val="Arial, sans-serif"/>
        <color rgb="FF1155CC"/>
        <sz val="11.0"/>
        <u/>
      </rPr>
      <t>13 feb 2024</t>
    </r>
  </si>
  <si>
    <t>Honda revoluciona su MotoGP sin Marc Márquez.</t>
  </si>
  <si>
    <t>La expectativa por conocer la nueva Honda de MotoGP era enorme y no ha decepcionado. La marca del ala dorada ha acometido un cambio de decoración radical,....</t>
  </si>
  <si>
    <t>Honda revolutionizes its MotoGP without Marc Márquez.</t>
  </si>
  <si>
    <t>The expectation to see the new Honda MotoGP was enormous and it has not disappointed. The brand with the golden wing has undertaken a radical decoration change,....</t>
  </si>
  <si>
    <t>Motorsport team changes do not affect Repsol’s business.</t>
  </si>
  <si>
    <t>revoluciona, cambio de decoración</t>
  </si>
  <si>
    <r>
      <rPr>
        <rFont val="Arial, sans-serif"/>
        <color rgb="FF1155CC"/>
        <sz val="9.0"/>
        <u/>
      </rPr>
      <t>Fast Mag</t>
    </r>
    <r>
      <rPr>
        <rFont val="Arial, sans-serif"/>
        <color rgb="FF1155CC"/>
        <sz val="15.0"/>
        <u/>
      </rPr>
      <t>Para 2024 Honda retoma sus colores de equipo en MotoGP</t>
    </r>
    <r>
      <rPr>
        <rFont val="Arial, sans-serif"/>
        <color rgb="FF1155CC"/>
        <sz val="11.0"/>
        <u/>
      </rPr>
      <t>Honda presenta su librea nueva para 2024, con mayor énfasis en los colores corporativos, azul, blanco y rojo.</t>
    </r>
    <r>
      <rPr>
        <rFont val="Arial, sans-serif"/>
        <color rgb="FF1155CC"/>
        <sz val="12.0"/>
        <u/>
      </rPr>
      <t>.</t>
    </r>
    <r>
      <rPr>
        <rFont val="Arial, sans-serif"/>
        <color rgb="FF1155CC"/>
        <sz val="11.0"/>
        <u/>
      </rPr>
      <t>13 feb 2024</t>
    </r>
  </si>
  <si>
    <t>Fast Mag</t>
  </si>
  <si>
    <t>Honda retoma sus colores de equipo en MotoGP</t>
  </si>
  <si>
    <t>Honda presenta su librea nueva para 2024, con mayor énfasis en los colores corporativos, azul, blanco y rojo.</t>
  </si>
  <si>
    <t>Honda resumes its team colors in MotoGP</t>
  </si>
  <si>
    <t>Honda presents its new livery for 2024, with greater emphasis on the corporate colors, blue, white and red.</t>
  </si>
  <si>
    <t>Motorcycle design updates do not impact Repsol’s corporate perception.</t>
  </si>
  <si>
    <t>colores de equipo, nueva librea</t>
  </si>
  <si>
    <t>Positive due to new design and branding.</t>
  </si>
  <si>
    <t>Positivo debido al nuevo diseño y marca.</t>
  </si>
  <si>
    <r>
      <rPr>
        <rFont val="Arial, sans-serif"/>
        <color rgb="FF1155CC"/>
        <sz val="9.0"/>
        <u/>
      </rPr>
      <t>Motor y Racing</t>
    </r>
    <r>
      <rPr>
        <rFont val="Arial, sans-serif"/>
        <color rgb="FF1155CC"/>
        <sz val="15.0"/>
        <u/>
      </rPr>
      <t>El Repsol Honda Team se presenta en Madrid con Joan Mir y Luca Marini</t>
    </r>
    <r>
      <rPr>
        <rFont val="Arial, sans-serif"/>
        <color rgb="FF1155CC"/>
        <sz val="11.0"/>
        <u/>
      </rPr>
      <t>Y llegó el cambio de decoración en el Repsol Honda Team. El naranja casi desaparece, el patrocinio de Repsol baja mucho protagonismo, y aparece el azul.</t>
    </r>
    <r>
      <rPr>
        <rFont val="Arial, sans-serif"/>
        <color rgb="FF1155CC"/>
        <sz val="12.0"/>
        <u/>
      </rPr>
      <t>.</t>
    </r>
    <r>
      <rPr>
        <rFont val="Arial, sans-serif"/>
        <color rgb="FF1155CC"/>
        <sz val="11.0"/>
        <u/>
      </rPr>
      <t>13 feb 2024</t>
    </r>
  </si>
  <si>
    <t>Motor y Racing</t>
  </si>
  <si>
    <t>El Repsol Honda Team se presenta en Madrid con Joan Mir y Luca Marini</t>
  </si>
  <si>
    <t>El Repsol Honda Team se presenta en Madrid con Joan Mir y Luca Marini. El naranja casi desaparece, el patrocinio de Repsol baja mucho protagonismo, y aparece el azul.</t>
  </si>
  <si>
    <t>The Repsol Honda Team presents itself in Madrid with Joan Mir and Luca Marini</t>
  </si>
  <si>
    <t>The Repsol Honda Team appears in Madrid with Joan Mir and Luca Marini. Orange almost disappears, Repsol's sponsorship loses much of its prominence, and blue appears.</t>
  </si>
  <si>
    <t>Team presentations do not impact Repsol’s business.</t>
  </si>
  <si>
    <t>presentación, naranja desaparece</t>
  </si>
  <si>
    <t>Neutral to positive due to new design and team dynamics.</t>
  </si>
  <si>
    <t>De neutral a positivo debido al nuevo diseño y dinámica de equipo.</t>
  </si>
  <si>
    <r>
      <rPr>
        <rFont val="Arial, sans-serif"/>
        <color rgb="FF1155CC"/>
        <sz val="9.0"/>
        <u/>
      </rPr>
      <t>Repsol</t>
    </r>
    <r>
      <rPr>
        <rFont val="Arial, sans-serif"/>
        <color rgb="FF1155CC"/>
        <sz val="15.0"/>
        <u/>
      </rPr>
      <t>Plan Renove de calderas de gas natural: ayudas 2025</t>
    </r>
    <r>
      <rPr>
        <rFont val="Arial, sans-serif"/>
        <color rgb="FF1155CC"/>
        <sz val="11.0"/>
        <u/>
      </rPr>
      <t>Conoce el Plan Renove para calderas de gas natural en 2025 y sus requisitos. Sustituye tu equipo por uno más eficiente en el mejor momento, ¡haz clic!</t>
    </r>
    <r>
      <rPr>
        <rFont val="Arial, sans-serif"/>
        <color rgb="FF1155CC"/>
        <sz val="12.0"/>
        <u/>
      </rPr>
      <t>.</t>
    </r>
    <r>
      <rPr>
        <rFont val="Arial, sans-serif"/>
        <color rgb="FF1155CC"/>
        <sz val="11.0"/>
        <u/>
      </rPr>
      <t>14 feb 2024</t>
    </r>
  </si>
  <si>
    <t>Plan Renove de calderas de gas natural: ayudas 2025</t>
  </si>
  <si>
    <t>Conoce el Plan Renove para calderas de gas natural en 2025 y sus requisitos. Sustituye tu equipo por uno más eficiente en el mejor momento, ¡haz clic!.</t>
  </si>
  <si>
    <t>Renewal Plan for natural gas boilers: 2025 aid</t>
  </si>
  <si>
    <t>Learn about the Renove Plan for natural gas boilers in 2025 and its requirements. Replace your equipment with a more efficient one at the best time, click!</t>
  </si>
  <si>
    <r>
      <rPr>
        <rFont val="Arial, sans-serif"/>
        <color rgb="FF1155CC"/>
        <sz val="9.0"/>
        <u/>
      </rPr>
      <t>Interempresas.net</t>
    </r>
    <r>
      <rPr>
        <rFont val="Arial, sans-serif"/>
        <color rgb="FF1155CC"/>
        <sz val="15.0"/>
        <u/>
      </rPr>
      <t>Los combustibles renovables protagonizan la presentación del equipo Repsol Honda</t>
    </r>
    <r>
      <rPr>
        <rFont val="Arial, sans-serif"/>
        <color rgb="FF1155CC"/>
        <sz val="11.0"/>
        <u/>
      </rPr>
      <t>El equipo Repsol Honda dio inicio al calendario 2024 de MotoGP con un espectacular evento en Madrid, marcando el comienzo de una temporada crucial donde se...</t>
    </r>
    <r>
      <rPr>
        <rFont val="Arial, sans-serif"/>
        <color rgb="FF1155CC"/>
        <sz val="12.0"/>
        <u/>
      </rPr>
      <t>.</t>
    </r>
    <r>
      <rPr>
        <rFont val="Arial, sans-serif"/>
        <color rgb="FF1155CC"/>
        <sz val="11.0"/>
        <u/>
      </rPr>
      <t>14 feb 2024</t>
    </r>
  </si>
  <si>
    <t>Los combustibles renovables protagonizan la presentación del equipo Repsol Honda</t>
  </si>
  <si>
    <t>El equipo Repsol Honda dio inicio al calendario 2024 de MotoGP con un espectacular evento en Madrid, marcando el comienzo de una temporada crucial donde se....</t>
  </si>
  <si>
    <t>Renewable fuels star in the presentation of the Repsol Honda team</t>
  </si>
  <si>
    <t>The Repsol Honda team kicked off the 2024 MotoGP calendar with a spectacular event in Madrid, marking the beginning of a crucial season where...</t>
  </si>
  <si>
    <t>renewable fuels, Repsol Honda presentation</t>
  </si>
  <si>
    <t>Combustibles renovables, Presentación Repsol Honda</t>
  </si>
  <si>
    <t>Highlighting renewable fuels in sponsorships reinforces Repsol’s sustainability efforts.</t>
  </si>
  <si>
    <t>combustibles renovables, espectacular evento</t>
  </si>
  <si>
    <r>
      <rPr>
        <rFont val="Arial, sans-serif"/>
        <color rgb="FF1155CC"/>
        <sz val="9.0"/>
        <u/>
      </rPr>
      <t>El HuffPost</t>
    </r>
    <r>
      <rPr>
        <rFont val="Arial, sans-serif"/>
        <color rgb="FF1155CC"/>
        <sz val="15.0"/>
        <u/>
      </rPr>
      <t>Repsol se pasa al negocio de los colchones</t>
    </r>
    <r>
      <rPr>
        <rFont val="Arial, sans-serif"/>
        <color rgb="FF1155CC"/>
        <sz val="11.0"/>
        <u/>
      </rPr>
      <t>Repsol, empresa productora y comercializadora de petróleo y derivados, quiere ir más allá con su negocio y se ha pasado a los colchones.</t>
    </r>
    <r>
      <rPr>
        <rFont val="Arial, sans-serif"/>
        <color rgb="FF1155CC"/>
        <sz val="12.0"/>
        <u/>
      </rPr>
      <t>.</t>
    </r>
    <r>
      <rPr>
        <rFont val="Arial, sans-serif"/>
        <color rgb="FF1155CC"/>
        <sz val="11.0"/>
        <u/>
      </rPr>
      <t>14 feb 2024</t>
    </r>
  </si>
  <si>
    <t>El HuffPost</t>
  </si>
  <si>
    <t>Repsol se pasa al negocio de los colchones</t>
  </si>
  <si>
    <t>Repsol, empresa productora y comercializadora de petróleo y derivados, quiere ir más allá con su negocio y se ha pasado a los colchones.</t>
  </si>
  <si>
    <t>Repsol moves into the mattress business</t>
  </si>
  <si>
    <t>Repsol, a company that produces and markets oil and derivatives, wants to go further with its business and has moved into mattresses.</t>
  </si>
  <si>
    <t>mattress business, Repsol expansion</t>
  </si>
  <si>
    <t>negocio de colchones, expansión de Repsol</t>
  </si>
  <si>
    <t>Diversifying into new markets strengthens Repsol’s business model.</t>
  </si>
  <si>
    <t>negocio de colchones, diversificación</t>
  </si>
  <si>
    <t>Neutral due to business diversification.</t>
  </si>
  <si>
    <t>Neutral por diversificación del negocio.</t>
  </si>
  <si>
    <r>
      <rPr>
        <rFont val="Arial, sans-serif"/>
        <color rgb="FF1155CC"/>
        <sz val="9.0"/>
        <u/>
      </rPr>
      <t>Canariasenmoto.com</t>
    </r>
    <r>
      <rPr>
        <rFont val="Arial, sans-serif"/>
        <color rgb="FF1155CC"/>
        <sz val="15.0"/>
        <u/>
      </rPr>
      <t>El equipo Repsol Honda recorre en moto el centro de Madrid</t>
    </r>
    <r>
      <rPr>
        <rFont val="Arial, sans-serif"/>
        <color rgb="FF1155CC"/>
        <sz val="11.0"/>
        <u/>
      </rPr>
      <t>Baño de masas de Joan Mir y Luca Marini en la inauguración de la pop-up store de Box Repsol en Gran Vía. Tras el acto de presentación, los pilotos del...</t>
    </r>
    <r>
      <rPr>
        <rFont val="Arial, sans-serif"/>
        <color rgb="FF1155CC"/>
        <sz val="12.0"/>
        <u/>
      </rPr>
      <t>.</t>
    </r>
    <r>
      <rPr>
        <rFont val="Arial, sans-serif"/>
        <color rgb="FF1155CC"/>
        <sz val="11.0"/>
        <u/>
      </rPr>
      <t>14 feb 2024</t>
    </r>
  </si>
  <si>
    <t>El equipo Repsol Honda recorre en moto el centro de Madrid</t>
  </si>
  <si>
    <t>Baño de masas de Joan Mir y Luca Marini en la inauguración de la pop-up store de Box Repsol en Gran Vía. Tras el acto de presentación, los pilotos del....</t>
  </si>
  <si>
    <t>The Repsol Honda team travels through the center of Madrid on a motorcycle</t>
  </si>
  <si>
    <t>Mass bath by Joan Mir and Luca Marini at the opening of the Box Repsol pop-up store on Gran Vía. After the presentation ceremony, the pilots of the...</t>
  </si>
  <si>
    <r>
      <rPr>
        <rFont val="Arial, sans-serif"/>
        <color rgb="FF1155CC"/>
        <sz val="9.0"/>
        <u/>
      </rPr>
      <t>Automovilismo Canario</t>
    </r>
    <r>
      <rPr>
        <rFont val="Arial, sans-serif"/>
        <color rgb="FF1155CC"/>
        <sz val="15.0"/>
        <u/>
      </rPr>
      <t>El equipo Repsol Honda se presenta en Madrid en un año clave por la llegada de los combustibles renovables a MotoGP</t>
    </r>
    <r>
      <rPr>
        <rFont val="Arial, sans-serif"/>
        <color rgb="FF1155CC"/>
        <sz val="11.0"/>
        <u/>
      </rPr>
      <t>Joan Mir y Luca Marini, recién llegados de los test de pretemporada de Sepang (Malasia), han presentado esta mañana ante más de 500 invitados el equipo...</t>
    </r>
    <r>
      <rPr>
        <rFont val="Arial, sans-serif"/>
        <color rgb="FF1155CC"/>
        <sz val="12.0"/>
        <u/>
      </rPr>
      <t>.</t>
    </r>
    <r>
      <rPr>
        <rFont val="Arial, sans-serif"/>
        <color rgb="FF1155CC"/>
        <sz val="11.0"/>
        <u/>
      </rPr>
      <t>14 feb 2024</t>
    </r>
  </si>
  <si>
    <t>El equipo Repsol Honda se presenta en Madrid en un año clave por la llegada de los combustibles renovables a MotoGP. Joan Mir y Luca Marini, recién llegados de los test de pretemporada de Sepang (Malasia), han presentado esta mañana ante más de 500 invitados el equipo....</t>
  </si>
  <si>
    <t>The Repsol Honda team appears in Madrid in a key year due to the arrival of renewable fuels to MotoGP. Joan Mir and Luca Marini, fresh from the pre-season tests in Sepang (Malaysia), presented the team this morning to more than 500 guests....</t>
  </si>
  <si>
    <t>combustibles renovables, año clave</t>
  </si>
  <si>
    <r>
      <rPr>
        <rFont val="Arial, sans-serif"/>
        <color rgb="FF1155CC"/>
        <sz val="9.0"/>
        <u/>
      </rPr>
      <t>El Economista</t>
    </r>
    <r>
      <rPr>
        <rFont val="Arial, sans-serif"/>
        <color rgb="FF1155CC"/>
        <sz val="15.0"/>
        <u/>
      </rPr>
      <t>Julieta Maresca (Repsol): "España tiene un gran potencial para que el autoconsumo y la generación distribuida se impulsen con fuerza"</t>
    </r>
    <r>
      <rPr>
        <rFont val="Arial, sans-serif"/>
        <color rgb="FF1155CC"/>
        <sz val="11.0"/>
        <u/>
      </rPr>
      <t>Este martes 13 de febrero se ha celebrado en el hotel Palace de Madrid el II Foro de Autoconsumo 'Los nuevos modelos de generación ...</t>
    </r>
    <r>
      <rPr>
        <rFont val="Arial, sans-serif"/>
        <color rgb="FF1155CC"/>
        <sz val="12.0"/>
        <u/>
      </rPr>
      <t>.</t>
    </r>
    <r>
      <rPr>
        <rFont val="Arial, sans-serif"/>
        <color rgb="FF1155CC"/>
        <sz val="11.0"/>
        <u/>
      </rPr>
      <t>14 feb 2024</t>
    </r>
  </si>
  <si>
    <t>"España tiene un gran potencial para que el autoconsumo y la generación distribuida se impulsen con fuerza"</t>
  </si>
  <si>
    <t>"Spain has great potential for self-consumption and distributed generation to be strongly promoted"</t>
  </si>
  <si>
    <r>
      <rPr>
        <rFont val="Arial, sans-serif"/>
        <color rgb="FF1155CC"/>
        <sz val="9.0"/>
        <u/>
      </rPr>
      <t>Motociclismo</t>
    </r>
    <r>
      <rPr>
        <rFont val="Arial, sans-serif"/>
        <color rgb="FF1155CC"/>
        <sz val="15.0"/>
        <u/>
      </rPr>
      <t>Joan Mir y Luca Marini estrenaron la nueva pop-up store de Box Repsol en Gran Vía 46</t>
    </r>
    <r>
      <rPr>
        <rFont val="Arial, sans-serif"/>
        <color rgb="FF1155CC"/>
        <sz val="11.0"/>
        <u/>
      </rPr>
      <t>Joan Mir y Luca Marini, los pilotos del Repsol Honda Team, cruzaron Madrid hasta llegar a la nueva tienda temporal.</t>
    </r>
    <r>
      <rPr>
        <rFont val="Arial, sans-serif"/>
        <color rgb="FF1155CC"/>
        <sz val="12.0"/>
        <u/>
      </rPr>
      <t>.</t>
    </r>
    <r>
      <rPr>
        <rFont val="Arial, sans-serif"/>
        <color rgb="FF1155CC"/>
        <sz val="11.0"/>
        <u/>
      </rPr>
      <t>14 feb 2024</t>
    </r>
  </si>
  <si>
    <t>Joan Mir y Luca Marini estrenaron la nueva pop-up store de Box Repsol en Gran Vía 46</t>
  </si>
  <si>
    <t>Joan Mir y Luca Marini, los pilotos del Repsol Honda Team, cruzaron Madrid hasta llegar a la nueva tienda temporal.</t>
  </si>
  <si>
    <t>Joan Mir and Luca Marini premiered the new Box Repsol pop-up store on Gran Vía 46</t>
  </si>
  <si>
    <t>Joan Mir and Luca Marini, the Repsol Honda Team riders, crossed Madrid to reach the new temporary store.</t>
  </si>
  <si>
    <r>
      <rPr>
        <rFont val="Arial, sans-serif"/>
        <color rgb="FF1155CC"/>
        <sz val="9.0"/>
        <u/>
      </rPr>
      <t>Guía Repsol</t>
    </r>
    <r>
      <rPr>
        <rFont val="Arial, sans-serif"/>
        <color rgb="FF1155CC"/>
        <sz val="15.0"/>
        <u/>
      </rPr>
      <t>Flama: el restaurante que arde en Valencia</t>
    </r>
    <r>
      <rPr>
        <rFont val="Arial, sans-serif"/>
        <color rgb="FF1155CC"/>
        <sz val="11.0"/>
        <u/>
      </rPr>
      <t>Lleva apenas un año en activo y ya se ha convertido en el restaurante con el fuego como protagonista más reputado de la ciudad. En el céntrica Gran Vía...</t>
    </r>
    <r>
      <rPr>
        <rFont val="Arial, sans-serif"/>
        <color rgb="FF1155CC"/>
        <sz val="12.0"/>
        <u/>
      </rPr>
      <t>.</t>
    </r>
    <r>
      <rPr>
        <rFont val="Arial, sans-serif"/>
        <color rgb="FF1155CC"/>
        <sz val="11.0"/>
        <u/>
      </rPr>
      <t>14 feb 2024</t>
    </r>
  </si>
  <si>
    <t>Flama: el restaurante que arde en Valencia</t>
  </si>
  <si>
    <t>Lleva apenas un año en activo y ya se ha convertido en el restaurante con el fuego como protagonista más reputado de la ciudad. En el céntrica Gran Vía....</t>
  </si>
  <si>
    <t>Flama: the restaurant that burns in Valencia</t>
  </si>
  <si>
    <t>It has only been in business for a year and has already become the most renowned restaurant with fire as its protagonist in the city. In the central Gran Vía....</t>
  </si>
  <si>
    <r>
      <rPr>
        <rFont val="Arial, sans-serif"/>
        <color rgb="FF1155CC"/>
        <sz val="9.0"/>
        <u/>
      </rPr>
      <t>Motorbike Magazine</t>
    </r>
    <r>
      <rPr>
        <rFont val="Arial, sans-serif"/>
        <color rgb="FF1155CC"/>
        <sz val="15.0"/>
        <u/>
      </rPr>
      <t>[Galería] Todas las motos del Repsol Honda en 500cc/MotoGP: de 1995 a 2024</t>
    </r>
    <r>
      <rPr>
        <rFont val="Arial, sans-serif"/>
        <color rgb="FF1155CC"/>
        <sz val="11.0"/>
        <u/>
      </rPr>
      <t>Repasa las 30 motos del Repsol Honda Team desde el nacimiento de esa vinculación en 1995 hasta la actualidad.</t>
    </r>
    <r>
      <rPr>
        <rFont val="Arial, sans-serif"/>
        <color rgb="FF1155CC"/>
        <sz val="12.0"/>
        <u/>
      </rPr>
      <t>.</t>
    </r>
    <r>
      <rPr>
        <rFont val="Arial, sans-serif"/>
        <color rgb="FF1155CC"/>
        <sz val="11.0"/>
        <u/>
      </rPr>
      <t>14 feb 2024</t>
    </r>
  </si>
  <si>
    <t>Todas las motos del Repsol Honda en 500cc/MotoGP: de 1995 a 2024</t>
  </si>
  <si>
    <t>Repasa las 30 motos del Repsol Honda Team desde el nacimiento de esa vinculación en 1995 hasta la actualidad.</t>
  </si>
  <si>
    <t>All Repsol Honda motorcycles in 500cc/MotoGP: from 1995 to 2024</t>
  </si>
  <si>
    <t>Review the 30 motorcycles of the Repsol Honda Team from the birth of that relationship in 1995 to the present.</t>
  </si>
  <si>
    <r>
      <rPr>
        <rFont val="Arial, sans-serif"/>
        <color rgb="FF1155CC"/>
        <sz val="9.0"/>
        <u/>
      </rPr>
      <t>VAVEL.com</t>
    </r>
    <r>
      <rPr>
        <rFont val="Arial, sans-serif"/>
        <color rgb="FF1155CC"/>
        <sz val="15.0"/>
        <u/>
      </rPr>
      <t>Presentación del Repsol Honda Team para MotoGP 2024</t>
    </r>
    <r>
      <rPr>
        <rFont val="Arial, sans-serif"/>
        <color rgb="FF1155CC"/>
        <sz val="11.0"/>
        <u/>
      </rPr>
      <t>La marca del ala dorada lista para el despegue de la temporada de MotoGP 2024, presenta su nueva RC213V junto a Joan Mir y Luca Marini.</t>
    </r>
    <r>
      <rPr>
        <rFont val="Arial, sans-serif"/>
        <color rgb="FF1155CC"/>
        <sz val="12.0"/>
        <u/>
      </rPr>
      <t>.</t>
    </r>
    <r>
      <rPr>
        <rFont val="Arial, sans-serif"/>
        <color rgb="FF1155CC"/>
        <sz val="11.0"/>
        <u/>
      </rPr>
      <t>14 feb 2024</t>
    </r>
  </si>
  <si>
    <t>VAVEL.com</t>
  </si>
  <si>
    <t>Presentación del Repsol Honda Team para MotoGP 2024</t>
  </si>
  <si>
    <t>La marca del ala dorada lista para el despegue de la temporada de MotoGP 2024, presenta su nueva RC213V junto a Joan Mir y Luca Marini.</t>
  </si>
  <si>
    <t>Presentation of the Repsol Honda Team for MotoGP 2024</t>
  </si>
  <si>
    <t>The brand with the golden wing, ready for the start of the 2024 MotoGP season, presents its new RC213V together with Joan Mir and Luca Marini.</t>
  </si>
  <si>
    <t>Team presentations do not impact Repsol’s corporate perception.</t>
  </si>
  <si>
    <t>nueva RC213V, despegue</t>
  </si>
  <si>
    <r>
      <rPr>
        <rFont val="Arial, sans-serif"/>
        <color rgb="FF1155CC"/>
        <sz val="9.0"/>
        <u/>
      </rPr>
      <t>Ideal</t>
    </r>
    <r>
      <rPr>
        <rFont val="Arial, sans-serif"/>
        <color rgb="FF1155CC"/>
        <sz val="15.0"/>
        <u/>
      </rPr>
      <t>Repsol avisa de la duración de la bombona de butano</t>
    </r>
    <r>
      <rPr>
        <rFont val="Arial, sans-serif"/>
        <color rgb="FF1155CC"/>
        <sz val="11.0"/>
        <u/>
      </rPr>
      <t>La calefacción, igual que sucedía en el caso de la estufa, requiere un consumo importante de gas.</t>
    </r>
    <r>
      <rPr>
        <rFont val="Arial, sans-serif"/>
        <color rgb="FF1155CC"/>
        <sz val="12.0"/>
        <u/>
      </rPr>
      <t>.</t>
    </r>
    <r>
      <rPr>
        <rFont val="Arial, sans-serif"/>
        <color rgb="FF1155CC"/>
        <sz val="11.0"/>
        <u/>
      </rPr>
      <t>14 feb 2024</t>
    </r>
  </si>
  <si>
    <t>Repsol avisa de la duración de la bombona de butano</t>
  </si>
  <si>
    <t>La calefacción, igual que sucedía en el caso de la estufa, requiere un consumo importante de gas.</t>
  </si>
  <si>
    <t>Repsol warns about the duration of the butane cylinder</t>
  </si>
  <si>
    <t>Heating, as was the case with the stove, requires a significant consumption of gas.</t>
  </si>
  <si>
    <t>butane cylinder, Repsol warning</t>
  </si>
  <si>
    <t>cilindro de butano, aviso Repsol</t>
  </si>
  <si>
    <t>Providing consumer safety guidelines reinforces Repsol’s role as an energy supplier.</t>
  </si>
  <si>
    <t>Neutral due to informational content.</t>
  </si>
  <si>
    <t>Neutral debido al contenido informativo.</t>
  </si>
  <si>
    <r>
      <rPr>
        <rFont val="Arial, sans-serif"/>
        <color rgb="FF1155CC"/>
        <sz val="9.0"/>
        <u/>
      </rPr>
      <t>MiCiudadReal.es</t>
    </r>
    <r>
      <rPr>
        <rFont val="Arial, sans-serif"/>
        <color rgb="FF1155CC"/>
        <sz val="15.0"/>
        <u/>
      </rPr>
      <t>Mueren en la factoría de Repsol de Sines dos trabajadores brasileños contratados por una empresa de montajes de Puertollano</t>
    </r>
    <r>
      <rPr>
        <rFont val="Arial, sans-serif"/>
        <color rgb="FF1155CC"/>
        <sz val="11.0"/>
        <u/>
      </rPr>
      <t>Dos hombres de origen brasileño contratados en Portugal por una conocida empresa de montajes de Puertollano fallecieron este lunes en un accidente laboral...</t>
    </r>
    <r>
      <rPr>
        <rFont val="Arial, sans-serif"/>
        <color rgb="FF1155CC"/>
        <sz val="12.0"/>
        <u/>
      </rPr>
      <t>.</t>
    </r>
    <r>
      <rPr>
        <rFont val="Arial, sans-serif"/>
        <color rgb="FF1155CC"/>
        <sz val="11.0"/>
        <u/>
      </rPr>
      <t>14 feb 2024</t>
    </r>
  </si>
  <si>
    <t>MiCiudadReal.es</t>
  </si>
  <si>
    <t>Mueren en la factoría de Repsol de Sines dos trabajadores brasileños contratados por una empresa de montajes de Puertollano</t>
  </si>
  <si>
    <t>Dos hombres de origen brasileño contratados en Portugal por una conocida empresa de montajes de Puertollano fallecieron este lunes en un accidente laboral.</t>
  </si>
  <si>
    <t>Two Brazilian workers hired by an assembly company in Puertollano die at the Repsol factory in Sines</t>
  </si>
  <si>
    <t>Two men of Brazilian origin hired in Portugal by a well-known assembly company in Puertollano died this Monday in a work accident.</t>
  </si>
  <si>
    <t>worker accident, Repsol site</t>
  </si>
  <si>
    <t>accidente laboral, sitio Repsol</t>
  </si>
  <si>
    <t>Workplace safety incidents negatively impact Repsol’s reputation.</t>
  </si>
  <si>
    <t>accidente laboral, fallecimiento</t>
  </si>
  <si>
    <t>Highly negative due to workplace fatalities.</t>
  </si>
  <si>
    <t>Altamente negativo por víctimas mortales en el lugar de trabajo.</t>
  </si>
  <si>
    <r>
      <rPr>
        <rFont val="Arial, sans-serif"/>
        <color rgb="FF1155CC"/>
        <sz val="9.0"/>
        <u/>
      </rPr>
      <t>Motorsport.com España</t>
    </r>
    <r>
      <rPr>
        <rFont val="Arial, sans-serif"/>
        <color rgb="FF1155CC"/>
        <sz val="15.0"/>
        <u/>
      </rPr>
      <t>Honda espera que la RC213V MotoGP 2024 sea competitiva "después del verano"</t>
    </r>
    <r>
      <rPr>
        <rFont val="Arial, sans-serif"/>
        <color rgb="FF1155CC"/>
        <sz val="11.0"/>
        <u/>
      </rPr>
      <t>Honda rompió este martes y 13 con casi tres décadas de uniformidad en el diseño de su prototipo de la clase reina del mundial de motociclismo,...</t>
    </r>
    <r>
      <rPr>
        <rFont val="Arial, sans-serif"/>
        <color rgb="FF1155CC"/>
        <sz val="12.0"/>
        <u/>
      </rPr>
      <t>.</t>
    </r>
    <r>
      <rPr>
        <rFont val="Arial, sans-serif"/>
        <color rgb="FF1155CC"/>
        <sz val="11.0"/>
        <u/>
      </rPr>
      <t>14 feb 2024</t>
    </r>
  </si>
  <si>
    <t>Honda espera que la RC213V MotoGP 2024 sea competitiva "después del verano"</t>
  </si>
  <si>
    <t>Honda rompió este martes y 13 con casi tres décadas de uniformidad en el diseño de su prototipo de la clase reina del mundial de motociclismo,....</t>
  </si>
  <si>
    <t>Honda hopes the 2024 RC213V MotoGP will be competitive "after the summer"</t>
  </si>
  <si>
    <t>Honda broke this Tuesday the 13th with almost three decades of uniformity in the design of its prototype of the queen class of the motorcycle world championship,...</t>
  </si>
  <si>
    <r>
      <rPr>
        <rFont val="Arial, sans-serif"/>
        <color rgb="FF1155CC"/>
        <sz val="9.0"/>
        <u/>
      </rPr>
      <t>Todocircuito.com</t>
    </r>
    <r>
      <rPr>
        <rFont val="Arial, sans-serif"/>
        <color rgb="FF1155CC"/>
        <sz val="15.0"/>
        <u/>
      </rPr>
      <t>Joan Mir y Luca Marini, de paseo por Madrid sobre sendas CBR 1000 RR Fireblade</t>
    </r>
    <r>
      <rPr>
        <rFont val="Arial, sans-serif"/>
        <color rgb="FF1155CC"/>
        <sz val="11.0"/>
        <u/>
      </rPr>
      <t>Una vez finalizada la presentación del equipo Repsol Honda en el Espacio Warner Music Station de Príncipe Pío (Madrid), Joan Mir y Luca Marini pusieron...</t>
    </r>
    <r>
      <rPr>
        <rFont val="Arial, sans-serif"/>
        <color rgb="FF1155CC"/>
        <sz val="12.0"/>
        <u/>
      </rPr>
      <t>.</t>
    </r>
    <r>
      <rPr>
        <rFont val="Arial, sans-serif"/>
        <color rgb="FF1155CC"/>
        <sz val="11.0"/>
        <u/>
      </rPr>
      <t>14 feb 2024</t>
    </r>
  </si>
  <si>
    <t>Joan Mir y Luca Marini, de paseo por Madrid sobre sendas CBR 1000 RR Fireblade</t>
  </si>
  <si>
    <t>Una vez finalizada la presentación del equipo Repsol Honda en el Espacio Warner Music Station de Príncipe Pío (Madrid), Joan Mir y Luca Marini pusieron....</t>
  </si>
  <si>
    <t>Joan Mir and Luca Marini, strolling through Madrid on CBR 1000 RR Fireblade trails</t>
  </si>
  <si>
    <t>Once the presentation of the Repsol Honda team at the Espacio Warner Music Station in Príncipe Pío (Madrid) was over, Joan Mir and Luca Marini put on...</t>
  </si>
  <si>
    <r>
      <rPr>
        <rFont val="Arial, sans-serif"/>
        <color rgb="FF1155CC"/>
        <sz val="9.0"/>
        <u/>
      </rPr>
      <t>SoyMotero</t>
    </r>
    <r>
      <rPr>
        <rFont val="Arial, sans-serif"/>
        <color rgb="FF1155CC"/>
        <sz val="15.0"/>
        <u/>
      </rPr>
      <t>HRC recupera sus colores en MotoGP: ¿Recuerdos de los ’90?</t>
    </r>
    <r>
      <rPr>
        <rFont val="Arial, sans-serif"/>
        <color rgb="FF1155CC"/>
        <sz val="11.0"/>
        <u/>
      </rPr>
      <t>Aunque Honda HRC y Repsol siguen juntos en MotoGP, los colores han cambiado y mucho en este último año del vigente de contrato.</t>
    </r>
    <r>
      <rPr>
        <rFont val="Arial, sans-serif"/>
        <color rgb="FF1155CC"/>
        <sz val="12.0"/>
        <u/>
      </rPr>
      <t>.</t>
    </r>
    <r>
      <rPr>
        <rFont val="Arial, sans-serif"/>
        <color rgb="FF1155CC"/>
        <sz val="11.0"/>
        <u/>
      </rPr>
      <t>14 feb 2024</t>
    </r>
  </si>
  <si>
    <t>SoyMotero</t>
  </si>
  <si>
    <t>SoyMoteroHRC recupera sus colores en MotoGP: ¿Recuerdos de los ’90?</t>
  </si>
  <si>
    <t>Aunque Honda HRC y Repsol siguen juntos en MotoGP, los colores han cambiado y mucho en este último año del vigente de contrato.</t>
  </si>
  <si>
    <t>SoyMoteroHRC recovers its colors in MotoGP: Memories of the '90s?</t>
  </si>
  <si>
    <t>Although Honda HRC and Repsol are still together in MotoGP, the colors have changed a lot in this last year of the current contract.</t>
  </si>
  <si>
    <r>
      <rPr>
        <rFont val="Arial, sans-serif"/>
        <color rgb="FF1155CC"/>
        <sz val="9.0"/>
        <u/>
      </rPr>
      <t>Infobae</t>
    </r>
    <r>
      <rPr>
        <rFont val="Arial, sans-serif"/>
        <color rgb="FF1155CC"/>
        <sz val="15.0"/>
        <u/>
      </rPr>
      <t>Derrame de Repsol: Ningún plan para rehabilitar el desastre ecológico ha sido aprobado por el Minem</t>
    </r>
    <r>
      <rPr>
        <rFont val="Arial, sans-serif"/>
        <color rgb="FF1155CC"/>
        <sz val="11.0"/>
        <u/>
      </rPr>
      <t>Oefa ordenó que la empresa implemente una estrategia de remedición ambiental para la limpieza de 69 playas y la recuperación de los ecosistemas dañados.</t>
    </r>
    <r>
      <rPr>
        <rFont val="Arial, sans-serif"/>
        <color rgb="FF1155CC"/>
        <sz val="12.0"/>
        <u/>
      </rPr>
      <t>.</t>
    </r>
    <r>
      <rPr>
        <rFont val="Arial, sans-serif"/>
        <color rgb="FF1155CC"/>
        <sz val="11.0"/>
        <u/>
      </rPr>
      <t>14 feb 2024</t>
    </r>
  </si>
  <si>
    <t>Derrame de Repsol: Ningún plan para rehabilitar el desastre ecológico ha sido aprobado por el Minem</t>
  </si>
  <si>
    <t>Ningún plan para rehabilitar el desastre ecológico ha sido aprobado por el Minem. Oefa ordenó que la empresa implemente una estrategia de remedición ambiental para la limpieza de 69 playas y la recuperación de los ecosistemas dañados.</t>
  </si>
  <si>
    <t>Repsol spill: No plan to rehabilitate the ecological disaster has been approved by Minem</t>
  </si>
  <si>
    <t>No plan to rehabilitate the ecological disaster has been approved by Minem. Oefa ordered the company to implement an environmental remeasurement strategy to clean 69 beaches and recover damaged ecosystems.</t>
  </si>
  <si>
    <t>oil spill, ecological disaster</t>
  </si>
  <si>
    <t>derrame de petróleo, desastre ecológico</t>
  </si>
  <si>
    <t>Ongoing environmental damage and lack of remediation efforts negatively affect Repsol’s image.</t>
  </si>
  <si>
    <t>derrame, desastre ecológico, no aprobado</t>
  </si>
  <si>
    <t>Highly negative due to environmental disaster and lack of approved plans.</t>
  </si>
  <si>
    <t>Altamente negativo por desastre ambiental y falta de planes aprobados.</t>
  </si>
  <si>
    <r>
      <rPr>
        <rFont val="Arial, sans-serif"/>
        <color rgb="FF1155CC"/>
        <sz val="9.0"/>
        <u/>
      </rPr>
      <t>Guía Repsol</t>
    </r>
    <r>
      <rPr>
        <rFont val="Arial, sans-serif"/>
        <color rgb="FF1155CC"/>
        <sz val="15.0"/>
        <u/>
      </rPr>
      <t>Restaurantes con Soles Repsol 2024</t>
    </r>
    <r>
      <rPr>
        <rFont val="Arial, sans-serif"/>
        <color rgb="FF1155CC"/>
        <sz val="11.0"/>
        <u/>
      </rPr>
      <t>Consulta los restaurantes y cocineros premiados con Soles Guía Repsol 2024. ¡Encuentra el Sol que estás buscando!</t>
    </r>
    <r>
      <rPr>
        <rFont val="Arial, sans-serif"/>
        <color rgb="FF1155CC"/>
        <sz val="12.0"/>
        <u/>
      </rPr>
      <t>.</t>
    </r>
    <r>
      <rPr>
        <rFont val="Arial, sans-serif"/>
        <color rgb="FF1155CC"/>
        <sz val="11.0"/>
        <u/>
      </rPr>
      <t>15 feb 2024</t>
    </r>
  </si>
  <si>
    <t>Restaurantes con Soles Repsol 2024</t>
  </si>
  <si>
    <t>Consulta los restaurantes y cocineros premiados con Soles Guía Repsol 2024. ¡Encuentra el Sol que estás buscando!</t>
  </si>
  <si>
    <t>Restaurants with Repsol 2024 Soles</t>
  </si>
  <si>
    <t>Check out the restaurants and chefs awarded with Repsol Guide Suns 2024. Find the Sun you are looking for!</t>
  </si>
  <si>
    <r>
      <rPr>
        <rFont val="Arial, sans-serif"/>
        <color rgb="FF1155CC"/>
        <sz val="9.0"/>
        <u/>
      </rPr>
      <t>Estrategias de Inversión</t>
    </r>
    <r>
      <rPr>
        <rFont val="Arial, sans-serif"/>
        <color rgb="FF1155CC"/>
        <sz val="15.0"/>
        <u/>
      </rPr>
      <t>Repsol mejora su cotización de 2024, su producción de 2023 y... ¿su beneficio?</t>
    </r>
    <r>
      <rPr>
        <rFont val="Arial, sans-serif"/>
        <color rgb="FF1155CC"/>
        <sz val="11.0"/>
        <u/>
      </rPr>
      <t>En una semana Repsol presentará los resultados correspondientes al año pasado. Tras volver a las alzas en bolsa en lo que llevamos de 2024 y reportar un...</t>
    </r>
    <r>
      <rPr>
        <rFont val="Arial, sans-serif"/>
        <color rgb="FF1155CC"/>
        <sz val="12.0"/>
        <u/>
      </rPr>
      <t>.</t>
    </r>
    <r>
      <rPr>
        <rFont val="Arial, sans-serif"/>
        <color rgb="FF1155CC"/>
        <sz val="11.0"/>
        <u/>
      </rPr>
      <t>15 feb 2024</t>
    </r>
  </si>
  <si>
    <t>Repsol mejora su cotización de 2024, su producción de 2023 y... ¿su beneficio?</t>
  </si>
  <si>
    <t>En una semana Repsol presentará los resultados correspondientes al año pasado. Tras volver a las alzas en bolsa en lo que llevamos de 2024 y reportar un....</t>
  </si>
  <si>
    <t>Repsol improves its 2024 price, its 2023 production and... its profit?</t>
  </si>
  <si>
    <t>In one week Repsol will present the results for last year. After returning to the increases in the stock market so far in 2024 and reporting a....</t>
  </si>
  <si>
    <t>price improvement, attractive dividend</t>
  </si>
  <si>
    <t>mejora de precios, dividendo atractivo</t>
  </si>
  <si>
    <t>Strong financial results and dividend policies reinforce positive sentiment towards Repsol.</t>
  </si>
  <si>
    <t>mejora cotización, producción, beneficio</t>
  </si>
  <si>
    <t>Positive due to improved financial performance.</t>
  </si>
  <si>
    <t>Positivo debido a un mejor desempeño financiero.</t>
  </si>
  <si>
    <r>
      <rPr>
        <rFont val="Arial, sans-serif"/>
        <color rgb="FF1155CC"/>
        <sz val="9.0"/>
        <u/>
      </rPr>
      <t>El Economista</t>
    </r>
    <r>
      <rPr>
        <rFont val="Arial, sans-serif"/>
        <color rgb="FF1155CC"/>
        <sz val="15.0"/>
        <u/>
      </rPr>
      <t>Las gasolineras independientes dan el 'sorpasso' a Repsol, Cepsa y BP</t>
    </r>
    <r>
      <rPr>
        <rFont val="Arial, sans-serif"/>
        <color rgb="FF1155CC"/>
        <sz val="11.0"/>
        <u/>
      </rPr>
      <t>Las estaciones de servicio independientes han dado el sorpasso (adelantamiento) en número de puntos de venta a Repsol, Cepsa y BP. Según ...</t>
    </r>
    <r>
      <rPr>
        <rFont val="Arial, sans-serif"/>
        <color rgb="FF1155CC"/>
        <sz val="12.0"/>
        <u/>
      </rPr>
      <t>.</t>
    </r>
    <r>
      <rPr>
        <rFont val="Arial, sans-serif"/>
        <color rgb="FF1155CC"/>
        <sz val="11.0"/>
        <u/>
      </rPr>
      <t>15 feb 2024</t>
    </r>
  </si>
  <si>
    <t>Las gasolineras independientes dan el 'sorpasso' a Repsol, Cepsa y BP</t>
  </si>
  <si>
    <t>Las estaciones de servicio independientes han dado el sorpasso (adelantamiento) en número de puntos de venta a Repsol, Cepsa y BP. Según ....</t>
  </si>
  <si>
    <t>Independent gas stations give the 'sorpasso' to Repsol, Cepsa and BP</t>
  </si>
  <si>
    <t>Independent service stations have overtaken Repsol, Cepsa and BP in number of points of sale. According to ....</t>
  </si>
  <si>
    <t>Competition</t>
  </si>
  <si>
    <t>market share loss, independent gas stations</t>
  </si>
  <si>
    <t>pérdida de cuota de mercado, gasolineras independientes</t>
  </si>
  <si>
    <t>Losing market share to independent fuel providers negatively affects Repsol’s market positioning.</t>
  </si>
  <si>
    <t>sorpasso, independientes</t>
  </si>
  <si>
    <t>Slightly negative due to competitive loss.</t>
  </si>
  <si>
    <t>Ligeramente negativo debido a la pérdida competitiva.</t>
  </si>
  <si>
    <r>
      <rPr>
        <rFont val="Arial, sans-serif"/>
        <color rgb="FF1155CC"/>
        <sz val="9.0"/>
        <u/>
      </rPr>
      <t>chasiscero.com</t>
    </r>
    <r>
      <rPr>
        <rFont val="Arial, sans-serif"/>
        <color rgb="FF1155CC"/>
        <sz val="15.0"/>
        <u/>
      </rPr>
      <t>¿Merece la pena echar gasolina de Repsol, Cepsa o Shell? Un informe desmonta su "chiringuito"</t>
    </r>
    <r>
      <rPr>
        <rFont val="Arial, sans-serif"/>
        <color rgb="FF1155CC"/>
        <sz val="11.0"/>
        <u/>
      </rPr>
      <t>La OCU ha lanzado un estudio sobre la disparidad entre la gasolina de bajo coste y la gasolina convencional.</t>
    </r>
    <r>
      <rPr>
        <rFont val="Arial, sans-serif"/>
        <color rgb="FF1155CC"/>
        <sz val="12.0"/>
        <u/>
      </rPr>
      <t>.</t>
    </r>
    <r>
      <rPr>
        <rFont val="Arial, sans-serif"/>
        <color rgb="FF1155CC"/>
        <sz val="11.0"/>
        <u/>
      </rPr>
      <t>15 feb 2024</t>
    </r>
  </si>
  <si>
    <t>¿Merece la pena echar gasolina de Repsol, Cepsa o Shell? Un informe desmonta su "chiringuito"</t>
  </si>
  <si>
    <t>La OCU ha lanzado un estudio sobre la disparidad entre la gasolina de bajo coste y la gasolina convencional.</t>
  </si>
  <si>
    <t>Is it worth using Repsol, Cepsa or Shell gasoline? A report dismantles his "beach bar"</t>
  </si>
  <si>
    <t>The OCU has launched a study on the disparity between low-cost gasoline and conventional gasoline.</t>
  </si>
  <si>
    <r>
      <rPr>
        <rFont val="Arial, sans-serif"/>
        <color rgb="FF1155CC"/>
        <sz val="9.0"/>
        <u/>
      </rPr>
      <t>Mundo Deportivo</t>
    </r>
    <r>
      <rPr>
        <rFont val="Arial, sans-serif"/>
        <color rgb="FF1155CC"/>
        <sz val="15.0"/>
        <u/>
      </rPr>
      <t>Honda se pone fecha para volver a la lucha por victorias en la nueva era post Marc Márquez</t>
    </r>
    <r>
      <rPr>
        <rFont val="Arial, sans-serif"/>
        <color rgb="FF1155CC"/>
        <sz val="11.0"/>
        <u/>
      </rPr>
      <t>Honda lleva demasiados años en el pozo. Desde el año perfecto en 2019 con Marc Márquez que los japoneses no saben que es luchar por el Mundial.</t>
    </r>
    <r>
      <rPr>
        <rFont val="Arial, sans-serif"/>
        <color rgb="FF1155CC"/>
        <sz val="12.0"/>
        <u/>
      </rPr>
      <t>.</t>
    </r>
    <r>
      <rPr>
        <rFont val="Arial, sans-serif"/>
        <color rgb="FF1155CC"/>
        <sz val="11.0"/>
        <u/>
      </rPr>
      <t>15 feb 2024</t>
    </r>
  </si>
  <si>
    <t>Honda se pone fecha para volver a la lucha por victorias en la nueva era post Marc Márquez</t>
  </si>
  <si>
    <t>Honda lleva demasiado años en el pozo. Desde el año perfecto en 2019 con Marc Márquez que los japoneses no saben que es luchar por el Mundial.</t>
  </si>
  <si>
    <t>Honda sets a date to return to the fight for victories in the new post-Marc Márquez era</t>
  </si>
  <si>
    <t>Honda has been in the hole for too many years. Since the perfect year in 2019 with Marc Márquez that the Japanese do not know what it means to fight for the World Cup.</t>
  </si>
  <si>
    <r>
      <rPr>
        <rFont val="Arial, sans-serif"/>
        <color rgb="FF1155CC"/>
        <sz val="9.0"/>
        <u/>
      </rPr>
      <t>Cadena SER</t>
    </r>
    <r>
      <rPr>
        <rFont val="Arial, sans-serif"/>
        <color rgb="FF1155CC"/>
        <sz val="15.0"/>
        <u/>
      </rPr>
      <t>"Naturaleza Encendida", otra forma de ver El Alcázar</t>
    </r>
    <r>
      <rPr>
        <rFont val="Arial, sans-serif"/>
        <color rgb="FF1155CC"/>
        <sz val="11.0"/>
        <u/>
      </rPr>
      <t>La aventura lumínica es un homenaje a la historia y la arquitectura del Alcázar de Sevilla.</t>
    </r>
    <r>
      <rPr>
        <rFont val="Arial, sans-serif"/>
        <color rgb="FF1155CC"/>
        <sz val="12.0"/>
        <u/>
      </rPr>
      <t>.</t>
    </r>
    <r>
      <rPr>
        <rFont val="Arial, sans-serif"/>
        <color rgb="FF1155CC"/>
        <sz val="11.0"/>
        <u/>
      </rPr>
      <t>15 feb 2024</t>
    </r>
  </si>
  <si>
    <t>"Naturaleza Encendida", otra forma de ver El Alcázar</t>
  </si>
  <si>
    <t>La aventura lumínica es un homenaje a la historia y la arquitectura del Alcázar de Sevilla.</t>
  </si>
  <si>
    <t>"Naturaleza Encendida", another way to see El Alcázar</t>
  </si>
  <si>
    <t>The lighting adventure is a tribute to the history and architecture of the Alcázar of Seville.</t>
  </si>
  <si>
    <r>
      <rPr>
        <rFont val="Arial, sans-serif"/>
        <color rgb="FF1155CC"/>
        <sz val="9.0"/>
        <u/>
      </rPr>
      <t>Forococheselectricos</t>
    </r>
    <r>
      <rPr>
        <rFont val="Arial, sans-serif"/>
        <color rgb="FF1155CC"/>
        <sz val="15.0"/>
        <u/>
      </rPr>
      <t>Cada vez hay más puntos de recarga públicos, pero son menos fiables</t>
    </r>
    <r>
      <rPr>
        <rFont val="Arial, sans-serif"/>
        <color rgb="FF1155CC"/>
        <sz val="11.0"/>
        <u/>
      </rPr>
      <t>Viajar en un coche eléctrico es una experiencia totalmente diferente a hacerlo con un modelo con motor de combustión. Tanto por la autonomía,...</t>
    </r>
    <r>
      <rPr>
        <rFont val="Arial, sans-serif"/>
        <color rgb="FF1155CC"/>
        <sz val="12.0"/>
        <u/>
      </rPr>
      <t>.</t>
    </r>
    <r>
      <rPr>
        <rFont val="Arial, sans-serif"/>
        <color rgb="FF1155CC"/>
        <sz val="11.0"/>
        <u/>
      </rPr>
      <t>15 feb 2024</t>
    </r>
  </si>
  <si>
    <t>Forococheselectricos</t>
  </si>
  <si>
    <t>Cada vez hay más puntos de recarga públicos, pero son menos fiables</t>
  </si>
  <si>
    <t>Viajar en un coche eléctrico es una experiencia totalmente diferente a hacerlo con un modelo con motor de combustión. Tanto por la autonomía,...</t>
  </si>
  <si>
    <t>There are more and more public charging points, but they are less reliable</t>
  </si>
  <si>
    <t>Traveling in an electric car is a totally different experience than traveling in a model with a combustion engine. So much for the autonomy,...</t>
  </si>
  <si>
    <r>
      <rPr>
        <rFont val="Arial, sans-serif"/>
        <color rgb="FF1155CC"/>
        <sz val="9.0"/>
        <u/>
      </rPr>
      <t>IPMARK</t>
    </r>
    <r>
      <rPr>
        <rFont val="Arial, sans-serif"/>
        <color rgb="FF1155CC"/>
        <sz val="15.0"/>
        <u/>
      </rPr>
      <t>Linkedln. Los CMO’s generan más impacto en la eficiencia de la marca</t>
    </r>
    <r>
      <rPr>
        <rFont val="Arial, sans-serif"/>
        <color rgb="FF1155CC"/>
        <sz val="11.0"/>
        <u/>
      </rPr>
      <t>Entre los directores de marketing con mayor relevancia en Linkedln destacan Marcos Fraga García de Repsol y Gonzalo Saiz de Bankinter.</t>
    </r>
    <r>
      <rPr>
        <rFont val="Arial, sans-serif"/>
        <color rgb="FF1155CC"/>
        <sz val="12.0"/>
        <u/>
      </rPr>
      <t>.</t>
    </r>
    <r>
      <rPr>
        <rFont val="Arial, sans-serif"/>
        <color rgb="FF1155CC"/>
        <sz val="11.0"/>
        <u/>
      </rPr>
      <t>15 feb 2024</t>
    </r>
  </si>
  <si>
    <t>IPMARK</t>
  </si>
  <si>
    <t>Los CMO’s generan más impacto en la eficiencia de la marca</t>
  </si>
  <si>
    <t>Entre los directores de marketing con mayor relevancia en Linkedln destacan Marcos Fraga García de Repsol y Gonzalo Saiz de Bankinter.</t>
  </si>
  <si>
    <t>CMOs generate more impact on brand efficiency</t>
  </si>
  <si>
    <t>Among the most relevant marketing directors on LinkedIn, Marcos Fraga García from Repsol and Gonzalo Saiz from Bankinter stand out.</t>
  </si>
  <si>
    <r>
      <rPr>
        <rFont val="Arial, sans-serif"/>
        <color rgb="FF1155CC"/>
        <sz val="9.0"/>
        <u/>
      </rPr>
      <t>lavozdelsur.es</t>
    </r>
    <r>
      <rPr>
        <rFont val="Arial, sans-serif"/>
        <color rgb="FF1155CC"/>
        <sz val="15.0"/>
        <u/>
      </rPr>
      <t>Naturaleza Encendida en Sevilla: un espectáculo de 45 minutos por 14 euros sin devolución si llueve</t>
    </r>
    <r>
      <rPr>
        <rFont val="Arial, sans-serif"/>
        <color rgb="FF1155CC"/>
        <sz val="11.0"/>
        <u/>
      </rPr>
      <t>El Real Alcázar acoge esta iniciativa patrocinada por Repsol que ilumina los jardines.</t>
    </r>
    <r>
      <rPr>
        <rFont val="Arial, sans-serif"/>
        <color rgb="FF1155CC"/>
        <sz val="12.0"/>
        <u/>
      </rPr>
      <t>.</t>
    </r>
    <r>
      <rPr>
        <rFont val="Arial, sans-serif"/>
        <color rgb="FF1155CC"/>
        <sz val="11.0"/>
        <u/>
      </rPr>
      <t>15 feb 2024</t>
    </r>
  </si>
  <si>
    <t>Naturaleza Encendida en Sevilla: un espectáculo de 45 minutos por 14 euros sin devolución si llueve</t>
  </si>
  <si>
    <t>Naturaleza Encendida en Sevilla: un espectáculo de 45 minutos por 14 euros sin devolución si llueve. El Real Alcázar acoge esta iniciativa patrocinada por Repsol que ilumina los jardines.</t>
  </si>
  <si>
    <t>Nature Encendida in Seville: a 45-minute show for 14 euros with no refund if it rains</t>
  </si>
  <si>
    <t>Nature Encendida in Seville: a 45-minute show for 14 euros with no refunds if it rains. The Real Alcázar hosts this initiative sponsored by Repsol that illuminates the gardens.</t>
  </si>
  <si>
    <r>
      <rPr>
        <rFont val="Arial, sans-serif"/>
        <color rgb="FF1155CC"/>
        <sz val="9.0"/>
        <u/>
      </rPr>
      <t>Guía Repsol</t>
    </r>
    <r>
      <rPr>
        <rFont val="Arial, sans-serif"/>
        <color rgb="FF1155CC"/>
        <sz val="15.0"/>
        <u/>
      </rPr>
      <t>Restaurante ‘La Única’, el puerto marítimo en una pequeña aldea leonesa</t>
    </r>
    <r>
      <rPr>
        <rFont val="Arial, sans-serif"/>
        <color rgb="FF1155CC"/>
        <sz val="11.0"/>
        <u/>
      </rPr>
      <t>En tierra de antiguos mineros del carbón, donde pastan las vacas mantequeras y los vecinos se reconocen por nombre y apellido -porque apenas superan la...</t>
    </r>
    <r>
      <rPr>
        <rFont val="Arial, sans-serif"/>
        <color rgb="FF1155CC"/>
        <sz val="12.0"/>
        <u/>
      </rPr>
      <t>.</t>
    </r>
    <r>
      <rPr>
        <rFont val="Arial, sans-serif"/>
        <color rgb="FF1155CC"/>
        <sz val="11.0"/>
        <u/>
      </rPr>
      <t>15 feb 2024</t>
    </r>
  </si>
  <si>
    <t>Restaurante ‘La Única’, el puerto marítimo en una pequeña aldea leonesa</t>
  </si>
  <si>
    <t>En tierra de antiguos mineros del carbón, donde pastan las vacas mantequeras y los vecinos se reconocen por nombre y apellido -porque apenas superan la....</t>
  </si>
  <si>
    <t>Restaurant 'La Única', the seaport in a small village in León</t>
  </si>
  <si>
    <t>In the land of former coal miners, where butter cows graze and neighbors recognize each other by first and last name - because they barely surpass the...</t>
  </si>
  <si>
    <r>
      <rPr>
        <rFont val="Arial, sans-serif"/>
        <color rgb="FF1155CC"/>
        <sz val="9.0"/>
        <u/>
      </rPr>
      <t>heraldo.es</t>
    </r>
    <r>
      <rPr>
        <rFont val="Arial, sans-serif"/>
        <color rgb="FF1155CC"/>
        <sz val="15.0"/>
        <u/>
      </rPr>
      <t>Los restaurantes de Teruel con soletes Repsol donde celebrar las Bodas de Isabel 2024</t>
    </r>
    <r>
      <rPr>
        <rFont val="Arial, sans-serif"/>
        <color rgb="FF1155CC"/>
        <sz val="11.0"/>
        <u/>
      </rPr>
      <t>La Guía Repsol señala varios establecimientos en la capital turolense que no te puedes perder durante la fiesta de los Medievales.</t>
    </r>
    <r>
      <rPr>
        <rFont val="Arial, sans-serif"/>
        <color rgb="FF1155CC"/>
        <sz val="12.0"/>
        <u/>
      </rPr>
      <t>.</t>
    </r>
    <r>
      <rPr>
        <rFont val="Arial, sans-serif"/>
        <color rgb="FF1155CC"/>
        <sz val="11.0"/>
        <u/>
      </rPr>
      <t>16 feb 2024</t>
    </r>
  </si>
  <si>
    <t>Los restaurantes de Teruel con soletes Repsol donde celebrar las Bodas de Isabel 2024</t>
  </si>
  <si>
    <t>La Guía Repsol señala varios establecimientos en la capital turolense que no te puedes perder durante la fiesta de los Medievales.</t>
  </si>
  <si>
    <t>The Teruel restaurants with Repsol soles where you can celebrate Isabel's Weddings 2024</t>
  </si>
  <si>
    <t>The Repsol Guide points out several establishments in the capital of Teruel that you cannot miss during the Medieval Festival.</t>
  </si>
  <si>
    <r>
      <rPr>
        <rFont val="Arial, sans-serif"/>
        <color rgb="FF1155CC"/>
        <sz val="9.0"/>
        <u/>
      </rPr>
      <t>La Comarca de Puertollano</t>
    </r>
    <r>
      <rPr>
        <rFont val="Arial, sans-serif"/>
        <color rgb="FF1155CC"/>
        <sz val="15.0"/>
        <u/>
      </rPr>
      <t>La empresa 'Siemsa Industria' gana el Premio 'Seguridad 2023' de Repsol-Puertollano</t>
    </r>
    <r>
      <rPr>
        <rFont val="Arial, sans-serif"/>
        <color rgb="FF1155CC"/>
        <sz val="11.0"/>
        <u/>
      </rPr>
      <t>Un centenar de empresas auxiliares y de servicios del sector industrial de la comarca de Puertollano han participado en la reunión general de coordinación...</t>
    </r>
    <r>
      <rPr>
        <rFont val="Arial, sans-serif"/>
        <color rgb="FF1155CC"/>
        <sz val="12.0"/>
        <u/>
      </rPr>
      <t>.</t>
    </r>
    <r>
      <rPr>
        <rFont val="Arial, sans-serif"/>
        <color rgb="FF1155CC"/>
        <sz val="11.0"/>
        <u/>
      </rPr>
      <t>16 feb 2024</t>
    </r>
  </si>
  <si>
    <t>La Comarca de Puertollano</t>
  </si>
  <si>
    <t>La empresa 'Siemsa Industria' gana el Premio 'Seguridad 2023' de Repsol-Puertollano</t>
  </si>
  <si>
    <t>Un centenar de empresas auxiliares y de servicios del sector industrial de la comarca de Puertollano han participado en la reunión general de coordinación....</t>
  </si>
  <si>
    <t>The company 'Siemsa Industria' wins the 'Security 2023' Award from Repsol-Puertollano</t>
  </si>
  <si>
    <t>A hundred auxiliary and service companies from the industrial sector of the Puertollano region have participated in the general coordination meeting....</t>
  </si>
  <si>
    <t>security award, Repsol refinery</t>
  </si>
  <si>
    <t>premio seguridad, Refinería Repsol</t>
  </si>
  <si>
    <t>Recognizing security achievements at Repsol’s refinery enhances its commitment to workplace safety.</t>
  </si>
  <si>
    <t>Premio Seguridad, coordinación</t>
  </si>
  <si>
    <t>Positive due to recognition of safety efforts.</t>
  </si>
  <si>
    <t>Positivo por reconocimiento a los esfuerzos en seguridad.</t>
  </si>
  <si>
    <r>
      <rPr>
        <rFont val="Arial, sans-serif"/>
        <color rgb="FF1155CC"/>
        <sz val="9.0"/>
        <u/>
      </rPr>
      <t>La Opinión de Murcia</t>
    </r>
    <r>
      <rPr>
        <rFont val="Arial, sans-serif"/>
        <color rgb="FF1155CC"/>
        <sz val="15.0"/>
        <u/>
      </rPr>
      <t>Víctima de una ciberestafa: «Me han quitado los ahorros de toda una vida»</t>
    </r>
    <r>
      <rPr>
        <rFont val="Arial, sans-serif"/>
        <color rgb="FF1155CC"/>
        <sz val="11.0"/>
        <u/>
      </rPr>
      <t>A C. Pérez, jubilada de 70 años que vive en Murcia, le sustrajeron 30.000 euros de la cuenta bancaria tras comprar unas acciones.</t>
    </r>
    <r>
      <rPr>
        <rFont val="Arial, sans-serif"/>
        <color rgb="FF1155CC"/>
        <sz val="12.0"/>
        <u/>
      </rPr>
      <t>.</t>
    </r>
    <r>
      <rPr>
        <rFont val="Arial, sans-serif"/>
        <color rgb="FF1155CC"/>
        <sz val="11.0"/>
        <u/>
      </rPr>
      <t>16 feb 2024</t>
    </r>
  </si>
  <si>
    <t>Víctima de una ciberestafa: «Me han quitado los ahorros de toda una vida»</t>
  </si>
  <si>
    <t>«Me han quitado los ahorros de toda una vida» A C. Pérez, jubilada de 70 años que vive en Murcia, le sustrajeron 30.000 euros de la cuenta bancaria tras comprar unas acciones.</t>
  </si>
  <si>
    <t>Victim of a cyber scam: "They have taken away my life savings"</t>
  </si>
  <si>
    <t>"They have taken away my life savings" C. Pérez, a 70-year-old retiree who lives in Murcia, had 30,000 euros stolen from her bank account after buying some shares.</t>
  </si>
  <si>
    <t>Cybersecurity</t>
  </si>
  <si>
    <r>
      <rPr>
        <rFont val="Arial, sans-serif"/>
        <color rgb="FF1155CC"/>
        <sz val="9.0"/>
        <u/>
      </rPr>
      <t>El Periódico de la Energía</t>
    </r>
    <r>
      <rPr>
        <rFont val="Arial, sans-serif"/>
        <color rgb="FF1155CC"/>
        <sz val="15.0"/>
        <u/>
      </rPr>
      <t>La regasificadora de Sagunto, no está disponible por una incidencia en la red de transporte</t>
    </r>
    <r>
      <rPr>
        <rFont val="Arial, sans-serif"/>
        <color rgb="FF1155CC"/>
        <sz val="11.0"/>
        <u/>
      </rPr>
      <t>El acontecimiento imposibilita las operaciones de carga o descarga de buques como las cargas de camiones cisterna de GNL. Redacción. 02/16/2024. Compartir.</t>
    </r>
    <r>
      <rPr>
        <rFont val="Arial, sans-serif"/>
        <color rgb="FF1155CC"/>
        <sz val="12.0"/>
        <u/>
      </rPr>
      <t>.</t>
    </r>
    <r>
      <rPr>
        <rFont val="Arial, sans-serif"/>
        <color rgb="FF1155CC"/>
        <sz val="11.0"/>
        <u/>
      </rPr>
      <t>16 feb 2024</t>
    </r>
  </si>
  <si>
    <t>La regasificadora de Sagunto, no está disponible por una incidencia en la red de transporte</t>
  </si>
  <si>
    <t>El acontecimiento imposibilita las operaciones de carga o descarga de buques como las cargas de camiones cisterna de GNL.</t>
  </si>
  <si>
    <t>The Sagunto regasification plant is not available due to an incident in the transportation network</t>
  </si>
  <si>
    <t>The event makes it impossible to load or unload ships such as loading LNG tankers.</t>
  </si>
  <si>
    <t>Energy Infrastructure</t>
  </si>
  <si>
    <t>Sagunto regasification plant, incident</t>
  </si>
  <si>
    <t>Planta regasificadora de Sagunto, incidente</t>
  </si>
  <si>
    <t>Operational disruptions at regasification facilities can affect Repsol’s energy supply chain.</t>
  </si>
  <si>
    <t>incidencia, no disponible</t>
  </si>
  <si>
    <t>Negative due to operational issues.</t>
  </si>
  <si>
    <t>Negativo por problemas operativos.</t>
  </si>
  <si>
    <r>
      <rPr>
        <rFont val="Arial, sans-serif"/>
        <color rgb="FF1155CC"/>
        <sz val="9.0"/>
        <u/>
      </rPr>
      <t>El Economista</t>
    </r>
    <r>
      <rPr>
        <rFont val="Arial, sans-serif"/>
        <color rgb="FF1155CC"/>
        <sz val="15.0"/>
        <u/>
      </rPr>
      <t>La histórica General Electric se trocea: inicia la escisión de su negocio de energía GE Vernova</t>
    </r>
    <r>
      <rPr>
        <rFont val="Arial, sans-serif"/>
        <color rgb="FF1155CC"/>
        <sz val="11.0"/>
        <u/>
      </rPr>
      <t>GE ha anunciado una operación histórica en el sector energético. El gigante estadounidense escindirá su negocio eléctrico para crear una ...</t>
    </r>
    <r>
      <rPr>
        <rFont val="Arial, sans-serif"/>
        <color rgb="FF1155CC"/>
        <sz val="12.0"/>
        <u/>
      </rPr>
      <t>.</t>
    </r>
    <r>
      <rPr>
        <rFont val="Arial, sans-serif"/>
        <color rgb="FF1155CC"/>
        <sz val="11.0"/>
        <u/>
      </rPr>
      <t>16 feb 2024</t>
    </r>
  </si>
  <si>
    <t>La histórica General Electric se trocea: inicia la escisión de su negocio de energía GE Vernova</t>
  </si>
  <si>
    <t>El gigante estadounidense escindirá su negocio eléctrico para crear una ....</t>
  </si>
  <si>
    <t>The historic General Electric is divided into pieces: it begins the spin-off of its GE Vernova energy business</t>
  </si>
  <si>
    <t>The American giant will spin off its electrical business to create a....</t>
  </si>
  <si>
    <r>
      <rPr>
        <rFont val="Arial, sans-serif"/>
        <color rgb="FF1155CC"/>
        <sz val="9.0"/>
        <u/>
      </rPr>
      <t>DW</t>
    </r>
    <r>
      <rPr>
        <rFont val="Arial, sans-serif"/>
        <color rgb="FF1155CC"/>
        <sz val="15.0"/>
        <u/>
      </rPr>
      <t>Pescadores peruanos a la deriva dos años después del derrame</t>
    </r>
    <r>
      <rPr>
        <rFont val="Arial, sans-serif"/>
        <color rgb="FF1155CC"/>
        <sz val="11.0"/>
        <u/>
      </rPr>
      <t>Dos años después del derrame de casi 12.000 barriles de petróleo de Repsol en el mar peruano, miles de pescadores siguen sin poder desarrollar su actividad...</t>
    </r>
    <r>
      <rPr>
        <rFont val="Arial, sans-serif"/>
        <color rgb="FF1155CC"/>
        <sz val="12.0"/>
        <u/>
      </rPr>
      <t>.</t>
    </r>
    <r>
      <rPr>
        <rFont val="Arial, sans-serif"/>
        <color rgb="FF1155CC"/>
        <sz val="11.0"/>
        <u/>
      </rPr>
      <t>16 feb 2024</t>
    </r>
  </si>
  <si>
    <t>DWP</t>
  </si>
  <si>
    <t>Pescadores peruanos a la deriva dos años después del derrame</t>
  </si>
  <si>
    <t>Dos años después del derrame de casi 12.000 barriles de petróleo de Repsol en el mar peruano, miles de pescadores siguen sin poder desarrollar su actividad.</t>
  </si>
  <si>
    <t>Peruvian fishermen adrift two years after the spill</t>
  </si>
  <si>
    <t>Two years after the spill of almost 12,000 barrels of Repsol oil in the Peruvian sea, thousands of fishermen are still unable to carry out their activity.</t>
  </si>
  <si>
    <t>fishermen impact, Repsol spill</t>
  </si>
  <si>
    <t>Impacto de los pescadores, Derrame de Repsol</t>
  </si>
  <si>
    <t>Ongoing negative impact on local communities reinforces the environmental controversy surrounding Repsol.</t>
  </si>
  <si>
    <t>derrame, pescadores a la deriva</t>
  </si>
  <si>
    <t>Negative due to environmental and economic impact.</t>
  </si>
  <si>
    <t>Negativo por impacto ambiental y económico.</t>
  </si>
  <si>
    <r>
      <rPr>
        <rFont val="Arial, sans-serif"/>
        <color rgb="FF1155CC"/>
        <sz val="9.0"/>
        <u/>
      </rPr>
      <t>Revista Andalucía Económica</t>
    </r>
    <r>
      <rPr>
        <rFont val="Arial, sans-serif"/>
        <color rgb="FF1155CC"/>
        <sz val="15.0"/>
        <u/>
      </rPr>
      <t>Naturaleza Encendida: El tesoro iluminado del Real Alcázar de Sevilla</t>
    </r>
    <r>
      <rPr>
        <rFont val="Arial, sans-serif"/>
        <color rgb="FF1155CC"/>
        <sz val="11.0"/>
        <u/>
      </rPr>
      <t>El espectáculo ha sido inaugurado por el alcalde de Sevilla, José Luis Sanz, en un acto institucional el día previo a la apertura.</t>
    </r>
    <r>
      <rPr>
        <rFont val="Arial, sans-serif"/>
        <color rgb="FF1155CC"/>
        <sz val="12.0"/>
        <u/>
      </rPr>
      <t>.</t>
    </r>
    <r>
      <rPr>
        <rFont val="Arial, sans-serif"/>
        <color rgb="FF1155CC"/>
        <sz val="11.0"/>
        <u/>
      </rPr>
      <t>16 feb 2024</t>
    </r>
  </si>
  <si>
    <t>Revista Andalucía Económica</t>
  </si>
  <si>
    <t>Naturaleza Encendida: El tesoro iluminado del Real Alcázar de Sevilla</t>
  </si>
  <si>
    <t>El espectáculo ha sido inaugurado por el alcalde de Sevilla, José Luis Sanz, en un acto institucional el día previo a la apertura.</t>
  </si>
  <si>
    <t>Nature Encendida: The illuminated treasure of the Real Alcázar of Seville</t>
  </si>
  <si>
    <t>The show was inaugurated by the mayor of Seville, José Luis Sanz, in an institutional event the day before the opening.</t>
  </si>
  <si>
    <r>
      <rPr>
        <rFont val="Arial, sans-serif"/>
        <color rgb="FF1155CC"/>
        <sz val="9.0"/>
        <u/>
      </rPr>
      <t>Mundo Deportivo</t>
    </r>
    <r>
      <rPr>
        <rFont val="Arial, sans-serif"/>
        <color rgb="FF1155CC"/>
        <sz val="15.0"/>
        <u/>
      </rPr>
      <t>El jefe de mecánicos de Marc Márquez aclara lo que pasó en Valencia: "Se sacó un poco de contexto"</t>
    </r>
    <r>
      <rPr>
        <rFont val="Arial, sans-serif"/>
        <color rgb="FF1155CC"/>
        <sz val="11.0"/>
        <u/>
      </rPr>
      <t>Frankie Carchedi, que trabajó con Joan Mir en Suzuki y juntos fueron campeones del mundo de MotoGP en 2020, coge el testigo de Santi Hernández.</t>
    </r>
    <r>
      <rPr>
        <rFont val="Arial, sans-serif"/>
        <color rgb="FF1155CC"/>
        <sz val="12.0"/>
        <u/>
      </rPr>
      <t>.</t>
    </r>
    <r>
      <rPr>
        <rFont val="Arial, sans-serif"/>
        <color rgb="FF1155CC"/>
        <sz val="11.0"/>
        <u/>
      </rPr>
      <t>16 feb 2024</t>
    </r>
  </si>
  <si>
    <t>El jefe de mecánicos de Marc Márquez aclara lo que pasó en Valencia: "Se sacó un poco de contexto"</t>
  </si>
  <si>
    <t>Frankie Carchedi, que trabajó con Joan Mir en Suzuki y juntos fueron campeones del mundo de MotoGP en 2020, coge el testigo de Santi Hernández.</t>
  </si>
  <si>
    <t>Marc Márquez's crew chief clarifies what happened in Valencia: "It was taken a little out of context"</t>
  </si>
  <si>
    <t>Frankie Carchedi, who worked with Joan Mir at Suzuki and together they were MotoGP world champions in 2020, takes the baton from Santi Hernández.</t>
  </si>
  <si>
    <r>
      <rPr>
        <rFont val="Arial, sans-serif"/>
        <color rgb="FF1155CC"/>
        <sz val="9.0"/>
        <u/>
      </rPr>
      <t>Cartagena de Hoy</t>
    </r>
    <r>
      <rPr>
        <rFont val="Arial, sans-serif"/>
        <color rgb="FF1155CC"/>
        <sz val="15.0"/>
        <u/>
      </rPr>
      <t>'Quizás los sabías, pero... ¿y si no?'</t>
    </r>
    <r>
      <rPr>
        <rFont val="Arial, sans-serif"/>
        <color rgb="FF1155CC"/>
        <sz val="11.0"/>
        <u/>
      </rPr>
      <t>Cartagena figura entre las 60 poblaciones de España que ya permite echarle al coche el nuevo diésel renovable 'e+10 Zero' de Repsol, que mejora el...</t>
    </r>
    <r>
      <rPr>
        <rFont val="Arial, sans-serif"/>
        <color rgb="FF1155CC"/>
        <sz val="12.0"/>
        <u/>
      </rPr>
      <t>.</t>
    </r>
    <r>
      <rPr>
        <rFont val="Arial, sans-serif"/>
        <color rgb="FF1155CC"/>
        <sz val="11.0"/>
        <u/>
      </rPr>
      <t>16 feb 2024</t>
    </r>
  </si>
  <si>
    <t>Cartagena de Hoy</t>
  </si>
  <si>
    <t>Cartagena figura entre las 60 poblaciones de España que ya permite echarle al coche el nuevo diésel renovable 'e+10 Zero' de Repsol, que mejora el....</t>
  </si>
  <si>
    <t>Cartagena is among the 60 towns in Spain that already allow Repsol's new 'e+10 Zero' renewable diesel to be used in the car, which improves the...</t>
  </si>
  <si>
    <t>Gastronomic city rankings do not impact Repsol’s business.</t>
  </si>
  <si>
    <t>diésel renovable, mejora</t>
  </si>
  <si>
    <r>
      <rPr>
        <rFont val="Arial, sans-serif"/>
        <color rgb="FF1155CC"/>
        <sz val="9.0"/>
        <u/>
      </rPr>
      <t>Diario de Pontevedra</t>
    </r>
    <r>
      <rPr>
        <rFont val="Arial, sans-serif"/>
        <color rgb="FF1155CC"/>
        <sz val="15.0"/>
        <u/>
      </rPr>
      <t>"El tirón de Zara" detona la expansión de la panadería Pumper a Gutiérrez Mellado</t>
    </r>
    <r>
      <rPr>
        <rFont val="Arial, sans-serif"/>
        <color rgb="FF1155CC"/>
        <sz val="11.0"/>
        <u/>
      </rPr>
      <t>El obrador, distinguido con un Solete de la Guía Repsol, abre su segundo local y aumenta plantilla.</t>
    </r>
    <r>
      <rPr>
        <rFont val="Arial, sans-serif"/>
        <color rgb="FF1155CC"/>
        <sz val="12.0"/>
        <u/>
      </rPr>
      <t>.</t>
    </r>
    <r>
      <rPr>
        <rFont val="Arial, sans-serif"/>
        <color rgb="FF1155CC"/>
        <sz val="11.0"/>
        <u/>
      </rPr>
      <t>17 feb 2024</t>
    </r>
  </si>
  <si>
    <t>Diario de Pontevedra</t>
  </si>
  <si>
    <t>"El tirón de Zara" detona la expansión de la panadería Pumper a Gutiérrez Mellado</t>
  </si>
  <si>
    <t>El obrador, distinguido con un Solete de la Guía Repsol, abre su segundo local y aumenta plantilla.</t>
  </si>
  <si>
    <t>"Zara's pull" triggers the expansion of the Pumper bakery to Gutiérrez Mellado</t>
  </si>
  <si>
    <t>The workshop, distinguished with a Solete from the Repsol Guide, opens its second location and increases its staff.</t>
  </si>
  <si>
    <r>
      <rPr>
        <rFont val="Arial, sans-serif"/>
        <color rgb="FF1155CC"/>
        <sz val="9.0"/>
        <u/>
      </rPr>
      <t>VAVEL.com</t>
    </r>
    <r>
      <rPr>
        <rFont val="Arial, sans-serif"/>
        <color rgb="FF1155CC"/>
        <sz val="15.0"/>
        <u/>
      </rPr>
      <t>Dani Pedrosa, el samurái sin corona</t>
    </r>
    <r>
      <rPr>
        <rFont val="Arial, sans-serif"/>
        <color rgb="FF1155CC"/>
        <sz val="11.0"/>
        <u/>
      </rPr>
      <t>Trabajador, constante, diferente y mágico, estas han sido algunas de las claves de la carrera deportiva de Dani Pedrosa.</t>
    </r>
    <r>
      <rPr>
        <rFont val="Arial, sans-serif"/>
        <color rgb="FF1155CC"/>
        <sz val="12.0"/>
        <u/>
      </rPr>
      <t>.</t>
    </r>
    <r>
      <rPr>
        <rFont val="Arial, sans-serif"/>
        <color rgb="FF1155CC"/>
        <sz val="11.0"/>
        <u/>
      </rPr>
      <t>17 feb 2024</t>
    </r>
  </si>
  <si>
    <t>Dani Pedrosa, el samurái sin corona</t>
  </si>
  <si>
    <t>Trabajador, constante, diferente y mágico, estas han sido algunas de las claves de la carrera deportiva de Dani Pedrosa.</t>
  </si>
  <si>
    <t>Dani Pedrosa, the samurai without a crown</t>
  </si>
  <si>
    <t>Hardworking, constant, different and magical, these have been some of the keys to Dani Pedrosa's sporting career.</t>
  </si>
  <si>
    <r>
      <rPr>
        <rFont val="Arial, sans-serif"/>
        <color rgb="FF1155CC"/>
        <sz val="9.0"/>
        <u/>
      </rPr>
      <t>Las Provincias</t>
    </r>
    <r>
      <rPr>
        <rFont val="Arial, sans-serif"/>
        <color rgb="FF1155CC"/>
        <sz val="15.0"/>
        <u/>
      </rPr>
      <t>El BOE publica el nuevo precio del tabaco: Cambian varias marcas como Marlboro o Chesterfield</t>
    </r>
    <r>
      <rPr>
        <rFont val="Arial, sans-serif"/>
        <color rgb="FF1155CC"/>
        <sz val="11.0"/>
        <u/>
      </rPr>
      <t>Las marcas de cigarrillos, puros o picaduras que suben o bajan de precio a partir de este fin de semana.</t>
    </r>
    <r>
      <rPr>
        <rFont val="Arial, sans-serif"/>
        <color rgb="FF1155CC"/>
        <sz val="12.0"/>
        <u/>
      </rPr>
      <t>.</t>
    </r>
    <r>
      <rPr>
        <rFont val="Arial, sans-serif"/>
        <color rgb="FF1155CC"/>
        <sz val="11.0"/>
        <u/>
      </rPr>
      <t>17 feb 2024</t>
    </r>
  </si>
  <si>
    <t>Las Provincias</t>
  </si>
  <si>
    <t>El BOE publica el nuevo precio del tabaco: Cambian varias marcas como Marlboro o Chesterfield</t>
  </si>
  <si>
    <t>Las marcas de cigarrillos, puros o picaduras que suben o bajan de precio a partir de este fin de semana.</t>
  </si>
  <si>
    <t>The BOE publishes the new price of tobacco: Several brands such as Marlboro or Chesterfield change</t>
  </si>
  <si>
    <t>The brands of cigarettes, cigars or cigars that go up or down in price starting this weekend.</t>
  </si>
  <si>
    <r>
      <rPr>
        <rFont val="Arial, sans-serif"/>
        <color rgb="FF1155CC"/>
        <sz val="9.0"/>
        <u/>
      </rPr>
      <t>Expansión</t>
    </r>
    <r>
      <rPr>
        <rFont val="Arial, sans-serif"/>
        <color rgb="FF1155CC"/>
        <sz val="15.0"/>
        <u/>
      </rPr>
      <t>Repsol presenta este jueves la actualización de su plan estratégico con la incógnita de las inversiones en España</t>
    </r>
    <r>
      <rPr>
        <rFont val="Arial, sans-serif"/>
        <color rgb="FF1155CC"/>
        <sz val="11.0"/>
        <u/>
      </rPr>
      <t>Repsol lanza este próximo jueves, día 22 de febrero, una actualización de su plan estratégico para acelerar su transformación, una vez completada su...</t>
    </r>
    <r>
      <rPr>
        <rFont val="Arial, sans-serif"/>
        <color rgb="FF1155CC"/>
        <sz val="12.0"/>
        <u/>
      </rPr>
      <t>.</t>
    </r>
    <r>
      <rPr>
        <rFont val="Arial, sans-serif"/>
        <color rgb="FF1155CC"/>
        <sz val="11.0"/>
        <u/>
      </rPr>
      <t>18 feb 2024</t>
    </r>
  </si>
  <si>
    <t>Repsol presenta este jueves la actualización de su plan estratégico con la incógnita de las inversiones en España</t>
  </si>
  <si>
    <t>Repsol lanza este próximo jueves, día 22 de febrero, una actualización de su plan estratégico para acelerar su transformación, una vez completada su....</t>
  </si>
  <si>
    <t>This Thursday, Repsol presents the update of its strategic plan with the unknown of investments in Spain</t>
  </si>
  <si>
    <t>This coming Thursday, February 22, Repsol launches an update of its strategic plan to accelerate its transformation, once its...</t>
  </si>
  <si>
    <t>strategic plan update, Repsol</t>
  </si>
  <si>
    <t>actualización del plan estratégico, Repsol</t>
  </si>
  <si>
    <t>Updating the strategic plan signals Repsol’s future direction and market positioning.</t>
  </si>
  <si>
    <t>plan estratégico, inversiones</t>
  </si>
  <si>
    <t>Neutral to positive due to strategic updates.</t>
  </si>
  <si>
    <t>De neutral a positivo debido a actualizaciones estratégicas.</t>
  </si>
  <si>
    <r>
      <rPr>
        <rFont val="Arial, sans-serif"/>
        <color rgb="FF1155CC"/>
        <sz val="9.0"/>
        <u/>
      </rPr>
      <t>El Español</t>
    </r>
    <r>
      <rPr>
        <rFont val="Arial, sans-serif"/>
        <color rgb="FF1155CC"/>
        <sz val="15.0"/>
        <u/>
      </rPr>
      <t>Javier Aríztegui: "Hay que atacar la descarbonización desde la electrificación pero también con combustibles renovables”</t>
    </r>
    <r>
      <rPr>
        <rFont val="Arial, sans-serif"/>
        <color rgb="FF1155CC"/>
        <sz val="11.0"/>
        <u/>
      </rPr>
      <t>Javier Aríztegui, director de Transición Energética y Movilidad en Repsol Technology Lab en Móstoles (Madrid), es una de las personas que más sabe en España...</t>
    </r>
    <r>
      <rPr>
        <rFont val="Arial, sans-serif"/>
        <color rgb="FF1155CC"/>
        <sz val="12.0"/>
        <u/>
      </rPr>
      <t>.</t>
    </r>
    <r>
      <rPr>
        <rFont val="Arial, sans-serif"/>
        <color rgb="FF1155CC"/>
        <sz val="11.0"/>
        <u/>
      </rPr>
      <t>18 feb 2024</t>
    </r>
  </si>
  <si>
    <t>Javier Aríztegui: "Hay que atacar la descarbonización desde la electrificación pero también con combustibles renovables”</t>
  </si>
  <si>
    <t>Javier Aríztegui, director de Transición Energética y Movilidad en Repsol Technology Lab en Móstoles (Madrid), es una de las personas que más sabe en España....</t>
  </si>
  <si>
    <t>Javier Aríztegui: "We must attack decarbonization through electrification but also with renewable fuels"</t>
  </si>
  <si>
    <t>Javier Aríztegui, director of Energy Transition and Mobility at Repsol Technology Lab in Móstoles (Madrid), is one of the people who knows the most in Spain....</t>
  </si>
  <si>
    <t>decarbonization, energy transition</t>
  </si>
  <si>
    <t>descarbonización, transición energética</t>
  </si>
  <si>
    <t>Reaffirming commitment to decarbonization aligns with Repsol’s sustainability strategy.</t>
  </si>
  <si>
    <t>descarbonización, combustibles renovables</t>
  </si>
  <si>
    <t>Positive due to focus on renewable energy and decarbonization.</t>
  </si>
  <si>
    <t>Positivo por el foco en energías renovables y descarbonización.</t>
  </si>
  <si>
    <r>
      <rPr>
        <rFont val="Arial, sans-serif"/>
        <color rgb="FF1155CC"/>
        <sz val="9.0"/>
        <u/>
      </rPr>
      <t>EL PAÍS</t>
    </r>
    <r>
      <rPr>
        <rFont val="Arial, sans-serif"/>
        <color rgb="FF1155CC"/>
        <sz val="15.0"/>
        <u/>
      </rPr>
      <t>Cuatro gigantes financieros de EE UU dan un paso atrás en materia climática ante la presión política</t>
    </r>
    <r>
      <rPr>
        <rFont val="Arial, sans-serif"/>
        <color rgb="FF1155CC"/>
        <sz val="11.0"/>
        <u/>
      </rPr>
      <t>JPMorgan, Pimco, BlackRock Inc y State Street abandonan el grupo Climate Action 100+ ante el acoso de los republicanos.</t>
    </r>
    <r>
      <rPr>
        <rFont val="Arial, sans-serif"/>
        <color rgb="FF1155CC"/>
        <sz val="12.0"/>
        <u/>
      </rPr>
      <t>.</t>
    </r>
    <r>
      <rPr>
        <rFont val="Arial, sans-serif"/>
        <color rgb="FF1155CC"/>
        <sz val="11.0"/>
        <u/>
      </rPr>
      <t>18 feb 2024</t>
    </r>
  </si>
  <si>
    <t>Cuatro gigantes financieros de EE UU dan un paso atrás en materia climática ante la presión política</t>
  </si>
  <si>
    <t>JPMorgan, Pimco, BlackRock Inc y State Street abandonan el grupo Climate Action 100+ ante el acoso de los republicanos.</t>
  </si>
  <si>
    <t>Four US financial giants take a step back on climate issues in the face of political pressure</t>
  </si>
  <si>
    <t>JPMorgan, Pimco, BlackRock Inc and State Street leave the Climate Action 100+ group amid harassment from Republicans.</t>
  </si>
  <si>
    <r>
      <rPr>
        <rFont val="Arial, sans-serif"/>
        <color rgb="FF1155CC"/>
        <sz val="9.0"/>
        <u/>
      </rPr>
      <t>Las Provincias</t>
    </r>
    <r>
      <rPr>
        <rFont val="Arial, sans-serif"/>
        <color rgb="FF1155CC"/>
        <sz val="15.0"/>
        <u/>
      </rPr>
      <t>Un testigo de un atraco graba con su móvil al ladrón y lo persigue en Náquera</t>
    </r>
    <r>
      <rPr>
        <rFont val="Arial, sans-serif"/>
        <color rgb="FF1155CC"/>
        <sz val="11.0"/>
        <u/>
      </rPr>
      <t>El delincuente huyó en un Ford Fiesta donde le esperaban otros dos individuos tras amenazar con un cuchillo a la empleada de una gasolinera y robar la...</t>
    </r>
    <r>
      <rPr>
        <rFont val="Arial, sans-serif"/>
        <color rgb="FF1155CC"/>
        <sz val="12.0"/>
        <u/>
      </rPr>
      <t>.</t>
    </r>
    <r>
      <rPr>
        <rFont val="Arial, sans-serif"/>
        <color rgb="FF1155CC"/>
        <sz val="11.0"/>
        <u/>
      </rPr>
      <t>18 feb 2024</t>
    </r>
  </si>
  <si>
    <t>Un testigo de un atraco graba con su móvil al ladrón y lo persigue en Náquera</t>
  </si>
  <si>
    <t>El delincuente huyó en un Ford Fiesta donde le esperaban otros dos individuos tras amenazar con un cuchillo a la empleada de una gasolinera y robar la....</t>
  </si>
  <si>
    <t>A witness to a robbery records the thief with his cell phone and chases him in Náquera</t>
  </si>
  <si>
    <t>The criminal fled in a Ford Fiesta where two other individuals were waiting for him after threatening a gas station employee with a knife and robbing the...</t>
  </si>
  <si>
    <t>Crime</t>
  </si>
  <si>
    <r>
      <rPr>
        <rFont val="Arial, sans-serif"/>
        <color rgb="FF1155CC"/>
        <sz val="9.0"/>
        <u/>
      </rPr>
      <t>Faro de Vigo</t>
    </r>
    <r>
      <rPr>
        <rFont val="Arial, sans-serif"/>
        <color rgb="FF1155CC"/>
        <sz val="15.0"/>
        <u/>
      </rPr>
      <t>Al menos dos heridos en un aparatoso accidente en Redondela</t>
    </r>
    <r>
      <rPr>
        <rFont val="Arial, sans-serif"/>
        <color rgb="FF1155CC"/>
        <sz val="11.0"/>
        <u/>
      </rPr>
      <t>La colisión ha ocasionado importantes retenciones en ambos sentidos de la N-552.</t>
    </r>
    <r>
      <rPr>
        <rFont val="Arial, sans-serif"/>
        <color rgb="FF1155CC"/>
        <sz val="12.0"/>
        <u/>
      </rPr>
      <t>.</t>
    </r>
    <r>
      <rPr>
        <rFont val="Arial, sans-serif"/>
        <color rgb="FF1155CC"/>
        <sz val="11.0"/>
        <u/>
      </rPr>
      <t>18 feb 2024</t>
    </r>
  </si>
  <si>
    <t>Faro de Vigo</t>
  </si>
  <si>
    <t>Al menos dos heridos en un aparatoso accidente en Redondela</t>
  </si>
  <si>
    <t>La colisión ha ocasionado importantes retenciones en ambos sentidos de la N-552.</t>
  </si>
  <si>
    <t>At least two injured in a spectacular accident in Redondela</t>
  </si>
  <si>
    <t>The collision has caused significant delays in both directions of the N-552.</t>
  </si>
  <si>
    <r>
      <rPr>
        <rFont val="Arial, sans-serif"/>
        <color rgb="FF1155CC"/>
        <sz val="9.0"/>
        <u/>
      </rPr>
      <t>Alimarket.es</t>
    </r>
    <r>
      <rPr>
        <rFont val="Arial, sans-serif"/>
        <color rgb="FF1155CC"/>
        <sz val="15.0"/>
        <u/>
      </rPr>
      <t>Repsol asume la administración de Gespevesa</t>
    </r>
    <r>
      <rPr>
        <rFont val="Arial, sans-serif"/>
        <color rgb="FF1155CC"/>
        <sz val="11.0"/>
        <u/>
      </rPr>
      <t>Gespevesa, sociedad participada al 50% por Repsol y El Corte Inglés, efectúa cambios en su estructura.</t>
    </r>
    <r>
      <rPr>
        <rFont val="Arial, sans-serif"/>
        <color rgb="FF1155CC"/>
        <sz val="12.0"/>
        <u/>
      </rPr>
      <t>.</t>
    </r>
    <r>
      <rPr>
        <rFont val="Arial, sans-serif"/>
        <color rgb="FF1155CC"/>
        <sz val="11.0"/>
        <u/>
      </rPr>
      <t>19 feb 2024</t>
    </r>
  </si>
  <si>
    <t>Repsol asume la administración de Gespevesa</t>
  </si>
  <si>
    <t>Gespevesa, sociedad participada al 50% por Repsol y El Corte Inglés, efectúa cambios en su estructura.</t>
  </si>
  <si>
    <t>Repsol assumes the administration of Gespevesa</t>
  </si>
  <si>
    <t>Gespevesa, a company owned 50% by Repsol and El Corte Inglés, is making changes to its structure.</t>
  </si>
  <si>
    <t>Gespevesa administration, Repsol</t>
  </si>
  <si>
    <t>Administración Gespevesa, Repsol</t>
  </si>
  <si>
    <t>Taking full control of Gespevesa strengthens Repsol’s strategic business operations.</t>
  </si>
  <si>
    <t>administración, cambios</t>
  </si>
  <si>
    <t>Neutral due to administrative changes.</t>
  </si>
  <si>
    <t>Neutral por cambios administrativos.</t>
  </si>
  <si>
    <r>
      <rPr>
        <rFont val="Arial, sans-serif"/>
        <color rgb="FF1155CC"/>
        <sz val="9.0"/>
        <u/>
      </rPr>
      <t>Food Retail</t>
    </r>
    <r>
      <rPr>
        <rFont val="Arial, sans-serif"/>
        <color rgb="FF1155CC"/>
        <sz val="15.0"/>
        <u/>
      </rPr>
      <t>El Corte Inglés vende a Repsol su 50% en Gespevesa, que gestiona 40 tiendas Supercor Stop&amp;Go</t>
    </r>
    <r>
      <rPr>
        <rFont val="Arial, sans-serif"/>
        <color rgb="FF1155CC"/>
        <sz val="11.0"/>
        <u/>
      </rPr>
      <t>Food Retail &amp; Service está en condiciones de afirmar que El Corte Inglés ha vendido a Repsol su participación del 50% en Gespevesa, la sociedad dedicada a...</t>
    </r>
    <r>
      <rPr>
        <rFont val="Arial, sans-serif"/>
        <color rgb="FF1155CC"/>
        <sz val="12.0"/>
        <u/>
      </rPr>
      <t>.</t>
    </r>
    <r>
      <rPr>
        <rFont val="Arial, sans-serif"/>
        <color rgb="FF1155CC"/>
        <sz val="11.0"/>
        <u/>
      </rPr>
      <t>19 feb 2024</t>
    </r>
  </si>
  <si>
    <t>El Corte Inglés</t>
  </si>
  <si>
    <t>El Corte Inglés vende a Repsol su 50% en Gespevesa, que gestiona 40 tiendas Supercor Stop&amp;Go</t>
  </si>
  <si>
    <t>El Corte Inglés ha vendido a Repsol su participación del 50% en Gespevesa, la sociedad dedicada a...</t>
  </si>
  <si>
    <t>El Corte Inglés sells its 50% in Gespevesa, which manages 40 Supercor Stop&amp;Go stores, to Repsol</t>
  </si>
  <si>
    <t>El Corte Inglés has sold its 50% stake in Gespevesa, the company dedicated to...</t>
  </si>
  <si>
    <t>Gespevesa acquisition, Repsol full control</t>
  </si>
  <si>
    <t>Adquisición de Gespevesa, Control total de Repsol</t>
  </si>
  <si>
    <t>Acquiring full ownership of Gespevesa expands Repsol’s business reach.</t>
  </si>
  <si>
    <t>venta, Gespevesa</t>
  </si>
  <si>
    <t>Neutral due to business transaction.</t>
  </si>
  <si>
    <t>Neutral debido a transacción comercial.</t>
  </si>
  <si>
    <r>
      <rPr>
        <rFont val="Arial, sans-serif"/>
        <color rgb="FF1155CC"/>
        <sz val="9.0"/>
        <u/>
      </rPr>
      <t>Guía Repsol</t>
    </r>
    <r>
      <rPr>
        <rFont val="Arial, sans-serif"/>
        <color rgb="FF1155CC"/>
        <sz val="15.0"/>
        <u/>
      </rPr>
      <t>‘Les Cols’, ‘A Tafona’, ‘Loreto’ y ‘La Revelía’ marcan la senda de la sostenibilidad</t>
    </r>
    <r>
      <rPr>
        <rFont val="Arial, sans-serif"/>
        <color rgb="FF1155CC"/>
        <sz val="11.0"/>
        <u/>
      </rPr>
      <t>Los Premios Sol Sostenible premian por cuarto año consecutivo el compromiso medioambiental centrado en el uso responsable del producto y la eficiencia...</t>
    </r>
    <r>
      <rPr>
        <rFont val="Arial, sans-serif"/>
        <color rgb="FF1155CC"/>
        <sz val="12.0"/>
        <u/>
      </rPr>
      <t>.</t>
    </r>
    <r>
      <rPr>
        <rFont val="Arial, sans-serif"/>
        <color rgb="FF1155CC"/>
        <sz val="11.0"/>
        <u/>
      </rPr>
      <t>19 feb 2024</t>
    </r>
  </si>
  <si>
    <t>‘Les Cols’, ‘A Tafona’, ‘Loreto’ y ‘La Revelía’ marcan la senda de la sostenibilidad</t>
  </si>
  <si>
    <t>Los Premios Sol Sostenible premian por cuarto año consecutivo el compromiso medioambiental centrado en el uso responsable del producto y la eficiencia.</t>
  </si>
  <si>
    <t>'Les Cols', 'A Tafona', 'Loreto' and 'La Revelía' mark the path of sustainability</t>
  </si>
  <si>
    <t>For the fourth consecutive year, the Sustainable Sol Awards reward environmental commitment focused on the responsible use of the product and efficiency.</t>
  </si>
  <si>
    <r>
      <rPr>
        <rFont val="Arial, sans-serif"/>
        <color rgb="FF1155CC"/>
        <sz val="9.0"/>
        <u/>
      </rPr>
      <t>La Vanguardia</t>
    </r>
    <r>
      <rPr>
        <rFont val="Arial, sans-serif"/>
        <color rgb="FF1155CC"/>
        <sz val="15.0"/>
        <u/>
      </rPr>
      <t>Solidarios y comprometidos: así son los nuevos restaurantes con Sol Sostenible de la Guía Repsol</t>
    </r>
    <r>
      <rPr>
        <rFont val="Arial, sans-serif"/>
        <color rgb="FF1155CC"/>
        <sz val="11.0"/>
        <u/>
      </rPr>
      <t>La Guía Repsol anunciará el próximo 4 de marzo en Cartagena (Murcia) sus nuevos Soles 2024. Pero, para ir calentando motores, acaba de dar a conocer sus...</t>
    </r>
    <r>
      <rPr>
        <rFont val="Arial, sans-serif"/>
        <color rgb="FF1155CC"/>
        <sz val="12.0"/>
        <u/>
      </rPr>
      <t>.</t>
    </r>
    <r>
      <rPr>
        <rFont val="Arial, sans-serif"/>
        <color rgb="FF1155CC"/>
        <sz val="11.0"/>
        <u/>
      </rPr>
      <t>19 feb 2024</t>
    </r>
  </si>
  <si>
    <t>Solidarios y comprometidos: así son los nuevos restaurantes con Sol Sostenible de la Guía Repsol</t>
  </si>
  <si>
    <t>La Guía Repsol anunciará el próximo 4 de marzo en Cartagena (Murcia) sus nuevos Soles 2024. Pero, para ir calentando motores, acaba de dar a conocer sus....</t>
  </si>
  <si>
    <t>Solidarity and commitment: this is how the new restaurants with Sustainable Sun from the Repsol Guide are</t>
  </si>
  <si>
    <t>The Repsol Guide will announce its new 2024 Soles on March 4 in Cartagena (Murcia). But, to warm up the engines, it has just announced its...</t>
  </si>
  <si>
    <r>
      <rPr>
        <rFont val="Arial, sans-serif"/>
        <color rgb="FF1155CC"/>
        <sz val="9.0"/>
        <u/>
      </rPr>
      <t>elDiario.es</t>
    </r>
    <r>
      <rPr>
        <rFont val="Arial, sans-serif"/>
        <color rgb="FF1155CC"/>
        <sz val="15.0"/>
        <u/>
      </rPr>
      <t>DelAmorylaBelleza, artista multidisciplinar: "Hice 150 Soles Repsol en 15 días"</t>
    </r>
    <r>
      <rPr>
        <rFont val="Arial, sans-serif"/>
        <color rgb="FF1155CC"/>
        <sz val="11.0"/>
        <u/>
      </rPr>
      <t>Toledano de nacimiento y tocinero de corazón, Carlos Cenamor se mudó a la Región tras pasar el grueso de su carrera como arquitecto entre Madrid y Londres.</t>
    </r>
    <r>
      <rPr>
        <rFont val="Arial, sans-serif"/>
        <color rgb="FF1155CC"/>
        <sz val="12.0"/>
        <u/>
      </rPr>
      <t>.</t>
    </r>
    <r>
      <rPr>
        <rFont val="Arial, sans-serif"/>
        <color rgb="FF1155CC"/>
        <sz val="11.0"/>
        <u/>
      </rPr>
      <t>19 feb 2024</t>
    </r>
  </si>
  <si>
    <t>DelAmorylaBelleza, artista multidisciplinar: "Hice 150 Soles Repsol en 15 días"</t>
  </si>
  <si>
    <t>Toledano de nacimiento y tocinero de corazón, Carlos Cenamor se mudó a la Región tras pasar el grueso de su carrera como arquitecto entre Madrid y Londres.</t>
  </si>
  <si>
    <t>DelAmorylaBelleza, multidisciplinary artist: "I made 150 Repsol Suns in 15 days"</t>
  </si>
  <si>
    <t>From Toledo by birth and a bacon maker at heart, Carlos Cenamor moved to the Region after spending the bulk of his career as an architect between Madrid and London.</t>
  </si>
  <si>
    <r>
      <rPr>
        <rFont val="Arial, sans-serif"/>
        <color rgb="FF1155CC"/>
        <sz val="9.0"/>
        <u/>
      </rPr>
      <t>El Nacional.cat</t>
    </r>
    <r>
      <rPr>
        <rFont val="Arial, sans-serif"/>
        <color rgb="FF1155CC"/>
        <sz val="15.0"/>
        <u/>
      </rPr>
      <t>El restaurante Les Cols consigue un nuevo Sol Repsol a la sostenibilidad</t>
    </r>
    <r>
      <rPr>
        <rFont val="Arial, sans-serif"/>
        <color rgb="FF1155CC"/>
        <sz val="11.0"/>
        <u/>
      </rPr>
      <t>El restaurante Les Cols, de Olot, consigue el Sol Sostenible otorgado por la Guía Repsol. Se trata de un reconocimiento al trabajo hecho en el restaurante...</t>
    </r>
    <r>
      <rPr>
        <rFont val="Arial, sans-serif"/>
        <color rgb="FF1155CC"/>
        <sz val="12.0"/>
        <u/>
      </rPr>
      <t>.</t>
    </r>
    <r>
      <rPr>
        <rFont val="Arial, sans-serif"/>
        <color rgb="FF1155CC"/>
        <sz val="11.0"/>
        <u/>
      </rPr>
      <t>19 feb 2024</t>
    </r>
  </si>
  <si>
    <t>El restaurante Les Cols consigue un nuevo Sol Repsol a la sostenibilidad</t>
  </si>
  <si>
    <t>El restaurante Les Cols, de Olot, consigue el Sol Sostenible otorgado por la Guía Repsol. Se trata de un reconocimiento al trabajo hecho en el restaurante....</t>
  </si>
  <si>
    <t>The Les Cols restaurant gets a new Repsol Sun for sustainability</t>
  </si>
  <si>
    <t>The restaurant Les Cols, in Olot, obtains the Sustainable Sun awarded by the Repsol Guide. It is a recognition of the work done in the restaurant....</t>
  </si>
  <si>
    <r>
      <rPr>
        <rFont val="Arial, sans-serif"/>
        <color rgb="FF1155CC"/>
        <sz val="9.0"/>
        <u/>
      </rPr>
      <t>Ideal</t>
    </r>
    <r>
      <rPr>
        <rFont val="Arial, sans-serif"/>
        <color rgb="FF1155CC"/>
        <sz val="15.0"/>
        <u/>
      </rPr>
      <t>Aviso de Repsol sobre la prohibición de los coches diésel</t>
    </r>
    <r>
      <rPr>
        <rFont val="Arial, sans-serif"/>
        <color rgb="FF1155CC"/>
        <sz val="11.0"/>
        <u/>
      </rPr>
      <t>El Parlamento Europeo aprobó a finales del año pasado la prohibición de fabricar coches con motores contaminantes.</t>
    </r>
    <r>
      <rPr>
        <rFont val="Arial, sans-serif"/>
        <color rgb="FF1155CC"/>
        <sz val="12.0"/>
        <u/>
      </rPr>
      <t>.</t>
    </r>
    <r>
      <rPr>
        <rFont val="Arial, sans-serif"/>
        <color rgb="FF1155CC"/>
        <sz val="11.0"/>
        <u/>
      </rPr>
      <t>19 feb 2024</t>
    </r>
  </si>
  <si>
    <t>El Parlamento Europeo aprobó a finales del año pasado la prohibición de fabricar coches con motores contaminantes.</t>
  </si>
  <si>
    <t>At the end of last year, the European Parliament approved the ban on manufacturing cars with polluting engines.</t>
  </si>
  <si>
    <r>
      <rPr>
        <rFont val="Arial, sans-serif"/>
        <color rgb="FF1155CC"/>
        <sz val="9.0"/>
        <u/>
      </rPr>
      <t>El Español</t>
    </r>
    <r>
      <rPr>
        <rFont val="Arial, sans-serif"/>
        <color rgb="FF1155CC"/>
        <sz val="15.0"/>
        <u/>
      </rPr>
      <t>Desde el bosque al centro de la ciudad: así son los nuevos Soles Repsol de la sostenibilidad</t>
    </r>
    <r>
      <rPr>
        <rFont val="Arial, sans-serif"/>
        <color rgb="FF1155CC"/>
        <sz val="11.0"/>
        <u/>
      </rPr>
      <t>Los restaurantes 'Les Cols', 'A Tafona', 'Loreto' y 'La Revelía' son los nuevos Premios Sol Sostenible 2024, un galardón que recibirán el próximo 4 de marzo...</t>
    </r>
    <r>
      <rPr>
        <rFont val="Arial, sans-serif"/>
        <color rgb="FF1155CC"/>
        <sz val="12.0"/>
        <u/>
      </rPr>
      <t>.</t>
    </r>
    <r>
      <rPr>
        <rFont val="Arial, sans-serif"/>
        <color rgb="FF1155CC"/>
        <sz val="11.0"/>
        <u/>
      </rPr>
      <t>19 feb 2024</t>
    </r>
  </si>
  <si>
    <t>Desde el bosque al centro de la ciudad: así son los nuevos Soles Repsol de la sostenibilidad</t>
  </si>
  <si>
    <t>Los restaurantes 'Les Cols', 'A Tafona', 'Loreto' y 'La Revelía' son los nuevos Premios Sol Sostenible 2024, un galardón que recibirán el próximo 4 de marzo.</t>
  </si>
  <si>
    <t>From the forest to the city center: these are the new Repsol Suns of sustainability</t>
  </si>
  <si>
    <t>The restaurants 'Les Cols', 'A Tafona', 'Loreto' and 'La Revelía' are the new Sol Sostenible Awards 2024, an award that they will receive on March 4.</t>
  </si>
  <si>
    <r>
      <rPr>
        <rFont val="Arial, sans-serif"/>
        <color rgb="FF1155CC"/>
        <sz val="9.0"/>
        <u/>
      </rPr>
      <t>La Verdad</t>
    </r>
    <r>
      <rPr>
        <rFont val="Arial, sans-serif"/>
        <color rgb="FF1155CC"/>
        <sz val="15.0"/>
        <u/>
      </rPr>
      <t>El restaurante Loreto de Jumilla, premio Sol Sostenible de la Guía Repsol</t>
    </r>
    <r>
      <rPr>
        <rFont val="Arial, sans-serif"/>
        <color rgb="FF1155CC"/>
        <sz val="11.0"/>
        <u/>
      </rPr>
      <t>La cocinera y dueña del local, Irene López, así como su hermana, Eva López, reciben en el reconocimiento por su proyecto Verde Espera.</t>
    </r>
    <r>
      <rPr>
        <rFont val="Arial, sans-serif"/>
        <color rgb="FF1155CC"/>
        <sz val="12.0"/>
        <u/>
      </rPr>
      <t>.</t>
    </r>
    <r>
      <rPr>
        <rFont val="Arial, sans-serif"/>
        <color rgb="FF1155CC"/>
        <sz val="11.0"/>
        <u/>
      </rPr>
      <t>19 feb 2024</t>
    </r>
  </si>
  <si>
    <t>El restaurante Loreto de Jumilla, premio Sol Sostenible de la Guía Repsol</t>
  </si>
  <si>
    <t>La cocinera y dueña del local, Irene López, así como su hermana, Eva López, reciben en el reconocimiento por su proyecto Verde Espera.</t>
  </si>
  <si>
    <t>The Loreto restaurant in Jumilla, Sustainable Sun award from the Repsol Guide</t>
  </si>
  <si>
    <t>The cook and owner of the establishment, Irene López, as well as her sister, Eva López, receive recognition for their Verde Espera project.</t>
  </si>
  <si>
    <r>
      <rPr>
        <rFont val="Arial, sans-serif"/>
        <color rgb="FF1155CC"/>
        <sz val="9.0"/>
        <u/>
      </rPr>
      <t>Hule y Mantel</t>
    </r>
    <r>
      <rPr>
        <rFont val="Arial, sans-serif"/>
        <color rgb="FF1155CC"/>
        <sz val="15.0"/>
        <u/>
      </rPr>
      <t>Estos son los cuatro nuevos restaurantes con Sol Sostenible de la Guía Repsol 2024</t>
    </r>
    <r>
      <rPr>
        <rFont val="Arial, sans-serif"/>
        <color rgb="FF1155CC"/>
        <sz val="11.0"/>
        <u/>
      </rPr>
      <t>Los restaurantes Les Cols (Olot), A Tafona (Santiago de Compostela), Loreto (Jumilla) y La Revelía (Amorebieta) son los nuevos Soles Sostenibles Repsol.</t>
    </r>
    <r>
      <rPr>
        <rFont val="Arial, sans-serif"/>
        <color rgb="FF1155CC"/>
        <sz val="12.0"/>
        <u/>
      </rPr>
      <t>.</t>
    </r>
    <r>
      <rPr>
        <rFont val="Arial, sans-serif"/>
        <color rgb="FF1155CC"/>
        <sz val="11.0"/>
        <u/>
      </rPr>
      <t>19 feb 2024</t>
    </r>
  </si>
  <si>
    <t>Estos son los cuatro nuevos restaurantes con Sol Sostenible de la Guía Repsol 2024</t>
  </si>
  <si>
    <t>Los restaurantes Les Cols (Olot), A Tafona (Santiago de Compostela), Loreto (Jumilla) y La Revelía (Amorebieta) son los nuevos Soles Sostenibles Repsol.</t>
  </si>
  <si>
    <t>These are the four new restaurants with Sustainable Sun from the Repsol Guide 2024</t>
  </si>
  <si>
    <t>The restaurants Les Cols (Olot), A Tafona (Santiago de Compostela), Loreto (Jumilla) and La Revelía (Amorebieta) are the new Repsol Sustainable Suns.</t>
  </si>
  <si>
    <r>
      <rPr>
        <rFont val="Arial, sans-serif"/>
        <color rgb="FF1155CC"/>
        <sz val="9.0"/>
        <u/>
      </rPr>
      <t>La Opinión de Murcia</t>
    </r>
    <r>
      <rPr>
        <rFont val="Arial, sans-serif"/>
        <color rgb="FF1155CC"/>
        <sz val="15.0"/>
        <u/>
      </rPr>
      <t>El restaurante Loreto de Jumilla, premio Sol Sostenible de la Guía Repsol 2024</t>
    </r>
    <r>
      <rPr>
        <rFont val="Arial, sans-serif"/>
        <color rgb="FF1155CC"/>
        <sz val="11.0"/>
        <u/>
      </rPr>
      <t>La Guía reconoce el compromiso medioambiental de las hermanas Irene y Eva López, propietarias del establecimiento.</t>
    </r>
    <r>
      <rPr>
        <rFont val="Arial, sans-serif"/>
        <color rgb="FF1155CC"/>
        <sz val="12.0"/>
        <u/>
      </rPr>
      <t>.</t>
    </r>
    <r>
      <rPr>
        <rFont val="Arial, sans-serif"/>
        <color rgb="FF1155CC"/>
        <sz val="11.0"/>
        <u/>
      </rPr>
      <t>19 feb 2024</t>
    </r>
  </si>
  <si>
    <t>El restaurante Loreto de Jumilla, premio Sol Sostenible de la Guía Repsol 2024</t>
  </si>
  <si>
    <t>La Guía reconoce el compromiso medioambiental de las hermanas Irene y Eva López, propietarias del establecimiento.</t>
  </si>
  <si>
    <t>The Loreto restaurant in Jumilla, Sustainable Sun award from the Repsol Guide 2024</t>
  </si>
  <si>
    <t>The Guide recognizes the environmental commitment of sisters Irene and Eva López, owners of the establishment.</t>
  </si>
  <si>
    <r>
      <rPr>
        <rFont val="Arial, sans-serif"/>
        <color rgb="FF1155CC"/>
        <sz val="9.0"/>
        <u/>
      </rPr>
      <t>El Correo</t>
    </r>
    <r>
      <rPr>
        <rFont val="Arial, sans-serif"/>
        <color rgb="FF1155CC"/>
        <sz val="15.0"/>
        <u/>
      </rPr>
      <t>Este restaurante vizcaíno que es uno de los cuatro más cuida su entorno en España, según la Guía Repsol</t>
    </r>
    <r>
      <rPr>
        <rFont val="Arial, sans-serif"/>
        <color rgb="FF1155CC"/>
        <sz val="11.0"/>
        <u/>
      </rPr>
      <t>La Revelía, en Amorebieta, ha sido distinguido con el Sol Sostenible 2024 por su compromiso climático, ya que, entre otras, usa el agua de los manantiales...</t>
    </r>
    <r>
      <rPr>
        <rFont val="Arial, sans-serif"/>
        <color rgb="FF1155CC"/>
        <sz val="12.0"/>
        <u/>
      </rPr>
      <t>.</t>
    </r>
    <r>
      <rPr>
        <rFont val="Arial, sans-serif"/>
        <color rgb="FF1155CC"/>
        <sz val="11.0"/>
        <u/>
      </rPr>
      <t>19 feb 2024</t>
    </r>
  </si>
  <si>
    <t>Este restaurante vizcaíno que es uno de los cuatro más cuida su entorno en España, según la Guía Repsol</t>
  </si>
  <si>
    <t>La Revelía, en Amorebieta, ha sido distinguido con el Sol Sostenible 2024 por su compromiso climático, ya que, entre otras, usa el agua de los manantiales....</t>
  </si>
  <si>
    <t>This Biscayan restaurant is one of the four that takes the most care of its environment in Spain, according to the Repsol Guide</t>
  </si>
  <si>
    <t>La Revelía, in Amorebieta, has been awarded the Sustainable Sun 2024 for its climate commitment, since, among others, it uses water from springs....</t>
  </si>
  <si>
    <r>
      <rPr>
        <rFont val="Arial, sans-serif"/>
        <color rgb="FF1155CC"/>
        <sz val="9.0"/>
        <u/>
      </rPr>
      <t>Vanitatis</t>
    </r>
    <r>
      <rPr>
        <rFont val="Arial, sans-serif"/>
        <color rgb="FF1155CC"/>
        <sz val="15.0"/>
        <u/>
      </rPr>
      <t>Los Soles Sostenibles 2024 entran en escena capitaneados por cuatro mujeres de bandera</t>
    </r>
    <r>
      <rPr>
        <rFont val="Arial, sans-serif"/>
        <color rgb="FF1155CC"/>
        <sz val="11.0"/>
        <u/>
      </rPr>
      <t>Los restaurantes Les Cols (Olot), A Tafona (Santiago de Compostela), Loreto (Jumilla) y La Revelía (Amorebieta) marcan la senda de las cocinas del futuro,...</t>
    </r>
    <r>
      <rPr>
        <rFont val="Arial, sans-serif"/>
        <color rgb="FF1155CC"/>
        <sz val="12.0"/>
        <u/>
      </rPr>
      <t>.</t>
    </r>
    <r>
      <rPr>
        <rFont val="Arial, sans-serif"/>
        <color rgb="FF1155CC"/>
        <sz val="11.0"/>
        <u/>
      </rPr>
      <t>19 feb 2024</t>
    </r>
  </si>
  <si>
    <t>Vanitatis</t>
  </si>
  <si>
    <t>Los Soles Sostenibles 2024 entran en escena capitaneados por cuatro mujeres de bandera</t>
  </si>
  <si>
    <t>Los restaurantes Les Cols (Olot), A Tafona (Santiago de Compostela), Loreto (Jumilla) y La Revelía (Amorebieta) marcan la senda de las cocinas del futuro,....</t>
  </si>
  <si>
    <t>The Sustainable Soles 2024 enter the scene led by four leading women</t>
  </si>
  <si>
    <t>The restaurants Les Cols (Olot), A Tafona (Santiago de Compostela), Loreto (Jumilla) and La Revelía (Amorebieta) mark the path of the kitchens of the future....</t>
  </si>
  <si>
    <r>
      <rPr>
        <rFont val="Arial, sans-serif"/>
        <color rgb="FF1155CC"/>
        <sz val="9.0"/>
        <u/>
      </rPr>
      <t>Box Repsol</t>
    </r>
    <r>
      <rPr>
        <rFont val="Arial, sans-serif"/>
        <color rgb="FF1155CC"/>
        <sz val="15.0"/>
        <u/>
      </rPr>
      <t>Test de Catar MotoGP 2024: Resultados de la primera jornada</t>
    </r>
    <r>
      <rPr>
        <rFont val="Arial, sans-serif"/>
        <color rgb="FF1155CC"/>
        <sz val="11.0"/>
        <u/>
      </rPr>
      <t>Crónica y resultados de la primera jornada de test en Qatar, disputada en el Circuito Internacional de Losail.</t>
    </r>
    <r>
      <rPr>
        <rFont val="Arial, sans-serif"/>
        <color rgb="FF1155CC"/>
        <sz val="12.0"/>
        <u/>
      </rPr>
      <t>.</t>
    </r>
    <r>
      <rPr>
        <rFont val="Arial, sans-serif"/>
        <color rgb="FF1155CC"/>
        <sz val="11.0"/>
        <u/>
      </rPr>
      <t>19 feb 2024</t>
    </r>
  </si>
  <si>
    <t>Test de Catar MotoGP 2024: Resultados de la primera jornada</t>
  </si>
  <si>
    <t>Crónica y resultados de la primera jornada de test en Qatar, disputada en el Circuito Internacional de Losail.</t>
  </si>
  <si>
    <t>Qatar MotoGP 2024 Test: Results of the first day</t>
  </si>
  <si>
    <t>Chronicle and results of the first day of testing in Qatar, held at the Losail International Circuit.</t>
  </si>
  <si>
    <r>
      <rPr>
        <rFont val="Arial, sans-serif"/>
        <color rgb="FF1155CC"/>
        <sz val="9.0"/>
        <u/>
      </rPr>
      <t>heraldo.es</t>
    </r>
    <r>
      <rPr>
        <rFont val="Arial, sans-serif"/>
        <color rgb="FF1155CC"/>
        <sz val="15.0"/>
        <u/>
      </rPr>
      <t>El diésel 100% renovable llega a Aragón</t>
    </r>
    <r>
      <rPr>
        <rFont val="Arial, sans-serif"/>
        <color rgb="FF1155CC"/>
        <sz val="11.0"/>
        <u/>
      </rPr>
      <t>El grupo Carreras, entre los primeros en repostar este combustible más 'verde' en una estación de servicio del grupo Zoilo Ríos.</t>
    </r>
    <r>
      <rPr>
        <rFont val="Arial, sans-serif"/>
        <color rgb="FF1155CC"/>
        <sz val="12.0"/>
        <u/>
      </rPr>
      <t>.</t>
    </r>
    <r>
      <rPr>
        <rFont val="Arial, sans-serif"/>
        <color rgb="FF1155CC"/>
        <sz val="11.0"/>
        <u/>
      </rPr>
      <t>19 feb 2024</t>
    </r>
  </si>
  <si>
    <t>El diésel 100% renovable llega a Aragón</t>
  </si>
  <si>
    <t>El grupo Carreras, entre los primeros en repostar este combustible más 'verde' en una estación de servicio del grupo Zoilo Ríos.</t>
  </si>
  <si>
    <t>100% renewable diesel arrives in Aragon</t>
  </si>
  <si>
    <t>The Carreras group, among the first to refuel with this 'greener' fuel at a Zoilo Ríos group service station.</t>
  </si>
  <si>
    <t>renewable diesel, energy transition</t>
  </si>
  <si>
    <t>diésel renovable, transición energética</t>
  </si>
  <si>
    <t>Expanding renewable diesel offerings strengthens Repsol’s role in sustainable energy.</t>
  </si>
  <si>
    <t>diésel renovable, verde</t>
  </si>
  <si>
    <r>
      <rPr>
        <rFont val="Arial, sans-serif"/>
        <color rgb="FF1155CC"/>
        <sz val="9.0"/>
        <u/>
      </rPr>
      <t>El Español</t>
    </r>
    <r>
      <rPr>
        <rFont val="Arial, sans-serif"/>
        <color rgb="FF1155CC"/>
        <sz val="15.0"/>
        <u/>
      </rPr>
      <t>Este ecosistema disruptor de 'boutiques' digitales capta el mejor talento para compañías como Inditex, Repsol o Iberia</t>
    </r>
    <r>
      <rPr>
        <rFont val="Arial, sans-serif"/>
        <color rgb="FF1155CC"/>
        <sz val="11.0"/>
        <u/>
      </rPr>
      <t>Modulor Ventures, impulsada por cuatro emprendedores, ofrece servicios especializados en diseño, marketing y tecnologías 'no code'.</t>
    </r>
    <r>
      <rPr>
        <rFont val="Arial, sans-serif"/>
        <color rgb="FF1155CC"/>
        <sz val="12.0"/>
        <u/>
      </rPr>
      <t>.</t>
    </r>
    <r>
      <rPr>
        <rFont val="Arial, sans-serif"/>
        <color rgb="FF1155CC"/>
        <sz val="11.0"/>
        <u/>
      </rPr>
      <t>19 feb 2024</t>
    </r>
  </si>
  <si>
    <t>Este ecosistema disruptor de 'boutiques' digitales capta el mejor talento para compañías como Inditex, Repsol o Iberia</t>
  </si>
  <si>
    <t>Este ecosistema disruptor de 'boutiques' digitales capta el mejor talento para compañías como Inditex, Repsol o Iberia. Modulor Ventures, impulsada por cuatro emprendedores, ofrece servicios especializados en diseño, marketing y tecnologías 'no code'.</t>
  </si>
  <si>
    <t>This disruptive ecosystem of digital 'boutiques' attracts the best talent for companies like Inditex, Repsol or Iberia</t>
  </si>
  <si>
    <t>This disruptive ecosystem of digital 'boutiques' attracts the best talent for companies such as Inditex, Repsol or Iberia. Modulor Ventures, driven by four entrepreneurs, offers specialized services in design, marketing and 'no code' technologies.</t>
  </si>
  <si>
    <r>
      <rPr>
        <rFont val="Arial, sans-serif"/>
        <color rgb="FF1155CC"/>
        <sz val="9.0"/>
        <u/>
      </rPr>
      <t>Guía Repsol</t>
    </r>
    <r>
      <rPr>
        <rFont val="Arial, sans-serif"/>
        <color rgb="FF1155CC"/>
        <sz val="15.0"/>
        <u/>
      </rPr>
      <t>La Revelia: una casa de eficiente aire ‘euskandinavo’ entre caseríos tradicionales vascos</t>
    </r>
    <r>
      <rPr>
        <rFont val="Arial, sans-serif"/>
        <color rgb="FF1155CC"/>
        <sz val="11.0"/>
        <u/>
      </rPr>
      <t>El cocinero Fernando González y su pareja, Kateryna Overko, han plantado en un bosque de Amorebieta - Etxano (Bizkaia) un proyecto de vida de minimalista...</t>
    </r>
    <r>
      <rPr>
        <rFont val="Arial, sans-serif"/>
        <color rgb="FF1155CC"/>
        <sz val="12.0"/>
        <u/>
      </rPr>
      <t>.</t>
    </r>
    <r>
      <rPr>
        <rFont val="Arial, sans-serif"/>
        <color rgb="FF1155CC"/>
        <sz val="11.0"/>
        <u/>
      </rPr>
      <t>19 feb 2024</t>
    </r>
  </si>
  <si>
    <t>La Revelia: una casa de eficiente aire ‘euskandinavo’ entre caseríos tradicionales vascos</t>
  </si>
  <si>
    <t>El cocinero Fernando González y su pareja, Kateryna Overko, han plantado en un bosque de Amorebieta - Etxano (Bizkaia) un proyecto de vida de minimalista.</t>
  </si>
  <si>
    <t>La Revelia: a house with an efficient 'Basque' feel among traditional Basque farmhouses</t>
  </si>
  <si>
    <t>The chef Fernando González and his partner, Kateryna Overko, have planted a minimalist life project in a forest in Amorebieta - Etxano (Bizkaia).</t>
  </si>
  <si>
    <r>
      <rPr>
        <rFont val="Arial, sans-serif"/>
        <color rgb="FF1155CC"/>
        <sz val="9.0"/>
        <u/>
      </rPr>
      <t>El Español</t>
    </r>
    <r>
      <rPr>
        <rFont val="Arial, sans-serif"/>
        <color rgb="FF1155CC"/>
        <sz val="15.0"/>
        <u/>
      </rPr>
      <t>El restaurante gallego ‘A Tafona’, de Lucía Freitas, es reconocido con el Sol Sostenible 2024</t>
    </r>
    <r>
      <rPr>
        <rFont val="Arial, sans-serif"/>
        <color rgb="FF1155CC"/>
        <sz val="11.0"/>
        <u/>
      </rPr>
      <t>En la "red de mujeres productoras, artesanas, mariscadoras, agricultoras y cocineras” que ha tejido la gallega Lucía Freitas en 'Amas da terra' se fomenta...</t>
    </r>
    <r>
      <rPr>
        <rFont val="Arial, sans-serif"/>
        <color rgb="FF1155CC"/>
        <sz val="12.0"/>
        <u/>
      </rPr>
      <t>.</t>
    </r>
    <r>
      <rPr>
        <rFont val="Arial, sans-serif"/>
        <color rgb="FF1155CC"/>
        <sz val="11.0"/>
        <u/>
      </rPr>
      <t>19 feb 2024</t>
    </r>
  </si>
  <si>
    <t>El restaurante gallego ‘A Tafona’, de Lucía Freitas, es reconocido con el Sol Sostenible 2024</t>
  </si>
  <si>
    <t>En la "red de mujeres productoras, artesanas, mariscadoras, agricultoras y cocineras” que ha tejido la gallega Lucía Freitas en 'Amas da terra' se fomenta....</t>
  </si>
  <si>
    <t>The Galician restaurant 'A Tafona', by Lucía Freitas, is recognized with the Sustainable Sun 2024</t>
  </si>
  <si>
    <t>...</t>
  </si>
  <si>
    <r>
      <rPr>
        <rFont val="Arial, sans-serif"/>
        <color rgb="FF1155CC"/>
        <sz val="9.0"/>
        <u/>
      </rPr>
      <t>El Español</t>
    </r>
    <r>
      <rPr>
        <rFont val="Arial, sans-serif"/>
        <color rgb="FF1155CC"/>
        <sz val="15.0"/>
        <u/>
      </rPr>
      <t>Repsol parará su planta de Puertollano e invertirá 120 millones de euros en mejoras</t>
    </r>
    <r>
      <rPr>
        <rFont val="Arial, sans-serif"/>
        <color rgb="FF1155CC"/>
        <sz val="11.0"/>
        <u/>
      </rPr>
      <t>El complejo industrial de Repsol en Puertollano (Ciudad Real) iniciará en marzo la parada plurianual programada de las unidades que integran el esquema de...</t>
    </r>
    <r>
      <rPr>
        <rFont val="Arial, sans-serif"/>
        <color rgb="FF1155CC"/>
        <sz val="12.0"/>
        <u/>
      </rPr>
      <t>.</t>
    </r>
    <r>
      <rPr>
        <rFont val="Arial, sans-serif"/>
        <color rgb="FF1155CC"/>
        <sz val="11.0"/>
        <u/>
      </rPr>
      <t>20 feb 2024</t>
    </r>
  </si>
  <si>
    <t>Repsol parará su planta de Puertollano e invertirá 120 millones de euros en mejoras</t>
  </si>
  <si>
    <t>El complejo industrial de Repsol en Puertollano (Ciudad Real) iniciará en marzo la parada plurianual programada de las unidades que integran el esquema de....</t>
  </si>
  <si>
    <t>Repsol will stop its Puertollano plant and invest 120 million euros in improvements</t>
  </si>
  <si>
    <t>The Repsol industrial complex in Puertollano (Ciudad Real) will begin in March the scheduled multi-year shutdown of the units that make up the... scheme.</t>
  </si>
  <si>
    <t>Puertollano plant, investment</t>
  </si>
  <si>
    <t>Planta de Puertollano, inversión</t>
  </si>
  <si>
    <t>Investing in infrastructure adaptation strengthens Repsol’s long-term operational resilience.</t>
  </si>
  <si>
    <t>parada, inversión, mejoras</t>
  </si>
  <si>
    <t>Neutral to positive due to investment in improvements.</t>
  </si>
  <si>
    <t>Neutral a positivo debido a la inversión en mejoras.</t>
  </si>
  <si>
    <r>
      <rPr>
        <rFont val="Arial, sans-serif"/>
        <color rgb="FF1155CC"/>
        <sz val="9.0"/>
        <u/>
      </rPr>
      <t>Ayuntamiento de Puertollano</t>
    </r>
    <r>
      <rPr>
        <rFont val="Arial, sans-serif"/>
        <color rgb="FF1155CC"/>
        <sz val="15.0"/>
        <u/>
      </rPr>
      <t>Una media de 1.000 trabajadores participarán desde marzo en la parada de Repsol</t>
    </r>
    <r>
      <rPr>
        <rFont val="Arial, sans-serif"/>
        <color rgb="FF1155CC"/>
        <sz val="11.0"/>
        <u/>
      </rPr>
      <t>El Complejo Industrial de Repsol en Puertollano inicia en marzo la parada plurianual programada de las unidades que integran el esquema de Conversión para...</t>
    </r>
    <r>
      <rPr>
        <rFont val="Arial, sans-serif"/>
        <color rgb="FF1155CC"/>
        <sz val="12.0"/>
        <u/>
      </rPr>
      <t>.</t>
    </r>
    <r>
      <rPr>
        <rFont val="Arial, sans-serif"/>
        <color rgb="FF1155CC"/>
        <sz val="11.0"/>
        <u/>
      </rPr>
      <t>20 feb 2024</t>
    </r>
  </si>
  <si>
    <t>Una media de 1.000 trabajadores participarán desde marzo en la parada de Repsol</t>
  </si>
  <si>
    <t>Una media de 1.000 trabajadores participarán desde marzo en la parada de Repsol.</t>
  </si>
  <si>
    <t>An average of 1,000 workers will participate in the Repsol stoppage since March</t>
  </si>
  <si>
    <t>An average of 1,000 workers will participate in the Repsol stoppage starting in March.</t>
  </si>
  <si>
    <t>plant shutdown, workforce participation</t>
  </si>
  <si>
    <t>cierre de planta, participación de la fuerza laboral</t>
  </si>
  <si>
    <t>Temporary plant shutdowns may generate operational uncertainty but indicate planned investment.</t>
  </si>
  <si>
    <t>trabajadores, parada</t>
  </si>
  <si>
    <t>Neutral due to operational changes.</t>
  </si>
  <si>
    <t>Neutral por cambios operativos.</t>
  </si>
  <si>
    <r>
      <rPr>
        <rFont val="Arial, sans-serif"/>
        <color rgb="FF1155CC"/>
        <sz val="9.0"/>
        <u/>
      </rPr>
      <t>El Periódico de la Energía</t>
    </r>
    <r>
      <rPr>
        <rFont val="Arial, sans-serif"/>
        <color rgb="FF1155CC"/>
        <sz val="15.0"/>
        <u/>
      </rPr>
      <t>Repsol acometerá la mayor parada técnica en Puertollano, de 660.000 horas y 120 millones</t>
    </r>
    <r>
      <rPr>
        <rFont val="Arial, sans-serif"/>
        <color rgb="FF1155CC"/>
        <sz val="11.0"/>
        <u/>
      </rPr>
      <t>El complejo industrial de Repsol en Puertollano llevará a cabo en marzo la mayor parada programada de mantenimiento de su historia.</t>
    </r>
    <r>
      <rPr>
        <rFont val="Arial, sans-serif"/>
        <color rgb="FF1155CC"/>
        <sz val="12.0"/>
        <u/>
      </rPr>
      <t>.</t>
    </r>
    <r>
      <rPr>
        <rFont val="Arial, sans-serif"/>
        <color rgb="FF1155CC"/>
        <sz val="11.0"/>
        <u/>
      </rPr>
      <t>20 feb 2024</t>
    </r>
  </si>
  <si>
    <t>Repsol acometerá la mayor parada técnica en Puertollano, de 660.000 horas y 120 millones</t>
  </si>
  <si>
    <t>El complejo industrial de Repsol en Puertollano llevará a cabo en marzo la mayor parada programada de mantenimiento de su historia.</t>
  </si>
  <si>
    <t>Repsol will undertake the largest technical stoppage in Puertollano, 660,000 hours and 120 million</t>
  </si>
  <si>
    <t>The Repsol industrial complex in Puertollano will carry out the largest scheduled maintenance stoppage in its history in March.</t>
  </si>
  <si>
    <t>largest technical stop, Puertollano</t>
  </si>
  <si>
    <t>Mayor parada técnica, Puertollano</t>
  </si>
  <si>
    <t>Large-scale maintenance investments ensure long-term operational stability.</t>
  </si>
  <si>
    <t>parada técnica, mantenimiento</t>
  </si>
  <si>
    <r>
      <rPr>
        <rFont val="Arial, sans-serif"/>
        <color rgb="FF1155CC"/>
        <sz val="9.0"/>
        <u/>
      </rPr>
      <t>ABC</t>
    </r>
    <r>
      <rPr>
        <rFont val="Arial, sans-serif"/>
        <color rgb="FF1155CC"/>
        <sz val="15.0"/>
        <u/>
      </rPr>
      <t>Así es la nueva oferta de Repsol con la que te puedes ahorrar hasta 400 euros al año en gasolina</t>
    </r>
    <r>
      <rPr>
        <rFont val="Arial, sans-serif"/>
        <color rgb="FF1155CC"/>
        <sz val="11.0"/>
        <u/>
      </rPr>
      <t>La petrolera ha lanzado una promoción para ahorrar en combustible bonificaciones a aquellos que contraten su servicio de luz. Repsol no podrá ampliar su red...</t>
    </r>
    <r>
      <rPr>
        <rFont val="Arial, sans-serif"/>
        <color rgb="FF1155CC"/>
        <sz val="12.0"/>
        <u/>
      </rPr>
      <t>.</t>
    </r>
    <r>
      <rPr>
        <rFont val="Arial, sans-serif"/>
        <color rgb="FF1155CC"/>
        <sz val="11.0"/>
        <u/>
      </rPr>
      <t>20 feb 2024</t>
    </r>
  </si>
  <si>
    <t>Así es la nueva oferta de Repsol con la que te puedes ahorrar hasta 400 euros al año en gasolina</t>
  </si>
  <si>
    <t>La petrolera ha lanzado una promoción para ahorrar en combustible bonificaciones a aquellos que contraten su servicio de luz. Repsol no podrá ampliar su red....</t>
  </si>
  <si>
    <t>This is the new Repsol offer with which you can save up to 400 euros a year on gasoline</t>
  </si>
  <si>
    <t>The oil company has launched a promotion to save on fuel and bonuses for those who contract its electricity service. Repsol will not be able to expand its network....</t>
  </si>
  <si>
    <t>Repsol offer, fuel discount</t>
  </si>
  <si>
    <t>Oferta Repsol, descuento en combustible</t>
  </si>
  <si>
    <t>Offering fuel discounts strengthens Repsol’s customer loyalty and market positioning.</t>
  </si>
  <si>
    <t>ahorrar, promoción</t>
  </si>
  <si>
    <t>Positive due to cost-saving benefits.</t>
  </si>
  <si>
    <t>Positivo debido a los beneficios de ahorro de costes.</t>
  </si>
  <si>
    <r>
      <rPr>
        <rFont val="Arial, sans-serif"/>
        <color rgb="FF1155CC"/>
        <sz val="9.0"/>
        <u/>
      </rPr>
      <t>Onda Cero</t>
    </r>
    <r>
      <rPr>
        <rFont val="Arial, sans-serif"/>
        <color rgb="FF1155CC"/>
        <sz val="15.0"/>
        <u/>
      </rPr>
      <t>La Guía Repsol premia a estos cuatro restaurantes con un 'Sol Sostenible'</t>
    </r>
    <r>
      <rPr>
        <rFont val="Arial, sans-serif"/>
        <color rgb="FF1155CC"/>
        <sz val="11.0"/>
        <u/>
      </rPr>
      <t>Cuatro restaurantes españoles han sido premiados por la Guía Repsol con un 'Sol Sostenible' por su compromiso medioambiental e innovación.</t>
    </r>
    <r>
      <rPr>
        <rFont val="Arial, sans-serif"/>
        <color rgb="FF1155CC"/>
        <sz val="12.0"/>
        <u/>
      </rPr>
      <t>.</t>
    </r>
    <r>
      <rPr>
        <rFont val="Arial, sans-serif"/>
        <color rgb="FF1155CC"/>
        <sz val="11.0"/>
        <u/>
      </rPr>
      <t>20 feb 2024</t>
    </r>
  </si>
  <si>
    <t>La Guía Repsol premia a estos cuatro restaurantes con un 'Sol Sostenible'</t>
  </si>
  <si>
    <t>Cuatro restaurantes españoles han sido premiados por la Guía Repsol con un 'Sol Sostenible' por su compromiso medioambiental e innovación.</t>
  </si>
  <si>
    <t>The Repsol Guide awards these four restaurants with a 'Sustainable Sun'</t>
  </si>
  <si>
    <t>Four Spanish restaurants have been awarded by the Repsol Guide with a 'Sustainable Sun' for their environmental commitment and innovation.</t>
  </si>
  <si>
    <r>
      <rPr>
        <rFont val="Arial, sans-serif"/>
        <color rgb="FF1155CC"/>
        <sz val="9.0"/>
        <u/>
      </rPr>
      <t>Yahoo Finanzas</t>
    </r>
    <r>
      <rPr>
        <rFont val="Arial, sans-serif"/>
        <color rgb="FF1155CC"/>
        <sz val="15.0"/>
        <u/>
      </rPr>
      <t>Repsol, la única de las grandes petroleras europeas que hace perder a sus accionistas</t>
    </r>
    <r>
      <rPr>
        <rFont val="Arial, sans-serif"/>
        <color rgb="FF1155CC"/>
        <sz val="11.0"/>
        <u/>
      </rPr>
      <t>Históricamente, la inversión en petroleras fue sinónimo de éxito en bolsa. Antes de la revolución tecnológica fueron las petroleras las que dominaron el...</t>
    </r>
    <r>
      <rPr>
        <rFont val="Arial, sans-serif"/>
        <color rgb="FF1155CC"/>
        <sz val="12.0"/>
        <u/>
      </rPr>
      <t>.</t>
    </r>
    <r>
      <rPr>
        <rFont val="Arial, sans-serif"/>
        <color rgb="FF1155CC"/>
        <sz val="11.0"/>
        <u/>
      </rPr>
      <t>20 feb 2024</t>
    </r>
  </si>
  <si>
    <t>Yahoo Finanzas</t>
  </si>
  <si>
    <t>Repsol, la única de las grandes petroleras europeas que hace perder a sus accionistas</t>
  </si>
  <si>
    <t>Históricamente, la inversión en petroleras fue sinónimo de éxito en bolsa. Antes de la revolución tecnológica fueron las petroleras las que dominaron el....</t>
  </si>
  <si>
    <t>Repsol, the only one of the large European oil companies that makes its shareholders lose</t>
  </si>
  <si>
    <t>Historically, investment in oil companies was synonymous with success on the stock market. Before the technological revolution, it was the oil companies that dominated the...</t>
  </si>
  <si>
    <t>bullish investment, European oil companies</t>
  </si>
  <si>
    <t>inversión alcista, petroleras europeas</t>
  </si>
  <si>
    <t>Positive stock market performance signals strong investor confidence in Repsol.</t>
  </si>
  <si>
    <t>perder, accionistas</t>
  </si>
  <si>
    <t>Negative due to financial loss for shareholders.</t>
  </si>
  <si>
    <t>Negativo por pérdida financiera para los accionistas.</t>
  </si>
  <si>
    <r>
      <rPr>
        <rFont val="Arial, sans-serif"/>
        <color rgb="FF1155CC"/>
        <sz val="9.0"/>
        <u/>
      </rPr>
      <t>Guía Repsol</t>
    </r>
    <r>
      <rPr>
        <rFont val="Arial, sans-serif"/>
        <color rgb="FF1155CC"/>
        <sz val="15.0"/>
        <u/>
      </rPr>
      <t>Restaurante ‘La Salita’: Begoña Rodrigo, la chef que te hace feliz</t>
    </r>
    <r>
      <rPr>
        <rFont val="Arial, sans-serif"/>
        <color rgb="FF1155CC"/>
        <sz val="11.0"/>
        <u/>
      </rPr>
      <t>Los platos de la chef valenciana están tan exultantes como ella. La placidez que emana del palacete en Ruzafa es un reflejo del momento tan espectacular de...</t>
    </r>
    <r>
      <rPr>
        <rFont val="Arial, sans-serif"/>
        <color rgb="FF1155CC"/>
        <sz val="12.0"/>
        <u/>
      </rPr>
      <t>.</t>
    </r>
    <r>
      <rPr>
        <rFont val="Arial, sans-serif"/>
        <color rgb="FF1155CC"/>
        <sz val="11.0"/>
        <u/>
      </rPr>
      <t>20 feb 2024</t>
    </r>
  </si>
  <si>
    <t>Restaurante ‘La Salita’: Begoña Rodrigo, la chef que te hace feliz</t>
  </si>
  <si>
    <t>Los platos de la chef valenciana están tan exultantes como ella. La placidez que emana del palacete en Ruzafa es un reflejo del momento tan espectacular de....</t>
  </si>
  <si>
    <t>'La Salita' Restaurant: Begoña Rodrigo, the chef who makes you happy</t>
  </si>
  <si>
    <t>The Valencian chef's dishes are as ecstatic as she is. The placidity that emanates from the palace in Ruzafa is a reflection of the spectacular moment of....</t>
  </si>
  <si>
    <r>
      <rPr>
        <rFont val="Arial, sans-serif"/>
        <color rgb="FF1155CC"/>
        <sz val="9.0"/>
        <u/>
      </rPr>
      <t>El Correo Gallego</t>
    </r>
    <r>
      <rPr>
        <rFont val="Arial, sans-serif"/>
        <color rgb="FF1155CC"/>
        <sz val="15.0"/>
        <u/>
      </rPr>
      <t>Lucía Freitas, galardonada con un Sol Sostenible Repsol: "Es el premio a una manera de trabajar y de ver la vida"</t>
    </r>
    <r>
      <rPr>
        <rFont val="Arial, sans-serif"/>
        <color rgb="FF1155CC"/>
        <sz val="11.0"/>
        <u/>
      </rPr>
      <t>La cocinera compostelana cree que se reconoce su apuesta por “la sostenibilidad ambiental y la social”</t>
    </r>
    <r>
      <rPr>
        <rFont val="Arial, sans-serif"/>
        <color rgb="FF1155CC"/>
        <sz val="12.0"/>
        <u/>
      </rPr>
      <t>.</t>
    </r>
    <r>
      <rPr>
        <rFont val="Arial, sans-serif"/>
        <color rgb="FF1155CC"/>
        <sz val="11.0"/>
        <u/>
      </rPr>
      <t>20 feb 2024</t>
    </r>
  </si>
  <si>
    <t>El Correo Gallego</t>
  </si>
  <si>
    <t>Lucía Freitas, galardonada con un Sol Sostenible Repsol: "Es el premio a una manera de trabajar y de ver la vida"</t>
  </si>
  <si>
    <t>La cocinera compostelana cree que se reconoce su apuesta por “la sostenibilidad ambiental y la social”.</t>
  </si>
  <si>
    <t>Lucía Freitas, awarded with a Repsol Sustainable Sun: "It is the award for a way of working and seeing life"</t>
  </si>
  <si>
    <t>The Compostela chef believes that her commitment to “environmental and social sustainability” is recognized.</t>
  </si>
  <si>
    <r>
      <rPr>
        <rFont val="Arial, sans-serif"/>
        <color rgb="FF1155CC"/>
        <sz val="9.0"/>
        <u/>
      </rPr>
      <t>Infobae</t>
    </r>
    <r>
      <rPr>
        <rFont val="Arial, sans-serif"/>
        <color rgb="FF1155CC"/>
        <sz val="15.0"/>
        <u/>
      </rPr>
      <t>Demanda internacional por derrame de petróleo: “Víctimas firmaron acuerdos para subsistir, pero compensación de Repsol no es justa”</t>
    </r>
    <r>
      <rPr>
        <rFont val="Arial, sans-serif"/>
        <color rgb="FF1155CC"/>
        <sz val="11.0"/>
        <u/>
      </rPr>
      <t>A dos años del derrame de petróleo en el Perú, el bufete internacional de abogados Pogust Goodhead indica a Infobae que han revisado las condiciones bajo...</t>
    </r>
    <r>
      <rPr>
        <rFont val="Arial, sans-serif"/>
        <color rgb="FF1155CC"/>
        <sz val="12.0"/>
        <u/>
      </rPr>
      <t>.</t>
    </r>
    <r>
      <rPr>
        <rFont val="Arial, sans-serif"/>
        <color rgb="FF1155CC"/>
        <sz val="11.0"/>
        <u/>
      </rPr>
      <t>20 feb 2024</t>
    </r>
  </si>
  <si>
    <t>Demanda internacional por derrame de petróleo: “Víctimas firmaron acuerdos para subsistir, pero compensación de Repsol no es justa”</t>
  </si>
  <si>
    <t>A dos años del derrame de petróleo en el Perú, el bufete internacional de abogados Pogust Goodhead indica a Infobae que han revisado las condiciones bajo....</t>
  </si>
  <si>
    <t>International lawsuit for oil spill: “Victims signed agreements to survive, but compensation from Repsol is not fair”</t>
  </si>
  <si>
    <t>Two years after the oil spill in Peru, the international law firm Pogust Goodhead tells Infobae that they have reviewed the conditions under...</t>
  </si>
  <si>
    <t>oil spill lawsuit, victims seek justice</t>
  </si>
  <si>
    <t>demanda por derrame de petróleo, las víctimas buscan justicia</t>
  </si>
  <si>
    <t>Ongoing lawsuits over environmental damage reinforce negative sentiment towards Repsol.</t>
  </si>
  <si>
    <t>derrame, compensación, no es justa</t>
  </si>
  <si>
    <t>Negative due to environmental disaster and unfair compensation.</t>
  </si>
  <si>
    <t>Negativo debido a desastre ambiental y compensación injusta.</t>
  </si>
  <si>
    <r>
      <rPr>
        <rFont val="Arial, sans-serif"/>
        <color rgb="FF1155CC"/>
        <sz val="9.0"/>
        <u/>
      </rPr>
      <t>HOLA</t>
    </r>
    <r>
      <rPr>
        <rFont val="Arial, sans-serif"/>
        <color rgb="FF1155CC"/>
        <sz val="15.0"/>
        <u/>
      </rPr>
      <t>Feliz el paladar, feliz el planeta: 4 restaurantes sostenibles donde comer muy bien</t>
    </r>
    <r>
      <rPr>
        <rFont val="Arial, sans-serif"/>
        <color rgb="FF1155CC"/>
        <sz val="11.0"/>
        <u/>
      </rPr>
      <t>La Guía Repsol ha dado a conocer el nombre de los cuatro establecimientos que este año recibirán dicho reconocimiento: se trata de Les Cols (Olot, Girona),...</t>
    </r>
    <r>
      <rPr>
        <rFont val="Arial, sans-serif"/>
        <color rgb="FF1155CC"/>
        <sz val="12.0"/>
        <u/>
      </rPr>
      <t>.</t>
    </r>
    <r>
      <rPr>
        <rFont val="Arial, sans-serif"/>
        <color rgb="FF1155CC"/>
        <sz val="11.0"/>
        <u/>
      </rPr>
      <t>20 feb 2024</t>
    </r>
  </si>
  <si>
    <t>HOLA</t>
  </si>
  <si>
    <t>Feliz el paladar, feliz el planeta: 4 restaurantes sostenibles donde comer muy bien</t>
  </si>
  <si>
    <t>La Guía Repsol ha dado a conocer el nombre de los cuatro establecimientos que este año recibirán dicho reconocimiento: se trata de Les Cols (Olot, Girona),....</t>
  </si>
  <si>
    <t>Happy the palate, happy the planet: 4 sustainable restaurants where you can eat very well</t>
  </si>
  <si>
    <t>The Repsol Guide has announced the name of the four establishments that will receive this recognition this year: they are Les Cols (Olot, Girona),....</t>
  </si>
  <si>
    <r>
      <rPr>
        <rFont val="Arial, sans-serif"/>
        <color rgb="FF1155CC"/>
        <sz val="9.0"/>
        <u/>
      </rPr>
      <t>Objetivo CLM Noticias</t>
    </r>
    <r>
      <rPr>
        <rFont val="Arial, sans-serif"/>
        <color rgb="FF1155CC"/>
        <sz val="15.0"/>
        <u/>
      </rPr>
      <t>Repsol en Puertollano inicia su mayor parada de mantenimiento centrada en la innovación tecnológica y la descarbonización</t>
    </r>
    <r>
      <rPr>
        <rFont val="Arial, sans-serif"/>
        <color rgb="FF1155CC"/>
        <sz val="11.0"/>
        <u/>
      </rPr>
      <t>La parada programada de mantenimiento se va a desarrollar en cuatro grandes áreas operativas, con un desembolso de 120 millones de euros y 660.000 horas de...</t>
    </r>
    <r>
      <rPr>
        <rFont val="Arial, sans-serif"/>
        <color rgb="FF1155CC"/>
        <sz val="12.0"/>
        <u/>
      </rPr>
      <t>.</t>
    </r>
    <r>
      <rPr>
        <rFont val="Arial, sans-serif"/>
        <color rgb="FF1155CC"/>
        <sz val="11.0"/>
        <u/>
      </rPr>
      <t>20 feb 2024</t>
    </r>
  </si>
  <si>
    <t>CLM Noticias</t>
  </si>
  <si>
    <t>Repsol en Puertollano inicia su mayor parada de mantenimiento centrada en la innovación tecnológica y la descarbonización</t>
  </si>
  <si>
    <t>La parada programada de mantenimiento se va a desarrollar en cuatro grandes áreas operativas, con un desembolso de 120 millones de euros y 660.000 horas de....</t>
  </si>
  <si>
    <t>Repsol in Puertollano begins its largest maintenance stoppage focused on technological innovation and decarbonization</t>
  </si>
  <si>
    <t>The scheduled maintenance stop will be carried out in four large operational areas, with a disbursement of 120 million euros and 660,000 hours of...</t>
  </si>
  <si>
    <t>largest maintenance stop, Puertollano</t>
  </si>
  <si>
    <t>mayor parada de mantenimiento, Puertollano</t>
  </si>
  <si>
    <t>Investing in large-scale maintenance supports Repsol’s long-term operational resilience.</t>
  </si>
  <si>
    <t>parada, innovación, descarbonización</t>
  </si>
  <si>
    <t>Neutral to positive due to focus on innovation and decarbonization.</t>
  </si>
  <si>
    <t>De neutral a positivo debido al enfoque en la innovación y la descarbonización.</t>
  </si>
  <si>
    <r>
      <rPr>
        <rFont val="Arial, sans-serif"/>
        <color rgb="FF1155CC"/>
        <sz val="9.0"/>
        <u/>
      </rPr>
      <t>Hoy</t>
    </r>
    <r>
      <rPr>
        <rFont val="Arial, sans-serif"/>
        <color rgb="FF1155CC"/>
        <sz val="15.0"/>
        <u/>
      </rPr>
      <t>El futuro de los vehículos diésel: Análisis de Repsol y perspectivas de la UE</t>
    </r>
    <r>
      <rPr>
        <rFont val="Arial, sans-serif"/>
        <color rgb="FF1155CC"/>
        <sz val="11.0"/>
        <u/>
      </rPr>
      <t>Desde Repsol aclaran qué es lo que va a ocurrir con los coches gasolina y diésel en los próximos meses.</t>
    </r>
    <r>
      <rPr>
        <rFont val="Arial, sans-serif"/>
        <color rgb="FF1155CC"/>
        <sz val="12.0"/>
        <u/>
      </rPr>
      <t>.</t>
    </r>
    <r>
      <rPr>
        <rFont val="Arial, sans-serif"/>
        <color rgb="FF1155CC"/>
        <sz val="11.0"/>
        <u/>
      </rPr>
      <t>20 feb 2024</t>
    </r>
  </si>
  <si>
    <t>El futuro de los vehículos diésel: Análisis de Repsol y perspectivas de la UE</t>
  </si>
  <si>
    <t>Desde Repsol aclaran qué es lo que va a ocurrir con los coches gasolina y diésel en los próximos meses.</t>
  </si>
  <si>
    <t>The future of diesel vehicles: Repsol analysis and EU perspectives</t>
  </si>
  <si>
    <t>Repsol clarifies what is going to happen with gasoline and diesel cars in the coming months.</t>
  </si>
  <si>
    <t>diesel future, Repsol analysis</t>
  </si>
  <si>
    <t>futuro diésel, Análisis Repsol</t>
  </si>
  <si>
    <t>Providing clarity on diesel vehicle regulations reinforces Repsol’s role as an industry leader.</t>
  </si>
  <si>
    <t>futuro, diésel, perspectivas</t>
  </si>
  <si>
    <r>
      <rPr>
        <rFont val="Arial, sans-serif"/>
        <color rgb="FF1155CC"/>
        <sz val="9.0"/>
        <u/>
      </rPr>
      <t>MiCiudadReal.es</t>
    </r>
    <r>
      <rPr>
        <rFont val="Arial, sans-serif"/>
        <color rgb="FF1155CC"/>
        <sz val="15.0"/>
        <u/>
      </rPr>
      <t>El subdelegado del Gobierno en Ciudad Real se reúne con el director de Repsol en Puertollano</t>
    </r>
    <r>
      <rPr>
        <rFont val="Arial, sans-serif"/>
        <color rgb="FF1155CC"/>
        <sz val="11.0"/>
        <u/>
      </rPr>
      <t>El subdelegado del Gobierno de España en Ciudad Real, David Broceño, ha mantenido un encuentro de trabajo con el director del Complejo Industrial de Repsol...</t>
    </r>
    <r>
      <rPr>
        <rFont val="Arial, sans-serif"/>
        <color rgb="FF1155CC"/>
        <sz val="12.0"/>
        <u/>
      </rPr>
      <t>.</t>
    </r>
    <r>
      <rPr>
        <rFont val="Arial, sans-serif"/>
        <color rgb="FF1155CC"/>
        <sz val="11.0"/>
        <u/>
      </rPr>
      <t>20 feb 2024</t>
    </r>
  </si>
  <si>
    <t>El subdelegado del Gobierno en Ciudad Real se reúne con el director de Repsol en Puertollano</t>
  </si>
  <si>
    <t>El subdelegado del Gobierno de España en Ciudad Real, David Broceño, ha mantenido un encuentro de trabajo con el director del Complejo Industrial de Repsol....</t>
  </si>
  <si>
    <t>The subdelegate of the Government in Ciudad Real meets with the director of Repsol in Puertollano</t>
  </si>
  <si>
    <t>The subdelegate of the Government of Spain in Ciudad Real, David Broceño, has held a working meeting with the director of the Repsol Industrial Complex....</t>
  </si>
  <si>
    <t>Government visits to industrial sites do not impact Repsol’s corporate perception.</t>
  </si>
  <si>
    <t>reunión, trabajo</t>
  </si>
  <si>
    <r>
      <rPr>
        <rFont val="Arial, sans-serif"/>
        <color rgb="FF1155CC"/>
        <sz val="9.0"/>
        <u/>
      </rPr>
      <t>Guía Repsol</t>
    </r>
    <r>
      <rPr>
        <rFont val="Arial, sans-serif"/>
        <color rgb="FF1155CC"/>
        <sz val="15.0"/>
        <u/>
      </rPr>
      <t>Taller de cerámica Raposiñas: la expresión del rural gallego modelado en piezas únicas</t>
    </r>
    <r>
      <rPr>
        <rFont val="Arial, sans-serif"/>
        <color rgb="FF1155CC"/>
        <sz val="11.0"/>
        <u/>
      </rPr>
      <t>La cerámica es uno de los sectores más numeroso de la artesanía gallega y por ello en los últimos años se ha consolidado como uno de los productos icónicos...</t>
    </r>
    <r>
      <rPr>
        <rFont val="Arial, sans-serif"/>
        <color rgb="FF1155CC"/>
        <sz val="12.0"/>
        <u/>
      </rPr>
      <t>.</t>
    </r>
    <r>
      <rPr>
        <rFont val="Arial, sans-serif"/>
        <color rgb="FF1155CC"/>
        <sz val="11.0"/>
        <u/>
      </rPr>
      <t>20 feb 2024</t>
    </r>
  </si>
  <si>
    <t>Taller de cerámica Raposiñas: la expresión del rural gallego modelado en piezas únicas</t>
  </si>
  <si>
    <t>La cerámica es uno de los sectores más numeroso de la artesanía gallega y por ello en los últimos años se ha consolidado como uno de los productos icónicos....</t>
  </si>
  <si>
    <t>Raposiñas ceramic workshop: the expression of the Galician countryside modeled in unique pieces</t>
  </si>
  <si>
    <t>Ceramics is one of the largest sectors of Galician crafts and that is why in recent years it has established itself as one of the iconic products....</t>
  </si>
  <si>
    <r>
      <rPr>
        <rFont val="Arial, sans-serif"/>
        <color rgb="FF1155CC"/>
        <sz val="9.0"/>
        <u/>
      </rPr>
      <t>Crónica Global</t>
    </r>
    <r>
      <rPr>
        <rFont val="Arial, sans-serif"/>
        <color rgb="FF1155CC"/>
        <sz val="15.0"/>
        <u/>
      </rPr>
      <t>Así es uno de los restaurantes más prestigiosos y sostenibles de Cataluña: un corral rodea el local</t>
    </r>
    <r>
      <rPr>
        <rFont val="Arial, sans-serif"/>
        <color rgb="FF1155CC"/>
        <sz val="11.0"/>
        <u/>
      </rPr>
      <t>Con dos estrellas Michelin y tres Soles Repsol, este establecimiento regentado por Fina Puigdevall y Marina Puigvert.</t>
    </r>
    <r>
      <rPr>
        <rFont val="Arial, sans-serif"/>
        <color rgb="FF1155CC"/>
        <sz val="12.0"/>
        <u/>
      </rPr>
      <t>.</t>
    </r>
    <r>
      <rPr>
        <rFont val="Arial, sans-serif"/>
        <color rgb="FF1155CC"/>
        <sz val="11.0"/>
        <u/>
      </rPr>
      <t>20 feb 2024</t>
    </r>
  </si>
  <si>
    <t>Así es uno de los restaurantes más prestigiosos y sostenibles de Cataluña: un corral rodea el local</t>
  </si>
  <si>
    <t>Así es uno de los restaurantes más prestigiosos y sostenibles de Cataluña: un corral rodea el local. Con dos estrellas Michelin y tres Soles Repsol, este establecimiento regentado por Fina Puigdevall y Marina Puigvert.</t>
  </si>
  <si>
    <t>This is one of the most prestigious and sustainable restaurants in Catalonia: a corral surrounds the premises</t>
  </si>
  <si>
    <t>This is one of the most prestigious and sustainable restaurants in Catalonia: a corral surrounds the premises. With two Michelin stars and three Repsol Suns, this establishment run by Fina Puigdevall and Marina Puigvert.</t>
  </si>
  <si>
    <r>
      <rPr>
        <rFont val="Arial, sans-serif"/>
        <color rgb="FF1155CC"/>
        <sz val="9.0"/>
        <u/>
      </rPr>
      <t>El Periódico de la Energía</t>
    </r>
    <r>
      <rPr>
        <rFont val="Arial, sans-serif"/>
        <color rgb="FF1155CC"/>
        <sz val="15.0"/>
        <u/>
      </rPr>
      <t>Repsol recorta un 25,5% su beneficio en 2023, hasta los 3.168 millones de euros</t>
    </r>
    <r>
      <rPr>
        <rFont val="Arial, sans-serif"/>
        <color rgb="FF1155CC"/>
        <sz val="11.0"/>
        <u/>
      </rPr>
      <t>El flujo de caja de las operaciones durante el año 2023 del grupo ascendió a 7.064 millones de euros.</t>
    </r>
    <r>
      <rPr>
        <rFont val="Arial, sans-serif"/>
        <color rgb="FF1155CC"/>
        <sz val="12.0"/>
        <u/>
      </rPr>
      <t>.</t>
    </r>
    <r>
      <rPr>
        <rFont val="Arial, sans-serif"/>
        <color rgb="FF1155CC"/>
        <sz val="11.0"/>
        <u/>
      </rPr>
      <t>21 feb 2024</t>
    </r>
  </si>
  <si>
    <t>Repsol recorta un 25,5% su beneficio en 2023, hasta los 3.168 millones de euros</t>
  </si>
  <si>
    <t>El flujo de caja de las operaciones durante el año 2023 del grupo ascendió a 7.064 millones de euros.</t>
  </si>
  <si>
    <t>Repsol cuts its profit by 25.5% in 2023, to 3,168 million euros</t>
  </si>
  <si>
    <t>The cash flow from operations during 2023 of the group amounted to 7,064 million euros.</t>
  </si>
  <si>
    <t>profit decline, 2023 financial results</t>
  </si>
  <si>
    <t>disminución de beneficios, Resultados financieros de 2023</t>
  </si>
  <si>
    <t>A decline in profits may affect investor sentiment despite stable cash flow.</t>
  </si>
  <si>
    <t>beneficio, recorte</t>
  </si>
  <si>
    <t>Negative due to reduced profits.</t>
  </si>
  <si>
    <t>Negativo por reducción de beneficios.</t>
  </si>
  <si>
    <r>
      <rPr>
        <rFont val="Arial, sans-serif"/>
        <color rgb="FF1155CC"/>
        <sz val="9.0"/>
        <u/>
      </rPr>
      <t>El Economista</t>
    </r>
    <r>
      <rPr>
        <rFont val="Arial, sans-serif"/>
        <color rgb="FF1155CC"/>
        <sz val="15.0"/>
        <u/>
      </rPr>
      <t>El mercado prevé un dividendo un 16% mayor al prometido por Repsol en 2025</t>
    </r>
    <r>
      <rPr>
        <rFont val="Arial, sans-serif"/>
        <color rgb="FF1155CC"/>
        <sz val="11.0"/>
        <u/>
      </rPr>
      <t>Repsol presentará este jueves sus resultados de 2023, un año en el que el beneficio bruto de la petrolera española recuperará cifras más ...</t>
    </r>
    <r>
      <rPr>
        <rFont val="Arial, sans-serif"/>
        <color rgb="FF1155CC"/>
        <sz val="12.0"/>
        <u/>
      </rPr>
      <t>.</t>
    </r>
    <r>
      <rPr>
        <rFont val="Arial, sans-serif"/>
        <color rgb="FF1155CC"/>
        <sz val="11.0"/>
        <u/>
      </rPr>
      <t>21 feb 2024</t>
    </r>
  </si>
  <si>
    <t>El mercado prevé un dividendo un 16% mayor al prometido por Repsol en 2025</t>
  </si>
  <si>
    <t>Repsol presentará este jueves sus resultados de 2023, un año en el que el beneficio bruto de la petrolera española recuperará cifras más ....</t>
  </si>
  <si>
    <t>The market foresees a dividend 16% higher than that promised by Repsol in 2025</t>
  </si>
  <si>
    <t>Repsol will present its 2023 results this Thursday, a year in which the Spanish oil company's gross profit will recover more figures....</t>
  </si>
  <si>
    <t>higher dividend, shareholder returns</t>
  </si>
  <si>
    <t>mayor dividendo, rendimientos para los accionistas</t>
  </si>
  <si>
    <t>Increasing dividends may reinforce investor confidence in Repsol’s financial strategy.</t>
  </si>
  <si>
    <t>dividendo, prometido</t>
  </si>
  <si>
    <t>Neutral to positive due to financial outlook.</t>
  </si>
  <si>
    <t>De neutral a positivo debido a las perspectivas financieras.</t>
  </si>
  <si>
    <r>
      <rPr>
        <rFont val="Arial, sans-serif"/>
        <color rgb="FF1155CC"/>
        <sz val="9.0"/>
        <u/>
      </rPr>
      <t>Málaga Hoy</t>
    </r>
    <r>
      <rPr>
        <rFont val="Arial, sans-serif"/>
        <color rgb="FF1155CC"/>
        <sz val="15.0"/>
        <u/>
      </rPr>
      <t>Los 25 Soles Repsol que tienen los restaurantes de Málaga</t>
    </r>
    <r>
      <rPr>
        <rFont val="Arial, sans-serif"/>
        <color rgb="FF1155CC"/>
        <sz val="11.0"/>
        <u/>
      </rPr>
      <t>El próximo 4 de marzo viviremos una nueva edición de los Soles Guía Repsol 2024 en la ciudad de Cartagena, que se convertirá en el epicentro de la...</t>
    </r>
    <r>
      <rPr>
        <rFont val="Arial, sans-serif"/>
        <color rgb="FF1155CC"/>
        <sz val="12.0"/>
        <u/>
      </rPr>
      <t>.</t>
    </r>
    <r>
      <rPr>
        <rFont val="Arial, sans-serif"/>
        <color rgb="FF1155CC"/>
        <sz val="11.0"/>
        <u/>
      </rPr>
      <t>21 feb 2024</t>
    </r>
  </si>
  <si>
    <t>Los 25 Soles Repsol que tienen los restaurantes de Málaga</t>
  </si>
  <si>
    <t>El próximo 4 de marzo viviremos una nueva edición de los Soles Guía Repsol 2024 en la ciudad de Cartagena, que se convertirá en el epicentro de la....</t>
  </si>
  <si>
    <t>The 25 Repsol Suns that Malaga restaurants have</t>
  </si>
  <si>
    <t>Next March 4 we will experience a new edition of the Repsol Guide Suns 2024 in the city of Cartagena, which will become the epicenter of the....</t>
  </si>
  <si>
    <r>
      <rPr>
        <rFont val="Arial, sans-serif"/>
        <color rgb="FF1155CC"/>
        <sz val="9.0"/>
        <u/>
      </rPr>
      <t>Salamancahoy</t>
    </r>
    <r>
      <rPr>
        <rFont val="Arial, sans-serif"/>
        <color rgb="FF1155CC"/>
        <sz val="15.0"/>
        <u/>
      </rPr>
      <t>Junta y Repsol promueven el uso de combustibles renovables en el transporte metropolitano de Salamanca</t>
    </r>
    <r>
      <rPr>
        <rFont val="Arial, sans-serif"/>
        <color rgb="FF1155CC"/>
        <sz val="11.0"/>
        <u/>
      </rPr>
      <t>En total, participan en este proyecto de movilidad 15 vehículos pertenecientes a siete empresas y que realizan 33 rutas por toda Castilla y León.</t>
    </r>
    <r>
      <rPr>
        <rFont val="Arial, sans-serif"/>
        <color rgb="FF1155CC"/>
        <sz val="12.0"/>
        <u/>
      </rPr>
      <t>.</t>
    </r>
    <r>
      <rPr>
        <rFont val="Arial, sans-serif"/>
        <color rgb="FF1155CC"/>
        <sz val="11.0"/>
        <u/>
      </rPr>
      <t>21 feb 2024</t>
    </r>
  </si>
  <si>
    <t>Salamancahoy</t>
  </si>
  <si>
    <t>Junta y Repsol promueven el uso de combustibles renovables en el transporte metropolitano de Salamanca</t>
  </si>
  <si>
    <t>En total, participan en este proyecto de movilidad 15 vehículos pertenecientes a siete empresas y que realizan 33 rutas por toda Castilla y León.</t>
  </si>
  <si>
    <t>Board and Repsol promote the use of renewable fuels in the metropolitan transport of Salamanca</t>
  </si>
  <si>
    <t>In total, 15 vehicles belonging to seven companies participate in this mobility project and carry out 33 routes throughout Castilla y León.</t>
  </si>
  <si>
    <t>renewable fuels, Repsol Castilla y León</t>
  </si>
  <si>
    <t>combustibles renovables, Repsol Castilla y León</t>
  </si>
  <si>
    <t>combustibles renovables, movilidad</t>
  </si>
  <si>
    <t>Positive due to focus on renewable fuels and mobility.</t>
  </si>
  <si>
    <t>Positivo por el foco en los combustibles renovables y la movilidad.</t>
  </si>
  <si>
    <r>
      <rPr>
        <rFont val="Arial, sans-serif"/>
        <color rgb="FF1155CC"/>
        <sz val="9.0"/>
        <u/>
      </rPr>
      <t>Castilla-La Mancha Media</t>
    </r>
    <r>
      <rPr>
        <rFont val="Arial, sans-serif"/>
        <color rgb="FF1155CC"/>
        <sz val="15.0"/>
        <u/>
      </rPr>
      <t>Repsol parará en marzo su planta de Puertollano, invirtiendo 120 millones de euros en mejoras y empleando a 2.000 personas</t>
    </r>
    <r>
      <rPr>
        <rFont val="Arial, sans-serif"/>
        <color rgb="FF1155CC"/>
        <sz val="11.0"/>
        <u/>
      </rPr>
      <t>El complejo industrial de Repsol en Puertollano (Ciudad Real) iniciará en marzo la parada plurianual para desarrollar un proyecto de mejoras para el que es...</t>
    </r>
    <r>
      <rPr>
        <rFont val="Arial, sans-serif"/>
        <color rgb="FF1155CC"/>
        <sz val="12.0"/>
        <u/>
      </rPr>
      <t>.</t>
    </r>
    <r>
      <rPr>
        <rFont val="Arial, sans-serif"/>
        <color rgb="FF1155CC"/>
        <sz val="11.0"/>
        <u/>
      </rPr>
      <t>21 feb 2024</t>
    </r>
  </si>
  <si>
    <t>Castilla-La Mancha Media</t>
  </si>
  <si>
    <t>Repsol parará en marzo su planta de Puertollano, invirtiendo 120 millones de euros en mejoras y empleando a 2.000 personas</t>
  </si>
  <si>
    <t>El complejo industrial de Repsol en Puertollano (Ciudad Real) iniciará en marzo la parada plurianual para desarrollar un proyecto de mejoras para el que es....</t>
  </si>
  <si>
    <t>Repsol will stop its Puertollano plant in March, investing 120 million euros in improvements and employing 2,000 people</t>
  </si>
  <si>
    <t>The Repsol industrial complex in Puertollano (Ciudad Real) will begin its multi-year shutdown in March to develop an improvement project for which it is...</t>
  </si>
  <si>
    <t>Planned investments in maintenance ensure long-term operational efficiency.</t>
  </si>
  <si>
    <r>
      <rPr>
        <rFont val="Arial, sans-serif"/>
        <color rgb="FF1155CC"/>
        <sz val="9.0"/>
        <u/>
      </rPr>
      <t>Guía Repsol</t>
    </r>
    <r>
      <rPr>
        <rFont val="Arial, sans-serif"/>
        <color rgb="FF1155CC"/>
        <sz val="15.0"/>
        <u/>
      </rPr>
      <t>Restaurante O' Fragón (Fisterra, A Coruña): una cocina abierta al océano</t>
    </r>
    <r>
      <rPr>
        <rFont val="Arial, sans-serif"/>
        <color rgb="FF1155CC"/>
        <sz val="11.0"/>
        <u/>
      </rPr>
      <t>Tartar de 'ameixon', fabas de O Rostro o helado de vaina de guisantes lágrima salen de la cocina de 'O' Fragón' (Fisterra, A Coruña. Un Sol Guía Repsol...</t>
    </r>
    <r>
      <rPr>
        <rFont val="Arial, sans-serif"/>
        <color rgb="FF1155CC"/>
        <sz val="12.0"/>
        <u/>
      </rPr>
      <t>.</t>
    </r>
    <r>
      <rPr>
        <rFont val="Arial, sans-serif"/>
        <color rgb="FF1155CC"/>
        <sz val="11.0"/>
        <u/>
      </rPr>
      <t>21 feb 2024</t>
    </r>
  </si>
  <si>
    <t>Restaurante O' Fragón (Fisterra, A Coruña): una cocina abierta al océano</t>
  </si>
  <si>
    <t>Tartar de 'ameixon', fabas de O Rostro o helado de vaina de guisantes lágrima salen de la cocina de 'O' Fragón' (Fisterra, A Coruña. Un Sol Guía Repsol.</t>
  </si>
  <si>
    <t>O' Fragón Restaurant (Fisterra, A Coruña): a kitchen open to the ocean</t>
  </si>
  <si>
    <t>'Ameixon' tartar, O Rostro fabas or tear pea pod ice cream come from the kitchen of 'O' Fragón' (Fisterra, A Coruña. Un Sol Guide Repsol.</t>
  </si>
  <si>
    <r>
      <rPr>
        <rFont val="Arial, sans-serif"/>
        <color rgb="FF1155CC"/>
        <sz val="9.0"/>
        <u/>
      </rPr>
      <t>El Periódico de la Energía</t>
    </r>
    <r>
      <rPr>
        <rFont val="Arial, sans-serif"/>
        <color rgb="FF1155CC"/>
        <sz val="15.0"/>
        <u/>
      </rPr>
      <t>Repsol tira la casa por la ventana: invertirá 19.000 millones hasta 2027 siempre y cuando no apriete el Gobierno</t>
    </r>
    <r>
      <rPr>
        <rFont val="Arial, sans-serif"/>
        <color rgb="FF1155CC"/>
        <sz val="11.0"/>
        <u/>
      </rPr>
      <t>La multienergética condiciona cerca de 3.000 millones de euros de su negocio a la evolución del marco regulatorio y fiscal en España.</t>
    </r>
    <r>
      <rPr>
        <rFont val="Arial, sans-serif"/>
        <color rgb="FF1155CC"/>
        <sz val="12.0"/>
        <u/>
      </rPr>
      <t>.</t>
    </r>
    <r>
      <rPr>
        <rFont val="Arial, sans-serif"/>
        <color rgb="FF1155CC"/>
        <sz val="11.0"/>
        <u/>
      </rPr>
      <t>21 feb 2024</t>
    </r>
  </si>
  <si>
    <t>Repsol tira la casa por la ventana: invertirá 19.000 millones hasta 2027 siempre y cuando no apriete el Gobierno</t>
  </si>
  <si>
    <t>La multienergética condiciona cerca de 3.000 millones de euros de su negocio a la evolución del marco regulatorio y fiscal en España.</t>
  </si>
  <si>
    <t>Repsol throws the house out the window: it will invest 19,000 million until 2027 as long as the Government does not put pressure</t>
  </si>
  <si>
    <t>The multi-energy company conditions nearly 3,000 million euros of its business to the evolution of the regulatory and fiscal framework in Spain.</t>
  </si>
  <si>
    <t>record dividend, fuel investment</t>
  </si>
  <si>
    <t>dividendo récord, inversión en combustible</t>
  </si>
  <si>
    <t>A record dividend strengthens investor sentiment and signals strong financial performance.</t>
  </si>
  <si>
    <t>inversión, marco regulatorio</t>
  </si>
  <si>
    <t>Neutral to positive due to investment plans.</t>
  </si>
  <si>
    <t>Neutral a positivo debido a planes de inversión.</t>
  </si>
  <si>
    <r>
      <rPr>
        <rFont val="Arial, sans-serif"/>
        <color rgb="FF1155CC"/>
        <sz val="9.0"/>
        <u/>
      </rPr>
      <t>Motor16</t>
    </r>
    <r>
      <rPr>
        <rFont val="Arial, sans-serif"/>
        <color rgb="FF1155CC"/>
        <sz val="15.0"/>
        <u/>
      </rPr>
      <t>Ni Repsol, ni Cepsa, ni BP… Esta es la gasolina con la que tu coche recorrerá más kilómetros</t>
    </r>
    <r>
      <rPr>
        <rFont val="Arial, sans-serif"/>
        <color rgb="FF1155CC"/>
        <sz val="11.0"/>
        <u/>
      </rPr>
      <t>Con el constante aumento de los precios de la gasolina, los conductores buscan no solo el precio más competitivo, sino también la mejor calidad para...</t>
    </r>
    <r>
      <rPr>
        <rFont val="Arial, sans-serif"/>
        <color rgb="FF1155CC"/>
        <sz val="12.0"/>
        <u/>
      </rPr>
      <t>.</t>
    </r>
    <r>
      <rPr>
        <rFont val="Arial, sans-serif"/>
        <color rgb="FF1155CC"/>
        <sz val="11.0"/>
        <u/>
      </rPr>
      <t>21 feb 2024</t>
    </r>
  </si>
  <si>
    <t>Esta es la gasolina con la que tu coche recorrerá más kilómetros</t>
  </si>
  <si>
    <t>Con el constante aumento de los precios de la gasolina, los conductores buscan no solo el precio más competitivo, sino también la mejor calidad para....</t>
  </si>
  <si>
    <t>This is the gasoline with which your car will travel the most kilometers.</t>
  </si>
  <si>
    <t>With gasoline prices constantly rising, drivers are looking not only for the most competitive price, but also the best quality for...</t>
  </si>
  <si>
    <t>General fuel efficiency discussions do not impact Repsol’s reputation.</t>
  </si>
  <si>
    <t>gasolina, kilómetros</t>
  </si>
  <si>
    <r>
      <rPr>
        <rFont val="Arial, sans-serif"/>
        <color rgb="FF1155CC"/>
        <sz val="9.0"/>
        <u/>
      </rPr>
      <t>El Debate</t>
    </r>
    <r>
      <rPr>
        <rFont val="Arial, sans-serif"/>
        <color rgb="FF1155CC"/>
        <sz val="15.0"/>
        <u/>
      </rPr>
      <t>¿Qué marca de gasolina te permite hacer más kilómetros con un depósito lleno?</t>
    </r>
    <r>
      <rPr>
        <rFont val="Arial, sans-serif"/>
        <color rgb="FF1155CC"/>
        <sz val="11.0"/>
        <u/>
      </rPr>
      <t>Además del precio, a la hora de repostar conviene tener en cuenta la diferencia de kilómetros que podemos recorrer en función de la petrolera.</t>
    </r>
    <r>
      <rPr>
        <rFont val="Arial, sans-serif"/>
        <color rgb="FF1155CC"/>
        <sz val="12.0"/>
        <u/>
      </rPr>
      <t>.</t>
    </r>
    <r>
      <rPr>
        <rFont val="Arial, sans-serif"/>
        <color rgb="FF1155CC"/>
        <sz val="11.0"/>
        <u/>
      </rPr>
      <t>21 feb 2024</t>
    </r>
  </si>
  <si>
    <t>¿Qué marca de gasolina te permite hacer más kilómetros con un depósito lleno?</t>
  </si>
  <si>
    <t>Además del precio, a la hora de repostar conviene tener en cuenta la diferencia de kilómetros que podemos recorrer en función de la petrolera.</t>
  </si>
  <si>
    <t>What brand of gasoline allows you to travel the most kilometers on a full tank?</t>
  </si>
  <si>
    <t>In addition to the price, when refueling it is worth taking into account the difference in kilometers that we can travel depending on the oil company.</t>
  </si>
  <si>
    <t>Fuel efficiency comparisons do not impact Repsol’s business.</t>
  </si>
  <si>
    <r>
      <rPr>
        <rFont val="Arial, sans-serif"/>
        <color rgb="FF1155CC"/>
        <sz val="9.0"/>
        <u/>
      </rPr>
      <t>La Provincia</t>
    </r>
    <r>
      <rPr>
        <rFont val="Arial, sans-serif"/>
        <color rgb="FF1155CC"/>
        <sz val="15.0"/>
        <u/>
      </rPr>
      <t>Muere Anna Eder, propietaria del restaurante Bamira de Playa del Águila tras un viaje a África</t>
    </r>
    <r>
      <rPr>
        <rFont val="Arial, sans-serif"/>
        <color rgb="FF1155CC"/>
        <sz val="11.0"/>
        <u/>
      </rPr>
      <t>La maitre y sumiller muere a los 59 años días después de regresar de un viaje a Sierra Leona.</t>
    </r>
    <r>
      <rPr>
        <rFont val="Arial, sans-serif"/>
        <color rgb="FF1155CC"/>
        <sz val="12.0"/>
        <u/>
      </rPr>
      <t>.</t>
    </r>
    <r>
      <rPr>
        <rFont val="Arial, sans-serif"/>
        <color rgb="FF1155CC"/>
        <sz val="11.0"/>
        <u/>
      </rPr>
      <t>21 feb 2024</t>
    </r>
  </si>
  <si>
    <t>La Provincia</t>
  </si>
  <si>
    <t>Muere Anna Eder, propietaria del restaurante Bamira de Playa del Águila tras un viaje a África</t>
  </si>
  <si>
    <t>La maitre y sumiller muere a los 59 años días después de regresar de un viaje a Sierra Leona.</t>
  </si>
  <si>
    <t>Anna Eder, owner of the Bamira restaurant in Playa del Águila, dies after a trip to Africa</t>
  </si>
  <si>
    <t>The maitre d' and sommelier dies at the age of 59 days after returning from a trip to Sierra Leone.</t>
  </si>
  <si>
    <r>
      <rPr>
        <rFont val="Arial, sans-serif"/>
        <color rgb="FF1155CC"/>
        <sz val="9.0"/>
        <u/>
      </rPr>
      <t>Guía Repsol</t>
    </r>
    <r>
      <rPr>
        <rFont val="Arial, sans-serif"/>
        <color rgb="FF1155CC"/>
        <sz val="15.0"/>
        <u/>
      </rPr>
      <t>Restaurante 'Varra', la carta que horna la huerta y los buenos fondos</t>
    </r>
    <r>
      <rPr>
        <rFont val="Arial, sans-serif"/>
        <color rgb="FF1155CC"/>
        <sz val="11.0"/>
        <u/>
      </rPr>
      <t>Del frenético y divertido ritmo de 'Varra Fina', donde vuelan las ensaladilla rusas, las croquetas de jamón y los pinchos de tortilla; al sosiego de un...</t>
    </r>
    <r>
      <rPr>
        <rFont val="Arial, sans-serif"/>
        <color rgb="FF1155CC"/>
        <sz val="12.0"/>
        <u/>
      </rPr>
      <t>.</t>
    </r>
    <r>
      <rPr>
        <rFont val="Arial, sans-serif"/>
        <color rgb="FF1155CC"/>
        <sz val="11.0"/>
        <u/>
      </rPr>
      <t>21 feb 2024</t>
    </r>
  </si>
  <si>
    <t>Restaurante 'Varra', la carta que horna la huerta y los buenos fondos</t>
  </si>
  <si>
    <t>Del frenético y divertido ritmo de 'Varra Fina', donde vuelan las ensaladilla rusas, las croquetas de jamón y los pinchos de tortilla; al sosiego de un....</t>
  </si>
  <si>
    <t>Restaurant 'Varra', the menu that bakes the garden and the good funds</t>
  </si>
  <si>
    <t>From the frenetic and fun rhythm of 'Varra Fina', where Russian salads, ham croquettes and tortilla skewers fly; to the calm of a....</t>
  </si>
  <si>
    <r>
      <rPr>
        <rFont val="Arial, sans-serif"/>
        <color rgb="FF1155CC"/>
        <sz val="9.0"/>
        <u/>
      </rPr>
      <t>Guía Repsol</t>
    </r>
    <r>
      <rPr>
        <rFont val="Arial, sans-serif"/>
        <color rgb="FF1155CC"/>
        <sz val="15.0"/>
        <u/>
      </rPr>
      <t>Restaurante 'La Posada de Horcajuelo' (Madrid): el cabrito y el cordero solo te pueden hacer feliz</t>
    </r>
    <r>
      <rPr>
        <rFont val="Arial, sans-serif"/>
        <color rgb="FF1155CC"/>
        <sz val="11.0"/>
        <u/>
      </rPr>
      <t>Hace tres años que Fernando González y Marta Chapinal gestionan 'La Posada de Horcajuelo', uno de esos lugares de la Sierra del Rincón, en las faldas de...</t>
    </r>
    <r>
      <rPr>
        <rFont val="Arial, sans-serif"/>
        <color rgb="FF1155CC"/>
        <sz val="12.0"/>
        <u/>
      </rPr>
      <t>.</t>
    </r>
    <r>
      <rPr>
        <rFont val="Arial, sans-serif"/>
        <color rgb="FF1155CC"/>
        <sz val="11.0"/>
        <u/>
      </rPr>
      <t>21 feb 2024</t>
    </r>
  </si>
  <si>
    <t>Restaurante 'La Posada de Horcajuelo' (Madrid): el cabrito y el cordero solo te pueden hacer feliz</t>
  </si>
  <si>
    <t>Hace tres años que Fernando González y Marta Chapinal gestionan 'La Posada de Horcajuelo', uno de esos lugares de la Sierra del Rincón, en las faldas de....</t>
  </si>
  <si>
    <t>Restaurant 'La Posada de Horcajuelo' (Madrid): goat and lamb can only make you happy</t>
  </si>
  <si>
    <t>For three years now, Fernando González and Marta Chapinal have managed 'La Posada de Horcajuelo', one of those places in the Sierra del Rincón, on the slopes of....</t>
  </si>
  <si>
    <r>
      <rPr>
        <rFont val="Arial, sans-serif"/>
        <color rgb="FF1155CC"/>
        <sz val="9.0"/>
        <u/>
      </rPr>
      <t>Guía Repsol</t>
    </r>
    <r>
      <rPr>
        <rFont val="Arial, sans-serif"/>
        <color rgb="FF1155CC"/>
        <sz val="15.0"/>
        <u/>
      </rPr>
      <t>Malasaña, un barrio muy perruno</t>
    </r>
    <r>
      <rPr>
        <rFont val="Arial, sans-serif"/>
        <color rgb="FF1155CC"/>
        <sz val="11.0"/>
        <u/>
      </rPr>
      <t>Con el permiso de Vallecas, donde hay censados más de 20.000 perros, la zona que más animales tiene en proporción a la población existente, uno de los...</t>
    </r>
    <r>
      <rPr>
        <rFont val="Arial, sans-serif"/>
        <color rgb="FF1155CC"/>
        <sz val="12.0"/>
        <u/>
      </rPr>
      <t>.</t>
    </r>
    <r>
      <rPr>
        <rFont val="Arial, sans-serif"/>
        <color rgb="FF1155CC"/>
        <sz val="11.0"/>
        <u/>
      </rPr>
      <t>21 feb 2024</t>
    </r>
  </si>
  <si>
    <t>Malasaña, un barrio muy perruno</t>
  </si>
  <si>
    <t>Con el permiso de Vallecas, donde hay censados más de 20.000 perros, la zona que más animales tiene en proporción a la población existente, uno de los....</t>
  </si>
  <si>
    <t>Malasaña, a very dog-friendly neighborhood</t>
  </si>
  <si>
    <t>With the permission of Vallecas, where there are more than 20,000 dogs registered, the area that has the most animals in proportion to the existing population, one of the...</t>
  </si>
  <si>
    <r>
      <rPr>
        <rFont val="Arial, sans-serif"/>
        <color rgb="FF1155CC"/>
        <sz val="9.0"/>
        <u/>
      </rPr>
      <t>Energías Renovables, el periodismo de las energías limpias.</t>
    </r>
    <r>
      <rPr>
        <rFont val="Arial, sans-serif"/>
        <color rgb="FF1155CC"/>
        <sz val="15.0"/>
        <u/>
      </rPr>
      <t>Repsol cierra 2023 con más de 3.000 millones de euros de beneficio neto</t>
    </r>
    <r>
      <rPr>
        <rFont val="Arial, sans-serif"/>
        <color rgb="FF1155CC"/>
        <sz val="11.0"/>
        <u/>
      </rPr>
      <t>La petrolera ha registrado una caída del 25,5% del resultado neto (que ha quedado en los 3.168 millones de euros) y reconoce así mismo una caída del 26% en...</t>
    </r>
    <r>
      <rPr>
        <rFont val="Arial, sans-serif"/>
        <color rgb="FF1155CC"/>
        <sz val="12.0"/>
        <u/>
      </rPr>
      <t>.</t>
    </r>
    <r>
      <rPr>
        <rFont val="Arial, sans-serif"/>
        <color rgb="FF1155CC"/>
        <sz val="11.0"/>
        <u/>
      </rPr>
      <t>22 feb 2024</t>
    </r>
  </si>
  <si>
    <t>Repsol cierra 2023 con más de 3.000 millones de euros de beneficio neto</t>
  </si>
  <si>
    <t>La petrolera ha registrado una caída del 25,5% del resultado neto (que ha quedado en los 3.168 millones de euros) y reconoce así mismo una caída del 26% en....</t>
  </si>
  <si>
    <t>Repsol closes 2023 with more than 3,000 million euros of net profit</t>
  </si>
  <si>
    <t>The oil company has recorded a 25.5% drop in net income (which stood at 3,168 million euros) and also recognizes a 26% drop in...</t>
  </si>
  <si>
    <t>profit drop, financial results</t>
  </si>
  <si>
    <t>caída de beneficios, resultados financieros</t>
  </si>
  <si>
    <t>A decline in profits may affect investor sentiment despite stable financial performance.</t>
  </si>
  <si>
    <t>beneficio neto, caída</t>
  </si>
  <si>
    <r>
      <rPr>
        <rFont val="Arial, sans-serif"/>
        <color rgb="FF1155CC"/>
        <sz val="9.0"/>
        <u/>
      </rPr>
      <t>OkDiario</t>
    </r>
    <r>
      <rPr>
        <rFont val="Arial, sans-serif"/>
        <color rgb="FF1155CC"/>
        <sz val="15.0"/>
        <u/>
      </rPr>
      <t>Repsol sigue los pasos de Ferrovial: sacará a Bolsa su filial de exploración y producción en EEUU</t>
    </r>
    <r>
      <rPr>
        <rFont val="Arial, sans-serif"/>
        <color rgb="FF1155CC"/>
        <sz val="11.0"/>
        <u/>
      </rPr>
      <t>Repsol seguirá los pasos de Ferrovial y sacará a cotizar en Bolsa su filial de exploraicón y producción en Estados Unidos y no en España.</t>
    </r>
    <r>
      <rPr>
        <rFont val="Arial, sans-serif"/>
        <color rgb="FF1155CC"/>
        <sz val="12.0"/>
        <u/>
      </rPr>
      <t>.</t>
    </r>
    <r>
      <rPr>
        <rFont val="Arial, sans-serif"/>
        <color rgb="FF1155CC"/>
        <sz val="11.0"/>
        <u/>
      </rPr>
      <t>22 feb 2024</t>
    </r>
  </si>
  <si>
    <t>Repsol sigue los pasos de Ferrovial: sacará a Bolsa su filial de exploración y producción en EEUU</t>
  </si>
  <si>
    <t>Repsol seguirá los pasos de Ferrovial y sacará a cotizar en Bolsa su filial de exploración y producción en Estados Unidos y no en España.</t>
  </si>
  <si>
    <t>Repsol follows in the footsteps of Ferrovial: it will take its exploration and production subsidiary in the US public</t>
  </si>
  <si>
    <t>Repsol will follow in Ferrovial's footsteps and list its exploration and production subsidiary on the stock market in the United States and not in Spain.</t>
  </si>
  <si>
    <t>expansion abroad, Repsol strategy</t>
  </si>
  <si>
    <t>expansión exterior, estrategia Repsol</t>
  </si>
  <si>
    <t>Expanding international operations strengthens Repsol’s global market presence.</t>
  </si>
  <si>
    <t>Bolsa, exploración</t>
  </si>
  <si>
    <t>Neutral due to business strategy.</t>
  </si>
  <si>
    <t>Neutral por estrategia de negocio.</t>
  </si>
  <si>
    <r>
      <rPr>
        <rFont val="Arial, sans-serif"/>
        <color rgb="FF1155CC"/>
        <sz val="9.0"/>
        <u/>
      </rPr>
      <t>El Economista</t>
    </r>
    <r>
      <rPr>
        <rFont val="Arial, sans-serif"/>
        <color rgb="FF1155CC"/>
        <sz val="15.0"/>
        <u/>
      </rPr>
      <t>Repsol acelera con el dividendo: rozará 1 euro en metálico el año que viene según su nuevo plan estratégico</t>
    </r>
    <r>
      <rPr>
        <rFont val="Arial, sans-serif"/>
        <color rgb="FF1155CC"/>
        <sz val="11.0"/>
        <u/>
      </rPr>
      <t>La petrolera española ha actualizado su plan estratégico, ampliando su horizonte hasta el año 2027, un periodo en el que seguirá ...</t>
    </r>
    <r>
      <rPr>
        <rFont val="Arial, sans-serif"/>
        <color rgb="FF1155CC"/>
        <sz val="12.0"/>
        <u/>
      </rPr>
      <t>.</t>
    </r>
    <r>
      <rPr>
        <rFont val="Arial, sans-serif"/>
        <color rgb="FF1155CC"/>
        <sz val="11.0"/>
        <u/>
      </rPr>
      <t>22 feb 2024</t>
    </r>
  </si>
  <si>
    <t>Repsol acelera con el dividendo: rozará 1 euro en metálico el año que viene según su nuevo plan estratégico</t>
  </si>
  <si>
    <t>La petrolera española ha actualizado su plan estratégico, ampliando su horizonte hasta el año 2027, un periodo en el que seguirá ....</t>
  </si>
  <si>
    <t>Repsol accelerates with the dividend: it will touch 1 euro in cash next year according to its new strategic plan</t>
  </si>
  <si>
    <t>The Spanish oil company has updated its strategic plan, expanding its horizon until 2027, a period in which it will continue...</t>
  </si>
  <si>
    <t>dividend increase, shareholder returns</t>
  </si>
  <si>
    <t>aumento de dividendos, retorno para los accionistas</t>
  </si>
  <si>
    <t>Increasing dividends signals strong financial performance and attracts investor confidence.</t>
  </si>
  <si>
    <t>dividendo, plan estratégico</t>
  </si>
  <si>
    <t>Positive due to financial outlook.</t>
  </si>
  <si>
    <t>Positivo debido a las perspectivas financieras.</t>
  </si>
  <si>
    <r>
      <rPr>
        <rFont val="Arial, sans-serif"/>
        <color rgb="FF1155CC"/>
        <sz val="9.0"/>
        <u/>
      </rPr>
      <t>El Periódico de la Energía</t>
    </r>
    <r>
      <rPr>
        <rFont val="Arial, sans-serif"/>
        <color rgb="FF1155CC"/>
        <sz val="15.0"/>
        <u/>
      </rPr>
      <t>Repsol prevé elevar hasta un 80% el dividendo en cuatro años, alcanzando los 1,26 euros por acción en 2027</t>
    </r>
    <r>
      <rPr>
        <rFont val="Arial, sans-serif"/>
        <color rgb="FF1155CC"/>
        <sz val="11.0"/>
        <u/>
      </rPr>
      <t>Repsol prevé elevar su dividendo hasta un 80% en el periodo 2024-2027, alcanzando así los 1,26 euros por acción.</t>
    </r>
    <r>
      <rPr>
        <rFont val="Arial, sans-serif"/>
        <color rgb="FF1155CC"/>
        <sz val="12.0"/>
        <u/>
      </rPr>
      <t>.</t>
    </r>
    <r>
      <rPr>
        <rFont val="Arial, sans-serif"/>
        <color rgb="FF1155CC"/>
        <sz val="11.0"/>
        <u/>
      </rPr>
      <t>22 feb 2024</t>
    </r>
  </si>
  <si>
    <t>Repsol prevé elevar hasta un 80% el dividendo en cuatro años, alcanzando los 1,26 euros por acción en 2027</t>
  </si>
  <si>
    <t>Repsol prevé elevar su dividendo hasta un 80% en el periodo 2024-2027, alcanzando así los 1,26 euros por acción.</t>
  </si>
  <si>
    <t>Repsol plans to increase the dividend by up to 80% in four years, reaching 1.26 euros per share in 2027</t>
  </si>
  <si>
    <t>Repsol plans to increase its dividend by up to 80% in the period 2024-2027, thus reaching 1.26 euros per share.</t>
  </si>
  <si>
    <t>dividend increase, 2024 strategy</t>
  </si>
  <si>
    <t>aumento de dividendos, estrategia 2024</t>
  </si>
  <si>
    <t>Higher dividend payouts reinforce Repsol’s financial stability and shareholder appeal.</t>
  </si>
  <si>
    <t>dividendo, elevar</t>
  </si>
  <si>
    <r>
      <rPr>
        <rFont val="Arial, sans-serif"/>
        <color rgb="FF1155CC"/>
        <sz val="9.0"/>
        <u/>
      </rPr>
      <t>20Minutos</t>
    </r>
    <r>
      <rPr>
        <rFont val="Arial, sans-serif"/>
        <color rgb="FF1155CC"/>
        <sz val="15.0"/>
        <u/>
      </rPr>
      <t>Imaz asegura que Repsol no tiene prisa para decidir sus inversiones en España</t>
    </r>
    <r>
      <rPr>
        <rFont val="Arial, sans-serif"/>
        <color rgb="FF1155CC"/>
        <sz val="11.0"/>
        <u/>
      </rPr>
      <t>El consejero delegado de Repsol confía en que exista una 'idea clara' en el Gobierno para modificar el impuesto energético tras que Bruselas haya afirmado...</t>
    </r>
    <r>
      <rPr>
        <rFont val="Arial, sans-serif"/>
        <color rgb="FF1155CC"/>
        <sz val="12.0"/>
        <u/>
      </rPr>
      <t>.</t>
    </r>
    <r>
      <rPr>
        <rFont val="Arial, sans-serif"/>
        <color rgb="FF1155CC"/>
        <sz val="11.0"/>
        <u/>
      </rPr>
      <t>22 feb 2024</t>
    </r>
  </si>
  <si>
    <t>Imaz asegura que Repsol no tiene prisa para decidir sus inversiones en España</t>
  </si>
  <si>
    <t>El consejero delegado de Repsol confía en que exista una 'idea clara' en el Gobierno para modificar el impuesto energético tras que Bruselas haya afirmado....</t>
  </si>
  <si>
    <t>Imaz assures that Repsol is in no hurry to decide its investments in Spain</t>
  </si>
  <si>
    <t>The CEO of Repsol trusts that there is a 'clear idea' in the Government to modify the energy tax after Brussels has affirmed...</t>
  </si>
  <si>
    <t>decarbonization, roadmap</t>
  </si>
  <si>
    <t>descarbonización, hoja de ruta</t>
  </si>
  <si>
    <t>A cautious approach to decarbonization may be viewed positively by investors but cautiously by environmental groups.</t>
  </si>
  <si>
    <t>inversiones, impuesto energético</t>
  </si>
  <si>
    <r>
      <rPr>
        <rFont val="Arial, sans-serif"/>
        <color rgb="FF1155CC"/>
        <sz val="9.0"/>
        <u/>
      </rPr>
      <t>La Voz de Galicia</t>
    </r>
    <r>
      <rPr>
        <rFont val="Arial, sans-serif"/>
        <color rgb="FF1155CC"/>
        <sz val="15.0"/>
        <u/>
      </rPr>
      <t>Repsol prevé elevar el dividendo un 80 % en cuatro años, hasta 1,26 euros por acción en el 2027</t>
    </r>
    <r>
      <rPr>
        <rFont val="Arial, sans-serif"/>
        <color rgb="FF1155CC"/>
        <sz val="11.0"/>
        <u/>
      </rPr>
      <t>La compañía ganó 3.168 millones en el 2023, un 25,5 % menos, por los menores precios de los hidrocarburos.</t>
    </r>
    <r>
      <rPr>
        <rFont val="Arial, sans-serif"/>
        <color rgb="FF1155CC"/>
        <sz val="12.0"/>
        <u/>
      </rPr>
      <t>.</t>
    </r>
    <r>
      <rPr>
        <rFont val="Arial, sans-serif"/>
        <color rgb="FF1155CC"/>
        <sz val="11.0"/>
        <u/>
      </rPr>
      <t>22 feb 2024</t>
    </r>
  </si>
  <si>
    <t>Repsol prevé elevar el dividendo un 80 % en cuatro años, hasta 1,26 euros por acción en el 2027</t>
  </si>
  <si>
    <t>La compañía ganó 3.168 millones en el 2023, un 25,5 % menos, por los menores precios de los hidrocarburos.</t>
  </si>
  <si>
    <t>Repsol plans to increase the dividend by 80% in four years, up to 1.26 euros per share in 2027</t>
  </si>
  <si>
    <t>The company earned 3,168 million in 2023, 25.5% less, due to lower hydrocarbon prices.</t>
  </si>
  <si>
    <t>dividend increase, 2024 earnings</t>
  </si>
  <si>
    <t>aumento de dividendos, beneficios de 2024</t>
  </si>
  <si>
    <t>A significant dividend increase strengthens Repsol’s shareholder appeal.</t>
  </si>
  <si>
    <r>
      <rPr>
        <rFont val="Arial, sans-serif"/>
        <color rgb="FF1155CC"/>
        <sz val="9.0"/>
        <u/>
      </rPr>
      <t>El Periódico</t>
    </r>
    <r>
      <rPr>
        <rFont val="Arial, sans-serif"/>
        <color rgb="FF1155CC"/>
        <sz val="15.0"/>
        <u/>
      </rPr>
      <t>Repsol condiciona hasta 3.000 millones en inversiones al marco regulatorio y fiscal en España</t>
    </r>
    <r>
      <rPr>
        <rFont val="Arial, sans-serif"/>
        <color rgb="FF1155CC"/>
        <sz val="11.0"/>
        <u/>
      </rPr>
      <t>La petrolera anuncia el reparto de 10.000 millones entre los accionistas y planea unas inversiones de hasta 19.000 millones. El consejero delegado de Repsol...</t>
    </r>
    <r>
      <rPr>
        <rFont val="Arial, sans-serif"/>
        <color rgb="FF1155CC"/>
        <sz val="12.0"/>
        <u/>
      </rPr>
      <t>.</t>
    </r>
    <r>
      <rPr>
        <rFont val="Arial, sans-serif"/>
        <color rgb="FF1155CC"/>
        <sz val="11.0"/>
        <u/>
      </rPr>
      <t>22 feb 2024</t>
    </r>
  </si>
  <si>
    <t>Repsol condiciona hasta 3.000 millones en inversiones al marco regulatorio y fiscal en España</t>
  </si>
  <si>
    <t>La petrolera anuncia el reparto de 10.000 millones entre los accionistas y planea unas inversiones de hasta 19.000 millones. El consejero delegado de Repsol....</t>
  </si>
  <si>
    <t>Repsol conditions up to 3,000 million in investments to the regulatory and fiscal framework in Spain</t>
  </si>
  <si>
    <t>The oil company announces the distribution of 10,000 million among shareholders and plans investments of up to 19,000 million. The CEO of Repsol....</t>
  </si>
  <si>
    <t>investment strategy, Spain expansion</t>
  </si>
  <si>
    <t>Estrategia de inversión, Expansión de España</t>
  </si>
  <si>
    <t>Repsol’s investment plans support long-term growth and sustainability.</t>
  </si>
  <si>
    <t>inversiones, marco regulatorio</t>
  </si>
  <si>
    <r>
      <rPr>
        <rFont val="Arial, sans-serif"/>
        <color rgb="FF1155CC"/>
        <sz val="9.0"/>
        <u/>
      </rPr>
      <t>La Verdad</t>
    </r>
    <r>
      <rPr>
        <rFont val="Arial, sans-serif"/>
        <color rgb="FF1155CC"/>
        <sz val="15.0"/>
        <u/>
      </rPr>
      <t>Repsol arrancará este mes su planta de biocombustibles en Cartagena</t>
    </r>
    <r>
      <rPr>
        <rFont val="Arial, sans-serif"/>
        <color rgb="FF1155CC"/>
        <sz val="11.0"/>
        <u/>
      </rPr>
      <t>Repsol anunció en el acto de presentación de su Actualización Estratégica 2024-2027, ayer, la puesta en marcha «a lo largo de este mes» en .</t>
    </r>
    <r>
      <rPr>
        <rFont val="Arial, sans-serif"/>
        <color rgb="FF1155CC"/>
        <sz val="12.0"/>
        <u/>
      </rPr>
      <t>.</t>
    </r>
    <r>
      <rPr>
        <rFont val="Arial, sans-serif"/>
        <color rgb="FF1155CC"/>
        <sz val="11.0"/>
        <u/>
      </rPr>
      <t>22 feb 2024</t>
    </r>
  </si>
  <si>
    <t>Repsol arrancará este mes su planta de biocombustibles en Cartagena</t>
  </si>
  <si>
    <t>Repsol anunció en el acto de presentación de su Actualización Estratégica 2024-2027, ayer, la puesta en marcha «a lo largo de este mes» en ..</t>
  </si>
  <si>
    <t>Repsol will start up its biofuels plant in Cartagena this month</t>
  </si>
  <si>
    <t>Repsol announced yesterday at the presentation of its 2024-2027 Strategic Update, the launch "throughout this month" in...</t>
  </si>
  <si>
    <t>biofuels plant, Cartagena</t>
  </si>
  <si>
    <t>Planta de biocombustibles, Cartagena</t>
  </si>
  <si>
    <t>Launching a biofuels plant reinforces Repsol’s commitment to green energy.</t>
  </si>
  <si>
    <t>biocombustibles, puesta en marcha</t>
  </si>
  <si>
    <t>Positive due to focus on renewable energy.</t>
  </si>
  <si>
    <t>Positivo por el foco en las energías renovables.</t>
  </si>
  <si>
    <r>
      <rPr>
        <rFont val="Arial, sans-serif"/>
        <color rgb="FF1155CC"/>
        <sz val="9.0"/>
        <u/>
      </rPr>
      <t>EFE - Agencia de noticias</t>
    </r>
    <r>
      <rPr>
        <rFont val="Arial, sans-serif"/>
        <color rgb="FF1155CC"/>
        <sz val="15.0"/>
        <u/>
      </rPr>
      <t>Repsol ganó 3.168 millones en 2023, un 25,5 % menos, por los menores precios del crudo y el gas</t>
    </r>
    <r>
      <rPr>
        <rFont val="Arial, sans-serif"/>
        <color rgb="FF1155CC"/>
        <sz val="11.0"/>
        <u/>
      </rPr>
      <t>Repsol obtuvo un beneficio neto de 3.168 millones de euros en 2023, un 25,5 % menos que el ejercicio anterior, por los menores precios del crudo y el gas.</t>
    </r>
    <r>
      <rPr>
        <rFont val="Arial, sans-serif"/>
        <color rgb="FF1155CC"/>
        <sz val="12.0"/>
        <u/>
      </rPr>
      <t>.</t>
    </r>
    <r>
      <rPr>
        <rFont val="Arial, sans-serif"/>
        <color rgb="FF1155CC"/>
        <sz val="11.0"/>
        <u/>
      </rPr>
      <t>22 feb 2024</t>
    </r>
  </si>
  <si>
    <t>Repsol ganó 3.168 millones en 2023, un 25,5 % menos, por los menores precios del crudo y el gas</t>
  </si>
  <si>
    <t>Repsol obtuvo un beneficio neto de 3.168 millones de euros en 2023, un 25,5 % menos que el ejercicio anterior, por los menores precios del crudo y el gas.</t>
  </si>
  <si>
    <t>Repsol earned 3,168 million in 2023, 25.5% less, due to lower crude and gas prices</t>
  </si>
  <si>
    <t>Repsol obtained a net profit of 3,168 million euros in 2023, 25.5% less than the previous year, due to lower crude oil and gas prices.</t>
  </si>
  <si>
    <t>profit decline, financial results</t>
  </si>
  <si>
    <t>disminución de beneficios, resultados financieros</t>
  </si>
  <si>
    <t>A drop in net profit may raise concerns among investors despite stable operations.</t>
  </si>
  <si>
    <t>beneficio neto, menores precios</t>
  </si>
  <si>
    <r>
      <rPr>
        <rFont val="Arial, sans-serif"/>
        <color rgb="FF1155CC"/>
        <sz val="9.0"/>
        <u/>
      </rPr>
      <t>Estrategias de Inversión</t>
    </r>
    <r>
      <rPr>
        <rFont val="Arial, sans-serif"/>
        <color rgb="FF1155CC"/>
        <sz val="15.0"/>
        <u/>
      </rPr>
      <t>Repsol reduce su beneficio hasta los 3.168 millones pero incrementa un 30% el dividendo</t>
    </r>
    <r>
      <rPr>
        <rFont val="Arial, sans-serif"/>
        <color rgb="FF1155CC"/>
        <sz val="11.0"/>
        <u/>
      </rPr>
      <t>Repsol se anotó un beneficio neto de 3.168 millones de euros en 2023. Supone una caída de un 25,5% tras el histórico resultado obtenido en 2022, pero ha...</t>
    </r>
    <r>
      <rPr>
        <rFont val="Arial, sans-serif"/>
        <color rgb="FF1155CC"/>
        <sz val="12.0"/>
        <u/>
      </rPr>
      <t>.</t>
    </r>
    <r>
      <rPr>
        <rFont val="Arial, sans-serif"/>
        <color rgb="FF1155CC"/>
        <sz val="11.0"/>
        <u/>
      </rPr>
      <t>22 feb 2024</t>
    </r>
  </si>
  <si>
    <t>Repsol reduce su beneficio hasta los 3.168 millones pero incrementa un 30% el dividendo</t>
  </si>
  <si>
    <t>Repsol se anotó un beneficio neto de 3.168 millones de euros en 2023. Supone una caída de un 25,5% tras el histórico resultado obtenido en 2022, pero ha....</t>
  </si>
  <si>
    <t>Repsol reduces its profit to 3,168 million but increases the dividend by 30%</t>
  </si>
  <si>
    <t>Repsol recorded a net profit of 3,168 million euros in 2023. It represents a drop of 25.5% after the historic result obtained in 2022, but it has...</t>
  </si>
  <si>
    <t>record dividend, profit drop</t>
  </si>
  <si>
    <t>dividendo récord, caída de beneficios</t>
  </si>
  <si>
    <t>Prioritizing shareholder returns despite profit declines may sustain investor confidence.</t>
  </si>
  <si>
    <t>beneficio neto, dividendo</t>
  </si>
  <si>
    <t>Neutral to positive due to increased dividends.</t>
  </si>
  <si>
    <t>De neutral a positivo debido al aumento de dividendos.</t>
  </si>
  <si>
    <r>
      <rPr>
        <rFont val="Arial, sans-serif"/>
        <color rgb="FF1155CC"/>
        <sz val="9.0"/>
        <u/>
      </rPr>
      <t>El Nacional.cat</t>
    </r>
    <r>
      <rPr>
        <rFont val="Arial, sans-serif"/>
        <color rgb="FF1155CC"/>
        <sz val="15.0"/>
        <u/>
      </rPr>
      <t>Repsol anuncia un pago extra de 0,5 euros de dividendo y abonará 90 céntimos por acción en 2024</t>
    </r>
    <r>
      <rPr>
        <rFont val="Arial, sans-serif"/>
        <color rgb="FF1155CC"/>
        <sz val="11.0"/>
        <u/>
      </rPr>
      <t>La energética española Repsol ha comunicado a la Comisión Nacional del Mercado de Valores que propondrá a la Junta General de Accionistas un pago extra de...</t>
    </r>
    <r>
      <rPr>
        <rFont val="Arial, sans-serif"/>
        <color rgb="FF1155CC"/>
        <sz val="12.0"/>
        <u/>
      </rPr>
      <t>.</t>
    </r>
    <r>
      <rPr>
        <rFont val="Arial, sans-serif"/>
        <color rgb="FF1155CC"/>
        <sz val="11.0"/>
        <u/>
      </rPr>
      <t>22 feb 2024</t>
    </r>
  </si>
  <si>
    <t>Repsol anuncia un pago extra de 0,5 euros de dividendo y abonará 90 céntimos por acción en 2024</t>
  </si>
  <si>
    <t>La energética española Repsol ha comunicado a la Comisión Nacional del Mercado de Valores que propondrá a la Junta General de Accionistas un pago extra de....</t>
  </si>
  <si>
    <t>Repsol announces an extra payment of 0.5 euros in dividend and will pay 90 cents per share in 2024</t>
  </si>
  <si>
    <t>The Spanish energy company Repsol has informed the National Securities Market Commission that it will propose to the General Shareholders' Meeting an extra payment of...</t>
  </si>
  <si>
    <t>extra dividend, shareholder returns</t>
  </si>
  <si>
    <t>dividendo extra, rendimiento para los accionistas</t>
  </si>
  <si>
    <t>Special dividend payments can enhance investor trust in Repsol’s financial stability.</t>
  </si>
  <si>
    <t>dividendo, pago extra</t>
  </si>
  <si>
    <r>
      <rPr>
        <rFont val="Arial, sans-serif"/>
        <color rgb="FF1155CC"/>
        <sz val="9.0"/>
        <u/>
      </rPr>
      <t>Ciar Global</t>
    </r>
    <r>
      <rPr>
        <rFont val="Arial, sans-serif"/>
        <color rgb="FF1155CC"/>
        <sz val="15.0"/>
        <u/>
      </rPr>
      <t>¿Cómo acabó el arbitraje entre Repsol y la china Sinopec?</t>
    </r>
    <r>
      <rPr>
        <rFont val="Arial, sans-serif"/>
        <color rgb="FF1155CC"/>
        <sz val="11.0"/>
        <u/>
      </rPr>
      <t>El 31 de octubre de 2023 se resolvió finalmente el procedimiento de arbitraje que mantenía Repsol con las compañías Addax y Sinopec.</t>
    </r>
    <r>
      <rPr>
        <rFont val="Arial, sans-serif"/>
        <color rgb="FF1155CC"/>
        <sz val="12.0"/>
        <u/>
      </rPr>
      <t>.</t>
    </r>
    <r>
      <rPr>
        <rFont val="Arial, sans-serif"/>
        <color rgb="FF1155CC"/>
        <sz val="11.0"/>
        <u/>
      </rPr>
      <t>22 feb 2024</t>
    </r>
  </si>
  <si>
    <t>Ciar Global</t>
  </si>
  <si>
    <t>¿Cómo acabó el arbitraje entre Repsol y la china Sinopec?</t>
  </si>
  <si>
    <t>El 31 de octubre de 2023 se resolvió finalmente el procedimiento de arbitraje que mantenía Repsol con las compañías Addax y Sinopec.</t>
  </si>
  <si>
    <t>How did the arbitration between Repsol and the Chinese Sinopec end?</t>
  </si>
  <si>
    <t>On October 31, 2023, the arbitration procedure that Repsol was maintaining with the companies Addax and Sinopec was finally resolved.</t>
  </si>
  <si>
    <t>arbitration case, Argentina</t>
  </si>
  <si>
    <t>caso de arbitraje, Argentina</t>
  </si>
  <si>
    <t>Resolving disputes positively impacts Repsol’s legal standing.</t>
  </si>
  <si>
    <r>
      <rPr>
        <rFont val="Arial, sans-serif"/>
        <color rgb="FF1155CC"/>
        <sz val="9.0"/>
        <u/>
      </rPr>
      <t>Cinco Días</t>
    </r>
    <r>
      <rPr>
        <rFont val="Arial, sans-serif"/>
        <color rgb="FF1155CC"/>
        <sz val="15.0"/>
        <u/>
      </rPr>
      <t>Repsol se dispara un 5,5% en Bolsa tras anunciar que repartirá a sus accionistas hasta 10.000 millones en cuatro años</t>
    </r>
    <r>
      <rPr>
        <rFont val="Arial, sans-serif"/>
        <color rgb="FF1155CC"/>
        <sz val="11.0"/>
        <u/>
      </rPr>
      <t>Como en los dos últimos años, marcados por beneficios históricamente altos, Repsol tendrá la retribución a sus accionistas como primera prioridad entre 2024...</t>
    </r>
    <r>
      <rPr>
        <rFont val="Arial, sans-serif"/>
        <color rgb="FF1155CC"/>
        <sz val="12.0"/>
        <u/>
      </rPr>
      <t>.</t>
    </r>
    <r>
      <rPr>
        <rFont val="Arial, sans-serif"/>
        <color rgb="FF1155CC"/>
        <sz val="11.0"/>
        <u/>
      </rPr>
      <t>22 feb 2024</t>
    </r>
  </si>
  <si>
    <t>Repsol se dispara un 5,5% en Bolsa tras anunciar que repartirá a sus accionistas hasta 10.000 millones en cuatro años</t>
  </si>
  <si>
    <t>Repsol se dispara un 5,5% en Bolsa tras anunciar que repartirá a sus accionistas hasta 10.000 millones en cuatro años.</t>
  </si>
  <si>
    <t>Repsol soars 5.5% on the stock market after announcing that it will distribute up to 10,000 million to its shareholders in four years</t>
  </si>
  <si>
    <t>Repsol soars 5.5% on the stock market after announcing that it will distribute up to 10,000 million to its shareholders in four years.</t>
  </si>
  <si>
    <t>stock market rise, financial performance</t>
  </si>
  <si>
    <t>aumento del mercado de valores, desempeño financiero</t>
  </si>
  <si>
    <t>Positive market reactions indicate investor confidence in Repsol’s strategy.</t>
  </si>
  <si>
    <t>Bolsa, repartir</t>
  </si>
  <si>
    <r>
      <rPr>
        <rFont val="Arial, sans-serif"/>
        <color rgb="FF1155CC"/>
        <sz val="9.0"/>
        <u/>
      </rPr>
      <t>XTB.com</t>
    </r>
    <r>
      <rPr>
        <rFont val="Arial, sans-serif"/>
        <color rgb="FF1155CC"/>
        <sz val="15.0"/>
        <u/>
      </rPr>
      <t>¡Repsol se dispara tras presentar resultados!🚀</t>
    </r>
    <r>
      <rPr>
        <rFont val="Arial, sans-serif"/>
        <color rgb="FF1155CC"/>
        <sz val="11.0"/>
        <u/>
      </rPr>
      <t>Repsol (REP1.ES) ha presentado sus resultados financieros del cuarto trimestre del 2023 y del año completo esta misma mañana.</t>
    </r>
    <r>
      <rPr>
        <rFont val="Arial, sans-serif"/>
        <color rgb="FF1155CC"/>
        <sz val="12.0"/>
        <u/>
      </rPr>
      <t>.</t>
    </r>
    <r>
      <rPr>
        <rFont val="Arial, sans-serif"/>
        <color rgb="FF1155CC"/>
        <sz val="11.0"/>
        <u/>
      </rPr>
      <t>22 feb 2024</t>
    </r>
  </si>
  <si>
    <t>XTB.com</t>
  </si>
  <si>
    <t>¡Repsol se dispara tras presentar resultados!</t>
  </si>
  <si>
    <t>Repsol (REP1.ES) ha presentado sus resultados financieros del cuarto trimestre del 2023 y del año completo esta misma mañana.</t>
  </si>
  <si>
    <t>Repsol soars after presenting results!</t>
  </si>
  <si>
    <t>Repsol (REP1.ES) has presented its financial results for the fourth quarter of 2023 and the full year this morning.</t>
  </si>
  <si>
    <t>stock market rise, financial results</t>
  </si>
  <si>
    <t>subida del mercado de valores, resultados financieros</t>
  </si>
  <si>
    <t>A strong stock market performance signals positive investor sentiment.</t>
  </si>
  <si>
    <t>resultados, dispara</t>
  </si>
  <si>
    <t>Positive due to financial performance.</t>
  </si>
  <si>
    <t>Positivo debido al desempeño financiero.</t>
  </si>
  <si>
    <r>
      <rPr>
        <rFont val="Arial, sans-serif"/>
        <color rgb="FF1155CC"/>
        <sz val="9.0"/>
        <u/>
      </rPr>
      <t>Expansión</t>
    </r>
    <r>
      <rPr>
        <rFont val="Arial, sans-serif"/>
        <color rgb="FF1155CC"/>
        <sz val="15.0"/>
        <u/>
      </rPr>
      <t>Repsol sobresale en el Ibex tras disparar a 10.000 millones la retribución a 520.000 accionistas</t>
    </r>
    <r>
      <rPr>
        <rFont val="Arial, sans-serif"/>
        <color rgb="FF1155CC"/>
        <sz val="11.0"/>
        <u/>
      </rPr>
      <t>Repsol, la primera petrolera española, va a hacer del crecimiento de los dividendos uno de sus grandes pilares para los próximos años, con un total de...</t>
    </r>
    <r>
      <rPr>
        <rFont val="Arial, sans-serif"/>
        <color rgb="FF1155CC"/>
        <sz val="12.0"/>
        <u/>
      </rPr>
      <t>.</t>
    </r>
    <r>
      <rPr>
        <rFont val="Arial, sans-serif"/>
        <color rgb="FF1155CC"/>
        <sz val="11.0"/>
        <u/>
      </rPr>
      <t>22 feb 2024</t>
    </r>
  </si>
  <si>
    <t>Repsol sobresale en el Ibex tras disparar a 10.000 millones la retribución a 520.000 accionistas</t>
  </si>
  <si>
    <t>Repsol, la primera petrolera española, va a hacer del crecimiento de los dividendos uno de sus grandes pilares para los próximos años, con un total de....</t>
  </si>
  <si>
    <t>Repsol stands out on the Ibex after raising the remuneration to 520,000 shareholders to 10,000 million</t>
  </si>
  <si>
    <t>Repsol, the leading Spanish oil company, is going to make dividend growth one of its great pillars for the coming years, with a total of...</t>
  </si>
  <si>
    <t>Ibex performance, dividend increase</t>
  </si>
  <si>
    <t>Evolución del Ibex, aumento de dividendos</t>
  </si>
  <si>
    <t>Increased dividend payments boost Repsol’s stock attractiveness.</t>
  </si>
  <si>
    <t>dividendos, retribución</t>
  </si>
  <si>
    <r>
      <rPr>
        <rFont val="Arial, sans-serif"/>
        <color rgb="FF1155CC"/>
        <sz val="9.0"/>
        <u/>
      </rPr>
      <t>El Confidencial</t>
    </r>
    <r>
      <rPr>
        <rFont val="Arial, sans-serif"/>
        <color rgb="FF1155CC"/>
        <sz val="15.0"/>
        <u/>
      </rPr>
      <t>Repsol lanza un plan para invertir 19.000 M hasta 2027 y pagar 10.000 M a sus accionistas</t>
    </r>
    <r>
      <rPr>
        <rFont val="Arial, sans-serif"/>
        <color rgb="FF1155CC"/>
        <sz val="11.0"/>
        <u/>
      </rPr>
      <t>Repsol invertirá una cifra récord de entre 16.000 y 19.000 millones de euros en los próximos cuatro años (2024-2027) para acelerar su plan de trasformación...</t>
    </r>
    <r>
      <rPr>
        <rFont val="Arial, sans-serif"/>
        <color rgb="FF1155CC"/>
        <sz val="12.0"/>
        <u/>
      </rPr>
      <t>.</t>
    </r>
    <r>
      <rPr>
        <rFont val="Arial, sans-serif"/>
        <color rgb="FF1155CC"/>
        <sz val="11.0"/>
        <u/>
      </rPr>
      <t>22 feb 2024</t>
    </r>
  </si>
  <si>
    <t>Repsol lanza un plan para invertir 19.000 M hasta 2027 y pagar 10.000 M a sus accionistas</t>
  </si>
  <si>
    <t>Repsol invertirá una cifra récord de entre 16.000 y 19.000 millones de euros en los próximos cuatro años (2024-2027) para acelerar su plan de transformación.</t>
  </si>
  <si>
    <t>Repsol launches a plan to invest 19,000 million until 2027 and pay 10,000 million to its shareholders</t>
  </si>
  <si>
    <t>Repsol will invest a record amount of between 16,000 and 19,000 million euros in the next four years (2024-2027) to accelerate its transformation plan.</t>
  </si>
  <si>
    <t>investment plan, 2027 strategy</t>
  </si>
  <si>
    <t>plan de inversiones, estrategia 2027</t>
  </si>
  <si>
    <t>A long-term investment plan strengthens Repsol’s growth and sustainability efforts.</t>
  </si>
  <si>
    <t>inversión, transformación</t>
  </si>
  <si>
    <t>Positive due to investment plans.</t>
  </si>
  <si>
    <t>Positivo por planes de inversión.</t>
  </si>
  <si>
    <r>
      <rPr>
        <rFont val="Arial, sans-serif"/>
        <color rgb="FF1155CC"/>
        <sz val="9.0"/>
        <u/>
      </rPr>
      <t>El Economista</t>
    </r>
    <r>
      <rPr>
        <rFont val="Arial, sans-serif"/>
        <color rgb="FF1155CC"/>
        <sz val="15.0"/>
        <u/>
      </rPr>
      <t>Repsol ganó 3.168 millones en 2023, un 25,5% menos, y aumenta el dividendo un 30%</t>
    </r>
    <r>
      <rPr>
        <rFont val="Arial, sans-serif"/>
        <color rgb="FF1155CC"/>
        <sz val="11.0"/>
        <u/>
      </rPr>
      <t>Repsol ha presentado sus resultados correspondientes al año 2023, un ejercicio en el que la compañía cerró con beneficio neto de 3.168 ...</t>
    </r>
    <r>
      <rPr>
        <rFont val="Arial, sans-serif"/>
        <color rgb="FF1155CC"/>
        <sz val="12.0"/>
        <u/>
      </rPr>
      <t>.</t>
    </r>
    <r>
      <rPr>
        <rFont val="Arial, sans-serif"/>
        <color rgb="FF1155CC"/>
        <sz val="11.0"/>
        <u/>
      </rPr>
      <t>22 feb 2024</t>
    </r>
  </si>
  <si>
    <t>Repsol ganó 3.168 millones en 2023, un 25,5% menos, y aumenta el dividendo un 30%</t>
  </si>
  <si>
    <t>Repsol ha presentado sus resultados correspondientes al año 2023, un ejercicio en el que la compañía cerró con beneficio neto de 3.168 millones, un 25,5% menos, y aumenta el dividendo un 30%.</t>
  </si>
  <si>
    <t>Repsol earned 3,168 million in 2023, 25.5% less, and increases the dividend by 30%</t>
  </si>
  <si>
    <t>Repsol has presented its results for 2023, a year in which the company closed with a net profit of 3,168 million, 25.5% less, and increased the dividend by 30%.</t>
  </si>
  <si>
    <t>profit drop, 2023 financials</t>
  </si>
  <si>
    <t>caída de beneficios, Estados financieros de 2023</t>
  </si>
  <si>
    <t>Lower earnings may cause investor concerns despite strong overall performance.</t>
  </si>
  <si>
    <r>
      <rPr>
        <rFont val="Arial, sans-serif"/>
        <color rgb="FF1155CC"/>
        <sz val="9.0"/>
        <u/>
      </rPr>
      <t>El Periódico de la Energía</t>
    </r>
    <r>
      <rPr>
        <rFont val="Arial, sans-serif"/>
        <color rgb="FF1155CC"/>
        <sz val="15.0"/>
        <u/>
      </rPr>
      <t>El CEO de Repsol ganó 3,93 millones de euros en 2023, un 5% menos</t>
    </r>
    <r>
      <rPr>
        <rFont val="Arial, sans-serif"/>
        <color rgb="FF1155CC"/>
        <sz val="11.0"/>
        <u/>
      </rPr>
      <t>El consejero delegado de Repsol, Josu Jon Imaz, devengó una retribución de 3,93 millones de euros en 2023, un 5% menos.</t>
    </r>
    <r>
      <rPr>
        <rFont val="Arial, sans-serif"/>
        <color rgb="FF1155CC"/>
        <sz val="12.0"/>
        <u/>
      </rPr>
      <t>.</t>
    </r>
    <r>
      <rPr>
        <rFont val="Arial, sans-serif"/>
        <color rgb="FF1155CC"/>
        <sz val="11.0"/>
        <u/>
      </rPr>
      <t>22 feb 2024</t>
    </r>
  </si>
  <si>
    <t>El CEO de Repsol ganó 3,93 millones de euros en 2023, un 5% menos</t>
  </si>
  <si>
    <t>El consejero delegado de Repsol, Josu Jon Imaz, devengó una retribución de 3,93 millones de euros en 2023, un 5% menos.</t>
  </si>
  <si>
    <t>The CEO of Repsol earned 3.93 million euros in 2023, 5% less</t>
  </si>
  <si>
    <t>The CEO of Repsol, Josu Jon Imaz, earned a remuneration of 3.93 million euros in 2023, 5% less.</t>
  </si>
  <si>
    <t>CEO salary, executive compensation</t>
  </si>
  <si>
    <t>Salario del CEO, compensación ejecutiva</t>
  </si>
  <si>
    <t>Executive pay discussions may generate mixed reactions among stakeholders.</t>
  </si>
  <si>
    <r>
      <rPr>
        <rFont val="Arial, sans-serif"/>
        <color rgb="FF1155CC"/>
        <sz val="9.0"/>
        <u/>
      </rPr>
      <t>OkDiario</t>
    </r>
    <r>
      <rPr>
        <rFont val="Arial, sans-serif"/>
        <color rgb="FF1155CC"/>
        <sz val="15.0"/>
        <u/>
      </rPr>
      <t>Repsol sube el 5,45% en Bolsa tras anunciar que destinará 10.000 millones a los accionistas</t>
    </r>
    <r>
      <rPr>
        <rFont val="Arial, sans-serif"/>
        <color rgb="FF1155CC"/>
        <sz val="11.0"/>
        <u/>
      </rPr>
      <t>La compañía petrolera Repsol invertirá una cifra récord de entre 16.000 y 19.000 millones de euros en los próximos cuatro años.</t>
    </r>
    <r>
      <rPr>
        <rFont val="Arial, sans-serif"/>
        <color rgb="FF1155CC"/>
        <sz val="12.0"/>
        <u/>
      </rPr>
      <t>.</t>
    </r>
    <r>
      <rPr>
        <rFont val="Arial, sans-serif"/>
        <color rgb="FF1155CC"/>
        <sz val="11.0"/>
        <u/>
      </rPr>
      <t>22 feb 2024</t>
    </r>
  </si>
  <si>
    <t>Repsol sube el 5,45% en Bolsa tras anunciar que destinará 10.000 millones a los accionistas</t>
  </si>
  <si>
    <t>La compañía petrolera Repsol invertirá una cifra récord de entre 16.000 y 19.000 millones de euros en los próximos cuatro años.</t>
  </si>
  <si>
    <t>Repsol rises 5.45% on the stock market after announcing that it will allocate 10,000 million to shareholders</t>
  </si>
  <si>
    <t>The oil company Repsol will invest a record amount of between 16,000 and 19,000 million euros in the next four years.</t>
  </si>
  <si>
    <t>stock rise, investment plan</t>
  </si>
  <si>
    <t>subida de acciones, plan de inversiones</t>
  </si>
  <si>
    <t>Strong stock market performance following earnings releases signals positive investor sentiment.</t>
  </si>
  <si>
    <t>Bolsa, accionistas</t>
  </si>
  <si>
    <r>
      <rPr>
        <rFont val="Arial, sans-serif"/>
        <color rgb="FF1155CC"/>
        <sz val="9.0"/>
        <u/>
      </rPr>
      <t>El Periódico de la Energía</t>
    </r>
    <r>
      <rPr>
        <rFont val="Arial, sans-serif"/>
        <color rgb="FF1155CC"/>
        <sz val="15.0"/>
        <u/>
      </rPr>
      <t>Repsol producirá en Puertollano 250.000 toneladas de combustibles renovable en 2025</t>
    </r>
    <r>
      <rPr>
        <rFont val="Arial, sans-serif"/>
        <color rgb="FF1155CC"/>
        <sz val="11.0"/>
        <u/>
      </rPr>
      <t>Repsol reconvertirá una de las unidades del complejo industrial de Puertollano en una nueva planta de combustibles renovables.</t>
    </r>
    <r>
      <rPr>
        <rFont val="Arial, sans-serif"/>
        <color rgb="FF1155CC"/>
        <sz val="12.0"/>
        <u/>
      </rPr>
      <t>.</t>
    </r>
    <r>
      <rPr>
        <rFont val="Arial, sans-serif"/>
        <color rgb="FF1155CC"/>
        <sz val="11.0"/>
        <u/>
      </rPr>
      <t>22 feb 2024</t>
    </r>
  </si>
  <si>
    <t>Repsol producirá en Puertollano 250.000 toneladas de combustibles renovable en 2025</t>
  </si>
  <si>
    <t>Repsol reconvertirá una de las unidades del complejo industrial de Puertollano en una nueva planta de combustibles renovables.</t>
  </si>
  <si>
    <t>Repsol will produce 250,000 tons of renewable fuels in Puertollano in 2025</t>
  </si>
  <si>
    <t>Repsol will convert one of the units of the Puertollano industrial complex into a new renewable fuels plant.</t>
  </si>
  <si>
    <t>renewable fuels, Cartagena production</t>
  </si>
  <si>
    <t>Combustibles renovables, Producción de Cartagena</t>
  </si>
  <si>
    <t>Increasing biofuel production aligns with Repsol’s transition to greener energy.</t>
  </si>
  <si>
    <t>combustibles renovables, reconversión</t>
  </si>
  <si>
    <r>
      <rPr>
        <rFont val="Arial, sans-serif"/>
        <color rgb="FF1155CC"/>
        <sz val="9.0"/>
        <u/>
      </rPr>
      <t>Cinco Días</t>
    </r>
    <r>
      <rPr>
        <rFont val="Arial, sans-serif"/>
        <color rgb="FF1155CC"/>
        <sz val="15.0"/>
        <u/>
      </rPr>
      <t>Repsol reduce su deuda en más de 4.000 millones en los tres años de crisis energética</t>
    </r>
    <r>
      <rPr>
        <rFont val="Arial, sans-serif"/>
        <color rgb="FF1155CC"/>
        <sz val="11.0"/>
        <u/>
      </rPr>
      <t>En noviembre de 2020, cuando Repsol presentó su, hasta ayer, último plan estratégico, España contaba con ansia los días para recibir las primeras dosis de...</t>
    </r>
    <r>
      <rPr>
        <rFont val="Arial, sans-serif"/>
        <color rgb="FF1155CC"/>
        <sz val="12.0"/>
        <u/>
      </rPr>
      <t>.</t>
    </r>
    <r>
      <rPr>
        <rFont val="Arial, sans-serif"/>
        <color rgb="FF1155CC"/>
        <sz val="11.0"/>
        <u/>
      </rPr>
      <t>22 feb 2024</t>
    </r>
  </si>
  <si>
    <t>Repsol reduce su deuda en más de 4.000 millones en los tres años de crisis energética</t>
  </si>
  <si>
    <t>Repsol reduce su deuda en más de 4.000 millones en los tres años de crisis energética.</t>
  </si>
  <si>
    <t>Repsol reduces its debt by more than 4,000 million in the three years of energy crisis</t>
  </si>
  <si>
    <t>Repsol reduces its debt by more than 4,000 million in the three years of the energy crisis.</t>
  </si>
  <si>
    <t>debt reduction, financial stability</t>
  </si>
  <si>
    <t>reducción de la deuda, estabilidad financiera</t>
  </si>
  <si>
    <t>Reducing debt strengthens Repsol’s financial position and creditworthiness.</t>
  </si>
  <si>
    <t>deuda, reducir</t>
  </si>
  <si>
    <t>Positive due to debt reduction.</t>
  </si>
  <si>
    <t>Positivo por reducción de deuda.</t>
  </si>
  <si>
    <r>
      <rPr>
        <rFont val="Arial, sans-serif"/>
        <color rgb="FF1155CC"/>
        <sz val="9.0"/>
        <u/>
      </rPr>
      <t>El Español</t>
    </r>
    <r>
      <rPr>
        <rFont val="Arial, sans-serif"/>
        <color rgb="FF1155CC"/>
        <sz val="15.0"/>
        <u/>
      </rPr>
      <t>Paso clave para el desarrollo de las torres y el gran parque de Repsol: luz verde al proyecto de urbanización</t>
    </r>
    <r>
      <rPr>
        <rFont val="Arial, sans-serif"/>
        <color rgb="FF1155CC"/>
        <sz val="11.0"/>
        <u/>
      </rPr>
      <t>La Junta de Andalucía otorga autorización ambiental unificada a la operación, que incluye un parque de 70.000 metros cuadrados, así como cuatro torres de...</t>
    </r>
    <r>
      <rPr>
        <rFont val="Arial, sans-serif"/>
        <color rgb="FF1155CC"/>
        <sz val="12.0"/>
        <u/>
      </rPr>
      <t>.</t>
    </r>
    <r>
      <rPr>
        <rFont val="Arial, sans-serif"/>
        <color rgb="FF1155CC"/>
        <sz val="11.0"/>
        <u/>
      </rPr>
      <t>22 feb 2024</t>
    </r>
  </si>
  <si>
    <t>Paso clave para el desarrollo de las torres y el gran parque de Repsol: luz verde al proyecto de urbanización</t>
  </si>
  <si>
    <t>La Junta de Andalucía otorga autorización ambiental unificada a la operación, que incluye un parque de 70.000 metros cuadrados, así como cuatro torres de....</t>
  </si>
  <si>
    <t>Key step for the development of the towers and the large Repsol park: green light for the urbanization project</t>
  </si>
  <si>
    <t>The Junta de Andalucía grants unified environmental authorization to the operation, which includes a park of 70,000 square meters, as well as four towers of...</t>
  </si>
  <si>
    <t>urbanization project, El Higuerón</t>
  </si>
  <si>
    <t>proyecto de urbanización, El Higuerón</t>
  </si>
  <si>
    <t>Progress in urban development aligns with Repsol’s long-term growth strategy.</t>
  </si>
  <si>
    <t>urbanización, luz verde</t>
  </si>
  <si>
    <t>Positive due to project approval.</t>
  </si>
  <si>
    <t>Positivo por aprobación del proyecto.</t>
  </si>
  <si>
    <r>
      <rPr>
        <rFont val="Arial, sans-serif"/>
        <color rgb="FF1155CC"/>
        <sz val="9.0"/>
        <u/>
      </rPr>
      <t>Hispanidad</t>
    </r>
    <r>
      <rPr>
        <rFont val="Arial, sans-serif"/>
        <color rgb="FF1155CC"/>
        <sz val="15.0"/>
        <u/>
      </rPr>
      <t>Repsol. Al CEO de la compañía multienergética no le gusta el impuestazo y pregunta si es social aplicarlo a quien invierte y produce en España y no al de fuera</t>
    </r>
    <r>
      <rPr>
        <rFont val="Arial, sans-serif"/>
        <color rgb="FF1155CC"/>
        <sz val="11.0"/>
        <u/>
      </rPr>
      <t>Este jueves, Repsol ha dado a conocer sus resultados de 2023 (afectados por el crudo y el gas baratos, como los de la mayoría de petroleras) y su...</t>
    </r>
    <r>
      <rPr>
        <rFont val="Arial, sans-serif"/>
        <color rgb="FF1155CC"/>
        <sz val="12.0"/>
        <u/>
      </rPr>
      <t>.</t>
    </r>
    <r>
      <rPr>
        <rFont val="Arial, sans-serif"/>
        <color rgb="FF1155CC"/>
        <sz val="11.0"/>
        <u/>
      </rPr>
      <t>22 feb 2024</t>
    </r>
  </si>
  <si>
    <t>Repsol al CEO de la compañía multienergética no le gusta el impuestazo y pregunta si es social aplicarlo a quien invierte y produce en España y no al de fuera</t>
  </si>
  <si>
    <t>Al CEO de la compañía multienergética no le gusta el impuestazo y pregunta si es social aplicarlo a quien invierte y produce en España y no al de fuera.</t>
  </si>
  <si>
    <t>Repsol, the CEO of the multi-energy company, does not like the tax and asks if it is social to apply it to those who invest and produce in Spain and not to those outside</t>
  </si>
  <si>
    <t>The CEO of the multi-energy company does not like the tax and asks if it is social to apply it to those who invest and produce in Spain and not to those outside.</t>
  </si>
  <si>
    <t>sustainability commitment, CEO statement</t>
  </si>
  <si>
    <t>compromiso de sostenibilidad, declaración del CEO</t>
  </si>
  <si>
    <t>Reaffirming sustainability commitments strengthens Repsol’s environmental reputation.</t>
  </si>
  <si>
    <t>impuestazo, inversión</t>
  </si>
  <si>
    <t>Negative due to criticism of tax policy.</t>
  </si>
  <si>
    <t>Negativo por críticas a la política fiscal.</t>
  </si>
  <si>
    <r>
      <rPr>
        <rFont val="Arial, sans-serif"/>
        <color rgb="FF1155CC"/>
        <sz val="9.0"/>
        <u/>
      </rPr>
      <t>El Independiente</t>
    </r>
    <r>
      <rPr>
        <rFont val="Arial, sans-serif"/>
        <color rgb="FF1155CC"/>
        <sz val="15.0"/>
        <u/>
      </rPr>
      <t>Repsol deja en el aire la inversión de 3.000 millones en España por los 'impuestazos' de Sánchez</t>
    </r>
    <r>
      <rPr>
        <rFont val="Arial, sans-serif"/>
        <color rgb="FF1155CC"/>
        <sz val="11.0"/>
        <u/>
      </rPr>
      <t>Repsol ha actualizado su plan estratégico de cara a este año y con fecha de caducidad en 2027. La empresa dirigida por Josu Jon Imaz ha comunicado este.</t>
    </r>
    <r>
      <rPr>
        <rFont val="Arial, sans-serif"/>
        <color rgb="FF1155CC"/>
        <sz val="12.0"/>
        <u/>
      </rPr>
      <t>.</t>
    </r>
    <r>
      <rPr>
        <rFont val="Arial, sans-serif"/>
        <color rgb="FF1155CC"/>
        <sz val="11.0"/>
        <u/>
      </rPr>
      <t>22 feb 2024</t>
    </r>
  </si>
  <si>
    <t>Repsol deja en el aire la inversión de 3.000 millones en España por los 'impuestazos' de Sánchez</t>
  </si>
  <si>
    <t>Repsol ha actualizado su plan estratégico de cara a este año y con fecha de caducidad en 2027. La empresa dirigida por Josu Jon Imaz ha comunicado este..</t>
  </si>
  <si>
    <t>Repsol leaves the investment of 3,000 million in Spain in the air due to Sánchez's 'taxes'</t>
  </si>
  <si>
    <t>Repsol has updated its strategic plan for this year and with an expiration date in 2027. The company led by Josu Jon Imaz has communicated this..</t>
  </si>
  <si>
    <t>investment uncertainty, strategic plan</t>
  </si>
  <si>
    <t>incertidumbre en la inversión, plan estratégico</t>
  </si>
  <si>
    <t>Uncertainty about major investments may create instability among stakeholders.</t>
  </si>
  <si>
    <t>inversión, impuestazos</t>
  </si>
  <si>
    <r>
      <rPr>
        <rFont val="Arial, sans-serif"/>
        <color rgb="FF1155CC"/>
        <sz val="9.0"/>
        <u/>
      </rPr>
      <t>La Vanguardia</t>
    </r>
    <r>
      <rPr>
        <rFont val="Arial, sans-serif"/>
        <color rgb="FF1155CC"/>
        <sz val="15.0"/>
        <u/>
      </rPr>
      <t>Imaz percibió 3,93 millones en 2023, un 5% menos</t>
    </r>
    <r>
      <rPr>
        <rFont val="Arial, sans-serif"/>
        <color rgb="FF1155CC"/>
        <sz val="11.0"/>
        <u/>
      </rPr>
      <t>MADRID, 22 (SERVIMEDIA) El consejero delegado de Repsol, Josu Jon Imaz, percibió una remuneración de 3,93 millones de euros en 2023, lo que supuso un...</t>
    </r>
    <r>
      <rPr>
        <rFont val="Arial, sans-serif"/>
        <color rgb="FF1155CC"/>
        <sz val="12.0"/>
        <u/>
      </rPr>
      <t>.</t>
    </r>
    <r>
      <rPr>
        <rFont val="Arial, sans-serif"/>
        <color rgb="FF1155CC"/>
        <sz val="11.0"/>
        <u/>
      </rPr>
      <t>22 feb 2024</t>
    </r>
  </si>
  <si>
    <t>Imaz percibió 3,93 millones en 2023, un 5% menos</t>
  </si>
  <si>
    <t>El consejero delegado de Repsol, Josu Jon Imaz, percibió una remuneración de 3,93 millones de euros en 2023, lo que supuso un....</t>
  </si>
  <si>
    <t>Imaz received 3.93 million in 2023, 5% less</t>
  </si>
  <si>
    <t>The CEO of Repsol, Josu Jon Imaz, received a remuneration of 3.93 million euros in 2023, which represented a...</t>
  </si>
  <si>
    <r>
      <rPr>
        <rFont val="Arial, sans-serif"/>
        <color rgb="FF1155CC"/>
        <sz val="9.0"/>
        <u/>
      </rPr>
      <t>Diari de Tarragona</t>
    </r>
    <r>
      <rPr>
        <rFont val="Arial, sans-serif"/>
        <color rgb="FF1155CC"/>
        <sz val="15.0"/>
        <u/>
      </rPr>
      <t>Repsol estudia adaptar sus plantas de Tarragona a los combustibles renovables</t>
    </r>
    <r>
      <rPr>
        <rFont val="Arial, sans-serif"/>
        <color rgb="FF1155CC"/>
        <sz val="11.0"/>
        <u/>
      </rPr>
      <t>Repsol ha presentado este jueves su Actualización Estratégica 2024-2027. Con este plan, la empresa fija sus prioridades para reforzar su crecimiento y...</t>
    </r>
    <r>
      <rPr>
        <rFont val="Arial, sans-serif"/>
        <color rgb="FF1155CC"/>
        <sz val="12.0"/>
        <u/>
      </rPr>
      <t>.</t>
    </r>
    <r>
      <rPr>
        <rFont val="Arial, sans-serif"/>
        <color rgb="FF1155CC"/>
        <sz val="11.0"/>
        <u/>
      </rPr>
      <t>22 feb 2024</t>
    </r>
  </si>
  <si>
    <t>Repsol estudia adaptar sus plantas de Tarragona a los combustibles renovables</t>
  </si>
  <si>
    <t>Repsol ha presentado este jueves su Actualización Estratégica 2024-2027. Con este plan, la empresa fija sus prioridades para reforzar su crecimiento y....</t>
  </si>
  <si>
    <t>Repsol studies adapting its Tarragona plants to renewable fuels</t>
  </si>
  <si>
    <t>This Thursday, Repsol presented its 2024-2027 Strategic Update. With this plan, the company sets its priorities to reinforce its growth and....</t>
  </si>
  <si>
    <t>Tarragona plants, strategic plan</t>
  </si>
  <si>
    <t>Plantas de Tarragona, plan estratégico</t>
  </si>
  <si>
    <t>Adapting infrastructure aligns with Repsol’s long-term operational resilience.</t>
  </si>
  <si>
    <t>combustibles renovables, adaptación</t>
  </si>
  <si>
    <r>
      <rPr>
        <rFont val="Arial, sans-serif"/>
        <color rgb="FF1155CC"/>
        <sz val="9.0"/>
        <u/>
      </rPr>
      <t>El Periódico de la Energía</t>
    </r>
    <r>
      <rPr>
        <rFont val="Arial, sans-serif"/>
        <color rgb="FF1155CC"/>
        <sz val="15.0"/>
        <u/>
      </rPr>
      <t>Repsol reducirá las mismas emisiones con el diésel renovable producido en Cartagena que todos los vehículos eléctricos de España</t>
    </r>
    <r>
      <rPr>
        <rFont val="Arial, sans-serif"/>
        <color rgb="FF1155CC"/>
        <sz val="11.0"/>
        <u/>
      </rPr>
      <t>Repsol está a punto de inaugurar su planta de biocombustibles avanzados en Cartagena, la cual iniciará operaciones este mes de febrero. Este hito marca un.</t>
    </r>
    <r>
      <rPr>
        <rFont val="Arial, sans-serif"/>
        <color rgb="FF1155CC"/>
        <sz val="12.0"/>
        <u/>
      </rPr>
      <t>.</t>
    </r>
    <r>
      <rPr>
        <rFont val="Arial, sans-serif"/>
        <color rgb="FF1155CC"/>
        <sz val="11.0"/>
        <u/>
      </rPr>
      <t>22 feb 2024</t>
    </r>
  </si>
  <si>
    <t>Repsol reducirá las mismas emisiones con el diésel renovable producido en Cartagena que todos los vehículos eléctricos de España</t>
  </si>
  <si>
    <t>Repsol está a punto de inaugurar su planta de biocombustibles avanzados en Cartagena, la cual iniciará operaciones este mes de febrero. Este hito marca un..</t>
  </si>
  <si>
    <t>Repsol will reduce the same emissions with the renewable diesel produced in Cartagena as all electric vehicles in Spain</t>
  </si>
  <si>
    <t>Repsol is about to inaugurate its advanced biofuels plant in Cartagena, which will begin operations this February. This milestone marks a...</t>
  </si>
  <si>
    <t>emission reduction, biofuels plant</t>
  </si>
  <si>
    <t>reducción de emisiones, planta de biocombustibles</t>
  </si>
  <si>
    <t>Expanding biofuels production strengthens Repsol’s environmental responsibility.</t>
  </si>
  <si>
    <t>biocombustibles, emisiones</t>
  </si>
  <si>
    <t>Positive due to focus on renewable energy and emissions reduction.</t>
  </si>
  <si>
    <t>Positivo por el foco en energías renovables y reducción de emisiones.</t>
  </si>
  <si>
    <r>
      <rPr>
        <rFont val="Arial, sans-serif"/>
        <color rgb="FF1155CC"/>
        <sz val="9.0"/>
        <u/>
      </rPr>
      <t>Cadena SER</t>
    </r>
    <r>
      <rPr>
        <rFont val="Arial, sans-serif"/>
        <color rgb="FF1155CC"/>
        <sz val="15.0"/>
        <u/>
      </rPr>
      <t>Aprobada la urbanización del entorno de las torres y el parque de Repsol</t>
    </r>
    <r>
      <rPr>
        <rFont val="Arial, sans-serif"/>
        <color rgb="FF1155CC"/>
        <sz val="11.0"/>
        <u/>
      </rPr>
      <t>Málaga. La Junta de Andalucía ha aprobado al proyecto de urbanización de los terrenos de Repsol, uno de los asuntos pendientes en la tramitación urbanística...</t>
    </r>
    <r>
      <rPr>
        <rFont val="Arial, sans-serif"/>
        <color rgb="FF1155CC"/>
        <sz val="12.0"/>
        <u/>
      </rPr>
      <t>.</t>
    </r>
    <r>
      <rPr>
        <rFont val="Arial, sans-serif"/>
        <color rgb="FF1155CC"/>
        <sz val="11.0"/>
        <u/>
      </rPr>
      <t>22 feb 2024</t>
    </r>
  </si>
  <si>
    <t>Aprobada la urbanización del entorno de las torres y el parque de Repsol</t>
  </si>
  <si>
    <t>La Junta de Andalucía ha aprobado al proyecto de urbanización de los terrenos de Repsol, uno de los asuntos pendientes en la tramitación urbanística.</t>
  </si>
  <si>
    <t>Approved the urbanization of the surroundings of the towers and the Repsol park</t>
  </si>
  <si>
    <t>The Junta de Andalucía has approved the urbanization project for Repsol's land, one of the pending issues in the urban planning process.</t>
  </si>
  <si>
    <t>urbanization plan, Andalucía approval</t>
  </si>
  <si>
    <t>plan de urbanización, aprobación de Andalucía</t>
  </si>
  <si>
    <t>Urban development projects support Repsol’s long-term growth strategy.</t>
  </si>
  <si>
    <t>urbanización, aprobada</t>
  </si>
  <si>
    <r>
      <rPr>
        <rFont val="Arial, sans-serif"/>
        <color rgb="FF1155CC"/>
        <sz val="9.0"/>
        <u/>
      </rPr>
      <t>Interempresas.net</t>
    </r>
    <r>
      <rPr>
        <rFont val="Arial, sans-serif"/>
        <color rgb="FF1155CC"/>
        <sz val="15.0"/>
        <u/>
      </rPr>
      <t>Repsol inicia la "mayor" parada del Complejo Industrial de Puertollano</t>
    </r>
    <r>
      <rPr>
        <rFont val="Arial, sans-serif"/>
        <color rgb="FF1155CC"/>
        <sz val="11.0"/>
        <u/>
      </rPr>
      <t>El Complejo Industrial de Repsol en Puertollano se prepara para llevar a cabo una parada plurianual programada a partir de marzo, con el objetivo de...</t>
    </r>
    <r>
      <rPr>
        <rFont val="Arial, sans-serif"/>
        <color rgb="FF1155CC"/>
        <sz val="12.0"/>
        <u/>
      </rPr>
      <t>.</t>
    </r>
    <r>
      <rPr>
        <rFont val="Arial, sans-serif"/>
        <color rgb="FF1155CC"/>
        <sz val="11.0"/>
        <u/>
      </rPr>
      <t>22 feb 2024</t>
    </r>
  </si>
  <si>
    <t>Repsol inicia la "mayor" parada del Complejo Industrial de Puertollano</t>
  </si>
  <si>
    <t>El Complejo Industrial de Repsol en Puertollano se prepara para llevar a cabo una parada plurianual programada a partir de marzo, con el objetivo de....</t>
  </si>
  <si>
    <t>Repsol begins the "largest" stoppage of the Puertollano Industrial Complex</t>
  </si>
  <si>
    <t>The Repsol Industrial Complex in Puertollano is preparing to carry out a multi-year shutdown scheduled to begin in March, with the aim of...</t>
  </si>
  <si>
    <t>Puertollano stoppage, maintenance work</t>
  </si>
  <si>
    <t>Parada de Puertollano, trabajos de mantenimiento</t>
  </si>
  <si>
    <t>Investing in maintenance ensures long-term operational efficiency.</t>
  </si>
  <si>
    <t>parada, mantenimiento</t>
  </si>
  <si>
    <r>
      <rPr>
        <rFont val="Arial, sans-serif"/>
        <color rgb="FF1155CC"/>
        <sz val="9.0"/>
        <u/>
      </rPr>
      <t>La Razón</t>
    </r>
    <r>
      <rPr>
        <rFont val="Arial, sans-serif"/>
        <color rgb="FF1155CC"/>
        <sz val="15.0"/>
        <u/>
      </rPr>
      <t>Repsol reitera al Gobierno que debe replantearse el "impuestazo" porque "las inversiones pueden</t>
    </r>
    <r>
      <rPr>
        <rFont val="Arial, sans-serif"/>
        <color rgb="FF1155CC"/>
        <sz val="11.0"/>
        <u/>
      </rPr>
      <t>El consejero delegado de Repsol se mostró optimista ante el giro de Sánchez y la UE, y aseguró que están abiertos al diálogo para replantear el gravamen,...</t>
    </r>
    <r>
      <rPr>
        <rFont val="Arial, sans-serif"/>
        <color rgb="FF1155CC"/>
        <sz val="12.0"/>
        <u/>
      </rPr>
      <t>.</t>
    </r>
    <r>
      <rPr>
        <rFont val="Arial, sans-serif"/>
        <color rgb="FF1155CC"/>
        <sz val="11.0"/>
        <u/>
      </rPr>
      <t>22 feb 2024</t>
    </r>
  </si>
  <si>
    <t>Repsol reitera al Gobierno que debe replantearse el "impuestazo" porque "las inversiones pueden"</t>
  </si>
  <si>
    <t>"El consejero delegado de Repsol se mostró optimista ante el giro de Sánchez y la UE, y aseguró que están abiertos al diálogo para replantear el gravamen,..."</t>
  </si>
  <si>
    <t>Repsol reiterates to the Government that it must rethink the "tax" because "investments can"</t>
  </si>
  <si>
    <t>"The CEO of Repsol was optimistic about the turn of Sánchez and the EU, and assured that they are open to dialogue to reconsider the tax,..."</t>
  </si>
  <si>
    <t>investment incentives, government taxation</t>
  </si>
  <si>
    <t>incentivos a la inversión, impuestos gubernamentales</t>
  </si>
  <si>
    <t>Lobbying for tax improvements supports Repsol’s investment strategy.</t>
  </si>
  <si>
    <t>impuestazo, inversiones</t>
  </si>
  <si>
    <r>
      <rPr>
        <rFont val="Arial, sans-serif"/>
        <color rgb="FF1155CC"/>
        <sz val="9.0"/>
        <u/>
      </rPr>
      <t>Murciadiario</t>
    </r>
    <r>
      <rPr>
        <rFont val="Arial, sans-serif"/>
        <color rgb="FF1155CC"/>
        <sz val="15.0"/>
        <u/>
      </rPr>
      <t>Repsol reforzará la competitividad del complejo industrial de Cartagena</t>
    </r>
    <r>
      <rPr>
        <rFont val="Arial, sans-serif"/>
        <color rgb="FF1155CC"/>
        <sz val="11.0"/>
        <u/>
      </rPr>
      <t>Repsol ha presentado este jueves su Actualización Estratégica 2024-2027. En este plan, la compañía fija sus prioridades para los próximos cuatro años para...</t>
    </r>
    <r>
      <rPr>
        <rFont val="Arial, sans-serif"/>
        <color rgb="FF1155CC"/>
        <sz val="12.0"/>
        <u/>
      </rPr>
      <t>.</t>
    </r>
    <r>
      <rPr>
        <rFont val="Arial, sans-serif"/>
        <color rgb="FF1155CC"/>
        <sz val="11.0"/>
        <u/>
      </rPr>
      <t>22 feb 2024</t>
    </r>
  </si>
  <si>
    <t>Murciadiario</t>
  </si>
  <si>
    <t>Repsol reforzará la competitividad del complejo industrial de Cartagena</t>
  </si>
  <si>
    <t>Repsol ha presentado este jueves su Actualización Estratégica 2024-2027. En este plan, la compañía fija sus prioridades para los próximos cuatro años para....</t>
  </si>
  <si>
    <t>Repsol will strengthen the competitiveness of the Cartagena industrial complex</t>
  </si>
  <si>
    <t>This Thursday, Repsol presented its 2024-2027 Strategic Update. In this plan, the company sets its priorities for the next four years to...</t>
  </si>
  <si>
    <t>refinery competitiveness, strategic plan</t>
  </si>
  <si>
    <t>competitividad de refinería, plan estratégico</t>
  </si>
  <si>
    <t>Strengthening refinery efficiency aligns with Repsol’s industrial competitiveness.</t>
  </si>
  <si>
    <t>competitividad, complejo industrial</t>
  </si>
  <si>
    <t>Positive due to focus on competitiveness.</t>
  </si>
  <si>
    <t>Positivo por el foco en la competitividad.</t>
  </si>
  <si>
    <r>
      <rPr>
        <rFont val="Arial, sans-serif"/>
        <color rgb="FF1155CC"/>
        <sz val="9.0"/>
        <u/>
      </rPr>
      <t>Diario de Pontevedra</t>
    </r>
    <r>
      <rPr>
        <rFont val="Arial, sans-serif"/>
        <color rgb="FF1155CC"/>
        <sz val="15.0"/>
        <u/>
      </rPr>
      <t>Costas da por "finiquitada" la gasolinera de Repsol en O Burgo</t>
    </r>
    <r>
      <rPr>
        <rFont val="Arial, sans-serif"/>
        <color rgb="FF1155CC"/>
        <sz val="11.0"/>
        <u/>
      </rPr>
      <t>El Concello quiere conservar parte de la estación de servicio para darle usos públicos e incorporar parte de la instalación a la plaza del puente medieval.</t>
    </r>
    <r>
      <rPr>
        <rFont val="Arial, sans-serif"/>
        <color rgb="FF1155CC"/>
        <sz val="12.0"/>
        <u/>
      </rPr>
      <t>.</t>
    </r>
    <r>
      <rPr>
        <rFont val="Arial, sans-serif"/>
        <color rgb="FF1155CC"/>
        <sz val="11.0"/>
        <u/>
      </rPr>
      <t>22 feb 2024</t>
    </r>
  </si>
  <si>
    <t>Costas da por "finiquitada" la gasolinera de Repsol en O Burgo</t>
  </si>
  <si>
    <t>El Concello quiere conservar parte de la estación de servicio para darle usos públicos e incorporar parte de la instalación a la plaza del puente medieval.</t>
  </si>
  <si>
    <t>Costas considers the Repsol gas station in O Burgo "finished"</t>
  </si>
  <si>
    <t>The City Council wants to preserve part of the service station to give it public uses and incorporate part of the facility into the medieval bridge plaza.</t>
  </si>
  <si>
    <t>gas station dispute, O Burgo</t>
  </si>
  <si>
    <t>Disputa de gasolineras, O Burgo</t>
  </si>
  <si>
    <t>Legal disputes over land use may impact Repsol’s local operations.</t>
  </si>
  <si>
    <t>gasolinera, finiquitada</t>
  </si>
  <si>
    <t>Slightly negative due to closure of gas station.</t>
  </si>
  <si>
    <t>Ligeramente negativo por cierre de gasolinera.</t>
  </si>
  <si>
    <r>
      <rPr>
        <rFont val="Arial, sans-serif"/>
        <color rgb="FF1155CC"/>
        <sz val="9.0"/>
        <u/>
      </rPr>
      <t>Estrategias de Inversión</t>
    </r>
    <r>
      <rPr>
        <rFont val="Arial, sans-serif"/>
        <color rgb="FF1155CC"/>
        <sz val="15.0"/>
        <u/>
      </rPr>
      <t>Repsol se dispara en Bolsa: ¿Es momento de comprar?</t>
    </r>
    <r>
      <rPr>
        <rFont val="Arial, sans-serif"/>
        <color rgb="FF1155CC"/>
        <sz val="11.0"/>
        <u/>
      </rPr>
      <t>Las acciones de Repsol activan en la apertura de hoy un objetivo alcista de un 9% tras la ruptura de su canal lateral.</t>
    </r>
    <r>
      <rPr>
        <rFont val="Arial, sans-serif"/>
        <color rgb="FF1155CC"/>
        <sz val="12.0"/>
        <u/>
      </rPr>
      <t>.</t>
    </r>
    <r>
      <rPr>
        <rFont val="Arial, sans-serif"/>
        <color rgb="FF1155CC"/>
        <sz val="11.0"/>
        <u/>
      </rPr>
      <t>22 feb 2024</t>
    </r>
  </si>
  <si>
    <t>Repsol se dispara en Bolsa: ¿Es momento de comprar?</t>
  </si>
  <si>
    <t>Las acciones de Repsol activan en la apertura de hoy un objetivo alcista de un 9% tras la ruptura de su canal lateral.</t>
  </si>
  <si>
    <t>Repsol soars on the stock market: Is it time to buy?</t>
  </si>
  <si>
    <t>At today's opening, Repsol shares activate a bullish target of 9% after the breakout of its lateral channel.</t>
  </si>
  <si>
    <t>stock market rise, investment opportunity</t>
  </si>
  <si>
    <t>subida del mercado de valores, oportunidad de inversión</t>
  </si>
  <si>
    <t>Bolsa, comprar</t>
  </si>
  <si>
    <r>
      <rPr>
        <rFont val="Arial, sans-serif"/>
        <color rgb="FF1155CC"/>
        <sz val="9.0"/>
        <u/>
      </rPr>
      <t>Bolsamania</t>
    </r>
    <r>
      <rPr>
        <rFont val="Arial, sans-serif"/>
        <color rgb="FF1155CC"/>
        <sz val="15.0"/>
        <u/>
      </rPr>
      <t>Repsol pagará un dividendo de 0,5 euros en julio y recomprará 35 millones de acciones</t>
    </r>
    <r>
      <rPr>
        <rFont val="Arial, sans-serif"/>
        <color rgb="FF1155CC"/>
        <sz val="11.0"/>
        <u/>
      </rPr>
      <t>Repsol ha anunciado este jueves importantes novedades para sus accionistas. La compañía energética pagará un dividendo de 0,5 euros brutos por acción,...</t>
    </r>
    <r>
      <rPr>
        <rFont val="Arial, sans-serif"/>
        <color rgb="FF1155CC"/>
        <sz val="12.0"/>
        <u/>
      </rPr>
      <t>.</t>
    </r>
    <r>
      <rPr>
        <rFont val="Arial, sans-serif"/>
        <color rgb="FF1155CC"/>
        <sz val="11.0"/>
        <u/>
      </rPr>
      <t>22 feb 2024</t>
    </r>
  </si>
  <si>
    <t>Repsol pagará un dividendo de 0,5 euros en julio y recomprará 35 millones de acciones</t>
  </si>
  <si>
    <t>Repsol ha anunciado este jueves importantes novedades para sus accionistas. La compañía energética pagará un dividendo de 0,5 euros brutos por acción,....</t>
  </si>
  <si>
    <t>Repsol will pay a dividend of 0.5 euros in July and will buy back 35 million shares</t>
  </si>
  <si>
    <t>This Thursday, Repsol announced important news for its shareholders. The energy company will pay a dividend of 0.5 euros gross per share,....</t>
  </si>
  <si>
    <t>dividend payout, shareholder returns</t>
  </si>
  <si>
    <t>pago de dividendos, retorno para los accionistas</t>
  </si>
  <si>
    <t>Dividend payouts reinforce investor confidence in Repsol’s financial strategy.</t>
  </si>
  <si>
    <t>dividendo, recomprar</t>
  </si>
  <si>
    <r>
      <rPr>
        <rFont val="Arial, sans-serif"/>
        <color rgb="FF1155CC"/>
        <sz val="9.0"/>
        <u/>
      </rPr>
      <t>Cadena SER</t>
    </r>
    <r>
      <rPr>
        <rFont val="Arial, sans-serif"/>
        <color rgb="FF1155CC"/>
        <sz val="15.0"/>
        <u/>
      </rPr>
      <t>La plataforma Xustiza para Unai denuncia que no hay avances en la investigación dos años después de su muerte</t>
    </r>
    <r>
      <rPr>
        <rFont val="Arial, sans-serif"/>
        <color rgb="FF1155CC"/>
        <sz val="11.0"/>
        <u/>
      </rPr>
      <t>El lunes continuarán las declaraciones judiciales. El informe del comité de seguridad concluyó que que Unai realizó la maniobra que produjo el accidente por...</t>
    </r>
    <r>
      <rPr>
        <rFont val="Arial, sans-serif"/>
        <color rgb="FF1155CC"/>
        <sz val="12.0"/>
        <u/>
      </rPr>
      <t>.</t>
    </r>
    <r>
      <rPr>
        <rFont val="Arial, sans-serif"/>
        <color rgb="FF1155CC"/>
        <sz val="11.0"/>
        <u/>
      </rPr>
      <t>22 feb 2024</t>
    </r>
  </si>
  <si>
    <t>La plataforma Xustiza para Unai denuncia que no hay avances en la investigación dos años después de su muerte</t>
  </si>
  <si>
    <t>La plataforma Xustiza para Unai denuncia que no hay avances en la investigación dos años después de su muerte. El lunes continuarán las declaraciones judiciales. El informe del comité de seguridad concluyó que Unai realizó la maniobra que produjo el accidente por....</t>
  </si>
  <si>
    <t>The Xustiza platform for Unai denounces that there is no progress in the investigation two years after his death</t>
  </si>
  <si>
    <t>The Xustiza platform for Unai denounces that there is no progress in the investigation two years after his death. The judicial statements will continue on Monday. The safety committee report concluded that Unai carried out the maneuver that caused the accident because...</t>
  </si>
  <si>
    <r>
      <rPr>
        <rFont val="Arial, sans-serif"/>
        <color rgb="FF1155CC"/>
        <sz val="9.0"/>
        <u/>
      </rPr>
      <t>El Mundo</t>
    </r>
    <r>
      <rPr>
        <rFont val="Arial, sans-serif"/>
        <color rgb="FF1155CC"/>
        <sz val="15.0"/>
        <u/>
      </rPr>
      <t>El valor en Bolsa de Nvidia se dispara el equivalente al de Inditex, Santander y Repsol juntos</t>
    </r>
    <r>
      <rPr>
        <rFont val="Arial, sans-serif"/>
        <color rgb="FF1155CC"/>
        <sz val="11.0"/>
        <u/>
      </rPr>
      <t>Una de las frases que quedaron de la fiebre del oro de California es que quienes hicieron más dinero no fueron los buscadores de oro, sino los vendedores de...</t>
    </r>
    <r>
      <rPr>
        <rFont val="Arial, sans-serif"/>
        <color rgb="FF1155CC"/>
        <sz val="12.0"/>
        <u/>
      </rPr>
      <t>.</t>
    </r>
    <r>
      <rPr>
        <rFont val="Arial, sans-serif"/>
        <color rgb="FF1155CC"/>
        <sz val="11.0"/>
        <u/>
      </rPr>
      <t>22 feb 2024</t>
    </r>
  </si>
  <si>
    <t>El valor en Bolsa de Nvidia se dispara el equivalente al de Inditex, Santander y Repsol juntos</t>
  </si>
  <si>
    <t>Una de las frases que quedaron de la fiebre del oro de California es que quienes hicieron más dinero no fueron los buscadores de oro, sino los vendedores de....</t>
  </si>
  <si>
    <t>Nvidia's stock market value skyrockets, equivalent to that of Inditex, Santander and Repsol combined</t>
  </si>
  <si>
    <t>One of the phrases that remained from the California gold rush is that those who made the most money were not the gold seekers, but the sellers of...</t>
  </si>
  <si>
    <r>
      <rPr>
        <rFont val="Arial, sans-serif"/>
        <color rgb="FF1155CC"/>
        <sz val="9.0"/>
        <u/>
      </rPr>
      <t>El Mundo</t>
    </r>
    <r>
      <rPr>
        <rFont val="Arial, sans-serif"/>
        <color rgb="FF1155CC"/>
        <sz val="15.0"/>
        <u/>
      </rPr>
      <t>¿Se ha convertido el talento en el campo de batalla de las empresas?</t>
    </r>
    <r>
      <rPr>
        <rFont val="Arial, sans-serif"/>
        <color rgb="FF1155CC"/>
        <sz val="11.0"/>
        <u/>
      </rPr>
      <t>Si algo está girando sutilmente (o no tanto) en nuestra forma de entender la economía, el talento es su punto de apoyo. Las empresas se están dando cuenta y...</t>
    </r>
    <r>
      <rPr>
        <rFont val="Arial, sans-serif"/>
        <color rgb="FF1155CC"/>
        <sz val="12.0"/>
        <u/>
      </rPr>
      <t>.</t>
    </r>
    <r>
      <rPr>
        <rFont val="Arial, sans-serif"/>
        <color rgb="FF1155CC"/>
        <sz val="11.0"/>
        <u/>
      </rPr>
      <t>22 feb 2024</t>
    </r>
  </si>
  <si>
    <t>¿Se ha convertido el talento en el campo de batalla de las empresas?</t>
  </si>
  <si>
    <t>Si algo está girando sutilmente (o no tanto) en nuestra forma de entender la economía, el talento es su punto de apoyo. Las empresas se están dando cuenta y....</t>
  </si>
  <si>
    <t>Has talent become the battlefield for companies?</t>
  </si>
  <si>
    <t>If something is turning subtly (or not so subtly) in our way of understanding the economy, talent is its fulcrum. Companies are realizing and...</t>
  </si>
  <si>
    <r>
      <rPr>
        <rFont val="Arial, sans-serif"/>
        <color rgb="FF1155CC"/>
        <sz val="9.0"/>
        <u/>
      </rPr>
      <t>MarketingNews</t>
    </r>
    <r>
      <rPr>
        <rFont val="Arial, sans-serif"/>
        <color rgb="FF1155CC"/>
        <sz val="15.0"/>
        <u/>
      </rPr>
      <t>Estos son los directores de marketing más influyentes en LinkedIn en 2023</t>
    </r>
    <r>
      <rPr>
        <rFont val="Arial, sans-serif"/>
        <color rgb="FF1155CC"/>
        <sz val="11.0"/>
        <u/>
      </rPr>
      <t>Epsilon Technologies ha analizado la actividad de 225 directivos de los sectores de Gran Consumo, Retail, IBEX35, Banca, Seguros, Moda, Automóvil y Belleza...</t>
    </r>
    <r>
      <rPr>
        <rFont val="Arial, sans-serif"/>
        <color rgb="FF1155CC"/>
        <sz val="12.0"/>
        <u/>
      </rPr>
      <t>.</t>
    </r>
    <r>
      <rPr>
        <rFont val="Arial, sans-serif"/>
        <color rgb="FF1155CC"/>
        <sz val="11.0"/>
        <u/>
      </rPr>
      <t>22 feb 2024</t>
    </r>
  </si>
  <si>
    <t>Estos son los directores de marketing más influyentes en LinkedIn en 2023</t>
  </si>
  <si>
    <t>Epsilon Technologies ha analizado la actividad de 225 directivos de los sectores de Gran Consumo, Retail, IBEX35, Banca, Seguros, Moda, Automóvil y Belleza....</t>
  </si>
  <si>
    <t>These are the most influential marketing directors on LinkedIn in 2023</t>
  </si>
  <si>
    <t>Epsilon Technologies has analyzed the activity of 225 executives from the FMCG, Retail, IBEX35, Banking, Insurance, Fashion, Automobile and Beauty sectors....</t>
  </si>
  <si>
    <r>
      <rPr>
        <rFont val="Arial, sans-serif"/>
        <color rgb="FF1155CC"/>
        <sz val="9.0"/>
        <u/>
      </rPr>
      <t>El Economista</t>
    </r>
    <r>
      <rPr>
        <rFont val="Arial, sans-serif"/>
        <color rgb="FF1155CC"/>
        <sz val="15.0"/>
        <u/>
      </rPr>
      <t>Beneficio de Repsol cayó 25% en 2023 por volatilidad de los precios del petróleo</t>
    </r>
    <r>
      <rPr>
        <rFont val="Arial, sans-serif"/>
        <color rgb="FF1155CC"/>
        <sz val="11.0"/>
        <u/>
      </rPr>
      <t>Los beneficios de la empresa energética española Repsol se redujeron un 25% en 2023, por la volatilidad de los precios del petróleo e inversiones realizadas...</t>
    </r>
    <r>
      <rPr>
        <rFont val="Arial, sans-serif"/>
        <color rgb="FF1155CC"/>
        <sz val="12.0"/>
        <u/>
      </rPr>
      <t>.</t>
    </r>
    <r>
      <rPr>
        <rFont val="Arial, sans-serif"/>
        <color rgb="FF1155CC"/>
        <sz val="11.0"/>
        <u/>
      </rPr>
      <t>22 feb 2024</t>
    </r>
  </si>
  <si>
    <t>Beneficio de Repsol cayó 25% en 2023 por volatilidad de los precios del petróleo</t>
  </si>
  <si>
    <t>Los beneficios de la empresa energética española Repsol se redujeron un 25% en 2023, por la volatilidad de los precios del petróleo e inversiones realizadas.</t>
  </si>
  <si>
    <t>Repsol's profit fell 25% in 2023 due to volatility in oil prices</t>
  </si>
  <si>
    <t>The profits of the Spanish energy company Repsol were reduced by 25% in 2023, due to the volatility of oil prices and investments made.</t>
  </si>
  <si>
    <t>profit decline, oil price volatility</t>
  </si>
  <si>
    <t>disminución de beneficios, volatilidad del precio del petróleo</t>
  </si>
  <si>
    <t>Lower profits due to oil price volatility may impact investor sentiment.</t>
  </si>
  <si>
    <t>beneficio, volatilidad</t>
  </si>
  <si>
    <r>
      <rPr>
        <rFont val="Arial, sans-serif"/>
        <color rgb="FF1155CC"/>
        <sz val="9.0"/>
        <u/>
      </rPr>
      <t>fxmag es</t>
    </r>
    <r>
      <rPr>
        <rFont val="Arial, sans-serif"/>
        <color rgb="FF1155CC"/>
        <sz val="15.0"/>
        <u/>
      </rPr>
      <t>Iberdrola, Repsol, Telefonica: logran un fuerte desempeño en 2023, con mayores ingresos y ventas netos</t>
    </r>
    <r>
      <rPr>
        <rFont val="Arial, sans-serif"/>
        <color rgb="FF1155CC"/>
        <sz val="11.0"/>
        <u/>
      </rPr>
      <t>Presentamos un comentario sobre los resultados presentados este jueves por Telefónica, Repsol e Iberdrola. Javier Molina, analista senior de mercados para...</t>
    </r>
    <r>
      <rPr>
        <rFont val="Arial, sans-serif"/>
        <color rgb="FF1155CC"/>
        <sz val="12.0"/>
        <u/>
      </rPr>
      <t>.</t>
    </r>
    <r>
      <rPr>
        <rFont val="Arial, sans-serif"/>
        <color rgb="FF1155CC"/>
        <sz val="11.0"/>
        <u/>
      </rPr>
      <t>22 feb 2024</t>
    </r>
  </si>
  <si>
    <t>FXMag</t>
  </si>
  <si>
    <t>Iberdrola, Repsol, Telefonica: logran un fuerte desempeño en 2023, con mayores ingresos y ventas netos</t>
  </si>
  <si>
    <t>Presentamos un comentario sobre los resultados presentados este jueves por Telefónica, Repsol e Iberdrola. Javier Molina, analista senior de mercados para....</t>
  </si>
  <si>
    <t>Iberdrola, Repsol, Telefonica: achieve strong performance in 2023, with higher net income and sales</t>
  </si>
  <si>
    <t>We present a comment on the results presented this Thursday by Telefónica, Repsol and Iberdrola. Javier Molina, senior market analyst for....</t>
  </si>
  <si>
    <t>stock market gains, Repsol performance</t>
  </si>
  <si>
    <t>Ganancias bursátiles, Evolución de Repsol</t>
  </si>
  <si>
    <t>Positive stock performance signals strong investor confidence in Repsol.</t>
  </si>
  <si>
    <t>desempeño, ingresos</t>
  </si>
  <si>
    <r>
      <rPr>
        <rFont val="Arial, sans-serif"/>
        <color rgb="FF1155CC"/>
        <sz val="9.0"/>
        <u/>
      </rPr>
      <t>Diario Público</t>
    </r>
    <r>
      <rPr>
        <rFont val="Arial, sans-serif"/>
        <color rgb="FF1155CC"/>
        <sz val="15.0"/>
        <u/>
      </rPr>
      <t>Repsol gana 3.168 millones en 2023, un 25,5 % menos por la bajada del precio del crudo y el gas</t>
    </r>
    <r>
      <rPr>
        <rFont val="Arial, sans-serif"/>
        <color rgb="FF1155CC"/>
        <sz val="11.0"/>
        <u/>
      </rPr>
      <t>La petrolera Repsol obtuvo un beneficio neto de 3.168 millones de euros en 2023, un 25,5 % menos que el ejercicio anterior, por los menores precios del...</t>
    </r>
    <r>
      <rPr>
        <rFont val="Arial, sans-serif"/>
        <color rgb="FF1155CC"/>
        <sz val="12.0"/>
        <u/>
      </rPr>
      <t>.</t>
    </r>
    <r>
      <rPr>
        <rFont val="Arial, sans-serif"/>
        <color rgb="FF1155CC"/>
        <sz val="11.0"/>
        <u/>
      </rPr>
      <t>23 feb 2024</t>
    </r>
  </si>
  <si>
    <t>Repsol gana 3.168 millones en 2023, un 25,5 % menos por la bajada del precio del crudo y el gas</t>
  </si>
  <si>
    <t>La petrolera Repsol obtuvo un beneficio neto de 3.168 millones de euros en 2023, un 25,5 % menos que el ejercicio anterior, por los menores precios del....</t>
  </si>
  <si>
    <t>Repsol earns 3,168 million in 2023, 25.5% less due to the drop in the price of crude oil and gas</t>
  </si>
  <si>
    <t>The oil company Repsol obtained a net profit of 3,168 million euros in 2023, 25.5% less than the previous year, due to lower oil prices....</t>
  </si>
  <si>
    <t>profit decline, 2023 earnings</t>
  </si>
  <si>
    <t>disminución de beneficios, beneficios de 2023</t>
  </si>
  <si>
    <t>Profit declines may concern investors despite overall strong financials.</t>
  </si>
  <si>
    <r>
      <rPr>
        <rFont val="Arial, sans-serif"/>
        <color rgb="FF1155CC"/>
        <sz val="9.0"/>
        <u/>
      </rPr>
      <t>Cinco Días</t>
    </r>
    <r>
      <rPr>
        <rFont val="Arial, sans-serif"/>
        <color rgb="FF1155CC"/>
        <sz val="15.0"/>
        <u/>
      </rPr>
      <t>Repsol se anota el tercer mayor beneficio de su historia sin extraordinarios</t>
    </r>
    <r>
      <rPr>
        <rFont val="Arial, sans-serif"/>
        <color rgb="FF1155CC"/>
        <sz val="11.0"/>
        <u/>
      </rPr>
      <t>La mayor petrolera española, Repsol, se anotó un beneficio de 3.168 millones de euros en 2023. Pese a la caída del 25,5% respecto al histórico 2022, en el...</t>
    </r>
    <r>
      <rPr>
        <rFont val="Arial, sans-serif"/>
        <color rgb="FF1155CC"/>
        <sz val="12.0"/>
        <u/>
      </rPr>
      <t>.</t>
    </r>
    <r>
      <rPr>
        <rFont val="Arial, sans-serif"/>
        <color rgb="FF1155CC"/>
        <sz val="11.0"/>
        <u/>
      </rPr>
      <t>23 feb 2024</t>
    </r>
  </si>
  <si>
    <t>Repsol se anota el tercer mayor beneficio de su historia sin extraordinarios</t>
  </si>
  <si>
    <t>La mayor petrolera española, Repsol, se anotó un beneficio de 3.168 millones de euros en 2023. Pese a la caída del 25,5% respecto al histórico 2022, en el....</t>
  </si>
  <si>
    <t>Repsol scores the third largest profit in its history without extraordinary</t>
  </si>
  <si>
    <t>The largest Spanish oil company, Repsol, recorded a profit of 3,168 million euros in 2023. Despite the 25.5% drop compared to the historic 2022, in...</t>
  </si>
  <si>
    <t>high profit, financial results</t>
  </si>
  <si>
    <t>altas ganancias, resultados financieros</t>
  </si>
  <si>
    <t>Despite lower profits, strong financial performance maintains investor confidence.</t>
  </si>
  <si>
    <t>beneficio, histórico</t>
  </si>
  <si>
    <t>Neutral to positive due to historical performance.</t>
  </si>
  <si>
    <t>De neutral a positivo debido al desempeño histórico.</t>
  </si>
  <si>
    <r>
      <rPr>
        <rFont val="Arial, sans-serif"/>
        <color rgb="FF1155CC"/>
        <sz val="9.0"/>
        <u/>
      </rPr>
      <t>Capital Radio</t>
    </r>
    <r>
      <rPr>
        <rFont val="Arial, sans-serif"/>
        <color rgb="FF1155CC"/>
        <sz val="15.0"/>
        <u/>
      </rPr>
      <t>El cable de alta tensión de Repsol que desnuda la transición</t>
    </r>
    <r>
      <rPr>
        <rFont val="Arial, sans-serif"/>
        <color rgb="FF1155CC"/>
        <sz val="11.0"/>
        <u/>
      </rPr>
      <t>CEO Repsol muestra cable de alta tensión fabricado en España con materiales derivados de petróleo y plantea si es social discriminar a quien invierte.</t>
    </r>
    <r>
      <rPr>
        <rFont val="Arial, sans-serif"/>
        <color rgb="FF1155CC"/>
        <sz val="12.0"/>
        <u/>
      </rPr>
      <t>.</t>
    </r>
    <r>
      <rPr>
        <rFont val="Arial, sans-serif"/>
        <color rgb="FF1155CC"/>
        <sz val="11.0"/>
        <u/>
      </rPr>
      <t>23 feb 2024</t>
    </r>
  </si>
  <si>
    <t>El cable de alta tensión de Repsol que desnuda la transición</t>
  </si>
  <si>
    <t>El cable de alta tensión de Repsol que desnuda la transición. CEO Repsol muestra cable de alta tensión fabricado en España con materiales derivados de petróleo y plantea si es social discriminar a quien invierte.</t>
  </si>
  <si>
    <t>Repsol's high-tension cable that exposes the transition</t>
  </si>
  <si>
    <t>The Repsol high-tension cable that exposes the transition. CEO Repsol shows high voltage cable manufactured in Spain with materials derived from petroleum and asks if it is social to discriminate against those who invest.</t>
  </si>
  <si>
    <t>high-tension cable, A Coruña</t>
  </si>
  <si>
    <t>cable de alta tensión, A Coruña</t>
  </si>
  <si>
    <t>Potential infrastructure issues may raise concerns about energy reliability.</t>
  </si>
  <si>
    <t>transición, cable de alta tensión</t>
  </si>
  <si>
    <r>
      <rPr>
        <rFont val="Arial, sans-serif"/>
        <color rgb="FF1155CC"/>
        <sz val="9.0"/>
        <u/>
      </rPr>
      <t>Expansión</t>
    </r>
    <r>
      <rPr>
        <rFont val="Arial, sans-serif"/>
        <color rgb="FF1155CC"/>
        <sz val="15.0"/>
        <u/>
      </rPr>
      <t>Repsol venderá 9.000 millones en activos para dar dividendos récord</t>
    </r>
    <r>
      <rPr>
        <rFont val="Arial, sans-serif"/>
        <color rgb="FF1155CC"/>
        <sz val="11.0"/>
        <u/>
      </rPr>
      <t>Josu Jon Imaz, primer ejecutivo de Repsol, dijo ayer a los inversores que le gustaría ser el consejero delegado (CEO) "más aburrido" del mundo.</t>
    </r>
    <r>
      <rPr>
        <rFont val="Arial, sans-serif"/>
        <color rgb="FF1155CC"/>
        <sz val="12.0"/>
        <u/>
      </rPr>
      <t>.</t>
    </r>
    <r>
      <rPr>
        <rFont val="Arial, sans-serif"/>
        <color rgb="FF1155CC"/>
        <sz val="11.0"/>
        <u/>
      </rPr>
      <t>23 feb 2024</t>
    </r>
  </si>
  <si>
    <t>Repsol venderá 9.000 millones en activos para dar dividendos récord</t>
  </si>
  <si>
    <t>Josu Jon Imaz, primer ejecutivo de Repsol, dijo ayer a los inversores que le gustaría ser el consejero delegado (CEO) "más aburrido" del mundo.</t>
  </si>
  <si>
    <t>Repsol will sell 9,000 million in assets to give record dividends</t>
  </si>
  <si>
    <t>Josu Jon Imaz, Repsol's chief executive, told investors yesterday that he would like to be the "most boring" CEO in the world.</t>
  </si>
  <si>
    <t>asset sale, shareholder returns</t>
  </si>
  <si>
    <t>venta de activos, rendimiento para los accionistas</t>
  </si>
  <si>
    <t>Selling assets to improve shareholder returns aligns with Repsol’s capital strategy.</t>
  </si>
  <si>
    <t>activos, dividendos</t>
  </si>
  <si>
    <r>
      <rPr>
        <rFont val="Arial, sans-serif"/>
        <color rgb="FF1155CC"/>
        <sz val="9.0"/>
        <u/>
      </rPr>
      <t>El Español</t>
    </r>
    <r>
      <rPr>
        <rFont val="Arial, sans-serif"/>
        <color rgb="FF1155CC"/>
        <sz val="15.0"/>
        <u/>
      </rPr>
      <t>Así es el gran parque que Málaga dibuja en los suelos de Repsol: lago, auditorio, pistas deportivas…</t>
    </r>
    <r>
      <rPr>
        <rFont val="Arial, sans-serif"/>
        <color rgb="FF1155CC"/>
        <sz val="11.0"/>
        <u/>
      </rPr>
      <t>El proyecto de urbanización del sector reserva unos 70.000 metros cuadrados para zona verde, donde se generan zonas de estancia y disfrute.</t>
    </r>
    <r>
      <rPr>
        <rFont val="Arial, sans-serif"/>
        <color rgb="FF1155CC"/>
        <sz val="12.0"/>
        <u/>
      </rPr>
      <t>.</t>
    </r>
    <r>
      <rPr>
        <rFont val="Arial, sans-serif"/>
        <color rgb="FF1155CC"/>
        <sz val="11.0"/>
        <u/>
      </rPr>
      <t>23 feb 2024</t>
    </r>
  </si>
  <si>
    <t>Así es el gran parque que Málaga dibuja en los suelos de Repsol: lago, auditorio, pistas deportivas…</t>
  </si>
  <si>
    <t>El proyecto de urbanización del sector reserva unos 70.000 metros cuadrados para zona verde, donde se generan zonas de estancia y disfrute.</t>
  </si>
  <si>
    <t>This is the great park that Málaga draws on Repsol's floors: lake, auditorium, sports courts...</t>
  </si>
  <si>
    <t>The urbanization project for the sector reserves about 70,000 square meters for green areas, where areas of stay and enjoyment are generated.</t>
  </si>
  <si>
    <t>Urban Development</t>
  </si>
  <si>
    <t>Repsol land, Málaga park</t>
  </si>
  <si>
    <t>Tierra Repsol, Parque Málaga</t>
  </si>
  <si>
    <t>Repurposing Repsol-owned land for green spaces contributes to sustainability efforts.</t>
  </si>
  <si>
    <t>parque, urbanización</t>
  </si>
  <si>
    <t>Positive due to project development.</t>
  </si>
  <si>
    <t>Positivo por el desarrollo del proyecto.</t>
  </si>
  <si>
    <r>
      <rPr>
        <rFont val="Arial, sans-serif"/>
        <color rgb="FF1155CC"/>
        <sz val="9.0"/>
        <u/>
      </rPr>
      <t>IPMARK</t>
    </r>
    <r>
      <rPr>
        <rFont val="Arial, sans-serif"/>
        <color rgb="FF1155CC"/>
        <sz val="15.0"/>
        <u/>
      </rPr>
      <t>Repsol presenta su plan estratégico para los próximos tres años</t>
    </r>
    <r>
      <rPr>
        <rFont val="Arial, sans-serif"/>
        <color rgb="FF1155CC"/>
        <sz val="11.0"/>
        <u/>
      </rPr>
      <t>La nueva estrategia se fundamenta en tres pilares clave: el talento de los más de 25.000 empleados, la tecnología y la digitalización.</t>
    </r>
    <r>
      <rPr>
        <rFont val="Arial, sans-serif"/>
        <color rgb="FF1155CC"/>
        <sz val="12.0"/>
        <u/>
      </rPr>
      <t>.</t>
    </r>
    <r>
      <rPr>
        <rFont val="Arial, sans-serif"/>
        <color rgb="FF1155CC"/>
        <sz val="11.0"/>
        <u/>
      </rPr>
      <t>23 feb 2024</t>
    </r>
  </si>
  <si>
    <t>Repsol presenta su plan estratégico para los próximos tres años</t>
  </si>
  <si>
    <t>La nueva estrategia se fundamenta en tres pilares clave: el talento de los más de 25.000 empleados, la tecnología y la digitalización.</t>
  </si>
  <si>
    <t>Repsol presents its strategic plan for the next three years</t>
  </si>
  <si>
    <t>The new strategy is based on three key pillars: the talent of the more than 25,000 employees, technology and digitalization.</t>
  </si>
  <si>
    <t>strategic plan, energy transition</t>
  </si>
  <si>
    <t>plan estratégico, transición energética</t>
  </si>
  <si>
    <t>A clear long-term strategy reinforces Repsol’s market stability and growth vision.</t>
  </si>
  <si>
    <t>plan estratégico, talento</t>
  </si>
  <si>
    <t>Positive due to focus on strategy and talent.</t>
  </si>
  <si>
    <t>Positivo por foco en estrategia y talento.</t>
  </si>
  <si>
    <r>
      <rPr>
        <rFont val="Arial, sans-serif"/>
        <color rgb="FF1155CC"/>
        <sz val="9.0"/>
        <u/>
      </rPr>
      <t>El Periódico de la Energía</t>
    </r>
    <r>
      <rPr>
        <rFont val="Arial, sans-serif"/>
        <color rgb="FF1155CC"/>
        <sz val="15.0"/>
        <u/>
      </rPr>
      <t>Repsol pide indemnización de 197 millones dólares por derrame de petróleo en Perú en 2022</t>
    </r>
    <r>
      <rPr>
        <rFont val="Arial, sans-serif"/>
        <color rgb="FF1155CC"/>
        <sz val="11.0"/>
        <u/>
      </rPr>
      <t>La filial de Repsol ha presentado una demanda contra la sociedad propietaria del buque Mare Doricum por el derrame de petróleo en Ventanilla.</t>
    </r>
    <r>
      <rPr>
        <rFont val="Arial, sans-serif"/>
        <color rgb="FF1155CC"/>
        <sz val="12.0"/>
        <u/>
      </rPr>
      <t>.</t>
    </r>
    <r>
      <rPr>
        <rFont val="Arial, sans-serif"/>
        <color rgb="FF1155CC"/>
        <sz val="11.0"/>
        <u/>
      </rPr>
      <t>23 feb 2024</t>
    </r>
  </si>
  <si>
    <t>Repsol pide indemnización de 197 millones dólares por derrame de petróleo en Perú en 2022</t>
  </si>
  <si>
    <t>La filial de Repsol ha presentado una demanda contra la sociedad propietaria del buque Mare Doricum por el derrame de petróleo en Ventanilla.</t>
  </si>
  <si>
    <t>Repsol requests compensation of 197 million dollars for oil spill in Peru in 2022</t>
  </si>
  <si>
    <t>The Repsol subsidiary has filed a lawsuit against the company that owns the Mare Doricum ship for the oil spill in Ventanilla.</t>
  </si>
  <si>
    <t>lawsuit, compensation claim</t>
  </si>
  <si>
    <t>demanda, reclamo de indemnización</t>
  </si>
  <si>
    <t>Legal claims seeking financial restitution indicate Repsol's commitment to protecting its assets.</t>
  </si>
  <si>
    <t>indemnización, derrame</t>
  </si>
  <si>
    <t>Negative due to environmental disaster and legal proceedings.</t>
  </si>
  <si>
    <t>Negativo por desastre ambiental y procesos judiciales.</t>
  </si>
  <si>
    <r>
      <rPr>
        <rFont val="Arial, sans-serif"/>
        <color rgb="FF1155CC"/>
        <sz val="9.0"/>
        <u/>
      </rPr>
      <t>La Razón</t>
    </r>
    <r>
      <rPr>
        <rFont val="Arial, sans-serif"/>
        <color rgb="FF1155CC"/>
        <sz val="15.0"/>
        <u/>
      </rPr>
      <t>Repsol se muestra optimista frente al «impuestazo» tras el replanteamiento de Sánchez y la UE</t>
    </r>
    <r>
      <rPr>
        <rFont val="Arial, sans-serif"/>
        <color rgb="FF1155CC"/>
        <sz val="11.0"/>
        <u/>
      </rPr>
      <t>El impuesto extraordinario a las energéticas ha supuesto un punto de inflexión en la hoja de ruta de Repsol, sin embargo, la compañía se mantiene optimista...</t>
    </r>
    <r>
      <rPr>
        <rFont val="Arial, sans-serif"/>
        <color rgb="FF1155CC"/>
        <sz val="12.0"/>
        <u/>
      </rPr>
      <t>.</t>
    </r>
    <r>
      <rPr>
        <rFont val="Arial, sans-serif"/>
        <color rgb="FF1155CC"/>
        <sz val="11.0"/>
        <u/>
      </rPr>
      <t>23 feb 2024</t>
    </r>
  </si>
  <si>
    <t>Repsol se muestra optimista frente al «impuestazo» tras el replanteamiento de Sánchez y la UE</t>
  </si>
  <si>
    <t>El impuesto extraordinario a las energéticas ha supuesto un punto de inflexión en la hoja de ruta de Repsol, sin embargo, la compañía se mantiene optimista.</t>
  </si>
  <si>
    <t>Repsol is optimistic about the "tax" after the rethinking of Sánchez and the EU</t>
  </si>
  <si>
    <t>The extraordinary tax on energy companies has been a turning point in Repsol's roadmap, however, the company remains optimistic.</t>
  </si>
  <si>
    <t>energy tax, government relations</t>
  </si>
  <si>
    <t>impuesto a la energía, relaciones gubernamentales</t>
  </si>
  <si>
    <t>Policy changes on energy taxation may influence Repsol’s profitability.</t>
  </si>
  <si>
    <t>impuestazo, optimista</t>
  </si>
  <si>
    <t>Neutral to positive due to optimism.</t>
  </si>
  <si>
    <t>De neutral a positivo debido al optimismo.</t>
  </si>
  <si>
    <r>
      <rPr>
        <rFont val="Arial, sans-serif"/>
        <color rgb="FF1155CC"/>
        <sz val="9.0"/>
        <u/>
      </rPr>
      <t>El Mundo</t>
    </r>
    <r>
      <rPr>
        <rFont val="Arial, sans-serif"/>
        <color rgb="FF1155CC"/>
        <sz val="15.0"/>
        <u/>
      </rPr>
      <t>Iberdrola y Repsol reavivan su pulso fiscal con Moncloa con casi 7.000 millones de inversión en juego</t>
    </r>
    <r>
      <rPr>
        <rFont val="Arial, sans-serif"/>
        <color rgb="FF1155CC"/>
        <sz val="11.0"/>
        <u/>
      </rPr>
      <t>Han pasado ya dos meses desde que Pedro Sánchez y Teresa Ribera reconocieron que el impuesto temporal a los ingresos de banca y energéticas no cumplía los...</t>
    </r>
    <r>
      <rPr>
        <rFont val="Arial, sans-serif"/>
        <color rgb="FF1155CC"/>
        <sz val="12.0"/>
        <u/>
      </rPr>
      <t>.</t>
    </r>
    <r>
      <rPr>
        <rFont val="Arial, sans-serif"/>
        <color rgb="FF1155CC"/>
        <sz val="11.0"/>
        <u/>
      </rPr>
      <t>23 feb 2024</t>
    </r>
  </si>
  <si>
    <t>Iberdrola y Repsol reavivan su pulso fiscal con Moncloa con casi 7.000 millones de inversión en juego</t>
  </si>
  <si>
    <t>Han pasado ya dos meses desde que Pedro Sánchez y Teresa Ribera reconocieron que el impuesto temporal a los ingresos de banca y energéticas no cumplía los....</t>
  </si>
  <si>
    <t>Iberdrola and Repsol rekindle their fiscal battle with Moncloa with almost 7,000 million of investment at stake</t>
  </si>
  <si>
    <t>Two months have passed since Pedro Sánchez and Teresa Ribera recognized that the temporary tax on banking and energy income did not meet the...</t>
  </si>
  <si>
    <t>tax dispute, Iberdrola vs. Repsol</t>
  </si>
  <si>
    <t>Disputa fiscal, Iberdrola vs. Repsol</t>
  </si>
  <si>
    <t>Disputes over taxation policies may create regulatory uncertainty for Repsol.</t>
  </si>
  <si>
    <t>pulso fiscal, inversión</t>
  </si>
  <si>
    <t>Negative due to fiscal conflict.</t>
  </si>
  <si>
    <t>Negativo por conflicto fiscal.</t>
  </si>
  <si>
    <r>
      <rPr>
        <rFont val="Arial, sans-serif"/>
        <color rgb="FF1155CC"/>
        <sz val="9.0"/>
        <u/>
      </rPr>
      <t>Confidencial Digital</t>
    </r>
    <r>
      <rPr>
        <rFont val="Arial, sans-serif"/>
        <color rgb="FF1155CC"/>
        <sz val="15.0"/>
        <u/>
      </rPr>
      <t>Josu Jon Imaz también apuesta por las “palancas” para el futuro de Repsol</t>
    </r>
    <r>
      <rPr>
        <rFont val="Arial, sans-serif"/>
        <color rgb="FF1155CC"/>
        <sz val="11.0"/>
        <u/>
      </rPr>
      <t>Repsol presentó este jueves su plan estratégico hasta 2027. El consejero delegado, Josu Jon Imaz, destacó el enfoque renovado de la compañía centrada ahora...</t>
    </r>
    <r>
      <rPr>
        <rFont val="Arial, sans-serif"/>
        <color rgb="FF1155CC"/>
        <sz val="12.0"/>
        <u/>
      </rPr>
      <t>.</t>
    </r>
    <r>
      <rPr>
        <rFont val="Arial, sans-serif"/>
        <color rgb="FF1155CC"/>
        <sz val="11.0"/>
        <u/>
      </rPr>
      <t>23 feb 2024</t>
    </r>
  </si>
  <si>
    <t>Josu Jon Imaz también apuesta por las “palancas” para el futuro de Repsol</t>
  </si>
  <si>
    <t>Repsol presentó este jueves su plan estratégico hasta 2027. El consejero delegado, Josu Jon Imaz, destacó el enfoque renovado de la compañía centrada ahora....</t>
  </si>
  <si>
    <t>Josu Jon Imaz also bets on the “levers” for the future of Repsol</t>
  </si>
  <si>
    <t>This Thursday, Repsol presented its strategic plan until 2027. The CEO, Josu Jon Imaz, highlighted the company's renewed focus now...</t>
  </si>
  <si>
    <t>energy transition, strategic plan</t>
  </si>
  <si>
    <t>transición energética, plan estratégico</t>
  </si>
  <si>
    <t>Repsol's leadership reaffirms its transition towards cleaner energy.</t>
  </si>
  <si>
    <t>palancas, futuro</t>
  </si>
  <si>
    <t>Positive due to focus on future strategy.</t>
  </si>
  <si>
    <t>Positivo debido al enfoque en la estrategia futura.</t>
  </si>
  <si>
    <r>
      <rPr>
        <rFont val="Arial, sans-serif"/>
        <color rgb="FF1155CC"/>
        <sz val="9.0"/>
        <u/>
      </rPr>
      <t>Guía Repsol</t>
    </r>
    <r>
      <rPr>
        <rFont val="Arial, sans-serif"/>
        <color rgb="FF1155CC"/>
        <sz val="15.0"/>
        <u/>
      </rPr>
      <t>Restaurante ‘Por Herencia’ (Murcia): la tercera generación de ‘Los Toneles’</t>
    </r>
    <r>
      <rPr>
        <rFont val="Arial, sans-serif"/>
        <color rgb="FF1155CC"/>
        <sz val="11.0"/>
        <u/>
      </rPr>
      <t>Hay nombres de restaurantes a los que no hay que darle muchas vueltas. Las hijas de Pepe Navarro, el fundador del bodegón 'Los Toneles' en Murcia,...</t>
    </r>
    <r>
      <rPr>
        <rFont val="Arial, sans-serif"/>
        <color rgb="FF1155CC"/>
        <sz val="12.0"/>
        <u/>
      </rPr>
      <t>.</t>
    </r>
    <r>
      <rPr>
        <rFont val="Arial, sans-serif"/>
        <color rgb="FF1155CC"/>
        <sz val="11.0"/>
        <u/>
      </rPr>
      <t>23 feb 2024</t>
    </r>
  </si>
  <si>
    <t>Restaurante ‘Por Herencia’ (Murcia): la tercera generación de ‘Los Toneles’</t>
  </si>
  <si>
    <t>Las hijas de Pepe Navarro, el fundador del bodegón 'Los Toneles' en Murcia,....</t>
  </si>
  <si>
    <t>Restaurant 'Por Herencia' (Murcia): the third generation of 'Los Toneles'</t>
  </si>
  <si>
    <t>The daughters of Pepe Navarro, the founder of the winery 'Los Toneles' in Murcia,....</t>
  </si>
  <si>
    <r>
      <rPr>
        <rFont val="Arial, sans-serif"/>
        <color rgb="FF1155CC"/>
        <sz val="9.0"/>
        <u/>
      </rPr>
      <t>Estrategias de Inversión</t>
    </r>
    <r>
      <rPr>
        <rFont val="Arial, sans-serif"/>
        <color rgb="FF1155CC"/>
        <sz val="15.0"/>
        <u/>
      </rPr>
      <t>Repsol, la única de las grandes petroleras europeas que hace perder a sus accionistas</t>
    </r>
    <r>
      <rPr>
        <rFont val="Arial, sans-serif"/>
        <color rgb="FF1155CC"/>
        <sz val="11.0"/>
        <u/>
      </rPr>
      <t>Repsol, la única de las grandes petroleras europeas que hace perder a sus accionistas. Comparativa en los últimos 20 años frente a Eni, TotalEnergies o...</t>
    </r>
    <r>
      <rPr>
        <rFont val="Arial, sans-serif"/>
        <color rgb="FF1155CC"/>
        <sz val="12.0"/>
        <u/>
      </rPr>
      <t>.</t>
    </r>
    <r>
      <rPr>
        <rFont val="Arial, sans-serif"/>
        <color rgb="FF1155CC"/>
        <sz val="11.0"/>
        <u/>
      </rPr>
      <t>23 feb 2024</t>
    </r>
  </si>
  <si>
    <t>Repsol, la única de las grandes petroleras europeas que hace perder a sus accionistas. Comparativa en los últimos 20 años frente a Eni, TotalEnergies o....</t>
  </si>
  <si>
    <t>Repsol, the only one of the large European oil companies that makes its shareholders lose. Comparison in the last 20 years against Eni, TotalEnergies or....</t>
  </si>
  <si>
    <t>bullish trend, stock market</t>
  </si>
  <si>
    <t>tendencia alcista, mercado de valores</t>
  </si>
  <si>
    <t>A strong market trend reinforces investor confidence in Repsol.</t>
  </si>
  <si>
    <r>
      <rPr>
        <rFont val="Arial, sans-serif"/>
        <color rgb="FF1155CC"/>
        <sz val="9.0"/>
        <u/>
      </rPr>
      <t>The Gourmet Journal</t>
    </r>
    <r>
      <rPr>
        <rFont val="Arial, sans-serif"/>
        <color rgb="FF1155CC"/>
        <sz val="15.0"/>
        <u/>
      </rPr>
      <t>Los nuevos Soles Sostenibles de la Guía Repsol 2024</t>
    </r>
    <r>
      <rPr>
        <rFont val="Arial, sans-serif"/>
        <color rgb="FF1155CC"/>
        <sz val="11.0"/>
        <u/>
      </rPr>
      <t>La Guía Repsol 2024 ha dado a conocer los galardonados con los Premios Soles Sostenibles de este año, como preludio a la presentación del nuevo listado de...</t>
    </r>
    <r>
      <rPr>
        <rFont val="Arial, sans-serif"/>
        <color rgb="FF1155CC"/>
        <sz val="12.0"/>
        <u/>
      </rPr>
      <t>.</t>
    </r>
    <r>
      <rPr>
        <rFont val="Arial, sans-serif"/>
        <color rgb="FF1155CC"/>
        <sz val="11.0"/>
        <u/>
      </rPr>
      <t>23 feb 2024</t>
    </r>
  </si>
  <si>
    <t>The Gourmet Journal</t>
  </si>
  <si>
    <t>Los nuevos Soles Sostenibles de la Guía Repsol 2024</t>
  </si>
  <si>
    <t>La Guía Repsol 2024 ha dado a conocer los galardonados con los Premios Soles Sostenibles de este año, como preludio a la presentación del nuevo listado de....</t>
  </si>
  <si>
    <t>The new Sustainable Suns of the Repsol 2024 Guide</t>
  </si>
  <si>
    <t>The Repsol Guide 2024 has announced the winners of this year's Sustainable Soles Awards, as a prelude to the presentation of the new list of...</t>
  </si>
  <si>
    <r>
      <rPr>
        <rFont val="Arial, sans-serif"/>
        <color rgb="FF1155CC"/>
        <sz val="9.0"/>
        <u/>
      </rPr>
      <t>Infobae</t>
    </r>
    <r>
      <rPr>
        <rFont val="Arial, sans-serif"/>
        <color rgb="FF1155CC"/>
        <sz val="15.0"/>
        <u/>
      </rPr>
      <t>La empresa de la que prácticamente no has oído hablar y que vale en bolsa más que Inditex, Santander y Repsol juntas</t>
    </r>
    <r>
      <rPr>
        <rFont val="Arial, sans-serif"/>
        <color rgb="FF1155CC"/>
        <sz val="11.0"/>
        <u/>
      </rPr>
      <t>Nvidia lleva una década desarrollando chips orientados para la Inteligencia Artificial, ahora que esta es la tecnología de moda copan el 70% del mercado y...</t>
    </r>
    <r>
      <rPr>
        <rFont val="Arial, sans-serif"/>
        <color rgb="FF1155CC"/>
        <sz val="12.0"/>
        <u/>
      </rPr>
      <t>.</t>
    </r>
    <r>
      <rPr>
        <rFont val="Arial, sans-serif"/>
        <color rgb="FF1155CC"/>
        <sz val="11.0"/>
        <u/>
      </rPr>
      <t>23 feb 2024</t>
    </r>
  </si>
  <si>
    <t>La empresa de la que prácticamente no has oído hablar y que vale en bolsa más que Inditex, Santander y Repsol juntas</t>
  </si>
  <si>
    <t>Nvidia lleva una década desarrollando chips orientados para la Inteligencia Artificial, ahora que esta es la tecnología de moda copan el 70% del mercado y....</t>
  </si>
  <si>
    <t>The company that you have practically not heard of and that is worth more on the stock market than Inditex, Santander and Repsol combined</t>
  </si>
  <si>
    <t>Nvidia has been developing chips aimed at Artificial Intelligence for a decade, now that this is the fashionable technology, they occupy 70% of the market and...</t>
  </si>
  <si>
    <r>
      <rPr>
        <rFont val="Arial, sans-serif"/>
        <color rgb="FF1155CC"/>
        <sz val="9.0"/>
        <u/>
      </rPr>
      <t>Hule y Mantel</t>
    </r>
    <r>
      <rPr>
        <rFont val="Arial, sans-serif"/>
        <color rgb="FF1155CC"/>
        <sz val="15.0"/>
        <u/>
      </rPr>
      <t>Martina Puigvert (Les Cols): "La sostenibilidad no es una moda, es un camino y un modo de trabajar"</t>
    </r>
    <r>
      <rPr>
        <rFont val="Arial, sans-serif"/>
        <color rgb="FF1155CC"/>
        <sz val="11.0"/>
        <u/>
      </rPr>
      <t>Tras recibir el Sol Sostenible Repsol, hablamos con la chef del restaurante Les Cols (Olot) sobre cocina, trabajar en familia y sobre las nuevas...</t>
    </r>
    <r>
      <rPr>
        <rFont val="Arial, sans-serif"/>
        <color rgb="FF1155CC"/>
        <sz val="12.0"/>
        <u/>
      </rPr>
      <t>.</t>
    </r>
    <r>
      <rPr>
        <rFont val="Arial, sans-serif"/>
        <color rgb="FF1155CC"/>
        <sz val="11.0"/>
        <u/>
      </rPr>
      <t>23 feb 2024</t>
    </r>
  </si>
  <si>
    <t>"La sostenibilidad no es una moda, es un camino y un modo de trabajar"</t>
  </si>
  <si>
    <t>"Sustainability is not a fashion, it is a path and a way of working"</t>
  </si>
  <si>
    <r>
      <rPr>
        <rFont val="Arial, sans-serif"/>
        <color rgb="FF1155CC"/>
        <sz val="9.0"/>
        <u/>
      </rPr>
      <t>Cinco Días</t>
    </r>
    <r>
      <rPr>
        <rFont val="Arial, sans-serif"/>
        <color rgb="FF1155CC"/>
        <sz val="15.0"/>
        <u/>
      </rPr>
      <t>Repsol redujo en un 20% los pagos a los países en los que extrae crudo y gas, hasta 1.300 millones</t>
    </r>
    <r>
      <rPr>
        <rFont val="Arial, sans-serif"/>
        <color rgb="FF1155CC"/>
        <sz val="11.0"/>
        <u/>
      </rPr>
      <t>La mayor petrolera española, Repsol, abonó el año pasado algo más de 1.336 millones de euros en concepto de impuestos y derechos de la producción a los...</t>
    </r>
    <r>
      <rPr>
        <rFont val="Arial, sans-serif"/>
        <color rgb="FF1155CC"/>
        <sz val="12.0"/>
        <u/>
      </rPr>
      <t>.</t>
    </r>
    <r>
      <rPr>
        <rFont val="Arial, sans-serif"/>
        <color rgb="FF1155CC"/>
        <sz val="11.0"/>
        <u/>
      </rPr>
      <t>23 feb 2024</t>
    </r>
  </si>
  <si>
    <t>Repsol redujo en un 20% los pagos a los países en los que extrae crudo y gas, hasta 1.300 millones</t>
  </si>
  <si>
    <t>Repsol redujo en un 20% los pagos a los países en los que extrae crudo y gas, hasta 1.300 millones.</t>
  </si>
  <si>
    <t>Repsol reduced payments to the countries where it extracts crude oil and gas by 20%, up to 1.3 billion</t>
  </si>
  <si>
    <t>Repsol reduced payments to the countries where it extracts crude oil and gas by 20%, up to 1.3 billion.</t>
  </si>
  <si>
    <t>tax payments, financial strategy</t>
  </si>
  <si>
    <t>pagos de impuestos, estrategia financiera</t>
  </si>
  <si>
    <t>Reducing tax payments may raise regulatory and ethical concerns.</t>
  </si>
  <si>
    <t>pagos, reducir</t>
  </si>
  <si>
    <t>Slightly negative due to reduced payments.</t>
  </si>
  <si>
    <t>Ligeramente negativo debido a pagos reducidos.</t>
  </si>
  <si>
    <r>
      <rPr>
        <rFont val="Arial, sans-serif"/>
        <color rgb="FF1155CC"/>
        <sz val="9.0"/>
        <u/>
      </rPr>
      <t>Deia</t>
    </r>
    <r>
      <rPr>
        <rFont val="Arial, sans-serif"/>
        <color rgb="FF1155CC"/>
        <sz val="15.0"/>
        <u/>
      </rPr>
      <t>Josu Jon Imaz se muestra “un poco más positivo” respecto a la fiscalidad</t>
    </r>
    <r>
      <rPr>
        <rFont val="Arial, sans-serif"/>
        <color rgb="FF1155CC"/>
        <sz val="11.0"/>
        <u/>
      </rPr>
      <t>El descenso de los precios del crudo y del gas frena los beneficios de Repsol en un “año extraordinario”</t>
    </r>
    <r>
      <rPr>
        <rFont val="Arial, sans-serif"/>
        <color rgb="FF1155CC"/>
        <sz val="12.0"/>
        <u/>
      </rPr>
      <t>.</t>
    </r>
    <r>
      <rPr>
        <rFont val="Arial, sans-serif"/>
        <color rgb="FF1155CC"/>
        <sz val="11.0"/>
        <u/>
      </rPr>
      <t>23 feb 2024</t>
    </r>
  </si>
  <si>
    <t>Deia</t>
  </si>
  <si>
    <t>El descenso de los precios del crudo y del gas frena los beneficios de Repsol en un “año extraordinario”.</t>
  </si>
  <si>
    <t>The decline in crude oil and gas prices slows down Repsol's profits in an "extraordinary year."</t>
  </si>
  <si>
    <t>oil price decline, profit reduction</t>
  </si>
  <si>
    <t>caída del precio del petróleo, reducción de beneficios</t>
  </si>
  <si>
    <t>Falling commodity prices impact Repsol’s financial performance.</t>
  </si>
  <si>
    <t>beneficios, frenar</t>
  </si>
  <si>
    <r>
      <rPr>
        <rFont val="Arial, sans-serif"/>
        <color rgb="FF1155CC"/>
        <sz val="9.0"/>
        <u/>
      </rPr>
      <t>Gestión</t>
    </r>
    <r>
      <rPr>
        <rFont val="Arial, sans-serif"/>
        <color rgb="FF1155CC"/>
        <sz val="15.0"/>
        <u/>
      </rPr>
      <t>Repsol pide US$ 197 millones a una naviera por el derrame de petróleo en Perú</t>
    </r>
    <r>
      <rPr>
        <rFont val="Arial, sans-serif"/>
        <color rgb="FF1155CC"/>
        <sz val="11.0"/>
        <u/>
      </rPr>
      <t>Refinería La Pampilla, subsidiaria de Repsol, dice que ha afrontado en solitario todos los gastos de remediación del litoral y de compensación a los...</t>
    </r>
    <r>
      <rPr>
        <rFont val="Arial, sans-serif"/>
        <color rgb="FF1155CC"/>
        <sz val="12.0"/>
        <u/>
      </rPr>
      <t>.</t>
    </r>
    <r>
      <rPr>
        <rFont val="Arial, sans-serif"/>
        <color rgb="FF1155CC"/>
        <sz val="11.0"/>
        <u/>
      </rPr>
      <t>23 feb 2024</t>
    </r>
  </si>
  <si>
    <t>Repsol pide US$ 197 millones a una naviera por el derrame de petróleo en Perú</t>
  </si>
  <si>
    <t>Refinería La Pampilla, subsidiaria de Repsol, dice que ha afrontado en solitario todos los gastos de remediación del litoral y de compensación a los....</t>
  </si>
  <si>
    <t>Repsol asks a shipping company for US$197 million for the oil spill in Peru</t>
  </si>
  <si>
    <t>La Pampilla Refinery, a subsidiary of Repsol, says that it has alone faced all the costs of remediating the coastline and compensating the...</t>
  </si>
  <si>
    <t>compensation claim, La Pampilla Refinery</t>
  </si>
  <si>
    <t>“reclamo de indemnización”, “Refinería La Pampilla”</t>
  </si>
  <si>
    <t>Legal action to recover financial losses indicates Repsol’s commitment to business protection.</t>
  </si>
  <si>
    <t>derrame, indemnización</t>
  </si>
  <si>
    <r>
      <rPr>
        <rFont val="Arial, sans-serif"/>
        <color rgb="FF1155CC"/>
        <sz val="9.0"/>
        <u/>
      </rPr>
      <t>Finanzas.com</t>
    </r>
    <r>
      <rPr>
        <rFont val="Arial, sans-serif"/>
        <color rgb="FF1155CC"/>
        <sz val="15.0"/>
        <u/>
      </rPr>
      <t>Repsol: ¿qué dicen los analistas del dividendo y el plan estratégico?</t>
    </r>
    <r>
      <rPr>
        <rFont val="Arial, sans-serif"/>
        <color rgb="FF1155CC"/>
        <sz val="11.0"/>
        <u/>
      </rPr>
      <t>Repsol sale reforzado y apunta a ofrecer retornos a sus accionistas del 12% entre dividendo en efectivo y recompras de acciones.</t>
    </r>
    <r>
      <rPr>
        <rFont val="Arial, sans-serif"/>
        <color rgb="FF1155CC"/>
        <sz val="12.0"/>
        <u/>
      </rPr>
      <t>.</t>
    </r>
    <r>
      <rPr>
        <rFont val="Arial, sans-serif"/>
        <color rgb="FF1155CC"/>
        <sz val="11.0"/>
        <u/>
      </rPr>
      <t>24 feb 2024</t>
    </r>
  </si>
  <si>
    <t>Finanzas.com</t>
  </si>
  <si>
    <t>Repsol: ¿qué dicen los analistas del dividendo y el plan estratégico?</t>
  </si>
  <si>
    <t>Repsol sale reforzado y apunta a ofrecer retornos a sus accionistas del 12% entre dividendo en efectivo y recompras de acciones.</t>
  </si>
  <si>
    <t>Repsol: what do analysts say about the dividend and the strategic plan?</t>
  </si>
  <si>
    <t>Repsol comes out stronger and aims to offer its shareholders returns of 12% between cash dividends and share buybacks.</t>
  </si>
  <si>
    <t>dividend increase, investor returns</t>
  </si>
  <si>
    <t>aumento de dividendos, rendimiento para los inversores</t>
  </si>
  <si>
    <t>A strong dividend policy enhances investor sentiment.</t>
  </si>
  <si>
    <r>
      <rPr>
        <rFont val="Arial, sans-serif"/>
        <color rgb="FF1155CC"/>
        <sz val="9.0"/>
        <u/>
      </rPr>
      <t>El Español</t>
    </r>
    <r>
      <rPr>
        <rFont val="Arial, sans-serif"/>
        <color rgb="FF1155CC"/>
        <sz val="15.0"/>
        <u/>
      </rPr>
      <t>Repsol toma el control del mayor parque eólico de Chile, valorado en 630 millones, con la compra del 85% a Ibereólica</t>
    </r>
    <r>
      <rPr>
        <rFont val="Arial, sans-serif"/>
        <color rgb="FF1155CC"/>
        <sz val="11.0"/>
        <u/>
      </rPr>
      <t>La compañía ya está desarrollando los primeros 364 MW del proyecto, que alcanzará una capacidad de 805 MW.</t>
    </r>
    <r>
      <rPr>
        <rFont val="Arial, sans-serif"/>
        <color rgb="FF1155CC"/>
        <sz val="12.0"/>
        <u/>
      </rPr>
      <t>.</t>
    </r>
    <r>
      <rPr>
        <rFont val="Arial, sans-serif"/>
        <color rgb="FF1155CC"/>
        <sz val="11.0"/>
        <u/>
      </rPr>
      <t>24 feb 2024</t>
    </r>
  </si>
  <si>
    <t>Repsol toma el control del mayor parque eólico de Chile, valorado en 630 millones, con la compra del 85% a Ibereólica</t>
  </si>
  <si>
    <t>Repsol toma el control del mayor parque eólico de Chile, valorado en 630 millones, con la compra del 85% a Ibereólica. La compañía ya está desarrollando los primeros 364 MW del proyecto, que alcanzará una capacidad de 805 MW.</t>
  </si>
  <si>
    <t>Repsol takes control of the largest wind farm in Chile, valued at 630 million, with the purchase of 85% from Ibereólica</t>
  </si>
  <si>
    <t>Repsol takes control of the largest wind farm in Chile, valued at 630 million, with the purchase of 85% from Ibereólica. The company is already developing the first 364 MW of the project, which will reach a capacity of 805 MW.</t>
  </si>
  <si>
    <t>wind farm acquisition, renewable energy</t>
  </si>
  <si>
    <t>adquisición de parques eólicos, energías renovables</t>
  </si>
  <si>
    <t>Investing in wind energy strengthens Repsol’s green transition.</t>
  </si>
  <si>
    <t>parque eólico, control</t>
  </si>
  <si>
    <t>Positive due to investment in renewable energy.</t>
  </si>
  <si>
    <t>Positivo por la inversión en energías renovables.</t>
  </si>
  <si>
    <r>
      <rPr>
        <rFont val="Arial, sans-serif"/>
        <color rgb="FF1155CC"/>
        <sz val="9.0"/>
        <u/>
      </rPr>
      <t>La Voz de Galicia</t>
    </r>
    <r>
      <rPr>
        <rFont val="Arial, sans-serif"/>
        <color rgb="FF1155CC"/>
        <sz val="15.0"/>
        <u/>
      </rPr>
      <t>Así son las instalaciones de Repsol en Langosteira</t>
    </r>
    <r>
      <rPr>
        <rFont val="Arial, sans-serif"/>
        <color rgb="FF1155CC"/>
        <sz val="11.0"/>
        <u/>
      </rPr>
      <t>¿Cuánto se puede inflar el precio de un alquiler? Lo que ocurre en A Coruña cuando un piso que vale 800 euros al mes lo anuncias por 1.300.</t>
    </r>
    <r>
      <rPr>
        <rFont val="Arial, sans-serif"/>
        <color rgb="FF1155CC"/>
        <sz val="12.0"/>
        <u/>
      </rPr>
      <t>.</t>
    </r>
    <r>
      <rPr>
        <rFont val="Arial, sans-serif"/>
        <color rgb="FF1155CC"/>
        <sz val="11.0"/>
        <u/>
      </rPr>
      <t>24 feb 2024</t>
    </r>
  </si>
  <si>
    <t>Así son las instalaciones de Repsol en Langosteira</t>
  </si>
  <si>
    <t>¿Cuánto se puede inflar el precio de un alquiler? Lo que ocurre en A Coruña cuando un piso que vale 800 euros al mes lo anuncias por 1.300..</t>
  </si>
  <si>
    <t>This is what the Repsol facilities in Langosteira are like</t>
  </si>
  <si>
    <t>How much can the price of a rental be inflated? What happens in A Coruña when you advertise an apartment worth 800 euros a month for 1,300...</t>
  </si>
  <si>
    <t>Langosteira facilities, Repsol infrastructure</t>
  </si>
  <si>
    <t>Instalaciones de Langosteira, Infraestructuras de Repsol</t>
  </si>
  <si>
    <t>Highlighting infrastructure investments reinforces Repsol’s industrial presence.</t>
  </si>
  <si>
    <r>
      <rPr>
        <rFont val="Arial, sans-serif"/>
        <color rgb="FF1155CC"/>
        <sz val="9.0"/>
        <u/>
      </rPr>
      <t>20Minutos</t>
    </r>
    <r>
      <rPr>
        <rFont val="Arial, sans-serif"/>
        <color rgb="FF1155CC"/>
        <sz val="15.0"/>
        <u/>
      </rPr>
      <t>Imaz, un cable de la luz y el impuesto: "¿Alguien puede decir que esto es social?"</t>
    </r>
    <r>
      <rPr>
        <rFont val="Arial, sans-serif"/>
        <color rgb="FF1155CC"/>
        <sz val="11.0"/>
        <u/>
      </rPr>
      <t>El consejero delegado de Repsol defiende que los fabricantes de fuera de España de productos como el etileno y el propileno no se ven perjudicados por la...</t>
    </r>
    <r>
      <rPr>
        <rFont val="Arial, sans-serif"/>
        <color rgb="FF1155CC"/>
        <sz val="12.0"/>
        <u/>
      </rPr>
      <t>.</t>
    </r>
    <r>
      <rPr>
        <rFont val="Arial, sans-serif"/>
        <color rgb="FF1155CC"/>
        <sz val="11.0"/>
        <u/>
      </rPr>
      <t>24 feb 2024</t>
    </r>
  </si>
  <si>
    <t>¿Alguien puede decir que esto es social?</t>
  </si>
  <si>
    <t>El consejero delegado de Repsol defiende que los fabricantes de fuera de España de productos como el etileno y el propileno no se ven perjudicados por la....</t>
  </si>
  <si>
    <t>Can anyone say this is social?</t>
  </si>
  <si>
    <t>The CEO of Repsol defends that manufacturers outside Spain of products such as ethylene and propylene are not harmed by the...</t>
  </si>
  <si>
    <t>sustainable fuels, CEO advocacy</t>
  </si>
  <si>
    <t>combustibles sostenibles, defensa de los directores ejecutivos</t>
  </si>
  <si>
    <t>Advocating for policy support strengthens Repsol’s position in sustainable energy.</t>
  </si>
  <si>
    <t>social, fabricantes</t>
  </si>
  <si>
    <t>Slightly negative due to criticism of social policy.</t>
  </si>
  <si>
    <t>Ligeramente negativo debido a las críticas a la política social.</t>
  </si>
  <si>
    <r>
      <rPr>
        <rFont val="Arial, sans-serif"/>
        <color rgb="FF1155CC"/>
        <sz val="9.0"/>
        <u/>
      </rPr>
      <t>Cadena SER</t>
    </r>
    <r>
      <rPr>
        <rFont val="Arial, sans-serif"/>
        <color rgb="FF1155CC"/>
        <sz val="15.0"/>
        <u/>
      </rPr>
      <t>La distribución y producción de diésel renovable se expande por Andalucía</t>
    </r>
    <r>
      <rPr>
        <rFont val="Arial, sans-serif"/>
        <color rgb="FF1155CC"/>
        <sz val="11.0"/>
        <u/>
      </rPr>
      <t>Repsol proyecta más de 40 estaciones de servicio con biocombustible por toda la región para final de año y Cepsa invierte 1200 millones en construir una...</t>
    </r>
    <r>
      <rPr>
        <rFont val="Arial, sans-serif"/>
        <color rgb="FF1155CC"/>
        <sz val="12.0"/>
        <u/>
      </rPr>
      <t>.</t>
    </r>
    <r>
      <rPr>
        <rFont val="Arial, sans-serif"/>
        <color rgb="FF1155CC"/>
        <sz val="11.0"/>
        <u/>
      </rPr>
      <t>24 feb 2024</t>
    </r>
  </si>
  <si>
    <t>La distribución y producción de diésel renovable se expande por Andalucía</t>
  </si>
  <si>
    <t>Repsol proyecta más de 40 estaciones de servicio con biocombustible por toda la región para final de año y Cepsa invierte 1200 millones en construir una....</t>
  </si>
  <si>
    <t>The distribution and production of renewable diesel expands throughout Andalusia</t>
  </si>
  <si>
    <t>Repsol plans more than 40 biofuel service stations throughout the region by the end of the year and Cepsa is investing 1.2 billion to build one....</t>
  </si>
  <si>
    <t>renewable diesel, biofuel expansion</t>
  </si>
  <si>
    <t>Diésel renovable, expansión de los biocombustibles</t>
  </si>
  <si>
    <t>Expanding biofuels infrastructure aligns with Repsol’s energy transition goals.</t>
  </si>
  <si>
    <t>distribución, producción, diésel renovable, biocombustible</t>
  </si>
  <si>
    <t>Positive news about renewable energy expansion, enhancing Repsol's green image.</t>
  </si>
  <si>
    <t>Noticias positivas sobre la expansión de las energías renovables, potenciando la imagen verde de Repsol.</t>
  </si>
  <si>
    <r>
      <rPr>
        <rFont val="Arial, sans-serif"/>
        <color rgb="FF1155CC"/>
        <sz val="9.0"/>
        <u/>
      </rPr>
      <t>El Economista</t>
    </r>
    <r>
      <rPr>
        <rFont val="Arial, sans-serif"/>
        <color rgb="FF1155CC"/>
        <sz val="15.0"/>
        <u/>
      </rPr>
      <t>Cómo queda el ranking de dividendos del Ibex para 2024 tras los últimos cambios anunciados</t>
    </r>
    <r>
      <rPr>
        <rFont val="Arial, sans-serif"/>
        <color rgb="FF1155CC"/>
        <sz val="11.0"/>
        <u/>
      </rPr>
      <t>Si hay algo de lo que puede presumir el Ibex 35 es de su rentabilidad por dividendo, de la mano de unas generosas compañías que reparten ...</t>
    </r>
    <r>
      <rPr>
        <rFont val="Arial, sans-serif"/>
        <color rgb="FF1155CC"/>
        <sz val="12.0"/>
        <u/>
      </rPr>
      <t>.</t>
    </r>
    <r>
      <rPr>
        <rFont val="Arial, sans-serif"/>
        <color rgb="FF1155CC"/>
        <sz val="11.0"/>
        <u/>
      </rPr>
      <t>24 feb 2024</t>
    </r>
  </si>
  <si>
    <t>Cómo queda el ranking de dividendos del Ibex para 2024 tras los últimos cambios anunciados</t>
  </si>
  <si>
    <t>Si hay algo de lo que puede presumir el Ibex 35 es de su rentabilidad por dividendo, de la mano de unas generosas compañías que reparten ....</t>
  </si>
  <si>
    <t>How the Ibex dividend ranking looks for 2024 after the latest changes announced</t>
  </si>
  <si>
    <t>If there is something that the Ibex 35 can boast of, it is its dividend profitability, thanks to some generous companies that distribute...</t>
  </si>
  <si>
    <t>dividend ranking, Ibex 35</t>
  </si>
  <si>
    <t>ranking de dividendos, Ibex 35</t>
  </si>
  <si>
    <t>A strong dividend position enhances Repsol’s attractiveness to investors.</t>
  </si>
  <si>
    <t>Neutral news; no direct impact on Repsol's image.</t>
  </si>
  <si>
    <t>Noticias neutrales; sin impacto directo en la imagen de Repsol.</t>
  </si>
  <si>
    <r>
      <rPr>
        <rFont val="Arial, sans-serif"/>
        <color rgb="FF1155CC"/>
        <sz val="9.0"/>
        <u/>
      </rPr>
      <t>El Comercio Perú</t>
    </r>
    <r>
      <rPr>
        <rFont val="Arial, sans-serif"/>
        <color rgb="FF1155CC"/>
        <sz val="15.0"/>
        <u/>
      </rPr>
      <t>Repsol exige 197 millones de dólares a naviera italiana por el derrame en Ventanilla</t>
    </r>
    <r>
      <rPr>
        <rFont val="Arial, sans-serif"/>
        <color rgb="FF1155CC"/>
        <sz val="11.0"/>
        <u/>
      </rPr>
      <t>La refinería La Pampilla, subsidiaria de la filial peruana de Repsol, demandó a la sociedad Fratelli D'Amico Armatori S.P.A., propietaria del buque Mare...</t>
    </r>
    <r>
      <rPr>
        <rFont val="Arial, sans-serif"/>
        <color rgb="FF1155CC"/>
        <sz val="12.0"/>
        <u/>
      </rPr>
      <t>.</t>
    </r>
    <r>
      <rPr>
        <rFont val="Arial, sans-serif"/>
        <color rgb="FF1155CC"/>
        <sz val="11.0"/>
        <u/>
      </rPr>
      <t>24 feb 2024</t>
    </r>
  </si>
  <si>
    <t>Repsol exige 197 millones de dólares a naviera italiana por el derrame en Ventanilla</t>
  </si>
  <si>
    <t>La refinería La Pampilla, subsidiaria de la filial peruana de Repsol, demandó a la sociedad Fratelli D'Amico Armatori S.P.A., propietaria del buque Mare....</t>
  </si>
  <si>
    <t>Repsol demands 197 million dollars from the Italian shipping company for the Ventanilla spill</t>
  </si>
  <si>
    <t>The La Pampilla refinery, a subsidiary of the Peruvian subsidiary of Repsol, sued the company Fratelli D'Amico Armatori S.P.A., owner of the Mare ship....</t>
  </si>
  <si>
    <t>Legal disputes reflect Repsol’s effort to recover financial losses.</t>
  </si>
  <si>
    <t>derrame, demanda, naviera italiana</t>
  </si>
  <si>
    <t>Negative news due to environmental damage and legal disputes.</t>
  </si>
  <si>
    <t>Noticias negativas por daños ambientales y disputas legales.</t>
  </si>
  <si>
    <r>
      <rPr>
        <rFont val="Arial, sans-serif"/>
        <color rgb="FF1155CC"/>
        <sz val="9.0"/>
        <u/>
      </rPr>
      <t>Infobae</t>
    </r>
    <r>
      <rPr>
        <rFont val="Arial, sans-serif"/>
        <color rgb="FF1155CC"/>
        <sz val="15.0"/>
        <u/>
      </rPr>
      <t>Sánchez Galán, Botín y Goirigolzarri se suben el sueldo por encima de la inflación: el ‘impuestazo’ no afecta a las remuneraciones de los CEO</t>
    </r>
    <r>
      <rPr>
        <rFont val="Arial, sans-serif"/>
        <color rgb="FF1155CC"/>
        <sz val="11.0"/>
        <u/>
      </rPr>
      <t>Repsol, Banco Santander, CaixaBank, BBVA... Todas las compañías afectadas por el impuesto a los beneficios extraordinarios del Gobierno a bancos y...</t>
    </r>
    <r>
      <rPr>
        <rFont val="Arial, sans-serif"/>
        <color rgb="FF1155CC"/>
        <sz val="12.0"/>
        <u/>
      </rPr>
      <t>.</t>
    </r>
    <r>
      <rPr>
        <rFont val="Arial, sans-serif"/>
        <color rgb="FF1155CC"/>
        <sz val="11.0"/>
        <u/>
      </rPr>
      <t>24 feb 2024</t>
    </r>
  </si>
  <si>
    <t>Sánchez Galán, Botín y Goirigolzarri se suben el sueldo por encima de la inflación: el ‘impuestazo’ no afecta a las remuneraciones de los CEO</t>
  </si>
  <si>
    <t>Sánchez Galán, Botín y Goirigolzarri se suben el sueldo por encima de la inflación: el ‘impuestazo’ no afecta a las remuneraciones de los CEO.</t>
  </si>
  <si>
    <t>Sánchez Galán, Botín and Goirigolzarri raise their salaries above inflation: the 'tax' does not affect the CEOs' remuneration</t>
  </si>
  <si>
    <t>Sánchez Galán, Botín and Goirigolzarri raise their salaries above inflation: the 'tax' does not affect the remuneration of the CEOs.</t>
  </si>
  <si>
    <r>
      <rPr>
        <rFont val="Arial, sans-serif"/>
        <color rgb="FF1155CC"/>
        <sz val="9.0"/>
        <u/>
      </rPr>
      <t>El Economista</t>
    </r>
    <r>
      <rPr>
        <rFont val="Arial, sans-serif"/>
        <color rgb="FF1155CC"/>
        <sz val="15.0"/>
        <u/>
      </rPr>
      <t>Zárate, un estrella Michelin 'poseído' por Neptuno</t>
    </r>
    <r>
      <rPr>
        <rFont val="Arial, sans-serif"/>
        <color rgb="FF1155CC"/>
        <sz val="11.0"/>
        <u/>
      </rPr>
      <t>Sergio Ortiz de Zárate experimenta con sus creaciones culinarias en Bilbao, en las que siempre incluye un guiño al mar hasta en sus ...</t>
    </r>
    <r>
      <rPr>
        <rFont val="Arial, sans-serif"/>
        <color rgb="FF1155CC"/>
        <sz val="12.0"/>
        <u/>
      </rPr>
      <t>.</t>
    </r>
    <r>
      <rPr>
        <rFont val="Arial, sans-serif"/>
        <color rgb="FF1155CC"/>
        <sz val="11.0"/>
        <u/>
      </rPr>
      <t>24 feb 2024</t>
    </r>
  </si>
  <si>
    <t>Zárate, un estrella Michelin 'poseído' por Neptuno</t>
  </si>
  <si>
    <t>Sergio Ortiz de Zárate experimenta con sus creaciones culinarias en Bilbao, en las que siempre incluye un guiño al mar hasta en sus ....</t>
  </si>
  <si>
    <t>Zárate, a Michelin star 'possessed' by Neptune</t>
  </si>
  <si>
    <t>Sergio Ortiz de Zárate experiments with his culinary creations in Bilbao, in which he always includes a nod to the sea even in his...</t>
  </si>
  <si>
    <r>
      <rPr>
        <rFont val="Arial, sans-serif"/>
        <color rgb="FF1155CC"/>
        <sz val="9.0"/>
        <u/>
      </rPr>
      <t>La República</t>
    </r>
    <r>
      <rPr>
        <rFont val="Arial, sans-serif"/>
        <color rgb="FF1155CC"/>
        <sz val="15.0"/>
        <u/>
      </rPr>
      <t>Dictan medidas por escasez de combustible para avión</t>
    </r>
    <r>
      <rPr>
        <rFont val="Arial, sans-serif"/>
        <color rgb="FF1155CC"/>
        <sz val="11.0"/>
        <u/>
      </rPr>
      <t>Deriva. Plantas de distribución podrán operar con existencias menores a 5 días para que mercado no quede desabastecido.</t>
    </r>
    <r>
      <rPr>
        <rFont val="Arial, sans-serif"/>
        <color rgb="FF1155CC"/>
        <sz val="12.0"/>
        <u/>
      </rPr>
      <t>.</t>
    </r>
    <r>
      <rPr>
        <rFont val="Arial, sans-serif"/>
        <color rgb="FF1155CC"/>
        <sz val="11.0"/>
        <u/>
      </rPr>
      <t>24 feb 2024</t>
    </r>
  </si>
  <si>
    <t>Dictan medidas por escasez de combustible para avión</t>
  </si>
  <si>
    <t>Plantas de distribución podrán operar con existencias menores a 5 días para que mercado no quede desabastecido.</t>
  </si>
  <si>
    <t>Measures issued due to shortage of airplane fuel</t>
  </si>
  <si>
    <t>Distribution plants will be able to operate with stocks of less than 5 days so that the market is not depleted.</t>
  </si>
  <si>
    <t>Energy Supply</t>
  </si>
  <si>
    <t>fuel shortage, airline industry</t>
  </si>
  <si>
    <t>escasez de combustible, industria aérea</t>
  </si>
  <si>
    <t>Fuel shortages may affect energy market stability.</t>
  </si>
  <si>
    <t>escasez, combustible, avión</t>
  </si>
  <si>
    <t>Slightly negative due to fuel scarcity concerns.</t>
  </si>
  <si>
    <t>Ligeramente negativo debido a la preocupación por la escasez de combustible.</t>
  </si>
  <si>
    <r>
      <rPr>
        <rFont val="Arial, sans-serif"/>
        <color rgb="FF1155CC"/>
        <sz val="9.0"/>
        <u/>
      </rPr>
      <t>Guía Repsol</t>
    </r>
    <r>
      <rPr>
        <rFont val="Arial, sans-serif"/>
        <color rgb="FF1155CC"/>
        <sz val="15.0"/>
        <u/>
      </rPr>
      <t>El primer menú de Gala gastro solo vegetal</t>
    </r>
    <r>
      <rPr>
        <rFont val="Arial, sans-serif"/>
        <color rgb="FF1155CC"/>
        <sz val="11.0"/>
        <u/>
      </rPr>
      <t>El chef David López ('Local de Ensayo', Murcia) ha elaborado un menú vegetal que recoge la tendencia que ha convertido a las verduras en ingrediente...</t>
    </r>
    <r>
      <rPr>
        <rFont val="Arial, sans-serif"/>
        <color rgb="FF1155CC"/>
        <sz val="12.0"/>
        <u/>
      </rPr>
      <t>.</t>
    </r>
    <r>
      <rPr>
        <rFont val="Arial, sans-serif"/>
        <color rgb="FF1155CC"/>
        <sz val="11.0"/>
        <u/>
      </rPr>
      <t>25 feb 2024</t>
    </r>
  </si>
  <si>
    <t>El primer menú de Gala gastro solo vegetal</t>
  </si>
  <si>
    <t>El chef David López ('Local de Ensayo', Murcia) ha elaborado un menú vegetal que recoge la tendencia que ha convertido a las verduras en ingrediente....</t>
  </si>
  <si>
    <t>The first vegetable-only Gala gastro menu</t>
  </si>
  <si>
    <t>Chef David López ('Local de Ensayo', Murcia) has developed a vegetable menu that reflects the trend that has turned vegetables into an ingredient....</t>
  </si>
  <si>
    <r>
      <rPr>
        <rFont val="Arial, sans-serif"/>
        <color rgb="FF1155CC"/>
        <sz val="9.0"/>
        <u/>
      </rPr>
      <t>Motor16</t>
    </r>
    <r>
      <rPr>
        <rFont val="Arial, sans-serif"/>
        <color rgb="FF1155CC"/>
        <sz val="15.0"/>
        <u/>
      </rPr>
      <t>Repostar en gasolineras de Repsol, Cepsa, Galp o BP: El informe definitivo para saber si merece la pena</t>
    </r>
    <r>
      <rPr>
        <rFont val="Arial, sans-serif"/>
        <color rgb="FF1155CC"/>
        <sz val="11.0"/>
        <u/>
      </rPr>
      <t>La Organización de Consumidores y Usuarios (OCU) llevó a cabo un estudio sobre los precios en las gasolineras de toda España. La principal conclusión del.</t>
    </r>
    <r>
      <rPr>
        <rFont val="Arial, sans-serif"/>
        <color rgb="FF1155CC"/>
        <sz val="12.0"/>
        <u/>
      </rPr>
      <t>.</t>
    </r>
    <r>
      <rPr>
        <rFont val="Arial, sans-serif"/>
        <color rgb="FF1155CC"/>
        <sz val="11.0"/>
        <u/>
      </rPr>
      <t>25 feb 2024</t>
    </r>
  </si>
  <si>
    <t>Repostar en gasolineras de Repsol, Cepsa, Galp o BP: El informe definitivo para saber si merece la pena</t>
  </si>
  <si>
    <t>La Organización de Consumidores y Usuarios (OCU) llevó a cabo un estudio sobre los precios en las gasolineras de toda España. La principal conclusión del...</t>
  </si>
  <si>
    <t>Refuel at Repsol, Cepsa, Galp or BP gas stations: The definitive report to know if it is worth it</t>
  </si>
  <si>
    <t>The Organization of Consumers and Users (OCU) carried out a study on prices at gas stations throughout Spain. The main conclusion of...</t>
  </si>
  <si>
    <t>fuel comparison, Repsol gas stations</t>
  </si>
  <si>
    <t>comparativa de combustibles, gasolineras Repsol</t>
  </si>
  <si>
    <t>Fuel quality assessments may influence Repsol’s public perception.</t>
  </si>
  <si>
    <r>
      <rPr>
        <rFont val="Arial, sans-serif"/>
        <color rgb="FF1155CC"/>
        <sz val="9.0"/>
        <u/>
      </rPr>
      <t>La Voz de Galicia</t>
    </r>
    <r>
      <rPr>
        <rFont val="Arial, sans-serif"/>
        <color rgb="FF1155CC"/>
        <sz val="15.0"/>
        <u/>
      </rPr>
      <t>Un año histórico: ¿Por qué no volverán los grandes petroleros, de hasta 200.000 toneladas de crudo, a A Coruña?</t>
    </r>
    <r>
      <rPr>
        <rFont val="Arial, sans-serif"/>
        <color rgb="FF1155CC"/>
        <sz val="11.0"/>
        <u/>
      </rPr>
      <t>Repsol descargó 3 millones de toneladas de petróleo en el puerto exterior y recibió 49 barcos desde la inauguración de su nueva terminal marítima el 3 de...</t>
    </r>
    <r>
      <rPr>
        <rFont val="Arial, sans-serif"/>
        <color rgb="FF1155CC"/>
        <sz val="12.0"/>
        <u/>
      </rPr>
      <t>.</t>
    </r>
    <r>
      <rPr>
        <rFont val="Arial, sans-serif"/>
        <color rgb="FF1155CC"/>
        <sz val="11.0"/>
        <u/>
      </rPr>
      <t>25 feb 2024</t>
    </r>
  </si>
  <si>
    <t>Un año histórico: ¿Por qué no volverán los grandes petroleros, de hasta 200.000 toneladas de crudo, a A Coruña?</t>
  </si>
  <si>
    <t>Repsol descargó 3 millones de toneladas de petróleo en el puerto exterior y recibió 49 barcos desde la inauguración de su nueva terminal marítima el 3 de....</t>
  </si>
  <si>
    <t>A historic year: Why won't the large oil tankers, with up to 200,000 tons of crude oil, return to A Coruña?</t>
  </si>
  <si>
    <t>Repsol unloaded 3 million tons of oil in the outer port and received 49 ships since the inauguration of its new maritime terminal on March 3....</t>
  </si>
  <si>
    <t>oil imports, energy logistics</t>
  </si>
  <si>
    <t>importaciones de petróleo, logística energética</t>
  </si>
  <si>
    <t>Managing oil imports effectively supports Repsol’s supply chain strategy.</t>
  </si>
  <si>
    <t>petroleros, terminal marítima</t>
  </si>
  <si>
    <t>Neutral-positive news about operational milestones.</t>
  </si>
  <si>
    <t>Noticias neutrales y positivas sobre hitos operativos.</t>
  </si>
  <si>
    <r>
      <rPr>
        <rFont val="Arial, sans-serif"/>
        <color rgb="FF1155CC"/>
        <sz val="9.0"/>
        <u/>
      </rPr>
      <t>Infobae</t>
    </r>
    <r>
      <rPr>
        <rFont val="Arial, sans-serif"/>
        <color rgb="FF1155CC"/>
        <sz val="15.0"/>
        <u/>
      </rPr>
      <t>Repsol exige US$ 197 millones de indemnización y responsabiliza a empresa italiana por derrame de petróleo en Ventanilla</t>
    </r>
    <r>
      <rPr>
        <rFont val="Arial, sans-serif"/>
        <color rgb="FF1155CC"/>
        <sz val="11.0"/>
        <u/>
      </rPr>
      <t>La refinería La Pampilla, subsidiaria de la filial peruana de Repsol, ha presentado una demanda contra la sociedad propietaria del buque Mare Doricum,...</t>
    </r>
    <r>
      <rPr>
        <rFont val="Arial, sans-serif"/>
        <color rgb="FF1155CC"/>
        <sz val="12.0"/>
        <u/>
      </rPr>
      <t>.</t>
    </r>
    <r>
      <rPr>
        <rFont val="Arial, sans-serif"/>
        <color rgb="FF1155CC"/>
        <sz val="11.0"/>
        <u/>
      </rPr>
      <t>25 feb 2024</t>
    </r>
  </si>
  <si>
    <t>Repsol exige US$ 197 millones de indemnización y responsabiliza a empresa italiana por derrame de petróleo en Ventanilla</t>
  </si>
  <si>
    <t>La refinería La Pampilla, subsidiaria de la filial peruana de Repsol, ha presentado una demanda contra la sociedad propietaria del buque Mare Doricum,...</t>
  </si>
  <si>
    <t>Repsol demands US$ 197 million in compensation and holds Italian company responsible for oil spill in Ventanilla</t>
  </si>
  <si>
    <t>The La Pampilla refinery, a subsidiary of the Peruvian subsidiary of Repsol, has filed a lawsuit against the company that owns the Mare Doricum ship,...</t>
  </si>
  <si>
    <t>Legal action reinforces Repsol’s strategy to recover financial damages.</t>
  </si>
  <si>
    <t>indemnización, demanda, derrame</t>
  </si>
  <si>
    <r>
      <rPr>
        <rFont val="Arial, sans-serif"/>
        <color rgb="FF1155CC"/>
        <sz val="9.0"/>
        <u/>
      </rPr>
      <t>Guía Repsol</t>
    </r>
    <r>
      <rPr>
        <rFont val="Arial, sans-serif"/>
        <color rgb="FF1155CC"/>
        <sz val="15.0"/>
        <u/>
      </rPr>
      <t>Dónde comer rico y barato en Cartagena: los Soletes del municipio que lo tiene todo</t>
    </r>
    <r>
      <rPr>
        <rFont val="Arial, sans-serif"/>
        <color rgb="FF1155CC"/>
        <sz val="11.0"/>
        <u/>
      </rPr>
      <t>Este año la Gala de los Soles Guía Repsol se celebra en Cartagena y qué fácil es entender también los Soletes desde aquí. 'Bar Pedrín', el lugar donde se...</t>
    </r>
    <r>
      <rPr>
        <rFont val="Arial, sans-serif"/>
        <color rgb="FF1155CC"/>
        <sz val="12.0"/>
        <u/>
      </rPr>
      <t>.</t>
    </r>
    <r>
      <rPr>
        <rFont val="Arial, sans-serif"/>
        <color rgb="FF1155CC"/>
        <sz val="11.0"/>
        <u/>
      </rPr>
      <t>25 feb 2024</t>
    </r>
  </si>
  <si>
    <t>Dónde comer rico y barato en Cartagena: los Soletes del municipio que lo tiene todo</t>
  </si>
  <si>
    <t>Este año la Gala de los Soles Guía Repsol se celebra en Cartagena y qué fácil es entender también los Soletes desde aquí. 'Bar Pedrín', el lugar donde se....</t>
  </si>
  <si>
    <t>Where to eat delicious and cheap in Cartagena: the Soletes of the municipality that has it all</t>
  </si>
  <si>
    <t>This year the Repsol Guide Soles Gala is held in Cartagena and how easy it is to also understand the Soletes from here. 'Bar Pedrín', the place where...</t>
  </si>
  <si>
    <r>
      <rPr>
        <rFont val="Arial, sans-serif"/>
        <color rgb="FF1155CC"/>
        <sz val="9.0"/>
        <u/>
      </rPr>
      <t>MAPFRE España</t>
    </r>
    <r>
      <rPr>
        <rFont val="Arial, sans-serif"/>
        <color rgb="FF1155CC"/>
        <sz val="15.0"/>
        <u/>
      </rPr>
      <t>Wible - El servicio de carsharing en Madrid</t>
    </r>
    <r>
      <rPr>
        <rFont val="Arial, sans-serif"/>
        <color rgb="FF1155CC"/>
        <sz val="11.0"/>
        <u/>
      </rPr>
      <t>Wible ha puesto 500 Kia Niro enchufables en Madrid que podrán circular con ellos hasta Getafe o Leganés. Conoce más detalles aquí.</t>
    </r>
    <r>
      <rPr>
        <rFont val="Arial, sans-serif"/>
        <color rgb="FF1155CC"/>
        <sz val="12.0"/>
        <u/>
      </rPr>
      <t>.</t>
    </r>
    <r>
      <rPr>
        <rFont val="Arial, sans-serif"/>
        <color rgb="FF1155CC"/>
        <sz val="11.0"/>
        <u/>
      </rPr>
      <t>25 feb 2024</t>
    </r>
  </si>
  <si>
    <t>MAPFRE España</t>
  </si>
  <si>
    <t>Wible - El servicio de carsharing en Madrid</t>
  </si>
  <si>
    <t>Wible ha puesto 500 Kia Niro enchufables en Madrid que podrán circular con ellos hasta Getafe o Leganés. Conoce más detalles aquí.</t>
  </si>
  <si>
    <t>Wible - The carsharing service in Madrid</t>
  </si>
  <si>
    <t>Wible has placed 500 plug-in Kia Niro in Madrid that will be able to travel with them to Getafe or Leganés. Learn more details here.</t>
  </si>
  <si>
    <t>Mobility</t>
  </si>
  <si>
    <r>
      <rPr>
        <rFont val="Arial, sans-serif"/>
        <color rgb="FF1155CC"/>
        <sz val="9.0"/>
        <u/>
      </rPr>
      <t>EL PAÍS</t>
    </r>
    <r>
      <rPr>
        <rFont val="Arial, sans-serif"/>
        <color rgb="FF1155CC"/>
        <sz val="15.0"/>
        <u/>
      </rPr>
      <t>Dónde comer en Huesca, según los propietarios del restaurante Callizo</t>
    </r>
    <r>
      <rPr>
        <rFont val="Arial, sans-serif"/>
        <color rgb="FF1155CC"/>
        <sz val="11.0"/>
        <u/>
      </rPr>
      <t>Son cuñados. Los cocineros Josetxu Souto (Ainsa, 54 años) y Ramón Aso (Jaca, 51 años) están casados con Eva y Pilar Sierra, al frente de la sala del...</t>
    </r>
    <r>
      <rPr>
        <rFont val="Arial, sans-serif"/>
        <color rgb="FF1155CC"/>
        <sz val="12.0"/>
        <u/>
      </rPr>
      <t>.</t>
    </r>
    <r>
      <rPr>
        <rFont val="Arial, sans-serif"/>
        <color rgb="FF1155CC"/>
        <sz val="11.0"/>
        <u/>
      </rPr>
      <t>25 feb 2024</t>
    </r>
  </si>
  <si>
    <t>Dónde comer en Huesca, según los propietarios del restaurante Callizo</t>
  </si>
  <si>
    <t>Son cuñados. Los cocineros Josetxu Souto (Ainsa, 54 años) y Ramón Aso (Jaca, 51 años) están casados con Eva y Pilar Sierra, al frente de la sala del....</t>
  </si>
  <si>
    <t>Where to eat in Huesca, according to the owners of the Callizo restaurant</t>
  </si>
  <si>
    <t>They are brothers-in-law. The chefs Josetxu Souto (Ainsa, 54 years old) and Ramón Aso (Jaca, 51 years old) are married to Eva and Pilar Sierra, in charge of the dining room....</t>
  </si>
  <si>
    <r>
      <rPr>
        <rFont val="Arial, sans-serif"/>
        <color rgb="FF1155CC"/>
        <sz val="9.0"/>
        <u/>
      </rPr>
      <t>Mundo Deportivo</t>
    </r>
    <r>
      <rPr>
        <rFont val="Arial, sans-serif"/>
        <color rgb="FF1155CC"/>
        <sz val="15.0"/>
        <u/>
      </rPr>
      <t>Marc Márquez responde a sus opciones de futuro más allá de 2024: "No es ningún secreto"</t>
    </r>
    <r>
      <rPr>
        <rFont val="Arial, sans-serif"/>
        <color rgb="FF1155CC"/>
        <sz val="11.0"/>
        <u/>
      </rPr>
      <t>El piloto del Gresini Racing firmó por un año con su nuevo equipo tras tomar la decisión de dejar el Repsol Honda Team. Ducati pone fecha a cuándo valorarán...</t>
    </r>
    <r>
      <rPr>
        <rFont val="Arial, sans-serif"/>
        <color rgb="FF1155CC"/>
        <sz val="12.0"/>
        <u/>
      </rPr>
      <t>.</t>
    </r>
    <r>
      <rPr>
        <rFont val="Arial, sans-serif"/>
        <color rgb="FF1155CC"/>
        <sz val="11.0"/>
        <u/>
      </rPr>
      <t>25 feb 2024</t>
    </r>
  </si>
  <si>
    <t>Marc Márquez responde a sus opciones de futuro más allá de 2024: "No es ningún secreto"</t>
  </si>
  <si>
    <t>El piloto del Gresini Racing firmó por un año con su nuevo equipo tras tomar la decisión de dejar el Repsol Honda Team. Ducati pone fecha a cuándo valorarán....</t>
  </si>
  <si>
    <t>Marc Márquez responds to his future options beyond 2024: "It's no secret"</t>
  </si>
  <si>
    <t>The Gresini Racing rider signed for one year with his new team after making the decision to leave the Repsol Honda Team. Ducati sets a date for when they will evaluate....</t>
  </si>
  <si>
    <r>
      <rPr>
        <rFont val="Arial, sans-serif"/>
        <color rgb="FF1155CC"/>
        <sz val="9.0"/>
        <u/>
      </rPr>
      <t>El Cierre Digital</t>
    </r>
    <r>
      <rPr>
        <rFont val="Arial, sans-serif"/>
        <color rgb="FF1155CC"/>
        <sz val="15.0"/>
        <u/>
      </rPr>
      <t>El día en el que condenaron a Luis Roldán, el exjefe de la Guardia Civil</t>
    </r>
    <r>
      <rPr>
        <rFont val="Arial, sans-serif"/>
        <color rgb="FF1155CC"/>
        <sz val="11.0"/>
        <u/>
      </rPr>
      <t>Hace 26 años que el exdirector general de la Guardia Civil, Luis Roldán, fue condenado por la Audiencia Nacional a 28 años de prisi&amp;oacu...</t>
    </r>
    <r>
      <rPr>
        <rFont val="Arial, sans-serif"/>
        <color rgb="FF1155CC"/>
        <sz val="12.0"/>
        <u/>
      </rPr>
      <t>.</t>
    </r>
    <r>
      <rPr>
        <rFont val="Arial, sans-serif"/>
        <color rgb="FF1155CC"/>
        <sz val="11.0"/>
        <u/>
      </rPr>
      <t>25 feb 2024</t>
    </r>
  </si>
  <si>
    <t>El Cierre Digital</t>
  </si>
  <si>
    <t>El día en el que condenaron a Luis Roldán, el exjefe de la Guardia Civil</t>
  </si>
  <si>
    <t>Hace 26 años que el exdirector general de la Guardia Civil, Luis Roldán, fue condenado por la Audiencia Nacional a 28 años de prisión.</t>
  </si>
  <si>
    <t>The day Luis Roldán, the former head of the Civil Guard, was convicted</t>
  </si>
  <si>
    <t>It has been 26 years since the former director general of the Civil Guard, Luis Roldán, was sentenced by the National Court to 28 years in prison.</t>
  </si>
  <si>
    <r>
      <rPr>
        <rFont val="Arial, sans-serif"/>
        <color rgb="FF1155CC"/>
        <sz val="9.0"/>
        <u/>
      </rPr>
      <t>20Minutos</t>
    </r>
    <r>
      <rPr>
        <rFont val="Arial, sans-serif"/>
        <color rgb="FF1155CC"/>
        <sz val="15.0"/>
        <u/>
      </rPr>
      <t>Cuántos restaurantes tiene Martín Berasategui y cuánto cuesta comer en ellos</t>
    </r>
    <r>
      <rPr>
        <rFont val="Arial, sans-serif"/>
        <color rgb="FF1155CC"/>
        <sz val="11.0"/>
        <u/>
      </rPr>
      <t>El de San Sebastián es el cocinero español galardonado con más estrellas Michelin. No sólo eso, tiene dos restaurantes con 3 estrellas.</t>
    </r>
    <r>
      <rPr>
        <rFont val="Arial, sans-serif"/>
        <color rgb="FF1155CC"/>
        <sz val="12.0"/>
        <u/>
      </rPr>
      <t>.</t>
    </r>
    <r>
      <rPr>
        <rFont val="Arial, sans-serif"/>
        <color rgb="FF1155CC"/>
        <sz val="11.0"/>
        <u/>
      </rPr>
      <t>25 feb 2024</t>
    </r>
  </si>
  <si>
    <t>Cuántos restaurantes tiene Martín Berasategui y cuánto cuesta comer en ellos</t>
  </si>
  <si>
    <t>El de San Sebastián es el cocinero español galardonado con más estrellas Michelin. No sólo eso, tiene dos restaurantes con 3 estrellas.</t>
  </si>
  <si>
    <t>How many restaurants does Martín Berasategui have and how much does it cost to eat in them?</t>
  </si>
  <si>
    <t>The one from San Sebastián is the Spanish chef awarded the most Michelin stars. Not only that, it has two 3-star restaurants.</t>
  </si>
  <si>
    <r>
      <rPr>
        <rFont val="Arial, sans-serif"/>
        <color rgb="FF1155CC"/>
        <sz val="9.0"/>
        <u/>
      </rPr>
      <t>El Economista</t>
    </r>
    <r>
      <rPr>
        <rFont val="Arial, sans-serif"/>
        <color rgb="FF1155CC"/>
        <sz val="15.0"/>
        <u/>
      </rPr>
      <t>Repsol alcanzará los 4 millones de clientes de luz y gas en 2027</t>
    </r>
    <r>
      <rPr>
        <rFont val="Arial, sans-serif"/>
        <color rgb="FF1155CC"/>
        <sz val="11.0"/>
        <u/>
      </rPr>
      <t>Cumplir, con dos años de antelación, gran parte de los objetivos proyectados en el Plan Estratégico 2021-2025, ha permitido a Repsol ...</t>
    </r>
    <r>
      <rPr>
        <rFont val="Arial, sans-serif"/>
        <color rgb="FF1155CC"/>
        <sz val="12.0"/>
        <u/>
      </rPr>
      <t>.</t>
    </r>
    <r>
      <rPr>
        <rFont val="Arial, sans-serif"/>
        <color rgb="FF1155CC"/>
        <sz val="11.0"/>
        <u/>
      </rPr>
      <t>26 feb 2024</t>
    </r>
  </si>
  <si>
    <t>Repsol alcanzará los 4 millones de clientes de luz y gas en 2027</t>
  </si>
  <si>
    <t>Cumplir, con dos años de antelación, gran parte de los objetivos proyectados en el Plan Estratégico 2021-2025, ha permitido a Repsol ....</t>
  </si>
  <si>
    <t>Repsol will reach 4 million electricity and gas customers in 2027</t>
  </si>
  <si>
    <t>Fulfilling, two years in advance, a large part of the objectives projected in the 2021-2025 Strategic Plan, has allowed Repsol to...</t>
  </si>
  <si>
    <t>electricity and gas customers, growth strategy</t>
  </si>
  <si>
    <t>clientes de electricidad y gas, estrategia de crecimiento</t>
  </si>
  <si>
    <t>Increasing customer base strengthens Repsol’s energy market presence.</t>
  </si>
  <si>
    <t>clientes, luz, gas, objetivos</t>
  </si>
  <si>
    <t>Positive news about achieving strategic goals and expanding customer base.</t>
  </si>
  <si>
    <t>Noticias positivas sobre el logro de objetivos estratégicos y la ampliación de la base de clientes.</t>
  </si>
  <si>
    <r>
      <rPr>
        <rFont val="Arial, sans-serif"/>
        <color rgb="FF1155CC"/>
        <sz val="9.0"/>
        <u/>
      </rPr>
      <t>Libre Mercado</t>
    </r>
    <r>
      <rPr>
        <rFont val="Arial, sans-serif"/>
        <color rgb="FF1155CC"/>
        <sz val="15.0"/>
        <u/>
      </rPr>
      <t>Repsol pondrá en operación este año la cifra récord de 1,3 GW renovables</t>
    </r>
    <r>
      <rPr>
        <rFont val="Arial, sans-serif"/>
        <color rgb="FF1155CC"/>
        <sz val="11.0"/>
        <u/>
      </rPr>
      <t>Además, Repsol acelerará dos de sus proyectos 'estrella' en Estados Unidos, los solares 'Frye' y 'Outpost.</t>
    </r>
    <r>
      <rPr>
        <rFont val="Arial, sans-serif"/>
        <color rgb="FF1155CC"/>
        <sz val="12.0"/>
        <u/>
      </rPr>
      <t>.</t>
    </r>
    <r>
      <rPr>
        <rFont val="Arial, sans-serif"/>
        <color rgb="FF1155CC"/>
        <sz val="11.0"/>
        <u/>
      </rPr>
      <t>26 feb 2024</t>
    </r>
  </si>
  <si>
    <t>Repsol pondrá en operación este año la cifra récord de 1,3 GW renovables</t>
  </si>
  <si>
    <t>Repsol pondrá en operación este año la cifra récord de 1,3 GW renovables. Además, Repsol acelerará dos de sus proyectos 'estrella' en Estados Unidos, los solares 'Frye' y 'Outpost'.</t>
  </si>
  <si>
    <t>Repsol will put into operation this year the record figure of 1.3 GW of renewables</t>
  </si>
  <si>
    <t>Repsol will put into operation a record 1.3 GW of renewable energy this year. In addition, Repsol will accelerate two of its 'star' projects in the United States, the 'Frye' and 'Outpost' sites.</t>
  </si>
  <si>
    <t>renewable energy, 1.3 GW capacity</t>
  </si>
  <si>
    <t>energía renovable, 1,3 GW de capacidad</t>
  </si>
  <si>
    <t>Expanding renewable energy production aligns with Repsol’s sustainability goals.</t>
  </si>
  <si>
    <t>renovables, proyectos, energía solar</t>
  </si>
  <si>
    <t>Positive news about renewable energy projects, boosting Repsol's sustainability efforts.</t>
  </si>
  <si>
    <t>Noticias positivas sobre proyectos de energías renovables, que impulsan el esfuerzo de Repsol en materia de sostenibilidad.</t>
  </si>
  <si>
    <r>
      <rPr>
        <rFont val="Arial, sans-serif"/>
        <color rgb="FF1155CC"/>
        <sz val="9.0"/>
        <u/>
      </rPr>
      <t>Interempresas.net</t>
    </r>
    <r>
      <rPr>
        <rFont val="Arial, sans-serif"/>
        <color rgb="FF1155CC"/>
        <sz val="15.0"/>
        <u/>
      </rPr>
      <t>Repsol distribuirá combustibles 100% renovables en 1.900 estaciones de servicio en 2027</t>
    </r>
    <r>
      <rPr>
        <rFont val="Arial, sans-serif"/>
        <color rgb="FF1155CC"/>
        <sz val="11.0"/>
        <u/>
      </rPr>
      <t>Repsol ha fijado una meta ambiciosa en su estrategia de transición energética: ampliar la comercialización de combustibles 100% renovables a 2.000...</t>
    </r>
    <r>
      <rPr>
        <rFont val="Arial, sans-serif"/>
        <color rgb="FF1155CC"/>
        <sz val="12.0"/>
        <u/>
      </rPr>
      <t>.</t>
    </r>
    <r>
      <rPr>
        <rFont val="Arial, sans-serif"/>
        <color rgb="FF1155CC"/>
        <sz val="11.0"/>
        <u/>
      </rPr>
      <t>26 feb 2024</t>
    </r>
  </si>
  <si>
    <t>Repsol distribuirá combustibles 100% renovables en 1.900 estaciones de servicio en 2027</t>
  </si>
  <si>
    <t>Repsol ha fijado una meta ambiciosa en su estrategia de transición energética: ampliar la comercialización de combustibles 100% renovables a 2.000....</t>
  </si>
  <si>
    <t>Repsol will distribute 100% renewable fuels in 1,900 service stations in 2027</t>
  </si>
  <si>
    <t>Repsol has set an ambitious goal in its energy transition strategy: to expand the commercialization of 100% renewable fuels to 2,000...</t>
  </si>
  <si>
    <t>Expanding renewable fuels infrastructure reinforces Repsol’s environmental commitment.</t>
  </si>
  <si>
    <t>combustibles renovables, transición energética</t>
  </si>
  <si>
    <t>Positive news about ambitious renewable energy goals.</t>
  </si>
  <si>
    <t>Noticias positivas sobre ambiciosos objetivos de energía renovable.</t>
  </si>
  <si>
    <r>
      <rPr>
        <rFont val="Arial, sans-serif"/>
        <color rgb="FF1155CC"/>
        <sz val="9.0"/>
        <u/>
      </rPr>
      <t>Expansión</t>
    </r>
    <r>
      <rPr>
        <rFont val="Arial, sans-serif"/>
        <color rgb="FF1155CC"/>
        <sz val="15.0"/>
        <u/>
      </rPr>
      <t>Inversores saudíes y chinos entran en los pozos petrolíferos de Repsol a través de EIG</t>
    </r>
    <r>
      <rPr>
        <rFont val="Arial, sans-serif"/>
        <color rgb="FF1155CC"/>
        <sz val="11.0"/>
        <u/>
      </rPr>
      <t>Decenas de inversores americanos, árabes, asiáticos e incluso alguno con vínculos rusos han tomado participaciones en Repsol Upstream, aprovechando el...</t>
    </r>
    <r>
      <rPr>
        <rFont val="Arial, sans-serif"/>
        <color rgb="FF1155CC"/>
        <sz val="12.0"/>
        <u/>
      </rPr>
      <t>.</t>
    </r>
    <r>
      <rPr>
        <rFont val="Arial, sans-serif"/>
        <color rgb="FF1155CC"/>
        <sz val="11.0"/>
        <u/>
      </rPr>
      <t>26 feb 2024</t>
    </r>
  </si>
  <si>
    <t>Inversores saudíes y chinos entran en los pozos petrolíferos de Repsol a través de EIG</t>
  </si>
  <si>
    <t>Decenas de inversores americanos, árabes, asiáticos e incluso alguno con vínculos rusos han tomado participaciones en Repsol Upstream, aprovechando el....</t>
  </si>
  <si>
    <t>Saudi and Chinese investors enter Repsol oil wells through EIG</t>
  </si>
  <si>
    <t>Dozens of American, Arab, Asian investors and even some with Russian ties have taken stakes in Repsol Upstream, taking advantage of the...</t>
  </si>
  <si>
    <t>foreign investment, Repsol oil wells</t>
  </si>
  <si>
    <t>inversión extranjera, pozos de petróleo de Repsol</t>
  </si>
  <si>
    <t>Attracting global investors strengthens Repsol’s financial and operational stability.</t>
  </si>
  <si>
    <t>inversores, petrolíferos</t>
  </si>
  <si>
    <t>Neutral-positive news about investments, but no direct impact on Repsol's image.</t>
  </si>
  <si>
    <t>Noticias neutrales-positivas sobre inversiones, pero sin impacto directo en la imagen de Repsol.</t>
  </si>
  <si>
    <r>
      <rPr>
        <rFont val="Arial, sans-serif"/>
        <color rgb="FF1155CC"/>
        <sz val="9.0"/>
        <u/>
      </rPr>
      <t>Guía Repsol</t>
    </r>
    <r>
      <rPr>
        <rFont val="Arial, sans-serif"/>
        <color rgb="FF1155CC"/>
        <sz val="15.0"/>
        <u/>
      </rPr>
      <t>Restaurante Bakea (Mungia, Bizkaia): Hierro, leña, territorio y memoria</t>
    </r>
    <r>
      <rPr>
        <rFont val="Arial, sans-serif"/>
        <color rgb="FF1155CC"/>
        <sz val="11.0"/>
        <u/>
      </rPr>
      <t>Alatz Bilbao ha puesto a Mungia en el mapa gastronómico con 'Bakea' (Un Sol Guía Repsol 2024), un restaurante que aúna metalurgia y cocina.</t>
    </r>
    <r>
      <rPr>
        <rFont val="Arial, sans-serif"/>
        <color rgb="FF1155CC"/>
        <sz val="12.0"/>
        <u/>
      </rPr>
      <t>.</t>
    </r>
    <r>
      <rPr>
        <rFont val="Arial, sans-serif"/>
        <color rgb="FF1155CC"/>
        <sz val="11.0"/>
        <u/>
      </rPr>
      <t>26 feb 2024</t>
    </r>
  </si>
  <si>
    <t>Restaurante Bakea (Mungia, Bizkaia): Hierro, leña, territorio y memoria</t>
  </si>
  <si>
    <t>Alatz Bilbao ha puesto a Mungia en el mapa gastronómico con 'Bakea' (Un Sol Guía Repsol 2024), un restaurante que aúna metalurgia y cocina.</t>
  </si>
  <si>
    <t>Bakea Restaurant (Mungia, Bizkaia): Iron, firewood, territory and memory</t>
  </si>
  <si>
    <t>Alatz Bilbao has put Mungia on the gastronomic map with 'Bakea' (Un Sol Guía Repsol 2024), a restaurant that combines metallurgy and cuisine.</t>
  </si>
  <si>
    <r>
      <rPr>
        <rFont val="Arial, sans-serif"/>
        <color rgb="FF1155CC"/>
        <sz val="9.0"/>
        <u/>
      </rPr>
      <t>La Provincia</t>
    </r>
    <r>
      <rPr>
        <rFont val="Arial, sans-serif"/>
        <color rgb="FF1155CC"/>
        <sz val="15.0"/>
        <u/>
      </rPr>
      <t>22 Michelín y Soles Repsol de Gran Canaria honran a la cocina del kilómetro cero</t>
    </r>
    <r>
      <rPr>
        <rFont val="Arial, sans-serif"/>
        <color rgb="FF1155CC"/>
        <sz val="11.0"/>
        <u/>
      </rPr>
      <t>Acto de reconocimiento a los restaurantes de la isla que forma parte de las guías gastronómicas Michelín y Repsol / José Carlos Guerra.</t>
    </r>
    <r>
      <rPr>
        <rFont val="Arial, sans-serif"/>
        <color rgb="FF1155CC"/>
        <sz val="12.0"/>
        <u/>
      </rPr>
      <t>.</t>
    </r>
    <r>
      <rPr>
        <rFont val="Arial, sans-serif"/>
        <color rgb="FF1155CC"/>
        <sz val="11.0"/>
        <u/>
      </rPr>
      <t>26 feb 2024</t>
    </r>
  </si>
  <si>
    <t>Michelín y Soles Repsol de Gran Canaria honran a la cocina del kilómetro cero</t>
  </si>
  <si>
    <t>Acto de reconocimiento a los restaurantes de la isla que forma parte de las guías gastronómicas Michelín y Repsol / José Carlos Guerra.</t>
  </si>
  <si>
    <t>Michelin and Repsol Soles of Gran Canaria honor the cuisine of kilometer zero</t>
  </si>
  <si>
    <t>Act of recognition for the island's restaurants that are part of the Michelin and Repsol gastronomic guides / José Carlos Guerra.</t>
  </si>
  <si>
    <r>
      <rPr>
        <rFont val="Arial, sans-serif"/>
        <color rgb="FF1155CC"/>
        <sz val="9.0"/>
        <u/>
      </rPr>
      <t>La Opinión de Murcia</t>
    </r>
    <r>
      <rPr>
        <rFont val="Arial, sans-serif"/>
        <color rgb="FF1155CC"/>
        <sz val="15.0"/>
        <u/>
      </rPr>
      <t>El chef de 'Local de Ensayo' llevará la huerta de Murcia al cóctel de la Gala de los Soles de la Guía Repsol</t>
    </r>
    <r>
      <rPr>
        <rFont val="Arial, sans-serif"/>
        <color rgb="FF1155CC"/>
        <sz val="11.0"/>
        <u/>
      </rPr>
      <t>David López será el encargado de elaborar el menú que se servirá tras la Entrega de los Soles, en Cartagena, el próximo 4 de marzo.</t>
    </r>
    <r>
      <rPr>
        <rFont val="Arial, sans-serif"/>
        <color rgb="FF1155CC"/>
        <sz val="12.0"/>
        <u/>
      </rPr>
      <t>.</t>
    </r>
    <r>
      <rPr>
        <rFont val="Arial, sans-serif"/>
        <color rgb="FF1155CC"/>
        <sz val="11.0"/>
        <u/>
      </rPr>
      <t>26 feb 2024</t>
    </r>
  </si>
  <si>
    <t>El chef de 'Local de Ensayo' llevará la huerta de Murcia al cóctel de la Gala de los Soles de la Guía Repsol</t>
  </si>
  <si>
    <t>El chef de 'Local de Ensayo' llevará la huerta de Murcia al cóctel de la Gala de los Soles de la Guía Repsol. David López será el encargado de elaborar el menú que se servirá tras la Entrega de los Soles, en Cartagena, el próximo 4 de marzo.</t>
  </si>
  <si>
    <t>The chef from 'Local de Ensayo' will bring the Murcia garden to the Repsol Guide's Gala de los Soles cocktail party</t>
  </si>
  <si>
    <t>The chef from 'Local de Ensayo' will bring the Murcia garden to the Repsol Guide's Gala de los Soles cocktail party. David López will be in charge of preparing the menu that will be served after the Delivery of the Suns, in Cartagena, on March 4.</t>
  </si>
  <si>
    <r>
      <rPr>
        <rFont val="Arial, sans-serif"/>
        <color rgb="FF1155CC"/>
        <sz val="9.0"/>
        <u/>
      </rPr>
      <t>Telecinco</t>
    </r>
    <r>
      <rPr>
        <rFont val="Arial, sans-serif"/>
        <color rgb="FF1155CC"/>
        <sz val="15.0"/>
        <u/>
      </rPr>
      <t>El colectivo "Justicia para Unai" se manifiesta de nuevo en A Coruña</t>
    </r>
    <r>
      <rPr>
        <rFont val="Arial, sans-serif"/>
        <color rgb="FF1155CC"/>
        <sz val="11.0"/>
        <u/>
      </rPr>
      <t>Unai Martínez falleció en la refinería Repsol en 2022, en un accidente en el que otro operario resultó herido. Allegados del operario piden “que se...</t>
    </r>
    <r>
      <rPr>
        <rFont val="Arial, sans-serif"/>
        <color rgb="FF1155CC"/>
        <sz val="12.0"/>
        <u/>
      </rPr>
      <t>.</t>
    </r>
    <r>
      <rPr>
        <rFont val="Arial, sans-serif"/>
        <color rgb="FF1155CC"/>
        <sz val="11.0"/>
        <u/>
      </rPr>
      <t>26 feb 2024</t>
    </r>
  </si>
  <si>
    <t>Telecinco</t>
  </si>
  <si>
    <t>El colectivo "Justicia para Unai" se manifiesta de nuevo en A Coruña</t>
  </si>
  <si>
    <t>El colectivo "Justicia para Unai" se manifiesta de nuevo en A Coruña. Unai Martínez falleció en la refinería Repsol en 2022, en un accidente en el que otro operario resultó herido. Allegados del operario piden “que se....</t>
  </si>
  <si>
    <t>The "Justice for Unai" collective demonstrates again in A Coruña</t>
  </si>
  <si>
    <t>The "Justice for Unai" collective demonstrates again in A Coruña. Unai Martínez died at the Repsol refinery in 2022, in an accident in which another operator was injured. Relatives of the operator ask “that...</t>
  </si>
  <si>
    <r>
      <rPr>
        <rFont val="Arial, sans-serif"/>
        <color rgb="FF1155CC"/>
        <sz val="9.0"/>
        <u/>
      </rPr>
      <t>El Periódico de la Energía</t>
    </r>
    <r>
      <rPr>
        <rFont val="Arial, sans-serif"/>
        <color rgb="FF1155CC"/>
        <sz val="15.0"/>
        <u/>
      </rPr>
      <t>Iberdrola suministrará energía 'verde' durante 15 años a Telefónica en Alemania</t>
    </r>
    <r>
      <rPr>
        <rFont val="Arial, sans-serif"/>
        <color rgb="FF1155CC"/>
        <sz val="11.0"/>
        <u/>
      </rPr>
      <t>Iberdrola Deutschland y O2 Telefónica han sellado un acuerdo para la compraventa de energía (PPA, por sus siglas en inglés) a largo plazo.</t>
    </r>
    <r>
      <rPr>
        <rFont val="Arial, sans-serif"/>
        <color rgb="FF1155CC"/>
        <sz val="12.0"/>
        <u/>
      </rPr>
      <t>.</t>
    </r>
    <r>
      <rPr>
        <rFont val="Arial, sans-serif"/>
        <color rgb="FF1155CC"/>
        <sz val="11.0"/>
        <u/>
      </rPr>
      <t>26 feb 2024</t>
    </r>
  </si>
  <si>
    <t>Iberdrola suministrará energía 'verde' durante 15 años a Telefónica en Alemania</t>
  </si>
  <si>
    <t>Iberdrola Deutschland y O2 Telefónica han sellado un acuerdo para la compraventa de energía (PPA, por sus siglas en inglés) a largo plazo.</t>
  </si>
  <si>
    <t>Iberdrola will supply 'green' energy for 15 years to Telefónica in Germany</t>
  </si>
  <si>
    <t>Iberdrola Deutschland and O2 Telefónica have signed a long-term power purchase agreement (PPA).</t>
  </si>
  <si>
    <t>Energy Market</t>
  </si>
  <si>
    <t>Energy agreements from competitors do not impact Repsol’s business.</t>
  </si>
  <si>
    <r>
      <rPr>
        <rFont val="Arial, sans-serif"/>
        <color rgb="FF1155CC"/>
        <sz val="9.0"/>
        <u/>
      </rPr>
      <t>Guía Repsol</t>
    </r>
    <r>
      <rPr>
        <rFont val="Arial, sans-serif"/>
        <color rgb="FF1155CC"/>
        <sz val="15.0"/>
        <u/>
      </rPr>
      <t>Artesanía de pírgano: el último cestero de Lanzarote</t>
    </r>
    <r>
      <rPr>
        <rFont val="Arial, sans-serif"/>
        <color rgb="FF1155CC"/>
        <sz val="11.0"/>
        <u/>
      </rPr>
      <t>Eulogio Concepción, a sus 90 años, se sienta cada día en su taller con las puertas abiertas a la calle y comienza a trabajar el pírgano.</t>
    </r>
    <r>
      <rPr>
        <rFont val="Arial, sans-serif"/>
        <color rgb="FF1155CC"/>
        <sz val="12.0"/>
        <u/>
      </rPr>
      <t>.</t>
    </r>
    <r>
      <rPr>
        <rFont val="Arial, sans-serif"/>
        <color rgb="FF1155CC"/>
        <sz val="11.0"/>
        <u/>
      </rPr>
      <t>26 feb 2024</t>
    </r>
  </si>
  <si>
    <t>Artesanía de pírgano: el último cestero de Lanzarote</t>
  </si>
  <si>
    <t>Eulogio Concepción, a sus 90 años, se sienta cada día en su taller con las puertas abiertas a la calle y comienza a trabajar el pírgano.</t>
  </si>
  <si>
    <t>Pírgano craftsmanship: the last basket maker of Lanzarote</t>
  </si>
  <si>
    <t>Eulogio Concepción, at 90 years old, sits every day in his workshop with the doors open to the street and begins to work on the whirligig.</t>
  </si>
  <si>
    <r>
      <rPr>
        <rFont val="Arial, sans-serif"/>
        <color rgb="FF1155CC"/>
        <sz val="9.0"/>
        <u/>
      </rPr>
      <t>Diario Público</t>
    </r>
    <r>
      <rPr>
        <rFont val="Arial, sans-serif"/>
        <color rgb="FF1155CC"/>
        <sz val="15.0"/>
        <u/>
      </rPr>
      <t>Imaz gana 3,93 millones como consejero delegado de Repsol en 2023</t>
    </r>
    <r>
      <rPr>
        <rFont val="Arial, sans-serif"/>
        <color rgb="FF1155CC"/>
        <sz val="11.0"/>
        <u/>
      </rPr>
      <t>Josu Jon Imaz percibió como consejero delegado de Repsol una retribución total de 3,93 millones de euros en 2023, lo que representa un 4,96% menos que los...</t>
    </r>
    <r>
      <rPr>
        <rFont val="Arial, sans-serif"/>
        <color rgb="FF1155CC"/>
        <sz val="12.0"/>
        <u/>
      </rPr>
      <t>.</t>
    </r>
    <r>
      <rPr>
        <rFont val="Arial, sans-serif"/>
        <color rgb="FF1155CC"/>
        <sz val="11.0"/>
        <u/>
      </rPr>
      <t>27 feb 2024</t>
    </r>
  </si>
  <si>
    <t>Imaz gana 3,93 millones como consejero delegado de Repsol en 2023</t>
  </si>
  <si>
    <t>Josu Jon Imaz percibió como consejero delegado de Repsol una retribución total de 3,93 millones de euros en 2023, lo que representa un 4,96% menos que los....</t>
  </si>
  <si>
    <t>Imaz earns 3.93 million as CEO of Repsol in 2023</t>
  </si>
  <si>
    <t>Josu Jon Imaz received a total remuneration of 3.93 million euros as CEO of Repsol in 2023, which represents 4.96% less than the...</t>
  </si>
  <si>
    <t>consejero delegado, retribución</t>
  </si>
  <si>
    <t>Slightly negative due to high executive compensation, which may attract criticism.</t>
  </si>
  <si>
    <t>Ligeramente negativo debido a la elevada remuneración de los ejecutivos, que puede generar críticas.</t>
  </si>
  <si>
    <r>
      <rPr>
        <rFont val="Arial, sans-serif"/>
        <color rgb="FF1155CC"/>
        <sz val="9.0"/>
        <u/>
      </rPr>
      <t>Guía Repsol</t>
    </r>
    <r>
      <rPr>
        <rFont val="Arial, sans-serif"/>
        <color rgb="FF1155CC"/>
        <sz val="15.0"/>
        <u/>
      </rPr>
      <t>Char Fuego y Brasas, La Caleta (Tenerife)</t>
    </r>
    <r>
      <rPr>
        <rFont val="Arial, sans-serif"/>
        <color rgb="FF1155CC"/>
        <sz val="11.0"/>
        <u/>
      </rPr>
      <t>El restaurante 'Char' (Un Sol Guía Repsol 2024) da la campanada con el éxito de las chuletas que sirve en un enclave marinero como La Caleta de Adeje.</t>
    </r>
    <r>
      <rPr>
        <rFont val="Arial, sans-serif"/>
        <color rgb="FF1155CC"/>
        <sz val="12.0"/>
        <u/>
      </rPr>
      <t>.</t>
    </r>
    <r>
      <rPr>
        <rFont val="Arial, sans-serif"/>
        <color rgb="FF1155CC"/>
        <sz val="11.0"/>
        <u/>
      </rPr>
      <t>27 feb 2024</t>
    </r>
  </si>
  <si>
    <t>Char Fuego y Brasas, La Caleta (Tenerife) da la campanada con el éxito de las chuletas.</t>
  </si>
  <si>
    <t>El restaurante 'Char' (Un Sol Guía Repsol 2024) da la campanada con el éxito de las chuletas que sirve en un enclave marinero como La Caleta de Adeje.</t>
  </si>
  <si>
    <t>Char Fuego y Brasas, La Caleta (Tenerife) makes a splash with the success of the chops.</t>
  </si>
  <si>
    <t>The restaurant 'Char' (Un Sol Guía Repsol 2024) makes a splash with the success of the chops it serves in a seaside enclave like La Caleta de Adeje.</t>
  </si>
  <si>
    <r>
      <rPr>
        <rFont val="Arial, sans-serif"/>
        <color rgb="FF1155CC"/>
        <sz val="9.0"/>
        <u/>
      </rPr>
      <t>Expansión</t>
    </r>
    <r>
      <rPr>
        <rFont val="Arial, sans-serif"/>
        <color rgb="FF1155CC"/>
        <sz val="15.0"/>
        <u/>
      </rPr>
      <t>¿Puede subir Repsol otro 20% en Bolsa?</t>
    </r>
    <r>
      <rPr>
        <rFont val="Arial, sans-serif"/>
        <color rgb="FF1155CC"/>
        <sz val="11.0"/>
        <u/>
      </rPr>
      <t>Repsol está haciendo una exhibición de fuerza en Bolsa tras la presentación, el pasado jueves, de un nuevo plan estratégico que ha recibido el visto bueno...</t>
    </r>
    <r>
      <rPr>
        <rFont val="Arial, sans-serif"/>
        <color rgb="FF1155CC"/>
        <sz val="12.0"/>
        <u/>
      </rPr>
      <t>.</t>
    </r>
    <r>
      <rPr>
        <rFont val="Arial, sans-serif"/>
        <color rgb="FF1155CC"/>
        <sz val="11.0"/>
        <u/>
      </rPr>
      <t>27 feb 2024</t>
    </r>
  </si>
  <si>
    <t>¿Puede subir Repsol otro 20% en Bolsa?</t>
  </si>
  <si>
    <t>Repsol está haciendo una exhibición de fuerza en Bolsa tras la presentación, el pasado jueves, de un nuevo plan estratégico que ha recibido el visto bueno.</t>
  </si>
  <si>
    <t>Can Repsol rise another 20% on the stock market?</t>
  </si>
  <si>
    <t>Repsol is making a show of strength on the stock market after the presentation, last Thursday, of a new strategic plan that has received approval.</t>
  </si>
  <si>
    <t>stock market rise, Repsol performance</t>
  </si>
  <si>
    <t>Subida bursátil, Evolución de Repsol</t>
  </si>
  <si>
    <t>Strong stock performance reinforces investor confidence.</t>
  </si>
  <si>
    <t>Bolsa, plan estratégico</t>
  </si>
  <si>
    <t>Positive news about Repsol's financial performance and strategic plans.</t>
  </si>
  <si>
    <t>Noticias positivas sobre el desempeño financiero y los planes estratégicos de Repsol.</t>
  </si>
  <si>
    <r>
      <rPr>
        <rFont val="Arial, sans-serif"/>
        <color rgb="FF1155CC"/>
        <sz val="9.0"/>
        <u/>
      </rPr>
      <t>Universidad Pontificia Comillas</t>
    </r>
    <r>
      <rPr>
        <rFont val="Arial, sans-serif"/>
        <color rgb="FF1155CC"/>
        <sz val="15.0"/>
        <u/>
      </rPr>
      <t>Modelo de costes del hidrógeno dorado</t>
    </r>
    <r>
      <rPr>
        <rFont val="Arial, sans-serif"/>
        <color rgb="FF1155CC"/>
        <sz val="11.0"/>
        <u/>
      </rPr>
      <t>Publicación del modelo de costes del hidrógeno dorado. Desde el año 2021 la Cátedra viene proponiendo el hidrógeno dorado (HyBECCS) como alternativa para...</t>
    </r>
    <r>
      <rPr>
        <rFont val="Arial, sans-serif"/>
        <color rgb="FF1155CC"/>
        <sz val="12.0"/>
        <u/>
      </rPr>
      <t>.</t>
    </r>
    <r>
      <rPr>
        <rFont val="Arial, sans-serif"/>
        <color rgb="FF1155CC"/>
        <sz val="11.0"/>
        <u/>
      </rPr>
      <t>27 feb 2024</t>
    </r>
  </si>
  <si>
    <t>Modelo de costes del hidrógeno dorado</t>
  </si>
  <si>
    <t>Publicación del modelo de costes del hidrógeno dorado. Desde el año 2021 la Cátedra viene proponiendo el hidrógeno dorado (HyBECCS) como alternativa para....</t>
  </si>
  <si>
    <t>Golden hydrogen cost model</t>
  </si>
  <si>
    <t>Golden hydrogen cost model published. Since 2021, the Chair has been proposing golden hydrogen (HyBECCS) as an alternative for...</t>
  </si>
  <si>
    <t>Hydrogen cost models do not directly impact Repsol’s business.</t>
  </si>
  <si>
    <r>
      <rPr>
        <rFont val="Arial, sans-serif"/>
        <color rgb="FF1155CC"/>
        <sz val="9.0"/>
        <u/>
      </rPr>
      <t>Box Repsol</t>
    </r>
    <r>
      <rPr>
        <rFont val="Arial, sans-serif"/>
        <color rgb="FF1155CC"/>
        <sz val="15.0"/>
        <u/>
      </rPr>
      <t>Las 5 mejores rutas en moto por Valencia</t>
    </r>
    <r>
      <rPr>
        <rFont val="Arial, sans-serif"/>
        <color rgb="FF1155CC"/>
        <sz val="11.0"/>
        <u/>
      </rPr>
      <t>Explora las mejores rutas en moto por Valencia: naturaleza, cultura y diversión en un solo viaje. ¡Planifica tu próxima aventura en esta hermosa comunidad!</t>
    </r>
    <r>
      <rPr>
        <rFont val="Arial, sans-serif"/>
        <color rgb="FF1155CC"/>
        <sz val="12.0"/>
        <u/>
      </rPr>
      <t>.</t>
    </r>
    <r>
      <rPr>
        <rFont val="Arial, sans-serif"/>
        <color rgb="FF1155CC"/>
        <sz val="11.0"/>
        <u/>
      </rPr>
      <t>27 feb 2024</t>
    </r>
  </si>
  <si>
    <t>Las 5 mejores rutas en moto por Valencia</t>
  </si>
  <si>
    <t>Explora las mejores rutas en moto por Valencia: naturaleza, cultura y diversión en un solo viaje. ¡Planifica tu próxima aventura en esta hermosa comunidad!.</t>
  </si>
  <si>
    <t>The 5 best motorcycle routes through Valencia</t>
  </si>
  <si>
    <t>Explore the best motorcycle routes through Valencia: nature, culture and fun in a single trip. Plan your next adventure in this beautiful community!</t>
  </si>
  <si>
    <r>
      <rPr>
        <rFont val="Arial, sans-serif"/>
        <color rgb="FF1155CC"/>
        <sz val="9.0"/>
        <u/>
      </rPr>
      <t>heraldo.es</t>
    </r>
    <r>
      <rPr>
        <rFont val="Arial, sans-serif"/>
        <color rgb="FF1155CC"/>
        <sz val="15.0"/>
        <u/>
      </rPr>
      <t>Zara revalida por cuarto año el título de marca más valiosa de España</t>
    </r>
    <r>
      <rPr>
        <rFont val="Arial, sans-serif"/>
        <color rgb="FF1155CC"/>
        <sz val="11.0"/>
        <u/>
      </rPr>
      <t>Le siguen Banco Santander y Movistar en una lista en la que también destacan Mercadona, Bershka o Massimo Dutti.</t>
    </r>
    <r>
      <rPr>
        <rFont val="Arial, sans-serif"/>
        <color rgb="FF1155CC"/>
        <sz val="12.0"/>
        <u/>
      </rPr>
      <t>.</t>
    </r>
    <r>
      <rPr>
        <rFont val="Arial, sans-serif"/>
        <color rgb="FF1155CC"/>
        <sz val="11.0"/>
        <u/>
      </rPr>
      <t>27 feb 2024</t>
    </r>
  </si>
  <si>
    <t>Zara revalida por cuarto año el título de marca más valiosa de España</t>
  </si>
  <si>
    <t>Zara revalida por cuarto año el título de marca más valiosa de España. Le siguen Banco Santander y Movistar en una lista en la que también destacan Mercadona, Bershka o Massimo Dutti.</t>
  </si>
  <si>
    <t>Zara revalidates the title of most valuable brand in Spain for the fourth year</t>
  </si>
  <si>
    <t>Zara revalidates the title of most valuable brand in Spain for the fourth year. They are followed by Banco Santander and Movistar on a list that also includes Mercadona, Bershka and Massimo Dutti.</t>
  </si>
  <si>
    <t>Business Rankings</t>
  </si>
  <si>
    <r>
      <rPr>
        <rFont val="Arial, sans-serif"/>
        <color rgb="FF1155CC"/>
        <sz val="9.0"/>
        <u/>
      </rPr>
      <t>La Voz de Galicia</t>
    </r>
    <r>
      <rPr>
        <rFont val="Arial, sans-serif"/>
        <color rgb="FF1155CC"/>
        <sz val="15.0"/>
        <u/>
      </rPr>
      <t>Punta Langosteira ya es la primera dársena de Galicia</t>
    </r>
    <r>
      <rPr>
        <rFont val="Arial, sans-serif"/>
        <color rgb="FF1155CC"/>
        <sz val="11.0"/>
        <u/>
      </rPr>
      <t>Con un movimiento de 688.000 toneladas en enero, es el muelle de la comunidad con mayor volumen de mercancías cargadas y descargadas.</t>
    </r>
    <r>
      <rPr>
        <rFont val="Arial, sans-serif"/>
        <color rgb="FF1155CC"/>
        <sz val="12.0"/>
        <u/>
      </rPr>
      <t>.</t>
    </r>
    <r>
      <rPr>
        <rFont val="Arial, sans-serif"/>
        <color rgb="FF1155CC"/>
        <sz val="11.0"/>
        <u/>
      </rPr>
      <t>27 feb 2024</t>
    </r>
  </si>
  <si>
    <t>Punta Langosteira ya es la primera dársena de Galicia</t>
  </si>
  <si>
    <t>Con un movimiento de 688.000 toneladas en enero, es el muelle de la comunidad con mayor volumen de mercancías cargadas y descargadas.</t>
  </si>
  <si>
    <t>Punta Langosteira is now the first dock in Galicia</t>
  </si>
  <si>
    <t>With a movement of 688,000 tons in January, it is the community's dock with the highest volume of loaded and unloaded merchandise.</t>
  </si>
  <si>
    <t>energy hub, Galicia dock</t>
  </si>
  <si>
    <t>hub energético, muelle de Galicia</t>
  </si>
  <si>
    <t>Increasing port activity strengthens Repsol’s logistical capacity.</t>
  </si>
  <si>
    <t>Punta Langosteira, dársena</t>
  </si>
  <si>
    <r>
      <rPr>
        <rFont val="Arial, sans-serif"/>
        <color rgb="FF1155CC"/>
        <sz val="9.0"/>
        <u/>
      </rPr>
      <t>Infobae</t>
    </r>
    <r>
      <rPr>
        <rFont val="Arial, sans-serif"/>
        <color rgb="FF1155CC"/>
        <sz val="15.0"/>
        <u/>
      </rPr>
      <t>Dos años después del derrame de petróleo de Repsol, pescadores de Huaral no pueden realizar sus faenas</t>
    </r>
    <r>
      <rPr>
        <rFont val="Arial, sans-serif"/>
        <color rgb="FF1155CC"/>
        <sz val="11.0"/>
        <u/>
      </rPr>
      <t>En el 2022, el mar de Ventanilla y otros puntos costeros como Huaral y Barranca se vieron gravemente afectados por el derrame de petróleo de Repsol: el peor...</t>
    </r>
    <r>
      <rPr>
        <rFont val="Arial, sans-serif"/>
        <color rgb="FF1155CC"/>
        <sz val="12.0"/>
        <u/>
      </rPr>
      <t>.</t>
    </r>
    <r>
      <rPr>
        <rFont val="Arial, sans-serif"/>
        <color rgb="FF1155CC"/>
        <sz val="11.0"/>
        <u/>
      </rPr>
      <t>27 feb 2024</t>
    </r>
  </si>
  <si>
    <t>Dos años después del derrame de petróleo de Repsol, pescadores de Huaral no pueden realizar sus faenas</t>
  </si>
  <si>
    <t>En el 2022, el mar de Ventanilla y otros puntos costeros como Huaral y Barranca se vieron gravemente afectados por el derrame de petróleo de Repsol: el peor....</t>
  </si>
  <si>
    <t>Two years after the Repsol oil spill, Huaral fishermen cannot carry out their tasks</t>
  </si>
  <si>
    <t>In 2022, the Ventanilla Sea and other coastal points such as Huaral and Barranca were seriously affected by the Repsol oil spill: the worst...</t>
  </si>
  <si>
    <t>oil spill, fishermen protest</t>
  </si>
  <si>
    <t>derrame de petróleo, protesta de pescadores</t>
  </si>
  <si>
    <t>Ongoing environmental damage and legal claims harm Repsol’s public image.</t>
  </si>
  <si>
    <t>derrame, pescadores, impacto ambiental</t>
  </si>
  <si>
    <t>Strongly negative news due to long-term environmental and social impacts of the oil spill.</t>
  </si>
  <si>
    <t>Noticias fuertemente negativas debido a los impactos ambientales y sociales a largo plazo del derrame de petróleo.</t>
  </si>
  <si>
    <r>
      <rPr>
        <rFont val="Arial, sans-serif"/>
        <color rgb="FF1155CC"/>
        <sz val="9.0"/>
        <u/>
      </rPr>
      <t>Guía Repsol</t>
    </r>
    <r>
      <rPr>
        <rFont val="Arial, sans-serif"/>
        <color rgb="FF1155CC"/>
        <sz val="15.0"/>
        <u/>
      </rPr>
      <t>Fuente Dé con nieve (Cantabria): capricho invernal</t>
    </r>
    <r>
      <rPr>
        <rFont val="Arial, sans-serif"/>
        <color rgb="FF1155CC"/>
        <sz val="11.0"/>
        <u/>
      </rPr>
      <t>Treinta centímetros de nieve, temperaturas de –10 grados y un escenario de valles glaciares, bosques de hayas y cumbres afiladas cubiertas de blanco.</t>
    </r>
    <r>
      <rPr>
        <rFont val="Arial, sans-serif"/>
        <color rgb="FF1155CC"/>
        <sz val="12.0"/>
        <u/>
      </rPr>
      <t>.</t>
    </r>
    <r>
      <rPr>
        <rFont val="Arial, sans-serif"/>
        <color rgb="FF1155CC"/>
        <sz val="11.0"/>
        <u/>
      </rPr>
      <t>27 feb 2024</t>
    </r>
  </si>
  <si>
    <t>Guía Repsol: Fuente Dé con nieve (Cantabria): capricho invernal</t>
  </si>
  <si>
    <t>Treinta centímetros de nieve, temperaturas de –10 grados y un escenario de valles glaciares, bosques de hayas y cumbres afiladas cubiertas de blanco.</t>
  </si>
  <si>
    <t>Repsol Guide: Fuente Dé con Nieve (Cantabria): winter whim</t>
  </si>
  <si>
    <t>Thirty centimeters of snow, temperatures of –10 degrees and a setting of glacial valleys, beech forests and sharp peaks covered in white.</t>
  </si>
  <si>
    <r>
      <rPr>
        <rFont val="Arial, sans-serif"/>
        <color rgb="FF1155CC"/>
        <sz val="9.0"/>
        <u/>
      </rPr>
      <t>www.desdeadentro.pe</t>
    </r>
    <r>
      <rPr>
        <rFont val="Arial, sans-serif"/>
        <color rgb="FF1155CC"/>
        <sz val="15.0"/>
        <u/>
      </rPr>
      <t>Programa de apoyo a La Liga Contra el Cáncer-Repsol Perú beneficia anualmente a 3 mil mujeres</t>
    </r>
    <r>
      <rPr>
        <rFont val="Arial, sans-serif"/>
        <color rgb="FF1155CC"/>
        <sz val="11.0"/>
        <u/>
      </rPr>
      <t>La campaña de Despistaje del Cáncer de Mama y Cuello Uterino beneficia miles mujeres de la zona de influencia, a través de dos unidades móviles.</t>
    </r>
    <r>
      <rPr>
        <rFont val="Arial, sans-serif"/>
        <color rgb="FF1155CC"/>
        <sz val="12.0"/>
        <u/>
      </rPr>
      <t>.</t>
    </r>
    <r>
      <rPr>
        <rFont val="Arial, sans-serif"/>
        <color rgb="FF1155CC"/>
        <sz val="11.0"/>
        <u/>
      </rPr>
      <t>27 feb 2024</t>
    </r>
  </si>
  <si>
    <t>www.desdeadentro.pe</t>
  </si>
  <si>
    <t>Programa de apoyo a La Liga Contra el Cáncer-Repsol Perú beneficia anualmente a 3 mil mujeres</t>
  </si>
  <si>
    <t>La campaña de Despistaje del Cáncer de Mama y Cuello Uterino beneficia miles mujeres de la zona de influencia, a través de dos unidades móviles.</t>
  </si>
  <si>
    <t>Support program for La Liga Contra el Cancer-Repsol Peru benefits 3 thousand women annually</t>
  </si>
  <si>
    <t>The Breast and Cervical Cancer Screening campaign benefits thousands of women in the area of ​​influence, through two mobile units.</t>
  </si>
  <si>
    <r>
      <rPr>
        <rFont val="Arial, sans-serif"/>
        <color rgb="FF1155CC"/>
        <sz val="9.0"/>
        <u/>
      </rPr>
      <t>Repsol</t>
    </r>
    <r>
      <rPr>
        <rFont val="Arial, sans-serif"/>
        <color rgb="FF1155CC"/>
        <sz val="15.0"/>
        <u/>
      </rPr>
      <t>Repsol y el Ejército de Tierra llevan los combustibles renovables a la Campaña Antártica</t>
    </r>
    <r>
      <rPr>
        <rFont val="Arial, sans-serif"/>
        <color rgb="FF1155CC"/>
        <sz val="11.0"/>
        <u/>
      </rPr>
      <t>Los combustibles 100% renovables de Repsol proporcionan parte de la energía que necesita la Base Española “Gabriel de Castilla”, gestionada por el Ejército...</t>
    </r>
    <r>
      <rPr>
        <rFont val="Arial, sans-serif"/>
        <color rgb="FF1155CC"/>
        <sz val="12.0"/>
        <u/>
      </rPr>
      <t>.</t>
    </r>
    <r>
      <rPr>
        <rFont val="Arial, sans-serif"/>
        <color rgb="FF1155CC"/>
        <sz val="11.0"/>
        <u/>
      </rPr>
      <t>28 feb 2024</t>
    </r>
  </si>
  <si>
    <t>Repsol y el Ejército de Tierra llevan los combustibles renovables a la Campaña Antártica</t>
  </si>
  <si>
    <t>Los combustibles 100% renovables de Repsol proporcionan parte de la energía que necesita la Base Española “Gabriel de Castilla”, gestionada por el Ejército....</t>
  </si>
  <si>
    <t>Repsol and the Army bring renewable fuels to the Antarctic Campaign</t>
  </si>
  <si>
    <t>Repsol's 100% renewable fuels provide part of the energy needed by the Spanish Base “Gabriel de Castilla”, managed by the Army....</t>
  </si>
  <si>
    <t>renewable fuels, Antarctica energy</t>
  </si>
  <si>
    <t>combustibles renovables, energía de la Antártida</t>
  </si>
  <si>
    <t>Supporting renewable energy initiatives in extreme conditions reinforces Repsol’s green image.</t>
  </si>
  <si>
    <t>combustibles renovables, Antártida</t>
  </si>
  <si>
    <t>Positive news about renewable energy use in a high-profile project.</t>
  </si>
  <si>
    <t>Noticias positivas sobre el uso de energías renovables en un proyecto de alto perfil.</t>
  </si>
  <si>
    <r>
      <rPr>
        <rFont val="Arial, sans-serif"/>
        <color rgb="FF1155CC"/>
        <sz val="9.0"/>
        <u/>
      </rPr>
      <t>El Periódico de la Energía</t>
    </r>
    <r>
      <rPr>
        <rFont val="Arial, sans-serif"/>
        <color rgb="FF1155CC"/>
        <sz val="15.0"/>
        <u/>
      </rPr>
      <t>Repsol lleva sus combustibles renovables a la Antártida de la mano del Ejército de Tierra</t>
    </r>
    <r>
      <rPr>
        <rFont val="Arial, sans-serif"/>
        <color rgb="FF1155CC"/>
        <sz val="11.0"/>
        <u/>
      </rPr>
      <t>Los combustibles renovables de la compañía han sido proporcionados para esta misión por el centro Repsol Technology Lab.</t>
    </r>
    <r>
      <rPr>
        <rFont val="Arial, sans-serif"/>
        <color rgb="FF1155CC"/>
        <sz val="12.0"/>
        <u/>
      </rPr>
      <t>.</t>
    </r>
    <r>
      <rPr>
        <rFont val="Arial, sans-serif"/>
        <color rgb="FF1155CC"/>
        <sz val="11.0"/>
        <u/>
      </rPr>
      <t>28 feb 2024</t>
    </r>
  </si>
  <si>
    <t>Repsol lleva sus combustibles renovables a la Antártida de la mano del Ejército de Tierra</t>
  </si>
  <si>
    <t>Los combustibles renovables de la compañía han sido proporcionados para esta misión por el centro Repsol Technology Lab.</t>
  </si>
  <si>
    <t>Repsol takes its renewable fuels to Antarctica with the help of the Army</t>
  </si>
  <si>
    <t>The company's renewable fuels have been provided for this mission by the Repsol Technology Lab center.</t>
  </si>
  <si>
    <t>renewable fuels, scientific base</t>
  </si>
  <si>
    <t>combustibles renovables, base científica</t>
  </si>
  <si>
    <t>Expanding renewable fuel applications strengthens Repsol’s sustainability leadership.</t>
  </si>
  <si>
    <t>Positive news about renewable energy innovation and collaboration.</t>
  </si>
  <si>
    <t>Noticias positivas sobre la innovación y la colaboración en energías renovables.</t>
  </si>
  <si>
    <r>
      <rPr>
        <rFont val="Arial, sans-serif"/>
        <color rgb="FF1155CC"/>
        <sz val="9.0"/>
        <u/>
      </rPr>
      <t>Gasteiz Hoy</t>
    </r>
    <r>
      <rPr>
        <rFont val="Arial, sans-serif"/>
        <color rgb="FF1155CC"/>
        <sz val="15.0"/>
        <u/>
      </rPr>
      <t>Los Soles y Soletes de la Guía Repsol que iluminan Álava</t>
    </r>
    <r>
      <rPr>
        <rFont val="Arial, sans-serif"/>
        <color rgb="FF1155CC"/>
        <sz val="11.0"/>
        <u/>
      </rPr>
      <t>71 restaurantes, bares, cafeterías, terrazas, vinotecas y heladerías tienen alguno de sus reconocimientos. Los Soles y Soletes de la Guía Repsol iluminan...</t>
    </r>
    <r>
      <rPr>
        <rFont val="Arial, sans-serif"/>
        <color rgb="FF1155CC"/>
        <sz val="12.0"/>
        <u/>
      </rPr>
      <t>.</t>
    </r>
    <r>
      <rPr>
        <rFont val="Arial, sans-serif"/>
        <color rgb="FF1155CC"/>
        <sz val="11.0"/>
        <u/>
      </rPr>
      <t>28 feb 2024</t>
    </r>
  </si>
  <si>
    <t>Gasteiz Hoy</t>
  </si>
  <si>
    <t>Los Soles y Soletes de la Guía Repsol que iluminan Álava</t>
  </si>
  <si>
    <t>71 restaurantes, bares, cafeterías, terrazas, vinotecas y heladerías tienen alguno de sus reconocimientos.</t>
  </si>
  <si>
    <t>The Repsol Guide's Suns and Soles that illuminate Álava</t>
  </si>
  <si>
    <t>71 restaurants, bars, cafes, terraces, wine bars and ice cream parlors have some of its recognitions.</t>
  </si>
  <si>
    <r>
      <rPr>
        <rFont val="Arial, sans-serif"/>
        <color rgb="FF1155CC"/>
        <sz val="9.0"/>
        <u/>
      </rPr>
      <t>Guía Repsol</t>
    </r>
    <r>
      <rPr>
        <rFont val="Arial, sans-serif"/>
        <color rgb="FF1155CC"/>
        <sz val="15.0"/>
        <u/>
      </rPr>
      <t>Acciones en calle en Cartagena y Murcia en Soles 2024</t>
    </r>
    <r>
      <rPr>
        <rFont val="Arial, sans-serif"/>
        <color rgb="FF1155CC"/>
        <sz val="11.0"/>
        <u/>
      </rPr>
      <t>El sábado 2 y el domingo 3 de marzo las ciudades de Cartagena y Murcia serán el escenario de varias acciones que se celebrarán previamente a la noche más...</t>
    </r>
    <r>
      <rPr>
        <rFont val="Arial, sans-serif"/>
        <color rgb="FF1155CC"/>
        <sz val="12.0"/>
        <u/>
      </rPr>
      <t>.</t>
    </r>
    <r>
      <rPr>
        <rFont val="Arial, sans-serif"/>
        <color rgb="FF1155CC"/>
        <sz val="11.0"/>
        <u/>
      </rPr>
      <t>28 feb 2024</t>
    </r>
  </si>
  <si>
    <t>Acciones en calle en Cartagena y Murcia en Soles 2024</t>
  </si>
  <si>
    <t>Acciones en calle en Cartagena y Murcia en Soles 2024. El sábado 2 y el domingo 3 de marzo las ciudades de Cartagena y Murcia serán el escenario de varias acciones que se celebrarán previamente a la noche más....</t>
  </si>
  <si>
    <t>Street actions in Cartagena and Murcia in Soles 2024</t>
  </si>
  <si>
    <t>Street actions in Cartagena and Murcia in Soles 2024. On Saturday, March 2 and Sunday, March 3, the cities of Cartagena and Murcia will be the scene of several actions that will be held prior to the night plus....</t>
  </si>
  <si>
    <r>
      <rPr>
        <rFont val="Arial, sans-serif"/>
        <color rgb="FF1155CC"/>
        <sz val="9.0"/>
        <u/>
      </rPr>
      <t>EFE - Agencia de noticias</t>
    </r>
    <r>
      <rPr>
        <rFont val="Arial, sans-serif"/>
        <color rgb="FF1155CC"/>
        <sz val="15.0"/>
        <u/>
      </rPr>
      <t>Cartagena da la bienvenida a la Gala de los Soles Repsol con showcooking callejeros este fin de semana</t>
    </r>
    <r>
      <rPr>
        <rFont val="Arial, sans-serif"/>
        <color rgb="FF1155CC"/>
        <sz val="11.0"/>
        <u/>
      </rPr>
      <t>Cartagena acogerá actividades gastronómicas en las calles, para dar la bienvenida a la Gala de entrega de los Soles Guía Repsol 2024.</t>
    </r>
    <r>
      <rPr>
        <rFont val="Arial, sans-serif"/>
        <color rgb="FF1155CC"/>
        <sz val="12.0"/>
        <u/>
      </rPr>
      <t>.</t>
    </r>
    <r>
      <rPr>
        <rFont val="Arial, sans-serif"/>
        <color rgb="FF1155CC"/>
        <sz val="11.0"/>
        <u/>
      </rPr>
      <t>28 feb 2024</t>
    </r>
  </si>
  <si>
    <t>Cartagena da la bienvenida a la Gala de los Soles Repsol con showcooking callejeros este fin de semana</t>
  </si>
  <si>
    <t>Cartagena acogerá actividades gastronómicas en las calles, para dar la bienvenida a la Gala de entrega de los Soles Guía Repsol 2024.</t>
  </si>
  <si>
    <t>Cartagena welcomes the Repsol Suns Gala with street showcooking this weekend</t>
  </si>
  <si>
    <t>Cartagena will host gastronomic activities in the streets, to welcome the 2024 Repsol Guide Suns Gala.</t>
  </si>
  <si>
    <r>
      <rPr>
        <rFont val="Arial, sans-serif"/>
        <color rgb="FF1155CC"/>
        <sz val="9.0"/>
        <u/>
      </rPr>
      <t>elDiario.es</t>
    </r>
    <r>
      <rPr>
        <rFont val="Arial, sans-serif"/>
        <color rgb="FF1155CC"/>
        <sz val="15.0"/>
        <u/>
      </rPr>
      <t>Cartagena se convertirá este fin de semana en capital de la gastronomía por la Gala de los Soles de la Guía Repsol</t>
    </r>
    <r>
      <rPr>
        <rFont val="Arial, sans-serif"/>
        <color rgb="FF1155CC"/>
        <sz val="11.0"/>
        <u/>
      </rPr>
      <t>El próximo lunes 4 de marzo la ciudad portuaria acogerá la gran fiesta culinaria de Repsol, y, previamente, durante todo el fin de semana, las calles serán...</t>
    </r>
    <r>
      <rPr>
        <rFont val="Arial, sans-serif"/>
        <color rgb="FF1155CC"/>
        <sz val="12.0"/>
        <u/>
      </rPr>
      <t>.</t>
    </r>
    <r>
      <rPr>
        <rFont val="Arial, sans-serif"/>
        <color rgb="FF1155CC"/>
        <sz val="11.0"/>
        <u/>
      </rPr>
      <t>28 feb 2024</t>
    </r>
  </si>
  <si>
    <t>Cartagena se convertirá este fin de semana en capital de la gastronomía por la Gala de los Soles de la Guía Repsol</t>
  </si>
  <si>
    <t>El próximo lunes 4 de marzo la ciudad portuaria acogerá la gran fiesta culinaria de Repsol, y, previamente, durante todo el fin de semana, las calles serán....</t>
  </si>
  <si>
    <t>Cartagena will become the capital of gastronomy this weekend for the Gala de los Soles of the Repsol Guide</t>
  </si>
  <si>
    <t>Next Monday, March 4, the port city will host Repsol's great culinary festival, and, previously, throughout the weekend, the streets will be...</t>
  </si>
  <si>
    <r>
      <rPr>
        <rFont val="Arial, sans-serif"/>
        <color rgb="FF1155CC"/>
        <sz val="9.0"/>
        <u/>
      </rPr>
      <t>Huelva Información</t>
    </r>
    <r>
      <rPr>
        <rFont val="Arial, sans-serif"/>
        <color rgb="FF1155CC"/>
        <sz val="15.0"/>
        <u/>
      </rPr>
      <t>El restaurante de La Antilla a pie de playa y con el mejor pescado que recomienda la Guía Repsol</t>
    </r>
    <r>
      <rPr>
        <rFont val="Arial, sans-serif"/>
        <color rgb="FF1155CC"/>
        <sz val="11.0"/>
        <u/>
      </rPr>
      <t>Un restaurante en primera línea de playa con la mejor gastronomía del mar? Con un Solete de la Guía Repsol, este establecimiento, a unos pasos de la arena,...</t>
    </r>
    <r>
      <rPr>
        <rFont val="Arial, sans-serif"/>
        <color rgb="FF1155CC"/>
        <sz val="12.0"/>
        <u/>
      </rPr>
      <t>.</t>
    </r>
    <r>
      <rPr>
        <rFont val="Arial, sans-serif"/>
        <color rgb="FF1155CC"/>
        <sz val="11.0"/>
        <u/>
      </rPr>
      <t>28 feb 2024</t>
    </r>
  </si>
  <si>
    <t>El restaurante de La Antilla a pie de playa y con el mejor pescado que recomienda la Guía Repsol</t>
  </si>
  <si>
    <t>Un restaurante en primera línea de playa con la mejor gastronomía del mar? Con un Solete de la Guía Repsol, este establecimiento, a unos pasos de la arena,....</t>
  </si>
  <si>
    <t>The La Antilla restaurant on the beach and with the best fish recommended by the Repsol Guide</t>
  </si>
  <si>
    <t>A beachfront restaurant with the best seafood cuisine? With a Solete from the Repsol Guide, this establishment, a few steps from the sand,....</t>
  </si>
  <si>
    <r>
      <rPr>
        <rFont val="Arial, sans-serif"/>
        <color rgb="FF1155CC"/>
        <sz val="9.0"/>
        <u/>
      </rPr>
      <t>Guía Repsol</t>
    </r>
    <r>
      <rPr>
        <rFont val="Arial, sans-serif"/>
        <color rgb="FF1155CC"/>
        <sz val="15.0"/>
        <u/>
      </rPr>
      <t>'Reina Roja': los escenarios donde se rodó la serie de Prime Video</t>
    </r>
    <r>
      <rPr>
        <rFont val="Arial, sans-serif"/>
        <color rgb="FF1155CC"/>
        <sz val="11.0"/>
        <u/>
      </rPr>
      <t>Prime Video estrena por todo lo alto Reina Roja, la serie que adapta la novela negra de Juan Gómez-Jurado que cautivó a cientos de miles de lectores en todo...</t>
    </r>
    <r>
      <rPr>
        <rFont val="Arial, sans-serif"/>
        <color rgb="FF1155CC"/>
        <sz val="12.0"/>
        <u/>
      </rPr>
      <t>.</t>
    </r>
    <r>
      <rPr>
        <rFont val="Arial, sans-serif"/>
        <color rgb="FF1155CC"/>
        <sz val="11.0"/>
        <u/>
      </rPr>
      <t>28 feb 2024</t>
    </r>
  </si>
  <si>
    <t>'Reina Roja': los escenarios donde se rodó la serie de Prime Video</t>
  </si>
  <si>
    <t>Reina Roja, la serie que adapta la novela negra de Juan Gómez-Jurado que cautivó a cientos de miles de lectores en todo....</t>
  </si>
  <si>
    <t>'Red Queen': the settings where the Prime Video series was filmed</t>
  </si>
  <si>
    <t>Reina Roja, the series that adapts the crime novel by Juan Gómez-Jurado that captivated hundreds of thousands of readers throughout...</t>
  </si>
  <si>
    <t>Entertainment</t>
  </si>
  <si>
    <r>
      <rPr>
        <rFont val="Arial, sans-serif"/>
        <color rgb="FF1155CC"/>
        <sz val="9.0"/>
        <u/>
      </rPr>
      <t>Últimas Noticias</t>
    </r>
    <r>
      <rPr>
        <rFont val="Arial, sans-serif"/>
        <color rgb="FF1155CC"/>
        <sz val="15.0"/>
        <u/>
      </rPr>
      <t>Pdvsa y Repsol impulsan cooperación energética</t>
    </r>
    <r>
      <rPr>
        <rFont val="Arial, sans-serif"/>
        <color rgb="FF1155CC"/>
        <sz val="11.0"/>
        <u/>
      </rPr>
      <t>El ministro para Petróleo, Rafael Tellechea, visitó este miércoles la Refinería de Escombreras de la empresa española Repsol, ubicada en Cartagena de España...</t>
    </r>
    <r>
      <rPr>
        <rFont val="Arial, sans-serif"/>
        <color rgb="FF1155CC"/>
        <sz val="12.0"/>
        <u/>
      </rPr>
      <t>.</t>
    </r>
    <r>
      <rPr>
        <rFont val="Arial, sans-serif"/>
        <color rgb="FF1155CC"/>
        <sz val="11.0"/>
        <u/>
      </rPr>
      <t>28 feb 2024</t>
    </r>
  </si>
  <si>
    <t>Últimas Noticias</t>
  </si>
  <si>
    <t>Pdvsa y Repsol impulsan cooperación energética</t>
  </si>
  <si>
    <t>El ministro para Petróleo, Rafael Tellechea, visitó este miércoles la Refinería de Escombreras de la empresa española Repsol, ubicada en Cartagena de España....</t>
  </si>
  <si>
    <t>PDVSA and Repsol promote energy cooperation</t>
  </si>
  <si>
    <t>The Minister for Petroleum, Rafael Tellechea, visited this Wednesday the Escombreras Refinery of the Spanish company Repsol, located in Cartagena, Spain....</t>
  </si>
  <si>
    <t>energy cooperation, PDVSA-Repsol</t>
  </si>
  <si>
    <t>Cooperación energética, PDVSA-Repsol</t>
  </si>
  <si>
    <t>Strengthening energy partnerships supports Repsol’s international business strategy.</t>
  </si>
  <si>
    <t>cooperación energética, Pdvsa</t>
  </si>
  <si>
    <t>Neutral-positive news about energy cooperation.</t>
  </si>
  <si>
    <t>Noticias neutrales y positivas sobre la cooperación energética.</t>
  </si>
  <si>
    <r>
      <rPr>
        <rFont val="Arial, sans-serif"/>
        <color rgb="FF1155CC"/>
        <sz val="9.0"/>
        <u/>
      </rPr>
      <t>Repsol</t>
    </r>
    <r>
      <rPr>
        <rFont val="Arial, sans-serif"/>
        <color rgb="FF1155CC"/>
        <sz val="15.0"/>
        <u/>
      </rPr>
      <t>Repsol y Vueling se unen en un vuelo de película con el Festival de Málaga</t>
    </r>
    <r>
      <rPr>
        <rFont val="Arial, sans-serif"/>
        <color rgb="FF1155CC"/>
        <sz val="11.0"/>
        <u/>
      </rPr>
      <t>Pioneras en la fabricación y el uso de combustibles renovables, las dos compañías han colaborado para suministrar una cantidad de combustible sostenible...</t>
    </r>
    <r>
      <rPr>
        <rFont val="Arial, sans-serif"/>
        <color rgb="FF1155CC"/>
        <sz val="12.0"/>
        <u/>
      </rPr>
      <t>.</t>
    </r>
    <r>
      <rPr>
        <rFont val="Arial, sans-serif"/>
        <color rgb="FF1155CC"/>
        <sz val="11.0"/>
        <u/>
      </rPr>
      <t>29 feb 2024</t>
    </r>
  </si>
  <si>
    <t>Repsol y Vueling se unen en un vuelo de película con el Festival de Málaga</t>
  </si>
  <si>
    <t>Pioneras en la fabricación y el uso de combustibles renovables, las dos compañías han colaborado para suministrar una cantidad de combustible sostenible.</t>
  </si>
  <si>
    <t>Repsol and Vueling join forces in a movie flight with the Malaga Festival</t>
  </si>
  <si>
    <t>Pioneers in the manufacture and use of renewable fuels, the two companies have collaborated to supply a sustainable amount of fuel.</t>
  </si>
  <si>
    <t>renewable aviation fuel, Repsol-Vueling</t>
  </si>
  <si>
    <t>combustible de aviación renovable, Repsol-Vueling</t>
  </si>
  <si>
    <t>Advancing renewable fuels in aviation supports Repsol’s green energy initiatives.</t>
  </si>
  <si>
    <t>combustible sostenible, Festival de Málaga</t>
  </si>
  <si>
    <t>Positive news about sustainable fuel use in a high-profile event.</t>
  </si>
  <si>
    <t>Noticias positivas sobre el uso sostenible de combustibles en un evento de alto perfil.</t>
  </si>
  <si>
    <r>
      <rPr>
        <rFont val="Arial, sans-serif"/>
        <color rgb="FF1155CC"/>
        <sz val="9.0"/>
        <u/>
      </rPr>
      <t>Ayuntamiento de Cartagena</t>
    </r>
    <r>
      <rPr>
        <rFont val="Arial, sans-serif"/>
        <color rgb="FF1155CC"/>
        <sz val="15.0"/>
        <u/>
      </rPr>
      <t>Las actividades en torno a la Gala de los Soles Repsol protagonizan la agenda de este fin de semana en Cartagena</t>
    </r>
    <r>
      <rPr>
        <rFont val="Arial, sans-serif"/>
        <color rgb="FF1155CC"/>
        <sz val="11.0"/>
        <u/>
      </rPr>
      <t>Jueves 29 Febrero 2024 | Visto: 5.245 veces | Versión Imprimible · Agenda del fin de semana del 3 de marzo. La Gala de Entrega de los Soles Repsol,...</t>
    </r>
    <r>
      <rPr>
        <rFont val="Arial, sans-serif"/>
        <color rgb="FF1155CC"/>
        <sz val="12.0"/>
        <u/>
      </rPr>
      <t>.</t>
    </r>
    <r>
      <rPr>
        <rFont val="Arial, sans-serif"/>
        <color rgb="FF1155CC"/>
        <sz val="11.0"/>
        <u/>
      </rPr>
      <t>29 feb 2024</t>
    </r>
  </si>
  <si>
    <t>Las actividades en torno a la Gala de los Soles Repsol protagonizan la agenda de este fin de semana en Cartagena</t>
  </si>
  <si>
    <t>Las actividades en torno a la Gala de los Soles Repsol protagonizan la agenda de este fin de semana en Cartagena.</t>
  </si>
  <si>
    <t>The activities surrounding the Repsol Suns Gala are on the agenda this weekend in Cartagena</t>
  </si>
  <si>
    <t>The activities surrounding the Repsol Suns Gala are on the agenda this weekend in Cartagena.</t>
  </si>
  <si>
    <r>
      <rPr>
        <rFont val="Arial, sans-serif"/>
        <color rgb="FF1155CC"/>
        <sz val="9.0"/>
        <u/>
      </rPr>
      <t>Interempresas.net</t>
    </r>
    <r>
      <rPr>
        <rFont val="Arial, sans-serif"/>
        <color rgb="FF1155CC"/>
        <sz val="15.0"/>
        <u/>
      </rPr>
      <t>Repsol y Vueling llevan el combustible sostenible al Festival de Málaga</t>
    </r>
    <r>
      <rPr>
        <rFont val="Arial, sans-serif"/>
        <color rgb="FF1155CC"/>
        <sz val="11.0"/>
        <u/>
      </rPr>
      <t>En una muestra de compromiso hacia la sostenibilidad y la descarbonización del sector aéreo, Repsol y Vueling han unido fuerzas para operar un vuelo desde...</t>
    </r>
    <r>
      <rPr>
        <rFont val="Arial, sans-serif"/>
        <color rgb="FF1155CC"/>
        <sz val="12.0"/>
        <u/>
      </rPr>
      <t>.</t>
    </r>
    <r>
      <rPr>
        <rFont val="Arial, sans-serif"/>
        <color rgb="FF1155CC"/>
        <sz val="11.0"/>
        <u/>
      </rPr>
      <t>29 feb 2024</t>
    </r>
  </si>
  <si>
    <t>Repsol y Vueling llevan el combustible sostenible al Festival de Málaga</t>
  </si>
  <si>
    <t>En una muestra de compromiso hacia la sostenibilidad y la descarbonización del sector aéreo, Repsol y Vueling han unido fuerzas para operar un vuelo desde....</t>
  </si>
  <si>
    <t>Repsol and Vueling bring sustainable fuel to the Malaga Festival</t>
  </si>
  <si>
    <t>In a show of commitment to the sustainability and decarbonization of the airline sector, Repsol and Vueling have joined forces to operate a flight from...</t>
  </si>
  <si>
    <t>sustainable aviation fuel, Malaga Festival</t>
  </si>
  <si>
    <t>Combustible de aviación sostenible, Fiesta de Málaga</t>
  </si>
  <si>
    <t>Promoting sustainable aviation fuels strengthens Repsol’s green reputation.</t>
  </si>
  <si>
    <t>Positive news about sustainable aviation fuel use in a high-profile event.</t>
  </si>
  <si>
    <t>Noticias positivas sobre el uso sostenible de combustible de aviación en un evento de alto perfil.</t>
  </si>
  <si>
    <r>
      <rPr>
        <rFont val="Arial, sans-serif"/>
        <color rgb="FF1155CC"/>
        <sz val="9.0"/>
        <u/>
      </rPr>
      <t>Guía Repsol</t>
    </r>
    <r>
      <rPr>
        <rFont val="Arial, sans-serif"/>
        <color rgb="FF1155CC"/>
        <sz val="15.0"/>
        <u/>
      </rPr>
      <t>'Il Bocconcino': La cocina progresiva italiana que emociona</t>
    </r>
    <r>
      <rPr>
        <rFont val="Arial, sans-serif"/>
        <color rgb="FF1155CC"/>
        <sz val="11.0"/>
        <u/>
      </rPr>
      <t>Cocina progresiva italiana es como llama el chef boloñés Niki Pavanelli a su puesta al día de la raíz culinaria de su país en el restaurante 'Il Bocconcino'...</t>
    </r>
    <r>
      <rPr>
        <rFont val="Arial, sans-serif"/>
        <color rgb="FF1155CC"/>
        <sz val="12.0"/>
        <u/>
      </rPr>
      <t>.</t>
    </r>
    <r>
      <rPr>
        <rFont val="Arial, sans-serif"/>
        <color rgb="FF1155CC"/>
        <sz val="11.0"/>
        <u/>
      </rPr>
      <t>29 feb 2024</t>
    </r>
  </si>
  <si>
    <t>Cocina progresiva italiana es como llama el chef boloñés Niki Pavanelli a su puesta al día de la raíz culinaria de su país en el restaurante 'Il Bocconcino'.</t>
  </si>
  <si>
    <t>Cocina progresiva italiana es como llama el chef boloñés Niki Pavanelli a su puesta al día de la raíz culinaria de su país en el restaurante 'Il Bocconcino'....</t>
  </si>
  <si>
    <t>Progressive Italian cuisine is what Bolognese chef Niki Pavanelli calls his updating of the culinary roots of his country at the restaurant 'Il Bocconcino'.</t>
  </si>
  <si>
    <t>Progressive Italian cuisine is what Bolognese chef Niki Pavanelli calls his updating of the culinary roots of his country at the restaurant 'Il Bocconcino'....</t>
  </si>
  <si>
    <r>
      <rPr>
        <rFont val="Arial, sans-serif"/>
        <color rgb="FF1155CC"/>
        <sz val="9.0"/>
        <u/>
      </rPr>
      <t>Economía Digital</t>
    </r>
    <r>
      <rPr>
        <rFont val="Arial, sans-serif"/>
        <color rgb="FF1155CC"/>
        <sz val="15.0"/>
        <u/>
      </rPr>
      <t>Repsol y Vueling aterrizan en el Festival de Málaga con un 50% de SAF</t>
    </r>
    <r>
      <rPr>
        <rFont val="Arial, sans-serif"/>
        <color rgb="FF1155CC"/>
        <sz val="11.0"/>
        <u/>
      </rPr>
      <t>Repsol y Vueling operaron este jueves un vuelo especial entre Barcelona y Málaga, coincidiendo con el inicio del festival de cine en esa ciudad andaluza,...</t>
    </r>
    <r>
      <rPr>
        <rFont val="Arial, sans-serif"/>
        <color rgb="FF1155CC"/>
        <sz val="12.0"/>
        <u/>
      </rPr>
      <t>.</t>
    </r>
    <r>
      <rPr>
        <rFont val="Arial, sans-serif"/>
        <color rgb="FF1155CC"/>
        <sz val="11.0"/>
        <u/>
      </rPr>
      <t>29 feb 2024</t>
    </r>
  </si>
  <si>
    <t>Repsol y Vueling aterrizan en el Festival de Málaga con un 50% de SAF</t>
  </si>
  <si>
    <t>Repsol y Vueling operaron este jueves un vuelo especial entre Barcelona y Málaga, coincidiendo con el inicio del festival de cine en esa ciudad andaluza.</t>
  </si>
  <si>
    <t>Repsol and Vueling land at the Malaga Festival with 50% of SAF</t>
  </si>
  <si>
    <t>Repsol and Vueling operated a special flight between Barcelona and Malaga this Thursday, coinciding with the start of the film festival in that Andalusian city.</t>
  </si>
  <si>
    <t>renewable aviation fuel, Vueling partnership</t>
  </si>
  <si>
    <t>combustible de aviación renovable, colaboración con Vueling</t>
  </si>
  <si>
    <t>Expanding sustainable fuel use reinforces Repsol’s environmental responsibility.</t>
  </si>
  <si>
    <r>
      <rPr>
        <rFont val="Arial, sans-serif"/>
        <color rgb="FF1155CC"/>
        <sz val="9.0"/>
        <u/>
      </rPr>
      <t>Expansión</t>
    </r>
    <r>
      <rPr>
        <rFont val="Arial, sans-serif"/>
        <color rgb="FF1155CC"/>
        <sz val="15.0"/>
        <u/>
      </rPr>
      <t>Wible, de Repsol y Kia, logra ingresos récord y cierra su primer año con ebitda positivo</t>
    </r>
    <r>
      <rPr>
        <rFont val="Arial, sans-serif"/>
        <color rgb="FF1155CC"/>
        <sz val="11.0"/>
        <u/>
      </rPr>
      <t>La empresa de alquiler y uso compartido de vehículos Wible, lanzada conjuntamente por Kia y Repsol en 2018, registró unos ingresos récord en 2023 y logró...</t>
    </r>
    <r>
      <rPr>
        <rFont val="Arial, sans-serif"/>
        <color rgb="FF1155CC"/>
        <sz val="12.0"/>
        <u/>
      </rPr>
      <t>.</t>
    </r>
    <r>
      <rPr>
        <rFont val="Arial, sans-serif"/>
        <color rgb="FF1155CC"/>
        <sz val="11.0"/>
        <u/>
      </rPr>
      <t>29 feb 2024</t>
    </r>
  </si>
  <si>
    <t>Wible, de Repsol y Kia, logra ingresos récord y cierra su primer año con ebitda positivo</t>
  </si>
  <si>
    <t>La empresa de alquiler y uso compartido de vehículos Wible, lanzada conjuntamente por Kia y Repsol en 2018, registró unos ingresos récord en 2023 y logró....</t>
  </si>
  <si>
    <t>Wible, from Repsol and Kia, achieves record revenues and closes its first year with positive ebitda</t>
  </si>
  <si>
    <t>Car rental and sharing company Wible, jointly launched by Kia and Repsol in 2018, reported record revenue in 2023 and achieved...</t>
  </si>
  <si>
    <t>carsharing success, Wible performance</t>
  </si>
  <si>
    <t>éxito del carsharing, rendimiento de Wible</t>
  </si>
  <si>
    <t>Strong car-sharing performance diversifies Repsol’s mobility investments.</t>
  </si>
  <si>
    <t>ingresos récord, ebitda positivo</t>
  </si>
  <si>
    <t>Positive news about financial success and growth of a joint venture.</t>
  </si>
  <si>
    <t>Noticias positivas sobre el éxito financiero y el crecimiento de una empresa conjunta.</t>
  </si>
  <si>
    <r>
      <rPr>
        <rFont val="Arial, sans-serif"/>
        <color rgb="FF1155CC"/>
        <sz val="9.0"/>
        <u/>
      </rPr>
      <t>La Nueva España</t>
    </r>
    <r>
      <rPr>
        <rFont val="Arial, sans-serif"/>
        <color rgb="FF1155CC"/>
        <sz val="15.0"/>
        <u/>
      </rPr>
      <t>La cocina asturiana, a por más brillo con los nuevos soles Repsol de 2024</t>
    </r>
    <r>
      <rPr>
        <rFont val="Arial, sans-serif"/>
        <color rgb="FF1155CC"/>
        <sz val="11.0"/>
        <u/>
      </rPr>
      <t>Foto de familia de los últimos soles Repsol asturianos, el año pasado, en Alicante: de pie, por la izquierda, Pedro Martino, Éngel Santos, Cristina Garrido,...</t>
    </r>
    <r>
      <rPr>
        <rFont val="Arial, sans-serif"/>
        <color rgb="FF1155CC"/>
        <sz val="12.0"/>
        <u/>
      </rPr>
      <t>.</t>
    </r>
    <r>
      <rPr>
        <rFont val="Arial, sans-serif"/>
        <color rgb="FF1155CC"/>
        <sz val="11.0"/>
        <u/>
      </rPr>
      <t>29 feb 2024</t>
    </r>
  </si>
  <si>
    <t>La Nueva España</t>
  </si>
  <si>
    <t>La cocina asturiana, a por más brillo con los nuevos soles Repsol de 2024</t>
  </si>
  <si>
    <t>La cocina asturiana, a por más brillo con los nuevos soles Repsol de 2024. Foto de familia de los últimos soles Repsol asturianos, el año pasado, en Alicante: de pie, por la izquierda, Pedro Martino, Éngel Santos, Cristina Garrido,...</t>
  </si>
  <si>
    <t>Asturian cuisine, for more shine with the new Repsol soles of 2024</t>
  </si>
  <si>
    <t>Asturian cuisine, for more shine with the new Repsol soles of 2024. Family photo of the last Asturian Repsol soles, last year, in Alicante: standing, on the left, Pedro Martino, Éngel Santos, Cristina Garrido,...</t>
  </si>
  <si>
    <r>
      <rPr>
        <rFont val="Arial, sans-serif"/>
        <color rgb="FF1155CC"/>
        <sz val="9.0"/>
        <u/>
      </rPr>
      <t>El Español</t>
    </r>
    <r>
      <rPr>
        <rFont val="Arial, sans-serif"/>
        <color rgb="FF1155CC"/>
        <sz val="15.0"/>
        <u/>
      </rPr>
      <t>Los agricultores cortan la refinería de Repsol en Cartagena: "Lo negociado por Planas no nos sirve"</t>
    </r>
    <r>
      <rPr>
        <rFont val="Arial, sans-serif"/>
        <color rgb="FF1155CC"/>
        <sz val="11.0"/>
        <u/>
      </rPr>
      <t>Unos 300 productores agrícolas y tractores impiden el acceso al Valle de Escombreras a camiones cisterna con combustible, pienso y abono.</t>
    </r>
    <r>
      <rPr>
        <rFont val="Arial, sans-serif"/>
        <color rgb="FF1155CC"/>
        <sz val="12.0"/>
        <u/>
      </rPr>
      <t>.</t>
    </r>
    <r>
      <rPr>
        <rFont val="Arial, sans-serif"/>
        <color rgb="FF1155CC"/>
        <sz val="11.0"/>
        <u/>
      </rPr>
      <t>29 feb 2024</t>
    </r>
  </si>
  <si>
    <t>Los agricultores cortan la refinería de Repsol en Cartagena: "Lo negociado por Planas no nos sirve"</t>
  </si>
  <si>
    <t>Unos 300 productores agrícolas y tractores impiden el acceso al Valle de Escombreras a camiones cisterna con combustible, pienso y abono.</t>
  </si>
  <si>
    <t>Farmers cut off the Repsol refinery in Cartagena: "What was negotiated by Planas is of no use to us"</t>
  </si>
  <si>
    <t>Some 300 agricultural producers and tractors prevent tanker trucks with fuel, feed and fertilizer from accessing the Escombreras Valley.</t>
  </si>
  <si>
    <t>farmer protest, Repsol refinery</t>
  </si>
  <si>
    <t>Protesta campesina, Refinería Repsol</t>
  </si>
  <si>
    <t>Protests disrupting Repsol’s operations may create negative public perception.</t>
  </si>
  <si>
    <t>agricultores, protesta, refinería</t>
  </si>
  <si>
    <t>Negative news due to protests and disruptions at Repsol's facilities.</t>
  </si>
  <si>
    <t>Noticias negativas por protestas y perturbaciones en las instalaciones de Repsol.</t>
  </si>
  <si>
    <r>
      <rPr>
        <rFont val="Arial, sans-serif"/>
        <color rgb="FF1155CC"/>
        <sz val="9.0"/>
        <u/>
      </rPr>
      <t>El Nacional</t>
    </r>
    <r>
      <rPr>
        <rFont val="Arial, sans-serif"/>
        <color rgb="FF1155CC"/>
        <sz val="15.0"/>
        <u/>
      </rPr>
      <t>Tellechea visitó España y expresó el compromiso del gobierno con Repsol</t>
    </r>
    <r>
      <rPr>
        <rFont val="Arial, sans-serif"/>
        <color rgb="FF1155CC"/>
        <sz val="11.0"/>
        <u/>
      </rPr>
      <t>El ministro de Petróleo de Venezuela, Pedro Rafael Tellechea, expresó el compromiso del país con "todo el equipo" de la multinacional española Repsol.</t>
    </r>
    <r>
      <rPr>
        <rFont val="Arial, sans-serif"/>
        <color rgb="FF1155CC"/>
        <sz val="12.0"/>
        <u/>
      </rPr>
      <t>.</t>
    </r>
    <r>
      <rPr>
        <rFont val="Arial, sans-serif"/>
        <color rgb="FF1155CC"/>
        <sz val="11.0"/>
        <u/>
      </rPr>
      <t>29 feb 2024</t>
    </r>
  </si>
  <si>
    <t>El Nacional</t>
  </si>
  <si>
    <t>Tellechea visitó España y expresó el compromiso del gobierno con Repsol</t>
  </si>
  <si>
    <t>El ministro de Petróleo de Venezuela, Pedro Rafael Tellechea, expresó el compromiso del país con "todo el equipo" de la multinacional española Repsol.</t>
  </si>
  <si>
    <t>Tellechea visited Spain and expressed the government's commitment to Repsol</t>
  </si>
  <si>
    <t>Venezuela's Oil Minister, Pedro Rafael Tellechea, expressed the country's commitment to "the entire team" of the Spanish multinational Repsol.</t>
  </si>
  <si>
    <t>energy cooperation, Venezuela-Repsol</t>
  </si>
  <si>
    <t>Cooperación energética, Venezuela-Repsol</t>
  </si>
  <si>
    <t>Strengthening ties with Venezuela enhances Repsol’s energy partnerships.</t>
  </si>
  <si>
    <t>compromiso, Venezuela</t>
  </si>
  <si>
    <t>Neutral-positive news about international cooperation.</t>
  </si>
  <si>
    <t>Noticias neutrales y positivas sobre la cooperación internacional.</t>
  </si>
  <si>
    <r>
      <rPr>
        <rFont val="Arial, sans-serif"/>
        <color rgb="FF1155CC"/>
        <sz val="9.0"/>
        <u/>
      </rPr>
      <t>Aragón Digital</t>
    </r>
    <r>
      <rPr>
        <rFont val="Arial, sans-serif"/>
        <color rgb="FF1155CC"/>
        <sz val="15.0"/>
        <u/>
      </rPr>
      <t>La calle de Zaragoza que acumula más bares con un "Solete" de la Guía Repsol</t>
    </r>
    <r>
      <rPr>
        <rFont val="Arial, sans-serif"/>
        <color rgb="FF1155CC"/>
        <sz val="11.0"/>
        <u/>
      </rPr>
      <t>Estos locales de la calle Estébanes de Zaragoza son Doña Casta, El Truco, El Hormiguero Azul, Bodegas Almau y La Ternasca.</t>
    </r>
    <r>
      <rPr>
        <rFont val="Arial, sans-serif"/>
        <color rgb="FF1155CC"/>
        <sz val="12.0"/>
        <u/>
      </rPr>
      <t>.</t>
    </r>
    <r>
      <rPr>
        <rFont val="Arial, sans-serif"/>
        <color rgb="FF1155CC"/>
        <sz val="11.0"/>
        <u/>
      </rPr>
      <t>29 feb 2024</t>
    </r>
  </si>
  <si>
    <t>Aragón Digital</t>
  </si>
  <si>
    <t>La calle de Zaragoza que acumula más bares con un "Solete" de la Guía Repsol</t>
  </si>
  <si>
    <t>Estos locales de la calle Estébanes de Zaragoza son Doña Casta, El Truco, El Hormiguero Azul, Bodegas Almau y La Ternasca.</t>
  </si>
  <si>
    <t>The street in Zaragoza that accumulates the most bars with a "Solete" from the Repsol Guide</t>
  </si>
  <si>
    <t>These establishments on Estébanes Street in Zaragoza are Doña Casta, El Truco, El Hormiguero Azul, Bodegas Almau and La Ternasca.</t>
  </si>
  <si>
    <r>
      <rPr>
        <rFont val="Arial, sans-serif"/>
        <color rgb="FF1155CC"/>
        <sz val="9.0"/>
        <u/>
      </rPr>
      <t>La Opinión de Málaga</t>
    </r>
    <r>
      <rPr>
        <rFont val="Arial, sans-serif"/>
        <color rgb="FF1155CC"/>
        <sz val="15.0"/>
        <u/>
      </rPr>
      <t>Aterriza en Málaga el primer vuelo sostenible</t>
    </r>
    <r>
      <rPr>
        <rFont val="Arial, sans-serif"/>
        <color rgb="FF1155CC"/>
        <sz val="11.0"/>
        <u/>
      </rPr>
      <t>Repsol y Vueling han colaborado para suministrar una cantidad de combustible sostenible para la aviación equivalente al 50% del consumo del vuelo.</t>
    </r>
    <r>
      <rPr>
        <rFont val="Arial, sans-serif"/>
        <color rgb="FF1155CC"/>
        <sz val="12.0"/>
        <u/>
      </rPr>
      <t>.</t>
    </r>
    <r>
      <rPr>
        <rFont val="Arial, sans-serif"/>
        <color rgb="FF1155CC"/>
        <sz val="11.0"/>
        <u/>
      </rPr>
      <t>29 feb 2024</t>
    </r>
  </si>
  <si>
    <t>Aterriza en Málaga el primer vuelo sostenible</t>
  </si>
  <si>
    <t>Repsol y Vueling han colaborado para suministrar una cantidad de combustible sostenible para la aviación equivalente al 50% del consumo del vuelo.</t>
  </si>
  <si>
    <t>The first sustainable flight lands in Malaga</t>
  </si>
  <si>
    <t>Repsol and Vueling have collaborated to supply an amount of sustainable aviation fuel equivalent to 50% of the flight's consumption.</t>
  </si>
  <si>
    <t>sustainable flight, biofuel aviation</t>
  </si>
  <si>
    <t>vuelo sostenible, aviación con biocombustibles</t>
  </si>
  <si>
    <t>Promoting sustainable aviation fuels reinforces Repsol’s green energy commitment.</t>
  </si>
  <si>
    <t>combustible sostenible, vuelo</t>
  </si>
  <si>
    <r>
      <rPr>
        <rFont val="Arial, sans-serif"/>
        <color rgb="FF1155CC"/>
        <sz val="9.0"/>
        <u/>
      </rPr>
      <t>Guía Repsol</t>
    </r>
    <r>
      <rPr>
        <rFont val="Arial, sans-serif"/>
        <color rgb="FF1155CC"/>
        <sz val="15.0"/>
        <u/>
      </rPr>
      <t>El Rinconín californiano de Gijón</t>
    </r>
    <r>
      <rPr>
        <rFont val="Arial, sans-serif"/>
        <color rgb="FF1155CC"/>
        <sz val="11.0"/>
        <u/>
      </rPr>
      <t>Palmeras y cañaverales, olas tuberas, calas desiertas con las que los perros sueñan despiertos y parques con los que lo hacen las familias y los viajeros de...</t>
    </r>
    <r>
      <rPr>
        <rFont val="Arial, sans-serif"/>
        <color rgb="FF1155CC"/>
        <sz val="12.0"/>
        <u/>
      </rPr>
      <t>.</t>
    </r>
    <r>
      <rPr>
        <rFont val="Arial, sans-serif"/>
        <color rgb="FF1155CC"/>
        <sz val="11.0"/>
        <u/>
      </rPr>
      <t>29 feb 2024</t>
    </r>
  </si>
  <si>
    <t>El Rinconín californiano de Gijón</t>
  </si>
  <si>
    <t>Palmeras y cañaverales, olas tuberas, calas desiertas con las que los perros sueñan despiertos y parques con los que lo hacen las familias y los viajeros de....</t>
  </si>
  <si>
    <t>The Californian corner of Gijón</t>
  </si>
  <si>
    <t>Palm trees and reed beds, tubero waves, deserted coves that dogs daydream about and parks that families and travelers from...</t>
  </si>
  <si>
    <r>
      <rPr>
        <rFont val="Arial, sans-serif"/>
        <color rgb="FF1155CC"/>
        <sz val="9.0"/>
        <u/>
      </rPr>
      <t>Diario Primicia</t>
    </r>
    <r>
      <rPr>
        <rFont val="Arial, sans-serif"/>
        <color rgb="FF1155CC"/>
        <sz val="15.0"/>
        <u/>
      </rPr>
      <t>Pdvsa fortalece alianzas con Repsol</t>
    </r>
    <r>
      <rPr>
        <rFont val="Arial, sans-serif"/>
        <color rgb="FF1155CC"/>
        <sz val="11.0"/>
        <u/>
      </rPr>
      <t>El presidente de Pdvsa, Pedro Rafael Tellechea, dio a conocer este jueves que tras una reunión con directivos de Repsol en España "fortalecieron" las...</t>
    </r>
    <r>
      <rPr>
        <rFont val="Arial, sans-serif"/>
        <color rgb="FF1155CC"/>
        <sz val="12.0"/>
        <u/>
      </rPr>
      <t>.</t>
    </r>
    <r>
      <rPr>
        <rFont val="Arial, sans-serif"/>
        <color rgb="FF1155CC"/>
        <sz val="11.0"/>
        <u/>
      </rPr>
      <t>29 feb 2024</t>
    </r>
  </si>
  <si>
    <t>Diario Primicia</t>
  </si>
  <si>
    <t>Pdvsa fortalece alianzas con Repsol</t>
  </si>
  <si>
    <t>El presidente de Pdvsa, Pedro Rafael Tellechea, dio a conocer este jueves que tras una reunión con directivos de Repsol en España "fortalecieron" las....</t>
  </si>
  <si>
    <t>PDVSA strengthens alliances with Repsol</t>
  </si>
  <si>
    <t>The president of PDVSA, Pedro Rafael Tellechea, announced this Thursday that after a meeting with Repsol executives in Spain they "strengthened" the...</t>
  </si>
  <si>
    <t>PDVSA alliance, energy partnership</t>
  </si>
  <si>
    <t>Alianza PDVSA, alianza energética</t>
  </si>
  <si>
    <t>Strengthening ties with PDVSA reinforces Repsol’s Latin American strategy.</t>
  </si>
  <si>
    <t>alianzas, Pdvsa</t>
  </si>
  <si>
    <r>
      <rPr>
        <rFont val="Arial, sans-serif"/>
        <color rgb="FF1155CC"/>
        <sz val="9.0"/>
        <u/>
      </rPr>
      <t>Crónica Global</t>
    </r>
    <r>
      <rPr>
        <rFont val="Arial, sans-serif"/>
        <color rgb="FF1155CC"/>
        <sz val="15.0"/>
        <u/>
      </rPr>
      <t>Las mejores croquetas de Cataluña las sirven en este restaurante de Barcelona con dos soles Repsol</t>
    </r>
    <r>
      <rPr>
        <rFont val="Arial, sans-serif"/>
        <color rgb="FF1155CC"/>
        <sz val="11.0"/>
        <u/>
      </rPr>
      <t>Comer croquetas es una delicia que trasciende fronteras y culturas, y es apta para todo tipo de públicos. Su exterior crujiente y dorado esconde un relleno...</t>
    </r>
    <r>
      <rPr>
        <rFont val="Arial, sans-serif"/>
        <color rgb="FF1155CC"/>
        <sz val="12.0"/>
        <u/>
      </rPr>
      <t>.</t>
    </r>
    <r>
      <rPr>
        <rFont val="Arial, sans-serif"/>
        <color rgb="FF1155CC"/>
        <sz val="11.0"/>
        <u/>
      </rPr>
      <t>29 feb 2024</t>
    </r>
  </si>
  <si>
    <t>Las mejores croquetas de Cataluña las sirven en este restaurante de Barcelona con dos soles Repsol</t>
  </si>
  <si>
    <t>Comer croquetas es una delicia que trasciende fronteras y culturas, y es apta para todo tipo de públicos. Su exterior crujiente y dorado esconde un relleno....</t>
  </si>
  <si>
    <t>The best croquettes in Catalonia are served in this restaurant in Barcelona with two Repsol soles</t>
  </si>
  <si>
    <t>Eating croquettes is a delight that transcends borders and cultures, and is suitable for all types of audiences. Its crispy, golden exterior hides a filling....</t>
  </si>
  <si>
    <r>
      <rPr>
        <rFont val="Arial, sans-serif"/>
        <color rgb="FF1155CC"/>
        <sz val="9.0"/>
        <u/>
      </rPr>
      <t>Guía Repsol</t>
    </r>
    <r>
      <rPr>
        <rFont val="Arial, sans-serif"/>
        <color rgb="FF1155CC"/>
        <sz val="15.0"/>
        <u/>
      </rPr>
      <t>Restaurante 'Los 33': el restaurante del que todo el mundo habla en Madrid</t>
    </r>
    <r>
      <rPr>
        <rFont val="Arial, sans-serif"/>
        <color rgb="FF1155CC"/>
        <sz val="11.0"/>
        <u/>
      </rPr>
      <t>Lleva más de un año y medio abierto y sigue pisando fuerte. Situado en el barrio de las Salesas, 'Los 33' es ya más que un local de moda en Madrid.</t>
    </r>
    <r>
      <rPr>
        <rFont val="Arial, sans-serif"/>
        <color rgb="FF1155CC"/>
        <sz val="12.0"/>
        <u/>
      </rPr>
      <t>.</t>
    </r>
    <r>
      <rPr>
        <rFont val="Arial, sans-serif"/>
        <color rgb="FF1155CC"/>
        <sz val="11.0"/>
        <u/>
      </rPr>
      <t>29 feb 2024</t>
    </r>
  </si>
  <si>
    <t>Restaurante 'Los 33': el restaurante del que todo el mundo habla en Madrid</t>
  </si>
  <si>
    <t>Lleva más de un año y medio abierto y sigue pisando fuerte. Situado en el barrio de las Salesas, 'Los 33' es ya más que un local de moda en Madrid.</t>
  </si>
  <si>
    <t>Restaurant 'Los 33': the restaurant that everyone is talking about in Madrid</t>
  </si>
  <si>
    <t>It has been open for more than a year and a half and is still going strong. Located in the Las Salesas neighborhood, 'Los 33' is now more than a fashionable place in Madrid.</t>
  </si>
  <si>
    <r>
      <rPr>
        <rFont val="Arial, sans-serif"/>
        <color rgb="FF1155CC"/>
        <sz val="9.0"/>
        <u/>
      </rPr>
      <t>Xunta de Galicia</t>
    </r>
    <r>
      <rPr>
        <rFont val="Arial, sans-serif"/>
        <color rgb="FF1155CC"/>
        <sz val="15.0"/>
        <u/>
      </rPr>
      <t>La Xunta y Repsol afianzan la colaboración en materia de FP Dual con la formación de 41 alumnos y un certificado de profesionalidad en Química Industrial</t>
    </r>
    <r>
      <rPr>
        <rFont val="Arial, sans-serif"/>
        <color rgb="FF1155CC"/>
        <sz val="11.0"/>
        <u/>
      </rPr>
      <t>El conselleiro de Cultura, Educación, FP y Universidades en funciones firma con la directora del Complejo Industrial de A Coruña el convenio marco para esta...</t>
    </r>
    <r>
      <rPr>
        <rFont val="Arial, sans-serif"/>
        <color rgb="FF1155CC"/>
        <sz val="12.0"/>
        <u/>
      </rPr>
      <t>.</t>
    </r>
    <r>
      <rPr>
        <rFont val="Arial, sans-serif"/>
        <color rgb="FF1155CC"/>
        <sz val="11.0"/>
        <u/>
      </rPr>
      <t>1 mar 2024</t>
    </r>
  </si>
  <si>
    <t>Xunta de Galicia</t>
  </si>
  <si>
    <t>La Xunta y Repsol afianzan la colaboración en materia de FP Dual con la formación de 41 alumnos y un certificado de profesionalidad en Química Industrial</t>
  </si>
  <si>
    <t>La Xunta y Repsol afianzan la colaboración en materia de FP Dual con la formación de 41 alumnos y un certificado de profesionalidad en Química Industrial.</t>
  </si>
  <si>
    <t>The Xunta and Repsol strengthen collaboration in Dual Vocational Training with the training of 41 students and a professional certificate in Industrial Chemistry</t>
  </si>
  <si>
    <t>The Xunta and Repsol strengthen collaboration in Dual Vocational Training with the training of 41 students and a professional certificate in Industrial Chemistry.</t>
  </si>
  <si>
    <t>sustainable energy, Repsol-Galicia collaboration</t>
  </si>
  <si>
    <t>energía sostenible, Colaboración Repsol-Galicia</t>
  </si>
  <si>
    <t>Strengthening regional sustainability initiatives aligns with Repsol’s green energy strategy.</t>
  </si>
  <si>
    <t>FP Dual, formación</t>
  </si>
  <si>
    <t>Positive news about education and training initiatives.</t>
  </si>
  <si>
    <t>Noticias positivas sobre iniciativas de educación y formación.</t>
  </si>
  <si>
    <r>
      <rPr>
        <rFont val="Arial, sans-serif"/>
        <color rgb="FF1155CC"/>
        <sz val="9.0"/>
        <u/>
      </rPr>
      <t>Cinco Días</t>
    </r>
    <r>
      <rPr>
        <rFont val="Arial, sans-serif"/>
        <color rgb="FF1155CC"/>
        <sz val="15.0"/>
        <u/>
      </rPr>
      <t>Repsol estudia vender sus operaciones en Noruega por unos 1.000 millones, según Bloomberg</t>
    </r>
    <r>
      <rPr>
        <rFont val="Arial, sans-serif"/>
        <color rgb="FF1155CC"/>
        <sz val="11.0"/>
        <u/>
      </rPr>
      <t>Repsol evalúa la posibilidad de vender su negocio en Noruega con la intención de optimizar sus operaciones globales, según afirma la agencia de noticias...</t>
    </r>
    <r>
      <rPr>
        <rFont val="Arial, sans-serif"/>
        <color rgb="FF1155CC"/>
        <sz val="12.0"/>
        <u/>
      </rPr>
      <t>.</t>
    </r>
    <r>
      <rPr>
        <rFont val="Arial, sans-serif"/>
        <color rgb="FF1155CC"/>
        <sz val="11.0"/>
        <u/>
      </rPr>
      <t>1 mar 2024</t>
    </r>
  </si>
  <si>
    <t>Repsol estudia vender sus operaciones en Noruega por unos 1.000 millones, según Bloomberg</t>
  </si>
  <si>
    <t>Repsol evalúa la posibilidad de vender su negocio en Noruega con la intención de optimizar sus operaciones globales, según afirma la agencia de noticias....</t>
  </si>
  <si>
    <t>Repsol is studying selling its operations in Norway for around 1 billion, according to Bloomberg</t>
  </si>
  <si>
    <t>Repsol is evaluating the possibility of selling its business in Norway with the intention of optimizing its global operations, according to the news agency...</t>
  </si>
  <si>
    <t>Norway operations, Repsol sale</t>
  </si>
  <si>
    <t>Operaciones en Noruega, Venta de Repsol</t>
  </si>
  <si>
    <t>Asset sales in Norway may impact Repsol’s strategic portfolio.</t>
  </si>
  <si>
    <t>vender, operaciones, Noruega</t>
  </si>
  <si>
    <t>Neutral news about potential business restructuring.</t>
  </si>
  <si>
    <t>Noticias neutrales sobre una posible reestructuración empresarial.</t>
  </si>
  <si>
    <r>
      <rPr>
        <rFont val="Arial, sans-serif"/>
        <color rgb="FF1155CC"/>
        <sz val="9.0"/>
        <u/>
      </rPr>
      <t>El Español</t>
    </r>
    <r>
      <rPr>
        <rFont val="Arial, sans-serif"/>
        <color rgb="FF1155CC"/>
        <sz val="15.0"/>
        <u/>
      </rPr>
      <t>Repsol y Xunta de Galicia firman un nuevo convenio marco de Formación Profesional</t>
    </r>
    <r>
      <rPr>
        <rFont val="Arial, sans-serif"/>
        <color rgb="FF1155CC"/>
        <sz val="11.0"/>
        <u/>
      </rPr>
      <t>El índice de empleabilidad en el complejo industrial que la compañía tiene en A Coruña está cifrado en más del 90%. 1 marzo, 2024 14:49 guardar. Repsol...</t>
    </r>
    <r>
      <rPr>
        <rFont val="Arial, sans-serif"/>
        <color rgb="FF1155CC"/>
        <sz val="12.0"/>
        <u/>
      </rPr>
      <t>.</t>
    </r>
    <r>
      <rPr>
        <rFont val="Arial, sans-serif"/>
        <color rgb="FF1155CC"/>
        <sz val="11.0"/>
        <u/>
      </rPr>
      <t>1 mar 2024</t>
    </r>
  </si>
  <si>
    <t>Repsol y Xunta de Galicia firman un nuevo convenio marco de Formación Profesional</t>
  </si>
  <si>
    <t>El índice de empleabilidad en el complejo industrial que la compañía tiene en A Coruña está cifrado en más del 90%.</t>
  </si>
  <si>
    <t>Repsol and Xunta de Galicia sign a new framework agreement for Vocational Training</t>
  </si>
  <si>
    <t>The employability rate in the company's industrial complex in A Coruña is estimated at more than 90%.</t>
  </si>
  <si>
    <t>sustainability agreement, Galicia framework</t>
  </si>
  <si>
    <t>acuerdo de sostenibilidad, marco de Galicia</t>
  </si>
  <si>
    <t>Strengthening sustainability partnerships aligns with Repsol’s environmental strategy.</t>
  </si>
  <si>
    <t>formación profesional, empleabilidad</t>
  </si>
  <si>
    <t>Positive news about education and employment opportunities.</t>
  </si>
  <si>
    <t>Noticias positivas sobre educación y oportunidades de empleo.</t>
  </si>
  <si>
    <r>
      <rPr>
        <rFont val="Arial, sans-serif"/>
        <color rgb="FF1155CC"/>
        <sz val="9.0"/>
        <u/>
      </rPr>
      <t>OkDiario</t>
    </r>
    <r>
      <rPr>
        <rFont val="Arial, sans-serif"/>
        <color rgb="FF1155CC"/>
        <sz val="15.0"/>
        <u/>
      </rPr>
      <t>Repsol estudia la venta de su negocio en Noruega valorado entre 460 y 923.000 millones de euros</t>
    </r>
    <r>
      <rPr>
        <rFont val="Arial, sans-serif"/>
        <color rgb="FF1155CC"/>
        <sz val="11.0"/>
        <u/>
      </rPr>
      <t>Repsol está considerando vender su negocio en Noruega ,según información de Reuters y Bloomberg e informado por EP este viernes a última hora.</t>
    </r>
    <r>
      <rPr>
        <rFont val="Arial, sans-serif"/>
        <color rgb="FF1155CC"/>
        <sz val="12.0"/>
        <u/>
      </rPr>
      <t>.</t>
    </r>
    <r>
      <rPr>
        <rFont val="Arial, sans-serif"/>
        <color rgb="FF1155CC"/>
        <sz val="11.0"/>
        <u/>
      </rPr>
      <t>1 mar 2024</t>
    </r>
  </si>
  <si>
    <t>Repsol estudia la venta de su negocio en Noruega valorado entre 460 y 923.000 millones de euros</t>
  </si>
  <si>
    <t>Repsol está considerando vender su negocio en Noruega, según información de Reuters y Bloomberg e informado por EP este viernes a última hora.</t>
  </si>
  <si>
    <t>Repsol is studying the sale of its business in Norway valued between 460 and 923 billion euros</t>
  </si>
  <si>
    <t>Repsol is considering selling its business in Norway, according to information from Reuters and Bloomberg and reported by EP late this Friday.</t>
  </si>
  <si>
    <t>Norway business sale, strategic evaluation</t>
  </si>
  <si>
    <t>Venta de negocios en Noruega, evaluación estratégica</t>
  </si>
  <si>
    <t>Selling assets in Norway may reshape Repsol’s investment priorities.</t>
  </si>
  <si>
    <t>vender, negocio, Noruega</t>
  </si>
  <si>
    <r>
      <rPr>
        <rFont val="Arial, sans-serif"/>
        <color rgb="FF1155CC"/>
        <sz val="9.0"/>
        <u/>
      </rPr>
      <t>La Voz de Galicia</t>
    </r>
    <r>
      <rPr>
        <rFont val="Arial, sans-serif"/>
        <color rgb="FF1155CC"/>
        <sz val="15.0"/>
        <u/>
      </rPr>
      <t>Repsol y la Xunta firman un nuevo convenio para ofrecer cuatro modalidades de FP en A Coruña</t>
    </r>
    <r>
      <rPr>
        <rFont val="Arial, sans-serif"/>
        <color rgb="FF1155CC"/>
        <sz val="11.0"/>
        <u/>
      </rPr>
      <t>La empresa asumirá la gestión documental y el coste de la seguridad social de los alumnos en prácticas.</t>
    </r>
    <r>
      <rPr>
        <rFont val="Arial, sans-serif"/>
        <color rgb="FF1155CC"/>
        <sz val="12.0"/>
        <u/>
      </rPr>
      <t>.</t>
    </r>
    <r>
      <rPr>
        <rFont val="Arial, sans-serif"/>
        <color rgb="FF1155CC"/>
        <sz val="11.0"/>
        <u/>
      </rPr>
      <t>1 mar 2024</t>
    </r>
  </si>
  <si>
    <t>Repsol y la Xunta firman un nuevo convenio para ofrecer cuatro modalidades de FP en A Coruña</t>
  </si>
  <si>
    <t>La empresa asumirá la gestión documental y el coste de la seguridad social de los alumnos en prácticas.</t>
  </si>
  <si>
    <t>Repsol and the Xunta sign a new agreement to offer four vocational training modalities in A Coruña</t>
  </si>
  <si>
    <t>The company will assume the document management and the cost of social security for the interns.</t>
  </si>
  <si>
    <t>employment agreement, Repsol-Galicia</t>
  </si>
  <si>
    <t>Convenio laboral, Repsol-Galicia</t>
  </si>
  <si>
    <t>Investing in employment programs strengthens Repsol’s social impact.</t>
  </si>
  <si>
    <t>formación profesional, convenio</t>
  </si>
  <si>
    <r>
      <rPr>
        <rFont val="Arial, sans-serif"/>
        <color rgb="FF1155CC"/>
        <sz val="9.0"/>
        <u/>
      </rPr>
      <t>Economía Digital</t>
    </r>
    <r>
      <rPr>
        <rFont val="Arial, sans-serif"/>
        <color rgb="FF1155CC"/>
        <sz val="15.0"/>
        <u/>
      </rPr>
      <t>Así es el vuelo ‘de película’ de Vueling y Repsol para el Festival de Málaga</t>
    </r>
    <r>
      <rPr>
        <rFont val="Arial, sans-serif"/>
        <color rgb="FF1155CC"/>
        <sz val="11.0"/>
        <u/>
      </rPr>
      <t>Vueling y Repsol han operado un vuelo especial entre Barcelona y Málaga, coincidiendo con el inicio del Festival de Cine de Málaga.</t>
    </r>
    <r>
      <rPr>
        <rFont val="Arial, sans-serif"/>
        <color rgb="FF1155CC"/>
        <sz val="12.0"/>
        <u/>
      </rPr>
      <t>.</t>
    </r>
    <r>
      <rPr>
        <rFont val="Arial, sans-serif"/>
        <color rgb="FF1155CC"/>
        <sz val="11.0"/>
        <u/>
      </rPr>
      <t>1 mar 2024</t>
    </r>
  </si>
  <si>
    <t>Así es el vuelo ‘de película’ de Vueling y Repsol para el Festival de Málaga</t>
  </si>
  <si>
    <t>Vueling y Repsol han operado un vuelo especial entre Barcelona y Málaga, coincidiendo con el inicio del Festival de Cine de Málaga.</t>
  </si>
  <si>
    <t>This is the 'movie' flight of Vueling and Repsol for the Malaga Festival</t>
  </si>
  <si>
    <t>Vueling and Repsol have operated a special flight between Barcelona and Malaga, coinciding with the start of the Malaga Film Festival.</t>
  </si>
  <si>
    <t>Expanding sustainable fuel use reinforces Repsol’s commitment to green energy.</t>
  </si>
  <si>
    <t>vuelo, Festival de Málaga</t>
  </si>
  <si>
    <r>
      <rPr>
        <rFont val="Arial, sans-serif"/>
        <color rgb="FF1155CC"/>
        <sz val="9.0"/>
        <u/>
      </rPr>
      <t>Onda Cero</t>
    </r>
    <r>
      <rPr>
        <rFont val="Arial, sans-serif"/>
        <color rgb="FF1155CC"/>
        <sz val="15.0"/>
        <u/>
      </rPr>
      <t>Educación y la Refinería de Repsol renuevan los convenios para seguir formando alumnos de FP de A Coruña, Cerv</t>
    </r>
    <r>
      <rPr>
        <rFont val="Arial, sans-serif"/>
        <color rgb="FF1155CC"/>
        <sz val="11.0"/>
        <u/>
      </rPr>
      <t>El conselleiro de Educación, Román Rodríguez, y la directora de la Refinería Repsol en A Coruña, Natalia Barreiro, renuevan una colaboración que viene desde...</t>
    </r>
    <r>
      <rPr>
        <rFont val="Arial, sans-serif"/>
        <color rgb="FF1155CC"/>
        <sz val="12.0"/>
        <u/>
      </rPr>
      <t>.</t>
    </r>
    <r>
      <rPr>
        <rFont val="Arial, sans-serif"/>
        <color rgb="FF1155CC"/>
        <sz val="11.0"/>
        <u/>
      </rPr>
      <t>1 mar 2024</t>
    </r>
  </si>
  <si>
    <t>Educación y la Refinería de Repsol renuevan los convenios para seguir formando alumnos de FP de A Coruña</t>
  </si>
  <si>
    <t>Educación y la Refinería de Repsol renuevan los convenios para seguir formando alumnos de FP de A Coruña, Cerv.</t>
  </si>
  <si>
    <t>Education and the Repsol Refinery renew agreements to continue training vocational training students in A Coruña</t>
  </si>
  <si>
    <t>Education and the Repsol Refinery renew agreements to continue training vocational training students in A Coruña, Cerv.</t>
  </si>
  <si>
    <t>student internships, Repsol education program</t>
  </si>
  <si>
    <t>prácticas para estudiantes, Programa educativo Repsol</t>
  </si>
  <si>
    <t>Supporting education and training programs enhances Repsol’s corporate image.</t>
  </si>
  <si>
    <r>
      <rPr>
        <rFont val="Arial, sans-serif"/>
        <color rgb="FF1155CC"/>
        <sz val="9.0"/>
        <u/>
      </rPr>
      <t>Faconauto</t>
    </r>
    <r>
      <rPr>
        <rFont val="Arial, sans-serif"/>
        <color rgb="FF1155CC"/>
        <sz val="15.0"/>
        <u/>
      </rPr>
      <t>Faconauto neutraliza las emisiones de CO₂ en su Congreso anual con ayuda de Fundación Repsol</t>
    </r>
    <r>
      <rPr>
        <rFont val="Arial, sans-serif"/>
        <color rgb="FF1155CC"/>
        <sz val="11.0"/>
        <u/>
      </rPr>
      <t>Este proyecto forma parte del marketplace Motor Verde de la Fundación Repsol, que se dedica a crear bosques al reforestar tierras quemadas o en desuso en...</t>
    </r>
    <r>
      <rPr>
        <rFont val="Arial, sans-serif"/>
        <color rgb="FF1155CC"/>
        <sz val="12.0"/>
        <u/>
      </rPr>
      <t>.</t>
    </r>
    <r>
      <rPr>
        <rFont val="Arial, sans-serif"/>
        <color rgb="FF1155CC"/>
        <sz val="11.0"/>
        <u/>
      </rPr>
      <t>1 mar 2024</t>
    </r>
  </si>
  <si>
    <t>Faconauto neutraliza las emisiones de CO₂ en su Congreso anual con ayuda de Fundación Repsol</t>
  </si>
  <si>
    <t>Este proyecto forma parte del marketplace Motor Verde de la Fundación Repsol, que se dedica a crear bosques al reforestar tierras quemadas o en desuso en....</t>
  </si>
  <si>
    <t>Faconauto neutralizes CO₂ emissions at its annual Congress with the help of the Repsol Foundation</t>
  </si>
  <si>
    <t>This project is part of the Repsol Foundation's Green Motor marketplace, which is dedicated to creating forests by reforesting burnt or disused lands in...</t>
  </si>
  <si>
    <t>CO₂ neutralization, Repsol partnership</t>
  </si>
  <si>
    <t>Neutralización de CO₂, Colaboración Repsol</t>
  </si>
  <si>
    <t>Supporting CO₂ reduction initiatives aligns with Repsol’s sustainability goals.</t>
  </si>
  <si>
    <t>neutralizar emisiones, reforestación</t>
  </si>
  <si>
    <t>Positive news about environmental initiatives and carbon neutrality.</t>
  </si>
  <si>
    <t>Noticias positivas sobre iniciativas medioambientales y neutralidad de carbono.</t>
  </si>
  <si>
    <r>
      <rPr>
        <rFont val="Arial, sans-serif"/>
        <color rgb="FF1155CC"/>
        <sz val="9.0"/>
        <u/>
      </rPr>
      <t>Festival de Málaga</t>
    </r>
    <r>
      <rPr>
        <rFont val="Arial, sans-serif"/>
        <color rgb="FF1155CC"/>
        <sz val="15.0"/>
        <u/>
      </rPr>
      <t>Sostenibilidad</t>
    </r>
    <r>
      <rPr>
        <rFont val="Arial, sans-serif"/>
        <color rgb="FF1155CC"/>
        <sz val="11.0"/>
        <u/>
      </rPr>
      <t>El Festival de Málaga y Repsol han firmado un acuerdo que convierte a esta compañía energética en patrocinador oficial del certamen para la 27ª edición (1...</t>
    </r>
    <r>
      <rPr>
        <rFont val="Arial, sans-serif"/>
        <color rgb="FF1155CC"/>
        <sz val="12.0"/>
        <u/>
      </rPr>
      <t>.</t>
    </r>
    <r>
      <rPr>
        <rFont val="Arial, sans-serif"/>
        <color rgb="FF1155CC"/>
        <sz val="11.0"/>
        <u/>
      </rPr>
      <t>1 mar 2024</t>
    </r>
  </si>
  <si>
    <t>El Festival de Málaga y Repsol firman un acuerdo de patrocinio para la 27ª edición</t>
  </si>
  <si>
    <t>El Festival de Málaga y Repsol han firmado un acuerdo que convierte a esta compañía energética en patrocinador oficial del certamen para la 27ª edición.</t>
  </si>
  <si>
    <t>The Malaga Festival and Repsol sign a sponsorship agreement for the 27th edition</t>
  </si>
  <si>
    <t>The Malaga Festival and Repsol have signed an agreement that makes this energy company the official sponsor of the event for the 27th edition.</t>
  </si>
  <si>
    <t>sponsorship, Malaga Festival</t>
  </si>
  <si>
    <t>Positive news about sponsorship and brand visibility.</t>
  </si>
  <si>
    <t>Noticias positivas sobre patrocinio y visibilidad de marca.</t>
  </si>
  <si>
    <r>
      <rPr>
        <rFont val="Arial, sans-serif"/>
        <color rgb="FF1155CC"/>
        <sz val="9.0"/>
        <u/>
      </rPr>
      <t>Forbes España</t>
    </r>
    <r>
      <rPr>
        <rFont val="Arial, sans-serif"/>
        <color rgb="FF1155CC"/>
        <sz val="15.0"/>
        <u/>
      </rPr>
      <t>Las Mejores Marcas Españolas se dan cita en el Museo del Prado de la mano de Interbrand</t>
    </r>
    <r>
      <rPr>
        <rFont val="Arial, sans-serif"/>
        <color rgb="FF1155CC"/>
        <sz val="11.0"/>
        <u/>
      </rPr>
      <t>La trayectoria de Repsol, el crecimiento de Loewe, el valor de Zara y la entrada en el ranking de Cupra, Meliá y Logista protagonizan esta nueva edición de...</t>
    </r>
    <r>
      <rPr>
        <rFont val="Arial, sans-serif"/>
        <color rgb="FF1155CC"/>
        <sz val="12.0"/>
        <u/>
      </rPr>
      <t>.</t>
    </r>
    <r>
      <rPr>
        <rFont val="Arial, sans-serif"/>
        <color rgb="FF1155CC"/>
        <sz val="11.0"/>
        <u/>
      </rPr>
      <t>1 mar 2024</t>
    </r>
  </si>
  <si>
    <t>Las Mejores Marcas Españolas se dan cita en el Museo del Prado de la mano de Interbrand</t>
  </si>
  <si>
    <t>La trayectoria de Repsol, el crecimiento de Loewe, el valor de Zara y la entrada en el ranking de Cupra, Meliá y Logista protagonizan esta nueva edición de....</t>
  </si>
  <si>
    <t>The Best Spanish Brands meet at the Prado Museum with Interbrand</t>
  </si>
  <si>
    <t>The trajectory of Repsol, the growth of Loewe, the value of Zara and the entry into the ranking of Cupra, Meliá and Logista star in this new edition of....</t>
  </si>
  <si>
    <t>Business Branding</t>
  </si>
  <si>
    <r>
      <rPr>
        <rFont val="Arial, sans-serif"/>
        <color rgb="FF1155CC"/>
        <sz val="9.0"/>
        <u/>
      </rPr>
      <t>Guía Repsol</t>
    </r>
    <r>
      <rPr>
        <rFont val="Arial, sans-serif"/>
        <color rgb="FF1155CC"/>
        <sz val="15.0"/>
        <u/>
      </rPr>
      <t>‘Kamezí Boutique Villas’: Un pueblo con todo el lujo de un hotel en Lanzarote</t>
    </r>
    <r>
      <rPr>
        <rFont val="Arial, sans-serif"/>
        <color rgb="FF1155CC"/>
        <sz val="11.0"/>
        <u/>
      </rPr>
      <t>Koldo Eguren se enamoró de Lanzarote hace más de 20 años pero, especialmente, quedó prendido del concepto del artista César Manrique que había cambiado la .</t>
    </r>
    <r>
      <rPr>
        <rFont val="Arial, sans-serif"/>
        <color rgb="FF1155CC"/>
        <sz val="12.0"/>
        <u/>
      </rPr>
      <t>.</t>
    </r>
    <r>
      <rPr>
        <rFont val="Arial, sans-serif"/>
        <color rgb="FF1155CC"/>
        <sz val="11.0"/>
        <u/>
      </rPr>
      <t>1 mar 2024</t>
    </r>
  </si>
  <si>
    <t>‘Kamezí Boutique Villas’: Un pueblo con todo el lujo de un hotel en Lanzarote</t>
  </si>
  <si>
    <t>Koldo Eguren se enamoró de Lanzarote hace más de 20 años pero, especialmente, quedó prendido del concepto del artista César Manrique que había cambiado la ..</t>
  </si>
  <si>
    <t>'Kamezí Boutique Villas': A town with all the luxury of a hotel in Lanzarote</t>
  </si>
  <si>
    <t>Koldo Eguren fell in love with Lanzarote more than 20 years ago but, above all, he fell in love with the concept of the artist César Manrique who had changed the ..</t>
  </si>
  <si>
    <r>
      <rPr>
        <rFont val="Arial, sans-serif"/>
        <color rgb="FF1155CC"/>
        <sz val="9.0"/>
        <u/>
      </rPr>
      <t>Motor16</t>
    </r>
    <r>
      <rPr>
        <rFont val="Arial, sans-serif"/>
        <color rgb="FF1155CC"/>
        <sz val="15.0"/>
        <u/>
      </rPr>
      <t>Regresa el descuento más esperado a la gasolina y al diésel. Solo hasta este día:</t>
    </r>
    <r>
      <rPr>
        <rFont val="Arial, sans-serif"/>
        <color rgb="FF1155CC"/>
        <sz val="11.0"/>
        <u/>
      </rPr>
      <t>El constante aumento en el precio de la gasolina desde principios de 2024 ha generado preocupación en nuestros bolsillos, pero una luz de esperanza brilla...</t>
    </r>
    <r>
      <rPr>
        <rFont val="Arial, sans-serif"/>
        <color rgb="FF1155CC"/>
        <sz val="12.0"/>
        <u/>
      </rPr>
      <t>.</t>
    </r>
    <r>
      <rPr>
        <rFont val="Arial, sans-serif"/>
        <color rgb="FF1155CC"/>
        <sz val="11.0"/>
        <u/>
      </rPr>
      <t>1 mar 2024</t>
    </r>
  </si>
  <si>
    <t>Regresa el descuento más esperado a la gasolina y al diésel.</t>
  </si>
  <si>
    <t>El constante aumento en el precio de la gasolina desde principios de 2024 ha generado preocupación en nuestros bolsillos, pero una luz de esperanza brilla....</t>
  </si>
  <si>
    <t>The most anticipated discount on gasoline and diesel returns.</t>
  </si>
  <si>
    <t>The constant increase in the price of gasoline since the beginning of 2024 has caused concern in our pockets, but a light of hope is shining....</t>
  </si>
  <si>
    <t>fuel discounts, Repsol promotions</t>
  </si>
  <si>
    <t>descuentos en combustible, promociones Repsol</t>
  </si>
  <si>
    <t>Offering fuel discounts strengthens Repsol’s customer engagement strategy.</t>
  </si>
  <si>
    <r>
      <rPr>
        <rFont val="Arial, sans-serif"/>
        <color rgb="FF1155CC"/>
        <sz val="9.0"/>
        <u/>
      </rPr>
      <t>Ayuntamiento de Cartagena</t>
    </r>
    <r>
      <rPr>
        <rFont val="Arial, sans-serif"/>
        <color rgb="FF1155CC"/>
        <sz val="15.0"/>
        <u/>
      </rPr>
      <t>Cartagena ofrece un sinfín de actividades gastronómicas este fin de semana con los Soles Repsol</t>
    </r>
    <r>
      <rPr>
        <rFont val="Arial, sans-serif"/>
        <color rgb="FF1155CC"/>
        <sz val="11.0"/>
        <u/>
      </rPr>
      <t>Muestra gastronómica, animación en el centro histórico, showcooking y menús en restaurantes y bares para este fin de semana.</t>
    </r>
    <r>
      <rPr>
        <rFont val="Arial, sans-serif"/>
        <color rgb="FF1155CC"/>
        <sz val="12.0"/>
        <u/>
      </rPr>
      <t>.</t>
    </r>
    <r>
      <rPr>
        <rFont val="Arial, sans-serif"/>
        <color rgb="FF1155CC"/>
        <sz val="11.0"/>
        <u/>
      </rPr>
      <t>2 mar 2024</t>
    </r>
  </si>
  <si>
    <t>Cartagena ofrece un sinfín de actividades gastronómicas este fin de semana con los Soles Repsol</t>
  </si>
  <si>
    <t>Cartagena ofrece un sinfín de actividades gastronómicas este fin de semana con los Soles Repsol: muestra gastronómica, animación en el centro histórico, showcooking y menús en restaurantes y bares para este fin de semana.</t>
  </si>
  <si>
    <t>Cartagena offers endless gastronomic activities this weekend with the Repsol Soles</t>
  </si>
  <si>
    <t>Cartagena offers endless gastronomic activities this weekend with the Repsol Soles: gastronomic exhibition, entertainment in the historic center, showcooking and menus in restaurants and bars for this weekend.</t>
  </si>
  <si>
    <r>
      <rPr>
        <rFont val="Arial, sans-serif"/>
        <color rgb="FF1155CC"/>
        <sz val="9.0"/>
        <u/>
      </rPr>
      <t>heraldo.es</t>
    </r>
    <r>
      <rPr>
        <rFont val="Arial, sans-serif"/>
        <color rgb="FF1155CC"/>
        <sz val="15.0"/>
        <u/>
      </rPr>
      <t>Soles Repsol en Aragón: cómo lo viven los inspectores y los restaurantes</t>
    </r>
    <r>
      <rPr>
        <rFont val="Arial, sans-serif"/>
        <color rgb="FF1155CC"/>
        <sz val="11.0"/>
        <u/>
      </rPr>
      <t>El próximo lunes 4 de marzo se entregan esta distinción que se encuentra en casi una veintena de establecimientos de las tres provincias.</t>
    </r>
    <r>
      <rPr>
        <rFont val="Arial, sans-serif"/>
        <color rgb="FF1155CC"/>
        <sz val="12.0"/>
        <u/>
      </rPr>
      <t>.</t>
    </r>
    <r>
      <rPr>
        <rFont val="Arial, sans-serif"/>
        <color rgb="FF1155CC"/>
        <sz val="11.0"/>
        <u/>
      </rPr>
      <t>2 mar 2024</t>
    </r>
  </si>
  <si>
    <t>Soles Repsol en Aragón: cómo lo viven los inspectores y los restaurantes</t>
  </si>
  <si>
    <t>El próximo lunes 4 de marzo se entregan esta distinción que se encuentra en casi una veintena de establecimientos de las tres provincias.</t>
  </si>
  <si>
    <t>Repsol soles in Aragon: how inspectors and restaurants experience it</t>
  </si>
  <si>
    <t>Next Monday, March 4, this distinction will be awarded, which can be found in almost twenty establishments in the three provinces.</t>
  </si>
  <si>
    <r>
      <rPr>
        <rFont val="Arial, sans-serif"/>
        <color rgb="FF1155CC"/>
        <sz val="9.0"/>
        <u/>
      </rPr>
      <t>Motor.es</t>
    </r>
    <r>
      <rPr>
        <rFont val="Arial, sans-serif"/>
        <color rgb="FF1155CC"/>
        <sz val="15.0"/>
        <u/>
      </rPr>
      <t>Isidre Esteve y el Repsol Toyota Rally Team tendrán una Toyota GR DKR Hilux T1+ con motor V6 para el Dakar 2025</t>
    </r>
    <r>
      <rPr>
        <rFont val="Arial, sans-serif"/>
        <color rgb="FF1155CC"/>
        <sz val="11.0"/>
        <u/>
      </rPr>
      <t>La presentación del proyecto 2024-25 del Repsol Toyota Rally Team en Madrid ha servido de escenario para confirmar que Isidre Esteve tendrá una Hilux T1+...</t>
    </r>
    <r>
      <rPr>
        <rFont val="Arial, sans-serif"/>
        <color rgb="FF1155CC"/>
        <sz val="12.0"/>
        <u/>
      </rPr>
      <t>.</t>
    </r>
    <r>
      <rPr>
        <rFont val="Arial, sans-serif"/>
        <color rgb="FF1155CC"/>
        <sz val="11.0"/>
        <u/>
      </rPr>
      <t>2 mar 2024</t>
    </r>
  </si>
  <si>
    <t>Motor.es</t>
  </si>
  <si>
    <t>Isidre Esteve y el Repsol Toyota Rally Team tendrán una Toyota GR DKR Hilux T1+ con motor V6 para el Dakar 2025</t>
  </si>
  <si>
    <t>Isidre Esteve y el Repsol Toyota Rally Team tendrán una Toyota GR DKR Hilux T1+ con motor V6 para el Dakar 2025.</t>
  </si>
  <si>
    <t>Isidre Esteve and the Repsol Toyota Rally Team will have a Toyota GR DKR Hilux T1+ with a V6 engine for the Dakar 2025</t>
  </si>
  <si>
    <t>Isidre Esteve and the Repsol Toyota Rally Team will have a Toyota GR DKR Hilux T1+ with a V6 engine for the Dakar 2025.</t>
  </si>
  <si>
    <t>Motorsport sponsorships do not impact Repsol’s corporate perception.</t>
  </si>
  <si>
    <t>Dakar, Toyota</t>
  </si>
  <si>
    <t>Neutral-positive news about sports sponsorship.</t>
  </si>
  <si>
    <t>Noticias neutrales-positivas sobre patrocinio deportivo.</t>
  </si>
  <si>
    <r>
      <rPr>
        <rFont val="Arial, sans-serif"/>
        <color rgb="FF1155CC"/>
        <sz val="9.0"/>
        <u/>
      </rPr>
      <t>Diario de Almería</t>
    </r>
    <r>
      <rPr>
        <rFont val="Arial, sans-serif"/>
        <color rgb="FF1155CC"/>
        <sz val="15.0"/>
        <u/>
      </rPr>
      <t>Dos gasolineras almerienses entre las más caras de España</t>
    </r>
    <r>
      <rPr>
        <rFont val="Arial, sans-serif"/>
        <color rgb="FF1155CC"/>
        <sz val="11.0"/>
        <u/>
      </rPr>
      <t>El último boletín informativo de la Comisión Nacional de los Mercados de la Competencia sitúa el precio medio por litro de gasolina 95 en 1523 euros y en...</t>
    </r>
    <r>
      <rPr>
        <rFont val="Arial, sans-serif"/>
        <color rgb="FF1155CC"/>
        <sz val="12.0"/>
        <u/>
      </rPr>
      <t>.</t>
    </r>
    <r>
      <rPr>
        <rFont val="Arial, sans-serif"/>
        <color rgb="FF1155CC"/>
        <sz val="11.0"/>
        <u/>
      </rPr>
      <t>2 mar 2024</t>
    </r>
  </si>
  <si>
    <t>Diario de Almería</t>
  </si>
  <si>
    <t>Dos gasolineras almerienses entre las más caras de España</t>
  </si>
  <si>
    <t>El último boletín informativo de la Comisión Nacional de los Mercados de la Competencia sitúa el precio medio por litro de gasolina 95 en 1523 euros y en....</t>
  </si>
  <si>
    <t>Two Almeria gas stations among the most expensive in Spain</t>
  </si>
  <si>
    <t>The latest newsletter from the National Competition Markets Commission places the average price per liter of 95 gasoline at 1,523 euros and...</t>
  </si>
  <si>
    <t>General fuel price comparisons do not impact Repsol’s business.</t>
  </si>
  <si>
    <t>gasolineras, precios</t>
  </si>
  <si>
    <t>Slightly negative due to high fuel prices.</t>
  </si>
  <si>
    <t>Ligeramente negativo debido a los altos precios del combustible.</t>
  </si>
  <si>
    <r>
      <rPr>
        <rFont val="Arial, sans-serif"/>
        <color rgb="FF1155CC"/>
        <sz val="9.0"/>
        <u/>
      </rPr>
      <t>motociclismo.pt</t>
    </r>
    <r>
      <rPr>
        <rFont val="Arial, sans-serif"/>
        <color rgb="FF1155CC"/>
        <sz val="15.0"/>
        <u/>
      </rPr>
      <t>Red Bull deja a Honda y sigue a Marc Márquez hacia la Gresini Ducati.</t>
    </r>
    <r>
      <rPr>
        <rFont val="Arial, sans-serif"/>
        <color rgb="FF1155CC"/>
        <sz val="11.0"/>
        <u/>
      </rPr>
      <t>Era esperado y Honda, que permitió a Marc Márquez rescindir prematuramente un contrato hasta diciembre de 2024, no debe estar sorprendida con esta noticia,...</t>
    </r>
    <r>
      <rPr>
        <rFont val="Arial, sans-serif"/>
        <color rgb="FF1155CC"/>
        <sz val="12.0"/>
        <u/>
      </rPr>
      <t>.</t>
    </r>
    <r>
      <rPr>
        <rFont val="Arial, sans-serif"/>
        <color rgb="FF1155CC"/>
        <sz val="11.0"/>
        <u/>
      </rPr>
      <t>2 mar 2024</t>
    </r>
  </si>
  <si>
    <t>motociclismo.pt</t>
  </si>
  <si>
    <t>Red Bull deja a Honda y sigue a Marc Márquez hacia la Gresini Ducati.</t>
  </si>
  <si>
    <t>Era esperado y Honda, que permitió a Marc Márquez rescindir prematuramente un contrato hasta diciembre de 2024, no debe estar sorprendida con esta noticia,....</t>
  </si>
  <si>
    <t>Red Bull leaves Honda and follows Marc Márquez towards the Gresini Ducati.</t>
  </si>
  <si>
    <t>It was expected and Honda, which allowed Marc Márquez to prematurely terminate a contract until December 2024, should not be surprised by this news....</t>
  </si>
  <si>
    <r>
      <rPr>
        <rFont val="Arial, sans-serif"/>
        <color rgb="FF1155CC"/>
        <sz val="9.0"/>
        <u/>
      </rPr>
      <t>Forococheselectricos</t>
    </r>
    <r>
      <rPr>
        <rFont val="Arial, sans-serif"/>
        <color rgb="FF1155CC"/>
        <sz val="15.0"/>
        <u/>
      </rPr>
      <t>¿Cuánto cuesta cargar un coche eléctrico frente a uno diésel o gasolina en 2024?</t>
    </r>
    <r>
      <rPr>
        <rFont val="Arial, sans-serif"/>
        <color rgb="FF1155CC"/>
        <sz val="11.0"/>
        <u/>
      </rPr>
      <t>Los últimos años han sido muy convulsos para el sector energético. Los precios de la electricidad y los combustibles se han disparado por cuestiones como la...</t>
    </r>
    <r>
      <rPr>
        <rFont val="Arial, sans-serif"/>
        <color rgb="FF1155CC"/>
        <sz val="12.0"/>
        <u/>
      </rPr>
      <t>.</t>
    </r>
    <r>
      <rPr>
        <rFont val="Arial, sans-serif"/>
        <color rgb="FF1155CC"/>
        <sz val="11.0"/>
        <u/>
      </rPr>
      <t>2 mar 2024</t>
    </r>
  </si>
  <si>
    <t>¿Cuánto cuesta cargar un coche eléctrico frente a uno diésel o gasolina en 2024?</t>
  </si>
  <si>
    <t>Los últimos años han sido muy convulsos para el sector energético. Los precios de la electricidad y los combustibles se han disparado por cuestiones como la....</t>
  </si>
  <si>
    <t>How much does it cost to charge an electric car versus a diesel or gasoline car in 2024?</t>
  </si>
  <si>
    <t>The last few years have been very turbulent for the energy sector. Electricity and fuel prices have skyrocketed due to issues such as....</t>
  </si>
  <si>
    <t>General EV charging costs do not impact Repsol’s corporate perception.</t>
  </si>
  <si>
    <r>
      <rPr>
        <rFont val="Arial, sans-serif"/>
        <color rgb="FF1155CC"/>
        <sz val="9.0"/>
        <u/>
      </rPr>
      <t>Guía Repsol</t>
    </r>
    <r>
      <rPr>
        <rFont val="Arial, sans-serif"/>
        <color rgb="FF1155CC"/>
        <sz val="15.0"/>
        <u/>
      </rPr>
      <t>Un domingo de tapeo por Murcia… ¡con los Soles!</t>
    </r>
    <r>
      <rPr>
        <rFont val="Arial, sans-serif"/>
        <color rgb="FF1155CC"/>
        <sz val="11.0"/>
        <u/>
      </rPr>
      <t>El tradicional matrimonio versionado por Susi Díaz, la famosa ensaladilla de Lucía Freitas coronada con lámina cruda de atún, o la adictiva salsa chicotera...</t>
    </r>
    <r>
      <rPr>
        <rFont val="Arial, sans-serif"/>
        <color rgb="FF1155CC"/>
        <sz val="12.0"/>
        <u/>
      </rPr>
      <t>.</t>
    </r>
    <r>
      <rPr>
        <rFont val="Arial, sans-serif"/>
        <color rgb="FF1155CC"/>
        <sz val="11.0"/>
        <u/>
      </rPr>
      <t>3 mar 2024</t>
    </r>
  </si>
  <si>
    <t>Un domingo de tapeo por Murcia… ¡con los Soles!</t>
  </si>
  <si>
    <t>El tradicional matrimonio versionado por Susi Díaz, la famosa ensaladilla de Lucía Freitas coronada con lámina cruda de atún, o la adictiva salsa chicotera....</t>
  </si>
  <si>
    <t>A Sunday of tapas in Murcia… with the Suns!</t>
  </si>
  <si>
    <t>The traditional marriage version by Susi Díaz, the famous Lucía Freitas salad topped with raw tuna slice, or the addictive chicotera sauce....</t>
  </si>
  <si>
    <r>
      <rPr>
        <rFont val="Arial, sans-serif"/>
        <color rgb="FF1155CC"/>
        <sz val="9.0"/>
        <u/>
      </rPr>
      <t>Diario de Avisos</t>
    </r>
    <r>
      <rPr>
        <rFont val="Arial, sans-serif"/>
        <color rgb="FF1155CC"/>
        <sz val="15.0"/>
        <u/>
      </rPr>
      <t>21 Soles Repsol: estos son los restaurantes de la provincia de Santa Cruz de Tenerife que cuentan con la</t>
    </r>
    <r>
      <rPr>
        <rFont val="Arial, sans-serif"/>
        <color rgb="FF1155CC"/>
        <sz val="11.0"/>
        <u/>
      </rPr>
      <t>Los Soles Repsol son unas distinciones que concede la Guía Repsol cada año con el objetivo de reconocer los mejores restaurante de España.</t>
    </r>
    <r>
      <rPr>
        <rFont val="Arial, sans-serif"/>
        <color rgb="FF1155CC"/>
        <sz val="12.0"/>
        <u/>
      </rPr>
      <t>.</t>
    </r>
    <r>
      <rPr>
        <rFont val="Arial, sans-serif"/>
        <color rgb="FF1155CC"/>
        <sz val="11.0"/>
        <u/>
      </rPr>
      <t>3 mar 2024</t>
    </r>
  </si>
  <si>
    <t>21 Soles Repsol: estos son los restaurantes de la provincia de Santa Cruz de Tenerife que cuentan con la</t>
  </si>
  <si>
    <t>Los Soles Repsol son unas distinciones que concede la Guía Repsol cada año con el objetivo de reconocer los mejores restaurantes de España.</t>
  </si>
  <si>
    <t>21 Soles Repsol: these are the restaurants in the province of Santa Cruz de Tenerife that have the</t>
  </si>
  <si>
    <t>The Repsol Soles are distinctions awarded by the Repsol Guide each year with the aim of recognizing the best restaurants in Spain.</t>
  </si>
  <si>
    <r>
      <rPr>
        <rFont val="Arial, sans-serif"/>
        <color rgb="FF1155CC"/>
        <sz val="9.0"/>
        <u/>
      </rPr>
      <t>El Ideal Gallego</t>
    </r>
    <r>
      <rPr>
        <rFont val="Arial, sans-serif"/>
        <color rgb="FF1155CC"/>
        <sz val="15.0"/>
        <u/>
      </rPr>
      <t>La terminal de Repsol en Langosteira cumple un año de descargas de crudo</t>
    </r>
    <r>
      <rPr>
        <rFont val="Arial, sans-serif"/>
        <color rgb="FF1155CC"/>
        <sz val="11.0"/>
        <u/>
      </rPr>
      <t>Hace 365 días la ciudad quedó liberada del tráfico de petróleo con el pantalán, que ha recibido a 50 buques. A Coruña. La terminal de Repsol en Langosteira...</t>
    </r>
    <r>
      <rPr>
        <rFont val="Arial, sans-serif"/>
        <color rgb="FF1155CC"/>
        <sz val="12.0"/>
        <u/>
      </rPr>
      <t>.</t>
    </r>
    <r>
      <rPr>
        <rFont val="Arial, sans-serif"/>
        <color rgb="FF1155CC"/>
        <sz val="11.0"/>
        <u/>
      </rPr>
      <t>3 mar 2024</t>
    </r>
  </si>
  <si>
    <t>El Ideal Gallego</t>
  </si>
  <si>
    <t>La terminal de Repsol en Langosteira cumple un año de descargas de crudo</t>
  </si>
  <si>
    <t>Hace 365 días la ciudad quedó liberada del tráfico de petróleo con el pantalán, que ha recibido a 50 buques.</t>
  </si>
  <si>
    <t>The Repsol terminal in Langosteira celebrates one year of crude oil discharges</t>
  </si>
  <si>
    <t>365 days ago the city was freed from oil traffic with the pontoon, which has received 50 vessels.</t>
  </si>
  <si>
    <t>terminal operations, Langosteira anniversary</t>
  </si>
  <si>
    <t>operaciones terminales, aniversario Langosteira</t>
  </si>
  <si>
    <t>Celebrating logistical milestones reinforces Repsol’s infrastructure presence.</t>
  </si>
  <si>
    <t>terminal, descargas, crudo</t>
  </si>
  <si>
    <t>Neutral news about operational milestones, with no significant impact on Repsol's image.</t>
  </si>
  <si>
    <t>Noticias neutras sobre hitos operativos, sin impacto significativo en la imagen de Repsol.</t>
  </si>
  <si>
    <r>
      <rPr>
        <rFont val="Arial, sans-serif"/>
        <color rgb="FF1155CC"/>
        <sz val="9.0"/>
        <u/>
      </rPr>
      <t>Cinco Días</t>
    </r>
    <r>
      <rPr>
        <rFont val="Arial, sans-serif"/>
        <color rgb="FF1155CC"/>
        <sz val="15.0"/>
        <u/>
      </rPr>
      <t>El trienio de oro de las energéticas</t>
    </r>
    <r>
      <rPr>
        <rFont val="Arial, sans-serif"/>
        <color rgb="FF1155CC"/>
        <sz val="11.0"/>
        <u/>
      </rPr>
      <t>Las grandes cotizadas del sector en España ganan 33.000 millones entre 2021 y 2023, y mantienen a raya la deuda pese a las fuertes inversiones en...</t>
    </r>
    <r>
      <rPr>
        <rFont val="Arial, sans-serif"/>
        <color rgb="FF1155CC"/>
        <sz val="12.0"/>
        <u/>
      </rPr>
      <t>.</t>
    </r>
    <r>
      <rPr>
        <rFont val="Arial, sans-serif"/>
        <color rgb="FF1155CC"/>
        <sz val="11.0"/>
        <u/>
      </rPr>
      <t>3 mar 2024</t>
    </r>
  </si>
  <si>
    <t>El trienio de oro de las energéticas</t>
  </si>
  <si>
    <t>Las grandes cotizadas del sector en España ganan 33.000 millones entre 2021 y 2023, y mantienen a raya la deuda pese a las fuertes inversiones en....</t>
  </si>
  <si>
    <t>The golden triennium of energy companies</t>
  </si>
  <si>
    <t>The large listed companies in the sector in Spain earn 33,000 million between 2021 and 2023, and keep debt at bay despite heavy investments in...</t>
  </si>
  <si>
    <t>General energy sector discussions do not impact Repsol’s business.</t>
  </si>
  <si>
    <t>ganancias, energéticas</t>
  </si>
  <si>
    <t>Positive news about financial performance in the energy sector.</t>
  </si>
  <si>
    <t>Noticias positivas sobre el desempeño financiero del sector energético.</t>
  </si>
  <si>
    <r>
      <rPr>
        <rFont val="Arial, sans-serif"/>
        <color rgb="FF1155CC"/>
        <sz val="9.0"/>
        <u/>
      </rPr>
      <t>La Opinión de Murcia</t>
    </r>
    <r>
      <rPr>
        <rFont val="Arial, sans-serif"/>
        <color rgb="FF1155CC"/>
        <sz val="15.0"/>
        <u/>
      </rPr>
      <t>Las tapas de Chicote, Lucía Freitas y Susi Díaz conquistan Murcia como antesala de los soles de la Guía Repsol</t>
    </r>
    <r>
      <rPr>
        <rFont val="Arial, sans-serif"/>
        <color rgb="FF1155CC"/>
        <sz val="11.0"/>
        <u/>
      </rPr>
      <t>Los populares chefs se han puesto este domingo a mediodía manos a la obra reinterpretando deliciosos aperitivos en los bares Verónicas y Gran Rhin y el...</t>
    </r>
    <r>
      <rPr>
        <rFont val="Arial, sans-serif"/>
        <color rgb="FF1155CC"/>
        <sz val="12.0"/>
        <u/>
      </rPr>
      <t>.</t>
    </r>
    <r>
      <rPr>
        <rFont val="Arial, sans-serif"/>
        <color rgb="FF1155CC"/>
        <sz val="11.0"/>
        <u/>
      </rPr>
      <t>3 mar 2024</t>
    </r>
  </si>
  <si>
    <t>Las tapas de Chicote, Lucía Freitas y Susi Díaz conquistan Murcia como antesala de los soles de la Guía Repsol</t>
  </si>
  <si>
    <t>Los populares chefs se han puesto este domingo a mediodía manos a la obra reinterpretando deliciosos aperitivos en los bares Verónicas y Gran Rhin y el....</t>
  </si>
  <si>
    <t>The tapas of Chicote, Lucía Freitas and Susi Díaz conquer Murcia as a prelude to the suns of the Repsol Guide</t>
  </si>
  <si>
    <t>The popular chefs got to work this Sunday at noon reinterpreting delicious appetizers in the Verónicas and Gran Rhin bars and the...</t>
  </si>
  <si>
    <r>
      <rPr>
        <rFont val="Arial, sans-serif"/>
        <color rgb="FF1155CC"/>
        <sz val="9.0"/>
        <u/>
      </rPr>
      <t>Onda Regional de Murcia | ORM</t>
    </r>
    <r>
      <rPr>
        <rFont val="Arial, sans-serif"/>
        <color rgb="FF1155CC"/>
        <sz val="15.0"/>
        <u/>
      </rPr>
      <t>Chicote, Lucía Freitas y Susi Díaz preparan el aperitivo en los bares de la ciudad de Murcia</t>
    </r>
    <r>
      <rPr>
        <rFont val="Arial, sans-serif"/>
        <color rgb="FF1155CC"/>
        <sz val="11.0"/>
        <u/>
      </rPr>
      <t>Han participado en la jornada 'De tapas con los Soles' durante la jornada previa a la Gala de los Soles Guía Repsol 2024 que tendrá lugar este lunes en...</t>
    </r>
    <r>
      <rPr>
        <rFont val="Arial, sans-serif"/>
        <color rgb="FF1155CC"/>
        <sz val="12.0"/>
        <u/>
      </rPr>
      <t>.</t>
    </r>
    <r>
      <rPr>
        <rFont val="Arial, sans-serif"/>
        <color rgb="FF1155CC"/>
        <sz val="11.0"/>
        <u/>
      </rPr>
      <t>3 mar 2024</t>
    </r>
  </si>
  <si>
    <t>Onda Regional de Murcia</t>
  </si>
  <si>
    <t>Chicote, Lucía Freitas y Susi Díaz preparan el aperitivo en los bares de la ciudad de Murcia</t>
  </si>
  <si>
    <t>Han participado en la jornada 'De tapas con los Soles' durante la jornada previa a la Gala de los Soles Guía Repsol 2024 que tendrá lugar este lunes en....</t>
  </si>
  <si>
    <t>Chicote, Lucía Freitas and Susi Díaz prepare the aperitif in the bars of the city of Murcia</t>
  </si>
  <si>
    <t>They have participated in the 'Tapas with the Suns' event during the day prior to the Repsol Guide 2024 Gala of the Suns that will take place this Monday in....</t>
  </si>
  <si>
    <r>
      <rPr>
        <rFont val="Arial, sans-serif"/>
        <color rgb="FF1155CC"/>
        <sz val="9.0"/>
        <u/>
      </rPr>
      <t>Cadena SER</t>
    </r>
    <r>
      <rPr>
        <rFont val="Arial, sans-serif"/>
        <color rgb="FF1155CC"/>
        <sz val="15.0"/>
        <u/>
      </rPr>
      <t>Lucía Freitas, galardonada con un Sol Sostenible: "La gastronomía de este país está sostenida por mujeres"</t>
    </r>
    <r>
      <rPr>
        <rFont val="Arial, sans-serif"/>
        <color rgb="FF1155CC"/>
        <sz val="11.0"/>
        <u/>
      </rPr>
      <t>La Guía Repsol reconoce su apuesta por la "sostenibilidad medioambiental y social", muy relacionada con el proyecto Amas da Terra, una reivindicación de las...</t>
    </r>
    <r>
      <rPr>
        <rFont val="Arial, sans-serif"/>
        <color rgb="FF1155CC"/>
        <sz val="12.0"/>
        <u/>
      </rPr>
      <t>.</t>
    </r>
    <r>
      <rPr>
        <rFont val="Arial, sans-serif"/>
        <color rgb="FF1155CC"/>
        <sz val="11.0"/>
        <u/>
      </rPr>
      <t>3 mar 2024</t>
    </r>
  </si>
  <si>
    <t>Lucía Freitas, galardonada con un Sol Sostenible: "La gastronomía de este país está sostenida por mujeres"</t>
  </si>
  <si>
    <t>"La Guía Repsol reconoce su apuesta por la 'sostenibilidad medioambiental y social', muy relacionada con el proyecto Amas da Terra, una reivindicación de las...."</t>
  </si>
  <si>
    <t>Lucía Freitas, awarded with a Sustainable Sun: "The gastronomy of this country is supported by women"</t>
  </si>
  <si>
    <t>"The Repsol Guide recognizes its commitment to 'environmental and social sustainability', closely related to the Amas da Terra project, a demand of the...."</t>
  </si>
  <si>
    <r>
      <rPr>
        <rFont val="Arial, sans-serif"/>
        <color rgb="FF1155CC"/>
        <sz val="9.0"/>
        <u/>
      </rPr>
      <t>EFE - Agencia de noticias</t>
    </r>
    <r>
      <rPr>
        <rFont val="Arial, sans-serif"/>
        <color rgb="FF1155CC"/>
        <sz val="15.0"/>
        <u/>
      </rPr>
      <t>Chicote, Freitas y Susi Díaz prepararon el aperitivo en bares emblemáticos de Murcia</t>
    </r>
    <r>
      <rPr>
        <rFont val="Arial, sans-serif"/>
        <color rgb="FF1155CC"/>
        <sz val="11.0"/>
        <u/>
      </rPr>
      <t>Murcia, 3 mar (EFE).- Centenares de aficionados a la gastronomía han recorrido esta mañana tres de los bares más emblemáticos de la ciudad de Murcia para...</t>
    </r>
    <r>
      <rPr>
        <rFont val="Arial, sans-serif"/>
        <color rgb="FF1155CC"/>
        <sz val="12.0"/>
        <u/>
      </rPr>
      <t>.</t>
    </r>
    <r>
      <rPr>
        <rFont val="Arial, sans-serif"/>
        <color rgb="FF1155CC"/>
        <sz val="11.0"/>
        <u/>
      </rPr>
      <t>3 mar 2024</t>
    </r>
  </si>
  <si>
    <t>Chicote, Freitas y Susi Díaz prepararon el aperitivo en bares emblemáticos de Murcia</t>
  </si>
  <si>
    <t>Centenares de aficionados a la gastronomía han recorrido esta mañana tres de los bares más emblemáticos de la ciudad de Murcia para....</t>
  </si>
  <si>
    <t>Chicote, Freitas and Susi Díaz prepared the aperitif in emblematic bars of Murcia</t>
  </si>
  <si>
    <t>Hundreds of gastronomy fans visited three of the most emblematic bars in the city of Murcia this morning to...</t>
  </si>
  <si>
    <r>
      <rPr>
        <rFont val="Arial, sans-serif"/>
        <color rgb="FF1155CC"/>
        <sz val="9.0"/>
        <u/>
      </rPr>
      <t>El Español</t>
    </r>
    <r>
      <rPr>
        <rFont val="Arial, sans-serif"/>
        <color rgb="FF1155CC"/>
        <sz val="15.0"/>
        <u/>
      </rPr>
      <t>El terminal marítimo de Repsol en el Puerto Exterior de A Coruña cumple un año</t>
    </r>
    <r>
      <rPr>
        <rFont val="Arial, sans-serif"/>
        <color rgb="FF1155CC"/>
        <sz val="11.0"/>
        <u/>
      </rPr>
      <t>Desde entonces y en su primer año en servicio el pantalán de Punta Langosteira ha recibido a 50 buques. 3 marzo, 2024 11:54 guardar. Repsol · Puerto...</t>
    </r>
    <r>
      <rPr>
        <rFont val="Arial, sans-serif"/>
        <color rgb="FF1155CC"/>
        <sz val="12.0"/>
        <u/>
      </rPr>
      <t>.</t>
    </r>
    <r>
      <rPr>
        <rFont val="Arial, sans-serif"/>
        <color rgb="FF1155CC"/>
        <sz val="11.0"/>
        <u/>
      </rPr>
      <t>3 mar 2024</t>
    </r>
  </si>
  <si>
    <t>El terminal marítimo de Repsol en el Puerto Exterior de A Coruña cumple un año</t>
  </si>
  <si>
    <t>Desde entonces y en su primer año en servicio el pantalán de Punta Langosteira ha recibido a 50 buques.</t>
  </si>
  <si>
    <t>The Repsol maritime terminal in the Outer Port of A Coruña turns one year old</t>
  </si>
  <si>
    <t>Since then and in its first year in service, the Punta Langosteira pontoon has received 50 vessels.</t>
  </si>
  <si>
    <t>Offering fuel discounts strengthens Repsol’s customer engagement.</t>
  </si>
  <si>
    <r>
      <rPr>
        <rFont val="Arial, sans-serif"/>
        <color rgb="FF1155CC"/>
        <sz val="9.0"/>
        <u/>
      </rPr>
      <t>Gestión</t>
    </r>
    <r>
      <rPr>
        <rFont val="Arial, sans-serif"/>
        <color rgb="FF1155CC"/>
        <sz val="15.0"/>
        <u/>
      </rPr>
      <t>Club de Suscriptores: ahorra en combustible con las promos de Repsol</t>
    </r>
    <r>
      <rPr>
        <rFont val="Arial, sans-serif"/>
        <color rgb="FF1155CC"/>
        <sz val="11.0"/>
        <u/>
      </rPr>
      <t>El Club de Suscriptores y Repsol traen promociones en combustible. Este beneficio consiste en descuentos por galón: S/ 1.20 de dscto. en Gasohol Premium por...</t>
    </r>
    <r>
      <rPr>
        <rFont val="Arial, sans-serif"/>
        <color rgb="FF1155CC"/>
        <sz val="12.0"/>
        <u/>
      </rPr>
      <t>.</t>
    </r>
    <r>
      <rPr>
        <rFont val="Arial, sans-serif"/>
        <color rgb="FF1155CC"/>
        <sz val="11.0"/>
        <u/>
      </rPr>
      <t>3 mar 2024</t>
    </r>
  </si>
  <si>
    <t>Ahorra en combustible con las promos de Repsol</t>
  </si>
  <si>
    <t>El Club de Suscriptores y Repsol traen promociones en combustible. Este beneficio consiste en descuentos por galón: S/ 1.20 de dscto. en Gasohol Premium por....</t>
  </si>
  <si>
    <t>Save on fuel with Repsol promos</t>
  </si>
  <si>
    <t>The Subscribers Club and Repsol bring promotions on fuel. This benefit consists of discounts per gallon: S/ 1.20 off. in Gasohol Premium for....</t>
  </si>
  <si>
    <t>energy solutions, 360-degree services</t>
  </si>
  <si>
    <t>soluciones energéticas, servicios 360 grados</t>
  </si>
  <si>
    <t>Positioning itself as a full-service energy provider strengthens Repsol’s market presence.</t>
  </si>
  <si>
    <t>promociones, combustible</t>
  </si>
  <si>
    <t>Positive news about customer benefits and promotions.</t>
  </si>
  <si>
    <t>Noticias positivas sobre beneficios y promociones para el cliente.</t>
  </si>
  <si>
    <r>
      <rPr>
        <rFont val="Arial, sans-serif"/>
        <color rgb="FF1155CC"/>
        <sz val="9.0"/>
        <u/>
      </rPr>
      <t>Gastroeconomy</t>
    </r>
    <r>
      <rPr>
        <rFont val="Arial, sans-serif"/>
        <color rgb="FF1155CC"/>
        <sz val="15.0"/>
        <u/>
      </rPr>
      <t>Lista completa de restaurantes con Soles de Guía Repsol en 2024, con indicación de las 98 novedades de este año</t>
    </r>
    <r>
      <rPr>
        <color rgb="FF1155CC"/>
        <sz val="11.0"/>
        <u/>
      </rPr>
      <t>Listado completo de restaurantes con Soles de Guía Repsol en 2024, que tienen uno, dos o tres Soles, con indicación de las 98 novedades de la última edición...</t>
    </r>
    <r>
      <rPr>
        <color rgb="FF1155CC"/>
        <sz val="12.0"/>
        <u/>
      </rPr>
      <t>.</t>
    </r>
    <r>
      <rPr>
        <color rgb="FF1155CC"/>
        <sz val="11.0"/>
        <u/>
      </rPr>
      <t>4 mar 2024</t>
    </r>
  </si>
  <si>
    <t>Gastroeconomy</t>
  </si>
  <si>
    <t>Lista completa de restaurantes con Soles de Guía Repsol en 2024, con indicación de las 98 novedades de este año</t>
  </si>
  <si>
    <t>Listado completo de restaurantes con Soles de Guía Repsol en 2024, que tienen uno, dos o tres Soles, con indicación de las 98 novedades de la última edición....</t>
  </si>
  <si>
    <t>Complete list of restaurants with Repsol Guide Suns in 2024, with an indication of the 98 novelties this year</t>
  </si>
  <si>
    <t>Complete list of restaurants with Repsol Guide Soles in 2024, which have one, two or three Soles, with an indication of the 98 novelties of the latest edition....</t>
  </si>
  <si>
    <r>
      <rPr>
        <rFont val="Arial, sans-serif"/>
        <color rgb="FF1155CC"/>
        <sz val="9.0"/>
        <u/>
      </rPr>
      <t>Faconauto</t>
    </r>
    <r>
      <rPr>
        <rFont val="Arial, sans-serif"/>
        <color rgb="FF1155CC"/>
        <sz val="15.0"/>
        <u/>
      </rPr>
      <t>Susana Baños, Repsol: "Somos la única compañía que ofrece a los concesionarios una solución energética que les ayude a reducir las emisiones"</t>
    </r>
    <r>
      <rPr>
        <color rgb="FF1155CC"/>
        <sz val="11.0"/>
        <u/>
      </rPr>
      <t>A tan solo un día para el arranque de Faconauto 2024, entrevistamos a la B2B Salesforce Director de Repsol para que nos explique cómo su compañía brinda...</t>
    </r>
    <r>
      <rPr>
        <color rgb="FF1155CC"/>
        <sz val="12.0"/>
        <u/>
      </rPr>
      <t>.</t>
    </r>
    <r>
      <rPr>
        <color rgb="FF1155CC"/>
        <sz val="11.0"/>
        <u/>
      </rPr>
      <t>4 mar 2024</t>
    </r>
  </si>
  <si>
    <t>Repsol: "Somos la única compañía que ofrece a los concesionarios una solución energética que les ayude a reducir las emisiones"</t>
  </si>
  <si>
    <t>"Somos la única compañía que ofrece a los concesionarios una solución energética que les ayude a reducir las emisiones"</t>
  </si>
  <si>
    <t>Repsol: "We are the only company that offers dealers an energy solution that helps them reduce emissions"</t>
  </si>
  <si>
    <t>"We are the only company that offers dealers an energy solution that helps them reduce emissions"</t>
  </si>
  <si>
    <t>electric vehicle chargers, Repsol-Adif partnership</t>
  </si>
  <si>
    <t>cargadores de vehículos eléctricos, colaboración Repsol-Adif</t>
  </si>
  <si>
    <t>Expanding EV charging infrastructure supports Repsol’s transition to clean energy.</t>
  </si>
  <si>
    <t>solución energética, reducir emisiones</t>
  </si>
  <si>
    <t>Positive news about Repsol's leadership in energy solutions and emissions reduction.</t>
  </si>
  <si>
    <t>Noticias positivas sobre el liderazgo de Repsol en soluciones energéticas y reducción de emisiones.</t>
  </si>
  <si>
    <r>
      <rPr>
        <rFont val="Arial, sans-serif"/>
        <color rgb="FF1155CC"/>
        <sz val="9.0"/>
        <u/>
      </rPr>
      <t>La Voz de Galicia</t>
    </r>
    <r>
      <rPr>
        <rFont val="Arial, sans-serif"/>
        <color rgb="FF1155CC"/>
        <sz val="15.0"/>
        <u/>
      </rPr>
      <t>Repsol invirtió más de 126 millones en el traslado al puerto exterior coruñés</t>
    </r>
    <r>
      <rPr>
        <color rgb="FF1155CC"/>
        <sz val="11.0"/>
        <u/>
      </rPr>
      <t>La compañía trabaja en la segunda fase para llevar el resto de tráficos a Langosteira desde la dársena interior.</t>
    </r>
    <r>
      <rPr>
        <color rgb="FF1155CC"/>
        <sz val="12.0"/>
        <u/>
      </rPr>
      <t>.</t>
    </r>
    <r>
      <rPr>
        <color rgb="FF1155CC"/>
        <sz val="11.0"/>
        <u/>
      </rPr>
      <t>4 mar 2024</t>
    </r>
  </si>
  <si>
    <t>Repsol invirtió más de 126 millones en el traslado al puerto exterior coruñés</t>
  </si>
  <si>
    <t>La compañía trabaja en la segunda fase para llevar el resto de tráficos a Langosteira desde la dársena interior.</t>
  </si>
  <si>
    <t>Repsol invested more than 126 million in the transfer to the outer port of Coruña</t>
  </si>
  <si>
    <t>The company is working on the second phase to bring the rest of the traffic to Langosteira from the inner dock.</t>
  </si>
  <si>
    <t>126 million investment, outer port of Coruña, logistics</t>
  </si>
  <si>
    <t>126 millones de inversión, puerto exterior de Coruña, logística</t>
  </si>
  <si>
    <t>A major investment in port logistics reinforces Repsol’s supply chain efficiency and market expansion.</t>
  </si>
  <si>
    <t>inversión, puerto exterior</t>
  </si>
  <si>
    <t>Neutral-positive news about infrastructure investment.</t>
  </si>
  <si>
    <t>Noticias neutrales y positivas sobre la inversión en infraestructura.</t>
  </si>
  <si>
    <r>
      <rPr>
        <rFont val="Arial, sans-serif"/>
        <color rgb="FF1155CC"/>
        <sz val="9.0"/>
        <u/>
      </rPr>
      <t>Car and Driver</t>
    </r>
    <r>
      <rPr>
        <rFont val="Arial, sans-serif"/>
        <color rgb="FF1155CC"/>
        <sz val="15.0"/>
        <u/>
      </rPr>
      <t>La razón por la que Repsol trabaja con el Ejército de España en la Antártida</t>
    </r>
    <r>
      <rPr>
        <color rgb="FF1155CC"/>
        <sz val="11.0"/>
        <u/>
      </rPr>
      <t>Son muchas las misiones en las que participa el Ejército, que cuenta con hasta 3.000 militares y guardias civiles desplegados en 4 de los 5 continentes.</t>
    </r>
    <r>
      <rPr>
        <color rgb="FF1155CC"/>
        <sz val="12.0"/>
        <u/>
      </rPr>
      <t>.</t>
    </r>
    <r>
      <rPr>
        <color rgb="FF1155CC"/>
        <sz val="11.0"/>
        <u/>
      </rPr>
      <t>4 mar 2024</t>
    </r>
  </si>
  <si>
    <t>La razón por la que Repsol trabaja con el Ejército de España en la Antártida</t>
  </si>
  <si>
    <t>Son muchas las misiones en las que participa el Ejército, que cuenta con hasta 3.000 militares y guardias civiles desplegados en 4 de los 5 continentes.</t>
  </si>
  <si>
    <t>The reason why Repsol works with the Spanish Army in Antarctica</t>
  </si>
  <si>
    <t>There are many missions in which the Army participates, which has up to 3,000 soldiers and civil guards deployed on 4 of the 5 continents.</t>
  </si>
  <si>
    <t>Spanish Army, Antarctica, renewable fuels</t>
  </si>
  <si>
    <t>Ejército español, Antártida, combustibles renovables</t>
  </si>
  <si>
    <t>Supporting renewable energy in extreme environments reinforces Repsol’s green initiatives.</t>
  </si>
  <si>
    <t>Ejército, Antártida</t>
  </si>
  <si>
    <t>Neutral news about collaboration, with no significant impact on Repsol's image.</t>
  </si>
  <si>
    <t>Noticias neutras sobre colaboración, sin impacto significativo en la imagen de Repsol.</t>
  </si>
  <si>
    <r>
      <rPr>
        <rFont val="Arial, sans-serif"/>
        <color rgb="FF1155CC"/>
        <sz val="9.0"/>
        <u/>
      </rPr>
      <t>El Comercio</t>
    </r>
    <r>
      <rPr>
        <rFont val="Arial, sans-serif"/>
        <color rgb="FF1155CC"/>
        <sz val="15.0"/>
        <u/>
      </rPr>
      <t>Asturias suma dos soles en la guía Repsol</t>
    </r>
    <r>
      <rPr>
        <color rgb="FF1155CC"/>
        <sz val="11.0"/>
        <u/>
      </rPr>
      <t>Los restaurantes Alenda, en Villaviciosa, y Quince Nudos, en Ribadesella, amplían a 32 los negocios con presencia en la publicación, que celebró este lunes...</t>
    </r>
    <r>
      <rPr>
        <color rgb="FF1155CC"/>
        <sz val="12.0"/>
        <u/>
      </rPr>
      <t>.</t>
    </r>
    <r>
      <rPr>
        <color rgb="FF1155CC"/>
        <sz val="11.0"/>
        <u/>
      </rPr>
      <t>4 mar 2024</t>
    </r>
  </si>
  <si>
    <t>Asturias suma dos soles en la guía Repsol</t>
  </si>
  <si>
    <t>Los restaurantes Alenda, en Villaviciosa, y Quince Nudos, en Ribadesella, amplían a 32 los negocios con presencia en la publicación, que celebró este lunes.</t>
  </si>
  <si>
    <t>Asturias adds two soles in the Repsol guide</t>
  </si>
  <si>
    <t>The Alenda restaurants, in Villaviciosa, and Quince Nudos, in Ribadesella, increase the number of businesses with a presence in the publication to 32, which was held this Monday.</t>
  </si>
  <si>
    <r>
      <rPr>
        <rFont val="Arial, sans-serif"/>
        <color rgb="FF1155CC"/>
        <sz val="9.0"/>
        <u/>
      </rPr>
      <t>Las Provincias</t>
    </r>
    <r>
      <rPr>
        <rFont val="Arial, sans-serif"/>
        <color rgb="FF1155CC"/>
        <sz val="15.0"/>
        <u/>
      </rPr>
      <t>Todos los Soles Repsol en la Comunitat en 2024</t>
    </r>
    <r>
      <rPr>
        <color rgb="FF1155CC"/>
        <sz val="11.0"/>
        <u/>
      </rPr>
      <t>Begoña Rodrigo ha sido la gran triunfadora con el restaurante 'La Salita'</t>
    </r>
    <r>
      <rPr>
        <color rgb="FF1155CC"/>
        <sz val="12.0"/>
        <u/>
      </rPr>
      <t>.</t>
    </r>
    <r>
      <rPr>
        <color rgb="FF1155CC"/>
        <sz val="11.0"/>
        <u/>
      </rPr>
      <t>4 mar 2024</t>
    </r>
  </si>
  <si>
    <t>Todos los Soles Repsol en la Comunitat en 2024</t>
  </si>
  <si>
    <t>Begoña Rodrigo ha sido la gran triunfadora con el restaurante 'La Salita'.</t>
  </si>
  <si>
    <t>All Repsol Suns in the Community in 2024</t>
  </si>
  <si>
    <t>Begoña Rodrigo has been the great winner with the restaurant 'La Salita'.</t>
  </si>
  <si>
    <r>
      <rPr>
        <rFont val="Arial, sans-serif"/>
        <color rgb="FF1155CC"/>
        <sz val="9.0"/>
        <u/>
      </rPr>
      <t>Guía Repsol</t>
    </r>
    <r>
      <rPr>
        <rFont val="Arial, sans-serif"/>
        <color rgb="FF1155CC"/>
        <sz val="15.0"/>
        <u/>
      </rPr>
      <t>Nuevo restaurante 3 Soles Guia Repsol 2024</t>
    </r>
    <r>
      <rPr>
        <color rgb="FF1155CC"/>
        <sz val="11.0"/>
        <u/>
      </rPr>
      <t>Begoña Rodrigo, del restaurante 'La Salita' (Valencia), es la nueva Tres Soles Guía Repsol 2024. La placidez que emana del palacete en Ruzafa es un reflejo...</t>
    </r>
    <r>
      <rPr>
        <color rgb="FF1155CC"/>
        <sz val="12.0"/>
        <u/>
      </rPr>
      <t>.</t>
    </r>
    <r>
      <rPr>
        <color rgb="FF1155CC"/>
        <sz val="11.0"/>
        <u/>
      </rPr>
      <t>4 mar 2024</t>
    </r>
  </si>
  <si>
    <t>Nuevo restaurante 3 Soles Guía Repsol 2024</t>
  </si>
  <si>
    <t>Begoña Rodrigo, del restaurante 'La Salita' (Valencia), es la nueva Tres Soles Guía Repsol 2024. La placidez que emana del palacete en Ruzafa es un reflejo....</t>
  </si>
  <si>
    <t>New 3 Soles restaurant Repsol Guide 2024</t>
  </si>
  <si>
    <t>Begoña Rodrigo, from the restaurant 'La Salita' (Valencia), is the new Tres Soles Repsol Guide 2024. The placidity that emanates from the mansion in Ruzafa is a reflection....</t>
  </si>
  <si>
    <r>
      <rPr>
        <rFont val="Arial, sans-serif"/>
        <color rgb="FF1155CC"/>
        <sz val="9.0"/>
        <u/>
      </rPr>
      <t>EL PAÍS</t>
    </r>
    <r>
      <rPr>
        <rFont val="Arial, sans-serif"/>
        <color rgb="FF1155CC"/>
        <sz val="15.0"/>
        <u/>
      </rPr>
      <t>Los nuevos Soles de la Guía Repsol: tres para La Salita (Valencia) y dos de una tacada para OSA (Madrid)</t>
    </r>
    <r>
      <rPr>
        <color rgb="FF1155CC"/>
        <sz val="11.0"/>
        <u/>
      </rPr>
      <t>Solo hay un nuevo tres soles en el firmamento de Guía Repsol este año. Y se lo ha llevado Begoña Rodrigo (Valencia, 48 años) cocinera y propietaria del...</t>
    </r>
    <r>
      <rPr>
        <color rgb="FF1155CC"/>
        <sz val="12.0"/>
        <u/>
      </rPr>
      <t>.</t>
    </r>
    <r>
      <rPr>
        <color rgb="FF1155CC"/>
        <sz val="11.0"/>
        <u/>
      </rPr>
      <t>4 mar 2024</t>
    </r>
  </si>
  <si>
    <t>Los nuevos Soles de la Guía Repsol: tres para La Salita (Valencia) y dos de una tacada para OSA (Madrid)</t>
  </si>
  <si>
    <t>Solo hay un nuevo tres soles en el firmamento de Guía Repsol este año. Y se lo ha llevado Begoña Rodrigo (Valencia, 48 años) cocinera y propietaria del....</t>
  </si>
  <si>
    <t>The new Repsol Guide Suns: three for La Salita (Valencia) and two in one go for OSA (Madrid)</t>
  </si>
  <si>
    <t>There is only one new three suns in the Repsol Guide firmament this year. And it was taken by Begoña Rodrigo (Valencia, 48 years old), cook and owner of the...</t>
  </si>
  <si>
    <r>
      <rPr>
        <rFont val="Arial, sans-serif"/>
        <color rgb="FF1155CC"/>
        <sz val="9.0"/>
        <u/>
      </rPr>
      <t>Diari ARA</t>
    </r>
    <r>
      <rPr>
        <rFont val="Arial, sans-serif"/>
        <color rgb="FF1155CC"/>
        <sz val="15.0"/>
        <u/>
      </rPr>
      <t>La guía Repsol, "la lista que premia bien a los restaurantes catalanes"</t>
    </r>
    <r>
      <rPr>
        <color rgb="FF1155CC"/>
        <sz val="11.0"/>
        <u/>
      </rPr>
      <t>Así ha quedado el resultado final de los premios, llamados Sols, que se han otorgado en la ciudad de Cartagena.</t>
    </r>
    <r>
      <rPr>
        <color rgb="FF1155CC"/>
        <sz val="12.0"/>
        <u/>
      </rPr>
      <t>.</t>
    </r>
    <r>
      <rPr>
        <color rgb="FF1155CC"/>
        <sz val="11.0"/>
        <u/>
      </rPr>
      <t>4 mar 2024</t>
    </r>
  </si>
  <si>
    <t>Diari ARал</t>
  </si>
  <si>
    <t>La guía Repsol, "la lista que premia bien a los restaurantes catalanes"</t>
  </si>
  <si>
    <t>Así ha quedado el resultado final de los premios, llamados Sols, que se han otorgado en la ciudad de Cartagena.</t>
  </si>
  <si>
    <t>The Repsol guide, "the list that rewards Catalan restaurants well"</t>
  </si>
  <si>
    <t>This is the final result of the awards, called Sols, which were awarded in the city of Cartagena.</t>
  </si>
  <si>
    <r>
      <rPr>
        <rFont val="Arial, sans-serif"/>
        <color rgb="FF1155CC"/>
        <sz val="9.0"/>
        <u/>
      </rPr>
      <t>El Español</t>
    </r>
    <r>
      <rPr>
        <rFont val="Arial, sans-serif"/>
        <color rgb="FF1155CC"/>
        <sz val="15.0"/>
        <u/>
      </rPr>
      <t>Soles Repsol, Soletes y Recomendaciones: así es como la Guía Repsol otorga sus premios</t>
    </r>
    <r>
      <rPr>
        <color rgb="FF1155CC"/>
        <sz val="11.0"/>
        <u/>
      </rPr>
      <t>Qué criterios se tienen en cuenta a la hora de premiar a los restaurantes con uno, dos o tres Soles Repsol?</t>
    </r>
    <r>
      <rPr>
        <color rgb="FF1155CC"/>
        <sz val="12.0"/>
        <u/>
      </rPr>
      <t>.</t>
    </r>
    <r>
      <rPr>
        <color rgb="FF1155CC"/>
        <sz val="11.0"/>
        <u/>
      </rPr>
      <t>4 mar 2024</t>
    </r>
  </si>
  <si>
    <t>Soles Repsol, Soletes y Recomendaciones: así es como la Guía Repsol otorga sus premios</t>
  </si>
  <si>
    <t>Qué criterios se tienen en cuenta a la hora de premiar a los restaurantes con uno, dos o tres Soles Repsol?</t>
  </si>
  <si>
    <t>Repsol Soles, Soletes and Recommendations: this is how the Repsol Guide awards its awards</t>
  </si>
  <si>
    <t>What criteria are taken into account when awarding restaurants with one, two or three Repsol Soles?</t>
  </si>
  <si>
    <r>
      <rPr>
        <rFont val="Arial, sans-serif"/>
        <color rgb="FF1155CC"/>
        <sz val="9.0"/>
        <u/>
      </rPr>
      <t>Diario Sur</t>
    </r>
    <r>
      <rPr>
        <rFont val="Arial, sans-serif"/>
        <color rgb="FF1155CC"/>
        <sz val="15.0"/>
        <u/>
      </rPr>
      <t>Estos son los Soles de la Guía Repsol en Málaga</t>
    </r>
    <r>
      <rPr>
        <rFont val="Arial, sans-serif"/>
        <color rgb="FF1155CC"/>
        <sz val="11.0"/>
        <u/>
      </rPr>
      <t>Palodú y Areia son los últimos en incorporarse a una nómina que alcanza ya los 21 restaurantes reconocidos en la provincia. Aquí los repasamos uno a uno.</t>
    </r>
    <r>
      <rPr>
        <rFont val="Arial, sans-serif"/>
        <color rgb="FF1155CC"/>
        <sz val="12.0"/>
        <u/>
      </rPr>
      <t>.</t>
    </r>
    <r>
      <rPr>
        <rFont val="Arial, sans-serif"/>
        <color rgb="FF1155CC"/>
        <sz val="11.0"/>
        <u/>
      </rPr>
      <t>4 mar 2024</t>
    </r>
  </si>
  <si>
    <t>Diario Sur</t>
  </si>
  <si>
    <t>Estos son los Soles de la Guía Repsol en Málaga</t>
  </si>
  <si>
    <t>Palodú y Areia son los últimos en incorporarse a una nómina que alcanza ya los 21 restaurantes reconocidos en la provincia. Aquí los repasamos uno a uno.</t>
  </si>
  <si>
    <t>These are the Suns of the Repsol Guide in Malaga</t>
  </si>
  <si>
    <t>Palodú and Areia are the latest to join a list that already reaches 21 restaurants recognized in the province. Here we review them one by one.</t>
  </si>
  <si>
    <r>
      <rPr>
        <rFont val="Arial, sans-serif"/>
        <color rgb="FF1155CC"/>
        <sz val="9.0"/>
        <u/>
      </rPr>
      <t>ABC</t>
    </r>
    <r>
      <rPr>
        <rFont val="Arial, sans-serif"/>
        <color rgb="FF1155CC"/>
        <sz val="15.0"/>
        <u/>
      </rPr>
      <t>Señor Cangrejo, el nuevo Sol Repsol de Sevilla</t>
    </r>
    <r>
      <rPr>
        <rFont val="Arial, sans-serif"/>
        <color rgb="FF1155CC"/>
        <sz val="11.0"/>
        <u/>
      </rPr>
      <t>Este lunes, 4 de marzo, se han entregado los nuevos Soles Repsol en una gala celebrada en Cartagena, donde el restaurante sevillano ha alcanzado la...</t>
    </r>
    <r>
      <rPr>
        <rFont val="Arial, sans-serif"/>
        <color rgb="FF1155CC"/>
        <sz val="12.0"/>
        <u/>
      </rPr>
      <t>.</t>
    </r>
    <r>
      <rPr>
        <rFont val="Arial, sans-serif"/>
        <color rgb="FF1155CC"/>
        <sz val="11.0"/>
        <u/>
      </rPr>
      <t>4 mar 2024</t>
    </r>
  </si>
  <si>
    <t>Señor Cangrejo, el nuevo Sol Repsol de Sevilla</t>
  </si>
  <si>
    <t>El restaurante sevillano ha alcanzado la...</t>
  </si>
  <si>
    <t>Mr. Crab, the new Sol Repsol of Seville</t>
  </si>
  <si>
    <t>The Sevillian restaurant has reached...</t>
  </si>
  <si>
    <r>
      <rPr>
        <rFont val="Arial, sans-serif"/>
        <color rgb="FF1155CC"/>
        <sz val="9.0"/>
        <u/>
      </rPr>
      <t>Vinoslamancha</t>
    </r>
    <r>
      <rPr>
        <rFont val="Arial, sans-serif"/>
        <color rgb="FF1155CC"/>
        <sz val="15.0"/>
        <u/>
      </rPr>
      <t>Restaurantes con Soles Repsol en Castilla-La Mancha en 2024</t>
    </r>
    <r>
      <rPr>
        <rFont val="Arial, sans-serif"/>
        <color rgb="FF1155CC"/>
        <sz val="11.0"/>
        <u/>
      </rPr>
      <t>Buscas restaurantes con Soles Repsol en Castilla-La Mancha? Aquí listado de los restaurantes en Toledo, Albacete, Ciudad Real, Guadalajara y.</t>
    </r>
    <r>
      <rPr>
        <rFont val="Arial, sans-serif"/>
        <color rgb="FF1155CC"/>
        <sz val="12.0"/>
        <u/>
      </rPr>
      <t>.</t>
    </r>
    <r>
      <rPr>
        <rFont val="Arial, sans-serif"/>
        <color rgb="FF1155CC"/>
        <sz val="11.0"/>
        <u/>
      </rPr>
      <t>4 mar 2024</t>
    </r>
  </si>
  <si>
    <t>Vinoslamancha</t>
  </si>
  <si>
    <t>Restaurantes con Soles Repsol en Castilla-La Mancha en 2024</t>
  </si>
  <si>
    <t>Buscas restaurantes con Soles Repsol en Castilla-La Mancha? Aquí listado de los restaurantes en Toledo, Albacete, Ciudad Real, Guadalajara y..</t>
  </si>
  <si>
    <t>Restaurants with Repsol Soles in Castilla-La Mancha in 2024</t>
  </si>
  <si>
    <t>Are you looking for restaurants with Repsol Soles in Castilla-La Mancha? Here is a list of restaurants in Toledo, Albacete, Ciudad Real, Guadalajara and...</t>
  </si>
  <si>
    <r>
      <rPr>
        <rFont val="Arial, sans-serif"/>
        <color rgb="FF1155CC"/>
        <sz val="9.0"/>
        <u/>
      </rPr>
      <t>heraldo.es</t>
    </r>
    <r>
      <rPr>
        <rFont val="Arial, sans-serif"/>
        <color rgb="FF1155CC"/>
        <sz val="15.0"/>
        <u/>
      </rPr>
      <t>Los tres nuevos soles Repsol de Aragón están en restaurantes de pueblos pequeños</t>
    </r>
    <r>
      <rPr>
        <rFont val="Arial, sans-serif"/>
        <color rgb="FF1155CC"/>
        <sz val="11.0"/>
        <u/>
      </rPr>
      <t>Restaurantes de las provincias de Huesca y Teruel han sido galardonados por la prestigiosa guía, que se ha entregado en una gala en Cartagena.</t>
    </r>
    <r>
      <rPr>
        <rFont val="Arial, sans-serif"/>
        <color rgb="FF1155CC"/>
        <sz val="12.0"/>
        <u/>
      </rPr>
      <t>.</t>
    </r>
    <r>
      <rPr>
        <rFont val="Arial, sans-serif"/>
        <color rgb="FF1155CC"/>
        <sz val="11.0"/>
        <u/>
      </rPr>
      <t>4 mar 2024</t>
    </r>
  </si>
  <si>
    <t>Los tres nuevos soles Repsol de Aragón están en restaurantes de pueblos pequeños</t>
  </si>
  <si>
    <t>Restaurantes de las provincias de Huesca y Teruel han sido galardonados por la prestigiosa guía, que se ha entregado en una gala en Cartagena.</t>
  </si>
  <si>
    <t>The three new Repsol soles of Aragon are in restaurants in small towns</t>
  </si>
  <si>
    <t>Restaurants from the provinces of Huesca and Teruel have been awarded by the prestigious guide, which was presented at a gala in Cartagena.</t>
  </si>
  <si>
    <r>
      <rPr>
        <rFont val="Arial, sans-serif"/>
        <color rgb="FF1155CC"/>
        <sz val="9.0"/>
        <u/>
      </rPr>
      <t>Gourmet IDEAL</t>
    </r>
    <r>
      <rPr>
        <rFont val="Arial, sans-serif"/>
        <color rgb="FF1155CC"/>
        <sz val="15.0"/>
        <u/>
      </rPr>
      <t>Los restaurantes María de la O y La Finca, nuevos Soles Repsol en Granada</t>
    </r>
    <r>
      <rPr>
        <rFont val="Arial, sans-serif"/>
        <color rgb="FF1155CC"/>
        <sz val="11.0"/>
        <u/>
      </rPr>
      <t>Renuevan su reconocimiento Ruta del Veleta, Arriaga, Damasqueros y Faralá, por lo que la provincia cuenta ya con seis de estas prestigiosas distinciones.</t>
    </r>
    <r>
      <rPr>
        <rFont val="Arial, sans-serif"/>
        <color rgb="FF1155CC"/>
        <sz val="12.0"/>
        <u/>
      </rPr>
      <t>.</t>
    </r>
    <r>
      <rPr>
        <rFont val="Arial, sans-serif"/>
        <color rgb="FF1155CC"/>
        <sz val="11.0"/>
        <u/>
      </rPr>
      <t>4 mar 2024</t>
    </r>
  </si>
  <si>
    <t>Gourmet IDEAL</t>
  </si>
  <si>
    <t>Los restaurantes María de la O y La Finca, nuevos Soles Repsol en Granada</t>
  </si>
  <si>
    <t>Renuevan su reconocimiento Ruta del Veleta, Arriaga, Damasqueros y Faralá, por lo que la provincia cuenta ya con seis de estas prestigiosas distinciones.</t>
  </si>
  <si>
    <t>The María de la O and La Finca restaurants, new Repsol Soles in Granada</t>
  </si>
  <si>
    <t>Ruta del Veleta, Arriaga, Damasqueros and Faralá renew their recognition, so the province now has six of these prestigious distinctions.</t>
  </si>
  <si>
    <r>
      <rPr>
        <rFont val="Arial, sans-serif"/>
        <color rgb="FF1155CC"/>
        <sz val="9.0"/>
        <u/>
      </rPr>
      <t>El Correo</t>
    </r>
    <r>
      <rPr>
        <rFont val="Arial, sans-serif"/>
        <color rgb="FF1155CC"/>
        <sz val="15.0"/>
        <u/>
      </rPr>
      <t>Todos los restaurantes con soles Repsol en Euskadi</t>
    </r>
    <r>
      <rPr>
        <rFont val="Arial, sans-serif"/>
        <color rgb="FF1155CC"/>
        <sz val="11.0"/>
        <u/>
      </rPr>
      <t>La gastronomía española vive un momento excelente, con nuevas aperturas deslumbrantes y la evolución de restaurantes ya consolidados, que los clientes...</t>
    </r>
    <r>
      <rPr>
        <rFont val="Arial, sans-serif"/>
        <color rgb="FF1155CC"/>
        <sz val="12.0"/>
        <u/>
      </rPr>
      <t>.</t>
    </r>
    <r>
      <rPr>
        <rFont val="Arial, sans-serif"/>
        <color rgb="FF1155CC"/>
        <sz val="11.0"/>
        <u/>
      </rPr>
      <t>4 mar 2024</t>
    </r>
  </si>
  <si>
    <t>Todos los restaurantes con soles Repsol en Euskadi</t>
  </si>
  <si>
    <t>La gastronomía española vive un momento excelente, con nuevas aperturas deslumbrantes y la evolución de restaurantes ya consolidados, que los clientes....</t>
  </si>
  <si>
    <t>All restaurants with Repsol soles in the Basque Country</t>
  </si>
  <si>
    <t>Spanish gastronomy is going through an excellent moment, with dazzling new openings and the evolution of already consolidated restaurants, which customers...</t>
  </si>
  <si>
    <r>
      <rPr>
        <rFont val="Arial, sans-serif"/>
        <color rgb="FF1155CC"/>
        <sz val="9.0"/>
        <u/>
      </rPr>
      <t>El Independiente</t>
    </r>
    <r>
      <rPr>
        <rFont val="Arial, sans-serif"/>
        <color rgb="FF1155CC"/>
        <sz val="15.0"/>
        <u/>
      </rPr>
      <t>Repsol se adjudica la instalación de 1.000 puntos de recarga de coche eléctrico en estaciones de tren</t>
    </r>
    <r>
      <rPr>
        <rFont val="Arial, sans-serif"/>
        <color rgb="FF1155CC"/>
        <sz val="11.0"/>
        <u/>
      </rPr>
      <t>Repsol y Adif han llegado a un acuerdo para la instalación de 1.000 puntos de recarga de coche eléctrico en las principales estaciones de tren.</t>
    </r>
    <r>
      <rPr>
        <rFont val="Arial, sans-serif"/>
        <color rgb="FF1155CC"/>
        <sz val="12.0"/>
        <u/>
      </rPr>
      <t>.</t>
    </r>
    <r>
      <rPr>
        <rFont val="Arial, sans-serif"/>
        <color rgb="FF1155CC"/>
        <sz val="11.0"/>
        <u/>
      </rPr>
      <t>4 mar 2024</t>
    </r>
  </si>
  <si>
    <t>Repsol se adjudica la instalación de 1.000 puntos de recarga de coche eléctrico en estaciones de tren</t>
  </si>
  <si>
    <t>Repsol y Adif han llegado a un acuerdo para la instalación de 1.000 puntos de recarga de coche eléctrico en las principales estaciones de tren.</t>
  </si>
  <si>
    <t>Repsol is awarded the installation of 1,000 electric car charging points in train stations</t>
  </si>
  <si>
    <t>Repsol and Adif have reached an agreement for the installation of 1,000 electric car charging points in the main train stations.</t>
  </si>
  <si>
    <t>instalación, puntos de recarga, acuerdo</t>
  </si>
  <si>
    <t>Positive sentiment due to the advancement in electric vehicle infrastructure.</t>
  </si>
  <si>
    <t>Sentimiento positivo debido al avance en la infraestructura de vehículos eléctricos.</t>
  </si>
  <si>
    <r>
      <rPr>
        <rFont val="Arial, sans-serif"/>
        <color rgb="FF1155CC"/>
        <sz val="9.0"/>
        <u/>
      </rPr>
      <t>Hoy</t>
    </r>
    <r>
      <rPr>
        <rFont val="Arial, sans-serif"/>
        <color rgb="FF1155CC"/>
        <sz val="15.0"/>
        <u/>
      </rPr>
      <t>El restaurante Borona Bistró recibe un Sol de la guía Repsol</t>
    </r>
    <r>
      <rPr>
        <rFont val="Arial, sans-serif"/>
        <color rgb="FF1155CC"/>
        <sz val="11.0"/>
        <u/>
      </rPr>
      <t>Este proyecto cacereño, regentado por Víctor Corchado y Rocío Rey, ha sido el único de toda la región en conseguir en 2024 este distintivo.</t>
    </r>
    <r>
      <rPr>
        <rFont val="Arial, sans-serif"/>
        <color rgb="FF1155CC"/>
        <sz val="12.0"/>
        <u/>
      </rPr>
      <t>.</t>
    </r>
    <r>
      <rPr>
        <rFont val="Arial, sans-serif"/>
        <color rgb="FF1155CC"/>
        <sz val="11.0"/>
        <u/>
      </rPr>
      <t>4 mar 2024</t>
    </r>
  </si>
  <si>
    <t>El restaurante Borona Bistró recibe un Sol de la guía Repsol</t>
  </si>
  <si>
    <t>Este proyecto cacereño, regentado por Víctor Corchado y Rocío Rey, ha sido el único de toda la región en conseguir en 2024 este distintivo.</t>
  </si>
  <si>
    <t>The Borona Bistró restaurant receives a Sun from the Repsol guide</t>
  </si>
  <si>
    <t>This Cáceres project, run by Víctor Corchado and Rocío Rey, has been the only one in the entire region to achieve this distinction in 2024.</t>
  </si>
  <si>
    <r>
      <rPr>
        <rFont val="Arial, sans-serif"/>
        <color rgb="FF1155CC"/>
        <sz val="9.0"/>
        <u/>
      </rPr>
      <t>Infobae</t>
    </r>
    <r>
      <rPr>
        <rFont val="Arial, sans-serif"/>
        <color rgb="FF1155CC"/>
        <sz val="15.0"/>
        <u/>
      </rPr>
      <t>Nuevos Soles de la Guía Repsol 2024: la lista de los mejores restaurantes de España</t>
    </r>
    <r>
      <rPr>
        <rFont val="Arial, sans-serif"/>
        <color rgb="FF1155CC"/>
        <sz val="11.0"/>
        <u/>
      </rPr>
      <t>La gala de los Soles Guía Repsol, celebrada esta tarde en el Auditorio y Palacio de Congresos El Batel de Cartagena, ha premiado a un nuevo Tres Soles y a...</t>
    </r>
    <r>
      <rPr>
        <rFont val="Arial, sans-serif"/>
        <color rgb="FF1155CC"/>
        <sz val="12.0"/>
        <u/>
      </rPr>
      <t>.</t>
    </r>
    <r>
      <rPr>
        <rFont val="Arial, sans-serif"/>
        <color rgb="FF1155CC"/>
        <sz val="11.0"/>
        <u/>
      </rPr>
      <t>4 mar 2024</t>
    </r>
  </si>
  <si>
    <t>Nuevos Soles de la Guía Repsol 2024: la lista de los mejores restaurantes de España</t>
  </si>
  <si>
    <t>La gala de los Soles Guía Repsol, celebrada esta tarde en el Auditorio y Palacio de Congresos El Batel de Cartagena, ha premiado a un nuevo Tres Soles y a....</t>
  </si>
  <si>
    <t>Nuevos Soles from the Repsol Guide 2024: the list of the best restaurants in Spain</t>
  </si>
  <si>
    <t>The Repsol Guide Suns gala, held this afternoon at the El Batel Auditorium and Conference Center in Cartagena, has awarded a new Three Suns and...</t>
  </si>
  <si>
    <r>
      <rPr>
        <rFont val="Arial, sans-serif"/>
        <color rgb="FF1155CC"/>
        <sz val="9.0"/>
        <u/>
      </rPr>
      <t>Guía Repsol</t>
    </r>
    <r>
      <rPr>
        <rFont val="Arial, sans-serif"/>
        <color rgb="FF1155CC"/>
        <sz val="15.0"/>
        <u/>
      </rPr>
      <t>Listado de nuevos restaurantes con Soles Guía Repsol 2024</t>
    </r>
    <r>
      <rPr>
        <rFont val="Arial, sans-serif"/>
        <color rgb="FF1155CC"/>
        <sz val="11.0"/>
        <u/>
      </rPr>
      <t>La gastronomía española vive un momento excelente, con nuevas aperturas deslumbrantes y la evolución de restaurantes ya consolidados, que los clientes...</t>
    </r>
    <r>
      <rPr>
        <rFont val="Arial, sans-serif"/>
        <color rgb="FF1155CC"/>
        <sz val="12.0"/>
        <u/>
      </rPr>
      <t>.</t>
    </r>
    <r>
      <rPr>
        <rFont val="Arial, sans-serif"/>
        <color rgb="FF1155CC"/>
        <sz val="11.0"/>
        <u/>
      </rPr>
      <t>4 mar 2024</t>
    </r>
  </si>
  <si>
    <t>Listado de nuevos restaurantes con Soles Guía Repsol 2024</t>
  </si>
  <si>
    <t>List of new restaurants with Soles Repsol Guide 2024</t>
  </si>
  <si>
    <r>
      <rPr>
        <rFont val="Arial, sans-serif"/>
        <color rgb="FF1155CC"/>
        <sz val="9.0"/>
        <u/>
      </rPr>
      <t>heraldo.es</t>
    </r>
    <r>
      <rPr>
        <rFont val="Arial, sans-serif"/>
        <color rgb="FF1155CC"/>
        <sz val="15.0"/>
        <u/>
      </rPr>
      <t>Estos son todos los restaurantes con soles Repsol de Huesca: de Anciles a Sardas</t>
    </r>
    <r>
      <rPr>
        <rFont val="Arial, sans-serif"/>
        <color rgb="FF1155CC"/>
        <sz val="11.0"/>
        <u/>
      </rPr>
      <t>Un total de diez restaurantes de la provincia oscense cuentan con categoría, tanto en la ciudad como en pueblos del Pirineo.</t>
    </r>
    <r>
      <rPr>
        <rFont val="Arial, sans-serif"/>
        <color rgb="FF1155CC"/>
        <sz val="12.0"/>
        <u/>
      </rPr>
      <t>.</t>
    </r>
    <r>
      <rPr>
        <rFont val="Arial, sans-serif"/>
        <color rgb="FF1155CC"/>
        <sz val="11.0"/>
        <u/>
      </rPr>
      <t>4 mar 2024</t>
    </r>
  </si>
  <si>
    <t>Estos son todos los restaurantes con soles Repsol de Huesca: de Anciles a Sardas</t>
  </si>
  <si>
    <t>Un total de diez restaurantes de la provincia oscense cuentan con categoría, tanto en la ciudad como en pueblos del Pirineo.</t>
  </si>
  <si>
    <t>These are all the restaurants with Repsol soles in Huesca: from Anciles to Sardas</t>
  </si>
  <si>
    <t>A total of ten restaurants in the province of Huesca have category, both in the city and in towns in the Pyrenees.</t>
  </si>
  <si>
    <r>
      <rPr>
        <rFont val="Arial, sans-serif"/>
        <color rgb="FF1155CC"/>
        <sz val="9.0"/>
        <u/>
      </rPr>
      <t>heraldo.es</t>
    </r>
    <r>
      <rPr>
        <rFont val="Arial, sans-serif"/>
        <color rgb="FF1155CC"/>
        <sz val="15.0"/>
        <u/>
      </rPr>
      <t>Estos son todos los restaurantes con soles Repsol de Zaragoza</t>
    </r>
    <r>
      <rPr>
        <rFont val="Arial, sans-serif"/>
        <color rgb="FF1155CC"/>
        <sz val="11.0"/>
        <u/>
      </rPr>
      <t>Los soles de la capital aragonesa se encuentran en curiosos lugares, como puede ser un antiguo taller mecánico o varios palacetes en pleno centro de la...</t>
    </r>
    <r>
      <rPr>
        <rFont val="Arial, sans-serif"/>
        <color rgb="FF1155CC"/>
        <sz val="12.0"/>
        <u/>
      </rPr>
      <t>.</t>
    </r>
    <r>
      <rPr>
        <rFont val="Arial, sans-serif"/>
        <color rgb="FF1155CC"/>
        <sz val="11.0"/>
        <u/>
      </rPr>
      <t>4 mar 2024</t>
    </r>
  </si>
  <si>
    <t>Estos son todos los restaurantes con soles Repsol de Zaragoza</t>
  </si>
  <si>
    <t>Los soles de la capital aragonesa se encuentran en curiosos lugares, como puede ser un antiguo taller mecánico o varios palacetes en pleno centro de la....</t>
  </si>
  <si>
    <t>These are all the restaurants with Repsol soles in Zaragoza</t>
  </si>
  <si>
    <t>The suns of the Aragonese capital are found in curious places, such as an old mechanical workshop or several palaces in the heart of the city....</t>
  </si>
  <si>
    <r>
      <rPr>
        <rFont val="Arial, sans-serif"/>
        <color rgb="FF1155CC"/>
        <sz val="9.0"/>
        <u/>
      </rPr>
      <t>Onda Cero</t>
    </r>
    <r>
      <rPr>
        <rFont val="Arial, sans-serif"/>
        <color rgb="FF1155CC"/>
        <sz val="15.0"/>
        <u/>
      </rPr>
      <t>Soles Guía Repsol 2024: listado completo de los nuevos restaurantes premiados</t>
    </r>
    <r>
      <rPr>
        <rFont val="Arial, sans-serif"/>
        <color rgb="FF1155CC"/>
        <sz val="11.0"/>
        <u/>
      </rPr>
      <t>La Guía Repsol ha incorporado 98 nuevos restaurantes a su universo Soles Repsol. La triunfadora de la noche en Cartagena ha sido la nueva tres Soles Repsol,...</t>
    </r>
    <r>
      <rPr>
        <rFont val="Arial, sans-serif"/>
        <color rgb="FF1155CC"/>
        <sz val="12.0"/>
        <u/>
      </rPr>
      <t>.</t>
    </r>
    <r>
      <rPr>
        <rFont val="Arial, sans-serif"/>
        <color rgb="FF1155CC"/>
        <sz val="11.0"/>
        <u/>
      </rPr>
      <t>4 mar 2024</t>
    </r>
  </si>
  <si>
    <t>Soles Guía Repsol 2024: listado completo de los nuevos restaurantes premiados</t>
  </si>
  <si>
    <t>La Guía Repsol ha incorporado 98 nuevos restaurantes a su universo Soles Repsol. La triunfadora de la noche en Cartagena ha sido la nueva tres Soles Repsol,....</t>
  </si>
  <si>
    <t>Soles Repsol Guide 2024: complete list of the new award-winning restaurants</t>
  </si>
  <si>
    <t>The Repsol Guide has added 98 new restaurants to its Soles Repsol universe. The winner of the night in Cartagena has been the new Tres Soles Repsol,....</t>
  </si>
  <si>
    <r>
      <rPr>
        <rFont val="Arial, sans-serif"/>
        <color rgb="FF1155CC"/>
        <sz val="9.0"/>
        <u/>
      </rPr>
      <t>Málaga Hoy</t>
    </r>
    <r>
      <rPr>
        <rFont val="Arial, sans-serif"/>
        <color rgb="FF1155CC"/>
        <sz val="15.0"/>
        <u/>
      </rPr>
      <t>Málaga gana dos nuevos Soles Repsol con los restaurantes Areia y Palodú</t>
    </r>
    <r>
      <rPr>
        <rFont val="Arial, sans-serif"/>
        <color rgb="FF1155CC"/>
        <sz val="11.0"/>
        <u/>
      </rPr>
      <t>Málaga tiene desde este lunes dos nuevos Soles Repsol en la provincia. Los restaurantes Palodú (Málaga capital) y Areia (Marbella) son dos de los 12...</t>
    </r>
    <r>
      <rPr>
        <rFont val="Arial, sans-serif"/>
        <color rgb="FF1155CC"/>
        <sz val="12.0"/>
        <u/>
      </rPr>
      <t>.</t>
    </r>
    <r>
      <rPr>
        <rFont val="Arial, sans-serif"/>
        <color rgb="FF1155CC"/>
        <sz val="11.0"/>
        <u/>
      </rPr>
      <t>4 mar 2024</t>
    </r>
  </si>
  <si>
    <t>Málaga gana dos nuevos Soles Repsol con los restaurantes Areia y Palodú</t>
  </si>
  <si>
    <t>Málaga tiene desde este lunes dos nuevos Soles Repsol en la provincia. Los restaurantes Palodú (Málaga capital) y Areia (Marbella) son dos de los 12....</t>
  </si>
  <si>
    <t>Málaga wins two new Repsol Soles with the Areia and Palodú restaurants</t>
  </si>
  <si>
    <t>Since this Monday, Málaga has two new Repsol Soles in the province. The Palodú restaurants (Málaga capital) and Areia (Marbella) are two of the 12....</t>
  </si>
  <si>
    <r>
      <rPr>
        <rFont val="Arial, sans-serif"/>
        <color rgb="FF1155CC"/>
        <sz val="9.0"/>
        <u/>
      </rPr>
      <t>Onda Regional de Murcia | ORM</t>
    </r>
    <r>
      <rPr>
        <rFont val="Arial, sans-serif"/>
        <color rgb="FF1155CC"/>
        <sz val="15.0"/>
        <u/>
      </rPr>
      <t>Soles Guía Repsol 2024: estos son los mejores restaurantes de la Región de Murcia</t>
    </r>
    <r>
      <rPr>
        <rFont val="Arial, sans-serif"/>
        <color rgb="FF1155CC"/>
        <sz val="11.0"/>
        <u/>
      </rPr>
      <t>JUDIT LÓPEZ PICAZO. Con la entrega de los galardones de la Guía Repsol 2024 culmina un año de trabajo por parte de unos setenta inspectores para valorar la...</t>
    </r>
    <r>
      <rPr>
        <rFont val="Arial, sans-serif"/>
        <color rgb="FF1155CC"/>
        <sz val="12.0"/>
        <u/>
      </rPr>
      <t>.</t>
    </r>
    <r>
      <rPr>
        <rFont val="Arial, sans-serif"/>
        <color rgb="FF1155CC"/>
        <sz val="11.0"/>
        <u/>
      </rPr>
      <t>4 mar 2024</t>
    </r>
  </si>
  <si>
    <t>Soles Guía Repsol 2024: estos son los mejores restaurantes de la Región de Murcia</t>
  </si>
  <si>
    <t>Con la entrega de los galardones de la Guía Repsol 2024 culmina un año de trabajo por parte de unos setenta inspectores para valorar la....</t>
  </si>
  <si>
    <t>Soles Repsol Guide 2024: these are the best restaurants in the Region of Murcia</t>
  </si>
  <si>
    <t>With the delivery of the Repsol Guide 2024 awards, a year of work by some seventy inspectors culminates to assess the...</t>
  </si>
  <si>
    <r>
      <rPr>
        <rFont val="Arial, sans-serif"/>
        <color rgb="FF1155CC"/>
        <sz val="9.0"/>
        <u/>
      </rPr>
      <t>Leonoticias</t>
    </r>
    <r>
      <rPr>
        <rFont val="Arial, sans-serif"/>
        <color rgb="FF1155CC"/>
        <sz val="15.0"/>
        <u/>
      </rPr>
      <t>El Capricho se une a la constelación de los 2 Soles Repsol de Cocinandos y Pablo</t>
    </r>
    <r>
      <rPr>
        <rFont val="Arial, sans-serif"/>
        <color rgb="FF1155CC"/>
        <sz val="11.0"/>
        <u/>
      </rPr>
      <t>El restaurante de Jiménez de Jamuz logra 2 Soles de la Guá Repsol, siendo el tercer local de la provincia leonesa que alcanza este reconocimiento en una...</t>
    </r>
    <r>
      <rPr>
        <rFont val="Arial, sans-serif"/>
        <color rgb="FF1155CC"/>
        <sz val="12.0"/>
        <u/>
      </rPr>
      <t>.</t>
    </r>
    <r>
      <rPr>
        <rFont val="Arial, sans-serif"/>
        <color rgb="FF1155CC"/>
        <sz val="11.0"/>
        <u/>
      </rPr>
      <t>4 mar 2024</t>
    </r>
  </si>
  <si>
    <t>El Capricho se une a la constelación de los 2 Soles Repsol de Cocinandos y Pablo</t>
  </si>
  <si>
    <t>El restaurante de Jiménez de Jamuz logra 2 Soles de la Guá Repsol, siendo el tercer local de la provincia leonesa que alcanza este reconocimiento en una....</t>
  </si>
  <si>
    <t>El Capricho joins the constellation of the 2 Repsol Suns of Cocinandos and Pablo</t>
  </si>
  <si>
    <t>Jiménez de Jamuz's restaurant achieves 2 Soles from the Guá Repsol, being the third establishment in the province of León to achieve this recognition in one....</t>
  </si>
  <si>
    <r>
      <rPr>
        <rFont val="Arial, sans-serif"/>
        <color rgb="FF1155CC"/>
        <sz val="9.0"/>
        <u/>
      </rPr>
      <t>El Diario Vasco</t>
    </r>
    <r>
      <rPr>
        <rFont val="Arial, sans-serif"/>
        <color rgb="FF1155CC"/>
        <sz val="15.0"/>
        <u/>
      </rPr>
      <t>La Repsol calienta Tolosa: Casa Julián y Ama consiguen su segundo 'sol'</t>
    </r>
    <r>
      <rPr>
        <rFont val="Arial, sans-serif"/>
        <color rgb="FF1155CC"/>
        <sz val="11.0"/>
        <u/>
      </rPr>
      <t>El restaurante Araneta de Zestoa y el renovado Aiten Etxe de Zarautz logran el primero en la Guía, que este año solo incluye un nuevo local de 'tres soles',...</t>
    </r>
    <r>
      <rPr>
        <rFont val="Arial, sans-serif"/>
        <color rgb="FF1155CC"/>
        <sz val="12.0"/>
        <u/>
      </rPr>
      <t>.</t>
    </r>
    <r>
      <rPr>
        <rFont val="Arial, sans-serif"/>
        <color rgb="FF1155CC"/>
        <sz val="11.0"/>
        <u/>
      </rPr>
      <t>4 mar 2024</t>
    </r>
  </si>
  <si>
    <t>El Diario Vasco</t>
  </si>
  <si>
    <t>La Repsol calienta Tolosa: Casa Julián y Ama consiguen su segundo 'sol'</t>
  </si>
  <si>
    <t>El restaurante Araneta de Zestoa y el renovado Aiten Etxe de Zarautz logran el primero en la Guía, que este año solo incluye un nuevo local de 'tres soles',....</t>
  </si>
  <si>
    <t>Repsol heats up Tolosa: Casa Julián and Ama get their second 'sun'</t>
  </si>
  <si>
    <t>The Araneta restaurant in Zestoa and the renovated Aiten Etxe in Zarautz achieve first in the Guide, which this year only includes a new 'three suns' establishment....</t>
  </si>
  <si>
    <r>
      <rPr>
        <rFont val="Arial, sans-serif"/>
        <color rgb="FF1155CC"/>
        <sz val="9.0"/>
        <u/>
      </rPr>
      <t>Cadena SER</t>
    </r>
    <r>
      <rPr>
        <rFont val="Arial, sans-serif"/>
        <color rgb="FF1155CC"/>
        <sz val="15.0"/>
        <u/>
      </rPr>
      <t>Chicote, la periferia y hasta un pueblo de Teruel: lista completa de los nuevos soles Repsol 2024</t>
    </r>
    <r>
      <rPr>
        <rFont val="Arial, sans-serif"/>
        <color rgb="FF1155CC"/>
        <sz val="11.0"/>
        <u/>
      </rPr>
      <t>Cartagena (Murcia). Con la gran novedad del valenciano La Salita como flamante 'tres soles', la Guía Repsol cuenta ya con un total de 764 restaurantes...</t>
    </r>
    <r>
      <rPr>
        <rFont val="Arial, sans-serif"/>
        <color rgb="FF1155CC"/>
        <sz val="12.0"/>
        <u/>
      </rPr>
      <t>.</t>
    </r>
    <r>
      <rPr>
        <rFont val="Arial, sans-serif"/>
        <color rgb="FF1155CC"/>
        <sz val="11.0"/>
        <u/>
      </rPr>
      <t>4 mar 2024</t>
    </r>
  </si>
  <si>
    <t>Chicote, la periferia y hasta un pueblo de Teruel: lista completa de los nuevos soles Repsol 2024</t>
  </si>
  <si>
    <t>Con la gran novedad del valenciano La Salita como flamante 'tres soles', la Guía Repsol cuenta ya con un total de 764 restaurantes.</t>
  </si>
  <si>
    <t>Chicote, the periphery and even a town in Teruel: complete list of the new Repsol 2024 suns</t>
  </si>
  <si>
    <t>With the great news of the Valencian La Salita as the brand new 'three suns', the Repsol Guide now has a total of 764 restaurants.</t>
  </si>
  <si>
    <r>
      <rPr>
        <rFont val="Arial, sans-serif"/>
        <color rgb="FF1155CC"/>
        <sz val="9.0"/>
        <u/>
      </rPr>
      <t>El Español</t>
    </r>
    <r>
      <rPr>
        <rFont val="Arial, sans-serif"/>
        <color rgb="FF1155CC"/>
        <sz val="15.0"/>
        <u/>
      </rPr>
      <t>Estos dos restaurantes de Toledo y Cuenca consiguen su primer Sol Repsol</t>
    </r>
    <r>
      <rPr>
        <rFont val="Arial, sans-serif"/>
        <color rgb="FF1155CC"/>
        <sz val="11.0"/>
        <u/>
      </rPr>
      <t>'Casas Colgadas' de Cuenca ha logrado este 2024 su segundo Sol después de recibir el primero el pasado año.</t>
    </r>
    <r>
      <rPr>
        <rFont val="Arial, sans-serif"/>
        <color rgb="FF1155CC"/>
        <sz val="12.0"/>
        <u/>
      </rPr>
      <t>.</t>
    </r>
    <r>
      <rPr>
        <rFont val="Arial, sans-serif"/>
        <color rgb="FF1155CC"/>
        <sz val="11.0"/>
        <u/>
      </rPr>
      <t>4 mar 2024</t>
    </r>
  </si>
  <si>
    <t>Estos dos restaurantes de Toledo y Cuenca consiguen su primer Sol Repsol</t>
  </si>
  <si>
    <t>'Casas Colgadas' de Cuenca ha logrado este 2024 su segundo Sol después de recibir el primero el pasado año.</t>
  </si>
  <si>
    <t>These two restaurants in Toledo and Cuenca get their first Sol Repsol</t>
  </si>
  <si>
    <t>'Casas Colgadas' of Cuenca has achieved its second Sol in 2024 after receiving the first last year.</t>
  </si>
  <si>
    <r>
      <rPr>
        <rFont val="Arial, sans-serif"/>
        <color rgb="FF1155CC"/>
        <sz val="9.0"/>
        <u/>
      </rPr>
      <t>El Diario Vasco</t>
    </r>
    <r>
      <rPr>
        <rFont val="Arial, sans-serif"/>
        <color rgb="FF1155CC"/>
        <sz val="15.0"/>
        <u/>
      </rPr>
      <t>El mapa con los 36 restaurantes con Soles Repsol de Gipuzkoa</t>
    </r>
    <r>
      <rPr>
        <rFont val="Arial, sans-serif"/>
        <color rgb="FF1155CC"/>
        <sz val="11.0"/>
        <u/>
      </rPr>
      <t>Dos nuevos locales del territorio han entrado este año en un listado en el que San Sebastián acapara 14 de los restaurantes distinguidos por la guía.</t>
    </r>
    <r>
      <rPr>
        <rFont val="Arial, sans-serif"/>
        <color rgb="FF1155CC"/>
        <sz val="12.0"/>
        <u/>
      </rPr>
      <t>.</t>
    </r>
    <r>
      <rPr>
        <rFont val="Arial, sans-serif"/>
        <color rgb="FF1155CC"/>
        <sz val="11.0"/>
        <u/>
      </rPr>
      <t>4 mar 2024</t>
    </r>
  </si>
  <si>
    <t>El mapa con los 36 restaurantes con Soles Repsol de Gipuzkoa</t>
  </si>
  <si>
    <t>Dos nuevos locales del territorio han entrado este año en un listado en el que San Sebastián acapara 14 de los restaurantes distinguidos por la guía.</t>
  </si>
  <si>
    <t>The map with the 36 restaurants with Repsol Soles in Gipuzkoa</t>
  </si>
  <si>
    <t>Two new establishments in the territory have entered this year on a list in which San Sebastián accounts for 14 of the restaurants distinguished by the guide.</t>
  </si>
  <si>
    <r>
      <rPr>
        <rFont val="Arial, sans-serif"/>
        <color rgb="FF1155CC"/>
        <sz val="9.0"/>
        <u/>
      </rPr>
      <t>heraldo.es</t>
    </r>
    <r>
      <rPr>
        <rFont val="Arial, sans-serif"/>
        <color rgb="FF1155CC"/>
        <sz val="15.0"/>
        <u/>
      </rPr>
      <t>Estos son todos los restaurantes con soles Repsol de Teruel</t>
    </r>
    <r>
      <rPr>
        <rFont val="Arial, sans-serif"/>
        <color rgb="FF1155CC"/>
        <sz val="11.0"/>
        <u/>
      </rPr>
      <t>Estos son todos los restaurantes con soles Repsol de Teruel Tres establecimientos de pequeños pueblos de esta provincia están galardonados con este...</t>
    </r>
    <r>
      <rPr>
        <rFont val="Arial, sans-serif"/>
        <color rgb="FF1155CC"/>
        <sz val="12.0"/>
        <u/>
      </rPr>
      <t>.</t>
    </r>
    <r>
      <rPr>
        <rFont val="Arial, sans-serif"/>
        <color rgb="FF1155CC"/>
        <sz val="11.0"/>
        <u/>
      </rPr>
      <t>4 mar 2024</t>
    </r>
  </si>
  <si>
    <t>Estos son todos los restaurantes con soles Repsol de Teruel</t>
  </si>
  <si>
    <t>Estos son todos los restaurantes con soles Repsol de Teruel Tres establecimientos de pequeños pueblos de esta provincia están galardonados con este....</t>
  </si>
  <si>
    <t>These are all the restaurants with Repsol soles in Teruel</t>
  </si>
  <si>
    <t>These are all the restaurants with Repsol soles in Teruel Three establishments in small towns in this province have been awarded this....</t>
  </si>
  <si>
    <r>
      <rPr>
        <rFont val="Arial, sans-serif"/>
        <color rgb="FF1155CC"/>
        <sz val="9.0"/>
        <u/>
      </rPr>
      <t>La Voz de Asturias</t>
    </r>
    <r>
      <rPr>
        <rFont val="Arial, sans-serif"/>
        <color rgb="FF1155CC"/>
        <sz val="15.0"/>
        <u/>
      </rPr>
      <t>Asturias suma dos nuevos restaurantes con un Sol Repsol: estos son todos los premiados por la guía en el 2024</t>
    </r>
    <r>
      <rPr>
        <rFont val="Arial, sans-serif"/>
        <color rgb="FF1155CC"/>
        <sz val="11.0"/>
        <u/>
      </rPr>
      <t>El universo gastronómico de la región sigue brillando y 32 locales pueden presumir de la distinción este año. Dos de ellos se mantienen en lo más alto y...</t>
    </r>
    <r>
      <rPr>
        <rFont val="Arial, sans-serif"/>
        <color rgb="FF1155CC"/>
        <sz val="12.0"/>
        <u/>
      </rPr>
      <t>.</t>
    </r>
    <r>
      <rPr>
        <rFont val="Arial, sans-serif"/>
        <color rgb="FF1155CC"/>
        <sz val="11.0"/>
        <u/>
      </rPr>
      <t>4 mar 2024</t>
    </r>
  </si>
  <si>
    <t>La Voz de Asturias</t>
  </si>
  <si>
    <t>Asturias suma dos nuevos restaurantes con un Sol Repsol: estos son todos los premiados por la guía en el 2024</t>
  </si>
  <si>
    <t>El universo gastronómico de la región sigue brillando y 32 locales pueden presumir de la distinción este año. Dos de ellos se mantienen en lo más alto y....</t>
  </si>
  <si>
    <t>Asturias adds two new restaurants with a Sol Repsol: these are all those awarded by the guide in 2024</t>
  </si>
  <si>
    <t>The region's gastronomic universe continues to shine and 32 establishments can boast the distinction this year. Two of them remain at the top and...</t>
  </si>
  <si>
    <r>
      <rPr>
        <rFont val="Arial, sans-serif"/>
        <color rgb="FF1155CC"/>
        <sz val="9.0"/>
        <u/>
      </rPr>
      <t>La Prensa del Rioja</t>
    </r>
    <r>
      <rPr>
        <rFont val="Arial, sans-serif"/>
        <color rgb="FF1155CC"/>
        <sz val="15.0"/>
        <u/>
      </rPr>
      <t>La Guía Repsol 2024 confirma el gran momento de la gastronomía de La Rioja</t>
    </r>
    <r>
      <rPr>
        <rFont val="Arial, sans-serif"/>
        <color rgb="FF1155CC"/>
        <sz val="11.0"/>
        <u/>
      </rPr>
      <t>La Guía Repsol 2024 confirma el excelente momento de la gastronomía riojana con una constelación de 'soles' para los restaurantes de la región.</t>
    </r>
    <r>
      <rPr>
        <rFont val="Arial, sans-serif"/>
        <color rgb="FF1155CC"/>
        <sz val="12.0"/>
        <u/>
      </rPr>
      <t>.</t>
    </r>
    <r>
      <rPr>
        <rFont val="Arial, sans-serif"/>
        <color rgb="FF1155CC"/>
        <sz val="11.0"/>
        <u/>
      </rPr>
      <t>4 mar 2024</t>
    </r>
  </si>
  <si>
    <t>La Prensa del Rioja</t>
  </si>
  <si>
    <t>La Guía Repsol 2024 confirma el gran momento de la gastronomía de La Rioja</t>
  </si>
  <si>
    <t>La Guía Repsol 2024 confirma el excelente momento de la gastronomía riojana con una constelación de 'soles' para los restaurantes de la región.</t>
  </si>
  <si>
    <t>The Repsol Guide 2024 confirms the great moment of the gastronomy of La Rioja</t>
  </si>
  <si>
    <t>The Repsol Guide 2024 confirms the excellent moment of Rioja gastronomy with a constellation of 'suns' for the region's restaurants.</t>
  </si>
  <si>
    <r>
      <rPr>
        <rFont val="Arial, sans-serif"/>
        <color rgb="FF1155CC"/>
        <sz val="9.0"/>
        <u/>
      </rPr>
      <t>Cadena SER</t>
    </r>
    <r>
      <rPr>
        <rFont val="Arial, sans-serif"/>
        <color rgb="FF1155CC"/>
        <sz val="15.0"/>
        <u/>
      </rPr>
      <t>Los 28 restaurantes de Castilla-La Mancha que cuentan con soles Repsol: hay tres novedades en este 2024</t>
    </r>
    <r>
      <rPr>
        <rFont val="Arial, sans-serif"/>
        <color rgb="FF1155CC"/>
        <sz val="11.0"/>
        <u/>
      </rPr>
      <t>La guía Repsol ha hecho entrega de los diferentes soles durante la gala celebra este lunes en Cartagena (Murcia)</t>
    </r>
    <r>
      <rPr>
        <rFont val="Arial, sans-serif"/>
        <color rgb="FF1155CC"/>
        <sz val="12.0"/>
        <u/>
      </rPr>
      <t>.</t>
    </r>
    <r>
      <rPr>
        <rFont val="Arial, sans-serif"/>
        <color rgb="FF1155CC"/>
        <sz val="11.0"/>
        <u/>
      </rPr>
      <t>4 mar 2024</t>
    </r>
  </si>
  <si>
    <t>Los 28 restaurantes de Castilla-La Mancha que cuentan con soles Repsol: hay tres novedades en este 2024</t>
  </si>
  <si>
    <t>La guía Repsol ha hecho entrega de los diferentes soles durante la gala celebra este lunes en Cartagena (Murcia).</t>
  </si>
  <si>
    <t>The 28 restaurants in Castilla-La Mancha that have Repsol soles: there are three new features in 2024</t>
  </si>
  <si>
    <t>The Repsol guide has presented the different suns during the gala held this Monday in Cartagena (Murcia).</t>
  </si>
  <si>
    <r>
      <rPr>
        <rFont val="Arial, sans-serif"/>
        <color rgb="FF1155CC"/>
        <sz val="9.0"/>
        <u/>
      </rPr>
      <t>20Minutos</t>
    </r>
    <r>
      <rPr>
        <rFont val="Arial, sans-serif"/>
        <color rgb="FF1155CC"/>
        <sz val="15.0"/>
        <u/>
      </rPr>
      <t>Qué son los Soles de la Guía Repsol y cómo se puntúa a cada restaurante</t>
    </r>
    <r>
      <rPr>
        <rFont val="Arial, sans-serif"/>
        <color rgb="FF1155CC"/>
        <sz val="11.0"/>
        <u/>
      </rPr>
      <t>La Guía Repsol redefine la clasificación de restaurantes en función de criterios clave, desde la excelencia gastronómica hasta la experiencia del cliente.</t>
    </r>
    <r>
      <rPr>
        <rFont val="Arial, sans-serif"/>
        <color rgb="FF1155CC"/>
        <sz val="12.0"/>
        <u/>
      </rPr>
      <t>.</t>
    </r>
    <r>
      <rPr>
        <rFont val="Arial, sans-serif"/>
        <color rgb="FF1155CC"/>
        <sz val="11.0"/>
        <u/>
      </rPr>
      <t>4 mar 2024</t>
    </r>
  </si>
  <si>
    <t>¿Qué son los Soles de la Guía Repsol y cómo se puntúa a cada restaurante?</t>
  </si>
  <si>
    <t>La Guía Repsol redefine la clasificación de restaurantes en función de criterios clave, desde la excelencia gastronómica hasta la experiencia del cliente.</t>
  </si>
  <si>
    <t>What are the Repsol Guide Suns and how is each restaurant rated?</t>
  </si>
  <si>
    <t>The Repsol Guide redefines the classification of restaurants based on key criteria, from gastronomic excellence to customer experience.</t>
  </si>
  <si>
    <r>
      <rPr>
        <rFont val="Arial, sans-serif"/>
        <color rgb="FF1155CC"/>
        <sz val="9.0"/>
        <u/>
      </rPr>
      <t>BURGOSconecta</t>
    </r>
    <r>
      <rPr>
        <rFont val="Arial, sans-serif"/>
        <color rgb="FF1155CC"/>
        <sz val="15.0"/>
        <u/>
      </rPr>
      <t>Estos son los restaurantes de Burgos que se estrenan con un sol de la Guía Repsol</t>
    </r>
    <r>
      <rPr>
        <rFont val="Arial, sans-serif"/>
        <color rgb="FF1155CC"/>
        <sz val="11.0"/>
        <u/>
      </rPr>
      <t>La Guía Repsol ha otorgado dos nuevos Soles a dos restaurantes de Burgos que se estrenan con un Sol cada uno. Durante la gala celebrada este lunes en...</t>
    </r>
    <r>
      <rPr>
        <rFont val="Arial, sans-serif"/>
        <color rgb="FF1155CC"/>
        <sz val="12.0"/>
        <u/>
      </rPr>
      <t>.</t>
    </r>
    <r>
      <rPr>
        <rFont val="Arial, sans-serif"/>
        <color rgb="FF1155CC"/>
        <sz val="11.0"/>
        <u/>
      </rPr>
      <t>4 mar 2024</t>
    </r>
  </si>
  <si>
    <t>BURGOSconecta</t>
  </si>
  <si>
    <t>Estos son los restaurantes de Burgos que se estrenan con un sol de la Guía Repsol</t>
  </si>
  <si>
    <t>La Guía Repsol ha otorgado dos nuevos Soles a dos restaurantes de Burgos que se estrenan con un Sol cada uno. Durante la gala celebrada este lunes en....</t>
  </si>
  <si>
    <t>These are the restaurants in Burgos that debut with a sun from the Repsol Guide</t>
  </si>
  <si>
    <t>The Repsol Guide has awarded two new Soles to two restaurants in Burgos that debut with one Sol each. During the gala held this Monday in...</t>
  </si>
  <si>
    <r>
      <rPr>
        <rFont val="Arial, sans-serif"/>
        <color rgb="FF1155CC"/>
        <sz val="9.0"/>
        <u/>
      </rPr>
      <t>Ideal</t>
    </r>
    <r>
      <rPr>
        <rFont val="Arial, sans-serif"/>
        <color rgb="FF1155CC"/>
        <sz val="15.0"/>
        <u/>
      </rPr>
      <t>Almería se lleva tres Soles Repsol para su oferta gastronómica, dos en La Costa</t>
    </r>
    <r>
      <rPr>
        <rFont val="Arial, sans-serif"/>
        <color rgb="FF1155CC"/>
        <sz val="11.0"/>
        <u/>
      </rPr>
      <t>Terraza Carmona se lleva un Sol Repsol para su restaurante en Vera en una guía con otros 12 galardonados en la cocina andaluza.</t>
    </r>
    <r>
      <rPr>
        <rFont val="Arial, sans-serif"/>
        <color rgb="FF1155CC"/>
        <sz val="12.0"/>
        <u/>
      </rPr>
      <t>.</t>
    </r>
    <r>
      <rPr>
        <rFont val="Arial, sans-serif"/>
        <color rgb="FF1155CC"/>
        <sz val="11.0"/>
        <u/>
      </rPr>
      <t>4 mar 2024</t>
    </r>
  </si>
  <si>
    <t>IdealAlmería</t>
  </si>
  <si>
    <t>Almería se lleva tres Soles Repsol para su oferta gastronómica, dos en La Costa.</t>
  </si>
  <si>
    <t>IdealAlmería se lleva tres Soles Repsol para su oferta gastronómica, dos en La CostaTerraza Carmona se lleva un Sol Repsol para su restaurante en Vera en una guía con otros 12 galardonados en la cocina andaluza.</t>
  </si>
  <si>
    <t>Almería takes three Repsol Soles for its gastronomic offer, two in La Costa.</t>
  </si>
  <si>
    <t>IdealAlmería takes three Repsol Soles for its gastronomic offer, two in La CostaTerraza Carmona takes one Repsol Sol for its restaurant in Vera in a guide with 12 other winners in Andalusian cuisine.</t>
  </si>
  <si>
    <r>
      <rPr>
        <rFont val="Arial, sans-serif"/>
        <color rgb="FF1155CC"/>
        <sz val="9.0"/>
        <u/>
      </rPr>
      <t>www.diariojaen.es</t>
    </r>
    <r>
      <rPr>
        <rFont val="Arial, sans-serif"/>
        <color rgb="FF1155CC"/>
        <sz val="15.0"/>
        <u/>
      </rPr>
      <t>Dos nuevos Soles Repsol para Jaén: Almoroje y Malak</t>
    </r>
    <r>
      <rPr>
        <rFont val="Arial, sans-serif"/>
        <color rgb="FF1155CC"/>
        <sz val="11.0"/>
        <u/>
      </rPr>
      <t>Brillantez en la cocina jiennense. El restaurante Malak (Jaén) de Javier Jurado, y Almoroje (Siles) de Alejandro Ramírez, se suman a la prestigiosa Guía...</t>
    </r>
    <r>
      <rPr>
        <rFont val="Arial, sans-serif"/>
        <color rgb="FF1155CC"/>
        <sz val="12.0"/>
        <u/>
      </rPr>
      <t>.</t>
    </r>
    <r>
      <rPr>
        <rFont val="Arial, sans-serif"/>
        <color rgb="FF1155CC"/>
        <sz val="11.0"/>
        <u/>
      </rPr>
      <t>4 mar 2024</t>
    </r>
  </si>
  <si>
    <t>www.diariojaen.es</t>
  </si>
  <si>
    <t>Dos nuevos Soles Repsol para Jaén: Almoroje y Malak</t>
  </si>
  <si>
    <t>Brillantez en la cocina jiennense. El restaurante Malak (Jaén) de Javier Jurado, y Almoroje (Siles) de Alejandro Ramírez, se suman a la prestigiosa Guía....</t>
  </si>
  <si>
    <t>Two new Repsol Suns for Jaén: Almoroje and Malak</t>
  </si>
  <si>
    <t>Brilliance in Jaén cuisine. The restaurant Malak (Jaén) by Javier Jurado, and Almoroje (Siles) by Alejandro Ramírez, join the prestigious Guide....</t>
  </si>
  <si>
    <r>
      <rPr>
        <rFont val="Arial, sans-serif"/>
        <color rgb="FF1155CC"/>
        <sz val="9.0"/>
        <u/>
      </rPr>
      <t>El Español</t>
    </r>
    <r>
      <rPr>
        <rFont val="Arial, sans-serif"/>
        <color rgb="FF1155CC"/>
        <sz val="15.0"/>
        <u/>
      </rPr>
      <t>Soles Repsol 2024: el listado completo de los nuevos restaurantes premiados por Guía Repsol</t>
    </r>
    <r>
      <rPr>
        <rFont val="Arial, sans-serif"/>
        <color rgb="FF1155CC"/>
        <sz val="11.0"/>
        <u/>
      </rPr>
      <t>La gastronomía vuelve a brillar un año más dando la bienvenida a los nuevos Soles que otorga la Guía Repsol. Este año ha repartido 98 los nuevos Soles: 1...</t>
    </r>
    <r>
      <rPr>
        <rFont val="Arial, sans-serif"/>
        <color rgb="FF1155CC"/>
        <sz val="12.0"/>
        <u/>
      </rPr>
      <t>.</t>
    </r>
    <r>
      <rPr>
        <rFont val="Arial, sans-serif"/>
        <color rgb="FF1155CC"/>
        <sz val="11.0"/>
        <u/>
      </rPr>
      <t>4 mar 2024</t>
    </r>
  </si>
  <si>
    <t>Soles Repsol 2024: el listado completo de los nuevos restaurantes premiados por Guía Repsol</t>
  </si>
  <si>
    <t>La gastronomía vuelve a brillar un año más dando la bienvenida a los nuevos Soles que otorga la Guía Repsol. Este año ha repartido 98 los nuevos Soles: 1....</t>
  </si>
  <si>
    <t>Soles Repsol 2024: the complete list of the new restaurants awarded by the Repsol Guide</t>
  </si>
  <si>
    <t>Gastronomy shines once again for another year, welcoming the new Suns awarded by the Repsol Guide. This year he has distributed 98 new Soles: 1....</t>
  </si>
  <si>
    <r>
      <rPr>
        <rFont val="Arial, sans-serif"/>
        <color rgb="FF1155CC"/>
        <sz val="9.0"/>
        <u/>
      </rPr>
      <t>Gastroactitud</t>
    </r>
    <r>
      <rPr>
        <rFont val="Arial, sans-serif"/>
        <color rgb="FF1155CC"/>
        <sz val="15.0"/>
        <u/>
      </rPr>
      <t>Lista completa de los nuevos Soles Repsol 2024</t>
    </r>
    <r>
      <rPr>
        <rFont val="Arial, sans-serif"/>
        <color rgb="FF1155CC"/>
        <sz val="11.0"/>
        <u/>
      </rPr>
      <t>En la edición de 2024 de la Guía Repsol, se presentan 98 nuevos galardonados. Destacando entre ellos, Begoña Rodrigo que se alza con el máximo...</t>
    </r>
    <r>
      <rPr>
        <rFont val="Arial, sans-serif"/>
        <color rgb="FF1155CC"/>
        <sz val="12.0"/>
        <u/>
      </rPr>
      <t>.</t>
    </r>
    <r>
      <rPr>
        <rFont val="Arial, sans-serif"/>
        <color rgb="FF1155CC"/>
        <sz val="11.0"/>
        <u/>
      </rPr>
      <t>4 mar 2024</t>
    </r>
  </si>
  <si>
    <t>Gastroactitud</t>
  </si>
  <si>
    <t>Lista completa de los nuevos Soles Repsol 2024</t>
  </si>
  <si>
    <t>En la edición de 2024 de la Guía Repsol, se presentan 98 nuevos galardonados. Destacando entre ellos, Begoña Rodrigo que se alza con el máximo....</t>
  </si>
  <si>
    <t>Complete list of the new Repsol Soles 2024</t>
  </si>
  <si>
    <t>In the 2024 edition of the Repsol Guide, 98 new winners are presented. Standing out among them, Begoña Rodrigo, who stands out with the maximum....</t>
  </si>
  <si>
    <r>
      <rPr>
        <rFont val="Arial, sans-serif"/>
        <color rgb="FF1155CC"/>
        <sz val="9.0"/>
        <u/>
      </rPr>
      <t>Bon Viveur</t>
    </r>
    <r>
      <rPr>
        <rFont val="Arial, sans-serif"/>
        <color rgb="FF1155CC"/>
        <sz val="15.0"/>
        <u/>
      </rPr>
      <t>Los 44 restaurantes con 3 soles en la Guía Repsol 2024 en España</t>
    </r>
    <r>
      <rPr>
        <rFont val="Arial, sans-serif"/>
        <color rgb="FF1155CC"/>
        <sz val="11.0"/>
        <u/>
      </rPr>
      <t>44 restaurantes tendrán 3 Soles Repsol en la Guía Repsol 2024. Repasamos la lista completa de restaurantes con la máxima distinción en la que se estrena La...</t>
    </r>
    <r>
      <rPr>
        <rFont val="Arial, sans-serif"/>
        <color rgb="FF1155CC"/>
        <sz val="12.0"/>
        <u/>
      </rPr>
      <t>.</t>
    </r>
    <r>
      <rPr>
        <rFont val="Arial, sans-serif"/>
        <color rgb="FF1155CC"/>
        <sz val="11.0"/>
        <u/>
      </rPr>
      <t>4 mar 2024</t>
    </r>
  </si>
  <si>
    <t>Bon Viveur</t>
  </si>
  <si>
    <t>Los 44 restaurantes con 3 soles en la Guía Repsol 2024 en España</t>
  </si>
  <si>
    <t>44 restaurantes tendrán 3 Soles Repsol en la Guía Repsol 2024. Repasamos la lista completa de restaurantes con la máxima distinción en la que se estrena La....</t>
  </si>
  <si>
    <t>The 44 restaurants with 3 suns in the Repsol Guide 2024 in Spain</t>
  </si>
  <si>
    <t>44 restaurants will have 3 Repsol Suns in the Repsol Guide 2024. We review the complete list of restaurants with the highest distinction in which La....</t>
  </si>
  <si>
    <r>
      <rPr>
        <rFont val="Arial, sans-serif"/>
        <color rgb="FF1155CC"/>
        <sz val="9.0"/>
        <u/>
      </rPr>
      <t>ENCLM</t>
    </r>
    <r>
      <rPr>
        <rFont val="Arial, sans-serif"/>
        <color rgb="FF1155CC"/>
        <sz val="15.0"/>
        <u/>
      </rPr>
      <t>Tres chefs de CLM suman Soles Repsol: estos son los 28 restaurantes que triunfan en la región</t>
    </r>
    <r>
      <rPr>
        <rFont val="Arial, sans-serif"/>
        <color rgb="FF1155CC"/>
        <sz val="11.0"/>
        <u/>
      </rPr>
      <t>Castilla-La Mancha cuenta desde hoy con un nuevo restaurante reconocido con 2 Soles Guía Repsol Repsol: 'Casas Colgadas', de Cuenca.</t>
    </r>
    <r>
      <rPr>
        <rFont val="Arial, sans-serif"/>
        <color rgb="FF1155CC"/>
        <sz val="12.0"/>
        <u/>
      </rPr>
      <t>.</t>
    </r>
    <r>
      <rPr>
        <rFont val="Arial, sans-serif"/>
        <color rgb="FF1155CC"/>
        <sz val="11.0"/>
        <u/>
      </rPr>
      <t>4 mar 2024</t>
    </r>
  </si>
  <si>
    <t>Tres chefs de CLM suman Soles Repsol: estos son los 28 restaurantes que triunfan en la región.</t>
  </si>
  <si>
    <t>Castilla-La Mancha cuenta desde hoy con un nuevo restaurante reconocido con 2 Soles Guía Repsol Repsol: 'Casas Colgadas', de Cuenca.</t>
  </si>
  <si>
    <t>Three CLM chefs add Repsol Soles: these are the 28 restaurants that are successful in the region.</t>
  </si>
  <si>
    <t>Castilla-La Mancha has a new restaurant recognized with 2 Repsol Guide Suns today: 'Casas Colgadas', in Cuenca.</t>
  </si>
  <si>
    <r>
      <rPr>
        <rFont val="Arial, sans-serif"/>
        <color rgb="FF1155CC"/>
        <sz val="9.0"/>
        <u/>
      </rPr>
      <t>Periódico de Ibiza y Formentera</t>
    </r>
    <r>
      <rPr>
        <rFont val="Arial, sans-serif"/>
        <color rgb="FF1155CC"/>
        <sz val="15.0"/>
        <u/>
      </rPr>
      <t>Las Pitiusas ganan dos nuevos Soles Guía Repsol</t>
    </r>
    <r>
      <rPr>
        <rFont val="Arial, sans-serif"/>
        <color rgb="FF1155CC"/>
        <sz val="11.0"/>
        <u/>
      </rPr>
      <t>Baleares cuenta con cuatro nuevos restaurantes reconocidos con 1 Sol Guía Repsol: los mallorquines 'Brut' (Llubí), 'Sala de Personal' (Palma de Mallorca);...</t>
    </r>
    <r>
      <rPr>
        <rFont val="Arial, sans-serif"/>
        <color rgb="FF1155CC"/>
        <sz val="12.0"/>
        <u/>
      </rPr>
      <t>.</t>
    </r>
    <r>
      <rPr>
        <rFont val="Arial, sans-serif"/>
        <color rgb="FF1155CC"/>
        <sz val="11.0"/>
        <u/>
      </rPr>
      <t>4 mar 2024</t>
    </r>
  </si>
  <si>
    <t>Periódico de Ibiza y Formentera</t>
  </si>
  <si>
    <t>Las Pitiusas ganan dos nuevos Soles Guía Repsol</t>
  </si>
  <si>
    <t>Baleares cuenta con cuatro nuevos restaurantes reconocidos con 1 Sol Guía Repsol: los mallorquines 'Brut' (Llubí), 'Sala de Personal' (Palma de Mallorca);....</t>
  </si>
  <si>
    <t>The Pitiusas win two new Suns Repsol Guide</t>
  </si>
  <si>
    <t>The Balearic Islands have four new restaurants recognized with 1 Repsol Guide Sun: the Mallorcan 'Brut' (Llubí), 'Sala de Personal' (Palma de Mallorca);...</t>
  </si>
  <si>
    <r>
      <rPr>
        <rFont val="Arial, sans-serif"/>
        <color rgb="FF1155CC"/>
        <sz val="9.0"/>
        <u/>
      </rPr>
      <t>Auditorio El Batel</t>
    </r>
    <r>
      <rPr>
        <rFont val="Arial, sans-serif"/>
        <color rgb="FF1155CC"/>
        <sz val="15.0"/>
        <u/>
      </rPr>
      <t>Gala SOLES GUÍA REPSOL 2024 en El Batel, Cartagena</t>
    </r>
    <r>
      <rPr>
        <rFont val="Arial, sans-serif"/>
        <color rgb="FF1155CC"/>
        <sz val="11.0"/>
        <u/>
      </rPr>
      <t>Aquí puedes ver imágenes de la Gala de Entrega de los SOLES GUÍA REPSOL 2024, evento que tuvo lugar en Auditorio El Batel, Cartagena.</t>
    </r>
    <r>
      <rPr>
        <rFont val="Arial, sans-serif"/>
        <color rgb="FF1155CC"/>
        <sz val="12.0"/>
        <u/>
      </rPr>
      <t>.</t>
    </r>
    <r>
      <rPr>
        <rFont val="Arial, sans-serif"/>
        <color rgb="FF1155CC"/>
        <sz val="11.0"/>
        <u/>
      </rPr>
      <t>4 mar 2024</t>
    </r>
  </si>
  <si>
    <t>Auditorio El Batel</t>
  </si>
  <si>
    <t>Gala SOLES GUÍA REPSOL 2024 en El Batel, Cartagena</t>
  </si>
  <si>
    <t>Aquí puedes ver imágenes de la Gala de Entrega de los SOLES GUÍA REPSOL 2024, evento que tuvo lugar en Auditorio El Batel, Cartagena.</t>
  </si>
  <si>
    <t>REPSOL GUIDE SOLES Gala 2024 in El Batel, Cartagena</t>
  </si>
  <si>
    <t>Here you can see images of the SUNS GUÍA REPSOL 2024 Delivery Gala, an event that took place at Auditorio El Batel, Cartagena.</t>
  </si>
  <si>
    <r>
      <rPr>
        <rFont val="Arial, sans-serif"/>
        <color rgb="FF1155CC"/>
        <sz val="9.0"/>
        <u/>
      </rPr>
      <t>diarimes.com</t>
    </r>
    <r>
      <rPr>
        <rFont val="Arial, sans-serif"/>
        <color rgb="FF1155CC"/>
        <sz val="15.0"/>
        <u/>
      </rPr>
      <t>El restaurante Citrus del Tancat de Alcanar consigue un Sol Repsol</t>
    </r>
    <r>
      <rPr>
        <rFont val="Arial, sans-serif"/>
        <color rgb="FF1155CC"/>
        <sz val="11.0"/>
        <u/>
      </rPr>
      <t>El establecimiento está situado en el Hotel Cerrado de Codorniu, una antigua masía del siglo XIX rehabilitada.</t>
    </r>
    <r>
      <rPr>
        <rFont val="Arial, sans-serif"/>
        <color rgb="FF1155CC"/>
        <sz val="12.0"/>
        <u/>
      </rPr>
      <t>.</t>
    </r>
    <r>
      <rPr>
        <rFont val="Arial, sans-serif"/>
        <color rgb="FF1155CC"/>
        <sz val="11.0"/>
        <u/>
      </rPr>
      <t>4 mar 2024</t>
    </r>
  </si>
  <si>
    <t>El restaurante Citrus del Tancat de Alcanar consigue un Sol Repsol</t>
  </si>
  <si>
    <t>El establecimiento está situado en el Hotel Cerrado de Codorniu, una antigua masía del siglo XIX rehabilitada.</t>
  </si>
  <si>
    <t>The Citrus restaurant in Tancat de Alcanar gets a Repsol Sun</t>
  </si>
  <si>
    <t>The establishment is located in the Hotel Cerrado de Codorniu, an old renovated 19th century farmhouse.</t>
  </si>
  <si>
    <r>
      <rPr>
        <rFont val="Arial, sans-serif"/>
        <color rgb="FF1155CC"/>
        <sz val="9.0"/>
        <u/>
      </rPr>
      <t>Onda Cero</t>
    </r>
    <r>
      <rPr>
        <rFont val="Arial, sans-serif"/>
        <color rgb="FF1155CC"/>
        <sz val="15.0"/>
        <u/>
      </rPr>
      <t>Begoña Rodrigo, de 'La Salita', nueva 3 Soles Guía Repsol</t>
    </r>
    <r>
      <rPr>
        <rFont val="Arial, sans-serif"/>
        <color rgb="FF1155CC"/>
        <sz val="11.0"/>
        <u/>
      </rPr>
      <t>La cocinera valenciana consigue hacerse con la máxima distinción de la Guía Repsol en una noche en la que también se han repartido 16 nuevos dos Soles...</t>
    </r>
    <r>
      <rPr>
        <rFont val="Arial, sans-serif"/>
        <color rgb="FF1155CC"/>
        <sz val="12.0"/>
        <u/>
      </rPr>
      <t>.</t>
    </r>
    <r>
      <rPr>
        <rFont val="Arial, sans-serif"/>
        <color rgb="FF1155CC"/>
        <sz val="11.0"/>
        <u/>
      </rPr>
      <t>4 mar 2024</t>
    </r>
  </si>
  <si>
    <t>Begoña Rodrigo, de 'La Salita', nueva 3 Soles Guía Repsol</t>
  </si>
  <si>
    <t>La cocinera valenciana consigue hacerse con la máxima distinción de la Guía Repsol en una noche en la que también se han repartido 16 nuevos dos Soles.</t>
  </si>
  <si>
    <t>Begoña Rodrigo, from 'La Salita', new 3 Suns Repsol Guide</t>
  </si>
  <si>
    <t>The Valencian chef manages to win the highest distinction from the Repsol Guide on a night in which 16 new two Soles have also been distributed.</t>
  </si>
  <si>
    <r>
      <rPr>
        <rFont val="Arial, sans-serif"/>
        <color rgb="FF1155CC"/>
        <sz val="9.0"/>
        <u/>
      </rPr>
      <t>The Gourmet Journal</t>
    </r>
    <r>
      <rPr>
        <rFont val="Arial, sans-serif"/>
        <color rgb="FF1155CC"/>
        <sz val="15.0"/>
        <u/>
      </rPr>
      <t>Guía Repsol 2024: Listado completo</t>
    </r>
    <r>
      <rPr>
        <rFont val="Arial, sans-serif"/>
        <color rgb="FF1155CC"/>
        <sz val="11.0"/>
        <u/>
      </rPr>
      <t>La Guía Repsol 2024 suma 764 restaurantes con un total de 98 novedades, tres menos que la pasada edición y un local con tres soles.</t>
    </r>
    <r>
      <rPr>
        <rFont val="Arial, sans-serif"/>
        <color rgb="FF1155CC"/>
        <sz val="12.0"/>
        <u/>
      </rPr>
      <t>.</t>
    </r>
    <r>
      <rPr>
        <rFont val="Arial, sans-serif"/>
        <color rgb="FF1155CC"/>
        <sz val="11.0"/>
        <u/>
      </rPr>
      <t>4 mar 2024</t>
    </r>
  </si>
  <si>
    <t>Guía Repsol 2024: Listado completo</t>
  </si>
  <si>
    <t>La Guía Repsol 2024 suma 764 restaurantes con un total de 98 novedades, tres menos que la pasada edición y un local con tres soles.</t>
  </si>
  <si>
    <t>Repsol Guide 2024: Complete list</t>
  </si>
  <si>
    <t>The Repsol Guide 2024 includes 764 restaurants with a total of 98 new restaurants, three less than the last edition and one establishment with three soles.</t>
  </si>
  <si>
    <r>
      <rPr>
        <rFont val="Arial, sans-serif"/>
        <color rgb="FF1155CC"/>
        <sz val="9.0"/>
        <u/>
      </rPr>
      <t>Europa Sur</t>
    </r>
    <r>
      <rPr>
        <rFont val="Arial, sans-serif"/>
        <color rgb="FF1155CC"/>
        <sz val="15.0"/>
        <u/>
      </rPr>
      <t>El restaurante Atxa de Tarifa obtiene un Sol de la Guía Repsol 2024</t>
    </r>
    <r>
      <rPr>
        <rFont val="Arial, sans-serif"/>
        <color rgb="FF1155CC"/>
        <sz val="11.0"/>
        <u/>
      </rPr>
      <t>El establecimiento de los chefs Laura García y Arturo Perea obtiene el máximo galardón y es una de las once incorporaciones de Andalucía.</t>
    </r>
    <r>
      <rPr>
        <rFont val="Arial, sans-serif"/>
        <color rgb="FF1155CC"/>
        <sz val="12.0"/>
        <u/>
      </rPr>
      <t>.</t>
    </r>
    <r>
      <rPr>
        <rFont val="Arial, sans-serif"/>
        <color rgb="FF1155CC"/>
        <sz val="11.0"/>
        <u/>
      </rPr>
      <t>4 mar 2024</t>
    </r>
  </si>
  <si>
    <t>Europa Sur</t>
  </si>
  <si>
    <t>El restaurante Atxa de Tarifa obtiene un Sol de la Guía Repsol 2024</t>
  </si>
  <si>
    <t>El establecimiento de los chefs Laura García y Arturo Perea obtiene el máximo galardón y es una de las once incorporaciones de Andalucía.</t>
  </si>
  <si>
    <t>The Atxa restaurant in Tarifa obtains a Sun from the Repsol Guide 2024</t>
  </si>
  <si>
    <t>The establishment of chefs Laura García and Arturo Perea obtains the highest award and is one of the eleven additions from Andalusia.</t>
  </si>
  <si>
    <r>
      <rPr>
        <rFont val="Arial, sans-serif"/>
        <color rgb="FF1155CC"/>
        <sz val="9.0"/>
        <u/>
      </rPr>
      <t>Las Provincias</t>
    </r>
    <r>
      <rPr>
        <rFont val="Arial, sans-serif"/>
        <color rgb="FF1155CC"/>
        <sz val="15.0"/>
        <u/>
      </rPr>
      <t>Todas las imágenes de la Gala de los Soles Guía Repsol 2024</t>
    </r>
    <r>
      <rPr>
        <rFont val="Arial, sans-serif"/>
        <color rgb="FF1155CC"/>
        <sz val="11.0"/>
        <u/>
      </rPr>
      <t>Tres soles Repsol para Begoña Rodrigo y otros ocho nuevos para la Comunitat Valenciana.</t>
    </r>
    <r>
      <rPr>
        <rFont val="Arial, sans-serif"/>
        <color rgb="FF1155CC"/>
        <sz val="12.0"/>
        <u/>
      </rPr>
      <t>.</t>
    </r>
    <r>
      <rPr>
        <rFont val="Arial, sans-serif"/>
        <color rgb="FF1155CC"/>
        <sz val="11.0"/>
        <u/>
      </rPr>
      <t>4 mar 2024</t>
    </r>
  </si>
  <si>
    <t>Todas las imágenes de la Gala de los Soles Guía Repsol 2024</t>
  </si>
  <si>
    <t>Tres soles Repsol para Begoña Rodrigo y otros ocho nuevos para la Comunitat Valenciana.</t>
  </si>
  <si>
    <t>All the images from the Gala of the Suns Repsol Guide 2024</t>
  </si>
  <si>
    <t>Three Repsol soles for Begoña Rodrigo and another eight new ones for the Valencian Community.</t>
  </si>
  <si>
    <r>
      <rPr>
        <rFont val="Arial, sans-serif"/>
        <color rgb="FF1155CC"/>
        <sz val="9.0"/>
        <u/>
      </rPr>
      <t>El Español</t>
    </r>
    <r>
      <rPr>
        <rFont val="Arial, sans-serif"/>
        <color rgb="FF1155CC"/>
        <sz val="15.0"/>
        <u/>
      </rPr>
      <t>Estos son los ocho restaurantes de Sevilla con Sol de Repsol: solo uno tiene dos premios</t>
    </r>
    <r>
      <rPr>
        <rFont val="Arial, sans-serif"/>
        <color rgb="FF1155CC"/>
        <sz val="11.0"/>
        <u/>
      </rPr>
      <t>Este lunes se han desvelado los galardones que reconocen los mejores locales de restauración de España.</t>
    </r>
    <r>
      <rPr>
        <rFont val="Arial, sans-serif"/>
        <color rgb="FF1155CC"/>
        <sz val="12.0"/>
        <u/>
      </rPr>
      <t>.</t>
    </r>
    <r>
      <rPr>
        <rFont val="Arial, sans-serif"/>
        <color rgb="FF1155CC"/>
        <sz val="11.0"/>
        <u/>
      </rPr>
      <t>4 mar 2024</t>
    </r>
  </si>
  <si>
    <t>Estos son los ocho restaurantes de Sevilla con Sol de Repsol: solo uno tiene dos premios</t>
  </si>
  <si>
    <t>Este lunes se han desvelado los galardones que reconocen los mejores locales de restauración de España.</t>
  </si>
  <si>
    <t>These are the eight restaurants in Seville with Sol de Repsol: only one has two awards</t>
  </si>
  <si>
    <t>This Monday the awards that recognize the best restaurants in Spain were revealed.</t>
  </si>
  <si>
    <r>
      <rPr>
        <rFont val="Arial, sans-serif"/>
        <color rgb="FF1155CC"/>
        <sz val="9.0"/>
        <u/>
      </rPr>
      <t>RTVE.es</t>
    </r>
    <r>
      <rPr>
        <rFont val="Arial, sans-serif"/>
        <color rgb="FF1155CC"/>
        <sz val="15.0"/>
        <u/>
      </rPr>
      <t>Begoña Rodrigo, del restaurante valenciano 'La Salita', gana el nuevo Tres Soles Guía Repsol 2024</t>
    </r>
    <r>
      <rPr>
        <rFont val="Arial, sans-serif"/>
        <color rgb="FF1155CC"/>
        <sz val="11.0"/>
        <u/>
      </rPr>
      <t>Begoña Rodrigo, del restaurante valenciano 'La Salita', gana el nuevo Tres Soles Guía Repsol 2024.</t>
    </r>
    <r>
      <rPr>
        <rFont val="Arial, sans-serif"/>
        <color rgb="FF1155CC"/>
        <sz val="12.0"/>
        <u/>
      </rPr>
      <t>.</t>
    </r>
    <r>
      <rPr>
        <rFont val="Arial, sans-serif"/>
        <color rgb="FF1155CC"/>
        <sz val="11.0"/>
        <u/>
      </rPr>
      <t>4 mar 2024</t>
    </r>
  </si>
  <si>
    <t>Begoña Rodrigo, del restaurante valenciano 'La Salita', gana el nuevo Tres Soles Guía Repsol 2024</t>
  </si>
  <si>
    <t>Begoña Rodrigo, del restaurante valenciano 'La Salita', gana el nuevo Tres Soles Guía Repsol 2024.</t>
  </si>
  <si>
    <t>Begoña Rodrigo, from the Valencian restaurant 'La Salita', wins the new Tres Soles Repsol Guide 2024</t>
  </si>
  <si>
    <t>Begoña Rodrigo, from the Valencian restaurant 'La Salita', wins the new Tres Soles Repsol Guide 2024.</t>
  </si>
  <si>
    <r>
      <rPr>
        <rFont val="Arial, sans-serif"/>
        <color rgb="FF1155CC"/>
        <sz val="9.0"/>
        <u/>
      </rPr>
      <t>Europa Press</t>
    </r>
    <r>
      <rPr>
        <rFont val="Arial, sans-serif"/>
        <color rgb="FF1155CC"/>
        <sz val="15.0"/>
        <u/>
      </rPr>
      <t>Andalucía suma con 'Tohqa' un nuevo restaurante distinguido con Dos Soles Repsol y otros once se estrenan con uno</t>
    </r>
    <r>
      <rPr>
        <rFont val="Arial, sans-serif"/>
        <color rgb="FF1155CC"/>
        <sz val="11.0"/>
        <u/>
      </rPr>
      <t>Andalucía cuenta desde este lunes con once nuevos restaurantes con un Sol Guía Repsol mientras que 'Tohqa',...</t>
    </r>
    <r>
      <rPr>
        <rFont val="Arial, sans-serif"/>
        <color rgb="FF1155CC"/>
        <sz val="12.0"/>
        <u/>
      </rPr>
      <t>.</t>
    </r>
    <r>
      <rPr>
        <rFont val="Arial, sans-serif"/>
        <color rgb="FF1155CC"/>
        <sz val="11.0"/>
        <u/>
      </rPr>
      <t>4 mar 2024</t>
    </r>
  </si>
  <si>
    <t>Andalucía suma con 'Tohqa' un nuevo restaurante distinguido con Dos Soles Repsol y otros once se estrenan con uno</t>
  </si>
  <si>
    <t>Andalucía cuenta desde este lunes con once nuevos restaurantes con un Sol Guía Repsol mientras que 'Tohqa'...</t>
  </si>
  <si>
    <t>Andalusia adds with 'Tohqa' a new restaurant distinguished with Two Soles Repsol and another eleven debut with one</t>
  </si>
  <si>
    <t>Since this Monday, Andalusia has eleven new restaurants with a Repsol Sun Guide while 'Tohqa'...</t>
  </si>
  <si>
    <r>
      <rPr>
        <rFont val="Arial, sans-serif"/>
        <color rgb="FF1155CC"/>
        <sz val="9.0"/>
        <u/>
      </rPr>
      <t>Tribuna Salamanca</t>
    </r>
    <r>
      <rPr>
        <rFont val="Arial, sans-serif"/>
        <color rgb="FF1155CC"/>
        <sz val="15.0"/>
        <u/>
      </rPr>
      <t>Los restaurantes de Salamanca con soles de Repsol</t>
    </r>
    <r>
      <rPr>
        <rFont val="Arial, sans-serif"/>
        <color rgb="FF1155CC"/>
        <sz val="11.0"/>
        <u/>
      </rPr>
      <t>Salamanca mantiene tres restaurantes con dos soles y otros cuatro cuentan con un sol de Repsol.</t>
    </r>
    <r>
      <rPr>
        <rFont val="Arial, sans-serif"/>
        <color rgb="FF1155CC"/>
        <sz val="12.0"/>
        <u/>
      </rPr>
      <t>.</t>
    </r>
    <r>
      <rPr>
        <rFont val="Arial, sans-serif"/>
        <color rgb="FF1155CC"/>
        <sz val="11.0"/>
        <u/>
      </rPr>
      <t>4 mar 2024</t>
    </r>
  </si>
  <si>
    <t>Tribuna Salamanca</t>
  </si>
  <si>
    <t>Los restaurantes de Salamanca con soles de Repsol</t>
  </si>
  <si>
    <t>Salamanca mantiene tres restaurantes con dos soles y otros cuatro cuentan con un sol de Repsol.</t>
  </si>
  <si>
    <t>Salamanca restaurants with Repsol soles</t>
  </si>
  <si>
    <t>Salamanca maintains three restaurants with two soles and another four have one sole from Repsol.</t>
  </si>
  <si>
    <r>
      <rPr>
        <rFont val="Arial, sans-serif"/>
        <color rgb="FF1155CC"/>
        <sz val="9.0"/>
        <u/>
      </rPr>
      <t>Ideal</t>
    </r>
    <r>
      <rPr>
        <rFont val="Arial, sans-serif"/>
        <color rgb="FF1155CC"/>
        <sz val="15.0"/>
        <u/>
      </rPr>
      <t>Los once nuevos restaurantes de Andalucía con un Sol de la Guía Repsol</t>
    </r>
    <r>
      <rPr>
        <rFont val="Arial, sans-serif"/>
        <color rgb="FF1155CC"/>
        <sz val="11.0"/>
        <u/>
      </rPr>
      <t>Además, el restaurante 'Tohqa', situado en El Puerto de Santa María (Cádiz), ha sido reconocido con 2 Soles.</t>
    </r>
    <r>
      <rPr>
        <rFont val="Arial, sans-serif"/>
        <color rgb="FF1155CC"/>
        <sz val="12.0"/>
        <u/>
      </rPr>
      <t>.</t>
    </r>
    <r>
      <rPr>
        <rFont val="Arial, sans-serif"/>
        <color rgb="FF1155CC"/>
        <sz val="11.0"/>
        <u/>
      </rPr>
      <t>4 mar 2024</t>
    </r>
  </si>
  <si>
    <t>Los nuevos restaurantes de Andalucía con un Sol de la Guía Repsol</t>
  </si>
  <si>
    <t>Además, el restaurante 'Tohqa', situado en El Puerto de Santa María (Cádiz), ha sido reconocido con 2 Soles.</t>
  </si>
  <si>
    <t>The new restaurants in Andalusia with a Sun from the Repsol Guide</t>
  </si>
  <si>
    <t>In addition, the restaurant 'Tohqa', located in El Puerto de Santa María (Cádiz), has been recognized with 2 Soles.</t>
  </si>
  <si>
    <r>
      <rPr>
        <rFont val="Arial, sans-serif"/>
        <color rgb="FF1155CC"/>
        <sz val="9.0"/>
        <u/>
      </rPr>
      <t>Diario de Noticias de Navarra</t>
    </r>
    <r>
      <rPr>
        <rFont val="Arial, sans-serif"/>
        <color rgb="FF1155CC"/>
        <sz val="15.0"/>
        <u/>
      </rPr>
      <t>Los restaurantes navarros mantienen sus soles Repsol en la edición de 2024</t>
    </r>
    <r>
      <rPr>
        <rFont val="Arial, sans-serif"/>
        <color rgb="FF1155CC"/>
        <sz val="11.0"/>
        <u/>
      </rPr>
      <t>Begoña Rodrigo ('La Salita'), nueva 3 Soles Guía Repsol en un año brillante para la gastronomía | 98 nuevos Soles se unen al universo de Guía Repsol.</t>
    </r>
    <r>
      <rPr>
        <rFont val="Arial, sans-serif"/>
        <color rgb="FF1155CC"/>
        <sz val="12.0"/>
        <u/>
      </rPr>
      <t>.</t>
    </r>
    <r>
      <rPr>
        <rFont val="Arial, sans-serif"/>
        <color rgb="FF1155CC"/>
        <sz val="11.0"/>
        <u/>
      </rPr>
      <t>4 mar 2024</t>
    </r>
  </si>
  <si>
    <t>Diario de Noticias de Navarra</t>
  </si>
  <si>
    <t>Los restaurantes navarros mantienen sus soles Repsol en la edición de 2024</t>
  </si>
  <si>
    <t>Begoña Rodrigo ('La Salita'), nueva 3 Soles Guía Repsol en un año brillante para la gastronomía | 98 nuevos Soles se unen al universo de Guía Repsol.</t>
  </si>
  <si>
    <t>Navarrese restaurants maintain their Repsol soles in the 2024 edition</t>
  </si>
  <si>
    <t>Begoña Rodrigo ('La Salita'), new 3 Suns Repsol Guide in a brilliant year for gastronomy | 98 new Soles join the Repsol Guide universe.</t>
  </si>
  <si>
    <r>
      <rPr>
        <rFont val="Arial, sans-serif"/>
        <color rgb="FF1155CC"/>
        <sz val="9.0"/>
        <u/>
      </rPr>
      <t>Granada Hoy</t>
    </r>
    <r>
      <rPr>
        <rFont val="Arial, sans-serif"/>
        <color rgb="FF1155CC"/>
        <sz val="15.0"/>
        <u/>
      </rPr>
      <t>Granada suma seis Soles Repsol 2024, con la entrada de María de La O y La Finca</t>
    </r>
    <r>
      <rPr>
        <rFont val="Arial, sans-serif"/>
        <color rgb="FF1155CC"/>
        <sz val="11.0"/>
        <u/>
      </rPr>
      <t>Del listado se cae este año Collados de la Sagra, y se mantienen Arriaga, Damasqueros, Faralá y Ruta del Veleta.</t>
    </r>
    <r>
      <rPr>
        <rFont val="Arial, sans-serif"/>
        <color rgb="FF1155CC"/>
        <sz val="12.0"/>
        <u/>
      </rPr>
      <t>.</t>
    </r>
    <r>
      <rPr>
        <rFont val="Arial, sans-serif"/>
        <color rgb="FF1155CC"/>
        <sz val="11.0"/>
        <u/>
      </rPr>
      <t>4 mar 2024</t>
    </r>
  </si>
  <si>
    <t>Granada Hoy</t>
  </si>
  <si>
    <t>Granada suma seis Soles Repsol 2024, con la entrada de María de La O y La Finca</t>
  </si>
  <si>
    <t>Granada suma seis Soles Repsol 2024, con la entrada de María de La O y La Finca. Del listado se cae este año Collados de la Sagra, y se mantienen Arriaga, Damasqueros, Faralá y Ruta del Veleta.</t>
  </si>
  <si>
    <t>Granada adds six Repsol 2024 Suns, with the entry of María de La O and La Finca</t>
  </si>
  <si>
    <t>Granada adds six Repsol 2024 Soles, with the entry of María de La O and La Finca. Collados de la Sagra is dropped from the list this year, and Arriaga, Damasqueros, Faralá and Ruta del Veleta remain.</t>
  </si>
  <si>
    <r>
      <rPr>
        <rFont val="Arial, sans-serif"/>
        <color rgb="FF1155CC"/>
        <sz val="9.0"/>
        <u/>
      </rPr>
      <t>Guía Repsol</t>
    </r>
    <r>
      <rPr>
        <rFont val="Arial, sans-serif"/>
        <color rgb="FF1155CC"/>
        <sz val="15.0"/>
        <u/>
      </rPr>
      <t>Un año brillante</t>
    </r>
    <r>
      <rPr>
        <rFont val="Arial, sans-serif"/>
        <color rgb="FF1155CC"/>
        <sz val="11.0"/>
        <u/>
      </rPr>
      <t>Cocinas deslumbrantes y urbanitas, barras luminosas que despuntan en mercados y brasas encendidas que te conducen hasta lugares recónditos. La gastronomía,.</t>
    </r>
    <r>
      <rPr>
        <rFont val="Arial, sans-serif"/>
        <color rgb="FF1155CC"/>
        <sz val="12.0"/>
        <u/>
      </rPr>
      <t>.</t>
    </r>
    <r>
      <rPr>
        <rFont val="Arial, sans-serif"/>
        <color rgb="FF1155CC"/>
        <sz val="11.0"/>
        <u/>
      </rPr>
      <t>4 mar 2024</t>
    </r>
  </si>
  <si>
    <t>Un año brillante</t>
  </si>
  <si>
    <t>Cocinas deslumbrantes y urbanitas, barras luminosas que despuntan en mercados y brasas encendidas que te conducen hasta lugares recónditos. La gastronomía,..</t>
  </si>
  <si>
    <t>A brilliant year</t>
  </si>
  <si>
    <t>Dazzling and urban kitchens, glowing bars that shine in markets and burning embers that take you to hidden places. Gastronomy,...</t>
  </si>
  <si>
    <r>
      <rPr>
        <rFont val="Arial, sans-serif"/>
        <color rgb="FF1155CC"/>
        <sz val="9.0"/>
        <u/>
      </rPr>
      <t>Diario de Almería</t>
    </r>
    <r>
      <rPr>
        <rFont val="Arial, sans-serif"/>
        <color rgb="FF1155CC"/>
        <sz val="15.0"/>
        <u/>
      </rPr>
      <t>Dos restaurantes almerienses obtienen el galardón Sol de la Guía Repsol en 2024</t>
    </r>
    <r>
      <rPr>
        <rFont val="Arial, sans-serif"/>
        <color rgb="FF1155CC"/>
        <sz val="11.0"/>
        <u/>
      </rPr>
      <t>Andalucía se ha confirmado este lunes como la tercera comunidad de España con mayor número de restaurantes premiados con el Sol de la Guía Repsol.</t>
    </r>
    <r>
      <rPr>
        <rFont val="Arial, sans-serif"/>
        <color rgb="FF1155CC"/>
        <sz val="12.0"/>
        <u/>
      </rPr>
      <t>.</t>
    </r>
    <r>
      <rPr>
        <rFont val="Arial, sans-serif"/>
        <color rgb="FF1155CC"/>
        <sz val="11.0"/>
        <u/>
      </rPr>
      <t>4 mar 2024</t>
    </r>
  </si>
  <si>
    <t>Dos restaurantes almerienses obtienen el galardón Sol de la Guía Repsol en 2024</t>
  </si>
  <si>
    <t>Andalucía se ha confirmado este lunes como la tercera comunidad de España con mayor número de restaurantes premiados con el Sol de la Guía Repsol.</t>
  </si>
  <si>
    <t>Two Almeria restaurants obtain the Sol award from the Repsol Guide in 2024</t>
  </si>
  <si>
    <t>Andalusia was confirmed this Monday as the third community in Spain with the highest number of restaurants awarded the Sun by the Repsol Guide.</t>
  </si>
  <si>
    <r>
      <rPr>
        <rFont val="Arial, sans-serif"/>
        <color rgb="FF1155CC"/>
        <sz val="9.0"/>
        <u/>
      </rPr>
      <t>Diario de Cádiz</t>
    </r>
    <r>
      <rPr>
        <rFont val="Arial, sans-serif"/>
        <color rgb="FF1155CC"/>
        <sz val="15.0"/>
        <u/>
      </rPr>
      <t>La Guía Repsol 2024 premia con nuevos soles a tres restaurantes de la provincia de Cádiz</t>
    </r>
    <r>
      <rPr>
        <rFont val="Arial, sans-serif"/>
        <color rgb="FF1155CC"/>
        <sz val="11.0"/>
        <u/>
      </rPr>
      <t>La Guía Repsol ha entregado este lunes en Cartagena sus nuevos soles de 2024 y entre los premiados se encuentran tres restaurantes de la provincia de Cádiz...</t>
    </r>
    <r>
      <rPr>
        <rFont val="Arial, sans-serif"/>
        <color rgb="FF1155CC"/>
        <sz val="12.0"/>
        <u/>
      </rPr>
      <t>.</t>
    </r>
    <r>
      <rPr>
        <rFont val="Arial, sans-serif"/>
        <color rgb="FF1155CC"/>
        <sz val="11.0"/>
        <u/>
      </rPr>
      <t>4 mar 2024</t>
    </r>
  </si>
  <si>
    <t>Diario de Cádiz</t>
  </si>
  <si>
    <t>La Guía Repsol 2024 premia con nuevos soles a tres restaurantes de la provincia de Cádiz</t>
  </si>
  <si>
    <t>La Guía Repsol ha entregado este lunes en Cartagena sus nuevos soles de 2024 y entre los premiados se encuentran tres restaurantes de la provincia de Cádiz.</t>
  </si>
  <si>
    <t>The Repsol Guide 2024 awards three restaurants in the province of Cádiz with new soles</t>
  </si>
  <si>
    <t>The Repsol Guide delivered its new 2024 soles this Monday in Cartagena and among the winners are three restaurants in the province of Cádiz.</t>
  </si>
  <si>
    <r>
      <rPr>
        <rFont val="Arial, sans-serif"/>
        <color rgb="FF1155CC"/>
        <sz val="9.0"/>
        <u/>
      </rPr>
      <t>Diario de Noticias de Álava</t>
    </r>
    <r>
      <rPr>
        <rFont val="Arial, sans-serif"/>
        <color rgb="FF1155CC"/>
        <sz val="15.0"/>
        <u/>
      </rPr>
      <t>Los 17 restaurantes alaveses en la guía de los 'Soles' Repsol 2024</t>
    </r>
    <r>
      <rPr>
        <rFont val="Arial, sans-serif"/>
        <color rgb="FF1155CC"/>
        <sz val="11.0"/>
        <u/>
      </rPr>
      <t>Sin grandes novedades para la cocina alavesa. La Guía Repsol ha celebrado este lunes en Cartagena su gala de 2024 en la que ha anunciado los restaurantes...</t>
    </r>
    <r>
      <rPr>
        <rFont val="Arial, sans-serif"/>
        <color rgb="FF1155CC"/>
        <sz val="12.0"/>
        <u/>
      </rPr>
      <t>.</t>
    </r>
    <r>
      <rPr>
        <rFont val="Arial, sans-serif"/>
        <color rgb="FF1155CC"/>
        <sz val="11.0"/>
        <u/>
      </rPr>
      <t>4 mar 2024</t>
    </r>
  </si>
  <si>
    <t>Diario de Noticias de Álava</t>
  </si>
  <si>
    <t>Los 17 restaurantes alaveses en la guía de los 'Soles' Repsol 2024</t>
  </si>
  <si>
    <t>Sin grandes novedades para la cocina alavesa. La Guía Repsol ha celebrado este lunes en Cartagena su gala de 2024 en la que ha anunciado los restaurantes....</t>
  </si>
  <si>
    <t>The 17 Alava restaurants in the Repsol 2024 'Suns' guide</t>
  </si>
  <si>
    <t>No big news for Alava cuisine. The Repsol Guide held its 2024 gala this Monday in Cartagena in which it announced the restaurants....</t>
  </si>
  <si>
    <r>
      <rPr>
        <rFont val="Arial, sans-serif"/>
        <color rgb="FF1155CC"/>
        <sz val="9.0"/>
        <u/>
      </rPr>
      <t>Diario de Valladolid</t>
    </r>
    <r>
      <rPr>
        <rFont val="Arial, sans-serif"/>
        <color rgb="FF1155CC"/>
        <sz val="15.0"/>
        <u/>
      </rPr>
      <t>Alquimia de Valladolid se une al universo de los Soles Repsol</t>
    </r>
    <r>
      <rPr>
        <rFont val="Arial, sans-serif"/>
        <color rgb="FF1155CC"/>
        <sz val="11.0"/>
        <u/>
      </rPr>
      <t>El chef Alvar Hinojal consigue entrar en la Guía Repsol en la que ya son 10 los restaurantes con un Sol Repsol y otros cuatro establecimientos de la...</t>
    </r>
    <r>
      <rPr>
        <rFont val="Arial, sans-serif"/>
        <color rgb="FF1155CC"/>
        <sz val="12.0"/>
        <u/>
      </rPr>
      <t>.</t>
    </r>
    <r>
      <rPr>
        <rFont val="Arial, sans-serif"/>
        <color rgb="FF1155CC"/>
        <sz val="11.0"/>
        <u/>
      </rPr>
      <t>4 mar 2024</t>
    </r>
  </si>
  <si>
    <t>Diario de Valladolid</t>
  </si>
  <si>
    <t>Alquimia de Valladolid se une al universo de los Soles Repsol</t>
  </si>
  <si>
    <t>El chef Alvar Hinojal consigue entrar en la Guía Repsol en la que ya son 10 los restaurantes con un Sol Repsol y otros cuatro establecimientos de la....</t>
  </si>
  <si>
    <t>Alquimia de Valladolid joins the Repsol Suns universe</t>
  </si>
  <si>
    <t>Chef Alvar Hinojal manages to enter the Repsol Guide in which there are already 10 restaurants with a Sol Repsol and four other establishments from the...</t>
  </si>
  <si>
    <r>
      <rPr>
        <rFont val="Arial, sans-serif"/>
        <color rgb="FF1155CC"/>
        <sz val="9.0"/>
        <u/>
      </rPr>
      <t>Guía Repsol</t>
    </r>
    <r>
      <rPr>
        <rFont val="Arial, sans-serif"/>
        <color rgb="FF1155CC"/>
        <sz val="15.0"/>
        <u/>
      </rPr>
      <t>Restaurante Casa 887 en San Sebastián</t>
    </r>
    <r>
      <rPr>
        <rFont val="Arial, sans-serif"/>
        <color rgb="FF1155CC"/>
        <sz val="11.0"/>
        <u/>
      </rPr>
      <t>Si tienes una cuenta en cualquiera de ellas, tienes una cuenta única de Repsol. Así, podrás acceder a todas con el mismo correo electrónico y contraseña.</t>
    </r>
    <r>
      <rPr>
        <rFont val="Arial, sans-serif"/>
        <color rgb="FF1155CC"/>
        <sz val="12.0"/>
        <u/>
      </rPr>
      <t>.</t>
    </r>
    <r>
      <rPr>
        <rFont val="Arial, sans-serif"/>
        <color rgb="FF1155CC"/>
        <sz val="11.0"/>
        <u/>
      </rPr>
      <t>4 mar 2024</t>
    </r>
  </si>
  <si>
    <t>Restaurante Casa 887 en San Sebastián</t>
  </si>
  <si>
    <t>Si tienes una cuenta en cualquiera de ellas, tienes una cuenta única de Repsol. Así, podrás acceder a todas con el mismo correo electrónico y contraseña.</t>
  </si>
  <si>
    <t>Casa 887 Restaurant in San Sebastian</t>
  </si>
  <si>
    <t>If you have an account in any of them, you have a single Repsol account. This way, you can access all of them with the same email and password.</t>
  </si>
  <si>
    <r>
      <rPr>
        <rFont val="Arial, sans-serif"/>
        <color rgb="FF1155CC"/>
        <sz val="9.0"/>
        <u/>
      </rPr>
      <t>La 7</t>
    </r>
    <r>
      <rPr>
        <rFont val="Arial, sans-serif"/>
        <color rgb="FF1155CC"/>
        <sz val="15.0"/>
        <u/>
      </rPr>
      <t>Juan Guillamón logra su segundo Sol Repsol en una gala que confirma a Cartagena como capital gastronómica y turística</t>
    </r>
    <r>
      <rPr>
        <rFont val="Arial, sans-serif"/>
        <color rgb="FF1155CC"/>
        <sz val="11.0"/>
        <u/>
      </rPr>
      <t>Almo (Murcia) consigue los 2 soles, y 'Polea' y 'Por Herencia' (Murcia) y 'El Poli' (Águilas) se estrenan con uno. Almo, de Juan Guillamón, 2 Soles Repsol.</t>
    </r>
    <r>
      <rPr>
        <rFont val="Arial, sans-serif"/>
        <color rgb="FF1155CC"/>
        <sz val="12.0"/>
        <u/>
      </rPr>
      <t>.</t>
    </r>
    <r>
      <rPr>
        <rFont val="Arial, sans-serif"/>
        <color rgb="FF1155CC"/>
        <sz val="11.0"/>
        <u/>
      </rPr>
      <t>4 mar 2024</t>
    </r>
  </si>
  <si>
    <t>La 7</t>
  </si>
  <si>
    <t>Juan Guillamón logra su segundo Sol Repsol en una gala que confirma a Cartagena como capital gastronómica y turística</t>
  </si>
  <si>
    <t>Juan Guillamón logra su segundo Sol Repsol en una gala que confirma a Cartagena como capital gastronómica y turística. Almo (Murcia) consigue los 2 soles, y 'Polea' y 'Por Herencia' (Murcia) y 'El Poli' (Águilas) se estrenan con uno.</t>
  </si>
  <si>
    <t>Juan Guillamón achieves his second Sol Repsol in a gala that confirms Cartagena as the gastronomic and tourist capital</t>
  </si>
  <si>
    <t>Juan Guillamón achieves his second Sol Repsol in a gala that confirms Cartagena as a gastronomic and tourist capital. Almo (Murcia) gets 2 soles, and 'Polea' and 'Por Herencia' (Murcia) and 'El Poli' (Águilas) premiere with one.</t>
  </si>
  <si>
    <r>
      <rPr>
        <rFont val="Arial, sans-serif"/>
        <color rgb="FF1155CC"/>
        <sz val="9.0"/>
        <u/>
      </rPr>
      <t>El Mundo</t>
    </r>
    <r>
      <rPr>
        <rFont val="Arial, sans-serif"/>
        <color rgb="FF1155CC"/>
        <sz val="15.0"/>
        <u/>
      </rPr>
      <t>La Salita, de Begoña Rodrigo, único restaurante que conquista este año los tres Soles de la Guía Repsol</t>
    </r>
    <r>
      <rPr>
        <rFont val="Arial, sans-serif"/>
        <color rgb="FF1155CC"/>
        <sz val="11.0"/>
        <u/>
      </rPr>
      <t>Cartagena ha sido el lugar elegido este año por Repsol para celebrar la gala anual en la que premia a lo más granado del mundo de la gastronomía patria.</t>
    </r>
    <r>
      <rPr>
        <rFont val="Arial, sans-serif"/>
        <color rgb="FF1155CC"/>
        <sz val="12.0"/>
        <u/>
      </rPr>
      <t>.</t>
    </r>
    <r>
      <rPr>
        <rFont val="Arial, sans-serif"/>
        <color rgb="FF1155CC"/>
        <sz val="11.0"/>
        <u/>
      </rPr>
      <t>4 mar 2024</t>
    </r>
  </si>
  <si>
    <t>La Salita, de Begoña Rodrigo, único restaurante que conquista este año los tres Soles de la Guía Repsol</t>
  </si>
  <si>
    <t>Cartagena ha sido el lugar elegido este año por Repsol para celebrar la gala anual en la que premia a lo más granado del mundo de la gastronomía patria.</t>
  </si>
  <si>
    <t>La Salita, by Begoña Rodrigo, the only restaurant that wins the three Suns of the Repsol Guide this year</t>
  </si>
  <si>
    <t>Cartagena has been the place chosen this year by Repsol to celebrate the annual gala in which it rewards the best in the world of national gastronomy.</t>
  </si>
  <si>
    <r>
      <rPr>
        <rFont val="Arial, sans-serif"/>
        <color rgb="FF1155CC"/>
        <sz val="9.0"/>
        <u/>
      </rPr>
      <t>Palencia en la Red</t>
    </r>
    <r>
      <rPr>
        <rFont val="Arial, sans-serif"/>
        <color rgb="FF1155CC"/>
        <sz val="15.0"/>
        <u/>
      </rPr>
      <t>Adif encarga a Repsol instalar 25 cargadores para coches eléctricos en Palencia</t>
    </r>
    <r>
      <rPr>
        <rFont val="Arial, sans-serif"/>
        <color rgb="FF1155CC"/>
        <sz val="11.0"/>
        <u/>
      </rPr>
      <t>Estarán ubicado en los aparcamientos de la empresa ferroviaria: el de Jardinillos y el de la Estación de Pequeña Adif y Adif Alta Velocidad procederá a la.</t>
    </r>
    <r>
      <rPr>
        <rFont val="Arial, sans-serif"/>
        <color rgb="FF1155CC"/>
        <sz val="12.0"/>
        <u/>
      </rPr>
      <t>.</t>
    </r>
    <r>
      <rPr>
        <rFont val="Arial, sans-serif"/>
        <color rgb="FF1155CC"/>
        <sz val="11.0"/>
        <u/>
      </rPr>
      <t>4 mar 2024</t>
    </r>
  </si>
  <si>
    <t>Adif encarga a Repsol instalar 25 cargadores para coches eléctricos en Palencia</t>
  </si>
  <si>
    <t>Estarán ubicado en los aparcamientos de la empresa ferroviaria: el de Jardinillos y el de la Estación de Pequeña Adif y Adif Alta Velocidad procederá a la..</t>
  </si>
  <si>
    <t>Adif commissions Repsol to install 25 chargers for electric cars in Palencia</t>
  </si>
  <si>
    <t>They will be located in the railway company's parking lots: Jardinillos and the Small Adif Station and Adif High Speed ​​will proceed to the...</t>
  </si>
  <si>
    <t>EV chargers, Adif-Repsol partnership</t>
  </si>
  <si>
    <t>Cargadores para vehículos eléctricos, Colaboración Adif-Repsol</t>
  </si>
  <si>
    <t>cargadores, coches eléctricos, instalar</t>
  </si>
  <si>
    <r>
      <rPr>
        <rFont val="Arial, sans-serif"/>
        <color rgb="FF1155CC"/>
        <sz val="9.0"/>
        <u/>
      </rPr>
      <t>20Minutos</t>
    </r>
    <r>
      <rPr>
        <rFont val="Arial, sans-serif"/>
        <color rgb="FF1155CC"/>
        <sz val="15.0"/>
        <u/>
      </rPr>
      <t>Sigue en directo la Gala de los Soles Guía Repsol 2024</t>
    </r>
    <r>
      <rPr>
        <rFont val="Arial, sans-serif"/>
        <color rgb="FF1155CC"/>
        <sz val="11.0"/>
        <u/>
      </rPr>
      <t>El lunes 4 de marzo a las 20 horas la Guía Repsol se celebra la gala que reconoce a los mejores restaurantes de España por 'su labor y trayectoria' en el...</t>
    </r>
    <r>
      <rPr>
        <rFont val="Arial, sans-serif"/>
        <color rgb="FF1155CC"/>
        <sz val="12.0"/>
        <u/>
      </rPr>
      <t>.</t>
    </r>
    <r>
      <rPr>
        <rFont val="Arial, sans-serif"/>
        <color rgb="FF1155CC"/>
        <sz val="11.0"/>
        <u/>
      </rPr>
      <t>4 mar 2024</t>
    </r>
  </si>
  <si>
    <t>Sigue en directo la Gala de los Soles Guía Repsol 2024</t>
  </si>
  <si>
    <t>El lunes 4 de marzo a las 20 horas la Guía Repsol se celebra la gala que reconoce a los mejores restaurantes de España por 'su labor y trayectoria' en el....</t>
  </si>
  <si>
    <t>Follow the Gala of the Suns live Repsol Guide 2024</t>
  </si>
  <si>
    <t>On Monday, March 4, at 8 p.m., the Repsol Guide celebrates the gala that recognizes the best restaurants in Spain for 'their work and career' in the...</t>
  </si>
  <si>
    <r>
      <rPr>
        <rFont val="Arial, sans-serif"/>
        <color rgb="FF1155CC"/>
        <sz val="9.0"/>
        <u/>
      </rPr>
      <t>Revista Plácet Madrid</t>
    </r>
    <r>
      <rPr>
        <rFont val="Arial, sans-serif"/>
        <color rgb="FF1155CC"/>
        <sz val="15.0"/>
        <u/>
      </rPr>
      <t>Guía Repsol reconoce con 2 Soles a cuatro restaurantes madrileños y con 1 Sol a diez más</t>
    </r>
    <r>
      <rPr>
        <rFont val="Arial, sans-serif"/>
        <color rgb="FF1155CC"/>
        <sz val="11.0"/>
        <u/>
      </rPr>
      <t>Los restaurantes 'OSA', 'Desde 1911', 'Le Bistroman L'Atelier' y 'Ugo Chan (imagen de portada)' son reconocidos con 2 Soles. Sol Repsol - restaurantes de...</t>
    </r>
    <r>
      <rPr>
        <rFont val="Arial, sans-serif"/>
        <color rgb="FF1155CC"/>
        <sz val="12.0"/>
        <u/>
      </rPr>
      <t>.</t>
    </r>
    <r>
      <rPr>
        <rFont val="Arial, sans-serif"/>
        <color rgb="FF1155CC"/>
        <sz val="11.0"/>
        <u/>
      </rPr>
      <t>4 mar 2024</t>
    </r>
  </si>
  <si>
    <t>Revista Plácet Madrid</t>
  </si>
  <si>
    <t>Guía Repsol reconoce con 2 Soles a cuatro restaurantes madrileños y con 1 Sol a diez más</t>
  </si>
  <si>
    <t>Los restaurantes 'OSA', 'Desde 1911', 'Le Bistroman L'Atelier' y 'Ugo Chan' son reconocidos con 2 Soles.</t>
  </si>
  <si>
    <t>Repsol Guide recognizes four Madrid restaurants with 2 Soles and ten more with 1 Sol</t>
  </si>
  <si>
    <t>The restaurants 'OSA', 'Since 1911', 'Le Bistroman L'Atelier' and 'Ugo Chan' are recognized with 2 Soles.</t>
  </si>
  <si>
    <r>
      <rPr>
        <rFont val="Arial, sans-serif"/>
        <color rgb="FF1155CC"/>
        <sz val="9.0"/>
        <u/>
      </rPr>
      <t>Noticias de Gipuzkoa</t>
    </r>
    <r>
      <rPr>
        <rFont val="Arial, sans-serif"/>
        <color rgb="FF1155CC"/>
        <sz val="15.0"/>
        <u/>
      </rPr>
      <t>Tolosa: Ama y Casa Julián, nuevos dos soles de la Guía Repsol 2024</t>
    </r>
    <r>
      <rPr>
        <rFont val="Arial, sans-serif"/>
        <color rgb="FF1155CC"/>
        <sz val="11.0"/>
        <u/>
      </rPr>
      <t>Ama y Casa Julián, ambos de Tolosa, son los dos únicos nuevos restaurantes vascos con dos soles de la Guía Repsol 2024 según se ha anunciado este lunes en...</t>
    </r>
    <r>
      <rPr>
        <rFont val="Arial, sans-serif"/>
        <color rgb="FF1155CC"/>
        <sz val="12.0"/>
        <u/>
      </rPr>
      <t>.</t>
    </r>
    <r>
      <rPr>
        <rFont val="Arial, sans-serif"/>
        <color rgb="FF1155CC"/>
        <sz val="11.0"/>
        <u/>
      </rPr>
      <t>4 mar 2024</t>
    </r>
  </si>
  <si>
    <t>Noticias de Gipuzkoa</t>
  </si>
  <si>
    <t>Tolosa: Ama y Casa Julián, nuevos dos soles de la Guía Repsol 2024</t>
  </si>
  <si>
    <t>Ama y Casa Julián, ambos de Tolosa, son los dos únicos nuevos restaurantes vascos con dos soles de la Guía Repsol 2024 según se ha anunciado este lunes en....</t>
  </si>
  <si>
    <t>Tolosa: Ama and Casa Julián, new two suns of the Repsol Guide 2024</t>
  </si>
  <si>
    <t>Ama and Casa Julián, both from Tolosa, are the only two new Basque restaurants with two soles in the Repsol Guide 2024 as announced this Monday in....</t>
  </si>
  <si>
    <r>
      <rPr>
        <rFont val="Arial, sans-serif"/>
        <color rgb="FF1155CC"/>
        <sz val="9.0"/>
        <u/>
      </rPr>
      <t>El Periódico Mediterráneo</t>
    </r>
    <r>
      <rPr>
        <rFont val="Arial, sans-serif"/>
        <color rgb="FF1155CC"/>
        <sz val="15.0"/>
        <u/>
      </rPr>
      <t>Guía Repsol 2024 | Un nuevo Sol para la provincia de Castellón</t>
    </r>
    <r>
      <rPr>
        <rFont val="Arial, sans-serif"/>
        <color rgb="FF1155CC"/>
        <sz val="11.0"/>
        <u/>
      </rPr>
      <t>Los tres restaurantes con estrella Michelin en la provincia, Atalaya, Raúl Resino y Cal Paradís, se destacan con dos soles Repsol cada uno.</t>
    </r>
    <r>
      <rPr>
        <rFont val="Arial, sans-serif"/>
        <color rgb="FF1155CC"/>
        <sz val="12.0"/>
        <u/>
      </rPr>
      <t>.</t>
    </r>
    <r>
      <rPr>
        <rFont val="Arial, sans-serif"/>
        <color rgb="FF1155CC"/>
        <sz val="11.0"/>
        <u/>
      </rPr>
      <t>4 mar 2024</t>
    </r>
  </si>
  <si>
    <t>El Periódico Mediterráneo</t>
  </si>
  <si>
    <t>Guía Repsol 2024 | Un nuevo Sol para la provincia de Castellón</t>
  </si>
  <si>
    <t>Los tres restaurantes con estrella Michelin en la provincia, Atalaya, Raúl Resino y Cal Paradís, se destacan con dos soles Repsol cada uno.</t>
  </si>
  <si>
    <t>Repsol Guide 2024 | A new Sun for the province of Castellón</t>
  </si>
  <si>
    <t>The three Michelin star restaurants in the province, Atalaya, Raúl Resino and Cal Paradís, stand out with two Repsol soles each.</t>
  </si>
  <si>
    <r>
      <rPr>
        <rFont val="Arial, sans-serif"/>
        <color rgb="FF1155CC"/>
        <sz val="9.0"/>
        <u/>
      </rPr>
      <t>Canarias7</t>
    </r>
    <r>
      <rPr>
        <rFont val="Arial, sans-serif"/>
        <color rgb="FF1155CC"/>
        <sz val="15.0"/>
        <u/>
      </rPr>
      <t>Consulte aquí los nuevos soles Repsol que brillan en Canarias</t>
    </r>
    <r>
      <rPr>
        <rFont val="Arial, sans-serif"/>
        <color rgb="FF1155CC"/>
        <sz val="11.0"/>
        <u/>
      </rPr>
      <t>Tenerife se lleva la mayor parte de los reconocimientos; Lanzarote y El Hierro también consiguen soles. Canarias7. Las Palmas de Gran Canaria.</t>
    </r>
    <r>
      <rPr>
        <rFont val="Arial, sans-serif"/>
        <color rgb="FF1155CC"/>
        <sz val="12.0"/>
        <u/>
      </rPr>
      <t>.</t>
    </r>
    <r>
      <rPr>
        <rFont val="Arial, sans-serif"/>
        <color rgb="FF1155CC"/>
        <sz val="11.0"/>
        <u/>
      </rPr>
      <t>4 mar 2024</t>
    </r>
  </si>
  <si>
    <t>Canarias7</t>
  </si>
  <si>
    <t>Consulte aquí los nuevos soles Repsol que brillan en Canarias</t>
  </si>
  <si>
    <t>Tenerife se lleva la mayor parte de los reconocimientos; Lanzarote y El Hierro también consiguen soles.</t>
  </si>
  <si>
    <t>Check here the new Repsol suns that shine in the Canary Islands</t>
  </si>
  <si>
    <t>Tenerife takes most of the recognition; Lanzarote and El Hierro also get soles.</t>
  </si>
  <si>
    <r>
      <rPr>
        <rFont val="Arial, sans-serif"/>
        <color rgb="FF1155CC"/>
        <sz val="9.0"/>
        <u/>
      </rPr>
      <t>heraldo.es</t>
    </r>
    <r>
      <rPr>
        <rFont val="Arial, sans-serif"/>
        <color rgb="FF1155CC"/>
        <sz val="15.0"/>
        <u/>
      </rPr>
      <t>El restaurante El Visco y su nuevo sol Repsol de Aragón en una masía medieval del Matarraña</t>
    </r>
    <r>
      <rPr>
        <rFont val="Arial, sans-serif"/>
        <color rgb="FF1155CC"/>
        <sz val="11.0"/>
        <u/>
      </rPr>
      <t>En 1993 se creó este hotel gastronómico, que cuenta con huerto con el que se suministran de productos de cercanía.</t>
    </r>
    <r>
      <rPr>
        <rFont val="Arial, sans-serif"/>
        <color rgb="FF1155CC"/>
        <sz val="12.0"/>
        <u/>
      </rPr>
      <t>.</t>
    </r>
    <r>
      <rPr>
        <rFont val="Arial, sans-serif"/>
        <color rgb="FF1155CC"/>
        <sz val="11.0"/>
        <u/>
      </rPr>
      <t>4 mar 2024</t>
    </r>
  </si>
  <si>
    <t>El restaurante El Visco y su nuevo sol Repsol de Aragón en una masía medieval del Matarraña</t>
  </si>
  <si>
    <t>En 1993 se creó este hotel gastronómico, que cuenta con huerto con el que se suministran de productos de cercanía.</t>
  </si>
  <si>
    <t>The El Visco restaurant and its new Repsol de Aragón sun in a medieval farmhouse in Matarraña</t>
  </si>
  <si>
    <t>In 1993, this gastronomic hotel was created, which has a garden that supplies local products.</t>
  </si>
  <si>
    <r>
      <rPr>
        <rFont val="Arial, sans-serif"/>
        <color rgb="FF1155CC"/>
        <sz val="9.0"/>
        <u/>
      </rPr>
      <t>Deia</t>
    </r>
    <r>
      <rPr>
        <rFont val="Arial, sans-serif"/>
        <color rgb="FF1155CC"/>
        <sz val="15.0"/>
        <u/>
      </rPr>
      <t>Bizkaia suma tres nuevos soles en la Guía Repsol</t>
    </r>
    <r>
      <rPr>
        <rFont val="Arial, sans-serif"/>
        <color rgb="FF1155CC"/>
        <sz val="11.0"/>
        <u/>
      </rPr>
      <t>Bizkaia ha sumado tres restaurantes con nuevos soles en la gala celebrada este lunes en Cartagena, en la que se ha actualizado la Guía Repsol.</t>
    </r>
    <r>
      <rPr>
        <rFont val="Arial, sans-serif"/>
        <color rgb="FF1155CC"/>
        <sz val="12.0"/>
        <u/>
      </rPr>
      <t>.</t>
    </r>
    <r>
      <rPr>
        <rFont val="Arial, sans-serif"/>
        <color rgb="FF1155CC"/>
        <sz val="11.0"/>
        <u/>
      </rPr>
      <t>4 mar 2024</t>
    </r>
  </si>
  <si>
    <t>DeiaBizkaia</t>
  </si>
  <si>
    <t>DeiaBizkaia suma tres nuevos soles en la Guía Repsol</t>
  </si>
  <si>
    <t>Bizkaia ha sumado tres restaurantes con nuevos soles en la gala celebrada este lunes en Cartagena, en la que se ha actualizado la Guía Repsol.</t>
  </si>
  <si>
    <t>DeiaBizkaia adds three new suns in the Repsol Guide</t>
  </si>
  <si>
    <t>Bizkaia has added three restaurants with new soles at the gala held this Monday in Cartagena, in which the Repsol Guide has been updated.</t>
  </si>
  <si>
    <r>
      <rPr>
        <rFont val="Arial, sans-serif"/>
        <color rgb="FF1155CC"/>
        <sz val="9.0"/>
        <u/>
      </rPr>
      <t>Bon Viveur</t>
    </r>
    <r>
      <rPr>
        <rFont val="Arial, sans-serif"/>
        <color rgb="FF1155CC"/>
        <sz val="15.0"/>
        <u/>
      </rPr>
      <t>Listado de restaurantes con Soles de la Guía Repsol 2024</t>
    </r>
    <r>
      <rPr>
        <rFont val="Arial, sans-serif"/>
        <color rgb="FF1155CC"/>
        <sz val="11.0"/>
        <u/>
      </rPr>
      <t>La Salita de Begoña Rodrigo es el nuevo restaurante con 3 Soles de la Guía Repsol 2024. Además, hay 16 nuevos restaurantes con dos Soles y hasta 81...</t>
    </r>
    <r>
      <rPr>
        <rFont val="Arial, sans-serif"/>
        <color rgb="FF1155CC"/>
        <sz val="12.0"/>
        <u/>
      </rPr>
      <t>.</t>
    </r>
    <r>
      <rPr>
        <rFont val="Arial, sans-serif"/>
        <color rgb="FF1155CC"/>
        <sz val="11.0"/>
        <u/>
      </rPr>
      <t>4 mar 2024</t>
    </r>
  </si>
  <si>
    <t>Listado de restaurantes con Soles de la Guía Repsol 2024</t>
  </si>
  <si>
    <t>La Salita de Begoña Rodrigo es el nuevo restaurante con 3 Soles de la Guía Repsol 2024. Además, hay 16 nuevos restaurantes con dos Soles y hasta 81.</t>
  </si>
  <si>
    <t>List of restaurants with Soles from the Repsol Guide 2024</t>
  </si>
  <si>
    <t>La Salita de Begoña Rodrigo is the new restaurant with 3 Suns in the Repsol Guide 2024. In addition, there are 16 new restaurants with two Suns and up to 81.</t>
  </si>
  <si>
    <r>
      <rPr>
        <rFont val="Arial, sans-serif"/>
        <color rgb="FF1155CC"/>
        <sz val="9.0"/>
        <u/>
      </rPr>
      <t>El Día de Córdoba</t>
    </r>
    <r>
      <rPr>
        <rFont val="Arial, sans-serif"/>
        <color rgb="FF1155CC"/>
        <sz val="15.0"/>
        <u/>
      </rPr>
      <t>Los restaurantes de Córdoba con Soles Repsol donde comer en Semana Santa</t>
    </r>
    <r>
      <rPr>
        <rFont val="Arial, sans-serif"/>
        <color rgb="FF1155CC"/>
        <sz val="11.0"/>
        <u/>
      </rPr>
      <t>Entre la capital y la provincia hay diez Soles Repsol, repartidos entre Noor (3), Choco (2) Celia Jiménez (1), Casa Pepe de la Judería (1), La Cuchara de...</t>
    </r>
    <r>
      <rPr>
        <rFont val="Arial, sans-serif"/>
        <color rgb="FF1155CC"/>
        <sz val="12.0"/>
        <u/>
      </rPr>
      <t>.</t>
    </r>
    <r>
      <rPr>
        <rFont val="Arial, sans-serif"/>
        <color rgb="FF1155CC"/>
        <sz val="11.0"/>
        <u/>
      </rPr>
      <t>4 mar 2024</t>
    </r>
  </si>
  <si>
    <t>El Día de Córdoba</t>
  </si>
  <si>
    <t>Los restaurantes de Córdoba con Soles Repsol donde comer en Semana Santa</t>
  </si>
  <si>
    <t>Entre la capital y la provincia hay diez Soles Repsol, repartidos entre Noor (3), Choco (2) Celia Jiménez (1), Casa Pepe de la Judería (1), La Cuchara de....</t>
  </si>
  <si>
    <t>The restaurants in Córdoba with Repsol Soles where to eat during Holy Week</t>
  </si>
  <si>
    <t>Between the capital and the province there are ten Repsol Soles, distributed between Noor (3), Choco (2), Celia Jiménez (1), Casa Pepe de la Judería (1), La Cuchara de....</t>
  </si>
  <si>
    <r>
      <rPr>
        <rFont val="Arial, sans-serif"/>
        <color rgb="FF1155CC"/>
        <sz val="9.0"/>
        <u/>
      </rPr>
      <t>Enfoque Diario de Zamora</t>
    </r>
    <r>
      <rPr>
        <rFont val="Arial, sans-serif"/>
        <color rgb="FF1155CC"/>
        <sz val="15.0"/>
        <u/>
      </rPr>
      <t>El Restaurante Cuzeo de la ciudad logra un Sol Guía Repsol 2024, un reconocimiento de primer nivel</t>
    </r>
    <r>
      <rPr>
        <rFont val="Arial, sans-serif"/>
        <color rgb="FF1155CC"/>
        <sz val="11.0"/>
        <u/>
      </rPr>
      <t>El Restaurante Cuzeo de Zamora ha sido uno de los 81 restaurantes españoles que han logrado este lunes su primer Sol Guía Repsol. El reconocimiento, uno de...</t>
    </r>
    <r>
      <rPr>
        <rFont val="Arial, sans-serif"/>
        <color rgb="FF1155CC"/>
        <sz val="12.0"/>
        <u/>
      </rPr>
      <t>.</t>
    </r>
    <r>
      <rPr>
        <rFont val="Arial, sans-serif"/>
        <color rgb="FF1155CC"/>
        <sz val="11.0"/>
        <u/>
      </rPr>
      <t>4 mar 2024</t>
    </r>
  </si>
  <si>
    <t>Enfoque Diario de Zamora</t>
  </si>
  <si>
    <t>El Restaurante Cuzeo de la ciudad logra un Sol Guía Repsol 2024, un reconocimiento de primer nivel</t>
  </si>
  <si>
    <t>El Restaurante Cuzeo de Zamora ha sido uno de los 81 restaurantes españoles que han logrado este lunes su primer Sol Guía Repsol. El reconocimiento, uno de....</t>
  </si>
  <si>
    <t>The city's Cuzeo Restaurant achieves a Sol Guía Repsol 2024, a top-level recognition</t>
  </si>
  <si>
    <t>The Cuzeo Restaurant in Zamora has been one of the 81 Spanish restaurants that have achieved their first Repsol Sun Guide this Monday. Recognition, one of...</t>
  </si>
  <si>
    <r>
      <rPr>
        <rFont val="Arial, sans-serif"/>
        <color rgb="FF1155CC"/>
        <sz val="9.0"/>
        <u/>
      </rPr>
      <t>EFE - Agencia de noticias</t>
    </r>
    <r>
      <rPr>
        <rFont val="Arial, sans-serif"/>
        <color rgb="FF1155CC"/>
        <sz val="15.0"/>
        <u/>
      </rPr>
      <t>La Guía Repsol entrega hoy los nuevos Soles de la gastronomía española</t>
    </r>
    <r>
      <rPr>
        <rFont val="Arial, sans-serif"/>
        <color rgb="FF1155CC"/>
        <sz val="11.0"/>
        <u/>
      </rPr>
      <t>Cartagena acoge la gala de entrega de los Soles de la Guía Repsol, con la presencia de más de 200 cocineros y cocineras.</t>
    </r>
    <r>
      <rPr>
        <rFont val="Arial, sans-serif"/>
        <color rgb="FF1155CC"/>
        <sz val="12.0"/>
        <u/>
      </rPr>
      <t>.</t>
    </r>
    <r>
      <rPr>
        <rFont val="Arial, sans-serif"/>
        <color rgb="FF1155CC"/>
        <sz val="11.0"/>
        <u/>
      </rPr>
      <t>4 mar 2024</t>
    </r>
  </si>
  <si>
    <t>La Guía Repsol entrega hoy los nuevos Soles de la gastronomía española</t>
  </si>
  <si>
    <t>La Guía Repsol entrega hoy los nuevos Soles de la gastronomía española. Cartagena acoge la gala de entrega de los Soles de la Guía Repsol, con la presencia de más de 200 cocineros y cocineras.</t>
  </si>
  <si>
    <t>Today the Repsol Guide delivers the new Suns of Spanish gastronomy</t>
  </si>
  <si>
    <t>Today the Repsol Guide delivers the new Suns of Spanish gastronomy. Cartagena hosts the Repsol Guide Suns award ceremony, with the presence of more than 200 chefs.</t>
  </si>
  <si>
    <r>
      <rPr>
        <rFont val="Arial, sans-serif"/>
        <color rgb="FF1155CC"/>
        <sz val="9.0"/>
        <u/>
      </rPr>
      <t>The Gourmet Journal</t>
    </r>
    <r>
      <rPr>
        <rFont val="Arial, sans-serif"/>
        <color rgb="FF1155CC"/>
        <sz val="15.0"/>
        <u/>
      </rPr>
      <t>Los restaurantes malagueños con Soles de la Guía Repsol 2024</t>
    </r>
    <r>
      <rPr>
        <rFont val="Arial, sans-serif"/>
        <color rgb="FF1155CC"/>
        <sz val="11.0"/>
        <u/>
      </rPr>
      <t>Málaga suma 21 restaurantes con Soles de la Guía Repsol 2024, dos más que en la pasada edición. Palodú y Areia se alzan con un Sol Repsol.</t>
    </r>
    <r>
      <rPr>
        <rFont val="Arial, sans-serif"/>
        <color rgb="FF1155CC"/>
        <sz val="12.0"/>
        <u/>
      </rPr>
      <t>.</t>
    </r>
    <r>
      <rPr>
        <rFont val="Arial, sans-serif"/>
        <color rgb="FF1155CC"/>
        <sz val="11.0"/>
        <u/>
      </rPr>
      <t>4 mar 2024</t>
    </r>
  </si>
  <si>
    <t>Los restaurantes malagueños con Soles de la Guía Repsol 2024</t>
  </si>
  <si>
    <t>Málaga suma 21 restaurantes con Soles de la Guía Repsol 2024, dos más que en la pasada edición. Palodú y Areia se alzan con un Sol Repsol.</t>
  </si>
  <si>
    <t>Malaga restaurants with Suns from the Repsol Guide 2024</t>
  </si>
  <si>
    <t>Málaga has 21 restaurants with Suns from the Repsol Guide 2024, two more than in the last edition. Palodú and Areia win a Sol Repsol.</t>
  </si>
  <si>
    <r>
      <rPr>
        <rFont val="Arial, sans-serif"/>
        <color rgb="FF1155CC"/>
        <sz val="9.0"/>
        <u/>
      </rPr>
      <t>Cadena SER</t>
    </r>
    <r>
      <rPr>
        <rFont val="Arial, sans-serif"/>
        <color rgb="FF1155CC"/>
        <sz val="15.0"/>
        <u/>
      </rPr>
      <t>Valladolid suma 14 locales distinguidos con los 'soles' de la Guía Repsol</t>
    </r>
    <r>
      <rPr>
        <rFont val="Arial, sans-serif"/>
        <color rgb="FF1155CC"/>
        <sz val="11.0"/>
        <u/>
      </rPr>
      <t>Ambivium, La Botica de Matapozuelos, Refectorio y Trigo se mantienen en la categoría con dos de estos reconocimientos.</t>
    </r>
    <r>
      <rPr>
        <rFont val="Arial, sans-serif"/>
        <color rgb="FF1155CC"/>
        <sz val="12.0"/>
        <u/>
      </rPr>
      <t>.</t>
    </r>
    <r>
      <rPr>
        <rFont val="Arial, sans-serif"/>
        <color rgb="FF1155CC"/>
        <sz val="11.0"/>
        <u/>
      </rPr>
      <t>4 mar 2024</t>
    </r>
  </si>
  <si>
    <t>Cadena SERValladolid</t>
  </si>
  <si>
    <t>Cadena SERValladolid suma 14 locales distinguidos con los 'soles' de la Guía Repsol</t>
  </si>
  <si>
    <t>Ambivium, La Botica de Matapozuelos, Refectorio y Trigo se mantienen en la categoría con dos de estos reconocimientos.</t>
  </si>
  <si>
    <t>SERValladolid chain adds 14 establishments distinguished with the 'suns' of the Repsol Guide</t>
  </si>
  <si>
    <t>Ambivium, La Botica de Matapozuelos, Refectorio and Trigo remain in the category with two of these recognitions.</t>
  </si>
  <si>
    <r>
      <rPr>
        <rFont val="Arial, sans-serif"/>
        <color rgb="FF1155CC"/>
        <sz val="9.0"/>
        <u/>
      </rPr>
      <t>Vanitatis</t>
    </r>
    <r>
      <rPr>
        <rFont val="Arial, sans-serif"/>
        <color rgb="FF1155CC"/>
        <sz val="15.0"/>
        <u/>
      </rPr>
      <t>Begoña Rodrigo, de La Salita (Valencia), única chef que alcanza 3 soles en la Guía Repsol 2024</t>
    </r>
    <r>
      <rPr>
        <rFont val="Arial, sans-serif"/>
        <color rgb="FF1155CC"/>
        <sz val="11.0"/>
        <u/>
      </rPr>
      <t>Este va a ser otro año brillante para la gastronomía española a juzgar por el nuevo y exhaustivo mapeo que acaban de presentar en Cartagena los inspectores...</t>
    </r>
    <r>
      <rPr>
        <rFont val="Arial, sans-serif"/>
        <color rgb="FF1155CC"/>
        <sz val="12.0"/>
        <u/>
      </rPr>
      <t>.</t>
    </r>
    <r>
      <rPr>
        <rFont val="Arial, sans-serif"/>
        <color rgb="FF1155CC"/>
        <sz val="11.0"/>
        <u/>
      </rPr>
      <t>4 mar 2024</t>
    </r>
  </si>
  <si>
    <t>Begoña Rodrigo, de La Salita (Valencia), única chef que alcanza 3 soles en la Guía Repsol 2024</t>
  </si>
  <si>
    <t>Este va a ser otro año brillante para la gastronomía española a juzgar por el nuevo y exhaustivo mapeo que acaban de presentar en Cartagena los inspectores....</t>
  </si>
  <si>
    <t>Begoña Rodrigo, from La Salita (Valencia), the only chef to achieve 3 soles in the Repsol Guide 2024</t>
  </si>
  <si>
    <t>This is going to be another brilliant year for Spanish gastronomy judging by the new and exhaustive mapping that the inspectors have just presented in Cartagena....</t>
  </si>
  <si>
    <r>
      <rPr>
        <rFont val="Arial, sans-serif"/>
        <color rgb="FF1155CC"/>
        <sz val="9.0"/>
        <u/>
      </rPr>
      <t>La Voz de Galicia</t>
    </r>
    <r>
      <rPr>
        <rFont val="Arial, sans-serif"/>
        <color rgb="FF1155CC"/>
        <sz val="15.0"/>
        <u/>
      </rPr>
      <t>O Fragón y Balarés traen dos Soles Repsol para la Costa da Morte</t>
    </r>
    <r>
      <rPr>
        <rFont val="Arial, sans-serif"/>
        <color rgb="FF1155CC"/>
        <sz val="11.0"/>
        <u/>
      </rPr>
      <t>Son un total de seis los restaurantes gallegos premiados con este reconocimiento. Importante presencia, pues, de la comarca.</t>
    </r>
    <r>
      <rPr>
        <rFont val="Arial, sans-serif"/>
        <color rgb="FF1155CC"/>
        <sz val="12.0"/>
        <u/>
      </rPr>
      <t>.</t>
    </r>
    <r>
      <rPr>
        <rFont val="Arial, sans-serif"/>
        <color rgb="FF1155CC"/>
        <sz val="11.0"/>
        <u/>
      </rPr>
      <t>4 mar 2024</t>
    </r>
  </si>
  <si>
    <t>O Fragón y Balarés traen dos Soles Repsol para la Costa da Morte</t>
  </si>
  <si>
    <t>Son un total de seis los restaurantes gallegos premiados con este reconocimiento. Importante presencia, pues, de la comarca.</t>
  </si>
  <si>
    <t>O Fragón and Balarés bring two Repsol Suns to the Costa da Morte</t>
  </si>
  <si>
    <t>There are a total of six Galician restaurants awarded with this recognition. Important presence, therefore, of the region.</t>
  </si>
  <si>
    <r>
      <rPr>
        <rFont val="Arial, sans-serif"/>
        <color rgb="FF1155CC"/>
        <sz val="9.0"/>
        <u/>
      </rPr>
      <t>La Voz de Galicia</t>
    </r>
    <r>
      <rPr>
        <rFont val="Arial, sans-serif"/>
        <color rgb="FF1155CC"/>
        <sz val="15.0"/>
        <u/>
      </rPr>
      <t>Estos son los ocho restaurantes con Sol Repsol de A Coruña y su área</t>
    </r>
    <r>
      <rPr>
        <rFont val="Arial, sans-serif"/>
        <color rgb="FF1155CC"/>
        <sz val="11.0"/>
        <u/>
      </rPr>
      <t>La Guía Repsol presentó este lunes 4 de marzo su edición del 2024. Cartagena ha sido el lugar escogido para celebrar esta oda a la buena cocina,...</t>
    </r>
    <r>
      <rPr>
        <rFont val="Arial, sans-serif"/>
        <color rgb="FF1155CC"/>
        <sz val="12.0"/>
        <u/>
      </rPr>
      <t>.</t>
    </r>
    <r>
      <rPr>
        <rFont val="Arial, sans-serif"/>
        <color rgb="FF1155CC"/>
        <sz val="11.0"/>
        <u/>
      </rPr>
      <t>4 mar 2024</t>
    </r>
  </si>
  <si>
    <t>Estos son los ocho restaurantes con Sol Repsol de A Coruña y su área</t>
  </si>
  <si>
    <t>La Guía Repsol presentó este lunes 4 de marzo su edición del 2024. Cartagena ha sido el lugar escogido para celebrar esta oda a la buena cocina,....</t>
  </si>
  <si>
    <t>These are the eight restaurants with Sol Repsol in A Coruña and its area</t>
  </si>
  <si>
    <t>The Repsol Guide presented its 2024 edition this Monday, March 4. Cartagena has been the place chosen to celebrate this ode to good cuisine,...</t>
  </si>
  <si>
    <r>
      <rPr>
        <rFont val="Arial, sans-serif"/>
        <color rgb="FF1155CC"/>
        <sz val="9.0"/>
        <u/>
      </rPr>
      <t>NueveCuatroUno.com</t>
    </r>
    <r>
      <rPr>
        <rFont val="Arial, sans-serif"/>
        <color rgb="FF1155CC"/>
        <sz val="15.0"/>
        <u/>
      </rPr>
      <t>Más ‘rayos UVA’ para la cocina riojana: cuatro nuevos soles de la Guía Repsol</t>
    </r>
    <r>
      <rPr>
        <rFont val="Arial, sans-serif"/>
        <color rgb="FF1155CC"/>
        <sz val="11.0"/>
        <u/>
      </rPr>
      <t>La Guía Repsol ha reconocido con 2 soles Repsol al restaurante 'Nublo', situado en la localidad riojana de Haro. Además,</t>
    </r>
    <r>
      <rPr>
        <rFont val="Arial, sans-serif"/>
        <color rgb="FF1155CC"/>
        <sz val="12.0"/>
        <u/>
      </rPr>
      <t>.</t>
    </r>
    <r>
      <rPr>
        <rFont val="Arial, sans-serif"/>
        <color rgb="FF1155CC"/>
        <sz val="11.0"/>
        <u/>
      </rPr>
      <t>4 mar 2024</t>
    </r>
  </si>
  <si>
    <t>NueveCuatroUno.com</t>
  </si>
  <si>
    <t>Más ‘rayos UVA’ para la cocina riojana: cuatro nuevos soles de la Guía Repsol</t>
  </si>
  <si>
    <t>La Guía Repsol ha reconocido con 2 soles Repsol al restaurante 'Nublo', situado en la localidad riojana de Haro. Además.</t>
  </si>
  <si>
    <t>More 'UVA rays' for Rioja cuisine: four new suns from the Repsol Guide</t>
  </si>
  <si>
    <t>The Repsol Guide has awarded 2 Repsol soles to the restaurant 'Nublo', located in the Riojan town of Haro. Besides.</t>
  </si>
  <si>
    <r>
      <rPr>
        <rFont val="Arial, sans-serif"/>
        <color rgb="FF1155CC"/>
        <sz val="9.0"/>
        <u/>
      </rPr>
      <t>elDiario.es</t>
    </r>
    <r>
      <rPr>
        <rFont val="Arial, sans-serif"/>
        <color rgb="FF1155CC"/>
        <sz val="15.0"/>
        <u/>
      </rPr>
      <t>Castilla-La Mancha se hace con tres nuevos 'Soles Repsol'</t>
    </r>
    <r>
      <rPr>
        <rFont val="Arial, sans-serif"/>
        <color rgb="FF1155CC"/>
        <sz val="11.0"/>
        <u/>
      </rPr>
      <t>Con estas incorporaciones, que se reparten entre Cuenca, Albacete e Illescas, en Toledo, la comunidad autónoma suma un total de 28 restaurantes...</t>
    </r>
    <r>
      <rPr>
        <rFont val="Arial, sans-serif"/>
        <color rgb="FF1155CC"/>
        <sz val="12.0"/>
        <u/>
      </rPr>
      <t>.</t>
    </r>
    <r>
      <rPr>
        <rFont val="Arial, sans-serif"/>
        <color rgb="FF1155CC"/>
        <sz val="11.0"/>
        <u/>
      </rPr>
      <t>4 mar 2024</t>
    </r>
  </si>
  <si>
    <t>Castilla-La Mancha se hace con tres nuevos 'Soles Repsol'</t>
  </si>
  <si>
    <t>Con estas incorporaciones, que se reparten entre Cuenca, Albacete e Illescas, en Toledo, la comunidad autónoma suma un total de 28 restaurantes.</t>
  </si>
  <si>
    <t>Castilla-La Mancha acquires three new 'Repsol Soles'</t>
  </si>
  <si>
    <t>With these additions, which are distributed between Cuenca, Albacete and Illescas, in Toledo, the autonomous community has a total of 28 restaurants.</t>
  </si>
  <si>
    <r>
      <rPr>
        <rFont val="Arial, sans-serif"/>
        <color rgb="FF1155CC"/>
        <sz val="9.0"/>
        <u/>
      </rPr>
      <t>heraldo.es</t>
    </r>
    <r>
      <rPr>
        <rFont val="Arial, sans-serif"/>
        <color rgb="FF1155CC"/>
        <sz val="15.0"/>
        <u/>
      </rPr>
      <t>Ansils: el restaurante familiar del valle de Benasque que logra un nuevo sol Repsol</t>
    </r>
    <r>
      <rPr>
        <rFont val="Arial, sans-serif"/>
        <color rgb="FF1155CC"/>
        <sz val="11.0"/>
        <u/>
      </rPr>
      <t>Los hermanos Iris y Bruno Jordán lideran las cocinas que regentó su abuela durante cuatro décadas.</t>
    </r>
    <r>
      <rPr>
        <rFont val="Arial, sans-serif"/>
        <color rgb="FF1155CC"/>
        <sz val="12.0"/>
        <u/>
      </rPr>
      <t>.</t>
    </r>
    <r>
      <rPr>
        <rFont val="Arial, sans-serif"/>
        <color rgb="FF1155CC"/>
        <sz val="11.0"/>
        <u/>
      </rPr>
      <t>4 mar 2024</t>
    </r>
  </si>
  <si>
    <t>Ansils: el restaurante familiar del valle de Benasque que logra un nuevo sol Repsol</t>
  </si>
  <si>
    <t>Los hermanos Iris y Bruno Jordán lideran las cocinas que regentó su abuela durante cuatro décadas.</t>
  </si>
  <si>
    <t>Ansils: the family restaurant in the Benasque valley that achieves a new sun Repsol</t>
  </si>
  <si>
    <t>Brothers Iris and Bruno Jordán lead the kitchens that their grandmother ran for four decades.</t>
  </si>
  <si>
    <r>
      <rPr>
        <rFont val="Arial, sans-serif"/>
        <color rgb="FF1155CC"/>
        <sz val="9.0"/>
        <u/>
      </rPr>
      <t>Las Provincias</t>
    </r>
    <r>
      <rPr>
        <rFont val="Arial, sans-serif"/>
        <color rgb="FF1155CC"/>
        <sz val="15.0"/>
        <u/>
      </rPr>
      <t>Tres soles Repsol para Begoña Rodrigo y otros ocho nuevos para la Comunitat</t>
    </r>
    <r>
      <rPr>
        <rFont val="Arial, sans-serif"/>
        <color rgb="FF1155CC"/>
        <sz val="11.0"/>
        <u/>
      </rPr>
      <t>Cartagena acoge la gala de Guía para entregar sus distintivos gastronómicos, que condecoran a ocho restaurantes de la Comunitat Valenciana, con seis nuevas...</t>
    </r>
    <r>
      <rPr>
        <rFont val="Arial, sans-serif"/>
        <color rgb="FF1155CC"/>
        <sz val="12.0"/>
        <u/>
      </rPr>
      <t>.</t>
    </r>
    <r>
      <rPr>
        <rFont val="Arial, sans-serif"/>
        <color rgb="FF1155CC"/>
        <sz val="11.0"/>
        <u/>
      </rPr>
      <t>4 mar 2024</t>
    </r>
  </si>
  <si>
    <t>Tres soles Repsol para Begoña Rodrigo y otros ocho nuevos para la Comunitat</t>
  </si>
  <si>
    <t>Tres soles Repsol para Begoña Rodrigo y otros ocho nuevos para la Comunitat.</t>
  </si>
  <si>
    <t>Three Repsol soles for Begoña Rodrigo and another eight new ones for the Community</t>
  </si>
  <si>
    <t>Three Repsol soles for Begoña Rodrigo and another eight new ones for the Community.</t>
  </si>
  <si>
    <r>
      <rPr>
        <rFont val="Arial, sans-serif"/>
        <color rgb="FF1155CC"/>
        <sz val="9.0"/>
        <u/>
      </rPr>
      <t>El Español</t>
    </r>
    <r>
      <rPr>
        <rFont val="Arial, sans-serif"/>
        <color rgb="FF1155CC"/>
        <sz val="15.0"/>
        <u/>
      </rPr>
      <t>A Coruña suma dos Soles Repsol en la nueva edición de la prestigiosa Guía</t>
    </r>
    <r>
      <rPr>
        <rFont val="Arial, sans-serif"/>
        <color rgb="FF1155CC"/>
        <sz val="11.0"/>
        <u/>
      </rPr>
      <t>Terreo Cocina Casual y Eclectic consiguen este preciado galardón. La ciudad herculina ya tiene siete restaurantes que han recibido el premio.</t>
    </r>
    <r>
      <rPr>
        <rFont val="Arial, sans-serif"/>
        <color rgb="FF1155CC"/>
        <sz val="12.0"/>
        <u/>
      </rPr>
      <t>.</t>
    </r>
    <r>
      <rPr>
        <rFont val="Arial, sans-serif"/>
        <color rgb="FF1155CC"/>
        <sz val="11.0"/>
        <u/>
      </rPr>
      <t>4 mar 2024</t>
    </r>
  </si>
  <si>
    <t>A Coruña suma dos Soles Repsol en la nueva edición de la prestigiosa Guía</t>
  </si>
  <si>
    <t>A Coruña suma dos Soles Repsol en la nueva edición de la prestigiosa Guía. Cocina Casual y Eclectic consiguen este preciado galardón. La ciudad herculina ya tiene siete restaurantes que han recibido el premio.</t>
  </si>
  <si>
    <t>A Coruña adds two Repsol Suns in the new edition of the prestigious Guide</t>
  </si>
  <si>
    <t>A Coruña has two Repsol Suns in the new edition of the prestigious Guide. Casual and Eclectic Cuisine achieve this precious award. The Herculean city already has seven restaurants that have received the award.</t>
  </si>
  <si>
    <r>
      <rPr>
        <rFont val="Arial, sans-serif"/>
        <color rgb="FF1155CC"/>
        <sz val="9.0"/>
        <u/>
      </rPr>
      <t>La Verdad</t>
    </r>
    <r>
      <rPr>
        <rFont val="Arial, sans-serif"/>
        <color rgb="FF1155CC"/>
        <sz val="15.0"/>
        <u/>
      </rPr>
      <t>Soles Guía Repsol: de tapas por Murcia con Chicote, Susi Díaz y Lucía Freitas</t>
    </r>
    <r>
      <rPr>
        <rFont val="Arial, sans-serif"/>
        <color rgb="FF1155CC"/>
        <sz val="11.0"/>
        <u/>
      </rPr>
      <t>Los tres cocineros se ponen detrás de la barra en tres de los bares más emblemáticos de la ciudad.</t>
    </r>
    <r>
      <rPr>
        <rFont val="Arial, sans-serif"/>
        <color rgb="FF1155CC"/>
        <sz val="12.0"/>
        <u/>
      </rPr>
      <t>.</t>
    </r>
    <r>
      <rPr>
        <rFont val="Arial, sans-serif"/>
        <color rgb="FF1155CC"/>
        <sz val="11.0"/>
        <u/>
      </rPr>
      <t>4 mar 2024</t>
    </r>
  </si>
  <si>
    <t>Soles Guía Repsol: de tapas por Murcia con Chicote, Susi Díaz y Lucía Freitas</t>
  </si>
  <si>
    <t>Los tres cocineros se ponen detrás de la barra en tres de los bares más emblemáticos de la ciudad.</t>
  </si>
  <si>
    <t>Soles Repsol Guide: tapas in Murcia with Chicote, Susi Díaz and Lucía Freitas</t>
  </si>
  <si>
    <t>The three chefs get behind the bar in three of the most emblematic bars in the city.</t>
  </si>
  <si>
    <r>
      <rPr>
        <rFont val="Arial, sans-serif"/>
        <color rgb="FF1155CC"/>
        <sz val="9.0"/>
        <u/>
      </rPr>
      <t>diariodelaltoaragon.es</t>
    </r>
    <r>
      <rPr>
        <rFont val="Arial, sans-serif"/>
        <color rgb="FF1155CC"/>
        <sz val="15.0"/>
        <u/>
      </rPr>
      <t>Ansils y La Era de los Nogales, nuevos soles Repsol en la provincia de Huesca</t>
    </r>
    <r>
      <rPr>
        <rFont val="Arial, sans-serif"/>
        <color rgb="FF1155CC"/>
        <sz val="11.0"/>
        <u/>
      </rPr>
      <t>Los dos restaurantes ubicados en Benasque y Sabiñánigo se incorporan a la nómina de galardonados con este reconocimiento de la Guía Repsol.</t>
    </r>
    <r>
      <rPr>
        <rFont val="Arial, sans-serif"/>
        <color rgb="FF1155CC"/>
        <sz val="12.0"/>
        <u/>
      </rPr>
      <t>.</t>
    </r>
    <r>
      <rPr>
        <rFont val="Arial, sans-serif"/>
        <color rgb="FF1155CC"/>
        <sz val="11.0"/>
        <u/>
      </rPr>
      <t>4 mar 2024</t>
    </r>
  </si>
  <si>
    <t>diariodelaltoaragon.es</t>
  </si>
  <si>
    <t>Ansils y La Era de los Nogales, nuevos soles Repsol en la provincia de Huesca</t>
  </si>
  <si>
    <t>Los dos restaurantes ubicados en Benasque y Sabiñánigo se incorporan a la nómina de galardonados con este reconocimiento de la Guía Repsol.</t>
  </si>
  <si>
    <t>Ansils and La Era de los Nogales, new Repsol suns in the province of Huesca</t>
  </si>
  <si>
    <t>The two restaurants located in Benasque and Sabiñánigo join the list of winners of this recognition from the Repsol Guide.</t>
  </si>
  <si>
    <r>
      <rPr>
        <rFont val="Arial, sans-serif"/>
        <color rgb="FF1155CC"/>
        <sz val="9.0"/>
        <u/>
      </rPr>
      <t>Diario de Sevilla</t>
    </r>
    <r>
      <rPr>
        <rFont val="Arial, sans-serif"/>
        <color rgb="FF1155CC"/>
        <sz val="15.0"/>
        <u/>
      </rPr>
      <t>Estos son los restaurantes de Andalucía reconocidos con soles de la Guía Repsol</t>
    </r>
    <r>
      <rPr>
        <rFont val="Arial, sans-serif"/>
        <color rgb="FF1155CC"/>
        <sz val="11.0"/>
        <u/>
      </rPr>
      <t>Andalucía cuenta con más de una decena de nuevos restaurantes con su primer Sol, mientras que uno de los restaurantes obtiene su segundo reconocimiento de...</t>
    </r>
    <r>
      <rPr>
        <rFont val="Arial, sans-serif"/>
        <color rgb="FF1155CC"/>
        <sz val="12.0"/>
        <u/>
      </rPr>
      <t>.</t>
    </r>
    <r>
      <rPr>
        <rFont val="Arial, sans-serif"/>
        <color rgb="FF1155CC"/>
        <sz val="11.0"/>
        <u/>
      </rPr>
      <t>4 mar 2024</t>
    </r>
  </si>
  <si>
    <t>Estos son los restaurantes de Andalucía reconocidos con soles de la Guía Repsol</t>
  </si>
  <si>
    <t>Andalucía cuenta con más de una decena de nuevos restaurantes con su primer Sol, mientras que uno de los restaurantes obtiene su segundo reconocimiento de....</t>
  </si>
  <si>
    <t>These are the restaurants in Andalusia recognized with soles from the Repsol Guide</t>
  </si>
  <si>
    <t>Andalusia has more than a dozen new restaurants with its first Sol, while one of the restaurants obtains its second recognition of...</t>
  </si>
  <si>
    <r>
      <rPr>
        <rFont val="Arial, sans-serif"/>
        <color rgb="FF1155CC"/>
        <sz val="9.0"/>
        <u/>
      </rPr>
      <t>El Español</t>
    </r>
    <r>
      <rPr>
        <rFont val="Arial, sans-serif"/>
        <color rgb="FF1155CC"/>
        <sz val="15.0"/>
        <u/>
      </rPr>
      <t>Málaga suma nuevos Soles de la Guía Repsol: Palodú y Areia</t>
    </r>
    <r>
      <rPr>
        <rFont val="Arial, sans-serif"/>
        <color rgb="FF1155CC"/>
        <sz val="11.0"/>
        <u/>
      </rPr>
      <t>Ambos restaurantes malagueños han sido galardonados con Un Sol. La provincia cuenta con 21 locales en la prestigiosa Guía Repsol 2024.</t>
    </r>
    <r>
      <rPr>
        <rFont val="Arial, sans-serif"/>
        <color rgb="FF1155CC"/>
        <sz val="12.0"/>
        <u/>
      </rPr>
      <t>.</t>
    </r>
    <r>
      <rPr>
        <rFont val="Arial, sans-serif"/>
        <color rgb="FF1155CC"/>
        <sz val="11.0"/>
        <u/>
      </rPr>
      <t>4 mar 2024</t>
    </r>
  </si>
  <si>
    <t>Málaga suma nuevos Soles de la Guía Repsol: Palodú y Areia</t>
  </si>
  <si>
    <t>Ambos restaurantes malagueños han sido galardonados con Un Sol. La provincia cuenta con 21 locales en la prestigiosa Guía Repsol 2024.</t>
  </si>
  <si>
    <t>Málaga adds new Repsol Guide Suns: Palodú and Areia</t>
  </si>
  <si>
    <t>Both Malaga restaurants have been awarded Un Sol. The province has 21 establishments in the prestigious Repsol 2024 Guide.</t>
  </si>
  <si>
    <r>
      <rPr>
        <rFont val="Arial, sans-serif"/>
        <color rgb="FF1155CC"/>
        <sz val="9.0"/>
        <u/>
      </rPr>
      <t>Cadena SER</t>
    </r>
    <r>
      <rPr>
        <rFont val="Arial, sans-serif"/>
        <color rgb="FF1155CC"/>
        <sz val="15.0"/>
        <u/>
      </rPr>
      <t>Guía Repsol reconoce con 2 Soles a los restaurantes guipuzcoanos ‘Ama’ y ‘Casa Julián’</t>
    </r>
    <r>
      <rPr>
        <rFont val="Arial, sans-serif"/>
        <color rgb="FF1155CC"/>
        <sz val="11.0"/>
        <u/>
      </rPr>
      <t>Se estrenan con 1 Sol Guía Repsol los restaurantes guipuzcoanos 'Araneta' (Zestoa) y 'Aiten Etxe' (Zarautz) y los vizcaínos 'Islares' (Bilbao),...</t>
    </r>
    <r>
      <rPr>
        <rFont val="Arial, sans-serif"/>
        <color rgb="FF1155CC"/>
        <sz val="12.0"/>
        <u/>
      </rPr>
      <t>.</t>
    </r>
    <r>
      <rPr>
        <rFont val="Arial, sans-serif"/>
        <color rgb="FF1155CC"/>
        <sz val="11.0"/>
        <u/>
      </rPr>
      <t>4 mar 2024</t>
    </r>
  </si>
  <si>
    <t>Guía Repsol reconoce con 2 Soles a los restaurantes guipuzcoanos ‘Ama’ y ‘Casa Julián’</t>
  </si>
  <si>
    <t>Guía Repsol reconoce con 2 Soles a los restaurantes guipuzcoanos ‘Ama’ y ‘Casa Julián’. Se estrenan con 1 Sol Guía Repsol los restaurantes guipuzcoanos 'Araneta' (Zestoa) y 'Aiten Etxe' (Zarautz) y los vizcaínos 'Islares' (Bilbao),....</t>
  </si>
  <si>
    <t>Repsol Guide recognizes the Gipuzkoan restaurants 'Ama' and 'Casa Julián' with 2 Soles</t>
  </si>
  <si>
    <t>Repsol Guide recognizes the Guipuzcoan restaurants 'Ama' and 'Casa Julián' with 2 Soles. The Guipuzcoan restaurants 'Araneta' (Zestoa) and 'Aiten Etxe' (Zarautz) and the Biscayan restaurants 'Islares' (Bilbao) debut with 1 Sun Repsol Guide....</t>
  </si>
  <si>
    <r>
      <rPr>
        <rFont val="Arial, sans-serif"/>
        <color rgb="FF1155CC"/>
        <sz val="9.0"/>
        <u/>
      </rPr>
      <t>Diario de León</t>
    </r>
    <r>
      <rPr>
        <rFont val="Arial, sans-serif"/>
        <color rgb="FF1155CC"/>
        <sz val="15.0"/>
        <u/>
      </rPr>
      <t>El Capricho entra en el Olimpo de los dos soles Repsol</t>
    </r>
    <r>
      <rPr>
        <rFont val="Arial, sans-serif"/>
        <color rgb="FF1155CC"/>
        <sz val="11.0"/>
        <u/>
      </rPr>
      <t>Con el de José Gordón suman 11 los restaurantes leoneses en la Guía Repsol.</t>
    </r>
    <r>
      <rPr>
        <rFont val="Arial, sans-serif"/>
        <color rgb="FF1155CC"/>
        <sz val="12.0"/>
        <u/>
      </rPr>
      <t>.</t>
    </r>
    <r>
      <rPr>
        <rFont val="Arial, sans-serif"/>
        <color rgb="FF1155CC"/>
        <sz val="11.0"/>
        <u/>
      </rPr>
      <t>4 mar 2024</t>
    </r>
  </si>
  <si>
    <t>El Capricho entra en el Olimpo de los dos soles Repsol</t>
  </si>
  <si>
    <t>Con el de José Gordón suman 11 los restaurantes leoneses en la Guía Repsol.</t>
  </si>
  <si>
    <t>El Capricho enters the Olympus of the two suns Repsol</t>
  </si>
  <si>
    <t>With José Gordón's there are 11 Leonese restaurants in the Repsol Guide.</t>
  </si>
  <si>
    <r>
      <rPr>
        <rFont val="Arial, sans-serif"/>
        <color rgb="FF1155CC"/>
        <sz val="9.0"/>
        <u/>
      </rPr>
      <t>Forbes España</t>
    </r>
    <r>
      <rPr>
        <rFont val="Arial, sans-serif"/>
        <color rgb="FF1155CC"/>
        <sz val="15.0"/>
        <u/>
      </rPr>
      <t>Begoña Rodrigo ('La Salita'), nueva 3 Soles Guía Repsol en un año brillante para la gastronomía</t>
    </r>
    <r>
      <rPr>
        <rFont val="Arial, sans-serif"/>
        <color rgb="FF1155CC"/>
        <sz val="11.0"/>
        <u/>
      </rPr>
      <t>El Auditorio y Palacio de Congresos El Batel de Cartagena (Murcia) ha reunido este lunes, en una emotiva y divertida gala presentada por Silvia Abril, a.</t>
    </r>
    <r>
      <rPr>
        <rFont val="Arial, sans-serif"/>
        <color rgb="FF1155CC"/>
        <sz val="12.0"/>
        <u/>
      </rPr>
      <t>.</t>
    </r>
    <r>
      <rPr>
        <rFont val="Arial, sans-serif"/>
        <color rgb="FF1155CC"/>
        <sz val="11.0"/>
        <u/>
      </rPr>
      <t>4 mar 2024</t>
    </r>
  </si>
  <si>
    <t>Begoña Rodrigo ('La Salita'), nueva 3 Soles Guía Repsol en un año brillante para la gastronomía</t>
  </si>
  <si>
    <t>El Auditorio y Palacio de Congresos El Batel de Cartagena (Murcia) ha reunido este lunes, en una emotiva y divertida gala presentada por Silvia Abril, a..</t>
  </si>
  <si>
    <t>Begoña Rodrigo ('La Salita'), new 3 Suns Repsol Guide in a brilliant year for gastronomy</t>
  </si>
  <si>
    <t>The El Batel Auditorium and Conference Center in Cartagena (Murcia) brought together this Monday, in an emotional and fun gala presented by Silvia Abril, a..</t>
  </si>
  <si>
    <r>
      <rPr>
        <rFont val="Arial, sans-serif"/>
        <color rgb="FF1155CC"/>
        <sz val="9.0"/>
        <u/>
      </rPr>
      <t>INFORMACION</t>
    </r>
    <r>
      <rPr>
        <rFont val="Arial, sans-serif"/>
        <color rgb="FF1155CC"/>
        <sz val="15.0"/>
        <u/>
      </rPr>
      <t>Tres restaurantes de la provincia de Alicante logran su primer Sol Repsol</t>
    </r>
    <r>
      <rPr>
        <rFont val="Arial, sans-serif"/>
        <color rgb="FF1155CC"/>
        <sz val="11.0"/>
        <u/>
      </rPr>
      <t>La Masía de Chencho de Elche, Cisoria de Villena y Orobianco de Calp se incorporan a la Guía Repsol 2024 con su primer galardón.</t>
    </r>
    <r>
      <rPr>
        <rFont val="Arial, sans-serif"/>
        <color rgb="FF1155CC"/>
        <sz val="12.0"/>
        <u/>
      </rPr>
      <t>.</t>
    </r>
    <r>
      <rPr>
        <rFont val="Arial, sans-serif"/>
        <color rgb="FF1155CC"/>
        <sz val="11.0"/>
        <u/>
      </rPr>
      <t>4 mar 2024</t>
    </r>
  </si>
  <si>
    <t>INFORMACION</t>
  </si>
  <si>
    <t>Tres restaurantes de la provincia de Alicante logran su primer Sol Repsol</t>
  </si>
  <si>
    <t>La Masía de Chencho de Elche, Cisoria de Villena y Orobianco de Calp se incorporan a la Guía Repsol 2024 con su primer galardón.</t>
  </si>
  <si>
    <t>Three restaurants in the province of Alicante achieve their first Sol Repsol</t>
  </si>
  <si>
    <t>La Masía de Chencho in Elche, Cisoria in Villena and Orobianco in Calp join the Repsol Guide 2024 with their first award.</t>
  </si>
  <si>
    <r>
      <rPr>
        <rFont val="Arial, sans-serif"/>
        <color rgb="FF1155CC"/>
        <sz val="9.0"/>
        <u/>
      </rPr>
      <t>La Rioja</t>
    </r>
    <r>
      <rPr>
        <rFont val="Arial, sans-serif"/>
        <color rgb="FF1155CC"/>
        <sz val="15.0"/>
        <u/>
      </rPr>
      <t>Los Soles riojanos 2024: el segundo para Nublo y el primero para La Vieja Bodega, Lumbre y Aitor Esnal</t>
    </r>
    <r>
      <rPr>
        <rFont val="Arial, sans-serif"/>
        <color rgb="FF1155CC"/>
        <sz val="11.0"/>
        <u/>
      </rPr>
      <t>El restaurante jarrero se convierte en el quinto local riojano que asciende al segundo nivel de la Guía Repsol.</t>
    </r>
    <r>
      <rPr>
        <rFont val="Arial, sans-serif"/>
        <color rgb="FF1155CC"/>
        <sz val="12.0"/>
        <u/>
      </rPr>
      <t>.</t>
    </r>
    <r>
      <rPr>
        <rFont val="Arial, sans-serif"/>
        <color rgb="FF1155CC"/>
        <sz val="11.0"/>
        <u/>
      </rPr>
      <t>4 mar 2024</t>
    </r>
  </si>
  <si>
    <t>La Rioja</t>
  </si>
  <si>
    <t>Los Soles riojanos 2024: el segundo para Nublo y el primero para La Vieja Bodega, Lumbre y Aitor Esnal</t>
  </si>
  <si>
    <t>El restaurante jarrero se convierte en el quinto local riojano que asciende al segundo nivel de la Guía Repsol.</t>
  </si>
  <si>
    <t>The Rioja Soles 2024: the second for Nublo and the first for La Vieja Bodega, Lumbre and Aitor Esnal</t>
  </si>
  <si>
    <t>The jarrero restaurant becomes the fifth Rioja establishment to be promoted to the second level of the Repsol Guide.</t>
  </si>
  <si>
    <r>
      <rPr>
        <rFont val="Arial, sans-serif"/>
        <color rgb="FF1155CC"/>
        <sz val="9.0"/>
        <u/>
      </rPr>
      <t>Murcia Plaza</t>
    </r>
    <r>
      <rPr>
        <rFont val="Arial, sans-serif"/>
        <color rgb="FF1155CC"/>
        <sz val="15.0"/>
        <u/>
      </rPr>
      <t>Estos son los nuevos 98 'Soles' de la Guía Repsol</t>
    </r>
    <r>
      <rPr>
        <rFont val="Arial, sans-serif"/>
        <color rgb="FF1155CC"/>
        <sz val="11.0"/>
        <u/>
      </rPr>
      <t>CARTAGENA (EFE). Con Begoña Rodrigo del restaurante La Salita como única ganadora de los 3 soles de la Guía Repsol 2024, 98 restaurantes consiguen aumentar...</t>
    </r>
    <r>
      <rPr>
        <rFont val="Arial, sans-serif"/>
        <color rgb="FF1155CC"/>
        <sz val="12.0"/>
        <u/>
      </rPr>
      <t>.</t>
    </r>
    <r>
      <rPr>
        <rFont val="Arial, sans-serif"/>
        <color rgb="FF1155CC"/>
        <sz val="11.0"/>
        <u/>
      </rPr>
      <t>4 mar 2024</t>
    </r>
  </si>
  <si>
    <t>Murcia Plaza</t>
  </si>
  <si>
    <t>Estos son los nuevos 98 'Soles' de la Guía Repsol</t>
  </si>
  <si>
    <t>Con Begoña Rodrigo del restaurante La Salita como única ganadora de los 3 soles de la Guía Repsol 2024, 98 restaurantes consiguen aumentar....</t>
  </si>
  <si>
    <t>These are the new 98 'Suns' from the Repsol Guide</t>
  </si>
  <si>
    <t>With Begoña Rodrigo from the La Salita restaurant as the only winner of the 3 suns of the Repsol Guide 2024, 98 restaurants manage to increase....</t>
  </si>
  <si>
    <r>
      <rPr>
        <rFont val="Arial, sans-serif"/>
        <color rgb="FF1155CC"/>
        <sz val="9.0"/>
        <u/>
      </rPr>
      <t>Cadena SER</t>
    </r>
    <r>
      <rPr>
        <rFont val="Arial, sans-serif"/>
        <color rgb="FF1155CC"/>
        <sz val="15.0"/>
        <u/>
      </rPr>
      <t>Begoña Rodrigo, más 'top chef' que nunca: el restaurante La Salita consigue su tercer sol Repsol</t>
    </r>
    <r>
      <rPr>
        <rFont val="Arial, sans-serif"/>
        <color rgb="FF1155CC"/>
        <sz val="11.0"/>
        <u/>
      </rPr>
      <t>Cartagena (Murcia). La cocinera Begoña Rodrigo, chef de La Salita (València), se ha convertido en la gran protagonista de la gala de la Guía Repsol 2024,...</t>
    </r>
    <r>
      <rPr>
        <rFont val="Arial, sans-serif"/>
        <color rgb="FF1155CC"/>
        <sz val="12.0"/>
        <u/>
      </rPr>
      <t>.</t>
    </r>
    <r>
      <rPr>
        <rFont val="Arial, sans-serif"/>
        <color rgb="FF1155CC"/>
        <sz val="11.0"/>
        <u/>
      </rPr>
      <t>4 mar 2024</t>
    </r>
  </si>
  <si>
    <t>Begoña Rodrigo, más 'top chef' que nunca: el restaurante La Salita consigue su tercer sol Repsol</t>
  </si>
  <si>
    <t>La cocinera Begoña Rodrigo, chef de La Salita (València), se ha convertido en la gran protagonista de la gala de la Guía Repsol 2024,....</t>
  </si>
  <si>
    <t>Begoña Rodrigo, more 'top chef' than ever: La Salita restaurant gets its third Repsol sun</t>
  </si>
  <si>
    <t>The cook Begoña Rodrigo, chef at La Salita (València), has become the main protagonist of the Repsol Guide 2024 gala,....</t>
  </si>
  <si>
    <r>
      <rPr>
        <rFont val="Arial, sans-serif"/>
        <color rgb="FF1155CC"/>
        <sz val="9.0"/>
        <u/>
      </rPr>
      <t>cantabria directa</t>
    </r>
    <r>
      <rPr>
        <rFont val="Arial, sans-serif"/>
        <color rgb="FF1155CC"/>
        <sz val="15.0"/>
        <u/>
      </rPr>
      <t>Sol de la Guía Repsol para el chef cántabro Miguel Cobo, con su restaurante 'Cobo Evolución'</t>
    </r>
    <r>
      <rPr>
        <rFont val="Arial, sans-serif"/>
        <color rgb="FF1155CC"/>
        <sz val="11.0"/>
        <u/>
      </rPr>
      <t>El chef cántabro Miguel Cobo, con el restaurante 'Cobo Evolución' situado en el centro de Burgos, ha sido uno de los establecimientos castellanoyleoneses...</t>
    </r>
    <r>
      <rPr>
        <rFont val="Arial, sans-serif"/>
        <color rgb="FF1155CC"/>
        <sz val="12.0"/>
        <u/>
      </rPr>
      <t>.</t>
    </r>
    <r>
      <rPr>
        <rFont val="Arial, sans-serif"/>
        <color rgb="FF1155CC"/>
        <sz val="11.0"/>
        <u/>
      </rPr>
      <t>4 mar 2024</t>
    </r>
  </si>
  <si>
    <t>cantabria directa</t>
  </si>
  <si>
    <t>Sol de la Guía Repsol para el chef cántabro Miguel Cobo, con su restaurante 'Cobo Evolución'</t>
  </si>
  <si>
    <t>El chef cántabro Miguel Cobo, con el restaurante 'Cobo Evolución' situado en el centro de Burgos, ha sido uno de los establecimientos castellanoyleoneses....</t>
  </si>
  <si>
    <t>Sol from the Repsol Guide for the Cantabrian chef Miguel Cobo, with his restaurant 'Cobo Evolución'</t>
  </si>
  <si>
    <t>The Cantabrian chef Miguel Cobo, with the restaurant 'Cobo Evolución' located in the center of Burgos, has been one of the Castilian-Leonese establishments....</t>
  </si>
  <si>
    <r>
      <rPr>
        <rFont val="Arial, sans-serif"/>
        <color rgb="FF1155CC"/>
        <sz val="9.0"/>
        <u/>
      </rPr>
      <t>Metropolitano.gal</t>
    </r>
    <r>
      <rPr>
        <rFont val="Arial, sans-serif"/>
        <color rgb="FF1155CC"/>
        <sz val="15.0"/>
        <u/>
      </rPr>
      <t>Descubre los 40 mejores restaurantes de Galicia según la Guía Repsol: Así son los nuevos "Soles"</t>
    </r>
    <r>
      <rPr>
        <rFont val="Arial, sans-serif"/>
        <color rgb="FF1155CC"/>
        <sz val="11.0"/>
        <u/>
      </rPr>
      <t>Seis restaurantes de Galicia que se unen a la Guía Repsol por su "servicio atento y profesional, así como por su bodega llena de inquietudes"</t>
    </r>
    <r>
      <rPr>
        <rFont val="Arial, sans-serif"/>
        <color rgb="FF1155CC"/>
        <sz val="12.0"/>
        <u/>
      </rPr>
      <t>.</t>
    </r>
    <r>
      <rPr>
        <rFont val="Arial, sans-serif"/>
        <color rgb="FF1155CC"/>
        <sz val="11.0"/>
        <u/>
      </rPr>
      <t>4 mar 2024</t>
    </r>
  </si>
  <si>
    <t>Metropolitano.gal</t>
  </si>
  <si>
    <t>Descubre los 40 mejores restaurantes de Galicia según la Guía Repsol: Así son los nuevos "Soles"</t>
  </si>
  <si>
    <t>Seis restaurantes de Galicia que se unen a la Guía Repsol por su "servicio atento y profesional, así como por su bodega llena de inquietudes".</t>
  </si>
  <si>
    <t>Discover the 40 best restaurants in Galicia according to the Repsol Guide: This is what the new "Soles" are like</t>
  </si>
  <si>
    <t>Six restaurants in Galicia that join the Repsol Guide for their "attentive and professional service, as well as for their winery full of concerns."</t>
  </si>
  <si>
    <r>
      <rPr>
        <rFont val="Arial, sans-serif"/>
        <color rgb="FF1155CC"/>
        <sz val="9.0"/>
        <u/>
      </rPr>
      <t>La Tribuna de Ciudad Real</t>
    </r>
    <r>
      <rPr>
        <rFont val="Arial, sans-serif"/>
        <color rgb="FF1155CC"/>
        <sz val="15.0"/>
        <u/>
      </rPr>
      <t>Los soles de Repsol iluminan Ciudad Real</t>
    </r>
    <r>
      <rPr>
        <rFont val="Arial, sans-serif"/>
        <color rgb="FF1155CC"/>
        <sz val="11.0"/>
        <u/>
      </rPr>
      <t>La guía 2024 reconoce el buen hacer de los restaurantes Coto de Quevedo (Torre de Juan Abad), Retama (Torrenueva), Epílogo (Tomelloso)y Mesón Octavio...</t>
    </r>
    <r>
      <rPr>
        <rFont val="Arial, sans-serif"/>
        <color rgb="FF1155CC"/>
        <sz val="12.0"/>
        <u/>
      </rPr>
      <t>.</t>
    </r>
    <r>
      <rPr>
        <rFont val="Arial, sans-serif"/>
        <color rgb="FF1155CC"/>
        <sz val="11.0"/>
        <u/>
      </rPr>
      <t>4 mar 2024</t>
    </r>
  </si>
  <si>
    <t>Los soles de Repsol iluminan Ciudad Real</t>
  </si>
  <si>
    <t>La guía 2024 reconoce el buen hacer de los restaurantes Coto de Quevedo (Torre de Juan Abad), Retama (Torrenueva), Epílogo (Tomelloso) y Mesón Octavio.</t>
  </si>
  <si>
    <t>Repsol's suns illuminate Ciudad Real</t>
  </si>
  <si>
    <t>The 2024 guide recognizes the good work of the restaurants Coto de Quevedo (Torre de Juan Abad), Retama (Torrenueva), Epílogo (Tomelloso) and Mesón Octavio.</t>
  </si>
  <si>
    <r>
      <rPr>
        <rFont val="Arial, sans-serif"/>
        <color rgb="FF1155CC"/>
        <sz val="9.0"/>
        <u/>
      </rPr>
      <t>enTomelloso.com</t>
    </r>
    <r>
      <rPr>
        <rFont val="Arial, sans-serif"/>
        <color rgb="FF1155CC"/>
        <sz val="15.0"/>
        <u/>
      </rPr>
      <t>La Guía Repsol sigue reconociendo al Restaurante Epílogo de Tomelloso con un Sol</t>
    </r>
    <r>
      <rPr>
        <rFont val="Arial, sans-serif"/>
        <color rgb="FF1155CC"/>
        <sz val="11.0"/>
        <u/>
      </rPr>
      <t>En la recién presentada edición de la Guía Repsol 2024, el Restaurante Epílogo de Tomelloso ha vuelto a ser distinguido con un Sol, consolidándose así como...</t>
    </r>
    <r>
      <rPr>
        <rFont val="Arial, sans-serif"/>
        <color rgb="FF1155CC"/>
        <sz val="12.0"/>
        <u/>
      </rPr>
      <t>.</t>
    </r>
    <r>
      <rPr>
        <rFont val="Arial, sans-serif"/>
        <color rgb="FF1155CC"/>
        <sz val="11.0"/>
        <u/>
      </rPr>
      <t>4 mar 2024</t>
    </r>
  </si>
  <si>
    <t>Tomelloso.com</t>
  </si>
  <si>
    <t>La Guía Repsol sigue reconociendo al Restaurante Epílogo de Tomelloso con un Sol</t>
  </si>
  <si>
    <t>El Restaurante Epílogo de Tomelloso ha vuelto a ser distinguido con un Sol, consolidándose así como....</t>
  </si>
  <si>
    <t>The Repsol Guide continues to recognize the Epílogo de Tomelloso Restaurant with a Sun</t>
  </si>
  <si>
    <t>The Epílogo Restaurant in Tomelloso has once again been awarded a Sun, thus consolidating itself as...</t>
  </si>
  <si>
    <r>
      <rPr>
        <rFont val="Arial, sans-serif"/>
        <color rgb="FF1155CC"/>
        <sz val="9.0"/>
        <u/>
      </rPr>
      <t>Eldía</t>
    </r>
    <r>
      <rPr>
        <rFont val="Arial, sans-serif"/>
        <color rgb="FF1155CC"/>
        <sz val="15.0"/>
        <u/>
      </rPr>
      <t>Estos son los siete nuevos Soles Repsol de Tenerife</t>
    </r>
    <r>
      <rPr>
        <rFont val="Arial, sans-serif"/>
        <color rgb="FF1155CC"/>
        <sz val="11.0"/>
        <u/>
      </rPr>
      <t>La gastronomía canaria está de enhorabuena. La gala de los Soles Repsol de 2024, que se ha celebrado este lunes, 4 de marzo, en Murcia, ha llevado hasta...</t>
    </r>
    <r>
      <rPr>
        <rFont val="Arial, sans-serif"/>
        <color rgb="FF1155CC"/>
        <sz val="12.0"/>
        <u/>
      </rPr>
      <t>.</t>
    </r>
    <r>
      <rPr>
        <rFont val="Arial, sans-serif"/>
        <color rgb="FF1155CC"/>
        <sz val="11.0"/>
        <u/>
      </rPr>
      <t>4 mar 2024</t>
    </r>
  </si>
  <si>
    <t>Eldía</t>
  </si>
  <si>
    <t>Estos son los siete nuevos Soles Repsol de Tenerife</t>
  </si>
  <si>
    <t>La gastronomía canaria está de enhorabuena. La gala de los Soles Repsol de 2024, que se ha celebrado este lunes, 4 de marzo, en Murcia, ha llevado hasta....</t>
  </si>
  <si>
    <t>These are the seven new Repsol Suns of Tenerife</t>
  </si>
  <si>
    <t>Canarian gastronomy is in luck. The 2024 Repsol Soles gala, which was held this Monday, March 4, in Murcia, has taken until...</t>
  </si>
  <si>
    <r>
      <rPr>
        <rFont val="Arial, sans-serif"/>
        <color rgb="FF1155CC"/>
        <sz val="9.0"/>
        <u/>
      </rPr>
      <t>La Voz de Galicia</t>
    </r>
    <r>
      <rPr>
        <rFont val="Arial, sans-serif"/>
        <color rgb="FF1155CC"/>
        <sz val="15.0"/>
        <u/>
      </rPr>
      <t>El restaurante Javier Montero de Ribadeo se suma a la élite gastronómica con un Sol de la Guía Repsol</t>
    </r>
    <r>
      <rPr>
        <rFont val="Arial, sans-serif"/>
        <color rgb="FF1155CC"/>
        <sz val="11.0"/>
        <u/>
      </rPr>
      <t>El chef y Tita Iglesias recibieron este lunes la distinción para su restaurante ribadense en una gala celebrada en Cartagena.</t>
    </r>
    <r>
      <rPr>
        <rFont val="Arial, sans-serif"/>
        <color rgb="FF1155CC"/>
        <sz val="12.0"/>
        <u/>
      </rPr>
      <t>.</t>
    </r>
    <r>
      <rPr>
        <rFont val="Arial, sans-serif"/>
        <color rgb="FF1155CC"/>
        <sz val="11.0"/>
        <u/>
      </rPr>
      <t>4 mar 2024</t>
    </r>
  </si>
  <si>
    <t>El restaurante Javier Montero de Ribadeo se suma a la élite gastronómica con un Sol de la Guía Repsol</t>
  </si>
  <si>
    <t>El chef y Tita Iglesias recibieron este lunes la distinción para su restaurante ribadense en una gala celebrada en Cartagena.</t>
  </si>
  <si>
    <t>The Javier Montero restaurant in Ribadeo joins the gastronomic elite with a Sol from the Repsol Guide</t>
  </si>
  <si>
    <t>This Monday, the chef and Tita Iglesias received the distinction for their Ribadian restaurant at a gala held in Cartagena.</t>
  </si>
  <si>
    <r>
      <rPr>
        <rFont val="Arial, sans-serif"/>
        <color rgb="FF1155CC"/>
        <sz val="9.0"/>
        <u/>
      </rPr>
      <t>7 Caníbales</t>
    </r>
    <r>
      <rPr>
        <rFont val="Arial, sans-serif"/>
        <color rgb="FF1155CC"/>
        <sz val="15.0"/>
        <u/>
      </rPr>
      <t>Tercer sol Repsol para La Salita (Valencia)</t>
    </r>
    <r>
      <rPr>
        <rFont val="Arial, sans-serif"/>
        <color rgb="FF1155CC"/>
        <sz val="11.0"/>
        <u/>
      </rPr>
      <t>La Guía Repsol 2024 estrena un tres soles, 16 restaurantes con dos y 81 con uno, además de 271 recomendados.</t>
    </r>
    <r>
      <rPr>
        <rFont val="Arial, sans-serif"/>
        <color rgb="FF1155CC"/>
        <sz val="12.0"/>
        <u/>
      </rPr>
      <t>.</t>
    </r>
    <r>
      <rPr>
        <rFont val="Arial, sans-serif"/>
        <color rgb="FF1155CC"/>
        <sz val="11.0"/>
        <u/>
      </rPr>
      <t>4 mar 2024</t>
    </r>
  </si>
  <si>
    <t>La Guía Repsol</t>
  </si>
  <si>
    <t>La Guía Repsol 2024 estrena un tres soles, 16 restaurantes con dos y 81 con uno, además de 271 recomendados.</t>
  </si>
  <si>
    <t>The Repsol Guide 2024 debuts a three soles, 16 restaurants with two and 81 with one, in addition to 271 recommended.</t>
  </si>
  <si>
    <r>
      <rPr>
        <rFont val="Arial, sans-serif"/>
        <color rgb="FF1155CC"/>
        <sz val="9.0"/>
        <u/>
      </rPr>
      <t>El Apurón</t>
    </r>
    <r>
      <rPr>
        <rFont val="Arial, sans-serif"/>
        <color rgb="FF1155CC"/>
        <sz val="15.0"/>
        <u/>
      </rPr>
      <t>Formulario de comentarios - Sin sesion</t>
    </r>
    <r>
      <rPr>
        <rFont val="Arial, sans-serif"/>
        <color rgb="FF1155CC"/>
        <sz val="11.0"/>
        <u/>
      </rPr>
      <t>La gastronomía de La Palma está de enhorabuena porque la prestigiosa Guía Repsol en su edición de 2024 ha premiado con dos Soles a dos establecimientos...</t>
    </r>
    <r>
      <rPr>
        <rFont val="Arial, sans-serif"/>
        <color rgb="FF1155CC"/>
        <sz val="12.0"/>
        <u/>
      </rPr>
      <t>.</t>
    </r>
    <r>
      <rPr>
        <rFont val="Arial, sans-serif"/>
        <color rgb="FF1155CC"/>
        <sz val="11.0"/>
        <u/>
      </rPr>
      <t>4 mar 2024</t>
    </r>
  </si>
  <si>
    <t>El Apurón</t>
  </si>
  <si>
    <t>La gastronomía de La Palma está de enhorabuena porque la prestigiosa Guía Repsol en su edición de 2024 ha premiado con dos Soles a dos establecimientos.</t>
  </si>
  <si>
    <t>La gastronomía de La Palma está de enhorabuena porque la prestigiosa Guía Repsol en su edición de 2024 ha premiado con dos Soles a dos establecimientos....</t>
  </si>
  <si>
    <t>The gastronomy of La Palma is in luck because the prestigious Repsol Guide in its 2024 edition has awarded two Soles to two establishments.</t>
  </si>
  <si>
    <t>The gastronomy of La Palma is in luck because the prestigious Repsol Guide in its 2024 edition has awarded two Soles to two establishments....</t>
  </si>
  <si>
    <r>
      <rPr>
        <rFont val="Arial, sans-serif"/>
        <color rgb="FF1155CC"/>
        <sz val="9.0"/>
        <u/>
      </rPr>
      <t>Infobae</t>
    </r>
    <r>
      <rPr>
        <rFont val="Arial, sans-serif"/>
        <color rgb="FF1155CC"/>
        <sz val="15.0"/>
        <u/>
      </rPr>
      <t>La Salita, el nuevo restaurante con Tres Soles Repsol que triunfa con una cocina vegetal con raíces en lo más profundo de Valencia</t>
    </r>
    <r>
      <rPr>
        <rFont val="Arial, sans-serif"/>
        <color rgb="FF1155CC"/>
        <sz val="11.0"/>
        <u/>
      </rPr>
      <t>La gala de los Soles Guía Repsol, celebrada esta tarde en el Auditorio y Palacio de Congresos El Batel de Cartagena, ha premiado también a 16 nuevos...</t>
    </r>
    <r>
      <rPr>
        <rFont val="Arial, sans-serif"/>
        <color rgb="FF1155CC"/>
        <sz val="12.0"/>
        <u/>
      </rPr>
      <t>.</t>
    </r>
    <r>
      <rPr>
        <rFont val="Arial, sans-serif"/>
        <color rgb="FF1155CC"/>
        <sz val="11.0"/>
        <u/>
      </rPr>
      <t>4 mar 2024</t>
    </r>
  </si>
  <si>
    <t>La Salita, el nuevo restaurante con Tres Soles Repsol que triunfa con una cocina vegetal con raíces en lo más profundo de Valencia</t>
  </si>
  <si>
    <t>La gala de los Soles Guía Repsol, celebrada esta tarde en el Auditorio y Palacio de Congresos El Batel de Cartagena, ha premiado también a 16 nuevos....</t>
  </si>
  <si>
    <t>La Salita, the new restaurant with Tres Soles Repsol that triumphs with a vegetable cuisine with roots in the depths of Valencia</t>
  </si>
  <si>
    <t>The Repsol Guide Suns gala, held this afternoon at the El Batel Auditorium and Conference Center in Cartagena, has also awarded 16 new...</t>
  </si>
  <si>
    <r>
      <rPr>
        <rFont val="Arial, sans-serif"/>
        <color rgb="FF1155CC"/>
        <sz val="9.0"/>
        <u/>
      </rPr>
      <t>El Español</t>
    </r>
    <r>
      <rPr>
        <rFont val="Arial, sans-serif"/>
        <color rgb="FF1155CC"/>
        <sz val="15.0"/>
        <u/>
      </rPr>
      <t>La Salita, de Begoña Rodrigo, el único nuevo restaurante Tres Soles Repsol</t>
    </r>
    <r>
      <rPr>
        <rFont val="Arial, sans-serif"/>
        <color rgb="FF1155CC"/>
        <sz val="11.0"/>
        <u/>
      </rPr>
      <t>La chef valenciana dirige su restaurante en la Ciudad del Turia donde realiza un ejercicio ejemplar con su cocina donde brillan los vinagres, fermentados y...</t>
    </r>
    <r>
      <rPr>
        <rFont val="Arial, sans-serif"/>
        <color rgb="FF1155CC"/>
        <sz val="12.0"/>
        <u/>
      </rPr>
      <t>.</t>
    </r>
    <r>
      <rPr>
        <rFont val="Arial, sans-serif"/>
        <color rgb="FF1155CC"/>
        <sz val="11.0"/>
        <u/>
      </rPr>
      <t>4 mar 2024</t>
    </r>
  </si>
  <si>
    <t>La Salita, de Begoña Rodrigo, el único nuevo restaurante Tres Soles Repsol</t>
  </si>
  <si>
    <t>La chef valenciana dirige su restaurante en la Ciudad del Turia donde realiza un ejercicio ejemplar con su cocina donde brillan los vinagres, fermentados y....</t>
  </si>
  <si>
    <t>La Salita, by Begoña Rodrigo, the only new Tres Soles Repsol restaurant</t>
  </si>
  <si>
    <t>The Valencian chef runs her restaurant in the City of Turia where she performs an exemplary exercise with her cuisine where the vinegars, fermented and... shine.</t>
  </si>
  <si>
    <r>
      <rPr>
        <rFont val="Arial, sans-serif"/>
        <color rgb="FF1155CC"/>
        <sz val="9.0"/>
        <u/>
      </rPr>
      <t>Haro Digital</t>
    </r>
    <r>
      <rPr>
        <rFont val="Arial, sans-serif"/>
        <color rgb="FF1155CC"/>
        <sz val="15.0"/>
        <u/>
      </rPr>
      <t>La Rioja suma un nuevo restaurante con dos soles Repsol: Nublo en Haro</t>
    </r>
    <r>
      <rPr>
        <rFont val="Arial, sans-serif"/>
        <color rgb="FF1155CC"/>
        <sz val="11.0"/>
        <u/>
      </rPr>
      <t>Lumbre y La Vieja Bodega, en Casalarreina, se suman a la lista de Soles Repsol.</t>
    </r>
    <r>
      <rPr>
        <rFont val="Arial, sans-serif"/>
        <color rgb="FF1155CC"/>
        <sz val="12.0"/>
        <u/>
      </rPr>
      <t>.</t>
    </r>
    <r>
      <rPr>
        <rFont val="Arial, sans-serif"/>
        <color rgb="FF1155CC"/>
        <sz val="11.0"/>
        <u/>
      </rPr>
      <t>4 mar 2024</t>
    </r>
  </si>
  <si>
    <t>Haro Digital</t>
  </si>
  <si>
    <t>La Rioja suma un nuevo restaurante con dos soles Repsol: Nublo en Haro</t>
  </si>
  <si>
    <t>La Rioja suma un nuevo restaurante con dos soles Repsol: Nublo en Haro. Lumbre y La Vieja Bodega, en Casalarreina, se suman a la lista de Soles Repsol.</t>
  </si>
  <si>
    <t>La Rioja adds a new restaurant with two Repsol soles: Nublo in Haro</t>
  </si>
  <si>
    <t>La Rioja adds a new restaurant with two Repsol soles: Nublo in Haro. Lumbre and La Vieja Bodega, in Casalarreina, join the list of Soles Repsol.</t>
  </si>
  <si>
    <r>
      <rPr>
        <rFont val="Arial, sans-serif"/>
        <color rgb="FF1155CC"/>
        <sz val="9.0"/>
        <u/>
      </rPr>
      <t>heraldo.es</t>
    </r>
    <r>
      <rPr>
        <rFont val="Arial, sans-serif"/>
        <color rgb="FF1155CC"/>
        <sz val="15.0"/>
        <u/>
      </rPr>
      <t>Qué se come en La Era de los Nogales, el restaurante de Aragón con un nuevo sol Repsol</t>
    </r>
    <r>
      <rPr>
        <rFont val="Arial, sans-serif"/>
        <color rgb="FF1155CC"/>
        <sz val="11.0"/>
        <u/>
      </rPr>
      <t>Toño Rodríguez está al frente de este establecimiento, donde se apuesta por la innovación sin renunciar a los sabores de siempre.</t>
    </r>
    <r>
      <rPr>
        <rFont val="Arial, sans-serif"/>
        <color rgb="FF1155CC"/>
        <sz val="12.0"/>
        <u/>
      </rPr>
      <t>.</t>
    </r>
    <r>
      <rPr>
        <rFont val="Arial, sans-serif"/>
        <color rgb="FF1155CC"/>
        <sz val="11.0"/>
        <u/>
      </rPr>
      <t>4 mar 2024</t>
    </r>
  </si>
  <si>
    <t>¿Qué se come en La Era de los Nogales, el restaurante de Aragón con un nuevo sol Repsol?</t>
  </si>
  <si>
    <t>Toño Rodríguez está al frente de este establecimiento, donde se apuesta por la innovación sin renunciar a los sabores de siempre.</t>
  </si>
  <si>
    <t>What do you eat at La Era de los Nogales, the Aragón restaurant with a new Repsol sun?</t>
  </si>
  <si>
    <t>Toño Rodríguez is in charge of this establishment, where they are committed to innovation without giving up the usual flavors.</t>
  </si>
  <si>
    <r>
      <rPr>
        <rFont val="Arial, sans-serif"/>
        <color rgb="FF1155CC"/>
        <sz val="9.0"/>
        <u/>
      </rPr>
      <t>ELLE</t>
    </r>
    <r>
      <rPr>
        <rFont val="Arial, sans-serif"/>
        <color rgb="FF1155CC"/>
        <sz val="15.0"/>
        <u/>
      </rPr>
      <t>Este es el único nuevo restaurante 3 Soles Guía Repsol y así se come en él</t>
    </r>
    <r>
      <rPr>
        <rFont val="Arial, sans-serif"/>
        <color rgb="FF1155CC"/>
        <sz val="11.0"/>
        <u/>
      </rPr>
      <t>La Salita, el restaurante de Begoña Rodrigo en Valencia, es el nuevo 3 Soles Guía Repsol.Así es y así se come en él. Y los nuevos soles en la Gala Guía...</t>
    </r>
    <r>
      <rPr>
        <rFont val="Arial, sans-serif"/>
        <color rgb="FF1155CC"/>
        <sz val="12.0"/>
        <u/>
      </rPr>
      <t>.</t>
    </r>
    <r>
      <rPr>
        <rFont val="Arial, sans-serif"/>
        <color rgb="FF1155CC"/>
        <sz val="11.0"/>
        <u/>
      </rPr>
      <t>4 mar 2024</t>
    </r>
  </si>
  <si>
    <t>ELLE</t>
  </si>
  <si>
    <t>Este es el único nuevo restaurante 3 Soles Guía Repsol y así se come en él.</t>
  </si>
  <si>
    <t>La Salita, el restaurante de Begoña Rodrigo en Valencia, es el nuevo 3 Soles Guía Repsol. Así es y así se come en él.</t>
  </si>
  <si>
    <t>This is the only new 3 Soles Guía Repsol restaurant and this is how you eat there.</t>
  </si>
  <si>
    <t>La Salita, Begoña Rodrigo's restaurant in Valencia, is the new 3 Suns Repsol Guide. That's how it is and that's how you eat in it.</t>
  </si>
  <si>
    <r>
      <rPr>
        <rFont val="Arial, sans-serif"/>
        <color rgb="FF1155CC"/>
        <sz val="9.0"/>
        <u/>
      </rPr>
      <t>ABC</t>
    </r>
    <r>
      <rPr>
        <rFont val="Arial, sans-serif"/>
        <color rgb="FF1155CC"/>
        <sz val="15.0"/>
        <u/>
      </rPr>
      <t>Begoña Rodrigo (La Salita, Valencia), única nueva tres soles Repsol de 2024</t>
    </r>
    <r>
      <rPr>
        <rFont val="Arial, sans-serif"/>
        <color rgb="FF1155CC"/>
        <sz val="11.0"/>
        <u/>
      </rPr>
      <t>La chef valenciana atraviesa uno de los mejores momentos de su carrera profesional, con reconocimientos internacionales que la sitúan como la mejor cocinera...</t>
    </r>
    <r>
      <rPr>
        <rFont val="Arial, sans-serif"/>
        <color rgb="FF1155CC"/>
        <sz val="12.0"/>
        <u/>
      </rPr>
      <t>.</t>
    </r>
    <r>
      <rPr>
        <rFont val="Arial, sans-serif"/>
        <color rgb="FF1155CC"/>
        <sz val="11.0"/>
        <u/>
      </rPr>
      <t>4 mar 2024</t>
    </r>
  </si>
  <si>
    <t>Begoña Rodrigo (La Salita, Valencia), única nueva tres soles Repsol de 2024</t>
  </si>
  <si>
    <t>La chef valenciana atraviesa uno de los mejores momentos de su carrera profesional, con reconocimientos internacionales que la sitúan como la mejor cocinera....</t>
  </si>
  <si>
    <t>Begoña Rodrigo (La Salita, Valencia), the only new three Repsol soles of 2024</t>
  </si>
  <si>
    <t>The Valencian chef is going through one of the best moments of her professional career, with international recognition that places her as the best chef...</t>
  </si>
  <si>
    <r>
      <rPr>
        <rFont val="Arial, sans-serif"/>
        <color rgb="FF1155CC"/>
        <sz val="9.0"/>
        <u/>
      </rPr>
      <t>Cadena SER</t>
    </r>
    <r>
      <rPr>
        <rFont val="Arial, sans-serif"/>
        <color rgb="FF1155CC"/>
        <sz val="15.0"/>
        <u/>
      </rPr>
      <t>Ni estrellas Michelín ni nuevos soles Repsol en 2024: Vitoria pasa sin gloria por las principales distinciones gastronómicas</t>
    </r>
    <r>
      <rPr>
        <rFont val="Arial, sans-serif"/>
        <color rgb="FF1155CC"/>
        <sz val="11.0"/>
        <u/>
      </rPr>
      <t>Vitoria mantiene los soles Repsol que ya tenía pero no ha conseguido sumar más en la gala de este lunes de Cartagena.</t>
    </r>
    <r>
      <rPr>
        <rFont val="Arial, sans-serif"/>
        <color rgb="FF1155CC"/>
        <sz val="12.0"/>
        <u/>
      </rPr>
      <t>.</t>
    </r>
    <r>
      <rPr>
        <rFont val="Arial, sans-serif"/>
        <color rgb="FF1155CC"/>
        <sz val="11.0"/>
        <u/>
      </rPr>
      <t>4 mar 2024</t>
    </r>
  </si>
  <si>
    <t>Vitoria pasa sin gloria por las principales distinciones gastronómicas</t>
  </si>
  <si>
    <t>Vitoria mantiene los soles Repsol que ya tenía pero no ha conseguido sumar más en la gala de este lunes de Cartagena.</t>
  </si>
  <si>
    <t>Vitoria passes without glory through the main gastronomic distinctions</t>
  </si>
  <si>
    <t>Vitoria maintains the Repsol suns it already had but has not managed to add more at this Monday's gala in Cartagena.</t>
  </si>
  <si>
    <r>
      <rPr>
        <rFont val="Arial, sans-serif"/>
        <color rgb="FF1155CC"/>
        <sz val="9.0"/>
        <u/>
      </rPr>
      <t>Diario AS</t>
    </r>
    <r>
      <rPr>
        <rFont val="Arial, sans-serif"/>
        <color rgb="FF1155CC"/>
        <sz val="15.0"/>
        <u/>
      </rPr>
      <t>La Salita, de Begoña Rodrigo, triunfa en la Guia Repsol 2024 con tres soles</t>
    </r>
    <r>
      <rPr>
        <rFont val="Arial, sans-serif"/>
        <color rgb="FF1155CC"/>
        <sz val="11.0"/>
        <u/>
      </rPr>
      <t>El restaurante de la chef valenciana se ha adentrado en la historia de la Guía Repsol tras ser reconocido con tres soles.</t>
    </r>
    <r>
      <rPr>
        <rFont val="Arial, sans-serif"/>
        <color rgb="FF1155CC"/>
        <sz val="12.0"/>
        <u/>
      </rPr>
      <t>.</t>
    </r>
    <r>
      <rPr>
        <rFont val="Arial, sans-serif"/>
        <color rgb="FF1155CC"/>
        <sz val="11.0"/>
        <u/>
      </rPr>
      <t>4 mar 2024</t>
    </r>
  </si>
  <si>
    <t>La Salita, de Begoña Rodrigo, triunfa en la Guia Repsol 2024 con tres soles</t>
  </si>
  <si>
    <t>El restaurante de la chef valenciana se ha adentrado en la historia de la Guía Repsol tras ser reconocido con tres soles.</t>
  </si>
  <si>
    <t>La Salita, by Begoña Rodrigo, triumphs in the Repsol Guide 2024 with three suns</t>
  </si>
  <si>
    <t>The Valencian chef's restaurant has entered the history of the Repsol Guide after being recognized with three suns.</t>
  </si>
  <si>
    <r>
      <rPr>
        <rFont val="Arial, sans-serif"/>
        <color rgb="FF1155CC"/>
        <sz val="9.0"/>
        <u/>
      </rPr>
      <t>Benavente Digital</t>
    </r>
    <r>
      <rPr>
        <rFont val="Arial, sans-serif"/>
        <color rgb="FF1155CC"/>
        <sz val="15.0"/>
        <u/>
      </rPr>
      <t>«El Capricho» de Jiménez de Jamuz logra Dos Soles de la Guía Repsol</t>
    </r>
    <r>
      <rPr>
        <rFont val="Arial, sans-serif"/>
        <color rgb="FF1155CC"/>
        <sz val="11.0"/>
        <u/>
      </rPr>
      <t>El reconocido restaurante «El Capricho», ubicado en la localidad leonesa de Jiménez de Jamuz, logra Dos Soles de la prestigiosa Guía Repsol.</t>
    </r>
    <r>
      <rPr>
        <rFont val="Arial, sans-serif"/>
        <color rgb="FF1155CC"/>
        <sz val="12.0"/>
        <u/>
      </rPr>
      <t>.</t>
    </r>
    <r>
      <rPr>
        <rFont val="Arial, sans-serif"/>
        <color rgb="FF1155CC"/>
        <sz val="11.0"/>
        <u/>
      </rPr>
      <t>4 mar 2024</t>
    </r>
  </si>
  <si>
    <t>Benavente Digital</t>
  </si>
  <si>
    <t>«El Capricho» de Jiménez de Jamuz logra Dos Soles de la Guía Repsol</t>
  </si>
  <si>
    <t>El reconocido restaurante «El Capricho», ubicado en la localidad leonesa de Jiménez de Jamuz, logra Dos Soles de la prestigiosa Guía Repsol.</t>
  </si>
  <si>
    <t>“El Capricho” by Jiménez de Jamuz achieves Two Suns from the Repsol Guide</t>
  </si>
  <si>
    <t>The renowned restaurant "El Capricho", located in the Leonese town of Jiménez de Jamuz, achieves Two Suns from the prestigious Repsol Guide.</t>
  </si>
  <si>
    <r>
      <rPr>
        <rFont val="Arial, sans-serif"/>
        <color rgb="FF1155CC"/>
        <sz val="9.0"/>
        <u/>
      </rPr>
      <t>MiCiudadReal.es</t>
    </r>
    <r>
      <rPr>
        <rFont val="Arial, sans-serif"/>
        <color rgb="FF1155CC"/>
        <sz val="15.0"/>
        <u/>
      </rPr>
      <t>Repsol patrocina los I Premios Nacionales a Trabajos Fin de Máster ‘Avelino Corma’</t>
    </r>
    <r>
      <rPr>
        <rFont val="Arial, sans-serif"/>
        <color rgb="FF1155CC"/>
        <sz val="11.0"/>
        <u/>
      </rPr>
      <t>Repsol ha sido una de las entidades patrocinadoras de los I Premios Nacionales a Trabajos Fin de Máster 'Avelino Corma', organizados por el Colegio Oficial...</t>
    </r>
    <r>
      <rPr>
        <rFont val="Arial, sans-serif"/>
        <color rgb="FF1155CC"/>
        <sz val="12.0"/>
        <u/>
      </rPr>
      <t>.</t>
    </r>
    <r>
      <rPr>
        <rFont val="Arial, sans-serif"/>
        <color rgb="FF1155CC"/>
        <sz val="11.0"/>
        <u/>
      </rPr>
      <t>4 mar 2024</t>
    </r>
  </si>
  <si>
    <t>Repsol patrocina los I Premios Nacionales a Trabajos Fin de Máster ‘Avelino Corma’</t>
  </si>
  <si>
    <t>Repsol ha sido una de las entidades patrocinadoras de los I Premios Nacionales a Trabajos Fin de Máster 'Avelino Corma', organizados por el Colegio Oficial....</t>
  </si>
  <si>
    <t>Repsol sponsors the 1st National Awards for Master's Final Projects 'Avelino Corma'</t>
  </si>
  <si>
    <t>Repsol has been one of the sponsoring entities of the I National Awards for Master's Thesis 'Avelino Corma', organized by the Official College....</t>
  </si>
  <si>
    <r>
      <rPr>
        <rFont val="Arial, sans-serif"/>
        <color rgb="FF1155CC"/>
        <sz val="9.0"/>
        <u/>
      </rPr>
      <t>LaSexta</t>
    </r>
    <r>
      <rPr>
        <rFont val="Arial, sans-serif"/>
        <color rgb="FF1155CC"/>
        <sz val="15.0"/>
        <u/>
      </rPr>
      <t>Listado completo de los nuevos restaurantes premiados con Soles de la Guía Repsol 2024</t>
    </r>
    <r>
      <rPr>
        <rFont val="Arial, sans-serif"/>
        <color rgb="FF1155CC"/>
        <sz val="11.0"/>
        <u/>
      </rPr>
      <t>La Guía Repsol ha incorporado 98 nuevos restaurantes a su universo Soles Repsol. La triunfadora de la noche en Cartagena ha sido la nueva tres Soles Repsol,...</t>
    </r>
    <r>
      <rPr>
        <rFont val="Arial, sans-serif"/>
        <color rgb="FF1155CC"/>
        <sz val="12.0"/>
        <u/>
      </rPr>
      <t>.</t>
    </r>
    <r>
      <rPr>
        <rFont val="Arial, sans-serif"/>
        <color rgb="FF1155CC"/>
        <sz val="11.0"/>
        <u/>
      </rPr>
      <t>4 mar 2024</t>
    </r>
  </si>
  <si>
    <t>Listado completo de los nuevos restaurantes premiados con Soles de la Guía Repsol 2024</t>
  </si>
  <si>
    <t>Complete list of the new restaurants awarded with Soles from the Repsol Guide 2024</t>
  </si>
  <si>
    <r>
      <rPr>
        <rFont val="Arial, sans-serif"/>
        <color rgb="FF1155CC"/>
        <sz val="9.0"/>
        <u/>
      </rPr>
      <t>cantabria directa</t>
    </r>
    <r>
      <rPr>
        <rFont val="Arial, sans-serif"/>
        <color rgb="FF1155CC"/>
        <sz val="15.0"/>
        <u/>
      </rPr>
      <t>Sol Guía Repsol para Ignacio Solana con ‘Pico Velasco’ en Voto</t>
    </r>
    <r>
      <rPr>
        <rFont val="Arial, sans-serif"/>
        <color rgb="FF1155CC"/>
        <sz val="11.0"/>
        <u/>
      </rPr>
      <t>El restaurante 'Pico Velasco', de la localidad cántabra de Voto, ha sido reconocido con 1 Sol Guía Repsol. Con esta incorporación, la Comunidad suma un...</t>
    </r>
    <r>
      <rPr>
        <rFont val="Arial, sans-serif"/>
        <color rgb="FF1155CC"/>
        <sz val="12.0"/>
        <u/>
      </rPr>
      <t>.</t>
    </r>
    <r>
      <rPr>
        <rFont val="Arial, sans-serif"/>
        <color rgb="FF1155CC"/>
        <sz val="11.0"/>
        <u/>
      </rPr>
      <t>4 mar 2024</t>
    </r>
  </si>
  <si>
    <t>Guía Repsol para Ignacio Solana con ‘Pico Velasco’ en Voto</t>
  </si>
  <si>
    <t>El restaurante 'Pico Velasco', de la localidad cántabra de Voto, ha sido reconocido con 1 Sol Guía Repsol. Con esta incorporación, la Comunidad suma un....</t>
  </si>
  <si>
    <t>Repsol Guide for Ignacio Solana with ‘Pico Velasco’ in Vote</t>
  </si>
  <si>
    <t>The restaurant 'Pico Velasco', in the Cantabrian town of Voto, has been recognized with 1 Repsol Guide Sun. With this incorporation, the Community adds a....</t>
  </si>
  <si>
    <r>
      <rPr>
        <rFont val="Arial, sans-serif"/>
        <color rgb="FF1155CC"/>
        <sz val="9.0"/>
        <u/>
      </rPr>
      <t>El Ideal Gallego</t>
    </r>
    <r>
      <rPr>
        <rFont val="Arial, sans-serif"/>
        <color rgb="FF1155CC"/>
        <sz val="15.0"/>
        <u/>
      </rPr>
      <t>Galicia cuenta desde hoy con seis nuevos restaurantes con 1 Sol Guía Repsol</t>
    </r>
    <r>
      <rPr>
        <rFont val="Arial, sans-serif"/>
        <color rgb="FF1155CC"/>
        <sz val="11.0"/>
        <u/>
      </rPr>
      <t>Se estrenan con 1 Sol Guía Repsol los coruñeses 'Terreo Cocina Casual' y 'Eclectic' (A Coruña), 'O'fragón' (Fisterra), 'Balarés' (Ponteceso) y 'Simpar'...</t>
    </r>
    <r>
      <rPr>
        <rFont val="Arial, sans-serif"/>
        <color rgb="FF1155CC"/>
        <sz val="12.0"/>
        <u/>
      </rPr>
      <t>.</t>
    </r>
    <r>
      <rPr>
        <rFont val="Arial, sans-serif"/>
        <color rgb="FF1155CC"/>
        <sz val="11.0"/>
        <u/>
      </rPr>
      <t>4 mar 2024</t>
    </r>
  </si>
  <si>
    <t>Galicia cuenta desde hoy con seis nuevos restaurantes con 1 Sol Guía Repsol</t>
  </si>
  <si>
    <t>Se estrenan con 1 Sol Guía Repsol los coruñeses 'Terreo Cocina Casual' y 'Eclectic' (A Coruña), 'O'fragón' (Fisterra), 'Balarés' (Ponteceso) y 'Simpar'....</t>
  </si>
  <si>
    <t>As of today, Galicia has six new restaurants with 1 Sol Repsol Guide</t>
  </si>
  <si>
    <t>The Coruña-based 'Terreo Cocina Casual' and 'Eclectic' (A Coruña), 'O'fragón' (Fisterra), 'Balarés' (Ponteceso) and 'Simpar' are released with 1 Repsol Guide Sun....</t>
  </si>
  <si>
    <r>
      <rPr>
        <rFont val="Arial, sans-serif"/>
        <color rgb="FF1155CC"/>
        <sz val="9.0"/>
        <u/>
      </rPr>
      <t>Castilla-La Mancha Media</t>
    </r>
    <r>
      <rPr>
        <rFont val="Arial, sans-serif"/>
        <color rgb="FF1155CC"/>
        <sz val="15.0"/>
        <u/>
      </rPr>
      <t>El restaurante Casas Colgadas, de Cuenca, distinguido con 2 soles de la Guía Repsol 2024</t>
    </r>
    <r>
      <rPr>
        <rFont val="Arial, sans-serif"/>
        <color rgb="FF1155CC"/>
        <sz val="11.0"/>
        <u/>
      </rPr>
      <t>El restaurante Casas Colgadas, de Cuenca, ha sido distinguido con dos soles en la Guía Repsol 2024. En la gala celebrada este lunes en Cartagena, Murcia,...</t>
    </r>
    <r>
      <rPr>
        <rFont val="Arial, sans-serif"/>
        <color rgb="FF1155CC"/>
        <sz val="12.0"/>
        <u/>
      </rPr>
      <t>.</t>
    </r>
    <r>
      <rPr>
        <rFont val="Arial, sans-serif"/>
        <color rgb="FF1155CC"/>
        <sz val="11.0"/>
        <u/>
      </rPr>
      <t>4 mar 2024</t>
    </r>
  </si>
  <si>
    <t>El restaurante Casas Colgadas, de Cuenca, distinguido con 2 soles de la Guía Repsol 2024</t>
  </si>
  <si>
    <t>El restaurante Casas Colgadas, de Cuenca, ha sido distinguido con dos soles en la Guía Repsol 2024. En la gala celebrada este lunes en Cartagena, Murcia,....</t>
  </si>
  <si>
    <t>The Casas Colgadas restaurant, in Cuenca, awarded 2 soles from the Repsol Guide 2024</t>
  </si>
  <si>
    <t>The Casas Colgadas restaurant, in Cuenca, has been awarded two suns in the Repsol Guide 2024. At the gala held this Monday in Cartagena, Murcia,...</t>
  </si>
  <si>
    <r>
      <rPr>
        <rFont val="Arial, sans-serif"/>
        <color rgb="FF1155CC"/>
        <sz val="9.0"/>
        <u/>
      </rPr>
      <t>La Opinión de Zamora</t>
    </r>
    <r>
      <rPr>
        <rFont val="Arial, sans-serif"/>
        <color rgb="FF1155CC"/>
        <sz val="15.0"/>
        <u/>
      </rPr>
      <t>El restaurante de Zamora que se estrena con un Sol Repsol</t>
    </r>
    <r>
      <rPr>
        <rFont val="Arial, sans-serif"/>
        <color rgb="FF1155CC"/>
        <sz val="11.0"/>
        <u/>
      </rPr>
      <t>El reconocimiento, otorgado por la Guía Repsol, lo distingue como uno de los mejores establecimientos gastronómicos del territorio nacional.</t>
    </r>
    <r>
      <rPr>
        <rFont val="Arial, sans-serif"/>
        <color rgb="FF1155CC"/>
        <sz val="12.0"/>
        <u/>
      </rPr>
      <t>.</t>
    </r>
    <r>
      <rPr>
        <rFont val="Arial, sans-serif"/>
        <color rgb="FF1155CC"/>
        <sz val="11.0"/>
        <u/>
      </rPr>
      <t>4 mar 2024</t>
    </r>
  </si>
  <si>
    <t>La Opinión de Zamora</t>
  </si>
  <si>
    <t>El restaurante de Zamora que se estrena con un Sol Repsol</t>
  </si>
  <si>
    <t>El reconocimiento, otorgado por la Guía Repsol, lo distingue como uno de los mejores establecimientos gastronómicos del territorio nacional.</t>
  </si>
  <si>
    <t>The Zamora restaurant that debuts with a Sol Repsol</t>
  </si>
  <si>
    <t>The recognition, granted by the Repsol Guide, distinguishes it as one of the best gastronomic establishments in the national territory.</t>
  </si>
  <si>
    <r>
      <rPr>
        <rFont val="Arial, sans-serif"/>
        <color rgb="FF1155CC"/>
        <sz val="9.0"/>
        <u/>
      </rPr>
      <t>Cadena SER</t>
    </r>
    <r>
      <rPr>
        <rFont val="Arial, sans-serif"/>
        <color rgb="FF1155CC"/>
        <sz val="15.0"/>
        <u/>
      </rPr>
      <t>El Restaurante Cisoria, de Villena, premiado con uno de los premios Sol Repsol</t>
    </r>
    <r>
      <rPr>
        <rFont val="Arial, sans-serif"/>
        <color rgb="FF1155CC"/>
        <sz val="11.0"/>
        <u/>
      </rPr>
      <t>Ayer lunes se entregaron en Cartagena los premios Sol Repsol 2024, que otorgaban este prestigioso galardón a tres nuevos establecimientos de restauración en...</t>
    </r>
    <r>
      <rPr>
        <rFont val="Arial, sans-serif"/>
        <color rgb="FF1155CC"/>
        <sz val="12.0"/>
        <u/>
      </rPr>
      <t>.</t>
    </r>
    <r>
      <rPr>
        <rFont val="Arial, sans-serif"/>
        <color rgb="FF1155CC"/>
        <sz val="11.0"/>
        <u/>
      </rPr>
      <t>4 mar 2024</t>
    </r>
  </si>
  <si>
    <t>El Restaurante Cisoria, de Villena, premiado con uno de los premios Sol Repsol</t>
  </si>
  <si>
    <t>El Restaurante Cisoria, de Villena, ha sido premiado con uno de los premios Sol Repsol 2024, otorgando este prestigioso galardón a tres nuevos establecimientos de restauración en la entrega celebrada en Cartagena.</t>
  </si>
  <si>
    <t>The Cisoria Restaurant, in Villena, awarded with one of the Sol Repsol awards</t>
  </si>
  <si>
    <t>The Cisoria Restaurant, in Villena, has been awarded one of the Sol Repsol 2024 awards, granting this prestigious award to three new restaurant establishments at the ceremony held in Cartagena.</t>
  </si>
  <si>
    <r>
      <rPr>
        <rFont val="Arial, sans-serif"/>
        <color rgb="FF1155CC"/>
        <sz val="9.0"/>
        <u/>
      </rPr>
      <t>Diario de Mallorca</t>
    </r>
    <r>
      <rPr>
        <rFont val="Arial, sans-serif"/>
        <color rgb="FF1155CC"/>
        <sz val="15.0"/>
        <u/>
      </rPr>
      <t>Los restaurantes de Mallorca Brut y Sala de personal logran sus primeros Soles de la Guía Repsol</t>
    </r>
    <r>
      <rPr>
        <rFont val="Arial, sans-serif"/>
        <color rgb="FF1155CC"/>
        <sz val="11.0"/>
        <u/>
      </rPr>
      <t>Mallorca cuenta con nuevos Soles de la Guía Repsol en su oferta gastronómica. Este lunes, Brut, situado en Llubí, ha conseguido una de estas distinciones,...</t>
    </r>
    <r>
      <rPr>
        <rFont val="Arial, sans-serif"/>
        <color rgb="FF1155CC"/>
        <sz val="12.0"/>
        <u/>
      </rPr>
      <t>.</t>
    </r>
    <r>
      <rPr>
        <rFont val="Arial, sans-serif"/>
        <color rgb="FF1155CC"/>
        <sz val="11.0"/>
        <u/>
      </rPr>
      <t>4 mar 2024</t>
    </r>
  </si>
  <si>
    <t>Los restaurantes de Mallorca Brut y Sala de personal logran sus primeros Soles de la Guía Repsol</t>
  </si>
  <si>
    <t>Mallorca cuenta con nuevos Soles de la Guía Repsol en su oferta gastronómica. Este lunes, Brut, situado en Llubí, ha conseguido una de estas distinciones,....</t>
  </si>
  <si>
    <t>The Mallorca restaurants Brut and Sala de staff achieve their first Suns from the Repsol Guide</t>
  </si>
  <si>
    <t>Mallorca has new Soles from the Repsol Guide in its gastronomic offer. This Monday, Brut, located in Llubí, has achieved one of these distinctions,....</t>
  </si>
  <si>
    <r>
      <rPr>
        <rFont val="Arial, sans-serif"/>
        <color rgb="FF1155CC"/>
        <sz val="9.0"/>
        <u/>
      </rPr>
      <t>El Español</t>
    </r>
    <r>
      <rPr>
        <rFont val="Arial, sans-serif"/>
        <color rgb="FF1155CC"/>
        <sz val="15.0"/>
        <u/>
      </rPr>
      <t>Estos son los seis nuevos restaurantes de Galicia con un Sol de Repsol</t>
    </r>
    <r>
      <rPr>
        <rFont val="Arial, sans-serif"/>
        <color rgb="FF1155CC"/>
        <sz val="11.0"/>
        <u/>
      </rPr>
      <t>Estos reconocimientos se han quedado en la zona norte, con dos premios para A Coruña, dos para Costa da Morte, uno para Santiago de Compostela y otro para A...</t>
    </r>
    <r>
      <rPr>
        <rFont val="Arial, sans-serif"/>
        <color rgb="FF1155CC"/>
        <sz val="12.0"/>
        <u/>
      </rPr>
      <t>.</t>
    </r>
    <r>
      <rPr>
        <rFont val="Arial, sans-serif"/>
        <color rgb="FF1155CC"/>
        <sz val="11.0"/>
        <u/>
      </rPr>
      <t>4 mar 2024</t>
    </r>
  </si>
  <si>
    <t>Estos son los seis nuevos restaurantes de Galicia con un Sol de Repsol</t>
  </si>
  <si>
    <t>Estos reconocimientos se han quedado en la zona norte, con dos premios para A Coruña, dos para Costa da Morte, uno para Santiago de Compostela y otro para A....</t>
  </si>
  <si>
    <t>These are the six new restaurants in Galicia with a Sol from Repsol</t>
  </si>
  <si>
    <t>These recognitions have remained in the northern area, with two awards for A Coruña, two for Costa da Morte, one for Santiago de Compostela and another for A....</t>
  </si>
  <si>
    <r>
      <rPr>
        <rFont val="Arial, sans-serif"/>
        <color rgb="FF1155CC"/>
        <sz val="9.0"/>
        <u/>
      </rPr>
      <t>Diario de Ávila</t>
    </r>
    <r>
      <rPr>
        <rFont val="Arial, sans-serif"/>
        <color rgb="FF1155CC"/>
        <sz val="15.0"/>
        <u/>
      </rPr>
      <t>'Barro' sigue luciendo la alta cocina abulense</t>
    </r>
    <r>
      <rPr>
        <rFont val="Arial, sans-serif"/>
        <color rgb="FF1155CC"/>
        <sz val="11.0"/>
        <u/>
      </rPr>
      <t>El restaurante del joven chef Carlos Casillas recibe su primer 'Sol' de la Guía Repsol en una gala celebrada en Cartagena y sigue colocando a Ávila en el...</t>
    </r>
    <r>
      <rPr>
        <rFont val="Arial, sans-serif"/>
        <color rgb="FF1155CC"/>
        <sz val="12.0"/>
        <u/>
      </rPr>
      <t>.</t>
    </r>
    <r>
      <rPr>
        <rFont val="Arial, sans-serif"/>
        <color rgb="FF1155CC"/>
        <sz val="11.0"/>
        <u/>
      </rPr>
      <t>4 mar 2024</t>
    </r>
  </si>
  <si>
    <t>Diario de Ávila</t>
  </si>
  <si>
    <t>'Barro' sigue luciendo la alta cocina abulense</t>
  </si>
  <si>
    <t>El restaurante del joven chef Carlos Casillas recibe su primer 'Sol' de la Guía Repsol en una gala celebrada en Cartagena y sigue colocando a Ávila en el....</t>
  </si>
  <si>
    <t>'Barro' continues to show off the haute cuisine of Avila</t>
  </si>
  <si>
    <t>The restaurant of young chef Carlos Casillas receives its first 'Sun' from the Repsol Guide at a gala held in Cartagena and continues to place Ávila in the...</t>
  </si>
  <si>
    <r>
      <rPr>
        <rFont val="Arial, sans-serif"/>
        <color rgb="FF1155CC"/>
        <sz val="9.0"/>
        <u/>
      </rPr>
      <t>Cadena SER</t>
    </r>
    <r>
      <rPr>
        <rFont val="Arial, sans-serif"/>
        <color rgb="FF1155CC"/>
        <sz val="15.0"/>
        <u/>
      </rPr>
      <t>Es Codol Foradat en Formentera y Omakase By Walt en Ibiza entran con un sol en la Guía Repsol</t>
    </r>
    <r>
      <rPr>
        <rFont val="Arial, sans-serif"/>
        <color rgb="FF1155CC"/>
        <sz val="11.0"/>
        <u/>
      </rPr>
      <t>Ibiza. La gastronomía Pitiusa incorpora dos novedades a la Guía Repsol con los nuevos soles concedidos al restaurante es Codol Foradat en Formentera y...</t>
    </r>
    <r>
      <rPr>
        <rFont val="Arial, sans-serif"/>
        <color rgb="FF1155CC"/>
        <sz val="12.0"/>
        <u/>
      </rPr>
      <t>.</t>
    </r>
    <r>
      <rPr>
        <rFont val="Arial, sans-serif"/>
        <color rgb="FF1155CC"/>
        <sz val="11.0"/>
        <u/>
      </rPr>
      <t>4 mar 2024</t>
    </r>
  </si>
  <si>
    <t>Codol Foradat en Formentera y Omakase By Walt en Ibiza entran con un sol en la Guía Repsol.</t>
  </si>
  <si>
    <t>La gastronomía Pitiusa incorpora dos novedades a la Guía Repsol con los nuevos soles concedidos al restaurante es Codol Foradat en Formentera y....</t>
  </si>
  <si>
    <t>Codol Foradat in Formentera and Omakase By Walt in Ibiza enter the Repsol Guide with a sun.</t>
  </si>
  <si>
    <t>Pitiusa gastronomy incorporates two new features to the Repsol Guide with the new soles awarded to the es Codol Foradat restaurant in Formentera and....</t>
  </si>
  <si>
    <r>
      <rPr>
        <rFont val="Arial, sans-serif"/>
        <color rgb="FF1155CC"/>
        <sz val="9.0"/>
        <u/>
      </rPr>
      <t>enTomelloso.com</t>
    </r>
    <r>
      <rPr>
        <rFont val="Arial, sans-serif"/>
        <color rgb="FF1155CC"/>
        <sz val="15.0"/>
        <u/>
      </rPr>
      <t>Nuevos Soles Repsol en Castilla-La Mancha: 2 para 'Casas Colgadas' y 1 para 'Ababol' y 'Ancestral'</t>
    </r>
    <r>
      <rPr>
        <rFont val="Arial, sans-serif"/>
        <color rgb="FF1155CC"/>
        <sz val="11.0"/>
        <u/>
      </rPr>
      <t>Castilla-La Mancha cuenta desde hoy con un nuevo restaurante reconocido con 2 Soles Guía Repsol Repsol: 'Casas Colgadas', de Cuenca.</t>
    </r>
    <r>
      <rPr>
        <rFont val="Arial, sans-serif"/>
        <color rgb="FF1155CC"/>
        <sz val="12.0"/>
        <u/>
      </rPr>
      <t>.</t>
    </r>
    <r>
      <rPr>
        <rFont val="Arial, sans-serif"/>
        <color rgb="FF1155CC"/>
        <sz val="11.0"/>
        <u/>
      </rPr>
      <t>4 mar 2024</t>
    </r>
  </si>
  <si>
    <t>Nuevos Soles Repsol en Castilla-La Mancha: 2 para 'Casas Colgadas' y 1 para 'Ababol' y 'Ancestral'</t>
  </si>
  <si>
    <t>New Repsol Soles in Castilla-La Mancha: 2 for 'Casas Colgadas' and 1 for 'Ababol' and 'Ancestral'</t>
  </si>
  <si>
    <r>
      <rPr>
        <rFont val="Arial, sans-serif"/>
        <color rgb="FF1155CC"/>
        <sz val="9.0"/>
        <u/>
      </rPr>
      <t>Hule y Mantel</t>
    </r>
    <r>
      <rPr>
        <rFont val="Arial, sans-serif"/>
        <color rgb="FF1155CC"/>
        <sz val="15.0"/>
        <u/>
      </rPr>
      <t>La cocina de Begoña Rodrigo en La Salita: huerta valenciana, chacinería vegetal y 3 soles Repsol</t>
    </r>
    <r>
      <rPr>
        <rFont val="Arial, sans-serif"/>
        <color rgb="FF1155CC"/>
        <sz val="11.0"/>
        <u/>
      </rPr>
      <t>Begoña Rodrigo se lleva los únicos tres soles Repsol de 2024: "Cocinar bien te permite tener el restaurante lleno, pero para estar en el medio hace falta...</t>
    </r>
    <r>
      <rPr>
        <rFont val="Arial, sans-serif"/>
        <color rgb="FF1155CC"/>
        <sz val="12.0"/>
        <u/>
      </rPr>
      <t>.</t>
    </r>
    <r>
      <rPr>
        <rFont val="Arial, sans-serif"/>
        <color rgb="FF1155CC"/>
        <sz val="11.0"/>
        <u/>
      </rPr>
      <t>4 mar 2024</t>
    </r>
  </si>
  <si>
    <t>La cocina de Begoña Rodrigo en La Salita: huerta valenciana, chacinería vegetal y 3 soles Repsol</t>
  </si>
  <si>
    <t>Begoña Rodrigo se lleva los únicos tres soles Repsol de 2024: "Cocinar bien te permite tener el restaurante lleno, pero para estar en el medio hace falta....</t>
  </si>
  <si>
    <t>Begoña Rodrigo's kitchen in La Salita: Valencian garden, vegetable sausages and 3 Repsol soles</t>
  </si>
  <si>
    <t>Begoña Rodrigo takes the only three Repsol soles of 2024: "Cooking well allows you to have a full restaurant, but to be in the middle you need to...</t>
  </si>
  <si>
    <r>
      <rPr>
        <rFont val="Arial, sans-serif"/>
        <color rgb="FF1155CC"/>
        <sz val="9.0"/>
        <u/>
      </rPr>
      <t>El Español</t>
    </r>
    <r>
      <rPr>
        <rFont val="Arial, sans-serif"/>
        <color rgb="FF1155CC"/>
        <sz val="15.0"/>
        <u/>
      </rPr>
      <t>La cocinera gallega Lucía Freitas prepara el aperitivo previo a la Gala de los Soles Guía Repsol</t>
    </r>
    <r>
      <rPr>
        <rFont val="Arial, sans-serif"/>
        <color rgb="FF1155CC"/>
        <sz val="11.0"/>
        <u/>
      </rPr>
      <t>La gallega realizó su propuesta de aperitivo durante la jornada "De tapas con los Soles" junto a los cocineros Alberto Chicote y Susi Díaz en Murcia.</t>
    </r>
    <r>
      <rPr>
        <rFont val="Arial, sans-serif"/>
        <color rgb="FF1155CC"/>
        <sz val="12.0"/>
        <u/>
      </rPr>
      <t>.</t>
    </r>
    <r>
      <rPr>
        <rFont val="Arial, sans-serif"/>
        <color rgb="FF1155CC"/>
        <sz val="11.0"/>
        <u/>
      </rPr>
      <t>4 mar 2024</t>
    </r>
  </si>
  <si>
    <t>La cocinera gallega Lucía Freitas prepara el aperitivo previo a la Gala de los Soles</t>
  </si>
  <si>
    <t>La gallega realizó su propuesta de aperitivo durante la jornada "De tapas con los Soles" junto a los cocineros Alberto Chicote y Susi Díaz en Murcia.</t>
  </si>
  <si>
    <t>The Galician chef Lucía Freitas prepares the appetizer prior to the Gala of the Suns</t>
  </si>
  <si>
    <t>The Galician made her appetizer proposal during the "Tapas with the Suns" event together with the chefs Alberto Chicote and Susi Díaz in Murcia.</t>
  </si>
  <si>
    <r>
      <rPr>
        <rFont val="Arial, sans-serif"/>
        <color rgb="FF1155CC"/>
        <sz val="9.0"/>
        <u/>
      </rPr>
      <t>Murciadiario</t>
    </r>
    <r>
      <rPr>
        <rFont val="Arial, sans-serif"/>
        <color rgb="FF1155CC"/>
        <sz val="15.0"/>
        <u/>
      </rPr>
      <t>David López, chef de Local de Ensayo y profesor de la UCAM, elabora un menú huertano en Los Soles Repsol</t>
    </r>
    <r>
      <rPr>
        <rFont val="Arial, sans-serif"/>
        <color rgb="FF1155CC"/>
        <sz val="11.0"/>
        <u/>
      </rPr>
      <t>Servirá 15 exquisitos bocados vegetales con productos de la Región para el cóctel de la gala, que se celebra este lunes en El Batel de Cartagena.</t>
    </r>
    <r>
      <rPr>
        <rFont val="Arial, sans-serif"/>
        <color rgb="FF1155CC"/>
        <sz val="12.0"/>
        <u/>
      </rPr>
      <t>.</t>
    </r>
    <r>
      <rPr>
        <rFont val="Arial, sans-serif"/>
        <color rgb="FF1155CC"/>
        <sz val="11.0"/>
        <u/>
      </rPr>
      <t>4 mar 2024</t>
    </r>
  </si>
  <si>
    <t>David López elabora un menú huertano en Los Soles Repsol</t>
  </si>
  <si>
    <t>Servirá 15 exquisitos bocados vegetales con productos de la Región para el cóctel de la gala, que se celebra este lunes en El Batel de Cartagena.</t>
  </si>
  <si>
    <t>David López prepares a garden menu at Los Soles Repsol</t>
  </si>
  <si>
    <t>It will serve 15 exquisite vegetable bites with products from the Region for the gala cocktail party, which will be held this Monday at El Batel in Cartagena.</t>
  </si>
  <si>
    <r>
      <rPr>
        <rFont val="Arial, sans-serif"/>
        <color rgb="FF1155CC"/>
        <sz val="9.0"/>
        <u/>
      </rPr>
      <t>ABC</t>
    </r>
    <r>
      <rPr>
        <rFont val="Arial, sans-serif"/>
        <color rgb="FF1155CC"/>
        <sz val="15.0"/>
        <u/>
      </rPr>
      <t>Vinagres y chacinas vegetales: así es la historia y la cocina de Begoña Rodrigo, nueva tres soles Repsol en...</t>
    </r>
    <r>
      <rPr>
        <rFont val="Arial, sans-serif"/>
        <color rgb="FF1155CC"/>
        <sz val="11.0"/>
        <u/>
      </rPr>
      <t>La chef de La Salita ha sido la única en recoger la máxima distinción en la última edición de la publicación española que elige a los mejores restaurantes...</t>
    </r>
    <r>
      <rPr>
        <rFont val="Arial, sans-serif"/>
        <color rgb="FF1155CC"/>
        <sz val="12.0"/>
        <u/>
      </rPr>
      <t>.</t>
    </r>
    <r>
      <rPr>
        <rFont val="Arial, sans-serif"/>
        <color rgb="FF1155CC"/>
        <sz val="11.0"/>
        <u/>
      </rPr>
      <t>4 mar 2024</t>
    </r>
  </si>
  <si>
    <t>Vinagres y chacinas vegetales: así es la historia y la cocina de Begoña Rodrigo, nueva tres soles Repsol en...</t>
  </si>
  <si>
    <t>La chef de La Salita ha sido la única en recoger la máxima distinción en la última edición de la publicación española que elige a los mejores restaurantes.</t>
  </si>
  <si>
    <t>Vinegars and vegetable cured meats: this is the history and cuisine of Begoña Rodrigo, new three Repsol soles in...</t>
  </si>
  <si>
    <t>The chef of La Salita has been the only one to collect the highest distinction in the latest edition of the Spanish publication that chooses the best restaurants.</t>
  </si>
  <si>
    <r>
      <rPr>
        <rFont val="Arial, sans-serif"/>
        <color rgb="FF1155CC"/>
        <sz val="9.0"/>
        <u/>
      </rPr>
      <t>Diario Córdoba</t>
    </r>
    <r>
      <rPr>
        <rFont val="Arial, sans-serif"/>
        <color rgb="FF1155CC"/>
        <sz val="15.0"/>
        <u/>
      </rPr>
      <t>La Salita, de la valenciana Begoña Rodrigo, único nuevo 3 soles de la Guía Repsol 2024</t>
    </r>
    <r>
      <rPr>
        <rFont val="Arial, sans-serif"/>
        <color rgb="FF1155CC"/>
        <sz val="11.0"/>
        <u/>
      </rPr>
      <t>El restaurante valenciano La Salita, de la cocinera Begoña Rodrigo, es el único nuevo tres soles de la Guía Repsol 2024 en la gala celebrada este lunes en...</t>
    </r>
    <r>
      <rPr>
        <rFont val="Arial, sans-serif"/>
        <color rgb="FF1155CC"/>
        <sz val="12.0"/>
        <u/>
      </rPr>
      <t>.</t>
    </r>
    <r>
      <rPr>
        <rFont val="Arial, sans-serif"/>
        <color rgb="FF1155CC"/>
        <sz val="11.0"/>
        <u/>
      </rPr>
      <t>4 mar 2024</t>
    </r>
  </si>
  <si>
    <t>Diario Córdoba</t>
  </si>
  <si>
    <t>La Salita, de la valenciana Begoña Rodrigo, único nuevo 3 soles de la Guía Repsol 2024</t>
  </si>
  <si>
    <t>El restaurante valenciano La Salita, de la cocinera Begoña Rodrigo, es el único nuevo tres soles de la Guía Repsol 2024 en la gala celebrada este lunes en....</t>
  </si>
  <si>
    <t>La Salita, by the Valencian Begoña Rodrigo, the only new 3 soles in the Repsol Guide 2024</t>
  </si>
  <si>
    <t>The Valencian restaurant La Salita, by chef Begoña Rodrigo, is the only new three suns in the Repsol Guide 2024 at the gala held this Monday in....</t>
  </si>
  <si>
    <r>
      <rPr>
        <rFont val="Arial, sans-serif"/>
        <color rgb="FF1155CC"/>
        <sz val="9.0"/>
        <u/>
      </rPr>
      <t>El HuffPost</t>
    </r>
    <r>
      <rPr>
        <rFont val="Arial, sans-serif"/>
        <color rgb="FF1155CC"/>
        <sz val="15.0"/>
        <u/>
      </rPr>
      <t>Este es el menú y el precio de La Salita, el nuevo restaurante con Tres Soles Repsol</t>
    </r>
    <r>
      <rPr>
        <rFont val="Arial, sans-serif"/>
        <color rgb="FF1155CC"/>
        <sz val="11.0"/>
        <u/>
      </rPr>
      <t>La Guía Repsol ha publicado su nuevo listado el establecimiento de Begoña Rodrigo es el único que ha conseguido esta distinción.</t>
    </r>
    <r>
      <rPr>
        <rFont val="Arial, sans-serif"/>
        <color rgb="FF1155CC"/>
        <sz val="12.0"/>
        <u/>
      </rPr>
      <t>.</t>
    </r>
    <r>
      <rPr>
        <rFont val="Arial, sans-serif"/>
        <color rgb="FF1155CC"/>
        <sz val="11.0"/>
        <u/>
      </rPr>
      <t>4 mar 2024</t>
    </r>
  </si>
  <si>
    <t>Este es el menú y el precio de La Salita, el nuevo restaurante con Tres Soles Repsol</t>
  </si>
  <si>
    <t>La Guía Repsol ha publicado su nuevo listado el establecimiento de Begoña Rodrigo es el único que ha conseguido esta distinción.</t>
  </si>
  <si>
    <t>This is the menu and price of La Salita, the new restaurant with Tres Soles Repsol</t>
  </si>
  <si>
    <t>The Repsol Guide has published its new list, the Begoña Rodrigo establishment is the only one that has achieved this distinction.</t>
  </si>
  <si>
    <r>
      <rPr>
        <rFont val="Arial, sans-serif"/>
        <color rgb="FF1155CC"/>
        <sz val="9.0"/>
        <u/>
      </rPr>
      <t>Box Repsol</t>
    </r>
    <r>
      <rPr>
        <rFont val="Arial, sans-serif"/>
        <color rgb="FF1155CC"/>
        <sz val="15.0"/>
        <u/>
      </rPr>
      <t>GP Qatar MotoGP 2024: Horarios y dónde ver por TV y online la primera cita del mundial.</t>
    </r>
    <r>
      <rPr>
        <rFont val="Arial, sans-serif"/>
        <color rgb="FF1155CC"/>
        <sz val="11.0"/>
        <u/>
      </rPr>
      <t>El Mundial de MotoGP vive su primer Gran Premio de la temporada en su visita a Qatar. Consulta todos los detalles del GP de Qatar aquí en Box Repsol.</t>
    </r>
    <r>
      <rPr>
        <rFont val="Arial, sans-serif"/>
        <color rgb="FF1155CC"/>
        <sz val="12.0"/>
        <u/>
      </rPr>
      <t>.</t>
    </r>
    <r>
      <rPr>
        <rFont val="Arial, sans-serif"/>
        <color rgb="FF1155CC"/>
        <sz val="11.0"/>
        <u/>
      </rPr>
      <t>4 mar 2024</t>
    </r>
  </si>
  <si>
    <t>Qatar MotoGP 2024: Horarios y dónde ver por TV y online la primera cita del mundial.</t>
  </si>
  <si>
    <t>El Mundial de MotoGP vive su primer Gran Premio de la temporada en su visita a Qatar. Consulta todos los detalles del GP de Qatar aquí en Box Repsol.</t>
  </si>
  <si>
    <t>Qatar MotoGP 2024: Schedules and where to watch the first round of the world championship on TV and online.</t>
  </si>
  <si>
    <t>The MotoGP World Championship is experiencing its first Grand Prix of the season on its visit to Qatar. Check all the details of the Qatar GP here at Box Repsol.</t>
  </si>
  <si>
    <r>
      <rPr>
        <rFont val="Arial, sans-serif"/>
        <color rgb="FF1155CC"/>
        <sz val="9.0"/>
        <u/>
      </rPr>
      <t>Ultima Hora</t>
    </r>
    <r>
      <rPr>
        <rFont val="Arial, sans-serif"/>
        <color rgb="FF1155CC"/>
        <sz val="15.0"/>
        <u/>
      </rPr>
      <t>We Are FaceFood celebra su primera edición en Mallorca</t>
    </r>
    <r>
      <rPr>
        <rFont val="Arial, sans-serif"/>
        <color rgb="FF1155CC"/>
        <sz val="11.0"/>
        <u/>
      </rPr>
      <t>El encuentro gastronómico tendrá lugar el 5 de marzo de 11.00 a 18.00hs en el Nobis Hotel Palma y congregará 10 estrellas Michelin y 14 soles Repsol.</t>
    </r>
    <r>
      <rPr>
        <rFont val="Arial, sans-serif"/>
        <color rgb="FF1155CC"/>
        <sz val="12.0"/>
        <u/>
      </rPr>
      <t>.</t>
    </r>
    <r>
      <rPr>
        <rFont val="Arial, sans-serif"/>
        <color rgb="FF1155CC"/>
        <sz val="11.0"/>
        <u/>
      </rPr>
      <t>4 mar 2024</t>
    </r>
  </si>
  <si>
    <t>We Are FaceFood celebra su primera edición en Mallorca</t>
  </si>
  <si>
    <t>El encuentro gastronómico tendrá lugar el 5 de marzo de 11.00 a 18.00hs en el Nobis Hotel Palma y congregará 10 estrellas Michelin y 14 soles Repsol.</t>
  </si>
  <si>
    <t>We Are FaceFood celebrates its first edition in Mallorca</t>
  </si>
  <si>
    <t>The gastronomic meeting will take place on March 5 from 11:00 a.m. to 6:00 p.m. at the Nobis Hotel Palma and will bring together 10 Michelin stars and 14 Repsol soles.</t>
  </si>
  <si>
    <r>
      <rPr>
        <rFont val="Arial, sans-serif"/>
        <color rgb="FF1155CC"/>
        <sz val="9.0"/>
        <u/>
      </rPr>
      <t>Ayuntamiento de Cartagena</t>
    </r>
    <r>
      <rPr>
        <rFont val="Arial, sans-serif"/>
        <color rgb="FF1155CC"/>
        <sz val="15.0"/>
        <u/>
      </rPr>
      <t>La Guía Repsol entrega en Cartagena el mayor número de Soles de su historia, donde destacaron los restaurantes de barrio</t>
    </r>
    <r>
      <rPr>
        <rFont val="Arial, sans-serif"/>
        <color rgb="FF1155CC"/>
        <sz val="11.0"/>
        <u/>
      </rPr>
      <t>Son galardonados en la Región de Murcia con 2 Soles Repsol 'Almo' y con 1 Sol Repsol 'Polea', 'Por Herencia' y 'El Poli'</t>
    </r>
    <r>
      <rPr>
        <rFont val="Arial, sans-serif"/>
        <color rgb="FF1155CC"/>
        <sz val="12.0"/>
        <u/>
      </rPr>
      <t>.</t>
    </r>
    <r>
      <rPr>
        <rFont val="Arial, sans-serif"/>
        <color rgb="FF1155CC"/>
        <sz val="11.0"/>
        <u/>
      </rPr>
      <t>5 mar 2024</t>
    </r>
  </si>
  <si>
    <t>La Guía Repsol entrega en Cartagena el mayor número de Soles de su historia, donde destacaron los restaurantes de barrio</t>
  </si>
  <si>
    <t>La Guía Repsol entrega en Cartagena el mayor número de Soles de su historia, donde destacaron los restaurantes de barrio. Son galardonados en la Región de Murcia con 2 Soles Repsol 'Almo' y con 1 Sol Repsol 'Polea', 'Por Herencia' y 'El Poli'.</t>
  </si>
  <si>
    <t>The Repsol Guide delivers the largest number of Soles in its history in Cartagena, where neighborhood restaurants stood out</t>
  </si>
  <si>
    <t>The Repsol Guide delivers the largest number of Soles in its history in Cartagena, where neighborhood restaurants stood out. They are awarded in the Region of Murcia with 2 Repsol Suns 'Almo' and with 1 Repsol Sun 'Polea', 'Por Herencia' and 'El Poli'.</t>
  </si>
  <si>
    <r>
      <rPr>
        <rFont val="Arial, sans-serif"/>
        <color rgb="FF1155CC"/>
        <sz val="9.0"/>
        <u/>
      </rPr>
      <t>El Correo</t>
    </r>
    <r>
      <rPr>
        <rFont val="Arial, sans-serif"/>
        <color rgb="FF1155CC"/>
        <sz val="15.0"/>
        <u/>
      </rPr>
      <t>Estos son los 3 restaurantes de Bizkaia que han recibido un sol de la Guía Repsol</t>
    </r>
    <r>
      <rPr>
        <rFont val="Arial, sans-serif"/>
        <color rgb="FF1155CC"/>
        <sz val="11.0"/>
        <u/>
      </rPr>
      <t>'Islares' (Bilbao), 'Txispa' (Atxondo) y 'Bakea' (Mungia) entran en una guía distingue a Euskadi con un total de 71 restaurantes galardonados: 43 con un Sol...</t>
    </r>
    <r>
      <rPr>
        <rFont val="Arial, sans-serif"/>
        <color rgb="FF1155CC"/>
        <sz val="12.0"/>
        <u/>
      </rPr>
      <t>.</t>
    </r>
    <r>
      <rPr>
        <rFont val="Arial, sans-serif"/>
        <color rgb="FF1155CC"/>
        <sz val="11.0"/>
        <u/>
      </rPr>
      <t>5 mar 2024</t>
    </r>
  </si>
  <si>
    <t>Estos son los 3 restaurantes de Bizkaia que han recibido un sol de la Guía Repsol</t>
  </si>
  <si>
    <t>'Islares' (Bilbao), 'Txispa' (Atxondo) y 'Bakea' (Mungia) entran en una guía distingue a Euskadi con un total de 71 restaurantes galardonados: 43 con un Sol.</t>
  </si>
  <si>
    <t>These are the 3 restaurants in Bizkaia that have received a sun from the Repsol Guide</t>
  </si>
  <si>
    <t>'Islares' (Bilbao), 'Txispa' (Atxondo) and 'Bakea' (Mungia) enter a guide that distinguishes Euskadi with a total of 71 award-winning restaurants: 43 with a Sol.</t>
  </si>
  <si>
    <r>
      <rPr>
        <rFont val="Arial, sans-serif"/>
        <color rgb="FF1155CC"/>
        <sz val="9.0"/>
        <u/>
      </rPr>
      <t>El Economista</t>
    </r>
    <r>
      <rPr>
        <rFont val="Arial, sans-serif"/>
        <color rgb="FF1155CC"/>
        <sz val="15.0"/>
        <u/>
      </rPr>
      <t>Repsol vuelve a colocarse entre las diez mejores recomendaciones del Ibex</t>
    </r>
    <r>
      <rPr>
        <rFont val="Arial, sans-serif"/>
        <color rgb="FF1155CC"/>
        <sz val="11.0"/>
        <u/>
      </rPr>
      <t>La subida de los precios del petróleo (el Brent, la cotización de referencia del Viejo Continente, gana sobre un 8% en 2024 y el barril ...</t>
    </r>
    <r>
      <rPr>
        <rFont val="Arial, sans-serif"/>
        <color rgb="FF1155CC"/>
        <sz val="12.0"/>
        <u/>
      </rPr>
      <t>.</t>
    </r>
    <r>
      <rPr>
        <rFont val="Arial, sans-serif"/>
        <color rgb="FF1155CC"/>
        <sz val="11.0"/>
        <u/>
      </rPr>
      <t>5 mar 2024</t>
    </r>
  </si>
  <si>
    <t>Repsol vuelve a colocarse entre las diez mejores recomendaciones del Ibex</t>
  </si>
  <si>
    <t>La subida de los precios del petróleo (el Brent, la cotización de referencia del Viejo Continente, gana sobre un 8% en 2024 y el barril ....</t>
  </si>
  <si>
    <t>Repsol is once again among the ten best recommendations of the Ibex</t>
  </si>
  <si>
    <t>The rise in oil prices (Brent, the reference price of the Old Continent, gains over 8% in 2024 and the barrel....</t>
  </si>
  <si>
    <t>stock performance, IBEX 35</t>
  </si>
  <si>
    <t>rendimiento bursátil, IBEX 35</t>
  </si>
  <si>
    <t>Strong stock performance reinforces investor confidence in Repsol.</t>
  </si>
  <si>
    <t>mejores recomendaciones, subida, petróleo</t>
  </si>
  <si>
    <t>Positive sentiment due to Repsol's strong performance in the market.</t>
  </si>
  <si>
    <t>Sentimiento positivo por el buen comportamiento de Repsol en el mercado.</t>
  </si>
  <si>
    <r>
      <rPr>
        <rFont val="Arial, sans-serif"/>
        <color rgb="FF1155CC"/>
        <sz val="9.0"/>
        <u/>
      </rPr>
      <t>El Mundo</t>
    </r>
    <r>
      <rPr>
        <rFont val="Arial, sans-serif"/>
        <color rgb="FF1155CC"/>
        <sz val="15.0"/>
        <u/>
      </rPr>
      <t>Lista completa de los nuevos Soles Repsol 2024</t>
    </r>
    <r>
      <rPr>
        <rFont val="Arial, sans-serif"/>
        <color rgb="FF1155CC"/>
        <sz val="11.0"/>
        <u/>
      </rPr>
      <t>La ciudad de Cartagena (Murcia) acogió el lunes 4 de marzo la Gala de Soles Guía Repsol 2024, la cita anual que reúne a lo más granado de la gastronomía...</t>
    </r>
    <r>
      <rPr>
        <rFont val="Arial, sans-serif"/>
        <color rgb="FF1155CC"/>
        <sz val="12.0"/>
        <u/>
      </rPr>
      <t>.</t>
    </r>
    <r>
      <rPr>
        <rFont val="Arial, sans-serif"/>
        <color rgb="FF1155CC"/>
        <sz val="11.0"/>
        <u/>
      </rPr>
      <t>5 mar 2024</t>
    </r>
  </si>
  <si>
    <t>La ciudad de Cartagena (Murcia) acogió el lunes 4 de marzo la Gala de Soles Guía Repsol 2024, la cita anual que reúne a lo más granado de la gastronomía....</t>
  </si>
  <si>
    <t>On Monday, March 4, the city of Cartagena (Murcia) hosted the Repsol Guide Suns Gala 2024, the annual event that brings together the best in gastronomy....</t>
  </si>
  <si>
    <r>
      <rPr>
        <rFont val="Arial, sans-serif"/>
        <color rgb="FF1155CC"/>
        <sz val="9.0"/>
        <u/>
      </rPr>
      <t>Cadena SER</t>
    </r>
    <r>
      <rPr>
        <rFont val="Arial, sans-serif"/>
        <color rgb="FF1155CC"/>
        <sz val="15.0"/>
        <u/>
      </rPr>
      <t>Un restaurante de Cuenca con dos soles Repsol: descubre los platos estrella</t>
    </r>
    <r>
      <rPr>
        <rFont val="Arial, sans-serif"/>
        <color rgb="FF1155CC"/>
        <sz val="11.0"/>
        <u/>
      </rPr>
      <t>Cuenca. La guía gastronómica de Repsol incluye en esta edición 2024 un restaurante de Cuenca con dos soles, su máximo reconocimiento.</t>
    </r>
    <r>
      <rPr>
        <rFont val="Arial, sans-serif"/>
        <color rgb="FF1155CC"/>
        <sz val="12.0"/>
        <u/>
      </rPr>
      <t>.</t>
    </r>
    <r>
      <rPr>
        <rFont val="Arial, sans-serif"/>
        <color rgb="FF1155CC"/>
        <sz val="11.0"/>
        <u/>
      </rPr>
      <t>5 mar 2024</t>
    </r>
  </si>
  <si>
    <t>Un restaurante de Cuenca con dos soles Repsol: descubre los platos estrella</t>
  </si>
  <si>
    <t>La guía gastronómica de Repsol incluye en esta edición 2024 un restaurante de Cuenca con dos soles, su máximo reconocimiento.</t>
  </si>
  <si>
    <t>A restaurant in Cuenca with two Repsol suns: discover the star dishes</t>
  </si>
  <si>
    <t>The Repsol gastronomic guide includes in this 2024 edition a restaurant in Cuenca with two suns, its highest recognition.</t>
  </si>
  <si>
    <r>
      <rPr>
        <rFont val="Arial, sans-serif"/>
        <color rgb="FF1155CC"/>
        <sz val="9.0"/>
        <u/>
      </rPr>
      <t>Con El Morro Fino</t>
    </r>
    <r>
      <rPr>
        <rFont val="Arial, sans-serif"/>
        <color rgb="FF1155CC"/>
        <sz val="15.0"/>
        <u/>
      </rPr>
      <t>Estos son todos los nuevos soles Repsol 2024 de Madrid</t>
    </r>
    <r>
      <rPr>
        <rFont val="Arial, sans-serif"/>
        <color rgb="FF1155CC"/>
        <sz val="11.0"/>
        <u/>
      </rPr>
      <t>Viajamos a Cartagena (Murcia) para vivir la gala el directo, y por aquí te contamos todos los nuevos Soles Repsol 2024 de Madrid.</t>
    </r>
    <r>
      <rPr>
        <rFont val="Arial, sans-serif"/>
        <color rgb="FF1155CC"/>
        <sz val="12.0"/>
        <u/>
      </rPr>
      <t>.</t>
    </r>
    <r>
      <rPr>
        <rFont val="Arial, sans-serif"/>
        <color rgb="FF1155CC"/>
        <sz val="11.0"/>
        <u/>
      </rPr>
      <t>5 mar 2024</t>
    </r>
  </si>
  <si>
    <t>El Morro Fino</t>
  </si>
  <si>
    <t>Estos son todos los nuevos soles Repsol 2024 de Madrid</t>
  </si>
  <si>
    <t>Viajamos a Cartagena (Murcia) para vivir la gala el directo, y por aquí te contamos todos los nuevos Soles Repsol 2024 de Madrid.</t>
  </si>
  <si>
    <t>These are all the new Repsol 2024 soles from Madrid</t>
  </si>
  <si>
    <t>We traveled to Cartagena (Murcia) to experience the gala live, and here we tell you about all the new Repsol 2024 Soles in Madrid.</t>
  </si>
  <si>
    <r>
      <rPr>
        <rFont val="Arial, sans-serif"/>
        <color rgb="FF1155CC"/>
        <sz val="9.0"/>
        <u/>
      </rPr>
      <t>GastroMadrid</t>
    </r>
    <r>
      <rPr>
        <rFont val="Arial, sans-serif"/>
        <color rgb="FF1155CC"/>
        <sz val="15.0"/>
        <u/>
      </rPr>
      <t>Los restaurantes de la Comunidad de Madrid premiados en la gala de los Soles Repsol 2024</t>
    </r>
    <r>
      <rPr>
        <rFont val="Arial, sans-serif"/>
        <color rgb="FF1155CC"/>
        <sz val="11.0"/>
        <u/>
      </rPr>
      <t>Coque Corral de la Morería DiverXO DSTAgE. Paco Roncero Ramón Freixa Ricardo Sanz Wellington. 2 SOLES REPSOL 99 Sushi Bar NH Eurobuilding</t>
    </r>
    <r>
      <rPr>
        <rFont val="Arial, sans-serif"/>
        <color rgb="FF1155CC"/>
        <sz val="12.0"/>
        <u/>
      </rPr>
      <t>.</t>
    </r>
    <r>
      <rPr>
        <rFont val="Arial, sans-serif"/>
        <color rgb="FF1155CC"/>
        <sz val="11.0"/>
        <u/>
      </rPr>
      <t>5 mar 2024</t>
    </r>
  </si>
  <si>
    <t>GastroMadrid</t>
  </si>
  <si>
    <t>Los restaurantes de la Comunidad de Madrid premiados en la gala de los Soles Repsol 2024</t>
  </si>
  <si>
    <t>Los restaurantes de la Comunidad de Madrid premiados en la gala de los Soles Repsol 2024: Coque, Corral de la Morería, DiverXO, DSTAgE, Paco Roncero, Ramón Freixa, Ricardo Sanz, Wellington. 2 SOLES REPSOL: 99 Sushi Bar, NH Eurobuilding.</t>
  </si>
  <si>
    <t>The restaurants of the Community of Madrid awarded at the Repsol Suns 2024 gala</t>
  </si>
  <si>
    <t>The restaurants in the Community of Madrid awarded at the 2024 Repsol Suns gala: Coque, Corral de la Morería, DiverXO, DSTAgE, Paco Roncero, Ramón Freixa, Ricardo Sanz, Wellington. 2 REPSOL SUNS: 99 Sushi Bar, NH Eurobuilding.</t>
  </si>
  <si>
    <r>
      <rPr>
        <rFont val="Arial, sans-serif"/>
        <color rgb="FF1155CC"/>
        <sz val="9.0"/>
        <u/>
      </rPr>
      <t>La Voz de Galicia</t>
    </r>
    <r>
      <rPr>
        <rFont val="Arial, sans-serif"/>
        <color rgb="FF1155CC"/>
        <sz val="15.0"/>
        <u/>
      </rPr>
      <t>Los soles de Repsol iluminan a otros seis restaurantes gallegos, y ya van 40</t>
    </r>
    <r>
      <rPr>
        <rFont val="Arial, sans-serif"/>
        <color rgb="FF1155CC"/>
        <sz val="11.0"/>
        <u/>
      </rPr>
      <t>Eclectic y Terreo Cocina Casual (A Coruña), O' fragón (Fisterra), Balarés (Ponteceso), Simpar (Santiago de Compostela) y Javier Montero (Ribadeo) son las...</t>
    </r>
    <r>
      <rPr>
        <rFont val="Arial, sans-serif"/>
        <color rgb="FF1155CC"/>
        <sz val="12.0"/>
        <u/>
      </rPr>
      <t>.</t>
    </r>
    <r>
      <rPr>
        <rFont val="Arial, sans-serif"/>
        <color rgb="FF1155CC"/>
        <sz val="11.0"/>
        <u/>
      </rPr>
      <t>5 mar 2024</t>
    </r>
  </si>
  <si>
    <t>Los soles de Repsol iluminan a otros seis restaurantes gallegos, y ya van 40</t>
  </si>
  <si>
    <t>Eclectic y Terreo Cocina Casual (A Coruña), O' fragón (Fisterra), Balarés (Ponteceso), Simpar (Santiago de Compostela) y Javier Montero (Ribadeo) son las....</t>
  </si>
  <si>
    <t>Repsol's suns illuminate six other Galician restaurants, and there are already 40</t>
  </si>
  <si>
    <t>Eclectic and Terreo Cocina Casual (A Coruña), O' fragón (Fisterra), Balarés (Ponteceso), Simpar (Santiago de Compostela) and Javier Montero (Ribadeo) are the....</t>
  </si>
  <si>
    <r>
      <rPr>
        <rFont val="Arial, sans-serif"/>
        <color rgb="FF1155CC"/>
        <sz val="9.0"/>
        <u/>
      </rPr>
      <t>20Minutos</t>
    </r>
    <r>
      <rPr>
        <rFont val="Arial, sans-serif"/>
        <color rgb="FF1155CC"/>
        <sz val="15.0"/>
        <u/>
      </rPr>
      <t>Todos los premiados de la gala de entrega de Soles Repsol 2024</t>
    </r>
    <r>
      <rPr>
        <rFont val="Arial, sans-serif"/>
        <color rgb="FF1155CC"/>
        <sz val="11.0"/>
        <u/>
      </rPr>
      <t>Begoña Rodrigo, chef de La Salita, ha sido la gran triunfadora de esta edición donde con las nuevas incorporaciones suman un total de 764 restaurantes en el...</t>
    </r>
    <r>
      <rPr>
        <rFont val="Arial, sans-serif"/>
        <color rgb="FF1155CC"/>
        <sz val="12.0"/>
        <u/>
      </rPr>
      <t>.</t>
    </r>
    <r>
      <rPr>
        <rFont val="Arial, sans-serif"/>
        <color rgb="FF1155CC"/>
        <sz val="11.0"/>
        <u/>
      </rPr>
      <t>5 mar 2024</t>
    </r>
  </si>
  <si>
    <t>Todos los premiados de la gala de entrega de Soles Repsol 2024</t>
  </si>
  <si>
    <t>Begoña Rodrigo, chef de La Salita, ha sido la gran triunfadora de esta edición donde con las nuevas incorporaciones suman un total de 764 restaurantes en el....</t>
  </si>
  <si>
    <t>All the winners of the 2024 Repsol Suns award ceremony</t>
  </si>
  <si>
    <t>Begoña Rodrigo, chef at La Salita, has been the great winner of this edition where with the new additions there are a total of 764 restaurants in the...</t>
  </si>
  <si>
    <r>
      <rPr>
        <rFont val="Arial, sans-serif"/>
        <color rgb="FF1155CC"/>
        <sz val="9.0"/>
        <u/>
      </rPr>
      <t>Revista de Viajes</t>
    </r>
    <r>
      <rPr>
        <rFont val="Arial, sans-serif"/>
        <color rgb="FF1155CC"/>
        <sz val="15.0"/>
        <u/>
      </rPr>
      <t>Guía Repsol 2024: los nuevos Soles de la gastronomía española</t>
    </r>
    <r>
      <rPr>
        <rFont val="Arial, sans-serif"/>
        <color rgb="FF1155CC"/>
        <sz val="11.0"/>
        <u/>
      </rPr>
      <t>Begoña Rodrigo, chef de La Salita (Valencia) ha sido la gran triunfadora de la Gala de los Soles Guía Repsol 2024, al conseguir Tres Soles Repsol.</t>
    </r>
    <r>
      <rPr>
        <rFont val="Arial, sans-serif"/>
        <color rgb="FF1155CC"/>
        <sz val="12.0"/>
        <u/>
      </rPr>
      <t>.</t>
    </r>
    <r>
      <rPr>
        <rFont val="Arial, sans-serif"/>
        <color rgb="FF1155CC"/>
        <sz val="11.0"/>
        <u/>
      </rPr>
      <t>5 mar 2024</t>
    </r>
  </si>
  <si>
    <t>Revista de Viajes</t>
  </si>
  <si>
    <t>Guía Repsol 2024: los nuevos Soles de la gastronomía española</t>
  </si>
  <si>
    <t>Begoña Rodrigo, chef de La Salita (Valencia) ha sido la gran triunfadora de la Gala de los Soles Guía Repsol 2024, al conseguir Tres Soles Repsol.</t>
  </si>
  <si>
    <t>Repsol Guide 2024: the new Suns of Spanish gastronomy</t>
  </si>
  <si>
    <t>Begoña Rodrigo, chef at La Salita (Valencia) has been the great winner of the 2024 Repsol Guide Suns Gala, winning Three Repsol Suns.</t>
  </si>
  <si>
    <r>
      <rPr>
        <rFont val="Arial, sans-serif"/>
        <color rgb="FF1155CC"/>
        <sz val="9.0"/>
        <u/>
      </rPr>
      <t>El Confidencial</t>
    </r>
    <r>
      <rPr>
        <rFont val="Arial, sans-serif"/>
        <color rgb="FF1155CC"/>
        <sz val="15.0"/>
        <u/>
      </rPr>
      <t>Repsol instalará más de 1.000 puntos de carga para coches eléctricos en 80 estaciones de tren</t>
    </r>
    <r>
      <rPr>
        <rFont val="Arial, sans-serif"/>
        <color rgb="FF1155CC"/>
        <sz val="11.0"/>
        <u/>
      </rPr>
      <t>Adif y Adif Alta Velocidad han adjudicado a Repsol el suministro, la instalación, la operación y el mantenimiento de los más de 1.000 puntos de recarga de...</t>
    </r>
    <r>
      <rPr>
        <rFont val="Arial, sans-serif"/>
        <color rgb="FF1155CC"/>
        <sz val="12.0"/>
        <u/>
      </rPr>
      <t>.</t>
    </r>
    <r>
      <rPr>
        <rFont val="Arial, sans-serif"/>
        <color rgb="FF1155CC"/>
        <sz val="11.0"/>
        <u/>
      </rPr>
      <t>5 mar 2024</t>
    </r>
  </si>
  <si>
    <t>Repsol instalará más de 1.000 puntos de carga para coches eléctricos en 80 estaciones de tren</t>
  </si>
  <si>
    <t>Adif y Adif Alta Velocidad han adjudicado a Repsol el suministro, la instalación, la operación y el mantenimiento de los más de 1.000 puntos de recarga de....</t>
  </si>
  <si>
    <t>Repsol will install more than 1,000 charging points for electric cars in 80 train stations</t>
  </si>
  <si>
    <t>Adif and Adif Alta Velocity have awarded Repsol the supply, installation, operation and maintenance of the more than 1,000 charging points of...</t>
  </si>
  <si>
    <t>EV charging stations, Adif partnership</t>
  </si>
  <si>
    <t>Estaciones de carga de vehículos eléctricos, Colaboración con Adif</t>
  </si>
  <si>
    <t>Expanding electric vehicle infrastructure aligns with Repsol’s transition to clean energy.</t>
  </si>
  <si>
    <t>puntos de carga, coches eléctricos, instalación</t>
  </si>
  <si>
    <r>
      <rPr>
        <rFont val="Arial, sans-serif"/>
        <color rgb="FF1155CC"/>
        <sz val="9.0"/>
        <u/>
      </rPr>
      <t>ABC</t>
    </r>
    <r>
      <rPr>
        <rFont val="Arial, sans-serif"/>
        <color rgb="FF1155CC"/>
        <sz val="15.0"/>
        <u/>
      </rPr>
      <t>Córdoba se alza con dos nuevos Soles Repsol</t>
    </r>
    <r>
      <rPr>
        <rFont val="Arial, sans-serif"/>
        <color rgb="FF1155CC"/>
        <sz val="11.0"/>
        <u/>
      </rPr>
      <t>Ermita de la Candelaria y Terra Olea se estrenan con Un Sol como abanderados de la tradición y la innovación. Córdoba se alza con dos nuevos Soles Repsol.</t>
    </r>
    <r>
      <rPr>
        <rFont val="Arial, sans-serif"/>
        <color rgb="FF1155CC"/>
        <sz val="12.0"/>
        <u/>
      </rPr>
      <t>.</t>
    </r>
    <r>
      <rPr>
        <rFont val="Arial, sans-serif"/>
        <color rgb="FF1155CC"/>
        <sz val="11.0"/>
        <u/>
      </rPr>
      <t>5 mar 2024</t>
    </r>
  </si>
  <si>
    <t>Córdoba se alza con dos nuevos Soles Repsol</t>
  </si>
  <si>
    <t>Ermita de la Candelaria y Terra Olea se estrenan con Un Sol como abanderados de la tradición y la innovación. Córdoba se alza con dos nuevos Soles Repsol.</t>
  </si>
  <si>
    <t>Córdoba wins two new Repsol Suns</t>
  </si>
  <si>
    <t>Ermita de la Candelaria and Terra Olea debut with Un Sol as standard bearers of tradition and innovation. Córdoba wins two new Repsol Suns.</t>
  </si>
  <si>
    <r>
      <rPr>
        <rFont val="Arial, sans-serif"/>
        <color rgb="FF1155CC"/>
        <sz val="9.0"/>
        <u/>
      </rPr>
      <t>El Español</t>
    </r>
    <r>
      <rPr>
        <rFont val="Arial, sans-serif"/>
        <color rgb="FF1155CC"/>
        <sz val="15.0"/>
        <u/>
      </rPr>
      <t>Esta es la lista de los nuevos restaurantes con Soles Repsol de la Comunidad de Madrid</t>
    </r>
    <r>
      <rPr>
        <rFont val="Arial, sans-serif"/>
        <color rgb="FF1155CC"/>
        <sz val="11.0"/>
        <u/>
      </rPr>
      <t>La región suma un total de 101 restaurantes que forman el universo de Soles Guía Repsol, que ha celebrado su gala este lunes por la noche en Cartagena.</t>
    </r>
    <r>
      <rPr>
        <rFont val="Arial, sans-serif"/>
        <color rgb="FF1155CC"/>
        <sz val="12.0"/>
        <u/>
      </rPr>
      <t>.</t>
    </r>
    <r>
      <rPr>
        <rFont val="Arial, sans-serif"/>
        <color rgb="FF1155CC"/>
        <sz val="11.0"/>
        <u/>
      </rPr>
      <t>5 mar 2024</t>
    </r>
  </si>
  <si>
    <t>Esta es la lista de los nuevos restaurantes con Soles Repsol de la Comunidad de Madrid</t>
  </si>
  <si>
    <t>La región suma un total de 101 restaurantes que forman el universo de Soles Guía Repsol, que ha celebrado su gala este lunes por la noche en Cartagena.</t>
  </si>
  <si>
    <t>This is the list of the new restaurants with Repsol Soles in the Community of Madrid</t>
  </si>
  <si>
    <t>The region has a total of 101 restaurants that make up the universe of Soles Guía Repsol, which held its gala this Monday night in Cartagena.</t>
  </si>
  <si>
    <r>
      <rPr>
        <rFont val="Arial, sans-serif"/>
        <color rgb="FF1155CC"/>
        <sz val="9.0"/>
        <u/>
      </rPr>
      <t>7TeleValencia</t>
    </r>
    <r>
      <rPr>
        <rFont val="Arial, sans-serif"/>
        <color rgb="FF1155CC"/>
        <sz val="15.0"/>
        <u/>
      </rPr>
      <t>60 restaurantes valencianos, en la lista de los Soles Repsol</t>
    </r>
    <r>
      <rPr>
        <rFont val="Arial, sans-serif"/>
        <color rgb="FF1155CC"/>
        <sz val="11.0"/>
        <u/>
      </rPr>
      <t>La valenciana Begoña Rodrigo ('La Salita') consigue el máximo galardón con 3 Soles Guía Repsol en un año brillante para la gastronomía.</t>
    </r>
    <r>
      <rPr>
        <rFont val="Arial, sans-serif"/>
        <color rgb="FF1155CC"/>
        <sz val="12.0"/>
        <u/>
      </rPr>
      <t>.</t>
    </r>
    <r>
      <rPr>
        <rFont val="Arial, sans-serif"/>
        <color rgb="FF1155CC"/>
        <sz val="11.0"/>
        <u/>
      </rPr>
      <t>5 mar 2024</t>
    </r>
  </si>
  <si>
    <t>TeleValencia</t>
  </si>
  <si>
    <t>60 restaurantes valencianos, en la lista de los Soles Repsol</t>
  </si>
  <si>
    <t>La valenciana Begoña Rodrigo ('La Salita') consigue el máximo galardón con 3 Soles Guía Repsol en un año brillante para la gastronomía.</t>
  </si>
  <si>
    <t>60 Valencian restaurants, on the Repsol Suns list</t>
  </si>
  <si>
    <t>The Valencian Begoña Rodrigo ('La Salita') achieves the highest award with 3 Repsol Guide Suns in a brilliant year for gastronomy.</t>
  </si>
  <si>
    <r>
      <rPr>
        <rFont val="Arial, sans-serif"/>
        <color rgb="FF1155CC"/>
        <sz val="9.0"/>
        <u/>
      </rPr>
      <t>El Diario Vasco</t>
    </r>
    <r>
      <rPr>
        <rFont val="Arial, sans-serif"/>
        <color rgb="FF1155CC"/>
        <sz val="15.0"/>
        <u/>
      </rPr>
      <t>Cuánto cuesta comer en los cuatro nuevos soles Repsol de Gipuzkoa</t>
    </r>
    <r>
      <rPr>
        <rFont val="Arial, sans-serif"/>
        <color rgb="FF1155CC"/>
        <sz val="11.0"/>
        <u/>
      </rPr>
      <t>Casa Julián, Ama, Araneta y Aiten Etxe han sido galardonados en la última edición de la prestigiosa guía.</t>
    </r>
    <r>
      <rPr>
        <rFont val="Arial, sans-serif"/>
        <color rgb="FF1155CC"/>
        <sz val="12.0"/>
        <u/>
      </rPr>
      <t>.</t>
    </r>
    <r>
      <rPr>
        <rFont val="Arial, sans-serif"/>
        <color rgb="FF1155CC"/>
        <sz val="11.0"/>
        <u/>
      </rPr>
      <t>5 mar 2024</t>
    </r>
  </si>
  <si>
    <t>Cuánto cuesta comer en los cuatro nuevos soles Repsol de Gipuzkoa</t>
  </si>
  <si>
    <t>Casa Julián, Ama, Araneta y Aiten Etxe han sido galardonados en la última edición de la prestigiosa guía.</t>
  </si>
  <si>
    <t>How much does it cost to eat at the four new Repsol soles in Gipuzkoa?</t>
  </si>
  <si>
    <t>Casa Julián, Ama, Araneta and Aiten Etxe have been awarded in the latest edition of the prestigious guide.</t>
  </si>
  <si>
    <r>
      <rPr>
        <rFont val="Arial, sans-serif"/>
        <color rgb="FF1155CC"/>
        <sz val="9.0"/>
        <u/>
      </rPr>
      <t>Revista Sobremesa</t>
    </r>
    <r>
      <rPr>
        <rFont val="Arial, sans-serif"/>
        <color rgb="FF1155CC"/>
        <sz val="15.0"/>
        <u/>
      </rPr>
      <t>Soles Repsol y premios Time Out: cada vez más influencia (sin sombra de Michelin)</t>
    </r>
    <r>
      <rPr>
        <rFont val="Arial, sans-serif"/>
        <color rgb="FF1155CC"/>
        <sz val="11.0"/>
        <u/>
      </rPr>
      <t>Con apenas unas horas de diferencia en España se han vivido dos galas que cada año tienen más auge, prestigio y seguimiento. Por un lado, los Soles Repsol a...</t>
    </r>
    <r>
      <rPr>
        <rFont val="Arial, sans-serif"/>
        <color rgb="FF1155CC"/>
        <sz val="12.0"/>
        <u/>
      </rPr>
      <t>.</t>
    </r>
    <r>
      <rPr>
        <rFont val="Arial, sans-serif"/>
        <color rgb="FF1155CC"/>
        <sz val="11.0"/>
        <u/>
      </rPr>
      <t>5 mar 2024</t>
    </r>
  </si>
  <si>
    <t>Revista Sobremesa</t>
  </si>
  <si>
    <t>Soles Repsol y premios Time Out: cada vez más influencia (sin sombra de Michelin)</t>
  </si>
  <si>
    <t>Con apenas unas horas de diferencia en España se han vivido dos galas que cada año tienen más auge, prestigio y seguimiento. Por un lado, los Soles Repsol a....</t>
  </si>
  <si>
    <t>Repsol suns and Time Out awards: more and more influence (without Michelin's shadow)</t>
  </si>
  <si>
    <t>With just a few hours of difference in Spain there have been two galas that each year have more popularity, prestige and following. On the one hand, the Repsol Suns a....</t>
  </si>
  <si>
    <r>
      <rPr>
        <rFont val="Arial, sans-serif"/>
        <color rgb="FF1155CC"/>
        <sz val="9.0"/>
        <u/>
      </rPr>
      <t>La Verdad</t>
    </r>
    <r>
      <rPr>
        <rFont val="Arial, sans-serif"/>
        <color rgb="FF1155CC"/>
        <sz val="15.0"/>
        <u/>
      </rPr>
      <t>Estos son los 23 restaurantes de la Región de Murcia que cuentan con al menos un Sol Repsol</t>
    </r>
    <r>
      <rPr>
        <rFont val="Arial, sans-serif"/>
        <color rgb="FF1155CC"/>
        <sz val="11.0"/>
        <u/>
      </rPr>
      <t>Tres locales se suman este año a una lista que muestra el extraordinario momento que vive la gastronomía de la Comunidad.</t>
    </r>
    <r>
      <rPr>
        <rFont val="Arial, sans-serif"/>
        <color rgb="FF1155CC"/>
        <sz val="12.0"/>
        <u/>
      </rPr>
      <t>.</t>
    </r>
    <r>
      <rPr>
        <rFont val="Arial, sans-serif"/>
        <color rgb="FF1155CC"/>
        <sz val="11.0"/>
        <u/>
      </rPr>
      <t>5 mar 2024</t>
    </r>
  </si>
  <si>
    <t>Estos son los 23 restaurantes de la Región de Murcia que cuentan con al menos un Sol Repsol</t>
  </si>
  <si>
    <t>Tres locales se suman este año a una lista que muestra el extraordinario momento que vive la gastronomía de la Comunidad.</t>
  </si>
  <si>
    <t>These are the 23 restaurants in the Region of Murcia that have at least one Sol Repsol</t>
  </si>
  <si>
    <t>This year three establishments join a list that shows the extraordinary moment that the Community's gastronomy is experiencing.</t>
  </si>
  <si>
    <r>
      <rPr>
        <rFont val="Arial, sans-serif"/>
        <color rgb="FF1155CC"/>
        <sz val="9.0"/>
        <u/>
      </rPr>
      <t>Europa Press</t>
    </r>
    <r>
      <rPr>
        <rFont val="Arial, sans-serif"/>
        <color rgb="FF1155CC"/>
        <sz val="15.0"/>
        <u/>
      </rPr>
      <t>Cantabria suma 12 Soles Guía Repsol con la incorporación del restaurante Pico Velasco</t>
    </r>
    <r>
      <rPr>
        <rFont val="Arial, sans-serif"/>
        <color rgb="FF1155CC"/>
        <sz val="11.0"/>
        <u/>
      </rPr>
      <t>SANTANDER 5 Mar. (EUROPA PRESS) -. El restaurante Pico Velasco de Voto ha sido reconocido este lunes con un Sol Guía Repsol, por lo que Cantabria suma un...</t>
    </r>
    <r>
      <rPr>
        <rFont val="Arial, sans-serif"/>
        <color rgb="FF1155CC"/>
        <sz val="12.0"/>
        <u/>
      </rPr>
      <t>.</t>
    </r>
    <r>
      <rPr>
        <rFont val="Arial, sans-serif"/>
        <color rgb="FF1155CC"/>
        <sz val="11.0"/>
        <u/>
      </rPr>
      <t>5 mar 2024</t>
    </r>
  </si>
  <si>
    <t>Cantabria suma 12 Soles Guía Repsol con la incorporación del restaurante Pico Velasco</t>
  </si>
  <si>
    <t>El restaurante Pico Velasco de Voto ha sido reconocido este lunes con un Sol Guía Repsol, por lo que Cantabria suma un....</t>
  </si>
  <si>
    <t>Cantabria adds 12 Repsol Guide Suns with the incorporation of the Pico Velasco restaurant</t>
  </si>
  <si>
    <t>The Pico Velasco de Voto restaurant has been recognized this Monday with a Repsol Guide Sun, so Cantabria adds a....</t>
  </si>
  <si>
    <r>
      <rPr>
        <rFont val="Arial, sans-serif"/>
        <color rgb="FF1155CC"/>
        <sz val="9.0"/>
        <u/>
      </rPr>
      <t>ABC</t>
    </r>
    <r>
      <rPr>
        <rFont val="Arial, sans-serif"/>
        <color rgb="FF1155CC"/>
        <sz val="15.0"/>
        <u/>
      </rPr>
      <t>El mapa de todos los restaurantes con soles Repsol en 2024</t>
    </r>
    <r>
      <rPr>
        <rFont val="Arial, sans-serif"/>
        <color rgb="FF1155CC"/>
        <sz val="11.0"/>
        <u/>
      </rPr>
      <t>La Guía Repsol 2024 incluye 764 restaurantes de toda España con alguna distinción. De ellos, 44 son tres soles, 168 dos soles y 552 un sol. De los 98 nuevos...</t>
    </r>
    <r>
      <rPr>
        <rFont val="Arial, sans-serif"/>
        <color rgb="FF1155CC"/>
        <sz val="12.0"/>
        <u/>
      </rPr>
      <t>.</t>
    </r>
    <r>
      <rPr>
        <rFont val="Arial, sans-serif"/>
        <color rgb="FF1155CC"/>
        <sz val="11.0"/>
        <u/>
      </rPr>
      <t>5 mar 2024</t>
    </r>
  </si>
  <si>
    <t>El mapa de todos los restaurantes con soles Repsol en 2024</t>
  </si>
  <si>
    <t>La Guía Repsol 2024 incluye 764 restaurantes de toda España con alguna distinción. De ellos, 44 son tres soles, 168 dos soles y 552 un sol. De los 98 nuevos....</t>
  </si>
  <si>
    <t>The map of all restaurants with Repsol soles in 2024</t>
  </si>
  <si>
    <t>The Repsol Guide 2024 includes 764 restaurants from all over Spain with some distinction. Of them, 44 are three suns, 168 are two suns and 552 are one sun. Of the 98 new ones....</t>
  </si>
  <si>
    <r>
      <rPr>
        <rFont val="Arial, sans-serif"/>
        <color rgb="FF1155CC"/>
        <sz val="9.0"/>
        <u/>
      </rPr>
      <t>ABC</t>
    </r>
    <r>
      <rPr>
        <rFont val="Arial, sans-serif"/>
        <color rgb="FF1155CC"/>
        <sz val="15.0"/>
        <u/>
      </rPr>
      <t>Estos son los nuevos Soles Guía Repsol 2024 en Castilla-La Mancha</t>
    </r>
    <r>
      <rPr>
        <rFont val="Arial, sans-serif"/>
        <color rgb="FF1155CC"/>
        <sz val="11.0"/>
        <u/>
      </rPr>
      <t>La región suma 4 Soles: 'Casas Colgadas', de Cuenca suma 2 Soles, 'Ababol', en Albacete, 1 y 'Ancestral', en Illescas (Toledo), uno.</t>
    </r>
    <r>
      <rPr>
        <rFont val="Arial, sans-serif"/>
        <color rgb="FF1155CC"/>
        <sz val="12.0"/>
        <u/>
      </rPr>
      <t>.</t>
    </r>
    <r>
      <rPr>
        <rFont val="Arial, sans-serif"/>
        <color rgb="FF1155CC"/>
        <sz val="11.0"/>
        <u/>
      </rPr>
      <t>5 mar 2024</t>
    </r>
  </si>
  <si>
    <t>Estos son los nuevos Soles Guía Repsol 2024 en Castilla-La Mancha</t>
  </si>
  <si>
    <t>La región suma 4 Soles: 'Casas Colgadas', de Cuenca suma 2 Soles, 'Ababol', en Albacete, 1 y 'Ancestral', en Illescas (Toledo), uno.</t>
  </si>
  <si>
    <t>These are the new Repsol Guide Suns 2024 in Castilla-La Mancha</t>
  </si>
  <si>
    <t>The region adds 4 Soles: 'Casas Colgadas', from Cuenca adds 2 Soles, 'Ababol', in Albacete, 1 and 'Ancestral', in Illescas (Toledo), one.</t>
  </si>
  <si>
    <r>
      <rPr>
        <rFont val="Arial, sans-serif"/>
        <color rgb="FF1155CC"/>
        <sz val="9.0"/>
        <u/>
      </rPr>
      <t>SoriaNoticias</t>
    </r>
    <r>
      <rPr>
        <rFont val="Arial, sans-serif"/>
        <color rgb="FF1155CC"/>
        <sz val="15.0"/>
        <u/>
      </rPr>
      <t>Soria mantiene sus Soles Repsol: Estos son los cuatro establecimientos que mantienen la etiqueta en la provincia</t>
    </r>
    <r>
      <rPr>
        <rFont val="Arial, sans-serif"/>
        <color rgb="FF1155CC"/>
        <sz val="11.0"/>
        <u/>
      </rPr>
      <t>El Auditorio y Palacio de Congresos El Batel de Cartagena era el escenario de la Gala de los Soles Guía Repsol 2024 este lunes. Un total de 98 restaurantes...</t>
    </r>
    <r>
      <rPr>
        <rFont val="Arial, sans-serif"/>
        <color rgb="FF1155CC"/>
        <sz val="12.0"/>
        <u/>
      </rPr>
      <t>.</t>
    </r>
    <r>
      <rPr>
        <rFont val="Arial, sans-serif"/>
        <color rgb="FF1155CC"/>
        <sz val="11.0"/>
        <u/>
      </rPr>
      <t>5 mar 2024</t>
    </r>
  </si>
  <si>
    <t>SoriaNoticias</t>
  </si>
  <si>
    <t>Soria mantiene sus Soles Repsol: Estos son los cuatro establecimientos que mantienen la etiqueta en la provincia</t>
  </si>
  <si>
    <t>Soria mantiene sus Soles Repsol: Estos son los cuatro establecimientos que mantienen la etiqueta en la provincia.</t>
  </si>
  <si>
    <t>Soria maintains its Repsol Soles: These are the four establishments that maintain the label in the province</t>
  </si>
  <si>
    <t>Soria maintains its Repsol Soles: These are the four establishments that maintain the label in the province.</t>
  </si>
  <si>
    <r>
      <rPr>
        <rFont val="Arial, sans-serif"/>
        <color rgb="FF1155CC"/>
        <sz val="9.0"/>
        <u/>
      </rPr>
      <t>e-noticies.cat</t>
    </r>
    <r>
      <rPr>
        <rFont val="Arial, sans-serif"/>
        <color rgb="FF1155CC"/>
        <sz val="15.0"/>
        <u/>
      </rPr>
      <t>Los 6 restaurantes de Barcelona premiados con 3 Soles de la Guía Repsol 2024</t>
    </r>
    <r>
      <rPr>
        <rFont val="Arial, sans-serif"/>
        <color rgb="FF1155CC"/>
        <sz val="11.0"/>
        <u/>
      </rPr>
      <t>La Guía Repsol es una herramienta útil para aquellos que buscan experiencias gastronómicas y turísticas de alta calidad. Ahora es...</t>
    </r>
    <r>
      <rPr>
        <rFont val="Arial, sans-serif"/>
        <color rgb="FF1155CC"/>
        <sz val="12.0"/>
        <u/>
      </rPr>
      <t>.</t>
    </r>
    <r>
      <rPr>
        <rFont val="Arial, sans-serif"/>
        <color rgb="FF1155CC"/>
        <sz val="11.0"/>
        <u/>
      </rPr>
      <t>5 mar 2024</t>
    </r>
  </si>
  <si>
    <t>Los 6 restaurantes de Barcelona premiados con 3 Soles de la Guía Repsol 2024</t>
  </si>
  <si>
    <t>La Guía Repsol es una herramienta útil para aquellos que buscan experiencias gastronómicas y turísticas de alta calidad. Ahora es....</t>
  </si>
  <si>
    <t>The 6 restaurants in Barcelona awarded 3 Suns from the Repsol Guide 2024</t>
  </si>
  <si>
    <t>The Repsol Guide is a useful tool for those looking for high-quality gastronomic and tourist experiences. Now it is....</t>
  </si>
  <si>
    <r>
      <rPr>
        <rFont val="Arial, sans-serif"/>
        <color rgb="FF1155CC"/>
        <sz val="9.0"/>
        <u/>
      </rPr>
      <t>ABC</t>
    </r>
    <r>
      <rPr>
        <rFont val="Arial, sans-serif"/>
        <color rgb="FF1155CC"/>
        <sz val="15.0"/>
        <u/>
      </rPr>
      <t>¿Cómo es Señor Cangrejo, el nuevo Sol Repsol de Sevilla?</t>
    </r>
    <r>
      <rPr>
        <rFont val="Arial, sans-serif"/>
        <color rgb="FF1155CC"/>
        <sz val="11.0"/>
        <u/>
      </rPr>
      <t>El establecimiento de la calle Harinas abrió en noviembre de 2022 de la mano de los grupos Ovejas Negras y Tradevo.</t>
    </r>
    <r>
      <rPr>
        <rFont val="Arial, sans-serif"/>
        <color rgb="FF1155CC"/>
        <sz val="12.0"/>
        <u/>
      </rPr>
      <t>.</t>
    </r>
    <r>
      <rPr>
        <rFont val="Arial, sans-serif"/>
        <color rgb="FF1155CC"/>
        <sz val="11.0"/>
        <u/>
      </rPr>
      <t>5 mar 2024</t>
    </r>
  </si>
  <si>
    <t>¿Cómo es Señor Cangrejo, el nuevo Sol Repsol de Sevilla?</t>
  </si>
  <si>
    <t>El establecimiento de la calle Harinas abrió en noviembre de 2022 de la mano de los grupos Ovejas Negras y Tradevo.</t>
  </si>
  <si>
    <t>What is Señor Cangrejo, the new Sol Repsol of Seville, like?</t>
  </si>
  <si>
    <t>The establishment on Harinas Street opened in November 2022 thanks to the Ovejas Negras and Tradevo groups.</t>
  </si>
  <si>
    <r>
      <rPr>
        <rFont val="Arial, sans-serif"/>
        <color rgb="FF1155CC"/>
        <sz val="9.0"/>
        <u/>
      </rPr>
      <t>El Español</t>
    </r>
    <r>
      <rPr>
        <rFont val="Arial, sans-serif"/>
        <color rgb="FF1155CC"/>
        <sz val="15.0"/>
        <u/>
      </rPr>
      <t>Estos son los restaurantes recomendados por la Guía Repsol en Vigo</t>
    </r>
    <r>
      <rPr>
        <rFont val="Arial, sans-serif"/>
        <color rgb="FF1155CC"/>
        <sz val="11.0"/>
        <u/>
      </rPr>
      <t>La ciudad olívica cuenta con 8 locales que la guía recomienda y que se encuentran desperdigados por el casco urbano.</t>
    </r>
    <r>
      <rPr>
        <rFont val="Arial, sans-serif"/>
        <color rgb="FF1155CC"/>
        <sz val="12.0"/>
        <u/>
      </rPr>
      <t>.</t>
    </r>
    <r>
      <rPr>
        <rFont val="Arial, sans-serif"/>
        <color rgb="FF1155CC"/>
        <sz val="11.0"/>
        <u/>
      </rPr>
      <t>5 mar 2024</t>
    </r>
  </si>
  <si>
    <t>Estos son los restaurantes recomendados por la Guía Repsol en Vigo</t>
  </si>
  <si>
    <t>La ciudad olívica cuenta con 8 locales que la guía recomienda y que se encuentran desperdigados por el casco urbano.</t>
  </si>
  <si>
    <t>These are the restaurants recommended by the Repsol Guide in Vigo</t>
  </si>
  <si>
    <t>The olive city has 8 places that the guide recommends and that are scattered throughout the urban area.</t>
  </si>
  <si>
    <r>
      <rPr>
        <rFont val="Arial, sans-serif"/>
        <color rgb="FF1155CC"/>
        <sz val="9.0"/>
        <u/>
      </rPr>
      <t>Barcelona Secreta</t>
    </r>
    <r>
      <rPr>
        <rFont val="Arial, sans-serif"/>
        <color rgb="FF1155CC"/>
        <sz val="15.0"/>
        <u/>
      </rPr>
      <t>Un restaurante de barrio y otro japonés, entre los nuevos soles Repsol en Barcelona</t>
    </r>
    <r>
      <rPr>
        <rFont val="Arial, sans-serif"/>
        <color rgb="FF1155CC"/>
        <sz val="11.0"/>
        <u/>
      </rPr>
      <t>La Guía Repsol ha entregado los premios Sol Repsol en Catalunya, con 5 nuevos locales en Barcelona y 4 en Girona.</t>
    </r>
    <r>
      <rPr>
        <rFont val="Arial, sans-serif"/>
        <color rgb="FF1155CC"/>
        <sz val="12.0"/>
        <u/>
      </rPr>
      <t>.</t>
    </r>
    <r>
      <rPr>
        <rFont val="Arial, sans-serif"/>
        <color rgb="FF1155CC"/>
        <sz val="11.0"/>
        <u/>
      </rPr>
      <t>5 mar 2024</t>
    </r>
  </si>
  <si>
    <t>Barcelona Secreta</t>
  </si>
  <si>
    <t>Un restaurante de barrio y otro japonés, entre los nuevos soles Repsol en Barcelona</t>
  </si>
  <si>
    <t>Un restaurante de barrio y otro japonés, entre los nuevos soles Repsol en Barcelona. La Guía Repsol ha entregado los premios Sol Repsol en Catalunya, con 5 nuevos locales en Barcelona y 4 en Girona.</t>
  </si>
  <si>
    <t>A neighborhood restaurant and a Japanese one, among the new Repsol suns in Barcelona</t>
  </si>
  <si>
    <t>A neighborhood restaurant and a Japanese one, among the new Repsol suns in Barcelona. The Repsol Guide has delivered the Sol Repsol awards in Catalonia, with 5 new stores in Barcelona and 4 in Girona.</t>
  </si>
  <si>
    <r>
      <rPr>
        <rFont val="Arial, sans-serif"/>
        <color rgb="FF1155CC"/>
        <sz val="9.0"/>
        <u/>
      </rPr>
      <t>ABC</t>
    </r>
    <r>
      <rPr>
        <rFont val="Arial, sans-serif"/>
        <color rgb="FF1155CC"/>
        <sz val="15.0"/>
        <u/>
      </rPr>
      <t>Estos son los restaurantes de Madrid premiados con soles de la Guía Repsol 2024</t>
    </r>
    <r>
      <rPr>
        <rFont val="Arial, sans-serif"/>
        <color rgb="FF1155CC"/>
        <sz val="11.0"/>
        <u/>
      </rPr>
      <t>La Comunidad de Madrid suma 18 nuevos soles a los ya existentes, que son más de 100 galardonados con este reconocimiento culinario.</t>
    </r>
    <r>
      <rPr>
        <rFont val="Arial, sans-serif"/>
        <color rgb="FF1155CC"/>
        <sz val="12.0"/>
        <u/>
      </rPr>
      <t>.</t>
    </r>
    <r>
      <rPr>
        <rFont val="Arial, sans-serif"/>
        <color rgb="FF1155CC"/>
        <sz val="11.0"/>
        <u/>
      </rPr>
      <t>5 mar 2024</t>
    </r>
  </si>
  <si>
    <t>Estos son los restaurantes de Madrid premiados con soles de la Guía Repsol 2024</t>
  </si>
  <si>
    <t>La Comunidad de Madrid suma 18 nuevos soles a los ya existentes, que son más de 100 galardonados con este reconocimiento culinario.</t>
  </si>
  <si>
    <t>These are the Madrid restaurants awarded with soles from the Repsol Guide 2024</t>
  </si>
  <si>
    <t>The Community of Madrid adds 18 new soles to the existing ones, which are more than 100 awarded with this culinary recognition.</t>
  </si>
  <si>
    <r>
      <rPr>
        <rFont val="Arial, sans-serif"/>
        <color rgb="FF1155CC"/>
        <sz val="9.0"/>
        <u/>
      </rPr>
      <t>Guía Repsol</t>
    </r>
    <r>
      <rPr>
        <rFont val="Arial, sans-serif"/>
        <color rgb="FF1155CC"/>
        <sz val="15.0"/>
        <u/>
      </rPr>
      <t>Las mujeres conquistan la sala de los Soles</t>
    </r>
    <r>
      <rPr>
        <rFont val="Arial, sans-serif"/>
        <color rgb="FF1155CC"/>
        <sz val="11.0"/>
        <u/>
      </rPr>
      <t>Maestras del lenguaje visual, perfeccionistas, pacientes y atentas a todos los detalles, las jefas de sala se desviven por transmitir la esencia de la...</t>
    </r>
    <r>
      <rPr>
        <rFont val="Arial, sans-serif"/>
        <color rgb="FF1155CC"/>
        <sz val="12.0"/>
        <u/>
      </rPr>
      <t>.</t>
    </r>
    <r>
      <rPr>
        <rFont val="Arial, sans-serif"/>
        <color rgb="FF1155CC"/>
        <sz val="11.0"/>
        <u/>
      </rPr>
      <t>5 mar 2024</t>
    </r>
  </si>
  <si>
    <t>Las mujeres conquistan la sala de los Soles</t>
  </si>
  <si>
    <t>Maestras del lenguaje visual, perfeccionistas, pacientes y atentas a todos los detalles, las jefas de sala se desviven por transmitir la esencia de la....</t>
  </si>
  <si>
    <t>Women conquer the room of the Suns</t>
  </si>
  <si>
    <t>Masters of visual language, perfectionists, patient and attentive to all the details, the room managers go out of their way to convey the essence of the...</t>
  </si>
  <si>
    <r>
      <rPr>
        <rFont val="Arial, sans-serif"/>
        <color rgb="FF1155CC"/>
        <sz val="9.0"/>
        <u/>
      </rPr>
      <t>ABC</t>
    </r>
    <r>
      <rPr>
        <rFont val="Arial, sans-serif"/>
        <color rgb="FF1155CC"/>
        <sz val="15.0"/>
        <u/>
      </rPr>
      <t>Estos son los restaurantes de Cataluña premiados con soles de la Guía Repsol 2024</t>
    </r>
    <r>
      <rPr>
        <rFont val="Arial, sans-serif"/>
        <color rgb="FF1155CC"/>
        <sz val="11.0"/>
        <u/>
      </rPr>
      <t>Un año más, la Guía Repsol acaba de publicar una nueva edición con la que espera seguir siendo un referente para muchos. Y es que este gran manual,...</t>
    </r>
    <r>
      <rPr>
        <rFont val="Arial, sans-serif"/>
        <color rgb="FF1155CC"/>
        <sz val="12.0"/>
        <u/>
      </rPr>
      <t>.</t>
    </r>
    <r>
      <rPr>
        <rFont val="Arial, sans-serif"/>
        <color rgb="FF1155CC"/>
        <sz val="11.0"/>
        <u/>
      </rPr>
      <t>5 mar 2024</t>
    </r>
  </si>
  <si>
    <t>Los restaurantes de Cataluña premiados con soles de la Guía Repsol 2024</t>
  </si>
  <si>
    <t>Un año más, la Guía Repsol acaba de publicar una nueva edición con la que espera seguir siendo un referente para muchos. Y es que este gran manual,....</t>
  </si>
  <si>
    <t>The restaurants in Catalonia awarded with soles from the Repsol Guide 2024</t>
  </si>
  <si>
    <t>For yet another year, the Repsol Guide has just published a new edition with which it hopes to continue being a reference for many. And this great manual,....</t>
  </si>
  <si>
    <r>
      <rPr>
        <rFont val="Arial, sans-serif"/>
        <color rgb="FF1155CC"/>
        <sz val="9.0"/>
        <u/>
      </rPr>
      <t>La voz de Cádiz</t>
    </r>
    <r>
      <rPr>
        <rFont val="Arial, sans-serif"/>
        <color rgb="FF1155CC"/>
        <sz val="15.0"/>
        <u/>
      </rPr>
      <t>Cádiz deslumbra con tres nuevos Soles Repsol</t>
    </r>
    <r>
      <rPr>
        <rFont val="Arial, sans-serif"/>
        <color rgb="FF1155CC"/>
        <sz val="11.0"/>
        <u/>
      </rPr>
      <t>La Guía Repsol, celebrada este lunes 4 de marzo en el Auditorio y Palacio de Congresos El Batel de Cartagena, ha vuelto a reconocer la excelencia culinaria...</t>
    </r>
    <r>
      <rPr>
        <rFont val="Arial, sans-serif"/>
        <color rgb="FF1155CC"/>
        <sz val="12.0"/>
        <u/>
      </rPr>
      <t>.</t>
    </r>
    <r>
      <rPr>
        <rFont val="Arial, sans-serif"/>
        <color rgb="FF1155CC"/>
        <sz val="11.0"/>
        <u/>
      </rPr>
      <t>5 mar 2024</t>
    </r>
  </si>
  <si>
    <t>La voz de Cádiz</t>
  </si>
  <si>
    <t>Cádiz deslumbra con tres nuevos Soles Repsol</t>
  </si>
  <si>
    <t>La Guía Repsol, celebrada este lunes 4 de marzo en el Auditorio y Palacio de Congresos El Batel de Cartagena, ha vuelto a reconocer la excelencia culinaria....</t>
  </si>
  <si>
    <t>Cádiz dazzles with three new Repsol Suns</t>
  </si>
  <si>
    <t>The Repsol Guide, held this Monday, March 4 at the El Batel Auditorium and Conference Center in Cartagena, has once again recognized culinary excellence....</t>
  </si>
  <si>
    <r>
      <rPr>
        <rFont val="Arial, sans-serif"/>
        <color rgb="FF1155CC"/>
        <sz val="9.0"/>
        <u/>
      </rPr>
      <t>elDiario.es</t>
    </r>
    <r>
      <rPr>
        <rFont val="Arial, sans-serif"/>
        <color rgb="FF1155CC"/>
        <sz val="15.0"/>
        <u/>
      </rPr>
      <t>Los restaurantes Casa Osmunda de Breña Alta y El Sitio de Tazacorte logran un ‘Sol’ de la Guía Repsol 2024</t>
    </r>
    <r>
      <rPr>
        <rFont val="Arial, sans-serif"/>
        <color rgb="FF1155CC"/>
        <sz val="11.0"/>
        <u/>
      </rPr>
      <t>Este prestigioso galardón reconoce la variedad de platos y una calidad excelente.</t>
    </r>
    <r>
      <rPr>
        <rFont val="Arial, sans-serif"/>
        <color rgb="FF1155CC"/>
        <sz val="12.0"/>
        <u/>
      </rPr>
      <t>.</t>
    </r>
    <r>
      <rPr>
        <rFont val="Arial, sans-serif"/>
        <color rgb="FF1155CC"/>
        <sz val="11.0"/>
        <u/>
      </rPr>
      <t>5 mar 2024</t>
    </r>
  </si>
  <si>
    <t>Los restaurantes Casa Osmunda de Breña Alta y El Sitio de Tazacorte logran un ‘Sol’ de la Guía Repsol 2024</t>
  </si>
  <si>
    <t>Este prestigioso galardón reconoce la variedad de platos y una calidad excelente.</t>
  </si>
  <si>
    <t>The restaurants Casa Osmunda in Breña Alta and El Sitio in Tazacorte achieve a 'Sun' from the Repsol 2024 Guide</t>
  </si>
  <si>
    <t>This prestigious award recognizes the variety of dishes and excellent quality.</t>
  </si>
  <si>
    <r>
      <rPr>
        <rFont val="Arial, sans-serif"/>
        <color rgb="FF1155CC"/>
        <sz val="9.0"/>
        <u/>
      </rPr>
      <t>La Razón</t>
    </r>
    <r>
      <rPr>
        <rFont val="Arial, sans-serif"/>
        <color rgb="FF1155CC"/>
        <sz val="15.0"/>
        <u/>
      </rPr>
      <t>Galicia suma 6 nuevos soles Repsol</t>
    </r>
    <r>
      <rPr>
        <rFont val="Arial, sans-serif"/>
        <color rgb="FF1155CC"/>
        <sz val="11.0"/>
        <u/>
      </rPr>
      <t>Cuarenta restaurantes gallegos ya cuentan con esta distinción, y dos se encuentran en el máximo nivel de los tres soles: Culler de Pau (O Grove) y Casa...</t>
    </r>
    <r>
      <rPr>
        <rFont val="Arial, sans-serif"/>
        <color rgb="FF1155CC"/>
        <sz val="12.0"/>
        <u/>
      </rPr>
      <t>.</t>
    </r>
    <r>
      <rPr>
        <rFont val="Arial, sans-serif"/>
        <color rgb="FF1155CC"/>
        <sz val="11.0"/>
        <u/>
      </rPr>
      <t>5 mar 2024</t>
    </r>
  </si>
  <si>
    <t>Galicia suma 6 nuevos soles Repsol</t>
  </si>
  <si>
    <t>Cuarenta restaurantes gallegos ya cuentan con esta distinción, y dos se encuentran en el máximo nivel de los tres soles: Culler de Pau (O Grove) y Casa....</t>
  </si>
  <si>
    <t>Galicia adds 6 new Repsol soles</t>
  </si>
  <si>
    <t>Forty Galician restaurants already have this distinction, and two are at the highest level of the three suns: Culler de Pau (O Grove) and Casa....</t>
  </si>
  <si>
    <r>
      <rPr>
        <rFont val="Arial, sans-serif"/>
        <color rgb="FF1155CC"/>
        <sz val="9.0"/>
        <u/>
      </rPr>
      <t>El Español</t>
    </r>
    <r>
      <rPr>
        <rFont val="Arial, sans-serif"/>
        <color rgb="FF1155CC"/>
        <sz val="15.0"/>
        <u/>
      </rPr>
      <t>Estos son los 6 restaurantes recomendados por la Guía Repsol en Pontevedra</t>
    </r>
    <r>
      <rPr>
        <rFont val="Arial, sans-serif"/>
        <color rgb="FF1155CC"/>
        <sz val="11.0"/>
        <u/>
      </rPr>
      <t>A Boa Vila cuenta con una variada oferta gastronómica de entre la que la prestigiosa Guía ha resaltado estos seis que ofrecen desde cocina tradicional a...</t>
    </r>
    <r>
      <rPr>
        <rFont val="Arial, sans-serif"/>
        <color rgb="FF1155CC"/>
        <sz val="12.0"/>
        <u/>
      </rPr>
      <t>.</t>
    </r>
    <r>
      <rPr>
        <rFont val="Arial, sans-serif"/>
        <color rgb="FF1155CC"/>
        <sz val="11.0"/>
        <u/>
      </rPr>
      <t>5 mar 2024</t>
    </r>
  </si>
  <si>
    <t>Estos son los 6 restaurantes recomendados por la Guía Repsol en Pontevedra</t>
  </si>
  <si>
    <t>A Boa Vila cuenta con una variada oferta gastronómica de entre la que la prestigiosa Guía ha resaltado estos seis que ofrecen desde cocina tradicional a....</t>
  </si>
  <si>
    <t>These are the 6 restaurants recommended by the Repsol Guide in Pontevedra</t>
  </si>
  <si>
    <t>Boa Vila has a varied gastronomic offer, among which the prestigious Guide has highlighted these six that offer everything from traditional cuisine to...</t>
  </si>
  <si>
    <r>
      <rPr>
        <rFont val="Arial, sans-serif"/>
        <color rgb="FF1155CC"/>
        <sz val="9.0"/>
        <u/>
      </rPr>
      <t>El Periódico</t>
    </r>
    <r>
      <rPr>
        <rFont val="Arial, sans-serif"/>
        <color rgb="FF1155CC"/>
        <sz val="15.0"/>
        <u/>
      </rPr>
      <t>Nuevos soles de la guía Repsol 2024: lista completa de restaurantes</t>
    </r>
    <r>
      <rPr>
        <rFont val="Arial, sans-serif"/>
        <color rgb="FF1155CC"/>
        <sz val="11.0"/>
        <u/>
      </rPr>
      <t>Con Begoña Rodrigo del restaurante La Salita como única ganadora de los 3 soles de la guía Repsol 2024, 98 restaurantes consiguen aumentar la nómina de esta...</t>
    </r>
    <r>
      <rPr>
        <rFont val="Arial, sans-serif"/>
        <color rgb="FF1155CC"/>
        <sz val="12.0"/>
        <u/>
      </rPr>
      <t>.</t>
    </r>
    <r>
      <rPr>
        <rFont val="Arial, sans-serif"/>
        <color rgb="FF1155CC"/>
        <sz val="11.0"/>
        <u/>
      </rPr>
      <t>5 mar 2024</t>
    </r>
  </si>
  <si>
    <t>Nuevos soles de la guía Repsol 2024: lista completa de restaurantes</t>
  </si>
  <si>
    <t>Con Begoña Rodrigo del restaurante La Salita como única ganadora de los 3 soles de la guía Repsol 2024, 98 restaurantes consiguen aumentar la nómina de esta....</t>
  </si>
  <si>
    <t>New soles from the Repsol 2024 guide: complete list of restaurants</t>
  </si>
  <si>
    <t>With Begoña Rodrigo from the La Salita restaurant as the only winner of the 3 soles of the Repsol 2024 guide, 98 restaurants manage to increase the payroll of this...</t>
  </si>
  <si>
    <r>
      <rPr>
        <rFont val="Arial, sans-serif"/>
        <color rgb="FF1155CC"/>
        <sz val="9.0"/>
        <u/>
      </rPr>
      <t>ABC</t>
    </r>
    <r>
      <rPr>
        <rFont val="Arial, sans-serif"/>
        <color rgb="FF1155CC"/>
        <sz val="15.0"/>
        <u/>
      </rPr>
      <t>Palodú y Areia (Marbella), los nuevos Soles Repsol que iluminan la hostelería malagueña</t>
    </r>
    <r>
      <rPr>
        <rFont val="Arial, sans-serif"/>
        <color rgb="FF1155CC"/>
        <sz val="11.0"/>
        <u/>
      </rPr>
      <t>Este lunes, 4 de marzo, Cartagena ha acogido la gala anual de la guía española que ha premiado a dos establecimientos malagueños con su primer Sol Repsol.</t>
    </r>
    <r>
      <rPr>
        <rFont val="Arial, sans-serif"/>
        <color rgb="FF1155CC"/>
        <sz val="12.0"/>
        <u/>
      </rPr>
      <t>.</t>
    </r>
    <r>
      <rPr>
        <rFont val="Arial, sans-serif"/>
        <color rgb="FF1155CC"/>
        <sz val="11.0"/>
        <u/>
      </rPr>
      <t>5 mar 2024</t>
    </r>
  </si>
  <si>
    <t>Palodú y Areia (Marbella), los nuevos Soles Repsol que iluminan la hostelería malagueña</t>
  </si>
  <si>
    <t>Palodú y Areia (Marbella) han sido premiados con su primer Sol Repsol en la gala anual de la guía española, celebrada en Cartagena el 4 de marzo.</t>
  </si>
  <si>
    <t>Palodú and Areia (Marbella), the new Repsol Suns that illuminate the Malaga hospitality industry</t>
  </si>
  <si>
    <t>Palodú and Areia (Marbella) have been awarded their first Sol Repsol at the Spanish guide's annual gala, held in Cartagena on March 4.</t>
  </si>
  <si>
    <r>
      <rPr>
        <rFont val="Arial, sans-serif"/>
        <color rgb="FF1155CC"/>
        <sz val="9.0"/>
        <u/>
      </rPr>
      <t>El Terrat</t>
    </r>
    <r>
      <rPr>
        <rFont val="Arial, sans-serif"/>
        <color rgb="FF1155CC"/>
        <sz val="15.0"/>
        <u/>
      </rPr>
      <t>Sílvia Abril conduce de nuevo la gala de los Soles Guía Repsol</t>
    </r>
    <r>
      <rPr>
        <rFont val="Arial, sans-serif"/>
        <color rgb="FF1155CC"/>
        <sz val="11.0"/>
        <u/>
      </rPr>
      <t>martes, 05 de marzo de 2024 • 14:02h. Autor: Trincheras. Sílvia Abril toma los mandos por segundo año consecutivo de la Gala de los Soles Guía Repsol 2024...</t>
    </r>
    <r>
      <rPr>
        <rFont val="Arial, sans-serif"/>
        <color rgb="FF1155CC"/>
        <sz val="12.0"/>
        <u/>
      </rPr>
      <t>.</t>
    </r>
    <r>
      <rPr>
        <rFont val="Arial, sans-serif"/>
        <color rgb="FF1155CC"/>
        <sz val="11.0"/>
        <u/>
      </rPr>
      <t>5 mar 2024</t>
    </r>
  </si>
  <si>
    <t>El Terrat</t>
  </si>
  <si>
    <t>Sílvia Abril conduce de nuevo la gala de los Soles Guía Repsol</t>
  </si>
  <si>
    <t>Sílvia Abril toma los mandos por segundo año consecutivo de la Gala de los Soles Guía Repsol 2024.</t>
  </si>
  <si>
    <t>Sílvia Abril hosts the Suns gala again Repsol Guide</t>
  </si>
  <si>
    <t>Sílvia Abril takes control of the Repsol Guide 2024 Gala of the Suns for the second consecutive year.</t>
  </si>
  <si>
    <r>
      <rPr>
        <rFont val="Arial, sans-serif"/>
        <color rgb="FF1155CC"/>
        <sz val="9.0"/>
        <u/>
      </rPr>
      <t>Marbella24horas</t>
    </r>
    <r>
      <rPr>
        <rFont val="Arial, sans-serif"/>
        <color rgb="FF1155CC"/>
        <sz val="15.0"/>
        <u/>
      </rPr>
      <t>Marbella alcanza los nueve Soles Repsol al sumar una nueva distinción</t>
    </r>
    <r>
      <rPr>
        <rFont val="Arial, sans-serif"/>
        <color rgb="FF1155CC"/>
        <sz val="11.0"/>
        <u/>
      </rPr>
      <t>Con la distinción que acaba de recibir el restaurante Areia, de Carlos García Mayoralas y Pablo Berzosa, son ya nueve los Soles Repsol que alcanza la...</t>
    </r>
    <r>
      <rPr>
        <rFont val="Arial, sans-serif"/>
        <color rgb="FF1155CC"/>
        <sz val="12.0"/>
        <u/>
      </rPr>
      <t>.</t>
    </r>
    <r>
      <rPr>
        <rFont val="Arial, sans-serif"/>
        <color rgb="FF1155CC"/>
        <sz val="11.0"/>
        <u/>
      </rPr>
      <t>5 mar 2024</t>
    </r>
  </si>
  <si>
    <t>Marbella24horas</t>
  </si>
  <si>
    <t>Marbella alcanza los nueve Soles Repsol al sumar una nueva distinción</t>
  </si>
  <si>
    <t>Con la distinción que acaba de recibir el restaurante Areia, de Carlos García Mayoralas y Pablo Berzosa, son ya nueve los Soles Repsol que alcanza la....</t>
  </si>
  <si>
    <t>Marbella reaches nine Repsol Suns by adding a new distinction</t>
  </si>
  <si>
    <t>With the distinction that the Areia restaurant, by Carlos García Mayoralas and Pablo Berzosa, has just received, there are now nine Repsol Suns that the...</t>
  </si>
  <si>
    <r>
      <rPr>
        <rFont val="Arial, sans-serif"/>
        <color rgb="FF1155CC"/>
        <sz val="9.0"/>
        <u/>
      </rPr>
      <t>Viva Barbate</t>
    </r>
    <r>
      <rPr>
        <rFont val="Arial, sans-serif"/>
        <color rgb="FF1155CC"/>
        <sz val="15.0"/>
        <u/>
      </rPr>
      <t>Los Soles, Soletes y Recomendaciones de la Guía Repsol en Barbate, Zahara, Vejer y Conil</t>
    </r>
    <r>
      <rPr>
        <rFont val="Arial, sans-serif"/>
        <color rgb="FF1155CC"/>
        <sz val="11.0"/>
        <u/>
      </rPr>
      <t>El Campero (dos Soles), Yoko, (un Sol), Restaurante Antonio, (un Sol), La Castillería (un Sol) y Restaurante Alférez (un Sol), brillan en la costa jandeña.</t>
    </r>
    <r>
      <rPr>
        <rFont val="Arial, sans-serif"/>
        <color rgb="FF1155CC"/>
        <sz val="12.0"/>
        <u/>
      </rPr>
      <t>.</t>
    </r>
    <r>
      <rPr>
        <rFont val="Arial, sans-serif"/>
        <color rgb="FF1155CC"/>
        <sz val="11.0"/>
        <u/>
      </rPr>
      <t>5 mar 2024</t>
    </r>
  </si>
  <si>
    <t>Viva Barbate</t>
  </si>
  <si>
    <t>Los Soles, Soletes y Recomendaciones de la Guía Repsol en Barbate, Zahara, Vejer y Conil</t>
  </si>
  <si>
    <t>El Campero (dos Soles), Yoko, (un Sol), Restaurante Antonio, (un Sol), La Castillería (un Sol) y Restaurante Alférez (un Sol), brillan en la costa jandeña.</t>
  </si>
  <si>
    <t>The Suns, Suns and Recommendations of the Repsol Guide in Barbate, Zahara, Vejer and Conil</t>
  </si>
  <si>
    <t>El Campero (two Suns), Yoko, (one Sun), Restaurante Antonio, (one Sun), La Castillería (one Sun) and Restaurante Alférez (one Sun), shine on the Jandean coast.</t>
  </si>
  <si>
    <r>
      <rPr>
        <rFont val="Arial, sans-serif"/>
        <color rgb="FF1155CC"/>
        <sz val="9.0"/>
        <u/>
      </rPr>
      <t>Jaén Hoy</t>
    </r>
    <r>
      <rPr>
        <rFont val="Arial, sans-serif"/>
        <color rgb="FF1155CC"/>
        <sz val="15.0"/>
        <u/>
      </rPr>
      <t>La cocina de Jaén vuelve a brillar esta vez con dos Soles Repsol para Almoroje (Siles) y Malak (capital)</t>
    </r>
    <r>
      <rPr>
        <rFont val="Arial, sans-serif"/>
        <color rgb="FF1155CC"/>
        <sz val="11.0"/>
        <u/>
      </rPr>
      <t>En la provincia jiennense son un total de 11 Soles de la Guía Repsol repartidos en diferentes restaurantes, repitiendo Bagá con dos.</t>
    </r>
    <r>
      <rPr>
        <rFont val="Arial, sans-serif"/>
        <color rgb="FF1155CC"/>
        <sz val="12.0"/>
        <u/>
      </rPr>
      <t>.</t>
    </r>
    <r>
      <rPr>
        <rFont val="Arial, sans-serif"/>
        <color rgb="FF1155CC"/>
        <sz val="11.0"/>
        <u/>
      </rPr>
      <t>5 mar 2024</t>
    </r>
  </si>
  <si>
    <t>Jaén Hoy</t>
  </si>
  <si>
    <t>La cocina de Jaén vuelve a brillar esta vez con dos Soles Repsol para Almoroje (Siles) y Malak (capital)</t>
  </si>
  <si>
    <t>La cocina de Jaén vuelve a brillar esta vez con dos Soles Repsol para Almoroje (Siles) y Malak (capital) En la provincia jiennense son un total de 11 Soles de la Guía Repsol repartidos en diferentes restaurantes, repitiendo Bagá con dos.</t>
  </si>
  <si>
    <t>Jaén's cuisine shines again this time with two Repsol Suns for Almoroje (Siles) and Malak (capital)</t>
  </si>
  <si>
    <t>The cuisine of Jaén shines again this time with two Repsol Suns for Almoroje (Siles) and Malak (capital). In the province of Jaén there are a total of 11 Repsol Guide Suns distributed in different restaurants, Bagá repeating with two.</t>
  </si>
  <si>
    <r>
      <rPr>
        <rFont val="Arial, sans-serif"/>
        <color rgb="FF1155CC"/>
        <sz val="9.0"/>
        <u/>
      </rPr>
      <t>Valencia Secreta</t>
    </r>
    <r>
      <rPr>
        <rFont val="Arial, sans-serif"/>
        <color rgb="FF1155CC"/>
        <sz val="15.0"/>
        <u/>
      </rPr>
      <t>El único restaurante que ha conseguido 3 Soles Repsol en 2024 está en Valencia</t>
    </r>
    <r>
      <rPr>
        <rFont val="Arial, sans-serif"/>
        <color rgb="FF1155CC"/>
        <sz val="11.0"/>
        <u/>
      </rPr>
      <t>Begoña Rodrigo es la única cocinera que consigue los 3 Soles Repsol en la edición 2024 de la Guía Repsol en España.</t>
    </r>
    <r>
      <rPr>
        <rFont val="Arial, sans-serif"/>
        <color rgb="FF1155CC"/>
        <sz val="12.0"/>
        <u/>
      </rPr>
      <t>.</t>
    </r>
    <r>
      <rPr>
        <rFont val="Arial, sans-serif"/>
        <color rgb="FF1155CC"/>
        <sz val="11.0"/>
        <u/>
      </rPr>
      <t>5 mar 2024</t>
    </r>
  </si>
  <si>
    <t>Valencia Secreta</t>
  </si>
  <si>
    <t>El único restaurante que ha conseguido 3 Soles Repsol en 2024 está en Valencia</t>
  </si>
  <si>
    <t>Begoña Rodrigo es la única cocinera que consigue los 3 Soles Repsol en la edición 2024 de la Guía Repsol en España.</t>
  </si>
  <si>
    <t>The only restaurant that has achieved 3 Repsol Suns in 2024 is in Valencia</t>
  </si>
  <si>
    <t>Begoña Rodrigo is the only chef to achieve 3 Repsol Suns in the 2024 edition of the Repsol Guide in Spain.</t>
  </si>
  <si>
    <r>
      <rPr>
        <rFont val="Arial, sans-serif"/>
        <color rgb="FF1155CC"/>
        <sz val="9.0"/>
        <u/>
      </rPr>
      <t>Diario de Mallorca</t>
    </r>
    <r>
      <rPr>
        <rFont val="Arial, sans-serif"/>
        <color rgb="FF1155CC"/>
        <sz val="15.0"/>
        <u/>
      </rPr>
      <t>Estos son los 19 restaurantes de la Guía Repsol 2024 en Mallorca</t>
    </r>
    <r>
      <rPr>
        <rFont val="Arial, sans-serif"/>
        <color rgb="FF1155CC"/>
        <sz val="11.0"/>
        <u/>
      </rPr>
      <t>Dos nuevos restaurantes ha conseguido esta distinción en la isla tras la gala de entrega de Soles.</t>
    </r>
    <r>
      <rPr>
        <rFont val="Arial, sans-serif"/>
        <color rgb="FF1155CC"/>
        <sz val="12.0"/>
        <u/>
      </rPr>
      <t>.</t>
    </r>
    <r>
      <rPr>
        <rFont val="Arial, sans-serif"/>
        <color rgb="FF1155CC"/>
        <sz val="11.0"/>
        <u/>
      </rPr>
      <t>5 mar 2024</t>
    </r>
  </si>
  <si>
    <t>Estos son los 19 restaurantes de la Guía Repsol 2024 en Mallorca</t>
  </si>
  <si>
    <t>Dos nuevos restaurantes ha conseguido esta distinción en la isla tras la gala de entrega de Soles.</t>
  </si>
  <si>
    <t>These are the 19 restaurants in the Repsol Guide 2024 in Mallorca</t>
  </si>
  <si>
    <t>Two new restaurants have achieved this distinction on the island after the Soles award ceremony.</t>
  </si>
  <si>
    <r>
      <rPr>
        <rFont val="Arial, sans-serif"/>
        <color rgb="FF1155CC"/>
        <sz val="9.0"/>
        <u/>
      </rPr>
      <t>El Día de Córdoba</t>
    </r>
    <r>
      <rPr>
        <rFont val="Arial, sans-serif"/>
        <color rgb="FF1155CC"/>
        <sz val="15.0"/>
        <u/>
      </rPr>
      <t>Javier Campos: "El Sol Repsol nos recuerda el compromiso que tenemos con Córdoba"</t>
    </r>
    <r>
      <rPr>
        <rFont val="Arial, sans-serif"/>
        <color rgb="FF1155CC"/>
        <sz val="11.0"/>
        <u/>
      </rPr>
      <t>Ermita de la Candelaria se llenaba hoy de amigos, representantes de la hostelería, la cultura y la política local para celebrar el galardón.</t>
    </r>
    <r>
      <rPr>
        <rFont val="Arial, sans-serif"/>
        <color rgb="FF1155CC"/>
        <sz val="12.0"/>
        <u/>
      </rPr>
      <t>.</t>
    </r>
    <r>
      <rPr>
        <rFont val="Arial, sans-serif"/>
        <color rgb="FF1155CC"/>
        <sz val="11.0"/>
        <u/>
      </rPr>
      <t>5 mar 2024</t>
    </r>
  </si>
  <si>
    <t>El Sol Repsol nos recuerda el compromiso que tenemos con Córdoba</t>
  </si>
  <si>
    <t>Ermita de la Candelaria se llenaba hoy de amigos, representantes de la hostelería, la cultura y la política local para celebrar el galardón.</t>
  </si>
  <si>
    <t>The Sol Repsol reminds us of the commitment we have with Córdoba</t>
  </si>
  <si>
    <t>Ermita de la Candelaria was filled today with friends, representatives of the hospitality industry, culture and local politics to celebrate the award.</t>
  </si>
  <si>
    <r>
      <rPr>
        <rFont val="Arial, sans-serif"/>
        <color rgb="FF1155CC"/>
        <sz val="9.0"/>
        <u/>
      </rPr>
      <t>ILEON</t>
    </r>
    <r>
      <rPr>
        <rFont val="Arial, sans-serif"/>
        <color rgb="FF1155CC"/>
        <sz val="15.0"/>
        <u/>
      </rPr>
      <t>La Guía Repsol sube a tres los restaurantes leoneses reconocidos con dos soles</t>
    </r>
    <r>
      <rPr>
        <rFont val="Arial, sans-serif"/>
        <color rgb="FF1155CC"/>
        <sz val="11.0"/>
        <u/>
      </rPr>
      <t>La entrega de los Soles Guía Repsol, celebrada esta lunes en el Auditorio y Palacio de Congresos El Batel de Cartagena, ha elevado a tres los restaurantes...</t>
    </r>
    <r>
      <rPr>
        <rFont val="Arial, sans-serif"/>
        <color rgb="FF1155CC"/>
        <sz val="12.0"/>
        <u/>
      </rPr>
      <t>.</t>
    </r>
    <r>
      <rPr>
        <rFont val="Arial, sans-serif"/>
        <color rgb="FF1155CC"/>
        <sz val="11.0"/>
        <u/>
      </rPr>
      <t>5 mar 2024</t>
    </r>
  </si>
  <si>
    <t>ILEON</t>
  </si>
  <si>
    <t>La Guía Repsol sube a tres los restaurantes leoneses reconocidos con dos soles</t>
  </si>
  <si>
    <t>La entrega de los Soles Guía Repsol ha elevado a tres los restaurantes leoneses reconocidos con dos soles.</t>
  </si>
  <si>
    <t>The Repsol Guide increases the number of Leonese restaurants recognized with two suns to three</t>
  </si>
  <si>
    <t>The delivery of the Repsol Guide Suns has brought the number of Leonese restaurants recognized with two suns to three.</t>
  </si>
  <si>
    <r>
      <rPr>
        <rFont val="Arial, sans-serif"/>
        <color rgb="FF1155CC"/>
        <sz val="9.0"/>
        <u/>
      </rPr>
      <t>EFE - Agencia de noticias</t>
    </r>
    <r>
      <rPr>
        <rFont val="Arial, sans-serif"/>
        <color rgb="FF1155CC"/>
        <sz val="15.0"/>
        <u/>
      </rPr>
      <t>Más de 100 Soles Repsol brillan en Madrid</t>
    </r>
    <r>
      <rPr>
        <rFont val="Arial, sans-serif"/>
        <color rgb="FF1155CC"/>
        <sz val="11.0"/>
        <u/>
      </rPr>
      <t>Cartagena (Murcia) (EFE).- Con Begoña Rodrigo del restaurante La Salita como única ganadora de los 3 soles de la Guía Repsol 2024, 98 restaurantes consiguen...</t>
    </r>
    <r>
      <rPr>
        <rFont val="Arial, sans-serif"/>
        <color rgb="FF1155CC"/>
        <sz val="12.0"/>
        <u/>
      </rPr>
      <t>.</t>
    </r>
    <r>
      <rPr>
        <rFont val="Arial, sans-serif"/>
        <color rgb="FF1155CC"/>
        <sz val="11.0"/>
        <u/>
      </rPr>
      <t>5 mar 2024</t>
    </r>
  </si>
  <si>
    <t>Más de 100 Soles Repsol brillan en Madrid</t>
  </si>
  <si>
    <t>Con Begoña Rodrigo del restaurante La Salita como única ganadora de los 3 soles de la Guía Repsol 2024, 98 restaurantes consiguen....</t>
  </si>
  <si>
    <t>More than 100 Repsol Suns shine in Madrid</t>
  </si>
  <si>
    <t>With Begoña Rodrigo from the La Salita restaurant as the only winner of the 3 suns of the Repsol Guide 2024, 98 restaurants get...</t>
  </si>
  <si>
    <r>
      <rPr>
        <rFont val="Arial, sans-serif"/>
        <color rgb="FF1155CC"/>
        <sz val="9.0"/>
        <u/>
      </rPr>
      <t>El Español</t>
    </r>
    <r>
      <rPr>
        <rFont val="Arial, sans-serif"/>
        <color rgb="FF1155CC"/>
        <sz val="15.0"/>
        <u/>
      </rPr>
      <t>Estos son los restaurantes de Santiago de Compostela recomendados por la Guía Repsol</t>
    </r>
    <r>
      <rPr>
        <rFont val="Arial, sans-serif"/>
        <color rgb="FF1155CC"/>
        <sz val="11.0"/>
        <u/>
      </rPr>
      <t>Más de una veintena de restaurantes de la capital gallega cuentan con este tipo de distinción de la prestigiosa guía.</t>
    </r>
    <r>
      <rPr>
        <rFont val="Arial, sans-serif"/>
        <color rgb="FF1155CC"/>
        <sz val="12.0"/>
        <u/>
      </rPr>
      <t>.</t>
    </r>
    <r>
      <rPr>
        <rFont val="Arial, sans-serif"/>
        <color rgb="FF1155CC"/>
        <sz val="11.0"/>
        <u/>
      </rPr>
      <t>5 mar 2024</t>
    </r>
  </si>
  <si>
    <t>Estos son los restaurantes de Santiago de Compostela recomendados por la Guía Repsol</t>
  </si>
  <si>
    <t>Más de una veintena de restaurantes de la capital gallega cuentan con este tipo de distinción de la prestigiosa guía.</t>
  </si>
  <si>
    <t>These are the restaurants in Santiago de Compostela recommended by the Repsol Guide</t>
  </si>
  <si>
    <t>More than twenty restaurants in the Galician capital have this type of distinction from the prestigious guide.</t>
  </si>
  <si>
    <r>
      <rPr>
        <rFont val="Arial, sans-serif"/>
        <color rgb="FF1155CC"/>
        <sz val="9.0"/>
        <u/>
      </rPr>
      <t>elDiario.es</t>
    </r>
    <r>
      <rPr>
        <rFont val="Arial, sans-serif"/>
        <color rgb="FF1155CC"/>
        <sz val="15.0"/>
        <u/>
      </rPr>
      <t>Esferas de cerámica, estrellas de la cocina y una 'paparajota': La Gala de los Soles Guía Repsol 2024, en imágenes</t>
    </r>
    <r>
      <rPr>
        <rFont val="Arial, sans-serif"/>
        <color rgb="FF1155CC"/>
        <sz val="11.0"/>
        <u/>
      </rPr>
      <t>Almo, El Poli, Por Herencia, Polea, Loreto: la gastronomía murciana brilla en la Gala de los Soles Repsol en Cartagena.</t>
    </r>
    <r>
      <rPr>
        <rFont val="Arial, sans-serif"/>
        <color rgb="FF1155CC"/>
        <sz val="12.0"/>
        <u/>
      </rPr>
      <t>.</t>
    </r>
    <r>
      <rPr>
        <rFont val="Arial, sans-serif"/>
        <color rgb="FF1155CC"/>
        <sz val="11.0"/>
        <u/>
      </rPr>
      <t>5 mar 2024</t>
    </r>
  </si>
  <si>
    <t>Esferas de cerámica, estrellas de la cocina y una 'paparajota': La Gala de los Soles Guía Repsol 2024, en imágenes</t>
  </si>
  <si>
    <t>Almo, El Poli, Por Herencia, Polea, Loreto: la gastronomía murciana brilla en la Gala de los Soles Repsol en Cartagena.</t>
  </si>
  <si>
    <t>Ceramic spheres, kitchen stars and a 'paparajota': The Gala of the Suns Repsol Guide 2024, in images</t>
  </si>
  <si>
    <t>Almo, El Poli, Por Herencia, Polea, Loreto: Murcian gastronomy shines at the Repsol Suns Gala in Cartagena.</t>
  </si>
  <si>
    <r>
      <rPr>
        <rFont val="Arial, sans-serif"/>
        <color rgb="FF1155CC"/>
        <sz val="9.0"/>
        <u/>
      </rPr>
      <t>El Pirineo Aragonés</t>
    </r>
    <r>
      <rPr>
        <rFont val="Arial, sans-serif"/>
        <color rgb="FF1155CC"/>
        <sz val="15.0"/>
        <u/>
      </rPr>
      <t>La Era de los Nogales de Sardas se convierte en el restaurante más pequeño de España en lucir Un Sol de la Guía Repsol</t>
    </r>
    <r>
      <rPr>
        <rFont val="Arial, sans-serif"/>
        <color rgb="FF1155CC"/>
        <sz val="11.0"/>
        <u/>
      </rPr>
      <t>Toño Rodríguez: “estos premios nos dan un empujón muy fuerte para seguir creciendo disfrutando a tope”. Toño Rodríguez con Un Sol de la Guía Repsol,...</t>
    </r>
    <r>
      <rPr>
        <rFont val="Arial, sans-serif"/>
        <color rgb="FF1155CC"/>
        <sz val="12.0"/>
        <u/>
      </rPr>
      <t>.</t>
    </r>
    <r>
      <rPr>
        <rFont val="Arial, sans-serif"/>
        <color rgb="FF1155CC"/>
        <sz val="11.0"/>
        <u/>
      </rPr>
      <t>5 mar 2024</t>
    </r>
  </si>
  <si>
    <t>El Pirineo Aragonés</t>
  </si>
  <si>
    <t>La Era de los Nogales de Sardas se convierte en el restaurante más pequeño de España en lucir Un Sol de la Guía Repsol</t>
  </si>
  <si>
    <t>La Era de los Nogales de Sardas se convierte en el restaurante más pequeño de España en lucir Un Sol de la Guía Repsol. Toño Rodríguez: “estos premios nos dan un empujón muy fuerte para seguir creciendo disfrutando a tope”.</t>
  </si>
  <si>
    <t>La Era de los Nogales de Sardas becomes the smallest restaurant in Spain to feature Un Sol from the Repsol Guide</t>
  </si>
  <si>
    <t>La Era de los Nogales de Sardas becomes the smallest restaurant in Spain to feature Un Sol from the Repsol Guide. Toño Rodríguez: “these awards give us a very strong push to continue growing while enjoying ourselves to the fullest.”</t>
  </si>
  <si>
    <r>
      <rPr>
        <rFont val="Arial, sans-serif"/>
        <color rgb="FF1155CC"/>
        <sz val="9.0"/>
        <u/>
      </rPr>
      <t>El Fielato y El Nora</t>
    </r>
    <r>
      <rPr>
        <rFont val="Arial, sans-serif"/>
        <color rgb="FF1155CC"/>
        <sz val="15.0"/>
        <u/>
      </rPr>
      <t>Los dos nuevos Soles Repsol asturianos, para dos restaurantes del Oriente</t>
    </r>
    <r>
      <rPr>
        <rFont val="Arial, sans-serif"/>
        <color rgb="FF1155CC"/>
        <sz val="11.0"/>
        <u/>
      </rPr>
      <t>Ayer lunes se celebró el Auditorio y Palacio de Congresos El Batel de Cartagena, la Gala de los Soles de la Guía Repsol, con buenas noticias.</t>
    </r>
    <r>
      <rPr>
        <rFont val="Arial, sans-serif"/>
        <color rgb="FF1155CC"/>
        <sz val="12.0"/>
        <u/>
      </rPr>
      <t>.</t>
    </r>
    <r>
      <rPr>
        <rFont val="Arial, sans-serif"/>
        <color rgb="FF1155CC"/>
        <sz val="11.0"/>
        <u/>
      </rPr>
      <t>5 mar 2024</t>
    </r>
  </si>
  <si>
    <t>El Fielato y El Nora</t>
  </si>
  <si>
    <t>Los dos nuevos Soles Repsol asturianos, para dos restaurantes del Oriente</t>
  </si>
  <si>
    <t>Los dos nuevos Soles Repsol asturianos, para dos restaurantes del Oriente.</t>
  </si>
  <si>
    <t>The two new Asturian Repsol Soles, for two restaurants in the East</t>
  </si>
  <si>
    <t>The two new Asturian Repsol Soles, for two restaurants in the East.</t>
  </si>
  <si>
    <r>
      <rPr>
        <rFont val="Arial, sans-serif"/>
        <color rgb="FF1155CC"/>
        <sz val="9.0"/>
        <u/>
      </rPr>
      <t>diariodenavarra.es</t>
    </r>
    <r>
      <rPr>
        <rFont val="Arial, sans-serif"/>
        <color rgb="FF1155CC"/>
        <sz val="15.0"/>
        <u/>
      </rPr>
      <t>Estos son los 19 restaurantes navarros que mantienen sus Soles Repsol</t>
    </r>
    <r>
      <rPr>
        <rFont val="Arial, sans-serif"/>
        <color rgb="FF1155CC"/>
        <sz val="11.0"/>
        <u/>
      </rPr>
      <t>La entrega de los Soles Guía Repsol, celebrada este lunes por la tarde en el Auditorio y Palacio de Congresos El Batel de Cartagena, ha reconocido 98 nuevos...</t>
    </r>
    <r>
      <rPr>
        <rFont val="Arial, sans-serif"/>
        <color rgb="FF1155CC"/>
        <sz val="12.0"/>
        <u/>
      </rPr>
      <t>.</t>
    </r>
    <r>
      <rPr>
        <rFont val="Arial, sans-serif"/>
        <color rgb="FF1155CC"/>
        <sz val="11.0"/>
        <u/>
      </rPr>
      <t>5 mar 2024</t>
    </r>
  </si>
  <si>
    <t>Estos son los 19 restaurantes navarros que mantienen sus Soles Repsol</t>
  </si>
  <si>
    <t>La entrega de los Soles Guía Repsol, celebrada este lunes por la tarde en el Auditorio y Palacio de Congresos El Batel de Cartagena, ha reconocido 98 nuevos....</t>
  </si>
  <si>
    <t>These are the 19 Navarrese restaurants that maintain their Repsol Soles</t>
  </si>
  <si>
    <t>The delivery of the Repsol Guide Suns, held this Monday afternoon at the El Batel Auditorium and Conference Center in Cartagena, has recognized 98 new ones....</t>
  </si>
  <si>
    <r>
      <rPr>
        <rFont val="Arial, sans-serif"/>
        <color rgb="FF1155CC"/>
        <sz val="9.0"/>
        <u/>
      </rPr>
      <t>Info León</t>
    </r>
    <r>
      <rPr>
        <rFont val="Arial, sans-serif"/>
        <color rgb="FF1155CC"/>
        <sz val="15.0"/>
        <u/>
      </rPr>
      <t>Once restaurantes leoneses revalidan sus Soles Repsol</t>
    </r>
    <r>
      <rPr>
        <rFont val="Arial, sans-serif"/>
        <color rgb="FF1155CC"/>
        <sz val="11.0"/>
        <u/>
      </rPr>
      <t>La Bodega El Capricho logra su segundo Sol Repsol, uniéndose así al Restaurante Pablo y al Restaurante Cocinandos como los únicos tres de la provincia en a.</t>
    </r>
    <r>
      <rPr>
        <rFont val="Arial, sans-serif"/>
        <color rgb="FF1155CC"/>
        <sz val="12.0"/>
        <u/>
      </rPr>
      <t>.</t>
    </r>
    <r>
      <rPr>
        <rFont val="Arial, sans-serif"/>
        <color rgb="FF1155CC"/>
        <sz val="11.0"/>
        <u/>
      </rPr>
      <t>5 mar 2024</t>
    </r>
  </si>
  <si>
    <t>Una Bodega El Capricho logra su segundo Sol Repsol</t>
  </si>
  <si>
    <t>La Bodega El Capricho logra su segundo Sol Repsol, uniéndose así al Restaurante Pablo y al Restaurante Cocinandos como los únicos tres de la provincia en a..</t>
  </si>
  <si>
    <t>An El Capricho Winery achieves its second Repsol Sun</t>
  </si>
  <si>
    <t>La Bodega El Capricho achieves its second Sol Repsol, thus joining Restaurante Pablo and Restaurante Cocinandos as the only three in the province in...</t>
  </si>
  <si>
    <r>
      <rPr>
        <rFont val="Arial, sans-serif"/>
        <color rgb="FF1155CC"/>
        <sz val="9.0"/>
        <u/>
      </rPr>
      <t>La Comarca de Puertollano</t>
    </r>
    <r>
      <rPr>
        <rFont val="Arial, sans-serif"/>
        <color rgb="FF1155CC"/>
        <sz val="15.0"/>
        <u/>
      </rPr>
      <t>La Gerencia de Puertollano y Repsol celebrarán este jueves la jornada 'La mujer y la niña en la ciencia'</t>
    </r>
    <r>
      <rPr>
        <rFont val="Arial, sans-serif"/>
        <color rgb="FF1155CC"/>
        <sz val="11.0"/>
        <u/>
      </rPr>
      <t>Para promover la vocación investigadora entre las escolares.</t>
    </r>
    <r>
      <rPr>
        <rFont val="Arial, sans-serif"/>
        <color rgb="FF1155CC"/>
        <sz val="12.0"/>
        <u/>
      </rPr>
      <t>.</t>
    </r>
    <r>
      <rPr>
        <rFont val="Arial, sans-serif"/>
        <color rgb="FF1155CC"/>
        <sz val="11.0"/>
        <u/>
      </rPr>
      <t>5 mar 2024</t>
    </r>
  </si>
  <si>
    <t>La Gerencia de Puertollano y Repsol celebrarán este jueves la jornada 'La mujer y la niña en la ciencia'</t>
  </si>
  <si>
    <t>Para promover la vocación investigadora entre las escolares.</t>
  </si>
  <si>
    <t>The Management of Puertollano and Repsol will celebrate this Thursday the day 'Women and girls in science'</t>
  </si>
  <si>
    <t>To promote the research vocation among schoolgirls.</t>
  </si>
  <si>
    <r>
      <rPr>
        <rFont val="Arial, sans-serif"/>
        <color rgb="FF1155CC"/>
        <sz val="9.0"/>
        <u/>
      </rPr>
      <t>El Economista</t>
    </r>
    <r>
      <rPr>
        <rFont val="Arial, sans-serif"/>
        <color rgb="FF1155CC"/>
        <sz val="15.0"/>
        <u/>
      </rPr>
      <t>La triunfadora de los Soles Repsol, la chef Begoña Rodrigo de La Salita en Valencia, nos da su receta de éxito</t>
    </r>
    <r>
      <rPr>
        <rFont val="Arial, sans-serif"/>
        <color rgb="FF1155CC"/>
        <sz val="11.0"/>
        <u/>
      </rPr>
      <t>La Salita, de Begoña Rodrigo, ya brilla con su merecido tercer Sol Repsol, que recibió durante una ceremonia en la que la guía repartió ...</t>
    </r>
    <r>
      <rPr>
        <rFont val="Arial, sans-serif"/>
        <color rgb="FF1155CC"/>
        <sz val="12.0"/>
        <u/>
      </rPr>
      <t>.</t>
    </r>
    <r>
      <rPr>
        <rFont val="Arial, sans-serif"/>
        <color rgb="FF1155CC"/>
        <sz val="11.0"/>
        <u/>
      </rPr>
      <t>5 mar 2024</t>
    </r>
  </si>
  <si>
    <t>La triunfadora de los Soles Repsol, la chef Begoña Rodrigo de La Salita en Valencia, nos da su receta de éxito</t>
  </si>
  <si>
    <t>La Salita, de Begoña Rodrigo, ya brilla con su merecido tercer Sol Repsol, que recibió durante una ceremonia en la que la guía repartió ....</t>
  </si>
  <si>
    <t>The winner of the Repsol Suns, chef Begoña Rodrigo from La Salita in Valencia, gives us her recipe for success</t>
  </si>
  <si>
    <t>La Salita, by Begoña Rodrigo, already shines with its well-deserved third Repsol Sun, which it received during a ceremony in which the guide distributed...</t>
  </si>
  <si>
    <r>
      <rPr>
        <rFont val="Arial, sans-serif"/>
        <color rgb="FF1155CC"/>
        <sz val="9.0"/>
        <u/>
      </rPr>
      <t>El Periódico de Villena</t>
    </r>
    <r>
      <rPr>
        <rFont val="Arial, sans-serif"/>
        <color rgb="FF1155CC"/>
        <sz val="15.0"/>
        <u/>
      </rPr>
      <t>El restaurante Cisoria consigue un Sol Repsol</t>
    </r>
    <r>
      <rPr>
        <rFont val="Arial, sans-serif"/>
        <color rgb="FF1155CC"/>
        <sz val="11.0"/>
        <u/>
      </rPr>
      <t>La Comunitat Valenciana suma desde este lunes sesenta restaurantes galardonados con soles de la Guía Repsol, entre ellos el restaurante Cisoria de Villena,...</t>
    </r>
    <r>
      <rPr>
        <rFont val="Arial, sans-serif"/>
        <color rgb="FF1155CC"/>
        <sz val="12.0"/>
        <u/>
      </rPr>
      <t>.</t>
    </r>
    <r>
      <rPr>
        <rFont val="Arial, sans-serif"/>
        <color rgb="FF1155CC"/>
        <sz val="11.0"/>
        <u/>
      </rPr>
      <t>5 mar 2024</t>
    </r>
  </si>
  <si>
    <t>El Periódico de Villena</t>
  </si>
  <si>
    <t>El restaurante Cisoria consigue un Sol Repsol</t>
  </si>
  <si>
    <t>La Comunitat Valenciana suma desde este lunes sesenta restaurantes galardonados con soles de la Guía Repsol, entre ellos el restaurante Cisoria de Villena,....</t>
  </si>
  <si>
    <t>The Cisoria restaurant gets a Sol Repsol</t>
  </si>
  <si>
    <t>Since this Monday, the Valencian Community has added sixty restaurants awarded with soles from the Repsol Guide, among them the Cisoria restaurant in Villena,...</t>
  </si>
  <si>
    <r>
      <rPr>
        <rFont val="Arial, sans-serif"/>
        <color rgb="FF1155CC"/>
        <sz val="9.0"/>
        <u/>
      </rPr>
      <t>Madrid Secreto</t>
    </r>
    <r>
      <rPr>
        <rFont val="Arial, sans-serif"/>
        <color rgb="FF1155CC"/>
        <sz val="15.0"/>
        <u/>
      </rPr>
      <t>¿Qué restaurantes de Madrid tienen nueva estrella Repsol?</t>
    </r>
    <r>
      <rPr>
        <rFont val="Arial, sans-serif"/>
        <color rgb="FF1155CC"/>
        <sz val="11.0"/>
        <u/>
      </rPr>
      <t>La Guía Repsol ha premiado esta tarde a algunos nuevos restaurantes con la condecoración máxima de la guía.</t>
    </r>
    <r>
      <rPr>
        <rFont val="Arial, sans-serif"/>
        <color rgb="FF1155CC"/>
        <sz val="12.0"/>
        <u/>
      </rPr>
      <t>.</t>
    </r>
    <r>
      <rPr>
        <rFont val="Arial, sans-serif"/>
        <color rgb="FF1155CC"/>
        <sz val="11.0"/>
        <u/>
      </rPr>
      <t>5 mar 2024</t>
    </r>
  </si>
  <si>
    <t>Madrid Secreto</t>
  </si>
  <si>
    <t>¿Qué restaurantes de Madrid tienen nueva estrella Repsol?</t>
  </si>
  <si>
    <t>La Guía Repsol ha premiado esta tarde a algunos nuevos restaurantes con la condecoración máxima de la guía.</t>
  </si>
  <si>
    <t>Which restaurants in Madrid have a new Repsol star?</t>
  </si>
  <si>
    <t>This afternoon the Repsol Guide awarded some new restaurants with the guide's highest award.</t>
  </si>
  <si>
    <r>
      <rPr>
        <rFont val="Arial, sans-serif"/>
        <color rgb="FF1155CC"/>
        <sz val="9.0"/>
        <u/>
      </rPr>
      <t>Voces de Cuenca</t>
    </r>
    <r>
      <rPr>
        <rFont val="Arial, sans-serif"/>
        <color rgb="FF1155CC"/>
        <sz val="15.0"/>
        <u/>
      </rPr>
      <t>El restaurante Casas Colgadas, galardonado con dos Soles Repsol</t>
    </r>
    <r>
      <rPr>
        <rFont val="Arial, sans-serif"/>
        <color rgb="FF1155CC"/>
        <sz val="11.0"/>
        <u/>
      </rPr>
      <t>El restaurante Casas Colgadas, regentado por Jesús Segura, ha sido galardonado con dos Soles de la Guía Repsol 2024 en el acto celebrado este lunes en el...</t>
    </r>
    <r>
      <rPr>
        <rFont val="Arial, sans-serif"/>
        <color rgb="FF1155CC"/>
        <sz val="12.0"/>
        <u/>
      </rPr>
      <t>.</t>
    </r>
    <r>
      <rPr>
        <rFont val="Arial, sans-serif"/>
        <color rgb="FF1155CC"/>
        <sz val="11.0"/>
        <u/>
      </rPr>
      <t>5 mar 2024</t>
    </r>
  </si>
  <si>
    <t>Voces de Cuenca</t>
  </si>
  <si>
    <t>El restaurante Casas Colgadas, galardonado con dos Soles Repsol</t>
  </si>
  <si>
    <t>El restaurante Casas Colgadas, regentado por Jesús Segura, ha sido galardonado con dos Soles de la Guía Repsol 2024 en el acto celebrado este lunes en el....</t>
  </si>
  <si>
    <t>The Casas Colgadas restaurant, awarded two Repsol Suns</t>
  </si>
  <si>
    <t>The Casas Colgadas restaurant, run by Jesús Segura, has been awarded two Suns from the Repsol Guide 2024 at the event held this Monday at the...</t>
  </si>
  <si>
    <r>
      <rPr>
        <rFont val="Arial, sans-serif"/>
        <color rgb="FF1155CC"/>
        <sz val="9.0"/>
        <u/>
      </rPr>
      <t>OkDiario</t>
    </r>
    <r>
      <rPr>
        <rFont val="Arial, sans-serif"/>
        <color rgb="FF1155CC"/>
        <sz val="15.0"/>
        <u/>
      </rPr>
      <t>El romántico y escondido restaurante de Madrid premiado con 2 Soles Repsol</t>
    </r>
    <r>
      <rPr>
        <rFont val="Arial, sans-serif"/>
        <color rgb="FF1155CC"/>
        <sz val="11.0"/>
        <u/>
      </rPr>
      <t>Se llama Le Bistroman L'Atelier, un restaurante francés que sólo podía estar en la zona más romántica de Madrid. Ha ganado 2 Soles Repsol.</t>
    </r>
    <r>
      <rPr>
        <rFont val="Arial, sans-serif"/>
        <color rgb="FF1155CC"/>
        <sz val="12.0"/>
        <u/>
      </rPr>
      <t>.</t>
    </r>
    <r>
      <rPr>
        <rFont val="Arial, sans-serif"/>
        <color rgb="FF1155CC"/>
        <sz val="11.0"/>
        <u/>
      </rPr>
      <t>5 mar 2024</t>
    </r>
  </si>
  <si>
    <t>El romántico y escondido restaurante de Madrid premiado con 2 Soles Repsol</t>
  </si>
  <si>
    <t>Se llama Le Bistroman L'Atelier, un restaurante francés que sólo podía estar en la zona más romántica de Madrid. Ha ganado 2 Soles Repsol.</t>
  </si>
  <si>
    <t>The romantic and hidden restaurant in Madrid awarded 2 Repsol Suns</t>
  </si>
  <si>
    <t>It's called Le Bistroman L'Atelier, a French restaurant that could only be in the most romantic area of ​​Madrid. He has won 2 Repsol Suns.</t>
  </si>
  <si>
    <r>
      <rPr>
        <rFont val="Arial, sans-serif"/>
        <color rgb="FF1155CC"/>
        <sz val="9.0"/>
        <u/>
      </rPr>
      <t>ElPlural.com</t>
    </r>
    <r>
      <rPr>
        <rFont val="Arial, sans-serif"/>
        <color rgb="FF1155CC"/>
        <sz val="15.0"/>
        <u/>
      </rPr>
      <t>Begoña Rodrigo, nueva estrella con Tres Soles Repsol</t>
    </r>
    <r>
      <rPr>
        <rFont val="Arial, sans-serif"/>
        <color rgb="FF1155CC"/>
        <sz val="11.0"/>
        <u/>
      </rPr>
      <t>Begoña Rodrigo (Valencia, 1975), más conocida como Bego, ha entrado este lunes a formar parte del universo Tres Soles Guía Repsol, junto a cocineros como...</t>
    </r>
    <r>
      <rPr>
        <rFont val="Arial, sans-serif"/>
        <color rgb="FF1155CC"/>
        <sz val="12.0"/>
        <u/>
      </rPr>
      <t>.</t>
    </r>
    <r>
      <rPr>
        <rFont val="Arial, sans-serif"/>
        <color rgb="FF1155CC"/>
        <sz val="11.0"/>
        <u/>
      </rPr>
      <t>5 mar 2024</t>
    </r>
  </si>
  <si>
    <t>Begoña Rodrigo, nueva estrella con Tres Soles Repsol</t>
  </si>
  <si>
    <t>Begoña Rodrigo (Valencia, 1975), más conocida como Bego, ha entrado este lunes a formar parte del universo Tres Soles Guía Repsol, junto a cocineros como....</t>
  </si>
  <si>
    <t>Begoña Rodrigo, new star with Tres Soles Repsol</t>
  </si>
  <si>
    <t>Begoña Rodrigo (Valencia, 1975), better known as Bego, has become part of the Tres Soles Repsol Guide universe this Monday, along with chefs such as...</t>
  </si>
  <si>
    <r>
      <rPr>
        <rFont val="Arial, sans-serif"/>
        <color rgb="FF1155CC"/>
        <sz val="9.0"/>
        <u/>
      </rPr>
      <t>Onda Cero</t>
    </r>
    <r>
      <rPr>
        <rFont val="Arial, sans-serif"/>
        <color rgb="FF1155CC"/>
        <sz val="15.0"/>
        <u/>
      </rPr>
      <t>'La Llorería', nuevo Sol Repsol en Madrid: así se come en este restaurante de Chueca</t>
    </r>
    <r>
      <rPr>
        <rFont val="Arial, sans-serif"/>
        <color rgb="FF1155CC"/>
        <sz val="11.0"/>
        <u/>
      </rPr>
      <t>El restaurante ubicado en el madrileño barrio de Chueca ha logrado estrenarse en el universo de los Soles de la Guía Repsol. Tras dos años de apertura,...</t>
    </r>
    <r>
      <rPr>
        <rFont val="Arial, sans-serif"/>
        <color rgb="FF1155CC"/>
        <sz val="12.0"/>
        <u/>
      </rPr>
      <t>.</t>
    </r>
    <r>
      <rPr>
        <rFont val="Arial, sans-serif"/>
        <color rgb="FF1155CC"/>
        <sz val="11.0"/>
        <u/>
      </rPr>
      <t>5 mar 2024</t>
    </r>
  </si>
  <si>
    <t>'La Llorería', nuevo Sol Repsol en Madrid: así se come en este restaurante de Chueca</t>
  </si>
  <si>
    <t>El restaurante ubicado en el madrileño barrio de Chueca ha logrado estrenarse en el universo de los Soles de la Guía Repsol. Tras dos años de apertura,....</t>
  </si>
  <si>
    <t>'La Llorería', new Sol Repsol in Madrid: this is how you eat in this restaurant in Chueca</t>
  </si>
  <si>
    <t>The restaurant located in the Madrid neighborhood of Chueca has managed to debut in the universe of the Suns of the Repsol Guide. After two years of opening,....</t>
  </si>
  <si>
    <r>
      <rPr>
        <rFont val="Arial, sans-serif"/>
        <color rgb="FF1155CC"/>
        <sz val="9.0"/>
        <u/>
      </rPr>
      <t>heraldo.es</t>
    </r>
    <r>
      <rPr>
        <rFont val="Arial, sans-serif"/>
        <color rgb="FF1155CC"/>
        <sz val="15.0"/>
        <u/>
      </rPr>
      <t>Emocionante noche para los nuevos soles Repsol de Aragón: "Es un reconocimiento para todo el equipo"</t>
    </r>
    <r>
      <rPr>
        <rFont val="Arial, sans-serif"/>
        <color rgb="FF1155CC"/>
        <sz val="11.0"/>
        <u/>
      </rPr>
      <t>Tres restaurantes de Aragón de pequeños pueblos fueron galardonados en la gala de la Guía Repsol con las nuevas distinciones.</t>
    </r>
    <r>
      <rPr>
        <rFont val="Arial, sans-serif"/>
        <color rgb="FF1155CC"/>
        <sz val="12.0"/>
        <u/>
      </rPr>
      <t>.</t>
    </r>
    <r>
      <rPr>
        <rFont val="Arial, sans-serif"/>
        <color rgb="FF1155CC"/>
        <sz val="11.0"/>
        <u/>
      </rPr>
      <t>5 mar 2024</t>
    </r>
  </si>
  <si>
    <t>Emocionante noche para los nuevos soles Repsol de Aragón: "Es un reconocimiento para todo el equipo"</t>
  </si>
  <si>
    <t>Tres restaurantes de Aragón de pequeños pueblos fueron galardonados en la gala de la Guía Repsol con las nuevas distinciones.</t>
  </si>
  <si>
    <t>Exciting night for the new Repsol de Aragón suns: "It is recognition for the entire team"</t>
  </si>
  <si>
    <t>Three restaurants in small towns in Aragon were awarded the new distinctions at the Repsol Guide gala.</t>
  </si>
  <si>
    <r>
      <rPr>
        <rFont val="Arial, sans-serif"/>
        <color rgb="FF1155CC"/>
        <sz val="9.0"/>
        <u/>
      </rPr>
      <t>La Crónica de Badajoz</t>
    </r>
    <r>
      <rPr>
        <rFont val="Arial, sans-serif"/>
        <color rgb="FF1155CC"/>
        <sz val="15.0"/>
        <u/>
      </rPr>
      <t>Estos son los cuatro restaurantes de Badajoz premiados con un Sol de Repsol en 2024</t>
    </r>
    <r>
      <rPr>
        <rFont val="Arial, sans-serif"/>
        <color rgb="FF1155CC"/>
        <sz val="11.0"/>
        <u/>
      </rPr>
      <t>Marchivirito, Dromo, Galaxia y Lugaris acaban de hacerse con un Sol Repsol. Estos cuatro restaurantes de la capital pacense han conseguido colarse entre los...</t>
    </r>
    <r>
      <rPr>
        <rFont val="Arial, sans-serif"/>
        <color rgb="FF1155CC"/>
        <sz val="12.0"/>
        <u/>
      </rPr>
      <t>.</t>
    </r>
    <r>
      <rPr>
        <rFont val="Arial, sans-serif"/>
        <color rgb="FF1155CC"/>
        <sz val="11.0"/>
        <u/>
      </rPr>
      <t>5 mar 2024</t>
    </r>
  </si>
  <si>
    <t>La Crónica de Badajoz</t>
  </si>
  <si>
    <t>Estos son los cuatro restaurantes de Badajoz premiados con un Sol de Repsol en 2024</t>
  </si>
  <si>
    <t>Marchivirito, Dromo, Galaxia y Lugaris acaban de hacerse con un Sol Repsol. Estos cuatro restaurantes de la capital pacense han conseguido colarse entre los....</t>
  </si>
  <si>
    <t>These are the four restaurants in Badajoz awarded with a Sol de Repsol in 2024</t>
  </si>
  <si>
    <t>Marchivirito, Dromo, Galaxia and Lugaris have just won a Sol Repsol. These four restaurants in the capital of Badajoz have managed to sneak into the...</t>
  </si>
  <si>
    <r>
      <rPr>
        <rFont val="Arial, sans-serif"/>
        <color rgb="FF1155CC"/>
        <sz val="9.0"/>
        <u/>
      </rPr>
      <t>El Español</t>
    </r>
    <r>
      <rPr>
        <rFont val="Arial, sans-serif"/>
        <color rgb="FF1155CC"/>
        <sz val="15.0"/>
        <u/>
      </rPr>
      <t>Estos son los 40 restaurantes de Galicia reconocidos con uno o más Soles de Repsol</t>
    </r>
    <r>
      <rPr>
        <rFont val="Arial, sans-serif"/>
        <color rgb="FF1155CC"/>
        <sz val="11.0"/>
        <u/>
      </rPr>
      <t>La comunidad gallega sumó seis establecimientos con este distintivo tras la celebración, ayer lunes, de una nueva edición de este galardón.</t>
    </r>
    <r>
      <rPr>
        <rFont val="Arial, sans-serif"/>
        <color rgb="FF1155CC"/>
        <sz val="12.0"/>
        <u/>
      </rPr>
      <t>.</t>
    </r>
    <r>
      <rPr>
        <rFont val="Arial, sans-serif"/>
        <color rgb="FF1155CC"/>
        <sz val="11.0"/>
        <u/>
      </rPr>
      <t>5 mar 2024</t>
    </r>
  </si>
  <si>
    <t>Estos son los 40 restaurantes de Galicia reconocidos con uno o más Soles de Repsol</t>
  </si>
  <si>
    <t>La comunidad gallega sumó seis establecimientos con este distintivo tras la celebración, ayer lunes, de una nueva edición de este galardón.</t>
  </si>
  <si>
    <t>These are the 40 restaurants in Galicia recognized with one or more Repsol Suns</t>
  </si>
  <si>
    <t>The Galician community added six establishments with this distinction after the celebration, yesterday Monday, of a new edition of this award.</t>
  </si>
  <si>
    <r>
      <rPr>
        <rFont val="Arial, sans-serif"/>
        <color rgb="FF1155CC"/>
        <sz val="9.0"/>
        <u/>
      </rPr>
      <t>Avilared</t>
    </r>
    <r>
      <rPr>
        <rFont val="Arial, sans-serif"/>
        <color rgb="FF1155CC"/>
        <sz val="15.0"/>
        <u/>
      </rPr>
      <t>Los dos restaurantes de Ávila con soles en la Guía Repsol</t>
    </r>
    <r>
      <rPr>
        <rFont val="Arial, sans-serif"/>
        <color rgb="FF1155CC"/>
        <sz val="11.0"/>
        <u/>
      </rPr>
      <t>El restaurante Barro de Ávila ha sido reconocido con un Sol Repsol en la edición 2024 de la prestigiosa guía. Descubre la cocina creativa de Carlos Casillas...</t>
    </r>
    <r>
      <rPr>
        <rFont val="Arial, sans-serif"/>
        <color rgb="FF1155CC"/>
        <sz val="12.0"/>
        <u/>
      </rPr>
      <t>.</t>
    </r>
    <r>
      <rPr>
        <rFont val="Arial, sans-serif"/>
        <color rgb="FF1155CC"/>
        <sz val="11.0"/>
        <u/>
      </rPr>
      <t>5 mar 2024</t>
    </r>
  </si>
  <si>
    <t>Avilared</t>
  </si>
  <si>
    <t>Los dos restaurantes de Ávila con soles en la Guía Repsol</t>
  </si>
  <si>
    <t>El restaurante Barro de Ávila ha sido reconocido con un Sol Repsol en la edición 2024 de la prestigiosa guía. Descubre la cocina creativa de Carlos Casillas....</t>
  </si>
  <si>
    <t>The two restaurants in Ávila with suns in the Repsol Guide</t>
  </si>
  <si>
    <t>The Barro de Ávila restaurant has been recognized with a Sol Repsol in the 2024 edition of the prestigious guide. Discover the creative cuisine of Carlos Casillas....</t>
  </si>
  <si>
    <r>
      <rPr>
        <rFont val="Arial, sans-serif"/>
        <color rgb="FF1155CC"/>
        <sz val="9.0"/>
        <u/>
      </rPr>
      <t>El Periódico Extremadura</t>
    </r>
    <r>
      <rPr>
        <rFont val="Arial, sans-serif"/>
        <color rgb="FF1155CC"/>
        <sz val="15.0"/>
        <u/>
      </rPr>
      <t>Este es el restaurante cacereño que se estrena con un Sol Repsol</t>
    </r>
    <r>
      <rPr>
        <rFont val="Arial, sans-serif"/>
        <color rgb="FF1155CC"/>
        <sz val="11.0"/>
        <u/>
      </rPr>
      <t>'Borona Bistró' está entre los 98 nuevos establecimientos en toda España que se incorporan a la Guía Repsol.</t>
    </r>
    <r>
      <rPr>
        <rFont val="Arial, sans-serif"/>
        <color rgb="FF1155CC"/>
        <sz val="12.0"/>
        <u/>
      </rPr>
      <t>.</t>
    </r>
    <r>
      <rPr>
        <rFont val="Arial, sans-serif"/>
        <color rgb="FF1155CC"/>
        <sz val="11.0"/>
        <u/>
      </rPr>
      <t>5 mar 2024</t>
    </r>
  </si>
  <si>
    <t>El Periódico Extremadura</t>
  </si>
  <si>
    <t>Este es el restaurante cacereño que se estrena con un Sol Repsol</t>
  </si>
  <si>
    <t>'Borona Bistró' está entre los 98 nuevos establecimientos en toda España que se incorporan a la Guía Repsol.</t>
  </si>
  <si>
    <t>This is the Cáceres restaurant that debuts with a Sol Repsol</t>
  </si>
  <si>
    <t>'Borona Bistró' is among the 98 new establishments throughout Spain that are incorporated into the Repsol Guide.</t>
  </si>
  <si>
    <r>
      <rPr>
        <rFont val="Arial, sans-serif"/>
        <color rgb="FF1155CC"/>
        <sz val="9.0"/>
        <u/>
      </rPr>
      <t>El Día de Córdoba</t>
    </r>
    <r>
      <rPr>
        <rFont val="Arial, sans-serif"/>
        <color rgb="FF1155CC"/>
        <sz val="15.0"/>
        <u/>
      </rPr>
      <t>Los restaurantes Recomendados de la Guía Repsol 2024 en Córdoba</t>
    </r>
    <r>
      <rPr>
        <rFont val="Arial, sans-serif"/>
        <color rgb="FF1155CC"/>
        <sz val="11.0"/>
        <u/>
      </rPr>
      <t>En plena resaca de la Gala de Entrega de los Soles de la Guía Repsol 2024, también se han dado a conocer los Recomendados de la prestigiosa Guía.</t>
    </r>
    <r>
      <rPr>
        <rFont val="Arial, sans-serif"/>
        <color rgb="FF1155CC"/>
        <sz val="12.0"/>
        <u/>
      </rPr>
      <t>.</t>
    </r>
    <r>
      <rPr>
        <rFont val="Arial, sans-serif"/>
        <color rgb="FF1155CC"/>
        <sz val="11.0"/>
        <u/>
      </rPr>
      <t>5 mar 2024</t>
    </r>
  </si>
  <si>
    <t>Los restaurantes Recomendados de la Guía Repsol 2024 en Córdoba</t>
  </si>
  <si>
    <t>En plena resaca de la Gala de Entrega de los Soles de la Guía Repsol 2024, también se han dado a conocer los Recomendados de la prestigiosa Guía.</t>
  </si>
  <si>
    <t>The Recommended restaurants of the Repsol Guide 2024 in Córdoba</t>
  </si>
  <si>
    <t>In the midst of the 2024 Repsol Guide Suns Awards Gala, the Recommended of the prestigious Guide have also been announced.</t>
  </si>
  <si>
    <r>
      <rPr>
        <rFont val="Arial, sans-serif"/>
        <color rgb="FF1155CC"/>
        <sz val="9.0"/>
        <u/>
      </rPr>
      <t>El Español</t>
    </r>
    <r>
      <rPr>
        <rFont val="Arial, sans-serif"/>
        <color rgb="FF1155CC"/>
        <sz val="15.0"/>
        <u/>
      </rPr>
      <t>El restaurante de Águilas con el mejor pescado y otros nuevos Soles Repsol para saborear Murcia</t>
    </r>
    <r>
      <rPr>
        <rFont val="Arial, sans-serif"/>
        <color rgb="FF1155CC"/>
        <sz val="11.0"/>
        <u/>
      </rPr>
      <t>Cartagena ha acogido la Gala Guía Repsol 2024: aquí una recopilación de los locales premiados en la región protagonista.</t>
    </r>
    <r>
      <rPr>
        <rFont val="Arial, sans-serif"/>
        <color rgb="FF1155CC"/>
        <sz val="12.0"/>
        <u/>
      </rPr>
      <t>.</t>
    </r>
    <r>
      <rPr>
        <rFont val="Arial, sans-serif"/>
        <color rgb="FF1155CC"/>
        <sz val="11.0"/>
        <u/>
      </rPr>
      <t>5 mar 2024</t>
    </r>
  </si>
  <si>
    <t>El restaurante de Águilas con el mejor pescado y otros nuevos Soles Repsol para saborear Murcia</t>
  </si>
  <si>
    <t>El restaurante de Águilas con el mejor pescado y otros nuevos Soles Repsol para saborear Murcia.</t>
  </si>
  <si>
    <t>The Águilas restaurant with the best fish and other new Repsol Soles to savor Murcia</t>
  </si>
  <si>
    <t>The Águilas restaurant with the best fish and other new Repsol Soles to savor Murcia.</t>
  </si>
  <si>
    <r>
      <rPr>
        <rFont val="Arial, sans-serif"/>
        <color rgb="FF1155CC"/>
        <sz val="9.0"/>
        <u/>
      </rPr>
      <t>Onda Vasca</t>
    </r>
    <r>
      <rPr>
        <rFont val="Arial, sans-serif"/>
        <color rgb="FF1155CC"/>
        <sz val="15.0"/>
        <u/>
      </rPr>
      <t>Julen Bergantiños ('Islares'), tras recibir un Sol Repsol: "Es un honor, te coloca en el podio de los grandes restaurantes"</t>
    </r>
    <r>
      <rPr>
        <rFont val="Arial, sans-serif"/>
        <color rgb="FF1155CC"/>
        <sz val="11.0"/>
        <u/>
      </rPr>
      <t>Este martes ha amanecido soleado en Euskadi, aunque no nos referimos al tiempo meteorológico. Desde anoche, siete nuevos soles brillan en el firmamento de...</t>
    </r>
    <r>
      <rPr>
        <rFont val="Arial, sans-serif"/>
        <color rgb="FF1155CC"/>
        <sz val="12.0"/>
        <u/>
      </rPr>
      <t>.</t>
    </r>
    <r>
      <rPr>
        <rFont val="Arial, sans-serif"/>
        <color rgb="FF1155CC"/>
        <sz val="11.0"/>
        <u/>
      </rPr>
      <t>5 mar 2024</t>
    </r>
  </si>
  <si>
    <t>Onda Vasca</t>
  </si>
  <si>
    <t>Julen Bergantiños ('Islares'), tras recibir un Sol Repsol: "Es un honor, te coloca en el podio de los grandes restaurantes"</t>
  </si>
  <si>
    <t>"Es un honor, te coloca en el podio de los grandes restaurantes"</t>
  </si>
  <si>
    <t>Julen Bergantiños ('Islares'), after receiving a Sol Repsol: "It is an honor, it places you on the podium of great restaurants"</t>
  </si>
  <si>
    <t>"It is an honor, it places you on the podium of great restaurants"</t>
  </si>
  <si>
    <r>
      <rPr>
        <rFont val="Arial, sans-serif"/>
        <color rgb="FF1155CC"/>
        <sz val="9.0"/>
        <u/>
      </rPr>
      <t>El Español</t>
    </r>
    <r>
      <rPr>
        <rFont val="Arial, sans-serif"/>
        <color rgb="FF1155CC"/>
        <sz val="15.0"/>
        <u/>
      </rPr>
      <t>El restaurante Simpar, nuevo Sol Guía Repsol en Santiago de Compostela</t>
    </r>
    <r>
      <rPr>
        <rFont val="Arial, sans-serif"/>
        <color rgb="FF1155CC"/>
        <sz val="11.0"/>
        <u/>
      </rPr>
      <t>El proyecto de Áxel Smyth ha conseguido conquistar la prestigiosa guía junto con otros cinco restaurantes gallegos.</t>
    </r>
    <r>
      <rPr>
        <rFont val="Arial, sans-serif"/>
        <color rgb="FF1155CC"/>
        <sz val="12.0"/>
        <u/>
      </rPr>
      <t>.</t>
    </r>
    <r>
      <rPr>
        <rFont val="Arial, sans-serif"/>
        <color rgb="FF1155CC"/>
        <sz val="11.0"/>
        <u/>
      </rPr>
      <t>5 mar 2024</t>
    </r>
  </si>
  <si>
    <t>El restaurante Simpar, nuevo Sol Guía Repsol en Santiago de Compostela</t>
  </si>
  <si>
    <t>El proyecto de Áxel Smyth ha conseguido conquistar la prestigiosa guía junto con otros cinco restaurantes gallegos.</t>
  </si>
  <si>
    <t>The Simpar restaurant, new Sol Guía Repsol in Santiago de Compostela</t>
  </si>
  <si>
    <t>Áxel Smyth's project has managed to win the prestigious guide along with five other Galician restaurants.</t>
  </si>
  <si>
    <r>
      <rPr>
        <rFont val="Arial, sans-serif"/>
        <color rgb="FF1155CC"/>
        <sz val="9.0"/>
        <u/>
      </rPr>
      <t>Antena 3</t>
    </r>
    <r>
      <rPr>
        <rFont val="Arial, sans-serif"/>
        <color rgb="FF1155CC"/>
        <sz val="15.0"/>
        <u/>
      </rPr>
      <t>Begoña Rodríguez, nueva tres Soles Repsol: "La conciliación es el talón de Aquiles dentro de nuestra profesión"</t>
    </r>
    <r>
      <rPr>
        <rFont val="Arial, sans-serif"/>
        <color rgb="FF1155CC"/>
        <sz val="11.0"/>
        <u/>
      </rPr>
      <t>La Salita, el restaurante de Begoña Rodríguez, acaba de recibir el tercer sol de la Guía Repsol. La máxima distinción y el único entregado en esta edición.</t>
    </r>
    <r>
      <rPr>
        <rFont val="Arial, sans-serif"/>
        <color rgb="FF1155CC"/>
        <sz val="12.0"/>
        <u/>
      </rPr>
      <t>.</t>
    </r>
    <r>
      <rPr>
        <rFont val="Arial, sans-serif"/>
        <color rgb="FF1155CC"/>
        <sz val="11.0"/>
        <u/>
      </rPr>
      <t>5 mar 2024</t>
    </r>
  </si>
  <si>
    <t>Antena 3</t>
  </si>
  <si>
    <t>Begoña Rodríguez, nueva tres Soles Repsol: "La conciliación es el talón de Aquiles dentro de nuestra profesión"</t>
  </si>
  <si>
    <t>"La Salita, el restaurante de Begoña Rodríguez, acaba de recibir el tercer sol de la Guía Repsol. La máxima distinción y el único entregado en esta edición."</t>
  </si>
  <si>
    <t>Begoña Rodríguez, new three Repsol Suns: "Conciliation is the Achilles heel within our profession"</t>
  </si>
  <si>
    <t>"La Salita, Begoña Rodríguez's restaurant, has just received the third sun from the Repsol Guide. The highest distinction and the only one awarded in this edition."</t>
  </si>
  <si>
    <r>
      <rPr>
        <rFont val="Arial, sans-serif"/>
        <color rgb="FF1155CC"/>
        <sz val="9.0"/>
        <u/>
      </rPr>
      <t>Lloret Gaceta</t>
    </r>
    <r>
      <rPr>
        <rFont val="Arial, sans-serif"/>
        <color rgb="FF1155CC"/>
        <sz val="15.0"/>
        <u/>
      </rPr>
      <t>El Studio66 entra en el “Sistema solar” de la prestigiosa Guía Repsol donde ya son cuatro restaurantes de Lloret</t>
    </r>
    <r>
      <rPr>
        <rFont val="Arial, sans-serif"/>
        <color rgb="FF1155CC"/>
        <sz val="11.0"/>
        <u/>
      </rPr>
      <t>La Guía Repsol ha otorgado este lunes 4 de marzo, un merecido reconocimiento al restaurante Studio 66 de Lloret de Mar durante su gala anual celebrada este...</t>
    </r>
    <r>
      <rPr>
        <rFont val="Arial, sans-serif"/>
        <color rgb="FF1155CC"/>
        <sz val="12.0"/>
        <u/>
      </rPr>
      <t>.</t>
    </r>
    <r>
      <rPr>
        <rFont val="Arial, sans-serif"/>
        <color rgb="FF1155CC"/>
        <sz val="11.0"/>
        <u/>
      </rPr>
      <t>5 mar 2024</t>
    </r>
  </si>
  <si>
    <t>Lloret Gaceta</t>
  </si>
  <si>
    <t>El Studio66 entra en el “Sistema solar” de la prestigiosa Guía Repsol donde ya son cuatro restaurantes de Lloret</t>
  </si>
  <si>
    <t>El Studio66 entra en el “Sistema solar” de la prestigiosa Guía Repsol donde ya son cuatro restaurantes de Lloret.</t>
  </si>
  <si>
    <t>Studio66 enters the “Solar System” of the prestigious Repsol Guide where there are already four restaurants in Lloret</t>
  </si>
  <si>
    <t>Studio66 enters the “Solar System” of the prestigious Repsol Guide where there are already four restaurants in Lloret.</t>
  </si>
  <si>
    <r>
      <rPr>
        <rFont val="Arial, sans-serif"/>
        <color rgb="FF1155CC"/>
        <sz val="9.0"/>
        <u/>
      </rPr>
      <t>Info Bierzo</t>
    </r>
    <r>
      <rPr>
        <rFont val="Arial, sans-serif"/>
        <color rgb="FF1155CC"/>
        <sz val="15.0"/>
        <u/>
      </rPr>
      <t>Dos restaurantes del Bierzo brillan de nuevo revalidando su Sol Repsol</t>
    </r>
    <r>
      <rPr>
        <rFont val="Arial, sans-serif"/>
        <color rgb="FF1155CC"/>
        <sz val="11.0"/>
        <u/>
      </rPr>
      <t>El Bierzo sigue despuntando en el olimpo culinario y lo ha vuelto a demostrar el pasado lunes, durante la Gala de los Soles Guía Repsol 2024, donde dos...</t>
    </r>
    <r>
      <rPr>
        <rFont val="Arial, sans-serif"/>
        <color rgb="FF1155CC"/>
        <sz val="12.0"/>
        <u/>
      </rPr>
      <t>.</t>
    </r>
    <r>
      <rPr>
        <rFont val="Arial, sans-serif"/>
        <color rgb="FF1155CC"/>
        <sz val="11.0"/>
        <u/>
      </rPr>
      <t>5 mar 2024</t>
    </r>
  </si>
  <si>
    <t>Info Bierzo</t>
  </si>
  <si>
    <t>Dos restaurantes del Bierzo brillan de nuevo revalidando su Sol Repsol</t>
  </si>
  <si>
    <t>El Bierzo sigue despuntando en el olimpo culinario y lo ha vuelto a demostrar el pasado lunes, durante la Gala de los Soles Guía Repsol 2024, donde dos....</t>
  </si>
  <si>
    <t>Two restaurants in Bierzo shine again, revalidating their Sol Repsol</t>
  </si>
  <si>
    <t>El Bierzo continues to stand out in the culinary Olympus and demonstrated it again last Monday, during the Repsol Guide 2024 Suns Gala, where two...</t>
  </si>
  <si>
    <r>
      <rPr>
        <rFont val="Arial, sans-serif"/>
        <color rgb="FF1155CC"/>
        <sz val="9.0"/>
        <u/>
      </rPr>
      <t>infoaguilas.es</t>
    </r>
    <r>
      <rPr>
        <rFont val="Arial, sans-serif"/>
        <color rgb="FF1155CC"/>
        <sz val="15.0"/>
        <u/>
      </rPr>
      <t>Restaurante El Poli de Águilas galardonado con uno de los prestigiosos soles de la Guía Repsol</t>
    </r>
    <r>
      <rPr>
        <rFont val="Arial, sans-serif"/>
        <color rgb="FF1155CC"/>
        <sz val="11.0"/>
        <u/>
      </rPr>
      <t>Anoche se celebró en Cartagena la gala de entrega de los 'Premios Soles Guía Repsol 2024', donde los aguileños Juanfran Paredes y José Rodríguez de...</t>
    </r>
    <r>
      <rPr>
        <rFont val="Arial, sans-serif"/>
        <color rgb="FF1155CC"/>
        <sz val="12.0"/>
        <u/>
      </rPr>
      <t>.</t>
    </r>
    <r>
      <rPr>
        <rFont val="Arial, sans-serif"/>
        <color rgb="FF1155CC"/>
        <sz val="11.0"/>
        <u/>
      </rPr>
      <t>5 mar 2024</t>
    </r>
  </si>
  <si>
    <t>infoaguilas.es</t>
  </si>
  <si>
    <t>Restaurante El Poli de Águilas galardonado con uno de los prestigiosos soles de la Guía Repsol</t>
  </si>
  <si>
    <t>Restaurante El Poli de Águilas galardonado con uno de los prestigiosos soles de la Guía Repsol. Anoche se celebró en Cartagena la gala de entrega de los 'Premios Soles Guía Repsol 2024', donde los aguileños Juanfran Paredes y José Rodríguez de....</t>
  </si>
  <si>
    <t>El Poli de Águilas Restaurant awarded one of the prestigious suns from the Repsol Guide</t>
  </si>
  <si>
    <t>El Poli de Águilas Restaurant awarded one of the prestigious suns from the Repsol Guide. Last night the 'Repsol Guide 2024 Soles Awards' gala was held in Cartagena, where the Aquileans Juanfran Paredes and José Rodríguez de...</t>
  </si>
  <si>
    <r>
      <rPr>
        <rFont val="Arial, sans-serif"/>
        <color rgb="FF1155CC"/>
        <sz val="9.0"/>
        <u/>
      </rPr>
      <t>Granada Hoy</t>
    </r>
    <r>
      <rPr>
        <rFont val="Arial, sans-serif"/>
        <color rgb="FF1155CC"/>
        <sz val="15.0"/>
        <u/>
      </rPr>
      <t>Chechu González, Sol Repsol: el chef de las salsas y los encurtidos que se enamoró de la cocina por su madre</t>
    </r>
    <r>
      <rPr>
        <rFont val="Arial, sans-serif"/>
        <color rgb="FF1155CC"/>
        <sz val="11.0"/>
        <u/>
      </rPr>
      <t>Cocina "ácida" y mezcla de culturas con espíritu de KM0: los secretos de los chefs granadinos ganadores de un Sol Repsol.</t>
    </r>
    <r>
      <rPr>
        <rFont val="Arial, sans-serif"/>
        <color rgb="FF1155CC"/>
        <sz val="12.0"/>
        <u/>
      </rPr>
      <t>.</t>
    </r>
    <r>
      <rPr>
        <rFont val="Arial, sans-serif"/>
        <color rgb="FF1155CC"/>
        <sz val="11.0"/>
        <u/>
      </rPr>
      <t>5 mar 2024</t>
    </r>
  </si>
  <si>
    <t>Sol Repsol: el chef de las salsas y los encurtidos que se enamoró de la cocina por su madre</t>
  </si>
  <si>
    <t>Cocina "ácida" y mezcla de culturas con espíritu de KM0: los secretos de los chefs granadinos ganadores de un Sol Repsol.</t>
  </si>
  <si>
    <t>Sol Repsol: the sauces and pickles chef who fell in love with cooking because of his mother</t>
  </si>
  <si>
    <t>"Acid" cuisine and a mix of cultures with the spirit of KM0: the secrets of the Granada chefs who won a Sol Repsol.</t>
  </si>
  <si>
    <r>
      <rPr>
        <rFont val="Arial, sans-serif"/>
        <color rgb="FF1155CC"/>
        <sz val="9.0"/>
        <u/>
      </rPr>
      <t>Hostelería en Zamora</t>
    </r>
    <r>
      <rPr>
        <rFont val="Arial, sans-serif"/>
        <color rgb="FF1155CC"/>
        <sz val="15.0"/>
        <u/>
      </rPr>
      <t>El Cuzeo consigue un nuevo Sol Repsol en el cielo zamorano, donde brillan los Dos Soles de Lera y El Ermitaño</t>
    </r>
    <r>
      <rPr>
        <rFont val="Arial, sans-serif"/>
        <color rgb="FF1155CC"/>
        <sz val="11.0"/>
        <u/>
      </rPr>
      <t>El restaurante Cuzeo, ubicado en la Rúa de los Francos, ha obtenido su primer Sol Repsol, sumando así un nuevo astro en el cielo de la gastronomía zamorana.</t>
    </r>
    <r>
      <rPr>
        <rFont val="Arial, sans-serif"/>
        <color rgb="FF1155CC"/>
        <sz val="12.0"/>
        <u/>
      </rPr>
      <t>.</t>
    </r>
    <r>
      <rPr>
        <rFont val="Arial, sans-serif"/>
        <color rgb="FF1155CC"/>
        <sz val="11.0"/>
        <u/>
      </rPr>
      <t>5 mar 2024</t>
    </r>
  </si>
  <si>
    <t>Hostelería en Zamora</t>
  </si>
  <si>
    <t>El Cuzeo consigue un nuevo Sol Repsol en el cielo zamorano, donde brillan los Dos Soles de Lera y El Ermitaño</t>
  </si>
  <si>
    <t>El restaurante Cuzeo, ubicado en la Rúa de los Francos, ha obtenido su primer Sol Repsol, sumando así un nuevo astro en el cielo de la gastronomía zamorana.</t>
  </si>
  <si>
    <t>El Cuzeo gets a new Repsol Sun in the Zamorano sky, where the Two Suns of Lera and El Ermitaño shine</t>
  </si>
  <si>
    <t>The Cuzeo restaurant, located on Rúa de los Francos, has obtained its first Repsol Sun, thus adding a new star in the sky of Zamora gastronomy.</t>
  </si>
  <si>
    <r>
      <rPr>
        <rFont val="Arial, sans-serif"/>
        <color rgb="FF1155CC"/>
        <sz val="9.0"/>
        <u/>
      </rPr>
      <t>El Español</t>
    </r>
    <r>
      <rPr>
        <rFont val="Arial, sans-serif"/>
        <color rgb="FF1155CC"/>
        <sz val="15.0"/>
        <u/>
      </rPr>
      <t>Así es el bar de barrio de dos jóvenes chefs que ha ganado por sorpresa un Sol Repsol: su barra triunfa en Chueca</t>
    </r>
    <r>
      <rPr>
        <rFont val="Arial, sans-serif"/>
        <color rgb="FF1155CC"/>
        <sz val="11.0"/>
        <u/>
      </rPr>
      <t>La Gala Soles Guía Repsol 2024 premia a La Llorería, un pequeño restaurante que "romper todos los cánones".</t>
    </r>
    <r>
      <rPr>
        <rFont val="Arial, sans-serif"/>
        <color rgb="FF1155CC"/>
        <sz val="12.0"/>
        <u/>
      </rPr>
      <t>.</t>
    </r>
    <r>
      <rPr>
        <rFont val="Arial, sans-serif"/>
        <color rgb="FF1155CC"/>
        <sz val="11.0"/>
        <u/>
      </rPr>
      <t>5 mar 2024</t>
    </r>
  </si>
  <si>
    <t>Así es el bar de barrio de dos jóvenes chefs que ha ganado por sorpresa un Sol Repsol: su barra triunfa en Chueca</t>
  </si>
  <si>
    <t>"romper todos los cánones"</t>
  </si>
  <si>
    <t>This is the neighborhood bar of two young chefs who has unexpectedly won a Sol Repsol: their bar triumphs in Chueca</t>
  </si>
  <si>
    <t>"break all the canons"</t>
  </si>
  <si>
    <r>
      <rPr>
        <rFont val="Arial, sans-serif"/>
        <color rgb="FF1155CC"/>
        <sz val="9.0"/>
        <u/>
      </rPr>
      <t>Diario de Sevilla</t>
    </r>
    <r>
      <rPr>
        <rFont val="Arial, sans-serif"/>
        <color rgb="FF1155CC"/>
        <sz val="15.0"/>
        <u/>
      </rPr>
      <t>Estos son todos los Soles de la Guía Repsol 2024 que hay en Sevilla</t>
    </r>
    <r>
      <rPr>
        <rFont val="Arial, sans-serif"/>
        <color rgb="FF1155CC"/>
        <sz val="11.0"/>
        <u/>
      </rPr>
      <t>Entre ellos hay multitud de establecimientos de todo tipo que se extienden por toda la provincia y que ofrecen una alta calidad en sus platos, el servicio y...</t>
    </r>
    <r>
      <rPr>
        <rFont val="Arial, sans-serif"/>
        <color rgb="FF1155CC"/>
        <sz val="12.0"/>
        <u/>
      </rPr>
      <t>.</t>
    </r>
    <r>
      <rPr>
        <rFont val="Arial, sans-serif"/>
        <color rgb="FF1155CC"/>
        <sz val="11.0"/>
        <u/>
      </rPr>
      <t>5 mar 2024</t>
    </r>
  </si>
  <si>
    <t>Estos son todos los Soles de la Guía Repsol 2024 que hay en Sevilla</t>
  </si>
  <si>
    <t>Entre ellos hay multitud de establecimientos de todo tipo que se extienden por toda la provincia y que ofrecen una alta calidad en sus platos, el servicio y....</t>
  </si>
  <si>
    <t>These are all the Suns from the Repsol 2024 Guide that are in Seville</t>
  </si>
  <si>
    <t>Among them there are a multitude of establishments of all kinds that extend throughout the province and that offer high quality in their dishes, service and...</t>
  </si>
  <si>
    <r>
      <rPr>
        <rFont val="Arial, sans-serif"/>
        <color rgb="FF1155CC"/>
        <sz val="9.0"/>
        <u/>
      </rPr>
      <t>Cadena SER</t>
    </r>
    <r>
      <rPr>
        <rFont val="Arial, sans-serif"/>
        <color rgb="FF1155CC"/>
        <sz val="15.0"/>
        <u/>
      </rPr>
      <t>12 soles iluminan la gastronomía de Gran Canaria</t>
    </r>
    <r>
      <rPr>
        <rFont val="Arial, sans-serif"/>
        <color rgb="FF1155CC"/>
        <sz val="11.0"/>
        <u/>
      </rPr>
      <t>Las Palmas e Gran Canaria. Hasta doce establecimientos de Gran Canaria aparecen en el listado de 764 reconocimientos de los Soles Guía Repsol de 2024.</t>
    </r>
    <r>
      <rPr>
        <rFont val="Arial, sans-serif"/>
        <color rgb="FF1155CC"/>
        <sz val="12.0"/>
        <u/>
      </rPr>
      <t>.</t>
    </r>
    <r>
      <rPr>
        <rFont val="Arial, sans-serif"/>
        <color rgb="FF1155CC"/>
        <sz val="11.0"/>
        <u/>
      </rPr>
      <t>5 mar 2024</t>
    </r>
  </si>
  <si>
    <t>12 soles iluminan la gastronomía de Gran Canaria</t>
  </si>
  <si>
    <t>Hasta doce establecimientos de Gran Canaria aparecen en el listado de 764 reconocimientos de los Soles Guía Repsol de 2024.</t>
  </si>
  <si>
    <t>12 suns illuminate the gastronomy of Gran Canaria</t>
  </si>
  <si>
    <t>Up to twelve establishments in Gran Canaria appear in the list of 764 recognitions of the 2024 Repsol Guide Soles.</t>
  </si>
  <si>
    <r>
      <rPr>
        <rFont val="Arial, sans-serif"/>
        <color rgb="FF1155CC"/>
        <sz val="9.0"/>
        <u/>
      </rPr>
      <t>Cadena SER</t>
    </r>
    <r>
      <rPr>
        <rFont val="Arial, sans-serif"/>
        <color rgb="FF1155CC"/>
        <sz val="15.0"/>
        <u/>
      </rPr>
      <t>Los restaurantes Chirón (Valdemoro) y La Trasiega (Getafe) repiten sus ‘Soles Repsol’</t>
    </r>
    <r>
      <rPr>
        <rFont val="Arial, sans-serif"/>
        <color rgb="FF1155CC"/>
        <sz val="11.0"/>
        <u/>
      </rPr>
      <t>Fuenlabrada. La nueva edición de los 'Soles Repsol' para recomendar restaurantes por toda la geografía española no ha añadido ningún establecimiento del sur...</t>
    </r>
    <r>
      <rPr>
        <rFont val="Arial, sans-serif"/>
        <color rgb="FF1155CC"/>
        <sz val="12.0"/>
        <u/>
      </rPr>
      <t>.</t>
    </r>
    <r>
      <rPr>
        <rFont val="Arial, sans-serif"/>
        <color rgb="FF1155CC"/>
        <sz val="11.0"/>
        <u/>
      </rPr>
      <t>5 mar 2024</t>
    </r>
  </si>
  <si>
    <t>Los restaurantes Chirón (Valdemoro) y La Trasiega (Getafe) repiten sus ‘Soles Repsol’</t>
  </si>
  <si>
    <t>La nueva edición de los 'Soles Repsol' para recomendar restaurantes por toda la geografía española no ha añadido ningún establecimiento del sur.</t>
  </si>
  <si>
    <t>The restaurants Chirón (Valdemoro) and La Trasiega (Getafe) repeat their 'Repsol Suns'</t>
  </si>
  <si>
    <t>The new edition of the 'Repsol Suns' to recommend restaurants throughout Spain has not added any establishments in the south.</t>
  </si>
  <si>
    <r>
      <rPr>
        <rFont val="Arial, sans-serif"/>
        <color rgb="FF1155CC"/>
        <sz val="9.0"/>
        <u/>
      </rPr>
      <t>Segoviaudaz.es</t>
    </r>
    <r>
      <rPr>
        <rFont val="Arial, sans-serif"/>
        <color rgb="FF1155CC"/>
        <sz val="15.0"/>
        <u/>
      </rPr>
      <t>Los 6 restaurantes de Segovia con ‘Sol’ de la Guía Repsol</t>
    </r>
    <r>
      <rPr>
        <rFont val="Arial, sans-serif"/>
        <color rgb="FF1155CC"/>
        <sz val="11.0"/>
        <u/>
      </rPr>
      <t>La Guía Repsol recoge 12 establecimientos segovianos con 'Solete', a éstos se suman otros 6 restaurantes de Segovia con 'Sol', todos en la capital o muy...</t>
    </r>
    <r>
      <rPr>
        <rFont val="Arial, sans-serif"/>
        <color rgb="FF1155CC"/>
        <sz val="12.0"/>
        <u/>
      </rPr>
      <t>.</t>
    </r>
    <r>
      <rPr>
        <rFont val="Arial, sans-serif"/>
        <color rgb="FF1155CC"/>
        <sz val="11.0"/>
        <u/>
      </rPr>
      <t>5 mar 2024</t>
    </r>
  </si>
  <si>
    <t>Segoviaudaz.es</t>
  </si>
  <si>
    <t>Los 6 restaurantes de Segovia con ‘Sol’ de la Guía Repsol</t>
  </si>
  <si>
    <t>La Guía Repsol recoge 12 establecimientos segovianos con 'Solete', a éstos se suman otros 6 restaurantes de Segovia con 'Sol', todos en la capital o muy....</t>
  </si>
  <si>
    <t>The 6 restaurants in Segovia with 'Sol' from the Repsol Guide</t>
  </si>
  <si>
    <t>The Repsol Guide includes 12 Segovian establishments with 'Solete', to these are added another 6 restaurants in Segovia with 'Sol', all in the capital or very...</t>
  </si>
  <si>
    <r>
      <rPr>
        <rFont val="Arial, sans-serif"/>
        <color rgb="FF1155CC"/>
        <sz val="9.0"/>
        <u/>
      </rPr>
      <t>Cadena SER</t>
    </r>
    <r>
      <rPr>
        <rFont val="Arial, sans-serif"/>
        <color rgb="FF1155CC"/>
        <sz val="15.0"/>
        <u/>
      </rPr>
      <t>La provincia de Jaén suma Dos Soles Repsol en sus restaurantes</t>
    </r>
    <r>
      <rPr>
        <rFont val="Arial, sans-serif"/>
        <color rgb="FF1155CC"/>
        <sz val="11.0"/>
        <u/>
      </rPr>
      <t>Andalucía cuenta desde este lunes con once nuevos restaurantes con un Sol Guía Repsol, de los que dos de ellos son de la provincia de Jaén.</t>
    </r>
    <r>
      <rPr>
        <rFont val="Arial, sans-serif"/>
        <color rgb="FF1155CC"/>
        <sz val="12.0"/>
        <u/>
      </rPr>
      <t>.</t>
    </r>
    <r>
      <rPr>
        <rFont val="Arial, sans-serif"/>
        <color rgb="FF1155CC"/>
        <sz val="11.0"/>
        <u/>
      </rPr>
      <t>5 mar 2024</t>
    </r>
  </si>
  <si>
    <t>La provincia de Jaén suma Dos Soles Repsol en sus restaurantes</t>
  </si>
  <si>
    <t>Andalucía cuenta desde este lunes con once nuevos restaurantes con un Sol Guía Repsol, de los que dos de ellos son de la provincia de Jaén.</t>
  </si>
  <si>
    <t>The province of Jaén adds Two Repsol Soles in its restaurants</t>
  </si>
  <si>
    <t>Since this Monday, Andalusia has eleven new restaurants with a Repsol Sun Guide, two of which are from the province of Jaén.</t>
  </si>
  <si>
    <r>
      <rPr>
        <rFont val="Arial, sans-serif"/>
        <color rgb="FF1155CC"/>
        <sz val="9.0"/>
        <u/>
      </rPr>
      <t>20Minutos</t>
    </r>
    <r>
      <rPr>
        <rFont val="Arial, sans-serif"/>
        <color rgb="FF1155CC"/>
        <sz val="15.0"/>
        <u/>
      </rPr>
      <t>El menú con los vegetales como protagonistas de la gala Soles Guía Repsol 2024</t>
    </r>
    <r>
      <rPr>
        <rFont val="Arial, sans-serif"/>
        <color rgb="FF1155CC"/>
        <sz val="11.0"/>
        <u/>
      </rPr>
      <t>La ceremonia de entrega Soles Repsol 2024 ha tenido lugar en Cartagena, donde por supuesto los vegetales de la huerta murciana han tenido un papel...</t>
    </r>
    <r>
      <rPr>
        <rFont val="Arial, sans-serif"/>
        <color rgb="FF1155CC"/>
        <sz val="12.0"/>
        <u/>
      </rPr>
      <t>.</t>
    </r>
    <r>
      <rPr>
        <rFont val="Arial, sans-serif"/>
        <color rgb="FF1155CC"/>
        <sz val="11.0"/>
        <u/>
      </rPr>
      <t>5 mar 2024</t>
    </r>
  </si>
  <si>
    <t>El menú con los vegetales como protagonistas de la gala Soles Guía Repsol 2024</t>
  </si>
  <si>
    <t>Los vegetales de la huerta murciana han tenido un papel destacado en la ceremonia de entrega Soles Repsol 2024, celebrada en Cartagena.</t>
  </si>
  <si>
    <t>The menu with vegetables as the protagonists of the Soles Gala Repsol Guide 2024</t>
  </si>
  <si>
    <t>Vegetables from Murcia's gardens have played a prominent role in the Soles Repsol 2024 award ceremony, held in Cartagena.</t>
  </si>
  <si>
    <r>
      <rPr>
        <rFont val="Arial, sans-serif"/>
        <color rgb="FF1155CC"/>
        <sz val="9.0"/>
        <u/>
      </rPr>
      <t>La Provincia</t>
    </r>
    <r>
      <rPr>
        <rFont val="Arial, sans-serif"/>
        <color rgb="FF1155CC"/>
        <sz val="15.0"/>
        <u/>
      </rPr>
      <t>Soles Guía Repsol 2024: listado completo de los restaurantes premiados en Canarias</t>
    </r>
    <r>
      <rPr>
        <rFont val="Arial, sans-serif"/>
        <color rgb="FF1155CC"/>
        <sz val="11.0"/>
        <u/>
      </rPr>
      <t>Begoña Rodrigo, del restaurante La Salita, es la única ganadora de los 3 soles de la Guía Repsol 2024. Guía Repsol. E. S. G.. Arrecife 05 MAR 2024...</t>
    </r>
    <r>
      <rPr>
        <rFont val="Arial, sans-serif"/>
        <color rgb="FF1155CC"/>
        <sz val="12.0"/>
        <u/>
      </rPr>
      <t>.</t>
    </r>
    <r>
      <rPr>
        <rFont val="Arial, sans-serif"/>
        <color rgb="FF1155CC"/>
        <sz val="11.0"/>
        <u/>
      </rPr>
      <t>5 mar 2024</t>
    </r>
  </si>
  <si>
    <t>Soles Guía Repsol 2024: listado completo de los restaurantes premiados en Canarias</t>
  </si>
  <si>
    <t>Begoña Rodrigo, del restaurante La Salita, es la única ganadora de los 3 soles de la Guía Repsol 2024.</t>
  </si>
  <si>
    <t>Soles Repsol Guide 2024: complete list of award-winning restaurants in the Canary Islands</t>
  </si>
  <si>
    <t>Begoña Rodrigo, from the La Salita restaurant, is the only winner of the 3 suns of the Repsol Guide 2024.</t>
  </si>
  <si>
    <r>
      <rPr>
        <rFont val="Arial, sans-serif"/>
        <color rgb="FF1155CC"/>
        <sz val="9.0"/>
        <u/>
      </rPr>
      <t>El Periòdic d'Ontinyent</t>
    </r>
    <r>
      <rPr>
        <rFont val="Arial, sans-serif"/>
        <color rgb="FF1155CC"/>
        <sz val="15.0"/>
        <u/>
      </rPr>
      <t>La Guía Repsol da un Solete a La Cuina y recomienda El Tinell</t>
    </r>
    <r>
      <rPr>
        <rFont val="Arial, sans-serif"/>
        <color rgb="FF1155CC"/>
        <sz val="11.0"/>
        <u/>
      </rPr>
      <t>5 marzo, 2024 - La nueva edición de la Guía Repsol ha otorgado sus distinciones dentro del panorama gastronómico. Y en nuestra comarca, sólo Ontinyent...</t>
    </r>
    <r>
      <rPr>
        <rFont val="Arial, sans-serif"/>
        <color rgb="FF1155CC"/>
        <sz val="12.0"/>
        <u/>
      </rPr>
      <t>.</t>
    </r>
    <r>
      <rPr>
        <rFont val="Arial, sans-serif"/>
        <color rgb="FF1155CC"/>
        <sz val="11.0"/>
        <u/>
      </rPr>
      <t>5 mar 2024</t>
    </r>
  </si>
  <si>
    <t>El Periòdic d'Ontinyent</t>
  </si>
  <si>
    <t>La Guía Repsol da un Solete a La Cuina y recomienda El Tinell</t>
  </si>
  <si>
    <t>La nueva edición de la Guía Repsol ha otorgado sus distinciones dentro del panorama gastronómico. Y en nuestra comarca, sólo Ontinyent.</t>
  </si>
  <si>
    <t>The Repsol Guide gives a Solete to La Cuina and recommends El Tinell</t>
  </si>
  <si>
    <t>The new edition of the Repsol Guide has awarded its distinctions within the gastronomic panorama. And in our region, only Ontinyent.</t>
  </si>
  <si>
    <r>
      <rPr>
        <rFont val="Arial, sans-serif"/>
        <color rgb="FF1155CC"/>
        <sz val="9.0"/>
        <u/>
      </rPr>
      <t>The Objective</t>
    </r>
    <r>
      <rPr>
        <rFont val="Arial, sans-serif"/>
        <color rgb="FF1155CC"/>
        <sz val="15.0"/>
        <u/>
      </rPr>
      <t>La Salita, de la valenciana Begoña Rodrigo, único nuevo tres soles de la Guía Repsol 2024</t>
    </r>
    <r>
      <rPr>
        <rFont val="Arial, sans-serif"/>
        <color rgb="FF1155CC"/>
        <sz val="11.0"/>
        <u/>
      </rPr>
      <t>El restaurante valenciano La Salita, de la cocinera Begoña Rodrigo, es el único nuevo tres soles de la Guía Repsol 2024 en la gala celebrada este lunes en.</t>
    </r>
    <r>
      <rPr>
        <rFont val="Arial, sans-serif"/>
        <color rgb="FF1155CC"/>
        <sz val="12.0"/>
        <u/>
      </rPr>
      <t>.</t>
    </r>
    <r>
      <rPr>
        <rFont val="Arial, sans-serif"/>
        <color rgb="FF1155CC"/>
        <sz val="11.0"/>
        <u/>
      </rPr>
      <t>5 mar 2024</t>
    </r>
  </si>
  <si>
    <t>La Salita, de la valenciana Begoña Rodrigo, único nuevo tres soles de la Guía Repsol 2024</t>
  </si>
  <si>
    <t>El restaurante valenciano La Salita, de la cocinera Begoña Rodrigo, es el único nuevo tres soles de la Guía Repsol 2024 en la gala celebrada este lunes en.</t>
  </si>
  <si>
    <t>La Salita, by the Valencian Begoña Rodrigo, the only new three suns in the Repsol 2024 Guide</t>
  </si>
  <si>
    <t>The Valencian restaurant La Salita, by chef Begoña Rodrigo, is the only new three suns in the Repsol Guide 2024 at the gala held this Monday in.</t>
  </si>
  <si>
    <r>
      <rPr>
        <rFont val="Arial, sans-serif"/>
        <color rgb="FF1155CC"/>
        <sz val="9.0"/>
        <u/>
      </rPr>
      <t>Cadena SER</t>
    </r>
    <r>
      <rPr>
        <rFont val="Arial, sans-serif"/>
        <color rgb="FF1155CC"/>
        <sz val="15.0"/>
        <u/>
      </rPr>
      <t>Estos son los 23 restaurantes de la Región de Murcia reconocidos por los 'soles' de la Guía Repsol</t>
    </r>
    <r>
      <rPr>
        <rFont val="Arial, sans-serif"/>
        <color rgb="FF1155CC"/>
        <sz val="11.0"/>
        <u/>
      </rPr>
      <t>Murcia. La Gala de entrega de los Soles de la Guía Repsol en Cartagena ha vuelto a poner de manifiesto el buen momento que atraviesa la gastronomía de la...</t>
    </r>
    <r>
      <rPr>
        <rFont val="Arial, sans-serif"/>
        <color rgb="FF1155CC"/>
        <sz val="12.0"/>
        <u/>
      </rPr>
      <t>.</t>
    </r>
    <r>
      <rPr>
        <rFont val="Arial, sans-serif"/>
        <color rgb="FF1155CC"/>
        <sz val="11.0"/>
        <u/>
      </rPr>
      <t>5 mar 2024</t>
    </r>
  </si>
  <si>
    <t>Estos son los 23 restaurantes de la Región de Murcia reconocidos por los 'soles' de la Guía Repsol</t>
  </si>
  <si>
    <t>La Gala de entrega de los Soles de la Guía Repsol en Cartagena ha vuelto a poner de manifiesto el buen momento que atraviesa la gastronomía de la....</t>
  </si>
  <si>
    <t>These are the 23 restaurants in the Region of Murcia recognized by the 'suns' of the Repsol Guide</t>
  </si>
  <si>
    <t>The Gala of the Repsol Guide's Suns award ceremony in Cartagena has once again highlighted the good moment that the gastronomy of the...</t>
  </si>
  <si>
    <r>
      <rPr>
        <rFont val="Arial, sans-serif"/>
        <color rgb="FF1155CC"/>
        <sz val="9.0"/>
        <u/>
      </rPr>
      <t>El Día de Segovia</t>
    </r>
    <r>
      <rPr>
        <rFont val="Arial, sans-serif"/>
        <color rgb="FF1155CC"/>
        <sz val="15.0"/>
        <u/>
      </rPr>
      <t>Estos son los restaurantes de Segovia con Soles en la Guía Repsol</t>
    </r>
    <r>
      <rPr>
        <rFont val="Arial, sans-serif"/>
        <color rgb="FF1155CC"/>
        <sz val="11.0"/>
        <u/>
      </rPr>
      <t>Los restaurantes 'Cobo Evolución', en Burgos, y 'El Capricho', situado en la localidad leonesa de Jiménez de Jamuz, han sido reconocidos este año con la...</t>
    </r>
    <r>
      <rPr>
        <rFont val="Arial, sans-serif"/>
        <color rgb="FF1155CC"/>
        <sz val="12.0"/>
        <u/>
      </rPr>
      <t>.</t>
    </r>
    <r>
      <rPr>
        <rFont val="Arial, sans-serif"/>
        <color rgb="FF1155CC"/>
        <sz val="11.0"/>
        <u/>
      </rPr>
      <t>5 mar 2024</t>
    </r>
  </si>
  <si>
    <t>El Día de Segovia</t>
  </si>
  <si>
    <t>Estos son los restaurantes de Segovia con Soles en la Guía Repsol</t>
  </si>
  <si>
    <t>Los restaurantes 'Cobo Evolución', en Burgos, y 'El Capricho', situado en la localidad leonesa de Jiménez de Jamuz, han sido reconocidos este año con la....</t>
  </si>
  <si>
    <t>These are the restaurants in Segovia with Soles in the Repsol Guide</t>
  </si>
  <si>
    <t>The restaurants 'Cobo Evolución', in Burgos, and 'El Capricho', located in the Leonese town of Jiménez de Jamuz, have been recognized this year with the....</t>
  </si>
  <si>
    <r>
      <rPr>
        <rFont val="Arial, sans-serif"/>
        <color rgb="FF1155CC"/>
        <sz val="9.0"/>
        <u/>
      </rPr>
      <t>El Correo Gallego</t>
    </r>
    <r>
      <rPr>
        <rFont val="Arial, sans-serif"/>
        <color rgb="FF1155CC"/>
        <sz val="15.0"/>
        <u/>
      </rPr>
      <t>Áxel Smyth, de Simpar, ya ‘luce’ el Sol Guía Repsol: “Es una distinción muy especial”</t>
    </r>
    <r>
      <rPr>
        <rFont val="Arial, sans-serif"/>
        <color rgb="FF1155CC"/>
        <sz val="11.0"/>
        <u/>
      </rPr>
      <t>Situado en la Rúa do Vilar, es uno de los seis restaurantes de Galicia que se estrena en el prestigioso manual gastronómico.</t>
    </r>
    <r>
      <rPr>
        <rFont val="Arial, sans-serif"/>
        <color rgb="FF1155CC"/>
        <sz val="12.0"/>
        <u/>
      </rPr>
      <t>.</t>
    </r>
    <r>
      <rPr>
        <rFont val="Arial, sans-serif"/>
        <color rgb="FF1155CC"/>
        <sz val="11.0"/>
        <u/>
      </rPr>
      <t>5 mar 2024</t>
    </r>
  </si>
  <si>
    <t>Áxel Smyth, de Simpar, ya ‘luce’ el Sol Guía Repsol: “Es una distinción muy especial”</t>
  </si>
  <si>
    <t>Situado en la Rúa do Vilar, es uno de los seis restaurantes de Galicia que se estrena en el prestigioso manual gastronómico.</t>
  </si>
  <si>
    <t>Áxel Smyth, from Simpar, already 'shines' the Repsol Guide Sun: “It is a very special distinction”</t>
  </si>
  <si>
    <t>Located on Rúa do Vilar, it is one of the six restaurants in Galicia that debuts in the prestigious gastronomic manual.</t>
  </si>
  <si>
    <r>
      <rPr>
        <rFont val="Arial, sans-serif"/>
        <color rgb="FF1155CC"/>
        <sz val="9.0"/>
        <u/>
      </rPr>
      <t>Jacetania Express</t>
    </r>
    <r>
      <rPr>
        <rFont val="Arial, sans-serif"/>
        <color rgb="FF1155CC"/>
        <sz val="15.0"/>
        <u/>
      </rPr>
      <t>La Era de los Nogales de Sardas y Toño Rodríguez se hacen con un Sol de la Guía Repsol</t>
    </r>
    <r>
      <rPr>
        <rFont val="Arial, sans-serif"/>
        <color rgb="FF1155CC"/>
        <sz val="11.0"/>
        <u/>
      </rPr>
      <t>El restaurante La Era de los Nogales de Sardas, con el chef Toño Rodríguez a la cabeza, recibe su primer Sol de la prestigiosa Guía Repsol.</t>
    </r>
    <r>
      <rPr>
        <rFont val="Arial, sans-serif"/>
        <color rgb="FF1155CC"/>
        <sz val="12.0"/>
        <u/>
      </rPr>
      <t>.</t>
    </r>
    <r>
      <rPr>
        <rFont val="Arial, sans-serif"/>
        <color rgb="FF1155CC"/>
        <sz val="11.0"/>
        <u/>
      </rPr>
      <t>5 mar 2024</t>
    </r>
  </si>
  <si>
    <t>Jacetania Express</t>
  </si>
  <si>
    <t>La Era de los Nogales de Sardas y Toño Rodríguez se hacen con un Sol de la Guía Repsol</t>
  </si>
  <si>
    <t>El restaurante La Era de los Nogales de Sardas, con el chef Toño Rodríguez a la cabeza, recibe su primer Sol de la prestigiosa Guía Repsol.</t>
  </si>
  <si>
    <t>La Era de los Nogales by Sardas and Toño Rodríguez obtain a Sol from the Repsol Guide</t>
  </si>
  <si>
    <t>The restaurant La Era de los Nogales de Sardas, with chef Toño Rodríguez at the helm, receives its first Sol from the prestigious Repsol Guide.</t>
  </si>
  <si>
    <r>
      <rPr>
        <rFont val="Arial, sans-serif"/>
        <color rgb="FF1155CC"/>
        <sz val="9.0"/>
        <u/>
      </rPr>
      <t>20Minutos</t>
    </r>
    <r>
      <rPr>
        <rFont val="Arial, sans-serif"/>
        <color rgb="FF1155CC"/>
        <sz val="15.0"/>
        <u/>
      </rPr>
      <t>La Salita de Begoña Rodrigo, nuevo restaurante Tres Soles en la Guía Repsol: "Los premios te dan libertad para hacer lo que quieres"</t>
    </r>
    <r>
      <rPr>
        <rFont val="Arial, sans-serif"/>
        <color rgb="FF1155CC"/>
        <sz val="11.0"/>
        <u/>
      </rPr>
      <t>La chef valenciana se ha convertido en la protagonista de la gala de entrega Soles Repsol 2024, consiguiendo entrar al universo de los astros con Tres...</t>
    </r>
    <r>
      <rPr>
        <rFont val="Arial, sans-serif"/>
        <color rgb="FF1155CC"/>
        <sz val="12.0"/>
        <u/>
      </rPr>
      <t>.</t>
    </r>
    <r>
      <rPr>
        <rFont val="Arial, sans-serif"/>
        <color rgb="FF1155CC"/>
        <sz val="11.0"/>
        <u/>
      </rPr>
      <t>5 mar 2024</t>
    </r>
  </si>
  <si>
    <t>La Salita de Begoña Rodrigo, nuevo restaurante Tres Soles en la Guía Repsol: "Los premios te dan libertad para hacer lo que quieres"</t>
  </si>
  <si>
    <t>La chef valenciana se ha convertido en la protagonista de la gala de entrega Soles Repsol 2024, consiguiendo entrar al universo de los astros con Tres....</t>
  </si>
  <si>
    <t>La Salita de Begoña Rodrigo, new Tres Soles restaurant in the Repsol Guide: "The awards give you the freedom to do what you want"</t>
  </si>
  <si>
    <t>The Valencian chef has become the protagonist of the Soles Repsol 2024 delivery gala, managing to enter the universe of the stars with Tres....</t>
  </si>
  <si>
    <r>
      <rPr>
        <rFont val="Arial, sans-serif"/>
        <color rgb="FF1155CC"/>
        <sz val="9.0"/>
        <u/>
      </rPr>
      <t>Harper's BAZAAR</t>
    </r>
    <r>
      <rPr>
        <rFont val="Arial, sans-serif"/>
        <color rgb="FF1155CC"/>
        <sz val="15.0"/>
        <u/>
      </rPr>
      <t>Comer en un restaurante Tres Soles Repsol por 129 euros: así es La Salita, el templo gastronómico de Valencia</t>
    </r>
    <r>
      <rPr>
        <rFont val="Arial, sans-serif"/>
        <color rgb="FF1155CC"/>
        <sz val="11.0"/>
        <u/>
      </rPr>
      <t>Este establecimiento del barrio de Ruzafa, regido por Begoña Rodrigo, es el único que ha logrado alzarse con este prestigioso mérito de toda nuestra...</t>
    </r>
    <r>
      <rPr>
        <rFont val="Arial, sans-serif"/>
        <color rgb="FF1155CC"/>
        <sz val="12.0"/>
        <u/>
      </rPr>
      <t>.</t>
    </r>
    <r>
      <rPr>
        <rFont val="Arial, sans-serif"/>
        <color rgb="FF1155CC"/>
        <sz val="11.0"/>
        <u/>
      </rPr>
      <t>5 mar 2024</t>
    </r>
  </si>
  <si>
    <t>Harper's BAZAAR</t>
  </si>
  <si>
    <t>Tres Soles Repsol por 129 euros: así es La Salita, el templo gastronómico de Valencia</t>
  </si>
  <si>
    <t>Este establecimiento del barrio de Ruzafa, regido por Begoña Rodrigo, es el único que ha logrado alzarse con este prestigioso mérito de toda nuestra....</t>
  </si>
  <si>
    <t>Three Repsol Suns for 129 euros: this is La Salita, the gastronomic temple of Valencia</t>
  </si>
  <si>
    <t>This establishment in the Ruzafa neighborhood, run by Begoña Rodrigo, is the only one that has managed to win this prestigious merit of our entire...</t>
  </si>
  <si>
    <r>
      <rPr>
        <rFont val="Arial, sans-serif"/>
        <color rgb="FF1155CC"/>
        <sz val="9.0"/>
        <u/>
      </rPr>
      <t>Cadena SER</t>
    </r>
    <r>
      <rPr>
        <rFont val="Arial, sans-serif"/>
        <color rgb="FF1155CC"/>
        <sz val="15.0"/>
        <u/>
      </rPr>
      <t>Atxa, el primer Sol de la Guía Repsol para el Campo de Gibraltar</t>
    </r>
    <r>
      <rPr>
        <rFont val="Arial, sans-serif"/>
        <color rgb="FF1155CC"/>
        <sz val="11.0"/>
        <u/>
      </rPr>
      <t>El restaurante Atxa de Tarifa ha sido el primer establecimiento del Campo de Gibraltar premiado con un Sol de la Guía Repsol.</t>
    </r>
    <r>
      <rPr>
        <rFont val="Arial, sans-serif"/>
        <color rgb="FF1155CC"/>
        <sz val="12.0"/>
        <u/>
      </rPr>
      <t>.</t>
    </r>
    <r>
      <rPr>
        <rFont val="Arial, sans-serif"/>
        <color rgb="FF1155CC"/>
        <sz val="11.0"/>
        <u/>
      </rPr>
      <t>5 mar 2024</t>
    </r>
  </si>
  <si>
    <t>Atxa, el primer Sol de la Guía Repsol para el Campo de Gibraltar</t>
  </si>
  <si>
    <t>El restaurante Atxa de Tarifa ha sido el primer establecimiento del Campo de Gibraltar premiado con un Sol de la Guía Repsol.</t>
  </si>
  <si>
    <t>Atxa, the first Sun of the Repsol Guide for the Campo de Gibraltar</t>
  </si>
  <si>
    <t>The Atxa restaurant in Tarifa has been the first establishment in Campo de Gibraltar to be awarded a Sun by the Repsol Guide.</t>
  </si>
  <si>
    <r>
      <rPr>
        <rFont val="Arial, sans-serif"/>
        <color rgb="FF1155CC"/>
        <sz val="9.0"/>
        <u/>
      </rPr>
      <t>Faro de Vigo</t>
    </r>
    <r>
      <rPr>
        <rFont val="Arial, sans-serif"/>
        <color rgb="FF1155CC"/>
        <sz val="15.0"/>
        <u/>
      </rPr>
      <t>Galicia añade seis nuevos restaurantes con un Sol Guía Repsol</t>
    </r>
    <r>
      <rPr>
        <rFont val="Arial, sans-serif"/>
        <color rgb="FF1155CC"/>
        <sz val="11.0"/>
        <u/>
      </rPr>
      <t>Galicia cuenta desde ayer con seis nuevos restaurantes con un Sol Guía Repsol: los coruñeses "Terreo Cocina Casual" y "Eclectic", ambos situados en la...</t>
    </r>
    <r>
      <rPr>
        <rFont val="Arial, sans-serif"/>
        <color rgb="FF1155CC"/>
        <sz val="12.0"/>
        <u/>
      </rPr>
      <t>.</t>
    </r>
    <r>
      <rPr>
        <rFont val="Arial, sans-serif"/>
        <color rgb="FF1155CC"/>
        <sz val="11.0"/>
        <u/>
      </rPr>
      <t>5 mar 2024</t>
    </r>
  </si>
  <si>
    <t>Galicia añade seis nuevos restaurantes con un Sol Guía Repsol</t>
  </si>
  <si>
    <t>Galicia cuenta desde ayer con seis nuevos restaurantes con un Sol Guía Repsol: los coruñeses "Terreo Cocina Casual" y "Eclectic", ambos situados en la....</t>
  </si>
  <si>
    <t>Galicia adds six new restaurants with a Sol Guía Repsol</t>
  </si>
  <si>
    <t>Since yesterday, Galicia has six new restaurants with a Repsol Sun Guide: the Coruña-based "Terreo Cocina Casual" and "Eclectic", both located in the....</t>
  </si>
  <si>
    <r>
      <rPr>
        <rFont val="Arial, sans-serif"/>
        <color rgb="FF1155CC"/>
        <sz val="9.0"/>
        <u/>
      </rPr>
      <t>Zamora News</t>
    </r>
    <r>
      <rPr>
        <rFont val="Arial, sans-serif"/>
        <color rgb="FF1155CC"/>
        <sz val="15.0"/>
        <u/>
      </rPr>
      <t>La Guía Repsol avala la gastronomía vanguardista y de proximidad de Cuzeo con su primer Sol</t>
    </r>
    <r>
      <rPr>
        <rFont val="Arial, sans-serif"/>
        <color rgb="FF1155CC"/>
        <sz val="11.0"/>
        <u/>
      </rPr>
      <t>El listado de reconocimientos a los fogones de la provincia no acaba aquí, puesto que la Guía Repsol ha renovado los dos soles que lucían ya los restauran.</t>
    </r>
    <r>
      <rPr>
        <rFont val="Arial, sans-serif"/>
        <color rgb="FF1155CC"/>
        <sz val="12.0"/>
        <u/>
      </rPr>
      <t>.</t>
    </r>
    <r>
      <rPr>
        <rFont val="Arial, sans-serif"/>
        <color rgb="FF1155CC"/>
        <sz val="11.0"/>
        <u/>
      </rPr>
      <t>5 mar 2024</t>
    </r>
  </si>
  <si>
    <t>Zamora News</t>
  </si>
  <si>
    <t>La Guía Repsol avala la gastronomía vanguardista y de proximidad de Cuzeo con su primer Sol</t>
  </si>
  <si>
    <t>El listado de reconocimientos a los fogones de la provincia no acaba aquí, puesto que la Guía Repsol ha renovado los dos soles que lucían ya los restauran.</t>
  </si>
  <si>
    <t>The Repsol Guide endorses the avant-garde and local gastronomy of Cuzeo with its first Sol</t>
  </si>
  <si>
    <t>The list of recognitions for the province's stoves does not end here, since the Repsol Guide has renewed the two suns that were shining and is restoring them.</t>
  </si>
  <si>
    <r>
      <rPr>
        <rFont val="Arial, sans-serif"/>
        <color rgb="FF1155CC"/>
        <sz val="9.0"/>
        <u/>
      </rPr>
      <t>Onda Cero</t>
    </r>
    <r>
      <rPr>
        <rFont val="Arial, sans-serif"/>
        <color rgb="FF1155CC"/>
        <sz val="15.0"/>
        <u/>
      </rPr>
      <t>El restaurante Origen de Carcaixent consigue un Sol en la guía gastronómica de Repsol</t>
    </r>
    <r>
      <rPr>
        <rFont val="Arial, sans-serif"/>
        <color rgb="FF1155CC"/>
        <sz val="11.0"/>
        <u/>
      </rPr>
      <t>Ubicado en la Gran Vía Germaníes de Carcaixent, el restaurante Origen ha sido galardonado con un Sol de la Guía Repsol.</t>
    </r>
    <r>
      <rPr>
        <rFont val="Arial, sans-serif"/>
        <color rgb="FF1155CC"/>
        <sz val="12.0"/>
        <u/>
      </rPr>
      <t>.</t>
    </r>
    <r>
      <rPr>
        <rFont val="Arial, sans-serif"/>
        <color rgb="FF1155CC"/>
        <sz val="11.0"/>
        <u/>
      </rPr>
      <t>5 mar 2024</t>
    </r>
  </si>
  <si>
    <t>El restaurante Origen de Carcaixent consigue un Sol en la guía gastronómica de Repsol</t>
  </si>
  <si>
    <t>Ubicado en la Gran Vía Germaníes de Carcaixent, el restaurante Origen ha sido galardonado con un Sol de la Guía Repsol.</t>
  </si>
  <si>
    <t>The Origen restaurant in Carcaixent gets a Sun in the Repsol gastronomic guide</t>
  </si>
  <si>
    <t>Located on Gran Vía Germaníes in Carcaixent, the Origen restaurant has been awarded a Sol from the Repsol Guide.</t>
  </si>
  <si>
    <r>
      <rPr>
        <rFont val="Arial, sans-serif"/>
        <color rgb="FF1155CC"/>
        <sz val="9.0"/>
        <u/>
      </rPr>
      <t>Revista Gran Hotel</t>
    </r>
    <r>
      <rPr>
        <rFont val="Arial, sans-serif"/>
        <color rgb="FF1155CC"/>
        <sz val="15.0"/>
        <u/>
      </rPr>
      <t>Barceló obtiene tres nuevos Soles Repsol</t>
    </r>
    <r>
      <rPr>
        <rFont val="Arial, sans-serif"/>
        <color rgb="FF1155CC"/>
        <sz val="11.0"/>
        <u/>
      </rPr>
      <t>Los restaurantes San Hô e Il Bocconcino, ubicados en el hotel Royal Hideaway Corales Resort de Tenerife, y La Finca, situado en el hotel Royal Hideaway La...</t>
    </r>
    <r>
      <rPr>
        <rFont val="Arial, sans-serif"/>
        <color rgb="FF1155CC"/>
        <sz val="12.0"/>
        <u/>
      </rPr>
      <t>.</t>
    </r>
    <r>
      <rPr>
        <rFont val="Arial, sans-serif"/>
        <color rgb="FF1155CC"/>
        <sz val="11.0"/>
        <u/>
      </rPr>
      <t>5 mar 2024</t>
    </r>
  </si>
  <si>
    <t>Revista Gran Hotel</t>
  </si>
  <si>
    <t>Barceló obtiene tres nuevos Soles Repsol</t>
  </si>
  <si>
    <t>Los restaurantes San Hô e Il Bocconcino, ubicados en el hotel Royal Hideaway Corales Resort de Tenerife, y La Finca, situado en el hotel Royal Hideaway La....</t>
  </si>
  <si>
    <t>Barceló obtains three new Repsol Suns</t>
  </si>
  <si>
    <t>The restaurants San Hô and Il Bocconcino, located in the Royal Hideaway Corales Resort hotel in Tenerife, and La Finca, located in the Royal Hideaway La hotel....</t>
  </si>
  <si>
    <r>
      <rPr>
        <rFont val="Arial, sans-serif"/>
        <color rgb="FF1155CC"/>
        <sz val="9.0"/>
        <u/>
      </rPr>
      <t>Levante-EMV</t>
    </r>
    <r>
      <rPr>
        <rFont val="Arial, sans-serif"/>
        <color rgb="FF1155CC"/>
        <sz val="15.0"/>
        <u/>
      </rPr>
      <t>El chef setabense Aitor López consigue su primer sol Repsol</t>
    </r>
    <r>
      <rPr>
        <rFont val="Arial, sans-serif"/>
        <color rgb="FF1155CC"/>
        <sz val="11.0"/>
        <u/>
      </rPr>
      <t>El chef setabense Aitor López Martínez recibió ayer su primer Sol Guía Repsol. Aitor López ha sido premiado por la propuesta gastronómica que despliega en...</t>
    </r>
    <r>
      <rPr>
        <rFont val="Arial, sans-serif"/>
        <color rgb="FF1155CC"/>
        <sz val="12.0"/>
        <u/>
      </rPr>
      <t>.</t>
    </r>
    <r>
      <rPr>
        <rFont val="Arial, sans-serif"/>
        <color rgb="FF1155CC"/>
        <sz val="11.0"/>
        <u/>
      </rPr>
      <t>5 mar 2024</t>
    </r>
  </si>
  <si>
    <t>Levante-EMV</t>
  </si>
  <si>
    <t>El chef setabense Aitor López consigue su primer sol Repsol</t>
  </si>
  <si>
    <t>El chef setabense Aitor López Martínez recibió ayer su primer Sol Guía Repsol. Aitor López ha sido premiado por la propuesta gastronómica que despliega en....</t>
  </si>
  <si>
    <t>Sebastián chef Aitor López gets his first Repsol sun</t>
  </si>
  <si>
    <t>Yesterday, Sebastián chef Aitor López Martínez received his first Repsol Sun Guide. Aitor López has been awarded for the gastronomic proposal he displays in....</t>
  </si>
  <si>
    <r>
      <rPr>
        <rFont val="Arial, sans-serif"/>
        <color rgb="FF1155CC"/>
        <sz val="9.0"/>
        <u/>
      </rPr>
      <t>El Español</t>
    </r>
    <r>
      <rPr>
        <rFont val="Arial, sans-serif"/>
        <color rgb="FF1155CC"/>
        <sz val="15.0"/>
        <u/>
      </rPr>
      <t>Estos son los 19 restaurantes de A Coruña recomendados por la Guía Repsol</t>
    </r>
    <r>
      <rPr>
        <rFont val="Arial, sans-serif"/>
        <color rgb="FF1155CC"/>
        <sz val="11.0"/>
        <u/>
      </rPr>
      <t>Estos establecimientos pueden ser los próximos ganadores de un Sol de la prestigiosa publicación. Este año la lista aumenta con la incorporación de Río Ulla...</t>
    </r>
    <r>
      <rPr>
        <rFont val="Arial, sans-serif"/>
        <color rgb="FF1155CC"/>
        <sz val="12.0"/>
        <u/>
      </rPr>
      <t>.</t>
    </r>
    <r>
      <rPr>
        <rFont val="Arial, sans-serif"/>
        <color rgb="FF1155CC"/>
        <sz val="11.0"/>
        <u/>
      </rPr>
      <t>5 mar 2024</t>
    </r>
  </si>
  <si>
    <t>Estos son los 19 restaurantes de A Coruña recomendados por la Guía Repsol</t>
  </si>
  <si>
    <t>Estos establecimientos pueden ser los próximos ganadores de un Sol de la prestigiosa publicación. Este año la lista aumenta con la incorporación de Río Ulla....</t>
  </si>
  <si>
    <t>These are the 19 restaurants in A Coruña recommended by the Repsol Guide</t>
  </si>
  <si>
    <t>These establishments could be the next winners of a Sol from the prestigious publication. This year the list increases with the incorporation of Río Ulla....</t>
  </si>
  <si>
    <r>
      <rPr>
        <rFont val="Arial, sans-serif"/>
        <color rgb="FF1155CC"/>
        <sz val="9.0"/>
        <u/>
      </rPr>
      <t>LNE</t>
    </r>
    <r>
      <rPr>
        <rFont val="Arial, sans-serif"/>
        <color rgb="FF1155CC"/>
        <sz val="15.0"/>
        <u/>
      </rPr>
      <t>Estos son los dos restaurantes asturianos que han recibido un Sol Repsol</t>
    </r>
    <r>
      <rPr>
        <rFont val="Arial, sans-serif"/>
        <color rgb="FF1155CC"/>
        <sz val="11.0"/>
        <u/>
      </rPr>
      <t>El Quince Nudos, de Ribadesella, y el Alenda, de Villaviciosa, se llevan el prestigioso reconocimiento nacional.</t>
    </r>
    <r>
      <rPr>
        <rFont val="Arial, sans-serif"/>
        <color rgb="FF1155CC"/>
        <sz val="12.0"/>
        <u/>
      </rPr>
      <t>.</t>
    </r>
    <r>
      <rPr>
        <rFont val="Arial, sans-serif"/>
        <color rgb="FF1155CC"/>
        <sz val="11.0"/>
        <u/>
      </rPr>
      <t>5 mar 2024</t>
    </r>
  </si>
  <si>
    <t>LNE</t>
  </si>
  <si>
    <t>Estos son los dos restaurantes asturianos que han recibido un Sol Repsol</t>
  </si>
  <si>
    <t>El Quince Nudos, de Ribadesella, y el Alenda, de Villaviciosa, se llevan el prestigioso reconocimiento nacional.</t>
  </si>
  <si>
    <t>These are the two Asturian restaurants that have received a Sol Repsol</t>
  </si>
  <si>
    <t>The Quince Nudos, from Ribadesella, and the Alenda, from Villaviciosa, receive the prestigious national recognition.</t>
  </si>
  <si>
    <r>
      <rPr>
        <rFont val="Arial, sans-serif"/>
        <color rgb="FF1155CC"/>
        <sz val="9.0"/>
        <u/>
      </rPr>
      <t>Cadena SER</t>
    </r>
    <r>
      <rPr>
        <rFont val="Arial, sans-serif"/>
        <color rgb="FF1155CC"/>
        <sz val="15.0"/>
        <u/>
      </rPr>
      <t>Primeras sensaciones de los chefs de Xàtiva con un Sol Guía Repsol</t>
    </r>
    <r>
      <rPr>
        <rFont val="Arial, sans-serif"/>
        <color rgb="FF1155CC"/>
        <sz val="11.0"/>
        <u/>
      </rPr>
      <t>Aitor López y Edu Espejo han explicado en la Cadena SER todo lo que les ha aportado este reconocimiento.</t>
    </r>
    <r>
      <rPr>
        <rFont val="Arial, sans-serif"/>
        <color rgb="FF1155CC"/>
        <sz val="12.0"/>
        <u/>
      </rPr>
      <t>.</t>
    </r>
    <r>
      <rPr>
        <rFont val="Arial, sans-serif"/>
        <color rgb="FF1155CC"/>
        <sz val="11.0"/>
        <u/>
      </rPr>
      <t>5 mar 2024</t>
    </r>
  </si>
  <si>
    <t>Primeras sensaciones de los chefs de Xàtiva con un Sol Guía Repsol</t>
  </si>
  <si>
    <t>Aitor López y Edu Espejo han explicado en la Cadena SER todo lo que les ha aportado este reconocimiento.</t>
  </si>
  <si>
    <t>First sensations of the chefs of Xàtiva with a Repsol Guide Sun</t>
  </si>
  <si>
    <t>Aitor López and Edu Espejo have explained on Cadena SER everything that this recognition has brought them.</t>
  </si>
  <si>
    <r>
      <rPr>
        <rFont val="Arial, sans-serif"/>
        <color rgb="FF1155CC"/>
        <sz val="9.0"/>
        <u/>
      </rPr>
      <t>El Digital Sur</t>
    </r>
    <r>
      <rPr>
        <rFont val="Arial, sans-serif"/>
        <color rgb="FF1155CC"/>
        <sz val="15.0"/>
        <u/>
      </rPr>
      <t>El Lajar de Bello consigue su primer Sol en la Gala Repsol 2024</t>
    </r>
    <r>
      <rPr>
        <rFont val="Arial, sans-serif"/>
        <color rgb="FF1155CC"/>
        <sz val="11.0"/>
        <u/>
      </rPr>
      <t>El restaurante El Lajar de Bello, situado en Arona, Tenerife, ha sido galardonado con su primer Sol Repsol en la Gala Repsol 2024 celebrada...</t>
    </r>
    <r>
      <rPr>
        <rFont val="Arial, sans-serif"/>
        <color rgb="FF1155CC"/>
        <sz val="12.0"/>
        <u/>
      </rPr>
      <t>.</t>
    </r>
    <r>
      <rPr>
        <rFont val="Arial, sans-serif"/>
        <color rgb="FF1155CC"/>
        <sz val="11.0"/>
        <u/>
      </rPr>
      <t>5 mar 2024</t>
    </r>
  </si>
  <si>
    <t>El Digital Sur</t>
  </si>
  <si>
    <t>El Lajar de Bello consigue su primer Sol en la Gala Repsol 2024</t>
  </si>
  <si>
    <t>El restaurante El Lajar de Bello, situado en Arona, Tenerife, ha sido galardonado con su primer Sol Repsol en la Gala Repsol 2024 celebrada....</t>
  </si>
  <si>
    <t>El Lajar de Bello gets its first Sun at the Repsol Gala 2024</t>
  </si>
  <si>
    <t>The El Lajar de Bello restaurant, located in Arona, Tenerife, has been awarded its first Repsol Sun at the Repsol 2024 Gala held....</t>
  </si>
  <si>
    <r>
      <rPr>
        <rFont val="Arial, sans-serif"/>
        <color rgb="FF1155CC"/>
        <sz val="9.0"/>
        <u/>
      </rPr>
      <t>Menorca - Es diari</t>
    </r>
    <r>
      <rPr>
        <rFont val="Arial, sans-serif"/>
        <color rgb="FF1155CC"/>
        <sz val="15.0"/>
        <u/>
      </rPr>
      <t>Cuatro restaurantes de Menorca se mantienen en la ‘élite' de la Guía Repsol este año</t>
    </r>
    <r>
      <rPr>
        <rFont val="Arial, sans-serif"/>
        <color rgb="FF1155CC"/>
        <sz val="11.0"/>
        <u/>
      </rPr>
      <t>La Isla mantiene su presencia en una publicación que se ha convertido en todo un referente para el turismo gastronómico. La Guía Repsol, convertida en un...</t>
    </r>
    <r>
      <rPr>
        <rFont val="Arial, sans-serif"/>
        <color rgb="FF1155CC"/>
        <sz val="12.0"/>
        <u/>
      </rPr>
      <t>.</t>
    </r>
    <r>
      <rPr>
        <rFont val="Arial, sans-serif"/>
        <color rgb="FF1155CC"/>
        <sz val="11.0"/>
        <u/>
      </rPr>
      <t>5 mar 2024</t>
    </r>
  </si>
  <si>
    <t>Cuatro restaurantes de Menorca se mantienen en la ‘élite' de la Guía Repsol este año</t>
  </si>
  <si>
    <t>La Isla mantiene su presencia en una publicación que se ha convertido en todo un referente para el turismo gastronómico.</t>
  </si>
  <si>
    <t>Four restaurants in Menorca remain among the 'elite' of the Repsol Guide this year</t>
  </si>
  <si>
    <t>The Island maintains its presence in a publication that has become a benchmark for gastronomic tourism.</t>
  </si>
  <si>
    <r>
      <rPr>
        <rFont val="Arial, sans-serif"/>
        <color rgb="FF1155CC"/>
        <sz val="9.0"/>
        <u/>
      </rPr>
      <t>Cadena SER</t>
    </r>
    <r>
      <rPr>
        <rFont val="Arial, sans-serif"/>
        <color rgb="FF1155CC"/>
        <sz val="15.0"/>
        <u/>
      </rPr>
      <t>Restaurante Ancestral Illescas: de buscar un alquiler asequible a lograr una Estrella Michelín y un sol Repsol</t>
    </r>
    <r>
      <rPr>
        <rFont val="Arial, sans-serif"/>
        <color rgb="FF1155CC"/>
        <sz val="11.0"/>
        <u/>
      </rPr>
      <t>Toledo (Toledo). Detrás de cada uno de los soles Repsol otorgados en España hay una historia de superación y de una búsqueda incesante por cumplir los...</t>
    </r>
    <r>
      <rPr>
        <rFont val="Arial, sans-serif"/>
        <color rgb="FF1155CC"/>
        <sz val="12.0"/>
        <u/>
      </rPr>
      <t>.</t>
    </r>
    <r>
      <rPr>
        <rFont val="Arial, sans-serif"/>
        <color rgb="FF1155CC"/>
        <sz val="11.0"/>
        <u/>
      </rPr>
      <t>5 mar 2024</t>
    </r>
  </si>
  <si>
    <t>Restaurante Ancestral Illescas: de buscar un alquiler asequible a lograr una Estrella Michelín y un sol Repsol</t>
  </si>
  <si>
    <t>Detrás de cada uno de los soles Repsol otorgados en España hay una historia de superación y de una búsqueda incesante por cumplir los....</t>
  </si>
  <si>
    <t>Ancestral Illescas Restaurant: from looking for an affordable rental to achieving a Michelin Star and a Repsol sun</t>
  </si>
  <si>
    <t>Behind each of the Repsol suns awarded in Spain there is a story of improvement and an incessant search to meet the...</t>
  </si>
  <si>
    <r>
      <rPr>
        <rFont val="Arial, sans-serif"/>
        <color rgb="FF1155CC"/>
        <sz val="9.0"/>
        <u/>
      </rPr>
      <t>La Voz de Galicia</t>
    </r>
    <r>
      <rPr>
        <rFont val="Arial, sans-serif"/>
        <color rgb="FF1155CC"/>
        <sz val="15.0"/>
        <u/>
      </rPr>
      <t>A Gabeira y O Camiño do Inglés, el club de los soles Repsol de Ferrol: «Somos unos afortunados, pero ojalá dieran más soles a los restaurantes de la comarca»</t>
    </r>
    <r>
      <rPr>
        <rFont val="Arial, sans-serif"/>
        <color rgb="FF1155CC"/>
        <sz val="11.0"/>
        <u/>
      </rPr>
      <t>Miguel Campos abrió la senda en el 2018 con el primer reconocimiento para un restaurante de la urbe naval y Daniel López suma ya dos.</t>
    </r>
    <r>
      <rPr>
        <rFont val="Arial, sans-serif"/>
        <color rgb="FF1155CC"/>
        <sz val="12.0"/>
        <u/>
      </rPr>
      <t>.</t>
    </r>
    <r>
      <rPr>
        <rFont val="Arial, sans-serif"/>
        <color rgb="FF1155CC"/>
        <sz val="11.0"/>
        <u/>
      </rPr>
      <t>5 mar 2024</t>
    </r>
  </si>
  <si>
    <t>A Gabeira y O Camiño do Inglés, el club de los soles Repsol de Ferrol: «Somos unos afortunados, pero ojalá dieran más soles a los restaurantes de la comarca»</t>
  </si>
  <si>
    <t>«Somos unos afortunados, pero ojalá dieran más soles a los restaurantes de la comarca»</t>
  </si>
  <si>
    <t>To Gabeira and O Camiño do Inglés, the Repsol suns club of Ferrol: "We are lucky, but I wish they would give more suns to the restaurants in the region"</t>
  </si>
  <si>
    <t>«We are lucky, but I wish they gave more suns to the restaurants in the region»</t>
  </si>
  <si>
    <r>
      <rPr>
        <rFont val="Arial, sans-serif"/>
        <color rgb="FF1155CC"/>
        <sz val="9.0"/>
        <u/>
      </rPr>
      <t>Cadena SER</t>
    </r>
    <r>
      <rPr>
        <rFont val="Arial, sans-serif"/>
        <color rgb="FF1155CC"/>
        <sz val="15.0"/>
        <u/>
      </rPr>
      <t>La Rioja suma cinco 'Soles Repsol' a su músculo gastronómico</t>
    </r>
    <r>
      <rPr>
        <rFont val="Arial, sans-serif"/>
        <color rgb="FF1155CC"/>
        <sz val="11.0"/>
        <u/>
      </rPr>
      <t>Guía Repsol ha reconocido con 2 Soles Repsol al restaurante 'Nublo', de Haro, y 1 Sol Repsol 'La Vieja Bodega' y 'Lumbre', ambos ubicados en Casalarreina,...</t>
    </r>
    <r>
      <rPr>
        <rFont val="Arial, sans-serif"/>
        <color rgb="FF1155CC"/>
        <sz val="12.0"/>
        <u/>
      </rPr>
      <t>.</t>
    </r>
    <r>
      <rPr>
        <rFont val="Arial, sans-serif"/>
        <color rgb="FF1155CC"/>
        <sz val="11.0"/>
        <u/>
      </rPr>
      <t>5 mar 2024</t>
    </r>
  </si>
  <si>
    <t>La Rioja suma cinco 'Soles Repsol' a su músculo gastronómico</t>
  </si>
  <si>
    <t>Guía Repsol ha reconocido con 2 Soles Repsol al restaurante 'Nublo', de Haro, y 1 Sol Repsol 'La Vieja Bodega' y 'Lumbre', ambos ubicados en Casalarreina.</t>
  </si>
  <si>
    <t>La Rioja adds five 'Repsol Suns' to its gastronomic muscle</t>
  </si>
  <si>
    <t>Repsol Guide has awarded 2 Repsol Suns to the restaurant 'Nublo', in Haro, and 1 Repsol Sun to 'La Vieja Bodega' and 'Lumbre', both located in Casalarreina.</t>
  </si>
  <si>
    <r>
      <rPr>
        <rFont val="Arial, sans-serif"/>
        <color rgb="FF1155CC"/>
        <sz val="9.0"/>
        <u/>
      </rPr>
      <t>Hoy</t>
    </r>
    <r>
      <rPr>
        <rFont val="Arial, sans-serif"/>
        <color rgb="FF1155CC"/>
        <sz val="15.0"/>
        <u/>
      </rPr>
      <t>El restaurante Atxa (Tarifa) de la villafranquesa Laura García logra un Sol Repsol</t>
    </r>
    <r>
      <rPr>
        <rFont val="Arial, sans-serif"/>
        <color rgb="FF1155CC"/>
        <sz val="11.0"/>
        <u/>
      </rPr>
      <t>Se adentró en esta aventura hace tres años junto a Arturo Perea, su pareja, dos cocinero curtidos a la sombra de Martin Berasategui.</t>
    </r>
    <r>
      <rPr>
        <rFont val="Arial, sans-serif"/>
        <color rgb="FF1155CC"/>
        <sz val="12.0"/>
        <u/>
      </rPr>
      <t>.</t>
    </r>
    <r>
      <rPr>
        <rFont val="Arial, sans-serif"/>
        <color rgb="FF1155CC"/>
        <sz val="11.0"/>
        <u/>
      </rPr>
      <t>5 mar 2024</t>
    </r>
  </si>
  <si>
    <t>Hoy</t>
  </si>
  <si>
    <t>El restaurante Atxa (Tarifa) de la villafranquesa Laura García logra un Sol Repsol</t>
  </si>
  <si>
    <t>El restaurante Atxa (Tarifa) de la villafranquesa Laura García logra un Sol Repsol. Se adentró en esta aventura hace tres años junto a Arturo Perea, su pareja, dos cocinero curtidos a la sombra de Martin Berasategui.</t>
  </si>
  <si>
    <t>The Atxa restaurant (Tarifa) by Laura García from Villafranca achieves a Sol Repsol</t>
  </si>
  <si>
    <t>The Atxa restaurant (Tarifa) owned by Laura García from Villafranca achieves a Sol Repsol. He entered into this adventure three years ago with Arturo Perea, his partner, two seasoned chefs in the shadow of Martin Berasategui.</t>
  </si>
  <si>
    <r>
      <rPr>
        <rFont val="Arial, sans-serif"/>
        <color rgb="FF1155CC"/>
        <sz val="9.0"/>
        <u/>
      </rPr>
      <t>Cadena SER</t>
    </r>
    <r>
      <rPr>
        <rFont val="Arial, sans-serif"/>
        <color rgb="FF1155CC"/>
        <sz val="15.0"/>
        <u/>
      </rPr>
      <t>La historia de Babacar Fall, el primer chef senegalés que triunfa en España con un sol Repsol</t>
    </r>
    <r>
      <rPr>
        <rFont val="Arial, sans-serif"/>
        <color rgb="FF1155CC"/>
        <sz val="11.0"/>
        <u/>
      </rPr>
      <t>Se ha convertido en un maestro de las brasas y ahora sueña con estrellas Michelin.</t>
    </r>
    <r>
      <rPr>
        <rFont val="Arial, sans-serif"/>
        <color rgb="FF1155CC"/>
        <sz val="12.0"/>
        <u/>
      </rPr>
      <t>.</t>
    </r>
    <r>
      <rPr>
        <rFont val="Arial, sans-serif"/>
        <color rgb="FF1155CC"/>
        <sz val="11.0"/>
        <u/>
      </rPr>
      <t>5 mar 2024</t>
    </r>
  </si>
  <si>
    <t>La historia de Babacar Fall, el primer chef senegalés que triunfa en España con un sol Repsol</t>
  </si>
  <si>
    <t>Se ha convertido en un maestro de las brasas y ahora sueña con estrellas Michelin.</t>
  </si>
  <si>
    <t>The story of Babacar Fall, the first Senegalese chef to succeed in Spain with a Repsol sun</t>
  </si>
  <si>
    <t>He has become a master of embers and now dreams of Michelin stars.</t>
  </si>
  <si>
    <r>
      <rPr>
        <rFont val="Arial, sans-serif"/>
        <color rgb="FF1155CC"/>
        <sz val="9.0"/>
        <u/>
      </rPr>
      <t>Onda Cero</t>
    </r>
    <r>
      <rPr>
        <rFont val="Arial, sans-serif"/>
        <color rgb="FF1155CC"/>
        <sz val="15.0"/>
        <u/>
      </rPr>
      <t>Begoña Rodrigo: "La Salita' es una casa feliz; volvería a planchar manteles y a no dormir por fregar</t>
    </r>
    <r>
      <rPr>
        <rFont val="Arial, sans-serif"/>
        <color rgb="FF1155CC"/>
        <sz val="11.0"/>
        <u/>
      </rPr>
      <t>La cocinera valenciana se muestra emocionada tras recibir los tres Soles Repsol y expresa que seguiría haciendo lo mismo que han hecho hasta ahora en 'La...</t>
    </r>
    <r>
      <rPr>
        <rFont val="Arial, sans-serif"/>
        <color rgb="FF1155CC"/>
        <sz val="12.0"/>
        <u/>
      </rPr>
      <t>.</t>
    </r>
    <r>
      <rPr>
        <rFont val="Arial, sans-serif"/>
        <color rgb="FF1155CC"/>
        <sz val="11.0"/>
        <u/>
      </rPr>
      <t>5 mar 2024</t>
    </r>
  </si>
  <si>
    <t>Begoña Rodrigo: "La Salita' es una casa feliz; volvería a planchar manteles y a no dormir por fregar</t>
  </si>
  <si>
    <t>La cocinera valenciana se muestra emocionada tras recibir los tres Soles Repsol y expresa que seguiría haciendo lo mismo que han hecho hasta ahora en 'La....</t>
  </si>
  <si>
    <t>Begoña Rodrigo: "La Salita" is a happy house; I would iron tablecloths again and not sleep because of washing</t>
  </si>
  <si>
    <t>The Valencian chef is excited after receiving the three Repsol Suns and expresses that she would continue doing the same thing they have done so far in 'La....</t>
  </si>
  <si>
    <r>
      <rPr>
        <rFont val="Arial, sans-serif"/>
        <color rgb="FF1155CC"/>
        <sz val="9.0"/>
        <u/>
      </rPr>
      <t>Biosferadigital</t>
    </r>
    <r>
      <rPr>
        <rFont val="Arial, sans-serif"/>
        <color rgb="FF1155CC"/>
        <sz val="15.0"/>
        <u/>
      </rPr>
      <t>La gastronomía de Lanzarote suma un nuevo Sol en la Guía Repsol</t>
    </r>
    <r>
      <rPr>
        <rFont val="Arial, sans-serif"/>
        <color rgb="FF1155CC"/>
        <sz val="11.0"/>
        <u/>
      </rPr>
      <t>El restaurante SeBE, en Costa Teguise, luce desde este 4 de marzo su primer SOL Repsol. Su propietario y chef ejecutivo Santi Benéitez lo recogió en...</t>
    </r>
    <r>
      <rPr>
        <rFont val="Arial, sans-serif"/>
        <color rgb="FF1155CC"/>
        <sz val="12.0"/>
        <u/>
      </rPr>
      <t>.</t>
    </r>
    <r>
      <rPr>
        <rFont val="Arial, sans-serif"/>
        <color rgb="FF1155CC"/>
        <sz val="11.0"/>
        <u/>
      </rPr>
      <t>5 mar 2024</t>
    </r>
  </si>
  <si>
    <t>Biosferadigital</t>
  </si>
  <si>
    <t>La gastronomía de Lanzarote suma un nuevo Sol en la Guía Repsol</t>
  </si>
  <si>
    <t>El restaurante SeBE, en Costa Teguise, luce desde este 4 de marzo su primer SOL Repsol. Su propietario y chef ejecutivo Santi Benéitez lo recogió en....</t>
  </si>
  <si>
    <t>The gastronomy of Lanzarote adds a new Sun in the Repsol Guide</t>
  </si>
  <si>
    <t>The SeBE restaurant, in Costa Teguise, has been sporting its first Repsol SOL since March 4. Its owner and executive chef Santi Benéitez picked it up in....</t>
  </si>
  <si>
    <r>
      <rPr>
        <rFont val="Arial, sans-serif"/>
        <color rgb="FF1155CC"/>
        <sz val="9.0"/>
        <u/>
      </rPr>
      <t>Málaga Hoy</t>
    </r>
    <r>
      <rPr>
        <rFont val="Arial, sans-serif"/>
        <color rgb="FF1155CC"/>
        <sz val="15.0"/>
        <u/>
      </rPr>
      <t>Nueve novedades entre los restaurantes 'recomendados' de Málaga de la Guía Repsol 2024</t>
    </r>
    <r>
      <rPr>
        <rFont val="Arial, sans-serif"/>
        <color rgb="FF1155CC"/>
        <sz val="11.0"/>
        <u/>
      </rPr>
      <t>Málaga gana dos nuevos Soles Repsol con los restaurantes Areia y Palodú.</t>
    </r>
    <r>
      <rPr>
        <rFont val="Arial, sans-serif"/>
        <color rgb="FF1155CC"/>
        <sz val="12.0"/>
        <u/>
      </rPr>
      <t>.</t>
    </r>
    <r>
      <rPr>
        <rFont val="Arial, sans-serif"/>
        <color rgb="FF1155CC"/>
        <sz val="11.0"/>
        <u/>
      </rPr>
      <t>5 mar 2024</t>
    </r>
  </si>
  <si>
    <t>Nueve novedades entre los restaurantes 'recomendados' de Málaga de la Guía Repsol 2024</t>
  </si>
  <si>
    <t>Málaga gana dos nuevos Soles Repsol con los restaurantes Areia y Palodú.</t>
  </si>
  <si>
    <t>Nine new additions among the 'recommended' restaurants in Malaga from the Repsol Guide 2024</t>
  </si>
  <si>
    <t>Málaga wins two new Repsol Soles with the Areia and Palodú restaurants.</t>
  </si>
  <si>
    <r>
      <rPr>
        <rFont val="Arial, sans-serif"/>
        <color rgb="FF1155CC"/>
        <sz val="9.0"/>
        <u/>
      </rPr>
      <t>Región Digital</t>
    </r>
    <r>
      <rPr>
        <rFont val="Arial, sans-serif"/>
        <color rgb="FF1155CC"/>
        <sz val="15.0"/>
        <u/>
      </rPr>
      <t>El restaurante cacereño Borona Bistró se alza con un Sol Repsol</t>
    </r>
    <r>
      <rPr>
        <rFont val="Arial, sans-serif"/>
        <color rgb="FF1155CC"/>
        <sz val="11.0"/>
        <u/>
      </rPr>
      <t>El proyecto del Chef, Víctor Corchado, y la maitre, Rocío Rey, se convierte en el único restaurante de Extremadura en recibir un Sol Repsol en 2024.</t>
    </r>
    <r>
      <rPr>
        <rFont val="Arial, sans-serif"/>
        <color rgb="FF1155CC"/>
        <sz val="12.0"/>
        <u/>
      </rPr>
      <t>.</t>
    </r>
    <r>
      <rPr>
        <rFont val="Arial, sans-serif"/>
        <color rgb="FF1155CC"/>
        <sz val="11.0"/>
        <u/>
      </rPr>
      <t>5 mar 2024</t>
    </r>
  </si>
  <si>
    <t>Región Digital</t>
  </si>
  <si>
    <t>El restaurante cacereño Borona Bistró se alza con un Sol Repsol</t>
  </si>
  <si>
    <t>El proyecto del Chef, Víctor Corchado, y la maitre, Rocío Rey, se convierte en el único restaurante de Extremadura en recibir un Sol Repsol en 2024.</t>
  </si>
  <si>
    <t>The Cáceres restaurant Borona Bistró wins a Sol Repsol</t>
  </si>
  <si>
    <t>The project of the Chef, Víctor Corchado, and the maitre d', Rocío Rey, becomes the only restaurant in Extremadura to receive a Sol Repsol in 2024.</t>
  </si>
  <si>
    <r>
      <rPr>
        <rFont val="Arial, sans-serif"/>
        <color rgb="FF1155CC"/>
        <sz val="9.0"/>
        <u/>
      </rPr>
      <t>El Confidencial</t>
    </r>
    <r>
      <rPr>
        <rFont val="Arial, sans-serif"/>
        <color rgb="FF1155CC"/>
        <sz val="15.0"/>
        <u/>
      </rPr>
      <t>Así es la carta de La Salita en Valencia, el único restaurante con 3 Soles Repsol en 2024: qué se come y cuánto dinero cuesta</t>
    </r>
    <r>
      <rPr>
        <rFont val="Arial, sans-serif"/>
        <color rgb="FF1155CC"/>
        <sz val="11.0"/>
        <u/>
      </rPr>
      <t>La Guía Repsol ha publicado su nuevo listado y este restaurante valenciano, a cargo de la chef Begoña Rodrigo, es el único que ha conseguido 3 Soles.</t>
    </r>
    <r>
      <rPr>
        <rFont val="Arial, sans-serif"/>
        <color rgb="FF1155CC"/>
        <sz val="12.0"/>
        <u/>
      </rPr>
      <t>.</t>
    </r>
    <r>
      <rPr>
        <rFont val="Arial, sans-serif"/>
        <color rgb="FF1155CC"/>
        <sz val="11.0"/>
        <u/>
      </rPr>
      <t>5 mar 2024</t>
    </r>
  </si>
  <si>
    <t>Así es la carta de La Salita en Valencia, el único restaurante con 3 Soles Repsol en 2024: qué se come y cuánto dinero cuesta</t>
  </si>
  <si>
    <t>Así es la carta de La Salita en Valencia, el único restaurante con 3 Soles Repsol en 2024: qué se come y cuánto dinero cuesta. La Guía Repsol ha publicado su nuevo listado y este restaurante valenciano, a cargo de la chef Begoña Rodrigo, es el único que ha conseguido 3 Soles.</t>
  </si>
  <si>
    <t>This is the menu at La Salita in Valencia, the only restaurant with 3 Repsol Suns in 2024: what is eaten and how much money it costs</t>
  </si>
  <si>
    <t>This is the menu at La Salita in Valencia, the only restaurant with 3 Repsol Suns in 2024: what is eaten and how much money it costs. The Repsol Guide has published its new list and this Valencian restaurant, run by chef Begoña Rodrigo, is the only one that has achieved 3 Suns.</t>
  </si>
  <si>
    <r>
      <rPr>
        <rFont val="Arial, sans-serif"/>
        <color rgb="FF1155CC"/>
        <sz val="9.0"/>
        <u/>
      </rPr>
      <t>Astorga Digital</t>
    </r>
    <r>
      <rPr>
        <rFont val="Arial, sans-serif"/>
        <color rgb="FF1155CC"/>
        <sz val="15.0"/>
        <u/>
      </rPr>
      <t>El Restaurante Serrano de Astorga revalida un año más su Sol Repsol</t>
    </r>
    <r>
      <rPr>
        <rFont val="Arial, sans-serif"/>
        <color rgb="FF1155CC"/>
        <sz val="11.0"/>
        <u/>
      </rPr>
      <t>'El Capricho' de Jiménez de Jamuz logra su segundo Sol, seis establecimientos de Astorga y comarca ('Aizkorri, 'Casa Coscolo', 'Casa Juan Andrés',...</t>
    </r>
    <r>
      <rPr>
        <rFont val="Arial, sans-serif"/>
        <color rgb="FF1155CC"/>
        <sz val="12.0"/>
        <u/>
      </rPr>
      <t>.</t>
    </r>
    <r>
      <rPr>
        <rFont val="Arial, sans-serif"/>
        <color rgb="FF1155CC"/>
        <sz val="11.0"/>
        <u/>
      </rPr>
      <t>5 mar 2024</t>
    </r>
  </si>
  <si>
    <t>Astorga Digital</t>
  </si>
  <si>
    <t>El Restaurante Serrano de Astorga revalida un año más su Sol Repsol</t>
  </si>
  <si>
    <t>El Capricho' de Jiménez de Jamuz logra su segundo Sol, seis establecimientos de Astorga y comarca</t>
  </si>
  <si>
    <t>The Serrano de Astorga Restaurant revalidates its Sol Repsol once again</t>
  </si>
  <si>
    <t>El Capricho' by Jiménez de Jamuz achieves its second Sun, six establishments in Astorga and the region</t>
  </si>
  <si>
    <r>
      <rPr>
        <rFont val="Arial, sans-serif"/>
        <color rgb="FF1155CC"/>
        <sz val="9.0"/>
        <u/>
      </rPr>
      <t>Diario de Ibiza</t>
    </r>
    <r>
      <rPr>
        <rFont val="Arial, sans-serif"/>
        <color rgb="FF1155CC"/>
        <sz val="15.0"/>
        <u/>
      </rPr>
      <t>Dos nuevos restaurantes de Ibiza y Formentera obtienen su primer Sol Repsol</t>
    </r>
    <r>
      <rPr>
        <rFont val="Arial, sans-serif"/>
        <color rgb="FF1155CC"/>
        <sz val="11.0"/>
        <u/>
      </rPr>
      <t>La gala de los soles Repsol, celebrada este lunes en Cartagena, ha dejado dos nuevos premios en Ibiza y Formentera. En concreto, los restaurantes que han...</t>
    </r>
    <r>
      <rPr>
        <rFont val="Arial, sans-serif"/>
        <color rgb="FF1155CC"/>
        <sz val="12.0"/>
        <u/>
      </rPr>
      <t>.</t>
    </r>
    <r>
      <rPr>
        <rFont val="Arial, sans-serif"/>
        <color rgb="FF1155CC"/>
        <sz val="11.0"/>
        <u/>
      </rPr>
      <t>5 mar 2024</t>
    </r>
  </si>
  <si>
    <t>Diario de Ibiza</t>
  </si>
  <si>
    <t>Dos nuevos restaurantes de Ibiza y Formentera obtienen su primer Sol Repsol</t>
  </si>
  <si>
    <t>La gala de los soles Repsol, celebrada este lunes en Cartagena, ha dejado dos nuevos premios en Ibiza y Formentera. En concreto, los restaurantes que han....</t>
  </si>
  <si>
    <t>Two new restaurants in Ibiza and Formentera obtain their first Sol Repsol</t>
  </si>
  <si>
    <t>The Repsol soles gala, held this Monday in Cartagena, has left two new awards in Ibiza and Formentera. Specifically, the restaurants that have...</t>
  </si>
  <si>
    <r>
      <rPr>
        <rFont val="Arial, sans-serif"/>
        <color rgb="FF1155CC"/>
        <sz val="9.0"/>
        <u/>
      </rPr>
      <t>Onda Cero</t>
    </r>
    <r>
      <rPr>
        <rFont val="Arial, sans-serif"/>
        <color rgb="FF1155CC"/>
        <sz val="15.0"/>
        <u/>
      </rPr>
      <t>Dos Soles Repsol para el restaurante Casas Colgadas de Cuenca</t>
    </r>
    <r>
      <rPr>
        <rFont val="Arial, sans-serif"/>
        <color rgb="FF1155CC"/>
        <sz val="11.0"/>
        <u/>
      </rPr>
      <t>El restaurante Casas Colgadas, regentado por el cocinero Jesús Segura, ha obtenido dos Soles Repsol en la gala celebrada anoche en Cartagena (Murcia).</t>
    </r>
    <r>
      <rPr>
        <rFont val="Arial, sans-serif"/>
        <color rgb="FF1155CC"/>
        <sz val="12.0"/>
        <u/>
      </rPr>
      <t>.</t>
    </r>
    <r>
      <rPr>
        <rFont val="Arial, sans-serif"/>
        <color rgb="FF1155CC"/>
        <sz val="11.0"/>
        <u/>
      </rPr>
      <t>5 mar 2024</t>
    </r>
  </si>
  <si>
    <t>Dos Soles Repsol para el restaurante Casas Colgadas de Cuenca</t>
  </si>
  <si>
    <t>El restaurante Casas Colgadas, regentado por el cocinero Jesús Segura, ha obtenido dos Soles Repsol en la gala celebrada anoche en Cartagena (Murcia).</t>
  </si>
  <si>
    <t>Two Repsol Suns for the Casas Colgadas restaurant in Cuenca</t>
  </si>
  <si>
    <t>The Casas Colgadas restaurant, run by chef Jesús Segura, has obtained two Repsol Suns at the gala held last night in Cartagena (Murcia).</t>
  </si>
  <si>
    <r>
      <rPr>
        <rFont val="Arial, sans-serif"/>
        <color rgb="FF1155CC"/>
        <sz val="9.0"/>
        <u/>
      </rPr>
      <t>El Español</t>
    </r>
    <r>
      <rPr>
        <rFont val="Arial, sans-serif"/>
        <color rgb="FF1155CC"/>
        <sz val="15.0"/>
        <u/>
      </rPr>
      <t>Balarés en Ponteceso (A Coruña): Así es uno de los nuevos Soles de Repsol de la Costa da Morte</t>
    </r>
    <r>
      <rPr>
        <rFont val="Arial, sans-serif"/>
        <color rgb="FF1155CC"/>
        <sz val="11.0"/>
        <u/>
      </rPr>
      <t>Silvia Facal y Rafa Varela abrieron hace menos de un año un hotel-restaurante en una casa familiar que ha conquistado a la prestigiosa guía.</t>
    </r>
    <r>
      <rPr>
        <rFont val="Arial, sans-serif"/>
        <color rgb="FF1155CC"/>
        <sz val="12.0"/>
        <u/>
      </rPr>
      <t>.</t>
    </r>
    <r>
      <rPr>
        <rFont val="Arial, sans-serif"/>
        <color rgb="FF1155CC"/>
        <sz val="11.0"/>
        <u/>
      </rPr>
      <t>5 mar 2024</t>
    </r>
  </si>
  <si>
    <t>Balarés en Ponteceso (A Coruña): Así es uno de los nuevos Soles de Repsol de la Costa da Morte</t>
  </si>
  <si>
    <t>Silvia Facal y Rafa Varela abrieron hace menos de un año un hotel-restaurante en una casa familiar que ha conquistado a la prestigiosa guía.</t>
  </si>
  <si>
    <t>Balarés in Ponteceso (A Coruña): This is one of the new Repsol Soles on the Costa da Morte</t>
  </si>
  <si>
    <t>Silvia Facal and Rafa Varela opened a hotel-restaurant less than a year ago in a family home that has won over the prestigious guide.</t>
  </si>
  <si>
    <r>
      <rPr>
        <rFont val="Arial, sans-serif"/>
        <color rgb="FF1155CC"/>
        <sz val="9.0"/>
        <u/>
      </rPr>
      <t>Viva El Puerto</t>
    </r>
    <r>
      <rPr>
        <rFont val="Arial, sans-serif"/>
        <color rgb="FF1155CC"/>
        <sz val="15.0"/>
        <u/>
      </rPr>
      <t>El Puerto brilla en la gala de La Guía Repsol con un total de siete soles</t>
    </r>
    <r>
      <rPr>
        <rFont val="Arial, sans-serif"/>
        <color rgb="FF1155CC"/>
        <sz val="11.0"/>
        <u/>
      </rPr>
      <t>Toqha eleva su prestigio con dos soles tras añadir uno nuevo; mientras que La Taberna del Chef del Mar alcanza su primer sol.</t>
    </r>
    <r>
      <rPr>
        <rFont val="Arial, sans-serif"/>
        <color rgb="FF1155CC"/>
        <sz val="12.0"/>
        <u/>
      </rPr>
      <t>.</t>
    </r>
    <r>
      <rPr>
        <rFont val="Arial, sans-serif"/>
        <color rgb="FF1155CC"/>
        <sz val="11.0"/>
        <u/>
      </rPr>
      <t>5 mar 2024</t>
    </r>
  </si>
  <si>
    <t>Viva El Puerto</t>
  </si>
  <si>
    <t>El Puerto brilla en la gala de La Guía Repsol con un total de siete soles</t>
  </si>
  <si>
    <t>El Puerto brilla en la gala de La Guía Repsol con un total de siete soles. Toqha eleva su prestigio con dos soles tras añadir uno nuevo; mientras que La Taberna del Chef del Mar alcanza su primer sol.</t>
  </si>
  <si>
    <t>The Port shines at the Repsol Guide gala with a total of seven suns</t>
  </si>
  <si>
    <t>El Puerto shines at the Repsol Guide gala with a total of seven suns. Toqha raises its prestige by two suns after adding a new one; while La Taberna del Chef del Mar reaches its first sun.</t>
  </si>
  <si>
    <r>
      <rPr>
        <rFont val="Arial, sans-serif"/>
        <color rgb="FF1155CC"/>
        <sz val="9.0"/>
        <u/>
      </rPr>
      <t>Europa Press</t>
    </r>
    <r>
      <rPr>
        <rFont val="Arial, sans-serif"/>
        <color rgb="FF1155CC"/>
        <sz val="15.0"/>
        <u/>
      </rPr>
      <t>El restaurante Gastronòmic 1497 del ecoresort Mas Salagros brilla con un Sol Repsol</t>
    </r>
    <r>
      <rPr>
        <rFont val="Arial, sans-serif"/>
        <color rgb="FF1155CC"/>
        <sz val="11.0"/>
        <u/>
      </rPr>
      <t>El resort ecológico Mas Salagros, situado en el corazón del Parque Natural de la Serralada Litoral catalana,...</t>
    </r>
    <r>
      <rPr>
        <rFont val="Arial, sans-serif"/>
        <color rgb="FF1155CC"/>
        <sz val="12.0"/>
        <u/>
      </rPr>
      <t>.</t>
    </r>
    <r>
      <rPr>
        <rFont val="Arial, sans-serif"/>
        <color rgb="FF1155CC"/>
        <sz val="11.0"/>
        <u/>
      </rPr>
      <t>5 mar 2024</t>
    </r>
  </si>
  <si>
    <t>El restaurante Gastronòmic 1497 del ecoresort Mas Salagros brilla con un Sol Repsol</t>
  </si>
  <si>
    <t>El resort ecológico Mas Salagros, situado en el corazón del Parque Natural de la Serralada Litoral catalana,....</t>
  </si>
  <si>
    <t>The Gastronòmic 1497 restaurant at the Mas Salagros ecoresort shines with a Repsol Sun</t>
  </si>
  <si>
    <t>The Mas Salagros ecological resort, located in the heart of the Catalan Serralada Litoral Natural Park,....</t>
  </si>
  <si>
    <r>
      <rPr>
        <rFont val="Arial, sans-serif"/>
        <color rgb="FF1155CC"/>
        <sz val="9.0"/>
        <u/>
      </rPr>
      <t>elDiario.es</t>
    </r>
    <r>
      <rPr>
        <rFont val="Arial, sans-serif"/>
        <color rgb="FF1155CC"/>
        <sz val="15.0"/>
        <u/>
      </rPr>
      <t>Los restaurantes Etéreo by Pedro Nel y La Cúpula, en Tenerife, reciben su segundo sol de la Guía Repsol</t>
    </r>
    <r>
      <rPr>
        <rFont val="Arial, sans-serif"/>
        <color rgb="FF1155CC"/>
        <sz val="11.0"/>
        <u/>
      </rPr>
      <t>La gala se celebró este lunes en Cartagena.</t>
    </r>
    <r>
      <rPr>
        <rFont val="Arial, sans-serif"/>
        <color rgb="FF1155CC"/>
        <sz val="12.0"/>
        <u/>
      </rPr>
      <t>.</t>
    </r>
    <r>
      <rPr>
        <rFont val="Arial, sans-serif"/>
        <color rgb="FF1155CC"/>
        <sz val="11.0"/>
        <u/>
      </rPr>
      <t>5 mar 2024</t>
    </r>
  </si>
  <si>
    <t>Los restaurantes Etéreo by Pedro Nel y La Cúpula, en Tenerife, reciben su segundo sol de la Guía Repsol</t>
  </si>
  <si>
    <t>Los restaurantes Etéreo by Pedro Nel y La Cúpula, en Tenerife, reciben su segundo sol de la Guía Repsol.</t>
  </si>
  <si>
    <t>The restaurants Etéreo by Pedro Nel and La Cúpula, in Tenerife, receive their second sun from the Repsol Guide</t>
  </si>
  <si>
    <t>The restaurants Etéreo by Pedro Nel and La Cúpula, in Tenerife, receive their second sun from the Repsol Guide.</t>
  </si>
  <si>
    <r>
      <rPr>
        <rFont val="Arial, sans-serif"/>
        <color rgb="FF1155CC"/>
        <sz val="9.0"/>
        <u/>
      </rPr>
      <t>UTRERAWeb</t>
    </r>
    <r>
      <rPr>
        <rFont val="Arial, sans-serif"/>
        <color rgb="FF1155CC"/>
        <sz val="15.0"/>
        <u/>
      </rPr>
      <t>El restaurante Besana Tapas de Utrera renueva su distinción de ‘Restaurante Recomendado’ de la Guía Repsol 2024</t>
    </r>
    <r>
      <rPr>
        <rFont val="Arial, sans-serif"/>
        <color rgb="FF1155CC"/>
        <sz val="11.0"/>
        <u/>
      </rPr>
      <t>El restaurante Besana Tapas de Utrera ha renovado un año más su prestigiosa distinción gastronómica como restaurante recomendado de la popular Guía Repsol.</t>
    </r>
    <r>
      <rPr>
        <rFont val="Arial, sans-serif"/>
        <color rgb="FF1155CC"/>
        <sz val="12.0"/>
        <u/>
      </rPr>
      <t>.</t>
    </r>
    <r>
      <rPr>
        <rFont val="Arial, sans-serif"/>
        <color rgb="FF1155CC"/>
        <sz val="11.0"/>
        <u/>
      </rPr>
      <t>5 mar 2024</t>
    </r>
  </si>
  <si>
    <t>UTRERAWeb</t>
  </si>
  <si>
    <t>El restaurante Besana Tapas de Utrera renueva su distinción de ‘Restaurante Recomendado’ de la Guía Repsol 2024</t>
  </si>
  <si>
    <t>El restaurante Besana Tapas de Utrera ha renovado un año más su prestigiosa distinción gastronómica como restaurante recomendado de la popular Guía Repsol.</t>
  </si>
  <si>
    <t>The Besana Tapas restaurant in Utrera renews its distinction as 'Recommended Restaurant' in the Repsol Guide 2024</t>
  </si>
  <si>
    <t>The Besana Tapas restaurant in Utrera has renewed for another year its prestigious gastronomic distinction as a recommended restaurant in the popular Repsol Guide.</t>
  </si>
  <si>
    <r>
      <rPr>
        <rFont val="Arial, sans-serif"/>
        <color rgb="FF1155CC"/>
        <sz val="9.0"/>
        <u/>
      </rPr>
      <t>El Español</t>
    </r>
    <r>
      <rPr>
        <rFont val="Arial, sans-serif"/>
        <color rgb="FF1155CC"/>
        <sz val="15.0"/>
        <u/>
      </rPr>
      <t>Este restaurante de Valencia cocina a la brasa, se ha llevado un Sol Repsol y tiene un ritual que le ha llevado al éxito</t>
    </r>
    <r>
      <rPr>
        <rFont val="Arial, sans-serif"/>
        <color rgb="FF1155CC"/>
        <sz val="11.0"/>
        <u/>
      </rPr>
      <t>El restaurante se compone de un espacio íntimo de 17 mesas bajas y una barra desde donde disfrutar de la cocina a leña en directo.</t>
    </r>
    <r>
      <rPr>
        <rFont val="Arial, sans-serif"/>
        <color rgb="FF1155CC"/>
        <sz val="12.0"/>
        <u/>
      </rPr>
      <t>.</t>
    </r>
    <r>
      <rPr>
        <rFont val="Arial, sans-serif"/>
        <color rgb="FF1155CC"/>
        <sz val="11.0"/>
        <u/>
      </rPr>
      <t>5 mar 2024</t>
    </r>
  </si>
  <si>
    <t>Este restaurante de Valencia cocina a la brasa, se ha llevado un Sol Repsol y tiene un ritual que le ha llevado al éxito</t>
  </si>
  <si>
    <t>Este restaurante de Valencia cocina a la brasa, se ha llevado un Sol Repsol y tiene un ritual que le ha llevado al éxito. El restaurante se compone de un espacio íntimo de 17 mesas bajas y una barra desde donde disfrutar de la cocina a leña en directo.</t>
  </si>
  <si>
    <t>This restaurant in Valencia cooks on the grill, has won a Sol Repsol and has a ritual that has led to success</t>
  </si>
  <si>
    <t>This restaurant in Valencia cooks on the grill, has won a Sol Repsol and has a ritual that has led to success. The restaurant is made up of an intimate space with 17 low tables and a bar from where you can enjoy live wood-fired cooking.</t>
  </si>
  <si>
    <r>
      <rPr>
        <rFont val="Arial, sans-serif"/>
        <color rgb="FF1155CC"/>
        <sz val="9.0"/>
        <u/>
      </rPr>
      <t>Diario de Avisos</t>
    </r>
    <r>
      <rPr>
        <rFont val="Arial, sans-serif"/>
        <color rgb="FF1155CC"/>
        <sz val="15.0"/>
        <u/>
      </rPr>
      <t>Rubén Cabrera, chef de La Cúpula, nuevo 2 Soles Repsol en Tenerife: "No trabajamos para ganar</t>
    </r>
    <r>
      <rPr>
        <rFont val="Arial, sans-serif"/>
        <color rgb="FF1155CC"/>
        <sz val="11.0"/>
        <u/>
      </rPr>
      <t>"Trabajamos para el cliente, para que salga contento de su experiencia, y eso para nosotros es lo más importante, no trabajamos para ganar un Sol"</t>
    </r>
    <r>
      <rPr>
        <rFont val="Arial, sans-serif"/>
        <color rgb="FF1155CC"/>
        <sz val="12.0"/>
        <u/>
      </rPr>
      <t>.</t>
    </r>
    <r>
      <rPr>
        <rFont val="Arial, sans-serif"/>
        <color rgb="FF1155CC"/>
        <sz val="11.0"/>
        <u/>
      </rPr>
      <t>5 mar 2024</t>
    </r>
  </si>
  <si>
    <t>Rubén Cabrera, chef de La Cúpula, nuevo 2 Soles Repsol en Tenerife: "No trabajamos para ganar"</t>
  </si>
  <si>
    <t>"Trabajamos para el cliente, para que salga contento de su experiencia, y eso para nosotros es lo más importante, no trabajamos para ganar un Sol".</t>
  </si>
  <si>
    <t>Rubén Cabrera, chef at La Cúpula, new 2 Soles Repsol in Tenerife: "We don't work to win"</t>
  </si>
  <si>
    <t>"We work for the client, so that they leave happy with their experience, and that is the most important thing for us, we do not work to win a Sun."</t>
  </si>
  <si>
    <r>
      <rPr>
        <rFont val="Arial, sans-serif"/>
        <color rgb="FF1155CC"/>
        <sz val="9.0"/>
        <u/>
      </rPr>
      <t>Cadena SER</t>
    </r>
    <r>
      <rPr>
        <rFont val="Arial, sans-serif"/>
        <color rgb="FF1155CC"/>
        <sz val="15.0"/>
        <u/>
      </rPr>
      <t>El restaurante Atxa de Tarifa ya tiene un sol de la Guía Repsol</t>
    </r>
    <r>
      <rPr>
        <rFont val="Arial, sans-serif"/>
        <color rgb="FF1155CC"/>
        <sz val="11.0"/>
        <u/>
      </rPr>
      <t>En menos de tres años han conquistado los paladares de nuestra comarca.</t>
    </r>
    <r>
      <rPr>
        <rFont val="Arial, sans-serif"/>
        <color rgb="FF1155CC"/>
        <sz val="12.0"/>
        <u/>
      </rPr>
      <t>.</t>
    </r>
    <r>
      <rPr>
        <rFont val="Arial, sans-serif"/>
        <color rgb="FF1155CC"/>
        <sz val="11.0"/>
        <u/>
      </rPr>
      <t>5 mar 2024</t>
    </r>
  </si>
  <si>
    <t>El restaurante Atxa de Tarifa ya tiene un sol de la Guía Repsol</t>
  </si>
  <si>
    <t>En menos de tres años han conquistado los paladares de nuestra comarca.</t>
  </si>
  <si>
    <t>The Atxa restaurant in Tarifa already has a sun from the Repsol Guide</t>
  </si>
  <si>
    <t>In less than three years they have conquered the palates of our region.</t>
  </si>
  <si>
    <r>
      <rPr>
        <rFont val="Arial, sans-serif"/>
        <color rgb="FF1155CC"/>
        <sz val="9.0"/>
        <u/>
      </rPr>
      <t>Onda Cero</t>
    </r>
    <r>
      <rPr>
        <rFont val="Arial, sans-serif"/>
        <color rgb="FF1155CC"/>
        <sz val="15.0"/>
        <u/>
      </rPr>
      <t>El restaurante Pico Velasco de Voto, nuevo Sol Guía Repsol</t>
    </r>
    <r>
      <rPr>
        <rFont val="Arial, sans-serif"/>
        <color rgb="FF1155CC"/>
        <sz val="11.0"/>
        <u/>
      </rPr>
      <t>El restaurante Pico Velasco de Voto ha sido reconocido con un Sol Guía Repsol, por lo que Cantabria suma un total de doce restaurantes galardonados con este...</t>
    </r>
    <r>
      <rPr>
        <rFont val="Arial, sans-serif"/>
        <color rgb="FF1155CC"/>
        <sz val="12.0"/>
        <u/>
      </rPr>
      <t>.</t>
    </r>
    <r>
      <rPr>
        <rFont val="Arial, sans-serif"/>
        <color rgb="FF1155CC"/>
        <sz val="11.0"/>
        <u/>
      </rPr>
      <t>5 mar 2024</t>
    </r>
  </si>
  <si>
    <t>El restaurante Pico Velasco de Voto, nuevo Sol Guía Repsol</t>
  </si>
  <si>
    <t>El restaurante Pico Velasco de Voto ha sido reconocido con un Sol Guía Repsol, por lo que Cantabria suma un total de doce restaurantes galardonados con este....</t>
  </si>
  <si>
    <t>The Pico Velasco de Voto restaurant, new Sun Repsol Guide</t>
  </si>
  <si>
    <t>The Pico Velasco de Voto restaurant has been recognized with a Repsol Guide Sun, so Cantabria has a total of twelve restaurants awarded with this....</t>
  </si>
  <si>
    <r>
      <rPr>
        <rFont val="Arial, sans-serif"/>
        <color rgb="FF1155CC"/>
        <sz val="9.0"/>
        <u/>
      </rPr>
      <t>LaSexta</t>
    </r>
    <r>
      <rPr>
        <rFont val="Arial, sans-serif"/>
        <color rgb="FF1155CC"/>
        <sz val="15.0"/>
        <u/>
      </rPr>
      <t>Este es el precio del menú de La Salita, el único restaurante con tres soles Repsol 2024</t>
    </r>
    <r>
      <rPr>
        <rFont val="Arial, sans-serif"/>
        <color rgb="FF1155CC"/>
        <sz val="11.0"/>
        <u/>
      </rPr>
      <t>El restaurante valenciano La Salita, de la cocinera Begoña Rodrigo, es el único nuevo tres soles de la Guía Repsol 2024 en la gala celebrada este lunes en...</t>
    </r>
    <r>
      <rPr>
        <rFont val="Arial, sans-serif"/>
        <color rgb="FF1155CC"/>
        <sz val="12.0"/>
        <u/>
      </rPr>
      <t>.</t>
    </r>
    <r>
      <rPr>
        <rFont val="Arial, sans-serif"/>
        <color rgb="FF1155CC"/>
        <sz val="11.0"/>
        <u/>
      </rPr>
      <t>5 mar 2024</t>
    </r>
  </si>
  <si>
    <t>Este es el precio del menú de La Salita, el único restaurante con tres soles Repsol 2024</t>
  </si>
  <si>
    <t>This is the price of the menu at La Salita, the only restaurant with three Repsol 2024 soles</t>
  </si>
  <si>
    <r>
      <rPr>
        <rFont val="Arial, sans-serif"/>
        <color rgb="FF1155CC"/>
        <sz val="9.0"/>
        <u/>
      </rPr>
      <t>El Español</t>
    </r>
    <r>
      <rPr>
        <rFont val="Arial, sans-serif"/>
        <color rgb="FF1155CC"/>
        <sz val="15.0"/>
        <u/>
      </rPr>
      <t>Soles Repsol 2024: estos son todos los restaurantes premiados por la Guía en Barcelona</t>
    </r>
    <r>
      <rPr>
        <rFont val="Arial, sans-serif"/>
        <color rgb="FF1155CC"/>
        <sz val="11.0"/>
        <u/>
      </rPr>
      <t>La capital catalana tiene varios establecimientos que han sido galardonados por su gran calidad e innovación.</t>
    </r>
    <r>
      <rPr>
        <rFont val="Arial, sans-serif"/>
        <color rgb="FF1155CC"/>
        <sz val="12.0"/>
        <u/>
      </rPr>
      <t>.</t>
    </r>
    <r>
      <rPr>
        <rFont val="Arial, sans-serif"/>
        <color rgb="FF1155CC"/>
        <sz val="11.0"/>
        <u/>
      </rPr>
      <t>5 mar 2024</t>
    </r>
  </si>
  <si>
    <t>Soles Repsol 2024: estos son todos los restaurantes premiados por la Guía en Barcelona</t>
  </si>
  <si>
    <t>La capital catalana tiene varios establecimientos que han sido galardonados por su gran calidad e innovación.</t>
  </si>
  <si>
    <t>Soles Repsol 2024: these are all the restaurants awarded by the Guide in Barcelona</t>
  </si>
  <si>
    <t>The Catalan capital has several establishments that have been awarded for their great quality and innovation.</t>
  </si>
  <si>
    <r>
      <rPr>
        <rFont val="Arial, sans-serif"/>
        <color rgb="FF1155CC"/>
        <sz val="9.0"/>
        <u/>
      </rPr>
      <t>El Día de Córdoba</t>
    </r>
    <r>
      <rPr>
        <rFont val="Arial, sans-serif"/>
        <color rgb="FF1155CC"/>
        <sz val="15.0"/>
        <u/>
      </rPr>
      <t>Paco Villar: "Nos exigimos cada día ser la mejor versión de nosotros mismos y hacerlo siempre mejor que ayer"</t>
    </r>
    <r>
      <rPr>
        <rFont val="Arial, sans-serif"/>
        <color rgb="FF1155CC"/>
        <sz val="11.0"/>
        <u/>
      </rPr>
      <t>La próxima semana Terra Olea cumplirá cinco años de su apertura y acaba de conseguir su primer Sol Repsol.</t>
    </r>
    <r>
      <rPr>
        <rFont val="Arial, sans-serif"/>
        <color rgb="FF1155CC"/>
        <sz val="12.0"/>
        <u/>
      </rPr>
      <t>.</t>
    </r>
    <r>
      <rPr>
        <rFont val="Arial, sans-serif"/>
        <color rgb="FF1155CC"/>
        <sz val="11.0"/>
        <u/>
      </rPr>
      <t>5 mar 2024</t>
    </r>
  </si>
  <si>
    <t>Paco Villar: "Nos exigimos cada día ser la mejor versión de nosotros mismos y hacerlo siempre mejor que ayer"</t>
  </si>
  <si>
    <t>"Nos exigimos cada día ser la mejor versión de nosotros mismos y hacerlo siempre mejor que ayer"</t>
  </si>
  <si>
    <t>Paco Villar: "We demand every day to be the best version of ourselves and always do better than yesterday"</t>
  </si>
  <si>
    <t>"Every day we demand to be the best version of ourselves and always do better than yesterday"</t>
  </si>
  <si>
    <r>
      <rPr>
        <rFont val="Arial, sans-serif"/>
        <color rgb="FF1155CC"/>
        <sz val="9.0"/>
        <u/>
      </rPr>
      <t>20Minutos</t>
    </r>
    <r>
      <rPr>
        <rFont val="Arial, sans-serif"/>
        <color rgb="FF1155CC"/>
        <sz val="15.0"/>
        <u/>
      </rPr>
      <t>Dónde encontrar biocombustible para el coche en España, cuánto cuesta y cómo es de contaminante</t>
    </r>
    <r>
      <rPr>
        <rFont val="Arial, sans-serif"/>
        <color rgb="FF1155CC"/>
        <sz val="11.0"/>
        <u/>
      </rPr>
      <t>La empresa Repsol ha sido la primera petrolera que ha introducido en sus surtidores este tipo de combustible para coches de gasolina en España: solo existen...</t>
    </r>
    <r>
      <rPr>
        <rFont val="Arial, sans-serif"/>
        <color rgb="FF1155CC"/>
        <sz val="12.0"/>
        <u/>
      </rPr>
      <t>.</t>
    </r>
    <r>
      <rPr>
        <rFont val="Arial, sans-serif"/>
        <color rgb="FF1155CC"/>
        <sz val="11.0"/>
        <u/>
      </rPr>
      <t>5 mar 2024</t>
    </r>
  </si>
  <si>
    <t>Dónde encontrar biocombustible para el coche en España, cuánto cuesta y cómo es de contaminante</t>
  </si>
  <si>
    <t>La empresa Repsol ha sido la primera petrolera que ha introducido en sus surtidores este tipo de combustible para coches de gasolina en España: solo existen....</t>
  </si>
  <si>
    <t>Where to find biofuel for your car in Spain, how much it costs and how polluting it is</t>
  </si>
  <si>
    <t>The Repsol company has been the first oil company to introduce this type of fuel for gasoline cars in its pumps in Spain: there are only...</t>
  </si>
  <si>
    <t>biofuel, Repsol alternative fuels</t>
  </si>
  <si>
    <t>biocombustible, combustibles alternativos Repsol</t>
  </si>
  <si>
    <t>Repsol’s investment in biofuels supports its transition to cleaner energy solutions.</t>
  </si>
  <si>
    <t>Neutral sentiment as it does not directly relate to Repsol's core activities.</t>
  </si>
  <si>
    <t>Sentimiento neutral al no tener relación directa con las actividades principales de Repsol.</t>
  </si>
  <si>
    <r>
      <rPr>
        <rFont val="Arial, sans-serif"/>
        <color rgb="FF1155CC"/>
        <sz val="9.0"/>
        <u/>
      </rPr>
      <t>Cinco Días</t>
    </r>
    <r>
      <rPr>
        <rFont val="Arial, sans-serif"/>
        <color rgb="FF1155CC"/>
        <sz val="15.0"/>
        <u/>
      </rPr>
      <t>CaixaBank limita el impacto del caso Villarejo a 8.000 euros pero admite el daño reputacional</t>
    </r>
    <r>
      <rPr>
        <rFont val="Arial, sans-serif"/>
        <color rgb="FF1155CC"/>
        <sz val="11.0"/>
        <u/>
      </rPr>
      <t>Repsol, también posible responsable civil subsidiario de la contratación del Grupo Cenyt, no hace alusión a este procedimiento en su informe anual de 2023.</t>
    </r>
    <r>
      <rPr>
        <rFont val="Arial, sans-serif"/>
        <color rgb="FF1155CC"/>
        <sz val="12.0"/>
        <u/>
      </rPr>
      <t>.</t>
    </r>
    <r>
      <rPr>
        <rFont val="Arial, sans-serif"/>
        <color rgb="FF1155CC"/>
        <sz val="11.0"/>
        <u/>
      </rPr>
      <t>5 mar 2024</t>
    </r>
  </si>
  <si>
    <t>CaixaBank limita el impacto del caso Villarejo a 8.000 euros pero admite el daño reputacional</t>
  </si>
  <si>
    <t>CaixaBank limita el impacto del caso Villarejo a 8.000 euros pero admite el daño reputacional. Repsol, también posible responsable civil subsidiario de la contratación del Grupo Cenyt, no hace alusión a este procedimiento en su informe anual de 2023.</t>
  </si>
  <si>
    <t>CaixaBank limits the impact of the Villarejo case to 8,000 euros but admits the reputational damage</t>
  </si>
  <si>
    <t>CaixaBank limits the impact of the Villarejo case to 8,000 euros but admits the reputational damage. Repsol, also a possible subsidiary civil party responsible for the Cenyt Group's contracting, does not refer to this procedure in its 2023 annual report.</t>
  </si>
  <si>
    <r>
      <rPr>
        <rFont val="Arial, sans-serif"/>
        <color rgb="FF1155CC"/>
        <sz val="9.0"/>
        <u/>
      </rPr>
      <t>20Minutos</t>
    </r>
    <r>
      <rPr>
        <rFont val="Arial, sans-serif"/>
        <color rgb="FF1155CC"/>
        <sz val="15.0"/>
        <u/>
      </rPr>
      <t>¿Qué es una jefa de sala? Así es su papel principal en un restaurante y su relación con el cliente</t>
    </r>
    <r>
      <rPr>
        <rFont val="Arial, sans-serif"/>
        <color rgb="FF1155CC"/>
        <sz val="11.0"/>
        <u/>
      </rPr>
      <t>La jefa de sala es mucho más que una supervisora, ya que desempeña un papel clave en la experiencia culinaria; es la maestra de 'ceremonias' que garantiza...</t>
    </r>
    <r>
      <rPr>
        <rFont val="Arial, sans-serif"/>
        <color rgb="FF1155CC"/>
        <sz val="12.0"/>
        <u/>
      </rPr>
      <t>.</t>
    </r>
    <r>
      <rPr>
        <rFont val="Arial, sans-serif"/>
        <color rgb="FF1155CC"/>
        <sz val="11.0"/>
        <u/>
      </rPr>
      <t>5 mar 2024</t>
    </r>
  </si>
  <si>
    <t>¿Qué es una jefa de sala? Así es su papel principal en un restaurante y su relación con el cliente</t>
  </si>
  <si>
    <t>La jefa de sala es mucho más que una supervisora, ya que desempeña un papel clave en la experiencia culinaria; es la maestra de 'ceremonias' que garantiza....</t>
  </si>
  <si>
    <t>What is a room manager? This is your main role in a restaurant and your relationship with the customer</t>
  </si>
  <si>
    <t>The pit manager is much more than a supervisor, as she plays a key role in the dining experience; She is the master of 'ceremonies' who guarantees...</t>
  </si>
  <si>
    <r>
      <rPr>
        <rFont val="Arial, sans-serif"/>
        <color rgb="FF1155CC"/>
        <sz val="9.0"/>
        <u/>
      </rPr>
      <t>El Español</t>
    </r>
    <r>
      <rPr>
        <rFont val="Arial, sans-serif"/>
        <color rgb="FF1155CC"/>
        <sz val="15.0"/>
        <u/>
      </rPr>
      <t>Cuánto cuesta comer en Señor Cangrejo, el nuevo restaurante de Sevilla con Sol Repsol</t>
    </r>
    <r>
      <rPr>
        <rFont val="Arial, sans-serif"/>
        <color rgb="FF1155CC"/>
        <sz val="11.0"/>
        <u/>
      </rPr>
      <t>El restaurante, situado en el Arenal, tiene una carta de vinos original y un concepto de mesa y barra lleno de productos de la tierra.</t>
    </r>
    <r>
      <rPr>
        <rFont val="Arial, sans-serif"/>
        <color rgb="FF1155CC"/>
        <sz val="12.0"/>
        <u/>
      </rPr>
      <t>.</t>
    </r>
    <r>
      <rPr>
        <rFont val="Arial, sans-serif"/>
        <color rgb="FF1155CC"/>
        <sz val="11.0"/>
        <u/>
      </rPr>
      <t>5 mar 2024</t>
    </r>
  </si>
  <si>
    <t>Cuánto cuesta comer en Señor Cangrejo, el nuevo restaurante de Sevilla con Sol Repsol</t>
  </si>
  <si>
    <t>El restaurante, situado en el Arenal, tiene una carta de vinos original y un concepto de mesa y barra lleno de productos de la tierra.</t>
  </si>
  <si>
    <t>How much does it cost to eat at Señor Cangrejo, the new restaurant in Seville with Sol Repsol</t>
  </si>
  <si>
    <t>The restaurant, located in Arenal, has an original wine list and a table and bar concept full of local products.</t>
  </si>
  <si>
    <r>
      <rPr>
        <rFont val="Arial, sans-serif"/>
        <color rgb="FF1155CC"/>
        <sz val="9.0"/>
        <u/>
      </rPr>
      <t>Infobae</t>
    </r>
    <r>
      <rPr>
        <rFont val="Arial, sans-serif"/>
        <color rgb="FF1155CC"/>
        <sz val="15.0"/>
        <u/>
      </rPr>
      <t>Qué se come y por cuánto en los nuevos restaurantes con 2 Soles Repsol: asadores, el mejor pescado y menús desde 55 euros</t>
    </r>
    <r>
      <rPr>
        <rFont val="Arial, sans-serif"/>
        <color rgb="FF1155CC"/>
        <sz val="11.0"/>
        <u/>
      </rPr>
      <t>La Guía Repsol lleva 45 años recomendándonos aquellos lugares donde disfrutar de una comida excelente. Con sus Soles y Soletes, la guía pone el foco sobre...</t>
    </r>
    <r>
      <rPr>
        <rFont val="Arial, sans-serif"/>
        <color rgb="FF1155CC"/>
        <sz val="12.0"/>
        <u/>
      </rPr>
      <t>.</t>
    </r>
    <r>
      <rPr>
        <rFont val="Arial, sans-serif"/>
        <color rgb="FF1155CC"/>
        <sz val="11.0"/>
        <u/>
      </rPr>
      <t>5 mar 2024</t>
    </r>
  </si>
  <si>
    <t>¿Qué se come y por cuánto en los nuevos restaurantes con 2 Soles Repsol: asadores, el mejor pescado y menús desde 55 euros?</t>
  </si>
  <si>
    <t>La Guía Repsol lleva 45 años recomendándonos aquellos lugares donde disfrutar de una comida excelente. Con sus Soles y Soletes, la guía pone el foco sobre....</t>
  </si>
  <si>
    <t>What do you eat and for how much in the new restaurants with 2 Repsol Soles: steakhouses, the best fish and menus from 55 euros?</t>
  </si>
  <si>
    <t>The Repsol Guide has been recommending places where you can enjoy excellent food for 45 years. With its Suns and Soles, the guide focuses on....</t>
  </si>
  <si>
    <r>
      <rPr>
        <rFont val="Arial, sans-serif"/>
        <color rgb="FF1155CC"/>
        <sz val="9.0"/>
        <u/>
      </rPr>
      <t>Movilidad Eléctrica</t>
    </r>
    <r>
      <rPr>
        <rFont val="Arial, sans-serif"/>
        <color rgb="FF1155CC"/>
        <sz val="15.0"/>
        <u/>
      </rPr>
      <t>El carsharing de Madrid que te lleva al aeropuerto por 18 euros duplica sus servicios</t>
    </r>
    <r>
      <rPr>
        <rFont val="Arial, sans-serif"/>
        <color rgb="FF1155CC"/>
        <sz val="11.0"/>
        <u/>
      </rPr>
      <t>WiBLE, la compañía de carsharing de Madrid, operada por Kia y Repsol ha presentad sus resultados para 2023 con un incremento de viajes al aeropuerto.</t>
    </r>
    <r>
      <rPr>
        <rFont val="Arial, sans-serif"/>
        <color rgb="FF1155CC"/>
        <sz val="12.0"/>
        <u/>
      </rPr>
      <t>.</t>
    </r>
    <r>
      <rPr>
        <rFont val="Arial, sans-serif"/>
        <color rgb="FF1155CC"/>
        <sz val="11.0"/>
        <u/>
      </rPr>
      <t>5 mar 2024</t>
    </r>
  </si>
  <si>
    <t>WiBLE</t>
  </si>
  <si>
    <t>El carsharing de Madrid que te lleva al aeropuerto por 18 euros duplica sus servicios</t>
  </si>
  <si>
    <t>WiBLE, la compañía de carsharing de Madrid, operada por Kia y Repsol ha presentad sus resultados para 2023 con un incremento de viajes al aeropuerto.</t>
  </si>
  <si>
    <t>The Madrid carsharing that takes you to the airport for 18 euros doubles its services</t>
  </si>
  <si>
    <t>WiBLE, the Madrid carsharing company, operated by Kia and Repsol, has presented its results for 2023 with an increase in trips to the airport.</t>
  </si>
  <si>
    <r>
      <rPr>
        <rFont val="Arial, sans-serif"/>
        <color rgb="FF1155CC"/>
        <sz val="9.0"/>
        <u/>
      </rPr>
      <t>El Diario Montañés</t>
    </r>
    <r>
      <rPr>
        <rFont val="Arial, sans-serif"/>
        <color rgb="FF1155CC"/>
        <sz val="15.0"/>
        <u/>
      </rPr>
      <t>Pico Velasco ya tiene su primer Sol</t>
    </r>
    <r>
      <rPr>
        <rFont val="Arial, sans-serif"/>
        <color rgb="FF1155CC"/>
        <sz val="11.0"/>
        <u/>
      </rPr>
      <t>Nacho Solana recogió el galardón este lunes en Murcia, en el transcurso de la gala que se ha celebrado en el Palacio de Congresos El Batel de Cartagena.</t>
    </r>
    <r>
      <rPr>
        <rFont val="Arial, sans-serif"/>
        <color rgb="FF1155CC"/>
        <sz val="12.0"/>
        <u/>
      </rPr>
      <t>.</t>
    </r>
    <r>
      <rPr>
        <rFont val="Arial, sans-serif"/>
        <color rgb="FF1155CC"/>
        <sz val="11.0"/>
        <u/>
      </rPr>
      <t>5 mar 2024</t>
    </r>
  </si>
  <si>
    <t>Pico Velasco ya tiene su primer Sol</t>
  </si>
  <si>
    <t>Nacho Solana recogió el galardón este lunes en Murcia, en el transcurso de la gala que se ha celebrado en el Palacio de Congresos El Batel de Cartagena.</t>
  </si>
  <si>
    <t>Pico Velasco already has its first Sun</t>
  </si>
  <si>
    <t>Nacho Solana collected the award this Monday in Murcia, during the gala held at the El Batel Conference Center in Cartagena.</t>
  </si>
  <si>
    <r>
      <rPr>
        <rFont val="Arial, sans-serif"/>
        <color rgb="FF1155CC"/>
        <sz val="9.0"/>
        <u/>
      </rPr>
      <t>Revista Gran Hotel</t>
    </r>
    <r>
      <rPr>
        <rFont val="Arial, sans-serif"/>
        <color rgb="FF1155CC"/>
        <sz val="15.0"/>
        <u/>
      </rPr>
      <t>El restaurante Gastronòmic 1497 de Mas Salagros brilla con un Sol Repsol</t>
    </r>
    <r>
      <rPr>
        <rFont val="Arial, sans-serif"/>
        <color rgb="FF1155CC"/>
        <sz val="11.0"/>
        <u/>
      </rPr>
      <t>El ecoresort de cinco estrellas, concebido como un oasis gastronómico sostenible a las puertas de Barcelona, ha sido reconocido por su excelencia...</t>
    </r>
    <r>
      <rPr>
        <rFont val="Arial, sans-serif"/>
        <color rgb="FF1155CC"/>
        <sz val="12.0"/>
        <u/>
      </rPr>
      <t>.</t>
    </r>
    <r>
      <rPr>
        <rFont val="Arial, sans-serif"/>
        <color rgb="FF1155CC"/>
        <sz val="11.0"/>
        <u/>
      </rPr>
      <t>5 mar 2024</t>
    </r>
  </si>
  <si>
    <t>El restaurante Gastronòmic 1497 de Mas Salagros brilla con un Sol Repsol</t>
  </si>
  <si>
    <t>El ecoresort de cinco estrellas, concebido como un oasis gastronómico sostenible a las puertas de Barcelona, ha sido reconocido por su excelencia....</t>
  </si>
  <si>
    <t>The Gastronòmic 1497 restaurant in Mas Salagros shines with a Repsol Sun</t>
  </si>
  <si>
    <t>The five-star ecoresort, conceived as a sustainable gastronomic oasis at the gates of Barcelona, ​​has been recognized for its excellence....</t>
  </si>
  <si>
    <r>
      <rPr>
        <rFont val="Arial, sans-serif"/>
        <color rgb="FF1155CC"/>
        <sz val="9.0"/>
        <u/>
      </rPr>
      <t>Agronews Comunitat Valenciana</t>
    </r>
    <r>
      <rPr>
        <rFont val="Arial, sans-serif"/>
        <color rgb="FF1155CC"/>
        <sz val="15.0"/>
        <u/>
      </rPr>
      <t>La chef valenciana Begoña Rodrigo, única novedad de toda España con Tres Soles Guía Repsol 2024</t>
    </r>
    <r>
      <rPr>
        <rFont val="Arial, sans-serif"/>
        <color rgb="FF1155CC"/>
        <sz val="11.0"/>
        <u/>
      </rPr>
      <t>Begoña Rodrigo, del restaurante 'La Salita' (Valencia), es la nueva Tres Soles Guía Repsol 2024. La placidez que emana del palacete en Russafa es un reflejo...</t>
    </r>
    <r>
      <rPr>
        <rFont val="Arial, sans-serif"/>
        <color rgb="FF1155CC"/>
        <sz val="12.0"/>
        <u/>
      </rPr>
      <t>.</t>
    </r>
    <r>
      <rPr>
        <rFont val="Arial, sans-serif"/>
        <color rgb="FF1155CC"/>
        <sz val="11.0"/>
        <u/>
      </rPr>
      <t>5 mar 2024</t>
    </r>
  </si>
  <si>
    <t>Agronews Comunitat Valenciana</t>
  </si>
  <si>
    <t>La chef valenciana Begoña Rodrigo, única novedad de toda España con Tres Soles Guía Repsol 2024</t>
  </si>
  <si>
    <t>Begoña Rodrigo, del restaurante 'La Salita' (Valencia), es la nueva Tres Soles Guía Repsol 2024. La placidez que emana del palacete en Russafa es un reflejo....</t>
  </si>
  <si>
    <t>The Valencian chef Begoña Rodrigo, the only novelty in all of Spain with Tres Soles Repsol Guide 2024</t>
  </si>
  <si>
    <t>Begoña Rodrigo, from the restaurant 'La Salita' (Valencia), is the new Tres Soles Repsol Guide 2024. The placidity that emanates from the mansion in Russafa is a reflection....</t>
  </si>
  <si>
    <r>
      <rPr>
        <rFont val="Arial, sans-serif"/>
        <color rgb="FF1155CC"/>
        <sz val="9.0"/>
        <u/>
      </rPr>
      <t>El Faro - El Periódico de Motril y la Costa Tropical</t>
    </r>
    <r>
      <rPr>
        <rFont val="Arial, sans-serif"/>
        <color rgb="FF1155CC"/>
        <sz val="15.0"/>
        <u/>
      </rPr>
      <t>Espacio IME del chef Iván Mateo vuelve a situarse en los soles de la Guía Repsol 2024</t>
    </r>
    <r>
      <rPr>
        <rFont val="Arial, sans-serif"/>
        <color rgb="FF1155CC"/>
        <sz val="11.0"/>
        <u/>
      </rPr>
      <t>EL FARO Para el chef motrileño la calidad de los productos, el equilibrio y la armonía de los sabores o la personalidad de la propuesta, es fundamental,...</t>
    </r>
    <r>
      <rPr>
        <rFont val="Arial, sans-serif"/>
        <color rgb="FF1155CC"/>
        <sz val="12.0"/>
        <u/>
      </rPr>
      <t>.</t>
    </r>
    <r>
      <rPr>
        <rFont val="Arial, sans-serif"/>
        <color rgb="FF1155CC"/>
        <sz val="11.0"/>
        <u/>
      </rPr>
      <t>5 mar 2024</t>
    </r>
  </si>
  <si>
    <t>El Faro - El Periódico de Motril y la Costa Tropical</t>
  </si>
  <si>
    <t>Espacio IME del chef Iván Mateo vuelve a situarse en los soles de la Guía Repsol 2024</t>
  </si>
  <si>
    <t>Para el chef motrileño la calidad de los productos, el equilibrio y la armonía de los sabores o la personalidad de la propuesta, es fundamental,....</t>
  </si>
  <si>
    <t>Chef Iván Mateo's IME space is once again among the suns of the Repsol Guide 2024</t>
  </si>
  <si>
    <t>For the chef from Motril, the quality of the products, the balance and harmony of the flavors or the personality of the proposal is fundamental,...</t>
  </si>
  <si>
    <r>
      <rPr>
        <rFont val="Arial, sans-serif"/>
        <color rgb="FF1155CC"/>
        <sz val="9.0"/>
        <u/>
      </rPr>
      <t>Cadena SER</t>
    </r>
    <r>
      <rPr>
        <rFont val="Arial, sans-serif"/>
        <color rgb="FF1155CC"/>
        <sz val="15.0"/>
        <u/>
      </rPr>
      <t>Javier Campos: "Este Sol refuerza nuestro compromiso con Córdoba"</t>
    </r>
    <r>
      <rPr>
        <rFont val="Arial, sans-serif"/>
        <color rgb="FF1155CC"/>
        <sz val="11.0"/>
        <u/>
      </rPr>
      <t>El restaurante Ermita de la Candelaria ha sido reconocido con un Sol de la Guía Repsol 2024.</t>
    </r>
    <r>
      <rPr>
        <rFont val="Arial, sans-serif"/>
        <color rgb="FF1155CC"/>
        <sz val="12.0"/>
        <u/>
      </rPr>
      <t>.</t>
    </r>
    <r>
      <rPr>
        <rFont val="Arial, sans-serif"/>
        <color rgb="FF1155CC"/>
        <sz val="11.0"/>
        <u/>
      </rPr>
      <t>5 mar 2024</t>
    </r>
  </si>
  <si>
    <t>Javier Campos: "Este Sol refuerza nuestro compromiso con Córdoba"</t>
  </si>
  <si>
    <t>El restaurante Ermita de la Candelaria ha sido reconocido con un Sol de la Guía Repsol 2024.</t>
  </si>
  <si>
    <t>Javier Campos: "This Sun reinforces our commitment to Córdoba"</t>
  </si>
  <si>
    <t>The Ermita de la Candelaria restaurant has been recognized with a Sun from the Repsol Guide 2024.</t>
  </si>
  <si>
    <r>
      <rPr>
        <rFont val="Arial, sans-serif"/>
        <color rgb="FF1155CC"/>
        <sz val="9.0"/>
        <u/>
      </rPr>
      <t>El Nuevo Observador</t>
    </r>
    <r>
      <rPr>
        <rFont val="Arial, sans-serif"/>
        <color rgb="FF1155CC"/>
        <sz val="15.0"/>
        <u/>
      </rPr>
      <t>Los Sentidos y Canela en Rama mantienen a Linares en la élite de la cocina española</t>
    </r>
    <r>
      <rPr>
        <rFont val="Arial, sans-serif"/>
        <color rgb="FF1155CC"/>
        <sz val="11.0"/>
        <u/>
      </rPr>
      <t>Los dos restaurantes renuevan el Sol Repsol, al igual que Taberna El Lagartijo y Pastelería Excelsior se asientan en la guía con sus soletes.</t>
    </r>
    <r>
      <rPr>
        <rFont val="Arial, sans-serif"/>
        <color rgb="FF1155CC"/>
        <sz val="12.0"/>
        <u/>
      </rPr>
      <t>.</t>
    </r>
    <r>
      <rPr>
        <rFont val="Arial, sans-serif"/>
        <color rgb="FF1155CC"/>
        <sz val="11.0"/>
        <u/>
      </rPr>
      <t>5 mar 2024</t>
    </r>
  </si>
  <si>
    <t>El Nuevo Observador</t>
  </si>
  <si>
    <t>Los Sentidos y Canela en Rama mantienen a Linares en la élite de la cocina española</t>
  </si>
  <si>
    <t>Los dos restaurantes renuevan el Sol Repsol, al igual que Taberna El Lagartijo y Pastelería Excelsior se asientan en la guía con sus soletes.</t>
  </si>
  <si>
    <t>Los Sentidos and Canela en Rama keep Linares in the elite of Spanish cuisine</t>
  </si>
  <si>
    <t>The two restaurants renew the Sol Repsol, just as Taberna El Lagartijo and Pastelería Excelsior are established in the guide with their soletes.</t>
  </si>
  <si>
    <r>
      <rPr>
        <rFont val="Arial, sans-serif"/>
        <color rgb="FF1155CC"/>
        <sz val="9.0"/>
        <u/>
      </rPr>
      <t>Hosteltur</t>
    </r>
    <r>
      <rPr>
        <rFont val="Arial, sans-serif"/>
        <color rgb="FF1155CC"/>
        <sz val="15.0"/>
        <u/>
      </rPr>
      <t>Volotea: primer vuelo con un 50% de combustible de aviación sostenible</t>
    </r>
    <r>
      <rPr>
        <rFont val="Arial, sans-serif"/>
        <color rgb="FF1155CC"/>
        <sz val="11.0"/>
        <u/>
      </rPr>
      <t>Volotea ha operado su primer vuelo con un 50% de combustible de aviación sostenible (SAF) producido por Repsol.</t>
    </r>
    <r>
      <rPr>
        <rFont val="Arial, sans-serif"/>
        <color rgb="FF1155CC"/>
        <sz val="12.0"/>
        <u/>
      </rPr>
      <t>.</t>
    </r>
    <r>
      <rPr>
        <rFont val="Arial, sans-serif"/>
        <color rgb="FF1155CC"/>
        <sz val="11.0"/>
        <u/>
      </rPr>
      <t>5 mar 2024</t>
    </r>
  </si>
  <si>
    <t>Hosteltur</t>
  </si>
  <si>
    <t>Volotea: primer vuelo con un 50% de combustible de aviación sostenible</t>
  </si>
  <si>
    <t>Volotea ha operado su primer vuelo con un 50% de combustible de aviación sostenible (SAF) producido por Repsol.</t>
  </si>
  <si>
    <t>Volotea: first flight with 50% sustainable aviation fuel</t>
  </si>
  <si>
    <t>Volotea has operated its first flight with 50% sustainable aviation fuel (SAF) produced by Repsol.</t>
  </si>
  <si>
    <t>sustainable aviation fuel, Repsol renewable energy</t>
  </si>
  <si>
    <t>combustible de aviación sostenible, Repsol energías renovables</t>
  </si>
  <si>
    <t>Advancing sustainable aviation fuel usage reinforces Repsol’s leadership in green energy.</t>
  </si>
  <si>
    <t>primer vuelo, combustible sostenible, Repsol</t>
  </si>
  <si>
    <t>Positive sentiment due to the advancement in sustainable aviation fuel.</t>
  </si>
  <si>
    <t>Sentimiento positivo debido al avance del combustible de aviación sostenible.</t>
  </si>
  <si>
    <r>
      <rPr>
        <rFont val="Arial, sans-serif"/>
        <color rgb="FF1155CC"/>
        <sz val="9.0"/>
        <u/>
      </rPr>
      <t>Woman Madame Figaro</t>
    </r>
    <r>
      <rPr>
        <rFont val="Arial, sans-serif"/>
        <color rgb="FF1155CC"/>
        <sz val="15.0"/>
        <u/>
      </rPr>
      <t>Cuánto cuesta y cómo es La Salita de Begoña Rodrigo, único nuevo restaurante que ha logrado 3 Soles Guía Repsol en 2024</t>
    </r>
    <r>
      <rPr>
        <rFont val="Arial, sans-serif"/>
        <color rgb="FF1155CC"/>
        <sz val="11.0"/>
        <u/>
      </rPr>
      <t>La Guía Repsol ha desvelado este lunes los destinatarios de sus Soles Guía Repsol 2024, los cuales distinguen anualmente los mejores restaurantes de España.</t>
    </r>
    <r>
      <rPr>
        <rFont val="Arial, sans-serif"/>
        <color rgb="FF1155CC"/>
        <sz val="12.0"/>
        <u/>
      </rPr>
      <t>.</t>
    </r>
    <r>
      <rPr>
        <rFont val="Arial, sans-serif"/>
        <color rgb="FF1155CC"/>
        <sz val="11.0"/>
        <u/>
      </rPr>
      <t>5 mar 2024</t>
    </r>
  </si>
  <si>
    <t>Madame Figaro</t>
  </si>
  <si>
    <t>Cuánto cuesta y cómo es La Salita de Begoña Rodrigo, único nuevo restaurante que ha logrado 3 Soles Guía Repsol en 2024</t>
  </si>
  <si>
    <t>La Guía Repsol ha desvelado este lunes los destinatarios de sus Soles Guía Repsol 2024, los cuales distinguen anualmente los mejores restaurantes de España.</t>
  </si>
  <si>
    <t>How much does it cost and what is it like La Salita de Begoña Rodrigo, the only new restaurant that has achieved 3 Repsol Guide Suns in 2024</t>
  </si>
  <si>
    <t>This Monday, the Repsol Guide revealed the recipients of its 2024 Repsol Guide Suns, which annually distinguish the best restaurants in Spain.</t>
  </si>
  <si>
    <r>
      <rPr>
        <rFont val="Arial, sans-serif"/>
        <color rgb="FF1155CC"/>
        <sz val="9.0"/>
        <u/>
      </rPr>
      <t>Cadena SER</t>
    </r>
    <r>
      <rPr>
        <rFont val="Arial, sans-serif"/>
        <color rgb="FF1155CC"/>
        <sz val="15.0"/>
        <u/>
      </rPr>
      <t>Sincio y Albiar, la propuesta de Ignacio Solana en Pico Velasco que vale un Sol</t>
    </r>
    <r>
      <rPr>
        <rFont val="Arial, sans-serif"/>
        <color rgb="FF1155CC"/>
        <sz val="11.0"/>
        <u/>
      </rPr>
      <t>En Hoy por Hoy Cantabria el chef cántabro nos cuenta cómo en menos de un año desde su apertura el hotel ha conseguido el galardón de la Guía Repsol.</t>
    </r>
    <r>
      <rPr>
        <rFont val="Arial, sans-serif"/>
        <color rgb="FF1155CC"/>
        <sz val="12.0"/>
        <u/>
      </rPr>
      <t>.</t>
    </r>
    <r>
      <rPr>
        <rFont val="Arial, sans-serif"/>
        <color rgb="FF1155CC"/>
        <sz val="11.0"/>
        <u/>
      </rPr>
      <t>5 mar 2024</t>
    </r>
  </si>
  <si>
    <t>Sincio y Albiar, la propuesta de Ignacio Solana en Pico Velasco que vale un Sol</t>
  </si>
  <si>
    <t>En Hoy por Hoy Cantabria el chef cántabro nos cuenta cómo en menos de un año desde su apertura el hotel ha conseguido el galardón de la Guía Repsol.</t>
  </si>
  <si>
    <t>Sincio and Albiar, Ignacio Solana's proposal in Pico Velasco that is worth one Sol</t>
  </si>
  <si>
    <t>In Hoy por Hoy Cantabria the Cantabrian chef tells us how in less than a year since its opening the hotel has won the Repsol Guide award.</t>
  </si>
  <si>
    <r>
      <rPr>
        <rFont val="Arial, sans-serif"/>
        <color rgb="FF1155CC"/>
        <sz val="9.0"/>
        <u/>
      </rPr>
      <t>El Periódico Extremadura</t>
    </r>
    <r>
      <rPr>
        <rFont val="Arial, sans-serif"/>
        <color rgb="FF1155CC"/>
        <sz val="15.0"/>
        <u/>
      </rPr>
      <t>Víctor Corchado, feliz con su Sol de Guía Repsol: "Borona habla de Cáceres y hace crecer a la ciudad"</t>
    </r>
    <r>
      <rPr>
        <rFont val="Arial, sans-serif"/>
        <color rgb="FF1155CC"/>
        <sz val="11.0"/>
        <u/>
      </rPr>
      <t>'Nuestro menú habla de lo que somos y con este reconocimiento se genera un valor añadido', relata con emoción el chef.</t>
    </r>
    <r>
      <rPr>
        <rFont val="Arial, sans-serif"/>
        <color rgb="FF1155CC"/>
        <sz val="12.0"/>
        <u/>
      </rPr>
      <t>.</t>
    </r>
    <r>
      <rPr>
        <rFont val="Arial, sans-serif"/>
        <color rgb="FF1155CC"/>
        <sz val="11.0"/>
        <u/>
      </rPr>
      <t>5 mar 2024</t>
    </r>
  </si>
  <si>
    <t>Víctor Corchado, feliz con su Sol de Guía Repsol: "Borona habla de Cáceres y hace crecer a la ciudad"</t>
  </si>
  <si>
    <t>"Nuestro menú habla de lo que somos y con este reconocimiento se genera un valor añadido", relata con emoción el chef.</t>
  </si>
  <si>
    <t>Víctor Corchado, happy with his Repsol Guide Sol: "Borona talks about Cáceres and makes the city grow"</t>
  </si>
  <si>
    <t>"Our menu speaks of who we are and with this recognition added value is generated," the chef says with emotion.</t>
  </si>
  <si>
    <r>
      <rPr>
        <rFont val="Arial, sans-serif"/>
        <color rgb="FF1155CC"/>
        <sz val="9.0"/>
        <u/>
      </rPr>
      <t>El Español</t>
    </r>
    <r>
      <rPr>
        <rFont val="Arial, sans-serif"/>
        <color rgb="FF1155CC"/>
        <sz val="15.0"/>
        <u/>
      </rPr>
      <t>La chef Begoña Rodrigo se alza con los tres Soles de Guía Repsol que la consolidan como una de las mejores de España</t>
    </r>
    <r>
      <rPr>
        <rFont val="Arial, sans-serif"/>
        <color rgb="FF1155CC"/>
        <sz val="11.0"/>
        <u/>
      </rPr>
      <t>La cocinera valenciana, propietaria de 'La Salita' ha recibido los tres Soles que concede la Guía Repsol, el máximo galardón. Ya había sido elegida como la...</t>
    </r>
    <r>
      <rPr>
        <rFont val="Arial, sans-serif"/>
        <color rgb="FF1155CC"/>
        <sz val="12.0"/>
        <u/>
      </rPr>
      <t>.</t>
    </r>
    <r>
      <rPr>
        <rFont val="Arial, sans-serif"/>
        <color rgb="FF1155CC"/>
        <sz val="11.0"/>
        <u/>
      </rPr>
      <t>5 mar 2024</t>
    </r>
  </si>
  <si>
    <t>La chef Begoña Rodrigo se alza con los tres Soles de Guía Repsol que la consolidan como una de las mejores de España</t>
  </si>
  <si>
    <t>La cocinera valenciana, propietaria de 'La Salita' ha recibido los tres Soles que concede la Guía Repsol, el máximo galardón. Ya había sido elegida como la....</t>
  </si>
  <si>
    <t>Chef Begoña Rodrigo wins the three Repsol Guide Suns that consolidate her as one of the best in Spain</t>
  </si>
  <si>
    <t>The Valencian chef, owner of 'La Salita' has received the three Suns awarded by the Repsol Guide, the highest award. She had already been chosen as the...</t>
  </si>
  <si>
    <r>
      <rPr>
        <rFont val="Arial, sans-serif"/>
        <color rgb="FF1155CC"/>
        <sz val="9.0"/>
        <u/>
      </rPr>
      <t>Pulso San Luis</t>
    </r>
    <r>
      <rPr>
        <rFont val="Arial, sans-serif"/>
        <color rgb="FF1155CC"/>
        <sz val="15.0"/>
        <u/>
      </rPr>
      <t>Restaurantes mexicanos premiados por la Guía Repsol 2024</t>
    </r>
    <r>
      <rPr>
        <rFont val="Arial, sans-serif"/>
        <color rgb="FF1155CC"/>
        <sz val="11.0"/>
        <u/>
      </rPr>
      <t>CIUDAD DE MÉXICO, marzo 5 (EL UNIVERSAL).- La Guía Repsol es conocida por recomendar los mejores lugares turísticos y gastronómicos de España desde 1979,...</t>
    </r>
    <r>
      <rPr>
        <rFont val="Arial, sans-serif"/>
        <color rgb="FF1155CC"/>
        <sz val="12.0"/>
        <u/>
      </rPr>
      <t>.</t>
    </r>
    <r>
      <rPr>
        <rFont val="Arial, sans-serif"/>
        <color rgb="FF1155CC"/>
        <sz val="11.0"/>
        <u/>
      </rPr>
      <t>5 mar 2024</t>
    </r>
  </si>
  <si>
    <t>Pulso San Luis</t>
  </si>
  <si>
    <t>Restaurantes mexicanos premiados por la Guía Repsol 2024</t>
  </si>
  <si>
    <t>La Guía Repsol es conocida por recomendar los mejores lugares turísticos y gastronómicos de España desde 1979,....</t>
  </si>
  <si>
    <t>Mexican restaurants awarded by the Repsol Guide 2024</t>
  </si>
  <si>
    <t>The Repsol Guide is known for recommending the best tourist and gastronomic places in Spain since 1979,....</t>
  </si>
  <si>
    <r>
      <rPr>
        <rFont val="Arial, sans-serif"/>
        <color rgb="FF1155CC"/>
        <sz val="9.0"/>
        <u/>
      </rPr>
      <t>El Economista</t>
    </r>
    <r>
      <rPr>
        <rFont val="Arial, sans-serif"/>
        <color rgb="FF1155CC"/>
        <sz val="15.0"/>
        <u/>
      </rPr>
      <t>Repsol ofrecerá combustible verde en 1.900 estaciones de servicio en 2027</t>
    </r>
    <r>
      <rPr>
        <rFont val="Arial, sans-serif"/>
        <color rgb="FF1155CC"/>
        <sz val="11.0"/>
        <u/>
      </rPr>
      <t>Repsol se prepara para dar un salto en la venta de combustibles renovables. La petrolera planea ofrecer este tipo de carburantes en ...</t>
    </r>
    <r>
      <rPr>
        <rFont val="Arial, sans-serif"/>
        <color rgb="FF1155CC"/>
        <sz val="12.0"/>
        <u/>
      </rPr>
      <t>.</t>
    </r>
    <r>
      <rPr>
        <rFont val="Arial, sans-serif"/>
        <color rgb="FF1155CC"/>
        <sz val="11.0"/>
        <u/>
      </rPr>
      <t>6 mar 2024</t>
    </r>
  </si>
  <si>
    <t>Repsol ofrecerá combustible verde en 1.900 estaciones de servicio en 2027</t>
  </si>
  <si>
    <t>Repsol se prepara para dar un salto en la venta de combustibles renovables. La petrolera planea ofrecer este tipo de carburantes en ....</t>
  </si>
  <si>
    <t>Repsol will offer green fuel at 1,900 service stations in 2027</t>
  </si>
  <si>
    <t>Repsol is preparing to make a leap in the sale of renewable fuels. The oil company plans to offer this type of fuel in....</t>
  </si>
  <si>
    <t>green fuel, Repsol renewable energy</t>
  </si>
  <si>
    <t>combustible verde, Repsol energías renovables</t>
  </si>
  <si>
    <t>Expanding renewable fuel offerings strengthens Repsol’s environmental commitment.</t>
  </si>
  <si>
    <t>combustible verde, renovables, salto</t>
  </si>
  <si>
    <t>Positive sentiment due to the advancement in renewable fuels.</t>
  </si>
  <si>
    <t>Sentimiento positivo por el avance de los combustibles renovables.</t>
  </si>
  <si>
    <r>
      <rPr>
        <rFont val="Arial, sans-serif"/>
        <color rgb="FF1155CC"/>
        <sz val="9.0"/>
        <u/>
      </rPr>
      <t>ABC</t>
    </r>
    <r>
      <rPr>
        <rFont val="Arial, sans-serif"/>
        <color rgb="FF1155CC"/>
        <sz val="15.0"/>
        <u/>
      </rPr>
      <t>Listado de los soles Repsol 2024: los mejores restaurantes por comunidades autónomas</t>
    </r>
    <r>
      <rPr>
        <rFont val="Arial, sans-serif"/>
        <color rgb="FF1155CC"/>
        <sz val="11.0"/>
        <u/>
      </rPr>
      <t>La Guía Repsol 2024 ha presentado en Cartagena sus 98 nuevos soles entre los que hay un nuevo tres Soles, 16 dos soles y 81 un sol.</t>
    </r>
    <r>
      <rPr>
        <rFont val="Arial, sans-serif"/>
        <color rgb="FF1155CC"/>
        <sz val="12.0"/>
        <u/>
      </rPr>
      <t>.</t>
    </r>
    <r>
      <rPr>
        <rFont val="Arial, sans-serif"/>
        <color rgb="FF1155CC"/>
        <sz val="11.0"/>
        <u/>
      </rPr>
      <t>6 mar 2024</t>
    </r>
  </si>
  <si>
    <t>Listado de los soles Repsol 2024: los mejores restaurantes por comunidades autónomas</t>
  </si>
  <si>
    <t>La Guía Repsol 2024 ha presentado en Cartagena sus 98 nuevos soles entre los que hay un nuevo tres Soles, 16 dos soles y 81 un sol.</t>
  </si>
  <si>
    <t>List of Repsol 2024 soles: the best restaurants by autonomous community</t>
  </si>
  <si>
    <t>The Repsol Guide 2024 has presented its 98 new suns in Cartagena, among which there is a new three suns, 16 two suns and 81 one sun.</t>
  </si>
  <si>
    <r>
      <rPr>
        <rFont val="Arial, sans-serif"/>
        <color rgb="FF1155CC"/>
        <sz val="9.0"/>
        <u/>
      </rPr>
      <t>Estrategias de Inversión</t>
    </r>
    <r>
      <rPr>
        <rFont val="Arial, sans-serif"/>
        <color rgb="FF1155CC"/>
        <sz val="15.0"/>
        <u/>
      </rPr>
      <t>Iberdrola y Repsol, la cara y cruz del mercado y de sus presidentes</t>
    </r>
    <r>
      <rPr>
        <rFont val="Arial, sans-serif"/>
        <color rgb="FF1155CC"/>
        <sz val="11.0"/>
        <u/>
      </rPr>
      <t>Iberdrola y Repsol ¿quién gana y quién pierde en bolsa? Iberdrola es la energética que más gana en bolsa mientras Repsol, la que más pierde.</t>
    </r>
    <r>
      <rPr>
        <rFont val="Arial, sans-serif"/>
        <color rgb="FF1155CC"/>
        <sz val="12.0"/>
        <u/>
      </rPr>
      <t>.</t>
    </r>
    <r>
      <rPr>
        <rFont val="Arial, sans-serif"/>
        <color rgb="FF1155CC"/>
        <sz val="11.0"/>
        <u/>
      </rPr>
      <t>6 mar 2024</t>
    </r>
  </si>
  <si>
    <t>Iberdrola y Repsol, la cara y cruz del mercado y de sus presidentes</t>
  </si>
  <si>
    <t>Iberdrola y Repsol ¿quién gana y quién pierde en bolsa? Iberdrola es la energética que más gana en bolsa mientras Repsol, la que más pierde.</t>
  </si>
  <si>
    <t>Iberdrola and Repsol, the heads and tails of the market and its presidents</t>
  </si>
  <si>
    <t>Iberdrola and Repsol, who wins and who loses in the stock market? Iberdrola is the energy company that gains the most in the stock market while Repsol, the one that loses the most.</t>
  </si>
  <si>
    <r>
      <rPr>
        <rFont val="Arial, sans-serif"/>
        <color rgb="FF1155CC"/>
        <sz val="9.0"/>
        <u/>
      </rPr>
      <t>El Español</t>
    </r>
    <r>
      <rPr>
        <rFont val="Arial, sans-serif"/>
        <color rgb="FF1155CC"/>
        <sz val="15.0"/>
        <u/>
      </rPr>
      <t>Así es el único restaurante con un Sol Repsol en la isla de El Hierro: inspirado en su pasado indígena</t>
    </r>
    <r>
      <rPr>
        <rFont val="Arial, sans-serif"/>
        <color rgb="FF1155CC"/>
        <sz val="11.0"/>
        <u/>
      </rPr>
      <t>El chef Marcos Tavío lidera esta propuesta gastronómica que busca narrar la historia de los canarios y las canarias.</t>
    </r>
    <r>
      <rPr>
        <rFont val="Arial, sans-serif"/>
        <color rgb="FF1155CC"/>
        <sz val="12.0"/>
        <u/>
      </rPr>
      <t>.</t>
    </r>
    <r>
      <rPr>
        <rFont val="Arial, sans-serif"/>
        <color rgb="FF1155CC"/>
        <sz val="11.0"/>
        <u/>
      </rPr>
      <t>6 mar 2024</t>
    </r>
  </si>
  <si>
    <t>Así es el único restaurante con un Sol Repsol en la isla de El Hierro: inspirado en su pasado indígena</t>
  </si>
  <si>
    <t>El chef Marcos Tavío lidera esta propuesta gastronómica que busca narrar la historia de los canarios y las canarias.</t>
  </si>
  <si>
    <t>This is the only restaurant with a Sol Repsol on the island of El Hierro: inspired by its indigenous past</t>
  </si>
  <si>
    <t>Chef Marcos Tavío leads this gastronomic proposal that seeks to tell the history of the Canary Islanders.</t>
  </si>
  <si>
    <r>
      <rPr>
        <rFont val="Arial, sans-serif"/>
        <color rgb="FF1155CC"/>
        <sz val="9.0"/>
        <u/>
      </rPr>
      <t>Heraldo-Diario de Soria</t>
    </r>
    <r>
      <rPr>
        <rFont val="Arial, sans-serif"/>
        <color rgb="FF1155CC"/>
        <sz val="15.0"/>
        <u/>
      </rPr>
      <t>Los Soles Repsol iluminan un año más a cuatro restaurantes de Soria</t>
    </r>
    <r>
      <rPr>
        <rFont val="Arial, sans-serif"/>
        <color rgb="FF1155CC"/>
        <sz val="11.0"/>
        <u/>
      </rPr>
      <t>La Guía Repsol ya ha dado a conocer los Soles Repsol 2024, distinciones que iluminan a restaurantes destacados. En el caso de Soria, la provincia retiene...</t>
    </r>
    <r>
      <rPr>
        <rFont val="Arial, sans-serif"/>
        <color rgb="FF1155CC"/>
        <sz val="12.0"/>
        <u/>
      </rPr>
      <t>.</t>
    </r>
    <r>
      <rPr>
        <rFont val="Arial, sans-serif"/>
        <color rgb="FF1155CC"/>
        <sz val="11.0"/>
        <u/>
      </rPr>
      <t>6 mar 2024</t>
    </r>
  </si>
  <si>
    <t>Heraldo-Diario de Soria</t>
  </si>
  <si>
    <t>Los Soles Repsol iluminan un año más a cuatro restaurantes de Soria</t>
  </si>
  <si>
    <t>La Guía Repsol ya ha dado a conocer los Soles Repsol 2024, distinciones que iluminan a restaurantes destacados. En el caso de Soria, la provincia retiene....</t>
  </si>
  <si>
    <t>The Repsol Suns illuminate four restaurants in Soria for another year</t>
  </si>
  <si>
    <t>The Repsol Guide has already announced the Repsol Soles 2024, distinctions that illuminate outstanding restaurants. In the case of Soria, the province retains...</t>
  </si>
  <si>
    <r>
      <rPr>
        <rFont val="Arial, sans-serif"/>
        <color rgb="FF1155CC"/>
        <sz val="9.0"/>
        <u/>
      </rPr>
      <t>Todo Alicante</t>
    </r>
    <r>
      <rPr>
        <rFont val="Arial, sans-serif"/>
        <color rgb="FF1155CC"/>
        <sz val="15.0"/>
        <u/>
      </rPr>
      <t>Alicante se ilumina con tres nuevos Soles Repsol</t>
    </r>
    <r>
      <rPr>
        <rFont val="Arial, sans-serif"/>
        <color rgb="FF1155CC"/>
        <sz val="11.0"/>
        <u/>
      </rPr>
      <t>La Masía de Chencho (Elche), Orobianco (Calpe) y Cisoria (Villena) entran en la prestigiosa guía.</t>
    </r>
    <r>
      <rPr>
        <rFont val="Arial, sans-serif"/>
        <color rgb="FF1155CC"/>
        <sz val="12.0"/>
        <u/>
      </rPr>
      <t>.</t>
    </r>
    <r>
      <rPr>
        <rFont val="Arial, sans-serif"/>
        <color rgb="FF1155CC"/>
        <sz val="11.0"/>
        <u/>
      </rPr>
      <t>6 mar 2024</t>
    </r>
  </si>
  <si>
    <t>Todo Alicante</t>
  </si>
  <si>
    <t>Alicante se ilumina con tres nuevos Soles Repsol</t>
  </si>
  <si>
    <t>La Masía de Chencho (Elche), Orobianco (Calpe) y Cisoria (Villena) entran en la prestigiosa guía.</t>
  </si>
  <si>
    <t>Alicante lights up with three new Repsol Suns</t>
  </si>
  <si>
    <t>La Masía de Chencho (Elche), Orobianco (Calpe) and Cisoria (Villena) are included in the prestigious guide.</t>
  </si>
  <si>
    <r>
      <rPr>
        <rFont val="Arial, sans-serif"/>
        <color rgb="FF1155CC"/>
        <sz val="9.0"/>
        <u/>
      </rPr>
      <t>Huelva Información</t>
    </r>
    <r>
      <rPr>
        <rFont val="Arial, sans-serif"/>
        <color rgb="FF1155CC"/>
        <sz val="15.0"/>
        <u/>
      </rPr>
      <t>El único restaurante de Huelva con un Sol de la Guía Repsol renueva su distinción en 2024</t>
    </r>
    <r>
      <rPr>
        <rFont val="Arial, sans-serif"/>
        <color rgb="FF1155CC"/>
        <sz val="11.0"/>
        <u/>
      </rPr>
      <t>Esta semana se han entregado una de las distinciones más prestigiosas de la gastronomía española: Los Soles de la Guía Repsol 2024. Y en Huelva, ha vuelto a...</t>
    </r>
    <r>
      <rPr>
        <rFont val="Arial, sans-serif"/>
        <color rgb="FF1155CC"/>
        <sz val="12.0"/>
        <u/>
      </rPr>
      <t>.</t>
    </r>
    <r>
      <rPr>
        <rFont val="Arial, sans-serif"/>
        <color rgb="FF1155CC"/>
        <sz val="11.0"/>
        <u/>
      </rPr>
      <t>6 mar 2024</t>
    </r>
  </si>
  <si>
    <t>El único restaurante de Huelva con un Sol de la Guía Repsol renueva su distinción en 2024</t>
  </si>
  <si>
    <t>Esta semana se han entregado una de las distinciones más prestigiosas de la gastronomía española: Los Soles de la Guía Repsol 2024. Y en Huelva, ha vuelto a....</t>
  </si>
  <si>
    <t>The only restaurant in Huelva with a Sun from the Repsol Guide renews its distinction in 2024</t>
  </si>
  <si>
    <t>This week one of the most prestigious distinctions in Spanish gastronomy was awarded: Los Soles de la Guía Repsol 2024. And in Huelva, it has returned to...</t>
  </si>
  <si>
    <r>
      <rPr>
        <rFont val="Arial, sans-serif"/>
        <color rgb="FF1155CC"/>
        <sz val="9.0"/>
        <u/>
      </rPr>
      <t>Delicious Valencia</t>
    </r>
    <r>
      <rPr>
        <rFont val="Arial, sans-serif"/>
        <color rgb="FF1155CC"/>
        <sz val="15.0"/>
        <u/>
      </rPr>
      <t>La Salita resplandece, nuevo restaurante Tres Soles Repsol 2024</t>
    </r>
    <r>
      <rPr>
        <rFont val="Arial, sans-serif"/>
        <color rgb="FF1155CC"/>
        <sz val="11.0"/>
        <u/>
      </rPr>
      <t>El de Begoña Rodrigo ha sido el único restaurante de España que ha entrado en la exclusiva lista de los Tres Soles de la Guía Repsol en la edición de 2024.</t>
    </r>
    <r>
      <rPr>
        <rFont val="Arial, sans-serif"/>
        <color rgb="FF1155CC"/>
        <sz val="12.0"/>
        <u/>
      </rPr>
      <t>.</t>
    </r>
    <r>
      <rPr>
        <rFont val="Arial, sans-serif"/>
        <color rgb="FF1155CC"/>
        <sz val="11.0"/>
        <u/>
      </rPr>
      <t>6 mar 2024</t>
    </r>
  </si>
  <si>
    <t>Delicious Valencia</t>
  </si>
  <si>
    <t>La Salita resplandece, nuevo restaurante Tres Soles Repsol 2024</t>
  </si>
  <si>
    <t>El de Begoña Rodrigo ha sido el único restaurante de España que ha entrado en la exclusiva lista de los Tres Soles de la Guía Repsol en la edición de 2024.</t>
  </si>
  <si>
    <t>La Salita shines, new restaurant Tres Soles Repsol 2024</t>
  </si>
  <si>
    <t>Begoña Rodrigo's has been the only restaurant in Spain that has entered the exclusive Three Suns list of the Repsol Guide in the 2024 edition.</t>
  </si>
  <si>
    <r>
      <rPr>
        <rFont val="Arial, sans-serif"/>
        <color rgb="FF1155CC"/>
        <sz val="9.0"/>
        <u/>
      </rPr>
      <t>Enjoy Zaragoza</t>
    </r>
    <r>
      <rPr>
        <rFont val="Arial, sans-serif"/>
        <color rgb="FF1155CC"/>
        <sz val="15.0"/>
        <u/>
      </rPr>
      <t>Estos son todos los restaurantes de Aragón con Soles en la Guía Repsol 2024</t>
    </r>
    <r>
      <rPr>
        <rFont val="Arial, sans-serif"/>
        <color rgb="FF1155CC"/>
        <sz val="11.0"/>
        <u/>
      </rPr>
      <t>Conoce aquí todos los restaurantes aragoneses que cuentan con, al menos, un sol en la Guía Repsol 2024, perfectos para tu próxima escapada.</t>
    </r>
    <r>
      <rPr>
        <rFont val="Arial, sans-serif"/>
        <color rgb="FF1155CC"/>
        <sz val="12.0"/>
        <u/>
      </rPr>
      <t>.</t>
    </r>
    <r>
      <rPr>
        <rFont val="Arial, sans-serif"/>
        <color rgb="FF1155CC"/>
        <sz val="11.0"/>
        <u/>
      </rPr>
      <t>6 mar 2024</t>
    </r>
  </si>
  <si>
    <t>Enjoy Zaragoza</t>
  </si>
  <si>
    <t>Estos son todos los restaurantes de Aragón con Soles en la Guía Repsol 2024</t>
  </si>
  <si>
    <t>Conoce aquí todos los restaurantes aragoneses que cuentan con, al menos, un sol en la Guía Repsol 2024, perfectos para tu próxima escapada.</t>
  </si>
  <si>
    <t>These are all the restaurants in Aragón with Soles in the Repsol Guide 2024</t>
  </si>
  <si>
    <t>Find out here all the Aragonese restaurants that have at least one sun in the Repsol Guide 2024, perfect for your next getaway.</t>
  </si>
  <si>
    <r>
      <rPr>
        <rFont val="Arial, sans-serif"/>
        <color rgb="FF1155CC"/>
        <sz val="9.0"/>
        <u/>
      </rPr>
      <t>Sur in English</t>
    </r>
    <r>
      <rPr>
        <rFont val="Arial, sans-serif"/>
        <color rgb="FF1155CC"/>
        <sz val="15.0"/>
        <u/>
      </rPr>
      <t>These are the Costa del Sol and Malaga province restaurants which have scooped sunny 'Sol' awards in the latest edition of a guide for foodies in Spain</t>
    </r>
    <r>
      <rPr>
        <rFont val="Arial, sans-serif"/>
        <color rgb="FF1155CC"/>
        <sz val="11.0"/>
        <u/>
      </rPr>
      <t>Palodú and Areia are the latest to be recognised by Guía Repsol among the 21 local restaurants listed in the prestigious national guide to gastronomy.</t>
    </r>
    <r>
      <rPr>
        <rFont val="Arial, sans-serif"/>
        <color rgb="FF1155CC"/>
        <sz val="12.0"/>
        <u/>
      </rPr>
      <t>.</t>
    </r>
    <r>
      <rPr>
        <rFont val="Arial, sans-serif"/>
        <color rgb="FF1155CC"/>
        <sz val="11.0"/>
        <u/>
      </rPr>
      <t>6 mar 2024</t>
    </r>
  </si>
  <si>
    <t>Costa del Sol and Malaga province restaurants scoop 'Sol' awards from Guía Repsol</t>
  </si>
  <si>
    <t>The Costa del Sol and Malaga province restaurants recognized by Guía Repsol in the latest edition include Palodú and Areia, among 21 local eateries in the prestigious national gastronomy guide.</t>
  </si>
  <si>
    <r>
      <rPr>
        <rFont val="Arial, sans-serif"/>
        <color rgb="FF1155CC"/>
        <sz val="9.0"/>
        <u/>
      </rPr>
      <t>DAZN</t>
    </r>
    <r>
      <rPr>
        <rFont val="Arial, sans-serif"/>
        <color rgb="FF1155CC"/>
        <sz val="15.0"/>
        <u/>
      </rPr>
      <t>¿Por qué se va Marc Márquez de Honda?</t>
    </r>
    <r>
      <rPr>
        <rFont val="Arial, sans-serif"/>
        <color rgb="FF1155CC"/>
        <sz val="11.0"/>
        <u/>
      </rPr>
      <t>Marc Márquez se marcha del Repsol Honda Team. En DAZN te contamos todos los detalles de su salida de la marca japonesa y su futuro en el Mundial de MotoGP.</t>
    </r>
    <r>
      <rPr>
        <rFont val="Arial, sans-serif"/>
        <color rgb="FF1155CC"/>
        <sz val="12.0"/>
        <u/>
      </rPr>
      <t>.</t>
    </r>
    <r>
      <rPr>
        <rFont val="Arial, sans-serif"/>
        <color rgb="FF1155CC"/>
        <sz val="11.0"/>
        <u/>
      </rPr>
      <t>6 mar 2024</t>
    </r>
  </si>
  <si>
    <t>¿Por qué se va Marc Márquez de Honda?</t>
  </si>
  <si>
    <t>Marc Márquez se marcha del Repsol Honda Team. En DAZN te contamos todos los detalles de su salida de la marca japonesa y su futuro en el Mundial de MotoGP.</t>
  </si>
  <si>
    <t>Why is Marc Márquez leaving Honda?</t>
  </si>
  <si>
    <t>Marc Márquez leaves the Repsol Honda Team. At DAZN we tell you all the details of his departure from the Japanese brand and his future in the MotoGP World Championship.</t>
  </si>
  <si>
    <r>
      <rPr>
        <rFont val="Arial, sans-serif"/>
        <color rgb="FF1155CC"/>
        <sz val="9.0"/>
        <u/>
      </rPr>
      <t>LaSexta</t>
    </r>
    <r>
      <rPr>
        <rFont val="Arial, sans-serif"/>
        <color rgb="FF1155CC"/>
        <sz val="15.0"/>
        <u/>
      </rPr>
      <t>Cuánto cuesta comer en La Salita, el restaurante de Begoña Rodrigo en Valencia con 3 Soles Repsol</t>
    </r>
    <r>
      <rPr>
        <rFont val="Arial, sans-serif"/>
        <color rgb="FF1155CC"/>
        <sz val="11.0"/>
        <u/>
      </rPr>
      <t>La Salita es el restaurante dirigido por Begoña Rodrigo en Valencia, la chef que ha conseguido 3 Soles Repsol en la gala de la Guía Repsol.</t>
    </r>
    <r>
      <rPr>
        <rFont val="Arial, sans-serif"/>
        <color rgb="FF1155CC"/>
        <sz val="12.0"/>
        <u/>
      </rPr>
      <t>.</t>
    </r>
    <r>
      <rPr>
        <rFont val="Arial, sans-serif"/>
        <color rgb="FF1155CC"/>
        <sz val="11.0"/>
        <u/>
      </rPr>
      <t>6 mar 2024</t>
    </r>
  </si>
  <si>
    <t>Cuánto cuesta comer en La Salita, el restaurante de Begoña Rodrigo en Valencia con 3 Soles Repsol</t>
  </si>
  <si>
    <t>La Salita es el restaurante dirigido por Begoña Rodrigo en Valencia, la chef que ha conseguido 3 Soles Repsol en la gala de la Guía Repsol.</t>
  </si>
  <si>
    <t>How much does it cost to eat at La Salita, Begoña Rodrigo's restaurant in Valencia with 3 Repsol Soles</t>
  </si>
  <si>
    <t>La Salita is the restaurant run by Begoña Rodrigo in Valencia, the chef who has won 3 Repsol Suns at the Repsol Guide gala.</t>
  </si>
  <si>
    <r>
      <rPr>
        <rFont val="Arial, sans-serif"/>
        <color rgb="FF1155CC"/>
        <sz val="9.0"/>
        <u/>
      </rPr>
      <t>Deia</t>
    </r>
    <r>
      <rPr>
        <rFont val="Arial, sans-serif"/>
        <color rgb="FF1155CC"/>
        <sz val="15.0"/>
        <u/>
      </rPr>
      <t>Tres Soles Repsol que dan luz a jóvenes proyectos gastronómicos en Bizkaia</t>
    </r>
    <r>
      <rPr>
        <rFont val="Arial, sans-serif"/>
        <color rgb="FF1155CC"/>
        <sz val="11.0"/>
        <u/>
      </rPr>
      <t>Bizkaia despertó este martes con tres nuevos Soles Repsol en su firmamento gastronómico, los que recibieron en la gala celebrada el lunes en Cartagena el...</t>
    </r>
    <r>
      <rPr>
        <rFont val="Arial, sans-serif"/>
        <color rgb="FF1155CC"/>
        <sz val="12.0"/>
        <u/>
      </rPr>
      <t>.</t>
    </r>
    <r>
      <rPr>
        <rFont val="Arial, sans-serif"/>
        <color rgb="FF1155CC"/>
        <sz val="11.0"/>
        <u/>
      </rPr>
      <t>6 mar 2024</t>
    </r>
  </si>
  <si>
    <t>Tres Soles Repsol que dan luz a jóvenes proyectos gastronómicos en Bizkaia</t>
  </si>
  <si>
    <t>Bizkaia despertó este martes con tres nuevos Soles Repsol en su firmamento gastronómico, los que recibieron en la gala celebrada el lunes en Cartagena el....</t>
  </si>
  <si>
    <t>Three Repsol Suns that give birth to young gastronomic projects in Bizkaia</t>
  </si>
  <si>
    <t>Bizkaia woke up this Tuesday with three new Repsol Suns in its gastronomic firmament, which they received at the gala held on Monday in Cartagena on...</t>
  </si>
  <si>
    <r>
      <rPr>
        <rFont val="Arial, sans-serif"/>
        <color rgb="FF1155CC"/>
        <sz val="9.0"/>
        <u/>
      </rPr>
      <t>El Periódico Extremadura</t>
    </r>
    <r>
      <rPr>
        <rFont val="Arial, sans-serif"/>
        <color rgb="FF1155CC"/>
        <sz val="15.0"/>
        <u/>
      </rPr>
      <t>Estas son las dos recomendaciones que suma Mérida en la prestigiosa Guía Repsol</t>
    </r>
    <r>
      <rPr>
        <rFont val="Arial, sans-serif"/>
        <color rgb="FF1155CC"/>
        <sz val="11.0"/>
        <u/>
      </rPr>
      <t>La gastronomía emeritense vuelve a estar de enhorabuena. La guía Repsol ha hablado y ha dado a conocer cuáles son los mejores restaurantes de este 2024.</t>
    </r>
    <r>
      <rPr>
        <rFont val="Arial, sans-serif"/>
        <color rgb="FF1155CC"/>
        <sz val="12.0"/>
        <u/>
      </rPr>
      <t>.</t>
    </r>
    <r>
      <rPr>
        <rFont val="Arial, sans-serif"/>
        <color rgb="FF1155CC"/>
        <sz val="11.0"/>
        <u/>
      </rPr>
      <t>6 mar 2024</t>
    </r>
  </si>
  <si>
    <t>Estas son las dos recomendaciones que suma Mérida en la prestigiosa Guía Repsol</t>
  </si>
  <si>
    <t>La gastronomía emeritense vuelve a estar de enhorabuena. La guía Repsol ha hablado y ha dado a conocer cuáles son los mejores restaurantes de este 2024.</t>
  </si>
  <si>
    <t>These are the two recommendations that Mérida adds in the prestigious Repsol Guide</t>
  </si>
  <si>
    <t>Emeritus gastronomy is once again in luck. The Repsol guide has spoken and announced which are the best restaurants in 2024.</t>
  </si>
  <si>
    <r>
      <rPr>
        <rFont val="Arial, sans-serif"/>
        <color rgb="FF1155CC"/>
        <sz val="9.0"/>
        <u/>
      </rPr>
      <t>Guía Repsol</t>
    </r>
    <r>
      <rPr>
        <rFont val="Arial, sans-serif"/>
        <color rgb="FF1155CC"/>
        <sz val="15.0"/>
        <u/>
      </rPr>
      <t>'Corral de la Morería', 'Omeraki' y 'A Barra': los Soles Guía Repsol que aparecen en Reina Roja</t>
    </r>
    <r>
      <rPr>
        <rFont val="Arial, sans-serif"/>
        <color rgb="FF1155CC"/>
        <sz val="11.0"/>
        <u/>
      </rPr>
      <t>'El Corral de la Morería', 'Omeraki' y 'A Barra' se convierten en tres de los escenarios gastronómicos que aparecen en Reina Roja, la serie protagonizada...</t>
    </r>
    <r>
      <rPr>
        <rFont val="Arial, sans-serif"/>
        <color rgb="FF1155CC"/>
        <sz val="12.0"/>
        <u/>
      </rPr>
      <t>.</t>
    </r>
    <r>
      <rPr>
        <rFont val="Arial, sans-serif"/>
        <color rgb="FF1155CC"/>
        <sz val="11.0"/>
        <u/>
      </rPr>
      <t>6 mar 2024</t>
    </r>
  </si>
  <si>
    <t>'Omeraki' y 'A Barra': los Soles Guía Repsol que aparecen en Reina Roja</t>
  </si>
  <si>
    <t>'El Corral de la Morería', 'Omeraki' y 'A Barra' se convierten en tres de los escenarios gastronómicos que aparecen en Reina Roja, la serie protagonizada....</t>
  </si>
  <si>
    <t>'Omeraki' and 'A Barra': the Repsol Guide Suns that appear in Reina Roja</t>
  </si>
  <si>
    <t>'El Corral de la Morería', 'Omeraki' and 'A Barra' become three of the gastronomic settings that appear in Reina Roja, the series starring...</t>
  </si>
  <si>
    <r>
      <rPr>
        <rFont val="Arial, sans-serif"/>
        <color rgb="FF1155CC"/>
        <sz val="9.0"/>
        <u/>
      </rPr>
      <t>Canarias7</t>
    </r>
    <r>
      <rPr>
        <rFont val="Arial, sans-serif"/>
        <color rgb="FF1155CC"/>
        <sz val="15.0"/>
        <u/>
      </rPr>
      <t>Santi Benéitez, tras ganar un sol Repsol: «Lanzarote me inspira mucho, me lo ha dado todo»</t>
    </r>
    <r>
      <rPr>
        <rFont val="Arial, sans-serif"/>
        <color rgb="FF1155CC"/>
        <sz val="11.0"/>
        <u/>
      </rPr>
      <t>El restaurante SeBE fue uno de los triunfadores de la gala celebrada en Murcia, consolidando la propuesta de un cocinero que homenajea a la isla en cada...</t>
    </r>
    <r>
      <rPr>
        <rFont val="Arial, sans-serif"/>
        <color rgb="FF1155CC"/>
        <sz val="12.0"/>
        <u/>
      </rPr>
      <t>.</t>
    </r>
    <r>
      <rPr>
        <rFont val="Arial, sans-serif"/>
        <color rgb="FF1155CC"/>
        <sz val="11.0"/>
        <u/>
      </rPr>
      <t>6 mar 2024</t>
    </r>
  </si>
  <si>
    <t>Santi Benéitez, tras ganar un sol Repsol: «Lanzarote me inspira mucho, me lo ha dado todo»</t>
  </si>
  <si>
    <t>El restaurante SeBE fue uno de los triunfadores de la gala celebrada en Murcia, consolidando la propuesta de un cocinero que homenajea a la isla en cada....</t>
  </si>
  <si>
    <t>Santi Benéitez, after winning a Repsol sol: "Lanzarote inspires me a lot, it has given me everything"</t>
  </si>
  <si>
    <t>The SeBE restaurant was one of the winners of the gala held in Murcia, consolidating the proposal of a chef who pays tribute to the island in each...</t>
  </si>
  <si>
    <r>
      <rPr>
        <rFont val="Arial, sans-serif"/>
        <color rgb="FF1155CC"/>
        <sz val="9.0"/>
        <u/>
      </rPr>
      <t>El Correo</t>
    </r>
    <r>
      <rPr>
        <rFont val="Arial, sans-serif"/>
        <color rgb="FF1155CC"/>
        <sz val="15.0"/>
        <u/>
      </rPr>
      <t>Cuánto cuesta y qué se come en los nuevos restaurantes vizcaínos premiados por la guía Repsol</t>
    </r>
    <r>
      <rPr>
        <rFont val="Arial, sans-serif"/>
        <color rgb="FF1155CC"/>
        <sz val="11.0"/>
        <u/>
      </rPr>
      <t>Descubre los menús y el tipo de platos que se preparan en los tres locales vizcaínos que acaban de recibir su primer sol en la Guía Azul.</t>
    </r>
    <r>
      <rPr>
        <rFont val="Arial, sans-serif"/>
        <color rgb="FF1155CC"/>
        <sz val="12.0"/>
        <u/>
      </rPr>
      <t>.</t>
    </r>
    <r>
      <rPr>
        <rFont val="Arial, sans-serif"/>
        <color rgb="FF1155CC"/>
        <sz val="11.0"/>
        <u/>
      </rPr>
      <t>6 mar 2024</t>
    </r>
  </si>
  <si>
    <t>¿Cuánto cuesta y qué se come en los nuevos restaurantes vizcaínos premiados por la guía Repsol?</t>
  </si>
  <si>
    <t>Descubre los menús y el tipo de platos que se preparan en los tres locales vizcaínos que acaban de recibir su primer sol en la Guía Azul.</t>
  </si>
  <si>
    <t>How much does it cost and what do you eat in the new Biscayan restaurants awarded by the Repsol guide?</t>
  </si>
  <si>
    <t>Discover the menus and the type of dishes that are prepared in the three Biscayan establishments that have just received their first sun in the Blue Guide.</t>
  </si>
  <si>
    <r>
      <rPr>
        <rFont val="Arial, sans-serif"/>
        <color rgb="FF1155CC"/>
        <sz val="9.0"/>
        <u/>
      </rPr>
      <t>El Español</t>
    </r>
    <r>
      <rPr>
        <rFont val="Arial, sans-serif"/>
        <color rgb="FF1155CC"/>
        <sz val="15.0"/>
        <u/>
      </rPr>
      <t>Estos son los cinco restaurantes recomendados por la Guía Repsol en Ourense</t>
    </r>
    <r>
      <rPr>
        <rFont val="Arial, sans-serif"/>
        <color rgb="FF1155CC"/>
        <sz val="11.0"/>
        <u/>
      </rPr>
      <t>La oferta gastronómica en la ciudad de As Burgas es completa y variada: Es posible degustar desde un "brunch" a un cocido tradicional gallego, pasando por...</t>
    </r>
    <r>
      <rPr>
        <rFont val="Arial, sans-serif"/>
        <color rgb="FF1155CC"/>
        <sz val="12.0"/>
        <u/>
      </rPr>
      <t>.</t>
    </r>
    <r>
      <rPr>
        <rFont val="Arial, sans-serif"/>
        <color rgb="FF1155CC"/>
        <sz val="11.0"/>
        <u/>
      </rPr>
      <t>6 mar 2024</t>
    </r>
  </si>
  <si>
    <t>Estos son los cinco restaurantes recomendados por la Guía Repsol en Ourense</t>
  </si>
  <si>
    <t>La oferta gastronómica en la ciudad de As Burgas es completa y variada: Es posible degustar desde un "brunch" a un cocido tradicional gallego, pasando por....</t>
  </si>
  <si>
    <t>These are the five restaurants recommended by the Repsol Guide in Ourense</t>
  </si>
  <si>
    <t>The gastronomic offer in the city of As Burgas is complete and varied: It is possible to taste everything from a "brunch" to a traditional Galician stew, including...</t>
  </si>
  <si>
    <r>
      <rPr>
        <rFont val="Arial, sans-serif"/>
        <color rgb="FF1155CC"/>
        <sz val="9.0"/>
        <u/>
      </rPr>
      <t>El Español</t>
    </r>
    <r>
      <rPr>
        <rFont val="Arial, sans-serif"/>
        <color rgb="FF1155CC"/>
        <sz val="15.0"/>
        <u/>
      </rPr>
      <t>El restaurante de Alberto Chicote y su mujer que acaba de ganar un Sol Repsol en Madrid</t>
    </r>
    <r>
      <rPr>
        <rFont val="Arial, sans-serif"/>
        <color rgb="FF1155CC"/>
        <sz val="11.0"/>
        <u/>
      </rPr>
      <t>En Omeraki, donde todos los menús son un misterio, uno de los momentos que más valoran los clientes es charlar con el famoso chef al finalizar.</t>
    </r>
    <r>
      <rPr>
        <rFont val="Arial, sans-serif"/>
        <color rgb="FF1155CC"/>
        <sz val="12.0"/>
        <u/>
      </rPr>
      <t>.</t>
    </r>
    <r>
      <rPr>
        <rFont val="Arial, sans-serif"/>
        <color rgb="FF1155CC"/>
        <sz val="11.0"/>
        <u/>
      </rPr>
      <t>6 mar 2024</t>
    </r>
  </si>
  <si>
    <t>El restaurante de Alberto Chicote y su mujer que acaba de ganar un Sol Repsol en Madrid</t>
  </si>
  <si>
    <t>En Omeraki, donde todos los menús son un misterio, uno de los momentos que más valoran los clientes es charlar con el famoso chef al finalizar.</t>
  </si>
  <si>
    <t>The restaurant owned by Alberto Chicote and his wife that has just won a Sol Repsol in Madrid</t>
  </si>
  <si>
    <t>At Omeraki, where all the menus are a mystery, one of the moments that customers value most is chatting with the famous chef at the end.</t>
  </si>
  <si>
    <r>
      <rPr>
        <rFont val="Arial, sans-serif"/>
        <color rgb="FF1155CC"/>
        <sz val="9.0"/>
        <u/>
      </rPr>
      <t>El Español</t>
    </r>
    <r>
      <rPr>
        <rFont val="Arial, sans-serif"/>
        <color rgb="FF1155CC"/>
        <sz val="15.0"/>
        <u/>
      </rPr>
      <t>O Camiño do Inglés y A Gabeira, en Ferrol, revalidan los Soles otorgados por la Guía Repsol</t>
    </r>
    <r>
      <rPr>
        <rFont val="Arial, sans-serif"/>
        <color rgb="FF1155CC"/>
        <sz val="11.0"/>
        <u/>
      </rPr>
      <t>En total han sido 40 restaurantes gallegos los reconocidos con uno o más Soles.</t>
    </r>
    <r>
      <rPr>
        <rFont val="Arial, sans-serif"/>
        <color rgb="FF1155CC"/>
        <sz val="12.0"/>
        <u/>
      </rPr>
      <t>.</t>
    </r>
    <r>
      <rPr>
        <rFont val="Arial, sans-serif"/>
        <color rgb="FF1155CC"/>
        <sz val="11.0"/>
        <u/>
      </rPr>
      <t>6 mar 2024</t>
    </r>
  </si>
  <si>
    <t>O Camiño do Inglés y A Gabeira, en Ferrol, revalidan los Soles otorgados por la Guía Repsol</t>
  </si>
  <si>
    <t>En total han sido 40 restaurantes gallegos los reconocidos con uno o más Soles.</t>
  </si>
  <si>
    <t>O Camiño do Inglés and A Gabeira, in Ferrol, revalidate the Suns awarded by the Repsol Guide</t>
  </si>
  <si>
    <t>In total there have been 40 Galician restaurants recognized with one or more Soles.</t>
  </si>
  <si>
    <r>
      <rPr>
        <rFont val="Arial, sans-serif"/>
        <color rgb="FF1155CC"/>
        <sz val="9.0"/>
        <u/>
      </rPr>
      <t>El Español</t>
    </r>
    <r>
      <rPr>
        <rFont val="Arial, sans-serif"/>
        <color rgb="FF1155CC"/>
        <sz val="15.0"/>
        <u/>
      </rPr>
      <t>Este restaurante asturiano con Sol Repsol 2024 tiene el arroz meloso con sidra y foie más delicioso</t>
    </r>
    <r>
      <rPr>
        <rFont val="Arial, sans-serif"/>
        <color rgb="FF1155CC"/>
        <sz val="11.0"/>
        <u/>
      </rPr>
      <t>La gastronomía en Asturias vuelve a brillar con dos nuevos Soles Repsol este 2024 y uno de ellos nos lleva directos a Ribadesella y a uno de los arroces...</t>
    </r>
    <r>
      <rPr>
        <rFont val="Arial, sans-serif"/>
        <color rgb="FF1155CC"/>
        <sz val="12.0"/>
        <u/>
      </rPr>
      <t>.</t>
    </r>
    <r>
      <rPr>
        <rFont val="Arial, sans-serif"/>
        <color rgb="FF1155CC"/>
        <sz val="11.0"/>
        <u/>
      </rPr>
      <t>6 mar 2024</t>
    </r>
  </si>
  <si>
    <t>Este restaurante asturiano con Sol Repsol 2024 tiene el arroz meloso con sidra y foie más delicioso</t>
  </si>
  <si>
    <t>La gastronomía en Asturias vuelve a brillar con dos nuevos Soles Repsol este 2024 y uno de ellos nos lleva directos a Ribadesella y a uno de los arroces....</t>
  </si>
  <si>
    <t>This Asturian restaurant with Sol Repsol 2024 has the most delicious sticky rice with cider and foie</t>
  </si>
  <si>
    <t>Gastronomy in Asturias shines again with two new Repsol Soles this 2024 and one of them takes us directly to Ribadesella and one of the rice dishes....</t>
  </si>
  <si>
    <r>
      <rPr>
        <rFont val="Arial, sans-serif"/>
        <color rgb="FF1155CC"/>
        <sz val="9.0"/>
        <u/>
      </rPr>
      <t>La Voz de Galicia</t>
    </r>
    <r>
      <rPr>
        <rFont val="Arial, sans-serif"/>
        <color rgb="FF1155CC"/>
        <sz val="15.0"/>
        <u/>
      </rPr>
      <t>Los soles Repsol brillan en San Andrés</t>
    </r>
    <r>
      <rPr>
        <rFont val="Arial, sans-serif"/>
        <color rgb="FF1155CC"/>
        <sz val="11.0"/>
        <u/>
      </rPr>
      <t>Sergio Musso y Paco Chicón, del restaurante Eclectic, y Ana Señarís y Quique Vázquez, del Terreo, comparten calle y mención en la famosa guía gastronómica.</t>
    </r>
    <r>
      <rPr>
        <rFont val="Arial, sans-serif"/>
        <color rgb="FF1155CC"/>
        <sz val="12.0"/>
        <u/>
      </rPr>
      <t>.</t>
    </r>
    <r>
      <rPr>
        <rFont val="Arial, sans-serif"/>
        <color rgb="FF1155CC"/>
        <sz val="11.0"/>
        <u/>
      </rPr>
      <t>6 mar 2024</t>
    </r>
  </si>
  <si>
    <t>Los soles Repsol brillan en San Andrés</t>
  </si>
  <si>
    <t>Sergio Musso y Paco Chicón, del restaurante Eclectic, y Ana Señarís y Quique Vázquez, del Terreo, comparten calle y mención en la famosa guía gastronómica.</t>
  </si>
  <si>
    <t>The Repsol suns shine in San Andrés</t>
  </si>
  <si>
    <t>Sergio Musso and Paco Chicón, from the Eclectic restaurant, and Ana Señarís and Quique Vázquez, from Terreo, share a street and a mention in the famous gastronomic guide.</t>
  </si>
  <si>
    <r>
      <rPr>
        <rFont val="Arial, sans-serif"/>
        <color rgb="FF1155CC"/>
        <sz val="9.0"/>
        <u/>
      </rPr>
      <t>Leonoticias</t>
    </r>
    <r>
      <rPr>
        <rFont val="Arial, sans-serif"/>
        <color rgb="FF1155CC"/>
        <sz val="15.0"/>
        <u/>
      </rPr>
      <t>José Gordón y cómo «poner León en valor» a través de la carne de buey</t>
    </r>
    <r>
      <rPr>
        <rFont val="Arial, sans-serif"/>
        <color rgb="FF1155CC"/>
        <sz val="11.0"/>
        <u/>
      </rPr>
      <t>El restaurante El Capricho de Jiménez de Jamuz ha recibido su segundo sol de la Guía Repsol, algo que tan solo atesoraban hasta la fecha los estrella...</t>
    </r>
    <r>
      <rPr>
        <rFont val="Arial, sans-serif"/>
        <color rgb="FF1155CC"/>
        <sz val="12.0"/>
        <u/>
      </rPr>
      <t>.</t>
    </r>
    <r>
      <rPr>
        <rFont val="Arial, sans-serif"/>
        <color rgb="FF1155CC"/>
        <sz val="11.0"/>
        <u/>
      </rPr>
      <t>6 mar 2024</t>
    </r>
  </si>
  <si>
    <t>José Gordón y cómo «poner León en valor» a través de la carne de buey</t>
  </si>
  <si>
    <t>El restaurante El Capricho de Jiménez de Jamuz ha recibido su segundo sol de la Guía Repsol, algo que tan solo atesoraban hasta la fecha los estrella.</t>
  </si>
  <si>
    <t>José Gordón and how to “put León in value” through beef</t>
  </si>
  <si>
    <t>The restaurant El Capricho de Jiménez de Jamuz has received its second sun from the Repsol Guide, something that only the stars had to date.</t>
  </si>
  <si>
    <r>
      <rPr>
        <rFont val="Arial, sans-serif"/>
        <color rgb="FF1155CC"/>
        <sz val="9.0"/>
        <u/>
      </rPr>
      <t>Ideal</t>
    </r>
    <r>
      <rPr>
        <rFont val="Arial, sans-serif"/>
        <color rgb="FF1155CC"/>
        <sz val="15.0"/>
        <u/>
      </rPr>
      <t>Los dos nuevos restaurantes recomendados por la Guía Repsol en Almería</t>
    </r>
    <r>
      <rPr>
        <rFont val="Arial, sans-serif"/>
        <color rgb="FF1155CC"/>
        <sz val="11.0"/>
        <u/>
      </rPr>
      <t>Cada año, más allá de los Soles que otorga la Guía Repsol a la 'crème de la crème' de la gastronomía nacional, esta también resalta en su categoría de...</t>
    </r>
    <r>
      <rPr>
        <rFont val="Arial, sans-serif"/>
        <color rgb="FF1155CC"/>
        <sz val="12.0"/>
        <u/>
      </rPr>
      <t>.</t>
    </r>
    <r>
      <rPr>
        <rFont val="Arial, sans-serif"/>
        <color rgb="FF1155CC"/>
        <sz val="11.0"/>
        <u/>
      </rPr>
      <t>6 mar 2024</t>
    </r>
  </si>
  <si>
    <t>Los dos nuevos restaurantes recomendados por la Guía Repsol en Almería</t>
  </si>
  <si>
    <t>Cada año, más allá de los Soles que otorga la Guía Repsol a la 'crème de la crème' de la gastronomía nacional, esta también resalta en su categoría de....</t>
  </si>
  <si>
    <t>The two new restaurants recommended by the Repsol Guide in Almería</t>
  </si>
  <si>
    <t>Every year, beyond the Suns that the Repsol Guide awards to the 'crème de la crème' of national gastronomy, this one also stands out in its category of...</t>
  </si>
  <si>
    <r>
      <rPr>
        <rFont val="Arial, sans-serif"/>
        <color rgb="FF1155CC"/>
        <sz val="9.0"/>
        <u/>
      </rPr>
      <t>ZIGZAG Digital</t>
    </r>
    <r>
      <rPr>
        <rFont val="Arial, sans-serif"/>
        <color rgb="FF1155CC"/>
        <sz val="15.0"/>
        <u/>
      </rPr>
      <t>El restaurante Chirón de Valdemoro seguirá luciendo los dos soles Repsol en su fachada</t>
    </r>
    <r>
      <rPr>
        <rFont val="Arial, sans-serif"/>
        <color rgb="FF1155CC"/>
        <sz val="11.0"/>
        <u/>
      </rPr>
      <t>El local regentado por los hermanos Iván y Raúl Muñoz forma parte, un año más, de la prestigiosa guía gastronómica.</t>
    </r>
    <r>
      <rPr>
        <rFont val="Arial, sans-serif"/>
        <color rgb="FF1155CC"/>
        <sz val="12.0"/>
        <u/>
      </rPr>
      <t>.</t>
    </r>
    <r>
      <rPr>
        <rFont val="Arial, sans-serif"/>
        <color rgb="FF1155CC"/>
        <sz val="11.0"/>
        <u/>
      </rPr>
      <t>6 mar 2024</t>
    </r>
  </si>
  <si>
    <t>ZIGZAG Digital</t>
  </si>
  <si>
    <t>El restaurante Chirón de Valdemoro seguirá luciendo los dos soles Repsol en su fachada</t>
  </si>
  <si>
    <t>El local regentado por los hermanos Iván y Raúl Muñoz forma parte, un año más, de la prestigiosa guía gastronómica.</t>
  </si>
  <si>
    <t>The Chirón de Valdemoro restaurant will continue to display the two Repsol suns on its façade</t>
  </si>
  <si>
    <t>The establishment run by brothers Iván and Raúl Muñoz is, once again, part of the prestigious gastronomic guide.</t>
  </si>
  <si>
    <r>
      <rPr>
        <rFont val="Arial, sans-serif"/>
        <color rgb="FF1155CC"/>
        <sz val="9.0"/>
        <u/>
      </rPr>
      <t>Infobae</t>
    </r>
    <r>
      <rPr>
        <rFont val="Arial, sans-serif"/>
        <color rgb="FF1155CC"/>
        <sz val="15.0"/>
        <u/>
      </rPr>
      <t>El restaurante de un pequeño pueblo leonés que recibe su segundo Sol Repsol: carne de buey de razas ancestrales criadas en su finca</t>
    </r>
    <r>
      <rPr>
        <rFont val="Arial, sans-serif"/>
        <color rgb="FF1155CC"/>
        <sz val="11.0"/>
        <u/>
      </rPr>
      <t>Ubicado en el pueblo leonés de Jiménez de Jamuz, esta bodega es considerada uno de los asadores más importantes del mundo.</t>
    </r>
    <r>
      <rPr>
        <rFont val="Arial, sans-serif"/>
        <color rgb="FF1155CC"/>
        <sz val="12.0"/>
        <u/>
      </rPr>
      <t>.</t>
    </r>
    <r>
      <rPr>
        <rFont val="Arial, sans-serif"/>
        <color rgb="FF1155CC"/>
        <sz val="11.0"/>
        <u/>
      </rPr>
      <t>6 mar 2024</t>
    </r>
  </si>
  <si>
    <t>El restaurante de un pequeño pueblo leonés que recibe su segundo Sol Repsol: carne de buey de razas ancestrales criadas en su finca.</t>
  </si>
  <si>
    <t>Ubicado en el pueblo leonés de Jiménez de Jamuz, esta bodega es considerada uno de los asadores más importantes del mundo.</t>
  </si>
  <si>
    <t>The restaurant in a small town in León that receives its second Sol Repsol: beef from ancestral breeds raised on its farm.</t>
  </si>
  <si>
    <t>Located in the Leonese town of Jiménez de Jamuz, this winery is considered one of the most important steakhouses in the world.</t>
  </si>
  <si>
    <r>
      <rPr>
        <rFont val="Arial, sans-serif"/>
        <color rgb="FF1155CC"/>
        <sz val="9.0"/>
        <u/>
      </rPr>
      <t>DAZN</t>
    </r>
    <r>
      <rPr>
        <rFont val="Arial, sans-serif"/>
        <color rgb="FF1155CC"/>
        <sz val="15.0"/>
        <u/>
      </rPr>
      <t>¿Quién es el compañero de equipo de Marc Márquez?</t>
    </r>
    <r>
      <rPr>
        <rFont val="Arial, sans-serif"/>
        <color rgb="FF1155CC"/>
        <sz val="11.0"/>
        <u/>
      </rPr>
      <t>Marc Márquez se marcha del Repsol Honda. En DAZN te contamos quién le sustituirá en el equipo japonés.</t>
    </r>
    <r>
      <rPr>
        <rFont val="Arial, sans-serif"/>
        <color rgb="FF1155CC"/>
        <sz val="12.0"/>
        <u/>
      </rPr>
      <t>.</t>
    </r>
    <r>
      <rPr>
        <rFont val="Arial, sans-serif"/>
        <color rgb="FF1155CC"/>
        <sz val="11.0"/>
        <u/>
      </rPr>
      <t>6 mar 2024</t>
    </r>
  </si>
  <si>
    <t>¿Quién es el compañero de equipo de Marc Márquez?</t>
  </si>
  <si>
    <t>Marc Márquez se marcha del Repsol Honda. En DAZN te contamos quién le sustituirá en el equipo japonés.</t>
  </si>
  <si>
    <t>Who is Marc Márquez's teammate?</t>
  </si>
  <si>
    <t>Marc Márquez leaves Repsol Honda. At DAZN we tell you who will replace him on the Japanese team.</t>
  </si>
  <si>
    <r>
      <rPr>
        <rFont val="Arial, sans-serif"/>
        <color rgb="FF1155CC"/>
        <sz val="9.0"/>
        <u/>
      </rPr>
      <t>DAZN</t>
    </r>
    <r>
      <rPr>
        <rFont val="Arial, sans-serif"/>
        <color rgb="FF1155CC"/>
        <sz val="15.0"/>
        <u/>
      </rPr>
      <t>¿Cuándo debutará Marc Márquez con su Ducati en Gresini Racing?</t>
    </r>
    <r>
      <rPr>
        <rFont val="Arial, sans-serif"/>
        <color rgb="FF1155CC"/>
        <sz val="11.0"/>
        <u/>
      </rPr>
      <t>Marc Márquez se marcha del Repsol Honda rumbo a Gresini Racing. En DAZN te contamos todos los detalles del fichaje del octacampeón por el equipo italiano.</t>
    </r>
    <r>
      <rPr>
        <rFont val="Arial, sans-serif"/>
        <color rgb="FF1155CC"/>
        <sz val="12.0"/>
        <u/>
      </rPr>
      <t>.</t>
    </r>
    <r>
      <rPr>
        <rFont val="Arial, sans-serif"/>
        <color rgb="FF1155CC"/>
        <sz val="11.0"/>
        <u/>
      </rPr>
      <t>6 mar 2024</t>
    </r>
  </si>
  <si>
    <t>¿Cuándo debutará Marc Márquez con su Ducati en Gresini Racing?</t>
  </si>
  <si>
    <t>When will Marc Márquez debut with his Ducati in Gresini Racing?</t>
  </si>
  <si>
    <r>
      <rPr>
        <rFont val="Arial, sans-serif"/>
        <color rgb="FF1155CC"/>
        <sz val="9.0"/>
        <u/>
      </rPr>
      <t>El Español</t>
    </r>
    <r>
      <rPr>
        <rFont val="Arial, sans-serif"/>
        <color rgb="FF1155CC"/>
        <sz val="15.0"/>
        <u/>
      </rPr>
      <t>O Fragón en Fisterra (A Coruña): Un local familiar e innovador que conquistó a la Guía Repsol</t>
    </r>
    <r>
      <rPr>
        <rFont val="Arial, sans-serif"/>
        <color rgb="FF1155CC"/>
        <sz val="11.0"/>
        <u/>
      </rPr>
      <t>El matrimonio formado por Fran y Sefa Ínsua han hecho crecer su proyecto a lo largo de 20 años hasta convertirse en uno de los grandes referentes de la zona...</t>
    </r>
    <r>
      <rPr>
        <rFont val="Arial, sans-serif"/>
        <color rgb="FF1155CC"/>
        <sz val="12.0"/>
        <u/>
      </rPr>
      <t>.</t>
    </r>
    <r>
      <rPr>
        <rFont val="Arial, sans-serif"/>
        <color rgb="FF1155CC"/>
        <sz val="11.0"/>
        <u/>
      </rPr>
      <t>6 mar 2024</t>
    </r>
  </si>
  <si>
    <t>O Fragón en Fisterra (A Coruña): Un local familiar e innovador que conquistó a la Guía Repsol</t>
  </si>
  <si>
    <t>Un local familiar e innovador que conquistó a la Guía Repsol. El matrimonio formado por Fran y Sefa Ínsua han hecho crecer su proyecto a lo largo de 20 años hasta convertirse en uno de los grandes referentes de la zona.</t>
  </si>
  <si>
    <t>O Fragón in Fisterra (A Coruña): A familiar and innovative place that won over the Repsol Guide</t>
  </si>
  <si>
    <t>A familiar and innovative place that won over the Repsol Guide. The couple formed by Fran and Sefa Ínsua have grown their project over 20 years until it has become one of the great references in the area.</t>
  </si>
  <si>
    <r>
      <rPr>
        <rFont val="Arial, sans-serif"/>
        <color rgb="FF1155CC"/>
        <sz val="9.0"/>
        <u/>
      </rPr>
      <t>Aran Noticies</t>
    </r>
    <r>
      <rPr>
        <rFont val="Arial, sans-serif"/>
        <color rgb="FF1155CC"/>
        <sz val="15.0"/>
        <u/>
      </rPr>
      <t>El restaurante «Eth Bistro Gastro Espai» de Vielha reconocido con un Sol de la Guía Repsol</t>
    </r>
    <r>
      <rPr>
        <rFont val="Arial, sans-serif"/>
        <color rgb="FF1155CC"/>
        <sz val="11.0"/>
        <u/>
      </rPr>
      <t>El restaurante “Eth Bistro Gastro Espai» de Vielha acaba de obtener un Sol de la Guía Repsol, como merecido reconocimiento a su excelencia gastronómica.</t>
    </r>
    <r>
      <rPr>
        <rFont val="Arial, sans-serif"/>
        <color rgb="FF1155CC"/>
        <sz val="12.0"/>
        <u/>
      </rPr>
      <t>.</t>
    </r>
    <r>
      <rPr>
        <rFont val="Arial, sans-serif"/>
        <color rgb="FF1155CC"/>
        <sz val="11.0"/>
        <u/>
      </rPr>
      <t>6 mar 2024</t>
    </r>
  </si>
  <si>
    <t>Aran Noticies</t>
  </si>
  <si>
    <t>El restaurante «Eth Bistro Gastro Espai» de Vielha reconocido con un Sol de la Guía Repsol</t>
  </si>
  <si>
    <t>El restaurante “Eth Bistro Gastro Espai» de Vielha acaba de obtener un Sol de la Guía Repsol, como merecido reconocimiento a su excelencia gastronómica.</t>
  </si>
  <si>
    <t>The restaurant “Eth Bistro Gastro Espai” in Vielha recognized with a Sun from the Repsol Guide</t>
  </si>
  <si>
    <t>The restaurant “Eth Bistro Gastro Espai” in Vielha has just obtained a Sol from the Repsol Guide, as well-deserved recognition for its gastronomic excellence.</t>
  </si>
  <si>
    <r>
      <rPr>
        <rFont val="Arial, sans-serif"/>
        <color rgb="FF1155CC"/>
        <sz val="9.0"/>
        <u/>
      </rPr>
      <t>Zamora News</t>
    </r>
    <r>
      <rPr>
        <rFont val="Arial, sans-serif"/>
        <color rgb="FF1155CC"/>
        <sz val="15.0"/>
        <u/>
      </rPr>
      <t>Un sol llamado Cuzeo, tradición y vanguardia con productos de la tierra</t>
    </r>
    <r>
      <rPr>
        <rFont val="Arial, sans-serif"/>
        <color rgb="FF1155CC"/>
        <sz val="11.0"/>
        <u/>
      </rPr>
      <t>La Guía Repsol ha reconocido con su primer Sol la trayectoria de este restaurante que nació como taberna a finales de 2019 y que ha sabid...</t>
    </r>
    <r>
      <rPr>
        <rFont val="Arial, sans-serif"/>
        <color rgb="FF1155CC"/>
        <sz val="12.0"/>
        <u/>
      </rPr>
      <t>.</t>
    </r>
    <r>
      <rPr>
        <rFont val="Arial, sans-serif"/>
        <color rgb="FF1155CC"/>
        <sz val="11.0"/>
        <u/>
      </rPr>
      <t>6 mar 2024</t>
    </r>
  </si>
  <si>
    <t>Un sol llamado Cuzeo, tradición y vanguardia con productos de la tierra</t>
  </si>
  <si>
    <t>La Guía Repsol ha reconocido con su primer Sol la trayectoria de este restaurante que nació como taberna a finales de 2019 y que ha sabid....</t>
  </si>
  <si>
    <t>A sun called Cuzeo, tradition and avant-garde with local products</t>
  </si>
  <si>
    <t>The Repsol Guide has recognized with its first Sol the trajectory of this restaurant that was born as a tavern at the end of 2019 and has known...</t>
  </si>
  <si>
    <r>
      <rPr>
        <rFont val="Arial, sans-serif"/>
        <color rgb="FF1155CC"/>
        <sz val="9.0"/>
        <u/>
      </rPr>
      <t>DAZN</t>
    </r>
    <r>
      <rPr>
        <rFont val="Arial, sans-serif"/>
        <color rgb="FF1155CC"/>
        <sz val="15.0"/>
        <u/>
      </rPr>
      <t>¿Por qué se va Marc Márquez a Gresini Racing?</t>
    </r>
    <r>
      <rPr>
        <rFont val="Arial, sans-serif"/>
        <color rgb="FF1155CC"/>
        <sz val="11.0"/>
        <u/>
      </rPr>
      <t>En DAZN te contamos por qué Marc Márquez ha decidido abandonar el Repsol Honda en el Mundial de MotoGP y fichar por el Gresini Racing para la temporada 2024...</t>
    </r>
    <r>
      <rPr>
        <rFont val="Arial, sans-serif"/>
        <color rgb="FF1155CC"/>
        <sz val="12.0"/>
        <u/>
      </rPr>
      <t>.</t>
    </r>
    <r>
      <rPr>
        <rFont val="Arial, sans-serif"/>
        <color rgb="FF1155CC"/>
        <sz val="11.0"/>
        <u/>
      </rPr>
      <t>6 mar 2024</t>
    </r>
  </si>
  <si>
    <t>¿Por qué se va Marc Márquez a Gresini Racing?</t>
  </si>
  <si>
    <t>Marc Márquez ha decidido abandonar el Repsol Honda en el Mundial de MotoGP y fichar por el Gresini Racing para la temporada 2024.</t>
  </si>
  <si>
    <t>Why is Marc Márquez leaving for Gresini Racing?</t>
  </si>
  <si>
    <t>Marc Márquez has decided to leave Repsol Honda in the MotoGP World Championship and sign for Gresini Racing for the 2024 season.</t>
  </si>
  <si>
    <r>
      <rPr>
        <rFont val="Arial, sans-serif"/>
        <color rgb="FF1155CC"/>
        <sz val="9.0"/>
        <u/>
      </rPr>
      <t>La Voz de Galicia</t>
    </r>
    <r>
      <rPr>
        <rFont val="Arial, sans-serif"/>
        <color rgb="FF1155CC"/>
        <sz val="15.0"/>
        <u/>
      </rPr>
      <t>Silvia Facal y Sefa Insua: «É un premio para a Costa da Morte»</t>
    </r>
    <r>
      <rPr>
        <rFont val="Arial, sans-serif"/>
        <color rgb="FF1155CC"/>
        <sz val="11.0"/>
        <u/>
      </rPr>
      <t>Gentes del Finis Terrae | Los restaurantes Balarés y O Fragón han traído dos soles Repsol para la comarca.</t>
    </r>
    <r>
      <rPr>
        <rFont val="Arial, sans-serif"/>
        <color rgb="FF1155CC"/>
        <sz val="12.0"/>
        <u/>
      </rPr>
      <t>.</t>
    </r>
    <r>
      <rPr>
        <rFont val="Arial, sans-serif"/>
        <color rgb="FF1155CC"/>
        <sz val="11.0"/>
        <u/>
      </rPr>
      <t>6 mar 2024</t>
    </r>
  </si>
  <si>
    <t>Silvia Facal y Sefa Insua: «É un premio para a Costa da Morte»</t>
  </si>
  <si>
    <t>Gentes del Finis Terrae | Los restaurantes Balarés y O Fragón han traído dos soles Repsol para la comarca.</t>
  </si>
  <si>
    <t>Silvia Facal and Sefa Insua: “This is an award for Costa da Morte”</t>
  </si>
  <si>
    <t>People of Finis Terrae | The Balarés and O Fragón restaurants have brought two Repsol soles for the region.</t>
  </si>
  <si>
    <r>
      <rPr>
        <rFont val="Arial, sans-serif"/>
        <color rgb="FF1155CC"/>
        <sz val="9.0"/>
        <u/>
      </rPr>
      <t>Viajar</t>
    </r>
    <r>
      <rPr>
        <rFont val="Arial, sans-serif"/>
        <color rgb="FF1155CC"/>
        <sz val="15.0"/>
        <u/>
      </rPr>
      <t>El Camino de Santiago se hace y ahora también se come en este restaurante de Burgos que acaba de conseguir un Sol Repsol</t>
    </r>
    <r>
      <rPr>
        <rFont val="Arial, sans-serif"/>
        <color rgb="FF1155CC"/>
        <sz val="11.0"/>
        <u/>
      </rPr>
      <t>La Fábrica consiguió un Sol Repsol en 2023 y ahora, un año después, vuelve a brillar con un nuevo Sol para Ricardo Temiño Restaurante.</t>
    </r>
    <r>
      <rPr>
        <rFont val="Arial, sans-serif"/>
        <color rgb="FF1155CC"/>
        <sz val="12.0"/>
        <u/>
      </rPr>
      <t>.</t>
    </r>
    <r>
      <rPr>
        <rFont val="Arial, sans-serif"/>
        <color rgb="FF1155CC"/>
        <sz val="11.0"/>
        <u/>
      </rPr>
      <t>6 mar 2024</t>
    </r>
  </si>
  <si>
    <t>La Fábrica</t>
  </si>
  <si>
    <t>El Camino de Santiago se hace y ahora también se come en este restaurante de Burgos que acaba de conseguir un Sol Repsol</t>
  </si>
  <si>
    <t>La Fábrica consiguió un Sol Repsol en 2023 y ahora, un año después, vuelve a brillar con un nuevo Sol para Ricardo Temiño Restaurante.</t>
  </si>
  <si>
    <t>The Camino de Santiago is done and now it is also eaten in this restaurant in Burgos that has just won a Sol Repsol</t>
  </si>
  <si>
    <t>La Fábrica got a Sol Repsol in 2023 and now, a year later, it shines again with a new Sol for Ricardo Temiño Restaurante.</t>
  </si>
  <si>
    <r>
      <rPr>
        <rFont val="Arial, sans-serif"/>
        <color rgb="FF1155CC"/>
        <sz val="9.0"/>
        <u/>
      </rPr>
      <t>HOLA</t>
    </r>
    <r>
      <rPr>
        <rFont val="Arial, sans-serif"/>
        <color rgb="FF1155CC"/>
        <sz val="15.0"/>
        <u/>
      </rPr>
      <t>La mejor cocina del chef Andrés Madrigal regresa a Madrid</t>
    </r>
    <r>
      <rPr>
        <rFont val="Arial, sans-serif"/>
        <color rgb="FF1155CC"/>
        <sz val="11.0"/>
        <u/>
      </rPr>
      <t>Seguimos la pista de este inquieto madrileño desde sus tiempos en restaurantes como El Olivo, Alborada y Balzac. Nos ha gustado siempre su cocina y tras...</t>
    </r>
    <r>
      <rPr>
        <rFont val="Arial, sans-serif"/>
        <color rgb="FF1155CC"/>
        <sz val="12.0"/>
        <u/>
      </rPr>
      <t>.</t>
    </r>
    <r>
      <rPr>
        <rFont val="Arial, sans-serif"/>
        <color rgb="FF1155CC"/>
        <sz val="11.0"/>
        <u/>
      </rPr>
      <t>6 mar 2024</t>
    </r>
  </si>
  <si>
    <t>HOLO</t>
  </si>
  <si>
    <t>La mejor cocina del chef Andrés Madrigal regresa a Madrid</t>
  </si>
  <si>
    <t>Seguimos la pista de este inquieto madrileño desde sus tiempos en restaurantes como El Olivo, Alborada y Balzac. Nos ha gustado siempre su cocina y tras....</t>
  </si>
  <si>
    <t>The best cuisine of chef Andrés Madrigal returns to Madrid</t>
  </si>
  <si>
    <t>We follow the trail of this restless Madrid native from his time in restaurants such as El Olivo, Alborada and Balzac. We have always liked his cooking and after...</t>
  </si>
  <si>
    <r>
      <rPr>
        <rFont val="Arial, sans-serif"/>
        <color rgb="FF1155CC"/>
        <sz val="9.0"/>
        <u/>
      </rPr>
      <t>20Minutos</t>
    </r>
    <r>
      <rPr>
        <rFont val="Arial, sans-serif"/>
        <color rgb="FF1155CC"/>
        <sz val="15.0"/>
        <u/>
      </rPr>
      <t>Repsol se adjudica el contrato de Adif para instalar en seis meses 1.000 puntos de recarga de coche eléctrico en 80 estaciones de tren</t>
    </r>
    <r>
      <rPr>
        <rFont val="Arial, sans-serif"/>
        <color rgb="FF1155CC"/>
        <sz val="11.0"/>
        <u/>
      </rPr>
      <t>Por un importe de 18,3 millones y permitirá a los usuarios moverse de forma 'verde' tanto en coche como en tren.</t>
    </r>
    <r>
      <rPr>
        <rFont val="Arial, sans-serif"/>
        <color rgb="FF1155CC"/>
        <sz val="12.0"/>
        <u/>
      </rPr>
      <t>.</t>
    </r>
    <r>
      <rPr>
        <rFont val="Arial, sans-serif"/>
        <color rgb="FF1155CC"/>
        <sz val="11.0"/>
        <u/>
      </rPr>
      <t>7 mar 2024</t>
    </r>
  </si>
  <si>
    <t>Repsol se adjudica el contrato de Adif para instalar en seis meses 1.000 puntos de recarga de coche eléctrico en 80 estaciones de tren.</t>
  </si>
  <si>
    <t>Repsol se adjudica el contrato de Adif para instalar en seis meses 1.000 puntos de recarga de coche eléctrico en 80 estaciones de tren por un importe de 18,3 millones y permitirá a los usuarios moverse de forma 'verde' tanto en coche como en tren.</t>
  </si>
  <si>
    <t>Repsol is awarded the Adif contract to install 1,000 electric car charging points in 80 train stations in six months.</t>
  </si>
  <si>
    <t>Repsol is awarded the Adif contract to install 1,000 electric car charging points in 80 train stations in six months for an amount of 18.3 million and will allow users to move in a 'green' way both by car and by train.</t>
  </si>
  <si>
    <t>EV charging, Repsol infrastructure</t>
  </si>
  <si>
    <t>Recarga de vehículos eléctricos, Infraestructuras Repsol</t>
  </si>
  <si>
    <t>Expanding EV charging infrastructure aligns with Repsol’s clean energy transition.</t>
  </si>
  <si>
    <t>adjudica, puntos de recarga, verde</t>
  </si>
  <si>
    <r>
      <rPr>
        <rFont val="Arial, sans-serif"/>
        <color rgb="FF1155CC"/>
        <sz val="9.0"/>
        <u/>
      </rPr>
      <t>El Comercio</t>
    </r>
    <r>
      <rPr>
        <rFont val="Arial, sans-serif"/>
        <color rgb="FF1155CC"/>
        <sz val="15.0"/>
        <u/>
      </rPr>
      <t>Estos son todos los restaurantes asturianos que recomienda la Guía Repsol</t>
    </r>
    <r>
      <rPr>
        <rFont val="Arial, sans-serif"/>
        <color rgb="FF1155CC"/>
        <sz val="11.0"/>
        <u/>
      </rPr>
      <t>Asturias ha sumado este lunes dos restaurantes a su particular cielo de soles Repsol. La publicación celebró en Cartagena una gala, presentada por Silvia...</t>
    </r>
    <r>
      <rPr>
        <rFont val="Arial, sans-serif"/>
        <color rgb="FF1155CC"/>
        <sz val="12.0"/>
        <u/>
      </rPr>
      <t>.</t>
    </r>
    <r>
      <rPr>
        <rFont val="Arial, sans-serif"/>
        <color rgb="FF1155CC"/>
        <sz val="11.0"/>
        <u/>
      </rPr>
      <t>7 mar 2024</t>
    </r>
  </si>
  <si>
    <t>Estos son todos los restaurantes asturianos que recomienda la Guía Repsol</t>
  </si>
  <si>
    <t>Asturias ha sumado este lunes dos restaurantes a su particular cielo de soles Repsol. La publicación celebró en Cartagena una gala, presentada por Silvia....</t>
  </si>
  <si>
    <t>These are all the Asturian restaurants recommended by the Repsol Guide</t>
  </si>
  <si>
    <t>This Monday Asturias has added two restaurants to its particular heaven of Repsol suns. The publication held a gala in Cartagena, presented by Silvia....</t>
  </si>
  <si>
    <r>
      <rPr>
        <rFont val="Arial, sans-serif"/>
        <color rgb="FF1155CC"/>
        <sz val="9.0"/>
        <u/>
      </rPr>
      <t>Guía Repsol</t>
    </r>
    <r>
      <rPr>
        <rFont val="Arial, sans-serif"/>
        <color rgb="FF1155CC"/>
        <sz val="15.0"/>
        <u/>
      </rPr>
      <t>13 nuevos Soles 2024 donde la brasa es la protagonista</t>
    </r>
    <r>
      <rPr>
        <rFont val="Arial, sans-serif"/>
        <color rgb="FF1155CC"/>
        <sz val="11.0"/>
        <u/>
      </rPr>
      <t>Tras el sencillo acto de colocar la materia prima sobre la parrilla se esconde un complejo dominio de técnica donde hay que combinar temperaturas, alturas,...</t>
    </r>
    <r>
      <rPr>
        <rFont val="Arial, sans-serif"/>
        <color rgb="FF1155CC"/>
        <sz val="12.0"/>
        <u/>
      </rPr>
      <t>.</t>
    </r>
    <r>
      <rPr>
        <rFont val="Arial, sans-serif"/>
        <color rgb="FF1155CC"/>
        <sz val="11.0"/>
        <u/>
      </rPr>
      <t>7 mar 2024</t>
    </r>
  </si>
  <si>
    <t>13 nuevos Soles 2024 donde la brasa es la protagonista</t>
  </si>
  <si>
    <t>Tras el sencillo acto de colocar la materia prima sobre la parrilla se esconde un complejo dominio de técnica donde hay que combinar temperaturas, alturas,...</t>
  </si>
  <si>
    <t>13 new Soles 2024 where the ember is the protagonist</t>
  </si>
  <si>
    <t>Behind the simple act of placing the raw material on the grill hides a complex mastery of technique where you have to combine temperatures, heights,...</t>
  </si>
  <si>
    <r>
      <rPr>
        <rFont val="Arial, sans-serif"/>
        <color rgb="FF1155CC"/>
        <sz val="9.0"/>
        <u/>
      </rPr>
      <t>NueveCuatroUno.com</t>
    </r>
    <r>
      <rPr>
        <rFont val="Arial, sans-serif"/>
        <color rgb="FF1155CC"/>
        <sz val="15.0"/>
        <u/>
      </rPr>
      <t>Los 27 restaurantes riojanos que recomienda la Guía Repsol</t>
    </r>
    <r>
      <rPr>
        <rFont val="Arial, sans-serif"/>
        <color rgb="FF1155CC"/>
        <sz val="11.0"/>
        <u/>
      </rPr>
      <t>De Arnedo a Briones, de Ezcaray a Briñas, de Logroño a Calahorra, de Arnedo a Santo Domingo, pasando por Casalarreina y Alfaro… la Guía Repsol ha hecho...</t>
    </r>
    <r>
      <rPr>
        <rFont val="Arial, sans-serif"/>
        <color rgb="FF1155CC"/>
        <sz val="12.0"/>
        <u/>
      </rPr>
      <t>.</t>
    </r>
    <r>
      <rPr>
        <rFont val="Arial, sans-serif"/>
        <color rgb="FF1155CC"/>
        <sz val="11.0"/>
        <u/>
      </rPr>
      <t>7 mar 2024</t>
    </r>
  </si>
  <si>
    <t>Los 27 restaurantes riojanos que recomienda la Guía Repsol</t>
  </si>
  <si>
    <t>De Arnedo a Briones, de Ezcaray a Briñas, de Logroño a Calahorra, de Arnedo a Santo Domingo, pasando por Casalarreina y Alfaro… la Guía Repsol ha hecho....</t>
  </si>
  <si>
    <t>The 27 Rioja restaurants recommended by the Repsol Guide</t>
  </si>
  <si>
    <t>From Arnedo to Briones, from Ezcaray to Briñas, from Logroño to Calahorra, from Arnedo to Santo Domingo, passing through Casalarreina and Alfaro... the Repsol Guide has done...</t>
  </si>
  <si>
    <r>
      <rPr>
        <rFont val="Arial, sans-serif"/>
        <color rgb="FF1155CC"/>
        <sz val="9.0"/>
        <u/>
      </rPr>
      <t>Salamancahoy</t>
    </r>
    <r>
      <rPr>
        <rFont val="Arial, sans-serif"/>
        <color rgb="FF1155CC"/>
        <sz val="15.0"/>
        <u/>
      </rPr>
      <t>Estos son todos los restaurantes de Salamanca que recomienda la Guía Repsol</t>
    </r>
    <r>
      <rPr>
        <rFont val="Arial, sans-serif"/>
        <color rgb="FF1155CC"/>
        <sz val="11.0"/>
        <u/>
      </rPr>
      <t>La lista de establecimientos salmantinos que están considerados con uno o dos soles, aquellos que portan un solete y los que entran dentro de los...</t>
    </r>
    <r>
      <rPr>
        <rFont val="Arial, sans-serif"/>
        <color rgb="FF1155CC"/>
        <sz val="12.0"/>
        <u/>
      </rPr>
      <t>.</t>
    </r>
    <r>
      <rPr>
        <rFont val="Arial, sans-serif"/>
        <color rgb="FF1155CC"/>
        <sz val="11.0"/>
        <u/>
      </rPr>
      <t>7 mar 2024</t>
    </r>
  </si>
  <si>
    <t>Estos son todos los restaurantes de Salamanca que recomienda la Guía Repsol</t>
  </si>
  <si>
    <t>La lista de establecimientos salmantinos que están considerados con uno o dos soles, aquellos que portan un solete y los que entran dentro de los....</t>
  </si>
  <si>
    <t>These are all the restaurants in Salamanca that the Repsol Guide recommends</t>
  </si>
  <si>
    <t>The list of Salamancan establishments that are considered to have one or two soles, those that have a solete and those that fall within the...</t>
  </si>
  <si>
    <r>
      <rPr>
        <rFont val="Arial, sans-serif"/>
        <color rgb="FF1155CC"/>
        <sz val="9.0"/>
        <u/>
      </rPr>
      <t>Sevilla Secreta</t>
    </r>
    <r>
      <rPr>
        <rFont val="Arial, sans-serif"/>
        <color rgb="FF1155CC"/>
        <sz val="15.0"/>
        <u/>
      </rPr>
      <t>El restaurante Sr. Cangrejo recibe su primer Sol Repsol</t>
    </r>
    <r>
      <rPr>
        <rFont val="Arial, sans-serif"/>
        <color rgb="FF1155CC"/>
        <sz val="11.0"/>
        <u/>
      </rPr>
      <t>Esta edición de la Gala Soles Repsol ha distinguido a 98 restaurantes de referencia entre los que destaca el sevillano Sr. Cangrejo.</t>
    </r>
    <r>
      <rPr>
        <rFont val="Arial, sans-serif"/>
        <color rgb="FF1155CC"/>
        <sz val="12.0"/>
        <u/>
      </rPr>
      <t>.</t>
    </r>
    <r>
      <rPr>
        <rFont val="Arial, sans-serif"/>
        <color rgb="FF1155CC"/>
        <sz val="11.0"/>
        <u/>
      </rPr>
      <t>7 mar 2024</t>
    </r>
  </si>
  <si>
    <t>Sevilla Secreta</t>
  </si>
  <si>
    <t>El restaurante Sr. Cangrejo recibe su primer Sol Repsol</t>
  </si>
  <si>
    <t>El restaurante Sr. Cangrejo recibe su primer Sol Repsol. Esta edición de la Gala Soles Repsol ha distinguido a 98 restaurantes de referencia entre los que destaca el sevillano Sr. Cangrejo.</t>
  </si>
  <si>
    <t>The Mr. Cangrejo restaurant receives its first Repsol Sun</t>
  </si>
  <si>
    <t>The Mr. Cangrejo restaurant receives its first Repsol Sun. This edition of the Soles Repsol Gala has distinguished 98 leading restaurants, among which the Sevillian Mr. Cangrejo stands out.</t>
  </si>
  <si>
    <r>
      <rPr>
        <rFont val="Arial, sans-serif"/>
        <color rgb="FF1155CC"/>
        <sz val="9.0"/>
        <u/>
      </rPr>
      <t>Levante-EMV</t>
    </r>
    <r>
      <rPr>
        <rFont val="Arial, sans-serif"/>
        <color rgb="FF1155CC"/>
        <sz val="15.0"/>
        <u/>
      </rPr>
      <t>El chef de Carcaixent Àlex Vidal logra un Sol Repsol con sabores tradicionales</t>
    </r>
    <r>
      <rPr>
        <rFont val="Arial, sans-serif"/>
        <color rgb="FF1155CC"/>
        <sz val="11.0"/>
        <u/>
      </rPr>
      <t>Aplicamos nuevas técnicas, pero el sabor es el de los platos que preparaban nuestras abuelas»</t>
    </r>
    <r>
      <rPr>
        <rFont val="Arial, sans-serif"/>
        <color rgb="FF1155CC"/>
        <sz val="12.0"/>
        <u/>
      </rPr>
      <t>.</t>
    </r>
    <r>
      <rPr>
        <rFont val="Arial, sans-serif"/>
        <color rgb="FF1155CC"/>
        <sz val="11.0"/>
        <u/>
      </rPr>
      <t>7 mar 2024</t>
    </r>
  </si>
  <si>
    <t>El chef de Carcaixent Àlex Vidal logra un Sol Repsol con sabores tradicionales</t>
  </si>
  <si>
    <t>«Aplicamos nuevas técnicas, pero el sabor es el de los platos que preparaban nuestras abuelas».</t>
  </si>
  <si>
    <t>Carcaixent chef Àlex Vidal achieves a Sol Repsol with traditional flavors</t>
  </si>
  <si>
    <t>"We apply new techniques, but the flavor is that of the dishes that our grandmothers prepared."</t>
  </si>
  <si>
    <r>
      <rPr>
        <rFont val="Arial, sans-serif"/>
        <color rgb="FF1155CC"/>
        <sz val="9.0"/>
        <u/>
      </rPr>
      <t>EFE - Agencia de noticias</t>
    </r>
    <r>
      <rPr>
        <rFont val="Arial, sans-serif"/>
        <color rgb="FF1155CC"/>
        <sz val="15.0"/>
        <u/>
      </rPr>
      <t>La chef Begoña Rodrigo afirma que su éxito premia el trabajo y la «red» que la ha cuidado</t>
    </r>
    <r>
      <rPr>
        <rFont val="Arial, sans-serif"/>
        <color rgb="FF1155CC"/>
        <sz val="11.0"/>
        <u/>
      </rPr>
      <t>La chef valenciana Begoña Rodrigo asegura que el éxito de su restaurante La Salita, que acaba de sumar tres soles de la Guía Repsol a su estrella Michelin,...</t>
    </r>
    <r>
      <rPr>
        <rFont val="Arial, sans-serif"/>
        <color rgb="FF1155CC"/>
        <sz val="12.0"/>
        <u/>
      </rPr>
      <t>.</t>
    </r>
    <r>
      <rPr>
        <rFont val="Arial, sans-serif"/>
        <color rgb="FF1155CC"/>
        <sz val="11.0"/>
        <u/>
      </rPr>
      <t>7 mar 2024</t>
    </r>
  </si>
  <si>
    <t>La chef Begoña Rodrigo afirma que su éxito premia el trabajo y la «red» que la ha cuidado</t>
  </si>
  <si>
    <t>La chef valenciana Begoña Rodrigo asegura que el éxito de su restaurante La Salita, que acaba de sumar tres soles de la Guía Repsol a su estrella Michelin.</t>
  </si>
  <si>
    <t>Chef Begoña Rodrigo affirms that her success rewards the work and the "network" that has taken care of her</t>
  </si>
  <si>
    <t>The Valencian chef Begoña Rodrigo assures that the success of her restaurant La Salita, which has just added three soles from the Repsol Guide to its Michelin star.</t>
  </si>
  <si>
    <r>
      <rPr>
        <rFont val="Arial, sans-serif"/>
        <color rgb="FF1155CC"/>
        <sz val="9.0"/>
        <u/>
      </rPr>
      <t>Utrera Digital</t>
    </r>
    <r>
      <rPr>
        <rFont val="Arial, sans-serif"/>
        <color rgb="FF1155CC"/>
        <sz val="15.0"/>
        <u/>
      </rPr>
      <t>El restaurante Besana Tapas consolida su presencia entre los ‘Recomendados’ de la prestigiosa Guía Repsol</t>
    </r>
    <r>
      <rPr>
        <rFont val="Arial, sans-serif"/>
        <color rgb="FF1155CC"/>
        <sz val="11.0"/>
        <u/>
      </rPr>
      <t>El establecimiento utrerano ha vuelto a ser elegido para formar parte del listado de los mejores bares del país La prestigiosa Guía Repsol ha entregado sus...</t>
    </r>
    <r>
      <rPr>
        <rFont val="Arial, sans-serif"/>
        <color rgb="FF1155CC"/>
        <sz val="12.0"/>
        <u/>
      </rPr>
      <t>.</t>
    </r>
    <r>
      <rPr>
        <rFont val="Arial, sans-serif"/>
        <color rgb="FF1155CC"/>
        <sz val="11.0"/>
        <u/>
      </rPr>
      <t>7 mar 2024</t>
    </r>
  </si>
  <si>
    <t>Utrera Digital</t>
  </si>
  <si>
    <t>El restaurante Besana Tapas consolida su presencia entre los ‘Recomendados’ de la prestigiosa Guía Repsol</t>
  </si>
  <si>
    <t>El establecimiento utrerano ha vuelto a ser elegido para formar parte del listado de los mejores bares del país.</t>
  </si>
  <si>
    <t>The Besana Tapas restaurant consolidates its presence among the 'Recommended' of the prestigious Repsol Guide</t>
  </si>
  <si>
    <t>The Utrera establishment has once again been chosen to be part of the list of the best bars in the country.</t>
  </si>
  <si>
    <r>
      <rPr>
        <rFont val="Arial, sans-serif"/>
        <color rgb="FF1155CC"/>
        <sz val="9.0"/>
        <u/>
      </rPr>
      <t>El Español</t>
    </r>
    <r>
      <rPr>
        <rFont val="Arial, sans-serif"/>
        <color rgb="FF1155CC"/>
        <sz val="15.0"/>
        <u/>
      </rPr>
      <t>El rey de los arroces en Canarias está en este restaurante de Lanzarote y luce un nuevo Sol Repsol</t>
    </r>
    <r>
      <rPr>
        <rFont val="Arial, sans-serif"/>
        <color rgb="FF1155CC"/>
        <sz val="11.0"/>
        <u/>
      </rPr>
      <t>Santiago Benéitez y Begoña Ratón están contentos. Al sol que de costumbre brilla en Lanzarote añaden ahora el Sol Repsol que brilla desde su restaurante...</t>
    </r>
    <r>
      <rPr>
        <rFont val="Arial, sans-serif"/>
        <color rgb="FF1155CC"/>
        <sz val="12.0"/>
        <u/>
      </rPr>
      <t>.</t>
    </r>
    <r>
      <rPr>
        <rFont val="Arial, sans-serif"/>
        <color rgb="FF1155CC"/>
        <sz val="11.0"/>
        <u/>
      </rPr>
      <t>7 mar 2024</t>
    </r>
  </si>
  <si>
    <t>El rey de los arroces en Canarias está en este restaurante de Lanzarote y luce un nuevo Sol Repsol</t>
  </si>
  <si>
    <t>Santiago Benéitez y Begoña Ratón están contentos. Al sol que de costumbre brilla en Lanzarote añaden ahora el Sol Repsol que brilla desde su restaurante.</t>
  </si>
  <si>
    <t>The king of rice dishes in the Canary Islands is in this restaurant in Lanzarote and sports a new Sol Repsol</t>
  </si>
  <si>
    <t>Santiago Benéitez and Begoña Ratón are happy. To the sun that usually shines in Lanzarote they now add the Sol Repsol that shines from their restaurant.</t>
  </si>
  <si>
    <r>
      <rPr>
        <rFont val="Arial, sans-serif"/>
        <color rgb="FF1155CC"/>
        <sz val="9.0"/>
        <u/>
      </rPr>
      <t>Puro Motor</t>
    </r>
    <r>
      <rPr>
        <rFont val="Arial, sans-serif"/>
        <color rgb="FF1155CC"/>
        <sz val="15.0"/>
        <u/>
      </rPr>
      <t>Repsol NZi Honda presenta su equipo para la temporada 2024</t>
    </r>
    <r>
      <rPr>
        <rFont val="Arial, sans-serif"/>
        <color rgb="FF1155CC"/>
        <sz val="11.0"/>
        <u/>
      </rPr>
      <t>La escudería Repsol NZi Honda ya se encuentra preparada para enfrentar la temporada 2024 del motociclismo nacional, este jueves fueron presentados los...</t>
    </r>
    <r>
      <rPr>
        <rFont val="Arial, sans-serif"/>
        <color rgb="FF1155CC"/>
        <sz val="12.0"/>
        <u/>
      </rPr>
      <t>.</t>
    </r>
    <r>
      <rPr>
        <rFont val="Arial, sans-serif"/>
        <color rgb="FF1155CC"/>
        <sz val="11.0"/>
        <u/>
      </rPr>
      <t>7 mar 2024</t>
    </r>
  </si>
  <si>
    <t>Puro Motor</t>
  </si>
  <si>
    <t>Repsol NZi Honda presenta su equipo para la temporada 2024</t>
  </si>
  <si>
    <t>La escudería Repsol NZi Honda ya se encuentra preparada para enfrentar la temporada 2024 del motociclismo nacional, este jueves fueron presentados los....</t>
  </si>
  <si>
    <t>Repsol NZi Honda presents its team for the 2024 season</t>
  </si>
  <si>
    <t>The Repsol NZi Honda team is now prepared to face the 2024 season of national motorcycling, this Thursday the...</t>
  </si>
  <si>
    <r>
      <rPr>
        <rFont val="Arial, sans-serif"/>
        <color rgb="FF1155CC"/>
        <sz val="9.0"/>
        <u/>
      </rPr>
      <t>ECOticias.com</t>
    </r>
    <r>
      <rPr>
        <rFont val="Arial, sans-serif"/>
        <color rgb="FF1155CC"/>
        <sz val="15.0"/>
        <u/>
      </rPr>
      <t>El mundo, pendiente de este barco español: el ejército se lleva a la Antártida el combustible del futuro</t>
    </r>
    <r>
      <rPr>
        <rFont val="Arial, sans-serif"/>
        <color rgb="FF1155CC"/>
        <sz val="11.0"/>
        <u/>
      </rPr>
      <t>Este barco español está dando mucho de qué hablar, pero todavía más lo que está pasando con el combustible del futuro. ¡No podrás creerlo!</t>
    </r>
    <r>
      <rPr>
        <rFont val="Arial, sans-serif"/>
        <color rgb="FF1155CC"/>
        <sz val="12.0"/>
        <u/>
      </rPr>
      <t>.</t>
    </r>
    <r>
      <rPr>
        <rFont val="Arial, sans-serif"/>
        <color rgb="FF1155CC"/>
        <sz val="11.0"/>
        <u/>
      </rPr>
      <t>7 mar 2024</t>
    </r>
  </si>
  <si>
    <t>El mundo, pendiente de este barco español: el ejército se lleva a la Antártida el combustible del futuro</t>
  </si>
  <si>
    <t>Este barco español está dando mucho de qué hablar, pero todavía más lo que está pasando con el combustible del futuro. ¡No podrás creerlo!.</t>
  </si>
  <si>
    <t>The world is waiting for this Spanish ship: the army takes the fuel of the future to Antarctica</t>
  </si>
  <si>
    <t>This Spanish ship is giving a lot to talk about, but even more what is happening with the fuel of the future. You won't believe it!</t>
  </si>
  <si>
    <t>General energy developments do not directly impact Repsol.</t>
  </si>
  <si>
    <t>combustible del futuro</t>
  </si>
  <si>
    <t>Neutral, as it mentions Repsol indirectly but focuses on a broader topic.</t>
  </si>
  <si>
    <t>Neutral, ya que menciona a Repsol de forma indirecta pero se centra en un tema más amplio.</t>
  </si>
  <si>
    <r>
      <rPr>
        <rFont val="Arial, sans-serif"/>
        <color rgb="FF1155CC"/>
        <sz val="9.0"/>
        <u/>
      </rPr>
      <t>ABC</t>
    </r>
    <r>
      <rPr>
        <rFont val="Arial, sans-serif"/>
        <color rgb="FF1155CC"/>
        <sz val="15.0"/>
        <u/>
      </rPr>
      <t>Descubre los restaurantes de Córdoba que tienen el Sol de Repsol y qué dice de ellos la guía</t>
    </r>
    <r>
      <rPr>
        <rFont val="Arial, sans-serif"/>
        <color rgb="FF1155CC"/>
        <sz val="11.0"/>
        <u/>
      </rPr>
      <t>ABC hace un recorrido por lo más selecto de la cocina cordobesa , reuniendo a los ochos establecimientos de la provincia que han logrado uno o más Soles de...</t>
    </r>
    <r>
      <rPr>
        <rFont val="Arial, sans-serif"/>
        <color rgb="FF1155CC"/>
        <sz val="12.0"/>
        <u/>
      </rPr>
      <t>.</t>
    </r>
    <r>
      <rPr>
        <rFont val="Arial, sans-serif"/>
        <color rgb="FF1155CC"/>
        <sz val="11.0"/>
        <u/>
      </rPr>
      <t>8 mar 2024</t>
    </r>
  </si>
  <si>
    <t>Descubre los restaurantes de Córdoba que tienen el Sol de Repsol y qué dice de ellos la guía</t>
  </si>
  <si>
    <t>Descubre los restaurantes de Córdoba que tienen el Sol de Repsol y qué dice de ellos la guía. ABC hace un recorrido por lo más selecto de la cocina cordobesa, reuniendo a los ochos establecimientos de la provincia que han logrado uno o más Soles de....</t>
  </si>
  <si>
    <t>Discover the restaurants in Córdoba that have the Sol de Repsol and what the guide says about them</t>
  </si>
  <si>
    <t>Discover the restaurants in Córdoba that have the Sol de Repsol and what the guide says about them. ABC takes a tour of the most select of Córdoba cuisine, bringing together the eight establishments in the province that have achieved one or more Soles de...</t>
  </si>
  <si>
    <r>
      <rPr>
        <rFont val="Arial, sans-serif"/>
        <color rgb="FF1155CC"/>
        <sz val="9.0"/>
        <u/>
      </rPr>
      <t>La Voz de Galicia</t>
    </r>
    <r>
      <rPr>
        <rFont val="Arial, sans-serif"/>
        <color rgb="FF1155CC"/>
        <sz val="15.0"/>
        <u/>
      </rPr>
      <t>La gastronomía de Barbanza reluce con dos soles de la Guía Repsol y 16 soletes</t>
    </r>
    <r>
      <rPr>
        <rFont val="Arial, sans-serif"/>
        <color rgb="FF1155CC"/>
        <sz val="11.0"/>
        <u/>
      </rPr>
      <t>Los restaurantes Landua y Ríos O Freixo vuelven a tener la mayor distinción.</t>
    </r>
    <r>
      <rPr>
        <rFont val="Arial, sans-serif"/>
        <color rgb="FF1155CC"/>
        <sz val="12.0"/>
        <u/>
      </rPr>
      <t>.</t>
    </r>
    <r>
      <rPr>
        <rFont val="Arial, sans-serif"/>
        <color rgb="FF1155CC"/>
        <sz val="11.0"/>
        <u/>
      </rPr>
      <t>8 mar 2024</t>
    </r>
  </si>
  <si>
    <t>La gastronomía de Barbanza reluce con dos soles de la Guía Repsol y 16 soletes</t>
  </si>
  <si>
    <t>Los restaurantes Landua y Ríos O Freixo vuelven a tener la mayor distinción.</t>
  </si>
  <si>
    <t>The gastronomy of Barbanza shines with two suns from the Repsol Guide and 16 suns</t>
  </si>
  <si>
    <t>The Landua and Ríos O Freixo restaurants once again have the greatest distinction.</t>
  </si>
  <si>
    <r>
      <rPr>
        <rFont val="Arial, sans-serif"/>
        <color rgb="FF1155CC"/>
        <sz val="9.0"/>
        <u/>
      </rPr>
      <t>Novelda Digital</t>
    </r>
    <r>
      <rPr>
        <rFont val="Arial, sans-serif"/>
        <color rgb="FF1155CC"/>
        <sz val="15.0"/>
        <u/>
      </rPr>
      <t>21 Estrellas Michelin y 25 Soles Repsol en los XXII Encuentros Gastronómicos de Alfonso Mira</t>
    </r>
    <r>
      <rPr>
        <rFont val="Arial, sans-serif"/>
        <color rgb="FF1155CC"/>
        <sz val="11.0"/>
        <u/>
      </rPr>
      <t>Arranca la semana de las Jornadas Gastronómicas de Alfonso Mira con el día de la chuleta, que ya ha colgado el cartel de aforo completo.</t>
    </r>
    <r>
      <rPr>
        <rFont val="Arial, sans-serif"/>
        <color rgb="FF1155CC"/>
        <sz val="12.0"/>
        <u/>
      </rPr>
      <t>.</t>
    </r>
    <r>
      <rPr>
        <rFont val="Arial, sans-serif"/>
        <color rgb="FF1155CC"/>
        <sz val="11.0"/>
        <u/>
      </rPr>
      <t>8 mar 2024</t>
    </r>
  </si>
  <si>
    <t>Novelda Digital</t>
  </si>
  <si>
    <t>21 Estrellas Michelin y 25 Soles Repsol en los XXII Encuentros Gastronómicos de Alfonso Mira</t>
  </si>
  <si>
    <t>Arranca la semana de las Jornadas Gastronómicas de Alfonso Mira con el día de la chuleta, que ya ha colgado el cartel de aforo completo.</t>
  </si>
  <si>
    <t>21 Michelin Stars and 25 Repsol Suns at the XXII Gastronomic Meetings of Alfonso Mira</t>
  </si>
  <si>
    <t>The week of the Alfonso Mira Gastronomic Days begins with the day of the chop, which has already posted the full capacity sign.</t>
  </si>
  <si>
    <r>
      <rPr>
        <rFont val="Arial, sans-serif"/>
        <color rgb="FF1155CC"/>
        <sz val="9.0"/>
        <u/>
      </rPr>
      <t>ENFOQUES.GAL</t>
    </r>
    <r>
      <rPr>
        <rFont val="Arial, sans-serif"/>
        <color rgb="FF1155CC"/>
        <sz val="15.0"/>
        <u/>
      </rPr>
      <t>El restaurante compostelano Simpar consigue su primer Sol Repsol</t>
    </r>
    <r>
      <rPr>
        <rFont val="Arial, sans-serif"/>
        <color rgb="FF1155CC"/>
        <sz val="11.0"/>
        <u/>
      </rPr>
      <t>El chef Áxel Smyth, tras conseguir una Estrella Michelín y un Sol Repsol en Auga e Sal, ha vuelto a obtener esta distinción en tan solo medio año.</t>
    </r>
    <r>
      <rPr>
        <rFont val="Arial, sans-serif"/>
        <color rgb="FF1155CC"/>
        <sz val="12.0"/>
        <u/>
      </rPr>
      <t>.</t>
    </r>
    <r>
      <rPr>
        <rFont val="Arial, sans-serif"/>
        <color rgb="FF1155CC"/>
        <sz val="11.0"/>
        <u/>
      </rPr>
      <t>8 mar 2024</t>
    </r>
  </si>
  <si>
    <t>ENFOQUES.GAL</t>
  </si>
  <si>
    <t>El restaurante compostelano Simpar consigue su primer Sol Repsol</t>
  </si>
  <si>
    <t>El chef Áxel Smyth, tras conseguir una Estrella Michelín y un Sol Repsol en Auga e Sal, ha vuelto a obtener esta distinción en tan solo medio año.</t>
  </si>
  <si>
    <t>The Compostela restaurant Simpar gets its first Sol Repsol</t>
  </si>
  <si>
    <t>Chef Áxel Smyth, after achieving a Michelin Star and a Repsol Sun at Auga e Sal, has once again obtained this distinction in just half a year.</t>
  </si>
  <si>
    <r>
      <rPr>
        <rFont val="Arial, sans-serif"/>
        <color rgb="FF1155CC"/>
        <sz val="9.0"/>
        <u/>
      </rPr>
      <t>Lanza Digital</t>
    </r>
    <r>
      <rPr>
        <rFont val="Arial, sans-serif"/>
        <color rgb="FF1155CC"/>
        <sz val="15.0"/>
        <u/>
      </rPr>
      <t>Repsol apuesta por el liderazgo femenino en la parada del Complejo Industrial de Puertollano</t>
    </r>
    <r>
      <rPr>
        <rFont val="Arial, sans-serif"/>
        <color rgb="FF1155CC"/>
        <sz val="11.0"/>
        <u/>
      </rPr>
      <t>María José Navarro, Virginia Tamames, Laura Laguna, Priscila Vicario y Ondina López asumen tareas de coordinación de grandes equipos de trabajo durante la...</t>
    </r>
    <r>
      <rPr>
        <rFont val="Arial, sans-serif"/>
        <color rgb="FF1155CC"/>
        <sz val="12.0"/>
        <u/>
      </rPr>
      <t>.</t>
    </r>
    <r>
      <rPr>
        <rFont val="Arial, sans-serif"/>
        <color rgb="FF1155CC"/>
        <sz val="11.0"/>
        <u/>
      </rPr>
      <t>8 mar 2024</t>
    </r>
  </si>
  <si>
    <t>Repsol apuesta por el liderazgo femenino en la parada del Complejo Industrial de Puertollano</t>
  </si>
  <si>
    <t>María José Navarro, Virginia Tamames, Laura Laguna, Priscila Vicario y Ondina López asumen tareas de coordinación de grandes equipos de trabajo durante la....</t>
  </si>
  <si>
    <t>Repsol is committed to female leadership at the Puertollano Industrial Complex shutdown</t>
  </si>
  <si>
    <t>María José Navarro, Virginia Tamames, Laura Laguna, Priscila Vicario and Ondina López assume coordination tasks for large work teams during the...</t>
  </si>
  <si>
    <t>female leadership, Repsol talent</t>
  </si>
  <si>
    <t>liderazgo femenino, talento Repsol</t>
  </si>
  <si>
    <t>Supporting female leadership initiatives enhances Repsol’s corporate image.</t>
  </si>
  <si>
    <t>liderazgo femenino, apuesta</t>
  </si>
  <si>
    <t>Positive sentiment due to Repsol's commitment to diversity and leadership.</t>
  </si>
  <si>
    <t>Sentimiento positivo por el compromiso de Repsol con la diversidad y el liderazgo.</t>
  </si>
  <si>
    <r>
      <rPr>
        <rFont val="Arial, sans-serif"/>
        <color rgb="FF1155CC"/>
        <sz val="9.0"/>
        <u/>
      </rPr>
      <t>El Cronista</t>
    </r>
    <r>
      <rPr>
        <rFont val="Arial, sans-serif"/>
        <color rgb="FF1155CC"/>
        <sz val="15.0"/>
        <u/>
      </rPr>
      <t>Repsol busca personal para ocupar distintos puestos con salarios de 1800 euros mensuales y múltiples beneficio</t>
    </r>
    <r>
      <rPr>
        <rFont val="Arial, sans-serif"/>
        <color rgb="FF1155CC"/>
        <sz val="11.0"/>
        <u/>
      </rPr>
      <t>La prestigiosa compañía inició un nuevo proceso de selección de personal para cubrir puestos en España con retribuciones acorde a los mismos.</t>
    </r>
    <r>
      <rPr>
        <rFont val="Arial, sans-serif"/>
        <color rgb="FF1155CC"/>
        <sz val="12.0"/>
        <u/>
      </rPr>
      <t>.</t>
    </r>
    <r>
      <rPr>
        <rFont val="Arial, sans-serif"/>
        <color rgb="FF1155CC"/>
        <sz val="11.0"/>
        <u/>
      </rPr>
      <t>8 mar 2024</t>
    </r>
  </si>
  <si>
    <t>El Cronista</t>
  </si>
  <si>
    <t>Repsol busca personal para ocupar distintos puestos con salarios de 1800 euros mensuales y múltiples beneficios</t>
  </si>
  <si>
    <t>La prestigiosa compañía inició un nuevo proceso de selección de personal para cubrir puestos en España con retribuciones acorde a los mismos.</t>
  </si>
  <si>
    <t>Repsol is looking for personnel to fill different positions with salaries of 1,800 euros per month and multiple benefits</t>
  </si>
  <si>
    <t>The prestigious company began a new personnel selection process to fill positions in Spain with salaries according to them.</t>
  </si>
  <si>
    <t>Repsol’s hiring decisions do not directly impact its reputation.</t>
  </si>
  <si>
    <t>busca personal, salarios, beneficios</t>
  </si>
  <si>
    <t>Neutral to slightly positive, as it highlights Repsol's hiring practices.</t>
  </si>
  <si>
    <t>De neutral a ligeramente positivo, ya que destaca las prácticas de contratación de Repsol.</t>
  </si>
  <si>
    <r>
      <rPr>
        <rFont val="Arial, sans-serif"/>
        <color rgb="FF1155CC"/>
        <sz val="9.0"/>
        <u/>
      </rPr>
      <t>Europa Sur</t>
    </r>
    <r>
      <rPr>
        <rFont val="Arial, sans-serif"/>
        <color rgb="FF1155CC"/>
        <sz val="15.0"/>
        <u/>
      </rPr>
      <t>Un Sol de Repsol para el restaurante Pilar Akaneya de Madrid dirigido por el algecireño Pepe Fernández</t>
    </r>
    <r>
      <rPr>
        <rFont val="Arial, sans-serif"/>
        <color rgb="FF1155CC"/>
        <sz val="11.0"/>
        <u/>
      </rPr>
      <t>Si no sabes lo que es el subimiyaki tienes que probarlo. Se trata de cocina tradicional japonesa a la brasa y consiste en cocinar la carne con un carbón...</t>
    </r>
    <r>
      <rPr>
        <rFont val="Arial, sans-serif"/>
        <color rgb="FF1155CC"/>
        <sz val="12.0"/>
        <u/>
      </rPr>
      <t>.</t>
    </r>
    <r>
      <rPr>
        <rFont val="Arial, sans-serif"/>
        <color rgb="FF1155CC"/>
        <sz val="11.0"/>
        <u/>
      </rPr>
      <t>8 mar 2024</t>
    </r>
  </si>
  <si>
    <t>Un Sol de Repsol para el restaurante Pilar Akaneya de Madrid dirigido por el algecireño Pepe Fernández</t>
  </si>
  <si>
    <t>Si no sabes lo que es el subimiyaki tienes que probarlo. Se trata de cocina tradicional japonesa a la brasa y consiste en cocinar la carne con un carbón....</t>
  </si>
  <si>
    <t>A Repsol Sun for the Pilar Akaneya restaurant in Madrid directed by Pepe Fernández from Algeciras</t>
  </si>
  <si>
    <t>If you don't know what subimiyaki is you have to try it. It is traditional Japanese grilled cuisine and consists of cooking meat with charcoal....</t>
  </si>
  <si>
    <r>
      <rPr>
        <rFont val="Arial, sans-serif"/>
        <color rgb="FF1155CC"/>
        <sz val="9.0"/>
        <u/>
      </rPr>
      <t>El Español</t>
    </r>
    <r>
      <rPr>
        <rFont val="Arial, sans-serif"/>
        <color rgb="FF1155CC"/>
        <sz val="15.0"/>
        <u/>
      </rPr>
      <t>El mejor restaurante nikkei si estás por Adeje: en el hotel más 'gastro' de Tenerife y con Sol Repsol</t>
    </r>
    <r>
      <rPr>
        <rFont val="Arial, sans-serif"/>
        <color rgb="FF1155CC"/>
        <sz val="11.0"/>
        <u/>
      </rPr>
      <t>La cocina 'tricontinental' del chef Adrián Bosch acaba de ser premiada por la Guía Repsol 2024, un reconocimiento que se une a su preciada Estrella...</t>
    </r>
    <r>
      <rPr>
        <rFont val="Arial, sans-serif"/>
        <color rgb="FF1155CC"/>
        <sz val="12.0"/>
        <u/>
      </rPr>
      <t>.</t>
    </r>
    <r>
      <rPr>
        <rFont val="Arial, sans-serif"/>
        <color rgb="FF1155CC"/>
        <sz val="11.0"/>
        <u/>
      </rPr>
      <t>8 mar 2024</t>
    </r>
  </si>
  <si>
    <t>El mejor restaurante nikkei si estás por Adeje: en el hotel más 'gastro' de Tenerife y con Sol Repsol</t>
  </si>
  <si>
    <t>La cocina 'tricontinental' del chef Adrián Bosch acaba de ser premiada por la Guía Repsol 2024, un reconocimiento que se une a su preciada Estrella....</t>
  </si>
  <si>
    <t>The best Nikkei restaurant if you are in Adeje: in the most 'gastro' hotel in Tenerife and with Sol Repsol</t>
  </si>
  <si>
    <t>The 'tricontinental' cuisine of chef Adrián Bosch has just been awarded by the Repsol Guide 2024, a recognition that joins his precious Star....</t>
  </si>
  <si>
    <r>
      <rPr>
        <rFont val="Arial, sans-serif"/>
        <color rgb="FF1155CC"/>
        <sz val="9.0"/>
        <u/>
      </rPr>
      <t>Diario de Teruel</t>
    </r>
    <r>
      <rPr>
        <rFont val="Arial, sans-serif"/>
        <color rgb="FF1155CC"/>
        <sz val="15.0"/>
        <u/>
      </rPr>
      <t>Rubén Catalán, chef del restaurante de La Torre del Visco: 'Estos reconocimientos ayudan a desestacionalizar y a dinamizar el turismo en el Matarraña'</t>
    </r>
    <r>
      <rPr>
        <rFont val="Arial, sans-serif"/>
        <color rgb="FF1155CC"/>
        <sz val="11.0"/>
        <u/>
      </rPr>
      <t>El restaurante de La Torre del Visco (Fuentespalda) obtuvo el pasado lunes su primer Sol, una distinción que la Guía Repsol otorga a los restaurantes que...</t>
    </r>
    <r>
      <rPr>
        <rFont val="Arial, sans-serif"/>
        <color rgb="FF1155CC"/>
        <sz val="12.0"/>
        <u/>
      </rPr>
      <t>.</t>
    </r>
    <r>
      <rPr>
        <rFont val="Arial, sans-serif"/>
        <color rgb="FF1155CC"/>
        <sz val="11.0"/>
        <u/>
      </rPr>
      <t>8 mar 2024</t>
    </r>
  </si>
  <si>
    <t>Diario de Teruel</t>
  </si>
  <si>
    <t>Rubén Catalán, chef del restaurante de La Torre del Visco: 'Estos reconocimientos ayudan a desestacionalizar y a dinamizar el turismo en el Matarraña'</t>
  </si>
  <si>
    <t>'Estos reconocimientos ayudan a desestacionalizar y a dinamizar el turismo en el Matarraña'</t>
  </si>
  <si>
    <t>Rubén Catalán, chef of the La Torre del Visco restaurant: 'These recognitions help deseasonalize and boost tourism in Matarraña'</t>
  </si>
  <si>
    <t>'These recognitions help to deseasonalize and boost tourism in Matarraña'</t>
  </si>
  <si>
    <r>
      <rPr>
        <rFont val="Arial, sans-serif"/>
        <color rgb="FF1155CC"/>
        <sz val="9.0"/>
        <u/>
      </rPr>
      <t>El Periódico de la Energía</t>
    </r>
    <r>
      <rPr>
        <rFont val="Arial, sans-serif"/>
        <color rgb="FF1155CC"/>
        <sz val="15.0"/>
        <u/>
      </rPr>
      <t>Las grandes energéticas ganan 10.500 millones en 2023, un 25% menos que el récord de 2022</t>
    </r>
    <r>
      <rPr>
        <rFont val="Arial, sans-serif"/>
        <color rgb="FF1155CC"/>
        <sz val="11.0"/>
        <u/>
      </rPr>
      <t>Las principales compañías energéticas españolas -Iberdrola, Naturgy, Endesa, Repsol y Cepsa- ganaron juntas casi 10.500 millones de euros, lo que supone...</t>
    </r>
    <r>
      <rPr>
        <rFont val="Arial, sans-serif"/>
        <color rgb="FF1155CC"/>
        <sz val="12.0"/>
        <u/>
      </rPr>
      <t>.</t>
    </r>
    <r>
      <rPr>
        <rFont val="Arial, sans-serif"/>
        <color rgb="FF1155CC"/>
        <sz val="11.0"/>
        <u/>
      </rPr>
      <t>8 mar 2024</t>
    </r>
  </si>
  <si>
    <t>Las grandes energéticas ganan 10.500 millones en 2023, un 25% menos que el récord de 2022</t>
  </si>
  <si>
    <t>Las principales compañías energéticas españolas -Iberdrola, Naturgy, Endesa, Repsol y Cepsa- ganaron juntas casi 10.500 millones de euros, lo que supone....</t>
  </si>
  <si>
    <t>Large energy companies earn 10.5 billion in 2023, 25% less than the record of 2022</t>
  </si>
  <si>
    <t>The main Spanish energy companies -Iberdrola, Naturgy, Endesa, Repsol and Cepsa- together earned almost 10.5 billion euros, which represents...</t>
  </si>
  <si>
    <t>Repsol profits, energy sector</t>
  </si>
  <si>
    <t>Beneficios de Repsol, sector energético</t>
  </si>
  <si>
    <t>High earnings strengthen Repsol’s market position and investor confidence.</t>
  </si>
  <si>
    <t>ganan, menos que el récord</t>
  </si>
  <si>
    <t>Slightly negative, as it highlights a decline in profits for Repsol and other energy companies.</t>
  </si>
  <si>
    <t>Ligeramente negativo, ya que pone de relieve un descenso de los beneficios de Repsol y otras compañías energéticas.</t>
  </si>
  <si>
    <r>
      <rPr>
        <rFont val="Arial, sans-serif"/>
        <color rgb="FF1155CC"/>
        <sz val="9.0"/>
        <u/>
      </rPr>
      <t>Dénia.com</t>
    </r>
    <r>
      <rPr>
        <rFont val="Arial, sans-serif"/>
        <color rgb="FF1155CC"/>
        <sz val="15.0"/>
        <u/>
      </rPr>
      <t>Los 15 restaurantes de Dénia (con o sin Sol) que recomienda la Guía Repsol este año</t>
    </r>
    <r>
      <rPr>
        <rFont val="Arial, sans-serif"/>
        <color rgb="FF1155CC"/>
        <sz val="11.0"/>
        <u/>
      </rPr>
      <t>Estos son los mejores restaurantes de Dénia de 2024 según la Guía Repsol. Seis de ellos aparecen por primera vez entre las prestigiosas páginas.</t>
    </r>
    <r>
      <rPr>
        <rFont val="Arial, sans-serif"/>
        <color rgb="FF1155CC"/>
        <sz val="12.0"/>
        <u/>
      </rPr>
      <t>.</t>
    </r>
    <r>
      <rPr>
        <rFont val="Arial, sans-serif"/>
        <color rgb="FF1155CC"/>
        <sz val="11.0"/>
        <u/>
      </rPr>
      <t>9 mar 2024</t>
    </r>
  </si>
  <si>
    <t>Dénia.com</t>
  </si>
  <si>
    <t>Los 15 restaurantes de Dénia (con o sin Sol) que recomienda la Guía Repsol este año</t>
  </si>
  <si>
    <t>Estos son los mejores restaurantes de Dénia de 2024 según la Guía Repsol. Seis de ellos aparecen por primera vez entre las prestigiosas páginas.</t>
  </si>
  <si>
    <t>The 15 restaurants in Dénia (with or without Sun) that the Repsol Guide recommends this year</t>
  </si>
  <si>
    <t>These are the best restaurants in Dénia of 2024 according to the Repsol Guide. Six of them appear for the first time among the prestigious pages.</t>
  </si>
  <si>
    <r>
      <rPr>
        <rFont val="Arial, sans-serif"/>
        <color rgb="FF1155CC"/>
        <sz val="9.0"/>
        <u/>
      </rPr>
      <t>elconfidencial.com</t>
    </r>
    <r>
      <rPr>
        <rFont val="Arial, sans-serif"/>
        <color rgb="FF1155CC"/>
        <sz val="15.0"/>
        <u/>
      </rPr>
      <t>Soles Repsol en Madrid</t>
    </r>
    <r>
      <rPr>
        <rFont val="Arial, sans-serif"/>
        <color rgb="FF1155CC"/>
        <sz val="11.0"/>
        <u/>
      </rPr>
      <t>Aunque las guías gastronómicas ya no tienen la misma influencia que hace años, continúan siendo referencias para los aficionados a la buena mesa.</t>
    </r>
    <r>
      <rPr>
        <rFont val="Arial, sans-serif"/>
        <color rgb="FF1155CC"/>
        <sz val="12.0"/>
        <u/>
      </rPr>
      <t>.</t>
    </r>
    <r>
      <rPr>
        <rFont val="Arial, sans-serif"/>
        <color rgb="FF1155CC"/>
        <sz val="11.0"/>
        <u/>
      </rPr>
      <t>9 mar 2024</t>
    </r>
  </si>
  <si>
    <t>elconfidencial.com</t>
  </si>
  <si>
    <t>Soles Repsol en Madrid</t>
  </si>
  <si>
    <t>Aunque las guías gastronómicas ya no tienen la misma influencia que hace años, continúan siendo referencias para los aficionados a la buena mesa.</t>
  </si>
  <si>
    <t>Repsol soles in Madrid</t>
  </si>
  <si>
    <t>Although gastronomic guides no longer have the same influence as they did years ago, they continue to be references for fans of good food.</t>
  </si>
  <si>
    <r>
      <rPr>
        <rFont val="Arial, sans-serif"/>
        <color rgb="FF1155CC"/>
        <sz val="9.0"/>
        <u/>
      </rPr>
      <t>Jávea.com</t>
    </r>
    <r>
      <rPr>
        <rFont val="Arial, sans-serif"/>
        <color rgb="FF1155CC"/>
        <sz val="15.0"/>
        <u/>
      </rPr>
      <t>Un nuevo restaurante de Xàbia se cuela en la lista de recomendados de la Guía Repsol en 2024</t>
    </r>
    <r>
      <rPr>
        <rFont val="Arial, sans-serif"/>
        <color rgb="FF1155CC"/>
        <sz val="11.0"/>
        <u/>
      </rPr>
      <t>A falta de conocer este lunes, 27 de febrero, quiénes serán los restaurantes que ocupen un lugar en la Guía y qué locales consiguen el Sol Repsol,...</t>
    </r>
    <r>
      <rPr>
        <rFont val="Arial, sans-serif"/>
        <color rgb="FF1155CC"/>
        <sz val="12.0"/>
        <u/>
      </rPr>
      <t>.</t>
    </r>
    <r>
      <rPr>
        <rFont val="Arial, sans-serif"/>
        <color rgb="FF1155CC"/>
        <sz val="11.0"/>
        <u/>
      </rPr>
      <t>9 mar 2024</t>
    </r>
  </si>
  <si>
    <t>Jávea.com</t>
  </si>
  <si>
    <t>Un nuevo restaurante de Xàbia se cuela en la lista de recomendados de la Guía Repsol en 2024</t>
  </si>
  <si>
    <t>A falta de conocer este lunes, 27 de febrero, quiénes serán los restaurantes que ocupen un lugar en la Guía y qué locales consiguen el Sol Repsol,....</t>
  </si>
  <si>
    <t>A new restaurant in Xàbia makes it onto the Repsol Guide's recommended list in 2024</t>
  </si>
  <si>
    <t>In the absence of knowing this Monday, February 27, who will be the restaurants that occupy a place in the Guide and which establishments get the Sol Repsol,...</t>
  </si>
  <si>
    <r>
      <rPr>
        <rFont val="Arial, sans-serif"/>
        <color rgb="FF1155CC"/>
        <sz val="9.0"/>
        <u/>
      </rPr>
      <t>Castilla-La Mancha Media</t>
    </r>
    <r>
      <rPr>
        <rFont val="Arial, sans-serif"/>
        <color rgb="FF1155CC"/>
        <sz val="15.0"/>
        <u/>
      </rPr>
      <t>Así será la transformación del complejo industrial de Repsol en Puertollano</t>
    </r>
    <r>
      <rPr>
        <rFont val="Arial, sans-serif"/>
        <color rgb="FF1155CC"/>
        <sz val="11.0"/>
        <u/>
      </rPr>
      <t>Transformar una planta que refina petróleo en otra que produzca combustibles a partir de aceite de cocina usado el proyecto es de de Repsol, en Puertollano,...</t>
    </r>
    <r>
      <rPr>
        <rFont val="Arial, sans-serif"/>
        <color rgb="FF1155CC"/>
        <sz val="12.0"/>
        <u/>
      </rPr>
      <t>.</t>
    </r>
    <r>
      <rPr>
        <rFont val="Arial, sans-serif"/>
        <color rgb="FF1155CC"/>
        <sz val="11.0"/>
        <u/>
      </rPr>
      <t>9 mar 2024</t>
    </r>
  </si>
  <si>
    <t>Así será la transformación del complejo industrial de Repsol en Puertollano</t>
  </si>
  <si>
    <t>Transformar una planta que refina petróleo en otra que produzca combustibles a partir de aceite de cocina usado el proyecto es de de Repsol, en Puertollano,....</t>
  </si>
  <si>
    <t>This will be the transformation of the Repsol industrial complex in Puertollano</t>
  </si>
  <si>
    <t>Transforming a plant that refines oil into another that produces fuel from used cooking oil, the project is from Repsol, in Puertollano,...</t>
  </si>
  <si>
    <t>Repsol refinery, energy transition</t>
  </si>
  <si>
    <t>Refinería Repsol, transición energética</t>
  </si>
  <si>
    <t>Repsol’s refinery transformation reflects its strategy for sustainable energy.</t>
  </si>
  <si>
    <t>transformación, proyecto</t>
  </si>
  <si>
    <t>Neutral to slightly positive, as it highlights Repsol's sustainability efforts.</t>
  </si>
  <si>
    <t>De neutral a ligeramente positiva, ya que destaca los esfuerzos de Repsol en materia de sostenibilidad.</t>
  </si>
  <si>
    <r>
      <rPr>
        <rFont val="Arial, sans-serif"/>
        <color rgb="FF1155CC"/>
        <sz val="9.0"/>
        <u/>
      </rPr>
      <t>El Día de Córdoba</t>
    </r>
    <r>
      <rPr>
        <rFont val="Arial, sans-serif"/>
        <color rgb="FF1155CC"/>
        <sz val="15.0"/>
        <u/>
      </rPr>
      <t>Un Sol Repsol y la visita de Alberto Núñez Feijóo, la gran semana de Ermita de la Candelaria</t>
    </r>
    <r>
      <rPr>
        <rFont val="Arial, sans-serif"/>
        <color rgb="FF1155CC"/>
        <sz val="11.0"/>
        <u/>
      </rPr>
      <t>El líder del Partido Popular almorzó en compañía del alcalde de Córdoba, José María Bellido, y de la secretaria general del PP, Cuca Gamarra.</t>
    </r>
    <r>
      <rPr>
        <rFont val="Arial, sans-serif"/>
        <color rgb="FF1155CC"/>
        <sz val="12.0"/>
        <u/>
      </rPr>
      <t>.</t>
    </r>
    <r>
      <rPr>
        <rFont val="Arial, sans-serif"/>
        <color rgb="FF1155CC"/>
        <sz val="11.0"/>
        <u/>
      </rPr>
      <t>9 mar 2024</t>
    </r>
  </si>
  <si>
    <t>Un Sol Repsol y la visita de Alberto Núñez Feijóo, la gran semana de Ermita de la Candelaria</t>
  </si>
  <si>
    <t>El líder del Partido Popular almorzó en compañía del alcalde de Córdoba, José María Bellido, y de la secretaria general del PP, Cuca Gamarra.</t>
  </si>
  <si>
    <t>A Sol Repsol and the visit of Alberto Núñez Feijóo, the great week of Ermita de la Candelaria</t>
  </si>
  <si>
    <t>The leader of the Popular Party had lunch in the company of the mayor of Córdoba, José María Bellido, and the general secretary of the PP, Cuca Gamarra.</t>
  </si>
  <si>
    <r>
      <rPr>
        <rFont val="Arial, sans-serif"/>
        <color rgb="FF1155CC"/>
        <sz val="9.0"/>
        <u/>
      </rPr>
      <t>8Directo</t>
    </r>
    <r>
      <rPr>
        <rFont val="Arial, sans-serif"/>
        <color rgb="FF1155CC"/>
        <sz val="15.0"/>
        <u/>
      </rPr>
      <t>Pepe Fernández, chef algecireño con un Sol Repsol: "En Algeciras hay una hostelería muy potente"</t>
    </r>
    <r>
      <rPr>
        <rFont val="Arial, sans-serif"/>
        <color rgb="FF1155CC"/>
        <sz val="11.0"/>
        <u/>
      </rPr>
      <t>Este algecireño que llegó a la cocina casi sin darse cuenta dirige el restaurante Pilar Akaneya de Madrid para el que acaba de lograr un Sol Repsol.</t>
    </r>
    <r>
      <rPr>
        <rFont val="Arial, sans-serif"/>
        <color rgb="FF1155CC"/>
        <sz val="12.0"/>
        <u/>
      </rPr>
      <t>.</t>
    </r>
    <r>
      <rPr>
        <rFont val="Arial, sans-serif"/>
        <color rgb="FF1155CC"/>
        <sz val="11.0"/>
        <u/>
      </rPr>
      <t>9 mar 2024</t>
    </r>
  </si>
  <si>
    <t>Directo</t>
  </si>
  <si>
    <t>Pepe Fernández, chef algecireño con un Sol Repsol: "En Algeciras hay una hostelería muy potente"</t>
  </si>
  <si>
    <t>"En Algeciras hay una hostelería muy potente"</t>
  </si>
  <si>
    <t>Pepe Fernández, chef from Algeciras with a Sol Repsol: "In Algeciras there is a very powerful hospitality industry"</t>
  </si>
  <si>
    <t>"In Algeciras there is a very powerful hospitality industry"</t>
  </si>
  <si>
    <r>
      <rPr>
        <rFont val="Arial, sans-serif"/>
        <color rgb="FF1155CC"/>
        <sz val="9.0"/>
        <u/>
      </rPr>
      <t>El Español</t>
    </r>
    <r>
      <rPr>
        <rFont val="Arial, sans-serif"/>
        <color rgb="FF1155CC"/>
        <sz val="15.0"/>
        <u/>
      </rPr>
      <t>VIRÓ de Guijuelo: una joven apuesta por la nueva gastronomía que acaricia el Sol Repsol</t>
    </r>
    <r>
      <rPr>
        <rFont val="Arial, sans-serif"/>
        <color rgb="FF1155CC"/>
        <sz val="11.0"/>
        <u/>
      </rPr>
      <t>Una exploración al restaurante guijuelense de cocina de autor con productos de primera calidad, de la mano de Víctor Rodríguez (VIRÓ): donde el estilo joven...</t>
    </r>
    <r>
      <rPr>
        <rFont val="Arial, sans-serif"/>
        <color rgb="FF1155CC"/>
        <sz val="12.0"/>
        <u/>
      </rPr>
      <t>.</t>
    </r>
    <r>
      <rPr>
        <rFont val="Arial, sans-serif"/>
        <color rgb="FF1155CC"/>
        <sz val="11.0"/>
        <u/>
      </rPr>
      <t>9 mar 2024</t>
    </r>
  </si>
  <si>
    <t>VIRÓ de Guijuelo: una joven apuesta por la nueva gastronomía que acaricia el Sol Repsol</t>
  </si>
  <si>
    <t>Una exploración al restaurante guijuelense de cocina de autor con productos de primera calidad, de la mano de Víctor Rodríguez (VIRÓ): donde el estilo joven....</t>
  </si>
  <si>
    <t>VIRÓ de Guijuelo: a young woman committed to the new gastronomy that the Sol Repsol cherishes</t>
  </si>
  <si>
    <t>An exploration of the Guijuelo restaurant with signature cuisine with top quality products, led by Víctor Rodríguez (VIRÓ): where the young style...</t>
  </si>
  <si>
    <r>
      <rPr>
        <rFont val="Arial, sans-serif"/>
        <color rgb="FF1155CC"/>
        <sz val="9.0"/>
        <u/>
      </rPr>
      <t>Box Repsol</t>
    </r>
    <r>
      <rPr>
        <rFont val="Arial, sans-serif"/>
        <color rgb="FF1155CC"/>
        <sz val="15.0"/>
        <u/>
      </rPr>
      <t>Resultados de la carrera sprint del GP de Catar de MotoGP</t>
    </r>
    <r>
      <rPr>
        <rFont val="Arial, sans-serif"/>
        <color rgb="FF1155CC"/>
        <sz val="11.0"/>
        <u/>
      </rPr>
      <t>Bajos los focos del circuito de Catar se ha disputado la primera carrera al sprint de la temporada. En una breve carrera a 11 vueltas, Jorge Martín (Ducati)...</t>
    </r>
    <r>
      <rPr>
        <rFont val="Arial, sans-serif"/>
        <color rgb="FF1155CC"/>
        <sz val="12.0"/>
        <u/>
      </rPr>
      <t>.</t>
    </r>
    <r>
      <rPr>
        <rFont val="Arial, sans-serif"/>
        <color rgb="FF1155CC"/>
        <sz val="11.0"/>
        <u/>
      </rPr>
      <t>9 mar 2024</t>
    </r>
  </si>
  <si>
    <t>Resultados de la carrera sprint del GP de Catar de MotoGP</t>
  </si>
  <si>
    <t>Bajos los focos del circuito de Catar se ha disputado la primera carrera al sprint de la temporada. En una breve carrera a 11 vueltas, Jorge Martín (Ducati)....</t>
  </si>
  <si>
    <t>MotoGP Qatar GP sprint race results</t>
  </si>
  <si>
    <t>Under the lights of the Qatar circuit, the first sprint race of the season was held. In a short 11 lap race, Jorge Martín (Ducati)...</t>
  </si>
  <si>
    <r>
      <rPr>
        <rFont val="Arial, sans-serif"/>
        <color rgb="FF1155CC"/>
        <sz val="9.0"/>
        <u/>
      </rPr>
      <t>Diario de Valderrueda</t>
    </r>
    <r>
      <rPr>
        <rFont val="Arial, sans-serif"/>
        <color rgb="FF1155CC"/>
        <sz val="15.0"/>
        <u/>
      </rPr>
      <t>Así son los cuatro restaurantes de la Montaña Leonesa recomendados por la Guía Repsol 2024</t>
    </r>
    <r>
      <rPr>
        <rFont val="Arial, sans-serif"/>
        <color rgb="FF1155CC"/>
        <sz val="11.0"/>
        <u/>
      </rPr>
      <t>Así son los cuatro restaurantes de la Montaña Leonesa recomendados por la Guía Repsol 2024. Oceja de Valdellorma entra al listado por primera vez este año,...</t>
    </r>
    <r>
      <rPr>
        <rFont val="Arial, sans-serif"/>
        <color rgb="FF1155CC"/>
        <sz val="12.0"/>
        <u/>
      </rPr>
      <t>.</t>
    </r>
    <r>
      <rPr>
        <rFont val="Arial, sans-serif"/>
        <color rgb="FF1155CC"/>
        <sz val="11.0"/>
        <u/>
      </rPr>
      <t>9 mar 2024</t>
    </r>
  </si>
  <si>
    <t>Así son los cuatro restaurantes de la Montaña Leonesa recomendados por la Guía Repsol 2024.</t>
  </si>
  <si>
    <t>Así son los cuatro restaurantes de la Montaña Leonesa recomendados por la Guía Repsol 2024. Oceja de Valdellorma entra al listado por primera vez este año,....</t>
  </si>
  <si>
    <t>These are the four restaurants in Montaña Leonesa recommended by the Repsol Guide 2024.</t>
  </si>
  <si>
    <t>These are the four restaurants in the Leonese Mountain recommended by the Repsol Guide 2024. Oceja de Valdellorma enters the list for the first time this year....</t>
  </si>
  <si>
    <r>
      <rPr>
        <rFont val="Arial, sans-serif"/>
        <color rgb="FF1155CC"/>
        <sz val="9.0"/>
        <u/>
      </rPr>
      <t>MónTerrassa</t>
    </r>
    <r>
      <rPr>
        <rFont val="Arial, sans-serif"/>
        <color rgb="FF1155CC"/>
        <sz val="15.0"/>
        <u/>
      </rPr>
      <t>El chef Artur Martínez mantiene los Dos Soles de la Guía Repsol 2024</t>
    </r>
    <r>
      <rPr>
        <rFont val="Arial, sans-serif"/>
        <color rgb="FF1155CC"/>
        <sz val="11.0"/>
        <u/>
      </rPr>
      <t>El chef Artur Martínez ha mantenido un año más los Dos Soles de la Guía Repsol 2024. Este lunes día 4 de marzo, Cartagena acogió la gala en que se dieron a...</t>
    </r>
    <r>
      <rPr>
        <rFont val="Arial, sans-serif"/>
        <color rgb="FF1155CC"/>
        <sz val="12.0"/>
        <u/>
      </rPr>
      <t>.</t>
    </r>
    <r>
      <rPr>
        <rFont val="Arial, sans-serif"/>
        <color rgb="FF1155CC"/>
        <sz val="11.0"/>
        <u/>
      </rPr>
      <t>10 mar 2024</t>
    </r>
  </si>
  <si>
    <t>MónTerrassa</t>
  </si>
  <si>
    <t>El chef Artur Martínez mantiene los Dos Soles de la Guía Repsol 2024</t>
  </si>
  <si>
    <t>El chef Artur Martínez ha mantenido un año más los Dos Soles de la Guía Repsol 2024. Este lunes día 4 de marzo, Cartagena acogió la gala en que se dieron a....</t>
  </si>
  <si>
    <t>Chef Artur Martínez maintains the Dos Soles of the Repsol Guide 2024</t>
  </si>
  <si>
    <t>Chef Artur Martínez has maintained the Dos Soles of the Repsol Guide 2024 for another year. This Monday, March 4, Cartagena hosted the gala in which they were awarded....</t>
  </si>
  <si>
    <r>
      <rPr>
        <rFont val="Arial, sans-serif"/>
        <color rgb="FF1155CC"/>
        <sz val="9.0"/>
        <u/>
      </rPr>
      <t>La Marina Alta .COM</t>
    </r>
    <r>
      <rPr>
        <rFont val="Arial, sans-serif"/>
        <color rgb="FF1155CC"/>
        <sz val="15.0"/>
        <u/>
      </rPr>
      <t>Los 35 mejores restaurantes de la Marina Alta según la Guía Repsol 2024</t>
    </r>
    <r>
      <rPr>
        <rFont val="Arial, sans-serif"/>
        <color rgb="FF1155CC"/>
        <sz val="11.0"/>
        <u/>
      </rPr>
      <t>La prestigiosa Guía Repsol da a conocer cada año los restaurantes más destacados de toda la geografía española. Este año 2024, los mejores restaurantes de...</t>
    </r>
    <r>
      <rPr>
        <rFont val="Arial, sans-serif"/>
        <color rgb="FF1155CC"/>
        <sz val="12.0"/>
        <u/>
      </rPr>
      <t>.</t>
    </r>
    <r>
      <rPr>
        <rFont val="Arial, sans-serif"/>
        <color rgb="FF1155CC"/>
        <sz val="11.0"/>
        <u/>
      </rPr>
      <t>10 mar 2024</t>
    </r>
  </si>
  <si>
    <t>La Marina Alta .COM</t>
  </si>
  <si>
    <t>Los 35 mejores restaurantes de la Marina Alta según la Guía Repsol 2024</t>
  </si>
  <si>
    <t>La prestigiosa Guía Repsol da a conocer cada año los restaurantes más destacados de toda la geografía española. Este año 2024, los mejores restaurantes de....</t>
  </si>
  <si>
    <t>The 35 best restaurants in the Marina Alta according to the Repsol Guide 2024</t>
  </si>
  <si>
    <t>Every year, the prestigious Repsol Guide announces the most outstanding restaurants throughout Spain. This year 2024, the best restaurants in....</t>
  </si>
  <si>
    <r>
      <rPr>
        <rFont val="Arial, sans-serif"/>
        <color rgb="FF1155CC"/>
        <sz val="9.0"/>
        <u/>
      </rPr>
      <t>El Español</t>
    </r>
    <r>
      <rPr>
        <rFont val="Arial, sans-serif"/>
        <color rgb="FF1155CC"/>
        <sz val="15.0"/>
        <u/>
      </rPr>
      <t>El restaurante más barato con 3 Soles Repsol es el de Blanca, Armando y Juan: su menú cuesta 50 euros</t>
    </r>
    <r>
      <rPr>
        <rFont val="Arial, sans-serif"/>
        <color rgb="FF1155CC"/>
        <sz val="11.0"/>
        <u/>
      </rPr>
      <t>The New York Times ha situado este restaurante en el primer lugar de su lista de sitios que no te puedes perder en Madrid.</t>
    </r>
    <r>
      <rPr>
        <rFont val="Arial, sans-serif"/>
        <color rgb="FF1155CC"/>
        <sz val="12.0"/>
        <u/>
      </rPr>
      <t>.</t>
    </r>
    <r>
      <rPr>
        <rFont val="Arial, sans-serif"/>
        <color rgb="FF1155CC"/>
        <sz val="11.0"/>
        <u/>
      </rPr>
      <t>10 mar 2024</t>
    </r>
  </si>
  <si>
    <t>El restaurante más barato con 3 Soles Repsol es el de Blanca, Armando y Juan: su menú cuesta 50 euros</t>
  </si>
  <si>
    <t>El restaurante más barato con 3 Soles Repsol es el de Blanca, Armando y Juan: su menú cuesta 50 euros.</t>
  </si>
  <si>
    <t>The cheapest restaurant with 3 Repsol Soles is Blanca, Armando and Juan: their menu costs 50 euros</t>
  </si>
  <si>
    <t>The cheapest restaurant with 3 Repsol Soles is Blanca, Armando and Juan: their menu costs 50 euros.</t>
  </si>
  <si>
    <r>
      <rPr>
        <rFont val="Arial, sans-serif"/>
        <color rgb="FF1155CC"/>
        <sz val="9.0"/>
        <u/>
      </rPr>
      <t>La Razón</t>
    </r>
    <r>
      <rPr>
        <rFont val="Arial, sans-serif"/>
        <color rgb="FF1155CC"/>
        <sz val="15.0"/>
        <u/>
      </rPr>
      <t>5 pueblos de Castilla-La Mancha imprescindibles para visitar esta Semana Santa, según la Guía Repsol</t>
    </r>
    <r>
      <rPr>
        <rFont val="Arial, sans-serif"/>
        <color rgb="FF1155CC"/>
        <sz val="11.0"/>
        <u/>
      </rPr>
      <t>Castilla-La Mancha "no es solo una tierra de paso", así es como la describen desde la Guía Repsol. A pesar de ser una comunidad autónoma desconocida para...</t>
    </r>
    <r>
      <rPr>
        <rFont val="Arial, sans-serif"/>
        <color rgb="FF1155CC"/>
        <sz val="12.0"/>
        <u/>
      </rPr>
      <t>.</t>
    </r>
    <r>
      <rPr>
        <rFont val="Arial, sans-serif"/>
        <color rgb="FF1155CC"/>
        <sz val="11.0"/>
        <u/>
      </rPr>
      <t>10 mar 2024</t>
    </r>
  </si>
  <si>
    <t>5 pueblos de Castilla-La Mancha imprescindibles para visitar esta Semana Santa, según la Guía Repsol</t>
  </si>
  <si>
    <t>Castilla-La Mancha "no es solo una tierra de paso", así es como la describen desde la Guía Repsol. A pesar de ser una comunidad autónoma desconocida para....</t>
  </si>
  <si>
    <t>5 towns in Castilla-La Mancha that are essential to visit this Holy Week, according to the Repsol Guide</t>
  </si>
  <si>
    <t>Castilla-La Mancha "is not just a land of passage", this is how the Repsol Guide describes it. Despite being an autonomous community unknown to...</t>
  </si>
  <si>
    <r>
      <rPr>
        <rFont val="Arial, sans-serif"/>
        <color rgb="FF1155CC"/>
        <sz val="9.0"/>
        <u/>
      </rPr>
      <t>El Correo de Andalucía</t>
    </r>
    <r>
      <rPr>
        <rFont val="Arial, sans-serif"/>
        <color rgb="FF1155CC"/>
        <sz val="15.0"/>
        <u/>
      </rPr>
      <t>¡Luces, cámara… acción! el festival de Málaga se mueve hacia las cero emisiones</t>
    </r>
    <r>
      <rPr>
        <rFont val="Arial, sans-serif"/>
        <color rgb="FF1155CC"/>
        <sz val="11.0"/>
        <u/>
      </rPr>
      <t>El certamen da un salto cualitativo en esta edición para avanzar en la reducción de su huella de carbono. Repsol se incorpora como partner,...</t>
    </r>
    <r>
      <rPr>
        <rFont val="Arial, sans-serif"/>
        <color rgb="FF1155CC"/>
        <sz val="12.0"/>
        <u/>
      </rPr>
      <t>.</t>
    </r>
    <r>
      <rPr>
        <rFont val="Arial, sans-serif"/>
        <color rgb="FF1155CC"/>
        <sz val="11.0"/>
        <u/>
      </rPr>
      <t>10 mar 2024</t>
    </r>
  </si>
  <si>
    <t>El Correo de Andalucía</t>
  </si>
  <si>
    <t>¡Luces, cámara… acción! el festival de Málaga se mueve hacia las cero emisiones</t>
  </si>
  <si>
    <t>El certamen da un salto cualitativo en esta edición para avanzar en la reducción de su huella de carbono. Repsol se incorpora como partner,....</t>
  </si>
  <si>
    <t>Lights, camera… action! the Malaga festival moves towards zero emissions</t>
  </si>
  <si>
    <t>The contest takes a qualitative leap in this edition to advance in reducing its carbon footprint. Repsol joins as a partner,....</t>
  </si>
  <si>
    <t>Film festivals do not impact Repsol’s corporate perception.</t>
  </si>
  <si>
    <t>cero emisiones, partner</t>
  </si>
  <si>
    <r>
      <rPr>
        <rFont val="Arial, sans-serif"/>
        <color rgb="FF1155CC"/>
        <sz val="9.0"/>
        <u/>
      </rPr>
      <t>La Razón</t>
    </r>
    <r>
      <rPr>
        <rFont val="Arial, sans-serif"/>
        <color rgb="FF1155CC"/>
        <sz val="15.0"/>
        <u/>
      </rPr>
      <t>Jesús León, chef de Señor Cangrejo: "La informalidad y la alta gastronomía bordan a la perfección"</t>
    </r>
    <r>
      <rPr>
        <rFont val="Arial, sans-serif"/>
        <color rgb="FF1155CC"/>
        <sz val="11.0"/>
        <u/>
      </rPr>
      <t>El restaurante, a cargo de Fátima Villanueva y Jesús León, acaba de recibir un Sol Repsol por su innovadora propuesta gastronómica.</t>
    </r>
    <r>
      <rPr>
        <rFont val="Arial, sans-serif"/>
        <color rgb="FF1155CC"/>
        <sz val="12.0"/>
        <u/>
      </rPr>
      <t>.</t>
    </r>
    <r>
      <rPr>
        <rFont val="Arial, sans-serif"/>
        <color rgb="FF1155CC"/>
        <sz val="11.0"/>
        <u/>
      </rPr>
      <t>10 mar 2024</t>
    </r>
  </si>
  <si>
    <t>"La informalidad y la alta gastronomía bordan a la perfección"</t>
  </si>
  <si>
    <t>El restaurante, a cargo de Fátima Villanueva y Jesús León, acaba de recibir un Sol Repsol por su innovadora propuesta gastronómica.</t>
  </si>
  <si>
    <t>"Informality and haute cuisine go together perfectly"</t>
  </si>
  <si>
    <t>The restaurant, run by Fátima Villanueva and Jesús León, has just received a Sol Repsol for its innovative gastronomic proposal.</t>
  </si>
  <si>
    <r>
      <rPr>
        <rFont val="Arial, sans-serif"/>
        <color rgb="FF1155CC"/>
        <sz val="9.0"/>
        <u/>
      </rPr>
      <t>Motorsport.com España</t>
    </r>
    <r>
      <rPr>
        <rFont val="Arial, sans-serif"/>
        <color rgb="FF1155CC"/>
        <sz val="15.0"/>
        <u/>
      </rPr>
      <t>Luca Marini, del cielo al infierno en poco más de cien días</t>
    </r>
    <r>
      <rPr>
        <rFont val="Arial, sans-serif"/>
        <color rgb="FF1155CC"/>
        <sz val="11.0"/>
        <u/>
      </rPr>
      <t>Hace poco más de tres meses, el anuncio de que Marc Márquez iba a dejar Honda fue visto por Luca Marini como la gran oportunidad de su vida de llegar a un...</t>
    </r>
    <r>
      <rPr>
        <rFont val="Arial, sans-serif"/>
        <color rgb="FF1155CC"/>
        <sz val="12.0"/>
        <u/>
      </rPr>
      <t>.</t>
    </r>
    <r>
      <rPr>
        <rFont val="Arial, sans-serif"/>
        <color rgb="FF1155CC"/>
        <sz val="11.0"/>
        <u/>
      </rPr>
      <t>10 mar 2024</t>
    </r>
  </si>
  <si>
    <t>Luca Marini, del cielo al infierno en poco más de cien días</t>
  </si>
  <si>
    <t>Hace poco más de tres meses, el anuncio de que Marc Márquez iba a dejar Honda fue visto por Luca Marini como la gran oportunidad de su vida de llegar a un....</t>
  </si>
  <si>
    <t>Luca Marini, from heaven to hell in just over a hundred days</t>
  </si>
  <si>
    <t>A little over three months ago, the announcement that Marc Márquez was going to leave Honda was seen by Luca Marini as the great opportunity of his life to reach a...</t>
  </si>
  <si>
    <r>
      <rPr>
        <rFont val="Arial, sans-serif"/>
        <color rgb="FF1155CC"/>
        <sz val="9.0"/>
        <u/>
      </rPr>
      <t>The Conversation</t>
    </r>
    <r>
      <rPr>
        <rFont val="Arial, sans-serif"/>
        <color rgb="FF1155CC"/>
        <sz val="15.0"/>
        <u/>
      </rPr>
      <t>Solo el 11,5 % de la economía de la Unión Europea es circular, ¿cómo aumentar el porcentaje?</t>
    </r>
    <r>
      <rPr>
        <rFont val="Arial, sans-serif"/>
        <color rgb="FF1155CC"/>
        <sz val="11.0"/>
        <u/>
      </rPr>
      <t>Según los últimos datos de 2022, tan solo el 11,5 % de la economía de la Unión Europea puede considerarse circular. Aumentar el reciclaje de materiales...</t>
    </r>
    <r>
      <rPr>
        <rFont val="Arial, sans-serif"/>
        <color rgb="FF1155CC"/>
        <sz val="12.0"/>
        <u/>
      </rPr>
      <t>.</t>
    </r>
    <r>
      <rPr>
        <rFont val="Arial, sans-serif"/>
        <color rgb="FF1155CC"/>
        <sz val="11.0"/>
        <u/>
      </rPr>
      <t>10 mar 2024</t>
    </r>
  </si>
  <si>
    <t>The Conversation</t>
  </si>
  <si>
    <t>Solo el 11,5 % de la economía de la Unión Europea es circular, ¿cómo aumentar el porcentaje?</t>
  </si>
  <si>
    <t>Según los últimos datos de 2022, tan solo el 11,5 % de la economía de la Unión Europea puede considerarse circular. Aumentar el reciclaje de materiales....</t>
  </si>
  <si>
    <t>Only 11.5% of the European Union's economy is circular, how to increase the percentage?</t>
  </si>
  <si>
    <t>According to the latest data from 2022, only 11.5% of the European Union economy can be considered circular. Increase the recycling of materials....</t>
  </si>
  <si>
    <t>Economy</t>
  </si>
  <si>
    <t>General economic statistics do not impact Repsol’s corporate perception.</t>
  </si>
  <si>
    <t>Neutral, as it is unrelated to Repsol's core activities.</t>
  </si>
  <si>
    <t>Neutral, al no tener relación con las actividades principales de Repsol.</t>
  </si>
  <si>
    <r>
      <rPr>
        <rFont val="Arial, sans-serif"/>
        <color rgb="FF1155CC"/>
        <sz val="9.0"/>
        <u/>
      </rPr>
      <t>El Día de Córdoba</t>
    </r>
    <r>
      <rPr>
        <rFont val="Arial, sans-serif"/>
        <color rgb="FF1155CC"/>
        <sz val="15.0"/>
        <u/>
      </rPr>
      <t>Pablo Chiapella disfruta de la gastronomía de El Envero</t>
    </r>
    <r>
      <rPr>
        <rFont val="Arial, sans-serif"/>
        <color rgb="FF1155CC"/>
        <sz val="11.0"/>
        <u/>
      </rPr>
      <t>El popular actor protagonizó en El Teatro El Brillante de Córdoba el show cómico 'El Anticoach' este fin de semana.</t>
    </r>
    <r>
      <rPr>
        <rFont val="Arial, sans-serif"/>
        <color rgb="FF1155CC"/>
        <sz val="12.0"/>
        <u/>
      </rPr>
      <t>.</t>
    </r>
    <r>
      <rPr>
        <rFont val="Arial, sans-serif"/>
        <color rgb="FF1155CC"/>
        <sz val="11.0"/>
        <u/>
      </rPr>
      <t>10 mar 2024</t>
    </r>
  </si>
  <si>
    <t>Pablo Chiapella disfruta de la gastronomía de El Envero</t>
  </si>
  <si>
    <t>El popular actor protagonizó en El Teatro El Brillante de Córdoba el show cómico 'El Anticoach' este fin de semana.</t>
  </si>
  <si>
    <t>Pablo Chiapella enjoys the gastronomy of El Envero</t>
  </si>
  <si>
    <t>The popular actor starred in the comedy show 'El Anticoach' at El Brillante Theater in Córdoba this weekend.</t>
  </si>
  <si>
    <r>
      <rPr>
        <rFont val="Arial, sans-serif"/>
        <color rgb="FF1155CC"/>
        <sz val="9.0"/>
        <u/>
      </rPr>
      <t>Lecturas</t>
    </r>
    <r>
      <rPr>
        <rFont val="Arial, sans-serif"/>
        <color rgb="FF1155CC"/>
        <sz val="15.0"/>
        <u/>
      </rPr>
      <t>Marc y Álex Márquez, en cifras: todo sobre sus jugosos negocios e inversiones gracias a lo que han ganado sobre la moto</t>
    </r>
    <r>
      <rPr>
        <rFont val="Arial, sans-serif"/>
        <color rgb="FF1155CC"/>
        <sz val="11.0"/>
        <u/>
      </rPr>
      <t>Marc y Álex Márquez son dos ganadores, de eso no hay duda. Y poco a poco han ido trasladando su éxito sobre la moto en éxito empresarial.</t>
    </r>
    <r>
      <rPr>
        <rFont val="Arial, sans-serif"/>
        <color rgb="FF1155CC"/>
        <sz val="12.0"/>
        <u/>
      </rPr>
      <t>.</t>
    </r>
    <r>
      <rPr>
        <rFont val="Arial, sans-serif"/>
        <color rgb="FF1155CC"/>
        <sz val="11.0"/>
        <u/>
      </rPr>
      <t>10 mar 2024</t>
    </r>
  </si>
  <si>
    <t>Lecturas</t>
  </si>
  <si>
    <t>Marc y Álex Márquez, en cifras: todo sobre sus jugosos negocios e inversiones gracias a lo que han ganado sobre la moto</t>
  </si>
  <si>
    <t>Marc y Álex Márquez son dos ganadores, de eso no hay duda. Y poco a poco han ido trasladando su éxito sobre la moto en éxito empresarial.</t>
  </si>
  <si>
    <t>Marc and Álex Márquez, in figures: everything about their juicy businesses and investments thanks to what they have earned on the motorcycle</t>
  </si>
  <si>
    <t>Marc and Álex Márquez are two winners, there is no doubt about that. And little by little they have been translating their success on the motorcycle into business success.</t>
  </si>
  <si>
    <r>
      <rPr>
        <rFont val="Arial, sans-serif"/>
        <color rgb="FF1155CC"/>
        <sz val="9.0"/>
        <u/>
      </rPr>
      <t>www.fundacionrepsol.com</t>
    </r>
    <r>
      <rPr>
        <rFont val="Arial, sans-serif"/>
        <color rgb="FF1155CC"/>
        <sz val="15.0"/>
        <u/>
      </rPr>
      <t>Ganadores del Challenge Universitario</t>
    </r>
    <r>
      <rPr>
        <rFont val="Arial, sans-serif"/>
        <color rgb="FF1155CC"/>
        <sz val="11.0"/>
        <u/>
      </rPr>
      <t>Fundación Repsol ha reunido a cerca de un centenar de estudiantes universitarios en la Gran Final su Challenge Universitario en la gala final celebrada en...</t>
    </r>
    <r>
      <rPr>
        <rFont val="Arial, sans-serif"/>
        <color rgb="FF1155CC"/>
        <sz val="12.0"/>
        <u/>
      </rPr>
      <t>.</t>
    </r>
    <r>
      <rPr>
        <rFont val="Arial, sans-serif"/>
        <color rgb="FF1155CC"/>
        <sz val="11.0"/>
        <u/>
      </rPr>
      <t>11 mar 2024</t>
    </r>
  </si>
  <si>
    <t>Ganadores del Challenge Universitario</t>
  </si>
  <si>
    <t>Fundación Repsol ha reunido a cerca de un centenar de estudiantes universitarios en la Gran Final su Challenge Universitario en la gala final celebrada en....</t>
  </si>
  <si>
    <t>Winners of the University Challenge</t>
  </si>
  <si>
    <t>Fundación Repsol has brought together nearly a hundred university students in the Grand Final of its University Challenge at the final gala held in...</t>
  </si>
  <si>
    <t>Fundación Repsol, education</t>
  </si>
  <si>
    <t>Fundación Repsol, educación</t>
  </si>
  <si>
    <t>Supporting university competitions enhances Repsol’s corporate image.</t>
  </si>
  <si>
    <t>Challenge Universitario, Fundación Repsol</t>
  </si>
  <si>
    <t>Positive sentiment due to Repsol's support for education and innovation.</t>
  </si>
  <si>
    <t>Sentimiento positivo por el apoyo de Repsol a la educación y la innovación.</t>
  </si>
  <si>
    <r>
      <rPr>
        <rFont val="Arial, sans-serif"/>
        <color rgb="FF1155CC"/>
        <sz val="9.0"/>
        <u/>
      </rPr>
      <t>El Periódico de la Energía</t>
    </r>
    <r>
      <rPr>
        <rFont val="Arial, sans-serif"/>
        <color rgb="FF1155CC"/>
        <sz val="15.0"/>
        <u/>
      </rPr>
      <t>Bruselas aprueba una ayuda portuguesa de 63 millones para diversificar la producción de Repsol Polímeros</t>
    </r>
    <r>
      <rPr>
        <rFont val="Arial, sans-serif"/>
        <color rgb="FF1155CC"/>
        <sz val="11.0"/>
        <u/>
      </rPr>
      <t>La Comisión Europea (CE) ha aprobado unas una ayuda estatal portuguesa de 63 millones de euros para apoyar a Repsol Polímeros.</t>
    </r>
    <r>
      <rPr>
        <rFont val="Arial, sans-serif"/>
        <color rgb="FF1155CC"/>
        <sz val="12.0"/>
        <u/>
      </rPr>
      <t>.</t>
    </r>
    <r>
      <rPr>
        <rFont val="Arial, sans-serif"/>
        <color rgb="FF1155CC"/>
        <sz val="11.0"/>
        <u/>
      </rPr>
      <t>11 mar 2024</t>
    </r>
  </si>
  <si>
    <t>Bruselas aprueba una ayuda portuguesa de 63 millones para diversificar la producción de Repsol Polímeros</t>
  </si>
  <si>
    <t>La Comisión Europea (CE) ha aprobado unas una ayuda estatal portuguesa de 63 millones de euros para apoyar a Repsol Polímeros.</t>
  </si>
  <si>
    <t>Brussels approves Portuguese aid of 63 million to diversify the production of Repsol Polímeros</t>
  </si>
  <si>
    <t>The European Commission (EC) has approved Portuguese state aid of 63 million euros to support Repsol Polímeros.</t>
  </si>
  <si>
    <t>General energy policies do not impact Repsol’s corporate perception.</t>
  </si>
  <si>
    <t>ayuda portuguesa, diversificar</t>
  </si>
  <si>
    <t>Neutral to slightly positive, as it highlights Repsol's financial support.</t>
  </si>
  <si>
    <t>De neutral a ligeramente positiva, ya que destaca el apoyo financiero de Repsol.</t>
  </si>
  <si>
    <r>
      <rPr>
        <rFont val="Arial, sans-serif"/>
        <color rgb="FF1155CC"/>
        <sz val="9.0"/>
        <u/>
      </rPr>
      <t>VigoÉ</t>
    </r>
    <r>
      <rPr>
        <rFont val="Arial, sans-serif"/>
        <color rgb="FF1155CC"/>
        <sz val="15.0"/>
        <u/>
      </rPr>
      <t>La flota de Optimist desafió al mal tiempo para disputar una gran jornada del Trofeo Repsol</t>
    </r>
    <r>
      <rPr>
        <rFont val="Arial, sans-serif"/>
        <color rgb="FF1155CC"/>
        <sz val="11.0"/>
        <u/>
      </rPr>
      <t>La flota gallega de Optimist retó este domingo al mal tiempo en una gran jornada de vela ligera organizada por el Real Club Náutico de Vigo y en la que se...</t>
    </r>
    <r>
      <rPr>
        <rFont val="Arial, sans-serif"/>
        <color rgb="FF1155CC"/>
        <sz val="12.0"/>
        <u/>
      </rPr>
      <t>.</t>
    </r>
    <r>
      <rPr>
        <rFont val="Arial, sans-serif"/>
        <color rgb="FF1155CC"/>
        <sz val="11.0"/>
        <u/>
      </rPr>
      <t>11 mar 2024</t>
    </r>
  </si>
  <si>
    <t>Vigo É</t>
  </si>
  <si>
    <t>La flota de Optimist desafió al mal tiempo para disputar una gran jornada del Trofeo Repsol</t>
  </si>
  <si>
    <t>La flota gallega de Optimist retó este domingo al mal tiempo en una gran jornada de vela ligera organizada por el Real Club Náutico de Vigo y en la que se....</t>
  </si>
  <si>
    <t>The Optimist fleet defied the bad weather to compete in a great day of the Repsol Trophy</t>
  </si>
  <si>
    <t>The Galician Optimist fleet challenged the bad weather this Sunday in a great day of dinghy sailing organized by the Real Club Náutico de Vigo and in which...</t>
  </si>
  <si>
    <r>
      <rPr>
        <rFont val="Arial, sans-serif"/>
        <color rgb="FF1155CC"/>
        <sz val="9.0"/>
        <u/>
      </rPr>
      <t>Motor EL PAÍS</t>
    </r>
    <r>
      <rPr>
        <rFont val="Arial, sans-serif"/>
        <color rgb="FF1155CC"/>
        <sz val="15.0"/>
        <u/>
      </rPr>
      <t>¿Las gasolinas baratas son de fiar? Alcampo lo explica en un cartel con cuatro palabras</t>
    </r>
    <r>
      <rPr>
        <rFont val="Arial, sans-serif"/>
        <color rgb="FF1155CC"/>
        <sz val="11.0"/>
        <u/>
      </rPr>
      <t>Con las continuas alzas en los precios de los hidrocarburos en España, muchos usuarios recurren a repostar en las gasolineras de los hipermercados.</t>
    </r>
    <r>
      <rPr>
        <rFont val="Arial, sans-serif"/>
        <color rgb="FF1155CC"/>
        <sz val="12.0"/>
        <u/>
      </rPr>
      <t>.</t>
    </r>
    <r>
      <rPr>
        <rFont val="Arial, sans-serif"/>
        <color rgb="FF1155CC"/>
        <sz val="11.0"/>
        <u/>
      </rPr>
      <t>11 mar 2024</t>
    </r>
  </si>
  <si>
    <t>¿Las gasolinas baratas son de fiar? Alcampo lo explica en un cartel con cuatro palabras</t>
  </si>
  <si>
    <t>Con las continuas alzas en los precios de los hidrocarburos en España, muchos usuarios recurren a repostar en las gasolineras de los hipermercados.</t>
  </si>
  <si>
    <t>Are cheap gasoline reliable? Alcampo explains it on a poster with four words</t>
  </si>
  <si>
    <t>With the continuous increases in hydrocarbon prices in Spain, many users resort to refueling at gas stations in hypermarkets.</t>
  </si>
  <si>
    <t>General fuel discussions do not impact Repsol’s business.</t>
  </si>
  <si>
    <r>
      <rPr>
        <rFont val="Arial, sans-serif"/>
        <color rgb="FF1155CC"/>
        <sz val="9.0"/>
        <u/>
      </rPr>
      <t>Economía de Mallorca</t>
    </r>
    <r>
      <rPr>
        <rFont val="Arial, sans-serif"/>
        <color rgb="FF1155CC"/>
        <sz val="15.0"/>
        <u/>
      </rPr>
      <t>VORO, el único restaurante en Baleares con 2 estrellas Michelin y 2 soles Repsol, abre sus puertas este 15 de marzo</t>
    </r>
    <r>
      <rPr>
        <rFont val="Arial, sans-serif"/>
        <color rgb="FF1155CC"/>
        <sz val="11.0"/>
        <u/>
      </rPr>
      <t>El restaurante VORO, ubicado en Cap Vermell Grand Hotel y el único restaurante de las islas que cuenta con 2 estrellas Michelin y 2 soles Repsol,...</t>
    </r>
    <r>
      <rPr>
        <rFont val="Arial, sans-serif"/>
        <color rgb="FF1155CC"/>
        <sz val="12.0"/>
        <u/>
      </rPr>
      <t>.</t>
    </r>
    <r>
      <rPr>
        <rFont val="Arial, sans-serif"/>
        <color rgb="FF1155CC"/>
        <sz val="11.0"/>
        <u/>
      </rPr>
      <t>11 mar 2024</t>
    </r>
  </si>
  <si>
    <t>Economía de Mallorca</t>
  </si>
  <si>
    <t>VORO, el único restaurante en Baleares con 2 estrellas Michelin y 2 soles Repsol, abre sus puertas este 15 de marzo</t>
  </si>
  <si>
    <t>El restaurante VORO, ubicado en Cap Vermell Grand Hotel y el único restaurante de las islas que cuenta con 2 estrellas Michelin y 2 soles Repsol,....</t>
  </si>
  <si>
    <t>VORO, the only restaurant in the Balearic Islands with 2 Michelin stars and 2 Repsol soles, opens its doors this March 15</t>
  </si>
  <si>
    <t>The VORO restaurant, located in Cap Vermell Grand Hotel and the only restaurant on the islands that has 2 Michelin stars and 2 Repsol soles,...</t>
  </si>
  <si>
    <r>
      <rPr>
        <rFont val="Arial, sans-serif"/>
        <color rgb="FF1155CC"/>
        <sz val="9.0"/>
        <u/>
      </rPr>
      <t>Valle de las Uvas Aspe Noticias</t>
    </r>
    <r>
      <rPr>
        <rFont val="Arial, sans-serif"/>
        <color rgb="FF1155CC"/>
        <sz val="15.0"/>
        <u/>
      </rPr>
      <t>#Aspe: 21 Estrellas Michelin y 25 soles Repsol brillan hoy en Alfonso Mira</t>
    </r>
    <r>
      <rPr>
        <rFont val="Arial, sans-serif"/>
        <color rgb="FF1155CC"/>
        <sz val="11.0"/>
        <u/>
      </rPr>
      <t>Los Encuentros Gastronómicos de Alfonso Mira se han convertido en referente del panorama nacional en una vigésima segunda edición en la que continúan...</t>
    </r>
    <r>
      <rPr>
        <rFont val="Arial, sans-serif"/>
        <color rgb="FF1155CC"/>
        <sz val="12.0"/>
        <u/>
      </rPr>
      <t>.</t>
    </r>
    <r>
      <rPr>
        <rFont val="Arial, sans-serif"/>
        <color rgb="FF1155CC"/>
        <sz val="11.0"/>
        <u/>
      </rPr>
      <t>11 mar 2024</t>
    </r>
  </si>
  <si>
    <t>Valle de las Uvas Aspe Noticias</t>
  </si>
  <si>
    <t>Aspe: 21 Estrellas Michelin y 25 soles Repsol brillan hoy en Alfonso Mira</t>
  </si>
  <si>
    <t>Los Encuentros Gastronómicos de Alfonso Mira se han convertido en referente del panorama nacional en una vigésima segunda edición en la que continúan....</t>
  </si>
  <si>
    <t>Aspe: 21 Michelin Stars and 25 Repsol suns shine today in Alfonso Mira</t>
  </si>
  <si>
    <t>The Alfonso Mira Gastronomic Meetings have become a benchmark on the national scene in a twenty-second edition in which they continue...</t>
  </si>
  <si>
    <r>
      <rPr>
        <rFont val="Arial, sans-serif"/>
        <color rgb="FF1155CC"/>
        <sz val="9.0"/>
        <u/>
      </rPr>
      <t>Crónica Vasca</t>
    </r>
    <r>
      <rPr>
        <rFont val="Arial, sans-serif"/>
        <color rgb="FF1155CC"/>
        <sz val="15.0"/>
        <u/>
      </rPr>
      <t>La chuleta perfecta la sirven en un restaurante de Euskadi: un sabor único y dos soles Repsol</t>
    </r>
    <r>
      <rPr>
        <rFont val="Arial, sans-serif"/>
        <color rgb="FF1155CC"/>
        <sz val="11.0"/>
        <u/>
      </rPr>
      <t>La selección cuidadosa de cortes de ternera, con énfasis en el corte llamado Txuleta, se convierte en el pilar fundamental para el asado perfecto que ha...</t>
    </r>
    <r>
      <rPr>
        <rFont val="Arial, sans-serif"/>
        <color rgb="FF1155CC"/>
        <sz val="12.0"/>
        <u/>
      </rPr>
      <t>.</t>
    </r>
    <r>
      <rPr>
        <rFont val="Arial, sans-serif"/>
        <color rgb="FF1155CC"/>
        <sz val="11.0"/>
        <u/>
      </rPr>
      <t>11 mar 2024</t>
    </r>
  </si>
  <si>
    <t>La chuleta perfecta la sirven en un restaurante de Euskadi: un sabor único y dos soles Repsol</t>
  </si>
  <si>
    <t>La selección cuidadosa de cortes de ternera, con énfasis en el corte llamado Txuleta, se convierte en el pilar fundamental para el asado perfecto que ha....</t>
  </si>
  <si>
    <t>The perfect chop is served in a restaurant in the Basque Country: a unique flavor and two Repsol suns</t>
  </si>
  <si>
    <t>The careful selection of cuts of beef, with emphasis on the cut called Txuleta, becomes the fundamental pillar for the perfect barbecue that has...</t>
  </si>
  <si>
    <r>
      <rPr>
        <rFont val="Arial, sans-serif"/>
        <color rgb="FF1155CC"/>
        <sz val="9.0"/>
        <u/>
      </rPr>
      <t>La Alacena Roja</t>
    </r>
    <r>
      <rPr>
        <rFont val="Arial, sans-serif"/>
        <color rgb="FF1155CC"/>
        <sz val="15.0"/>
        <u/>
      </rPr>
      <t>Un viaje de 85 años por todos los sabores</t>
    </r>
    <r>
      <rPr>
        <rFont val="Arial, sans-serif"/>
        <color rgb="FF1155CC"/>
        <sz val="11.0"/>
        <u/>
      </rPr>
      <t>Con la sencillez de un orfebre de la gastronomía, Manuel Costiña, nos recibe en Santa Comba, para su 85 aniversario.</t>
    </r>
    <r>
      <rPr>
        <rFont val="Arial, sans-serif"/>
        <color rgb="FF1155CC"/>
        <sz val="12.0"/>
        <u/>
      </rPr>
      <t>.</t>
    </r>
    <r>
      <rPr>
        <rFont val="Arial, sans-serif"/>
        <color rgb="FF1155CC"/>
        <sz val="11.0"/>
        <u/>
      </rPr>
      <t>11 mar 2024</t>
    </r>
  </si>
  <si>
    <t>La Alacena Roja</t>
  </si>
  <si>
    <t>Un viaje de 85 años por todos los sabores</t>
  </si>
  <si>
    <t>Con la sencillez de un orfebre de la gastronomía, Manuel Costiña, nos recibe en Santa Comba, para su 85 aniversario.</t>
  </si>
  <si>
    <t>An 85-year journey through all the flavors</t>
  </si>
  <si>
    <t>With the simplicity of a gastronomic goldsmith, Manuel Costiña, welcomes us in Santa Comba, for its 85th anniversary.</t>
  </si>
  <si>
    <r>
      <rPr>
        <rFont val="Arial, sans-serif"/>
        <color rgb="FF1155CC"/>
        <sz val="9.0"/>
        <u/>
      </rPr>
      <t>El Día de Córdoba</t>
    </r>
    <r>
      <rPr>
        <rFont val="Arial, sans-serif"/>
        <color rgb="FF1155CC"/>
        <sz val="15.0"/>
        <u/>
      </rPr>
      <t>El restaurante Noor, entre los 50 Mejores de Europa</t>
    </r>
    <r>
      <rPr>
        <rFont val="Arial, sans-serif"/>
        <color rgb="FF1155CC"/>
        <sz val="11.0"/>
        <u/>
      </rPr>
      <t>Los reconocimientos no cesan para Noor. El restaurante de Paco Morales, distinguido con tres estrellas Michelin y dos Soles Repsol, ahora se ha erigido en...</t>
    </r>
    <r>
      <rPr>
        <rFont val="Arial, sans-serif"/>
        <color rgb="FF1155CC"/>
        <sz val="12.0"/>
        <u/>
      </rPr>
      <t>.</t>
    </r>
    <r>
      <rPr>
        <rFont val="Arial, sans-serif"/>
        <color rgb="FF1155CC"/>
        <sz val="11.0"/>
        <u/>
      </rPr>
      <t>11 mar 2024</t>
    </r>
  </si>
  <si>
    <t>El restaurante Noor, entre los 50 Mejores de Europa</t>
  </si>
  <si>
    <t>El restaurante de Paco Morales, distinguido con tres estrellas Michelin y dos Soles Repsol, ahora se ha erigido en....</t>
  </si>
  <si>
    <t>The Noor restaurant, among the 50 Best in Europe</t>
  </si>
  <si>
    <t>Paco Morales' restaurant, distinguished with three Michelin stars and two Repsol Suns, has now become...</t>
  </si>
  <si>
    <r>
      <rPr>
        <rFont val="Arial, sans-serif"/>
        <color rgb="FF1155CC"/>
        <sz val="9.0"/>
        <u/>
      </rPr>
      <t>El Español</t>
    </r>
    <r>
      <rPr>
        <rFont val="Arial, sans-serif"/>
        <color rgb="FF1155CC"/>
        <sz val="15.0"/>
        <u/>
      </rPr>
      <t>Retiro da Costiña está de aniversario: Así será su homenaje culinario a 85 años de historia</t>
    </r>
    <r>
      <rPr>
        <rFont val="Arial, sans-serif"/>
        <color rgb="FF1155CC"/>
        <sz val="11.0"/>
        <u/>
      </rPr>
      <t>El restaurante contará para su celebración con sus amigos chef estrella y una cuidada selección de vinos. La recaudación se destinará a la ACEM.</t>
    </r>
    <r>
      <rPr>
        <rFont val="Arial, sans-serif"/>
        <color rgb="FF1155CC"/>
        <sz val="12.0"/>
        <u/>
      </rPr>
      <t>.</t>
    </r>
    <r>
      <rPr>
        <rFont val="Arial, sans-serif"/>
        <color rgb="FF1155CC"/>
        <sz val="11.0"/>
        <u/>
      </rPr>
      <t>11 mar 2024</t>
    </r>
  </si>
  <si>
    <t>Retiro da Costiña está de aniversario: Así será su homenaje culinario a 85 años de historia</t>
  </si>
  <si>
    <t>El restaurante contará para su celebración con sus amigos chef estrella y una cuidada selección de vinos. La recaudación se destinará a la ACEM.</t>
  </si>
  <si>
    <t>Retiro da Costiña is celebrating its anniversary: ​​This will be its culinary tribute to 85 years of history</t>
  </si>
  <si>
    <t>The restaurant will have its star chef friends and a careful selection of wines for your celebration. The proceeds will go to the ACEM.</t>
  </si>
  <si>
    <r>
      <rPr>
        <rFont val="Arial, sans-serif"/>
        <color rgb="FF1155CC"/>
        <sz val="9.0"/>
        <u/>
      </rPr>
      <t>El Español</t>
    </r>
    <r>
      <rPr>
        <rFont val="Arial, sans-serif"/>
        <color rgb="FF1155CC"/>
        <sz val="15.0"/>
        <u/>
      </rPr>
      <t>Repsol alcanza las 100 gasolineras en España y Portugal en las que suministra su combustible renovable</t>
    </r>
    <r>
      <rPr>
        <rFont val="Arial, sans-serif"/>
        <color rgb="FF1155CC"/>
        <sz val="11.0"/>
        <u/>
      </rPr>
      <t>Aspira a superar a finales de este año las 600 estaciones de servicio en las que comercialice carburante verde.</t>
    </r>
    <r>
      <rPr>
        <rFont val="Arial, sans-serif"/>
        <color rgb="FF1155CC"/>
        <sz val="12.0"/>
        <u/>
      </rPr>
      <t>.</t>
    </r>
    <r>
      <rPr>
        <rFont val="Arial, sans-serif"/>
        <color rgb="FF1155CC"/>
        <sz val="11.0"/>
        <u/>
      </rPr>
      <t>12 mar 2024</t>
    </r>
  </si>
  <si>
    <t>Repsol alcanza las 100 gasolineras en España y Portugal en las que suministra su combustible renovable</t>
  </si>
  <si>
    <t>Aspira a superar a finales de este año las 600 estaciones de servicio en las que comercialice carburante verde.</t>
  </si>
  <si>
    <t>Repsol reaches 100 gas stations in Spain and Portugal where it supplies its renewable fuel</t>
  </si>
  <si>
    <t>By the end of this year, it aims to exceed 600 service stations where it sells green fuel.</t>
  </si>
  <si>
    <t>Repsol renewable fuel, sustainability</t>
  </si>
  <si>
    <t>Repsol combustible renovable, sostenibilidad</t>
  </si>
  <si>
    <t>Expanding renewable fuel stations aligns with Repsol’s sustainability goals.</t>
  </si>
  <si>
    <t>combustible renovable, gasolineras</t>
  </si>
  <si>
    <t>Positive sentiment due to Repsol's sustainability efforts.</t>
  </si>
  <si>
    <t>Sentimiento positivo por el esfuerzo de Repsol en sostenibilidad.</t>
  </si>
  <si>
    <r>
      <rPr>
        <rFont val="Arial, sans-serif"/>
        <color rgb="FF1155CC"/>
        <sz val="9.0"/>
        <u/>
      </rPr>
      <t>Repsol</t>
    </r>
    <r>
      <rPr>
        <rFont val="Arial, sans-serif"/>
        <color rgb="FF1155CC"/>
        <sz val="15.0"/>
        <u/>
      </rPr>
      <t>(2024) Lanzamos nuestros nuevos envases de lubricantes con un 60% de contenido de plástico reciclado</t>
    </r>
    <r>
      <rPr>
        <rFont val="Arial, sans-serif"/>
        <color rgb="FF1155CC"/>
        <sz val="11.0"/>
        <u/>
      </rPr>
      <t>Nuestros nuevos envases de lubricantes incorporan un 60% de plástico post-consumo reciclado mecánicamente. El nuevo compuesto, que pertenece a la gama de...</t>
    </r>
    <r>
      <rPr>
        <rFont val="Arial, sans-serif"/>
        <color rgb="FF1155CC"/>
        <sz val="12.0"/>
        <u/>
      </rPr>
      <t>.</t>
    </r>
    <r>
      <rPr>
        <rFont val="Arial, sans-serif"/>
        <color rgb="FF1155CC"/>
        <sz val="11.0"/>
        <u/>
      </rPr>
      <t>12 mar 2024</t>
    </r>
  </si>
  <si>
    <t>Lanzamos nuestros nuevos envases de lubricantes con un 60% de contenido de plástico reciclado</t>
  </si>
  <si>
    <t>Nuestros nuevos envases de lubricantes incorporan un 60% de plástico post-consumo reciclado mecánicamente. El nuevo compuesto, que pertenece a la gama de....</t>
  </si>
  <si>
    <t>We launch our new lubricant containers with 60% recycled plastic content</t>
  </si>
  <si>
    <t>Our new lubricant containers incorporate 60% mechanically recycled post-consumer plastic. The new compound, which belongs to the range of...</t>
  </si>
  <si>
    <t>Recycled materials, Repsol sustainability</t>
  </si>
  <si>
    <t>Materiales reciclados, Sostenibilidad Repsol</t>
  </si>
  <si>
    <t>Using recycled materials enhances Repsol’s environmental commitment.</t>
  </si>
  <si>
    <t>plástico reciclado, lubricantes</t>
  </si>
  <si>
    <r>
      <rPr>
        <rFont val="Arial, sans-serif"/>
        <color rgb="FF1155CC"/>
        <sz val="9.0"/>
        <u/>
      </rPr>
      <t>El Correo</t>
    </r>
    <r>
      <rPr>
        <rFont val="Arial, sans-serif"/>
        <color rgb="FF1155CC"/>
        <sz val="15.0"/>
        <u/>
      </rPr>
      <t>Selección de restaurantes recomendados por la Guia Repsol 2024 en Vitoria-Gasteiz</t>
    </r>
    <r>
      <rPr>
        <rFont val="Arial, sans-serif"/>
        <color rgb="FF1155CC"/>
        <sz val="11.0"/>
        <u/>
      </rPr>
      <t>La gastronomía vitoriana ha brillado este 2024 con los soles de la Guía Repsol. El galardón se ha quedado en estos 12 restaurantes, que ponen en valor la...</t>
    </r>
    <r>
      <rPr>
        <rFont val="Arial, sans-serif"/>
        <color rgb="FF1155CC"/>
        <sz val="12.0"/>
        <u/>
      </rPr>
      <t>.</t>
    </r>
    <r>
      <rPr>
        <rFont val="Arial, sans-serif"/>
        <color rgb="FF1155CC"/>
        <sz val="11.0"/>
        <u/>
      </rPr>
      <t>12 mar 2024</t>
    </r>
  </si>
  <si>
    <t>Selección de restaurantes recomendados por la Guia Repsol 2024 en Vitoria-Gasteiz</t>
  </si>
  <si>
    <t>La gastronomía vitoriana ha brillado este 2024 con los soles de la Guía Repsol. El galardón se ha quedado en estos 12 restaurantes, que ponen en valor la....</t>
  </si>
  <si>
    <t>Selection of restaurants recommended by the Repsol Guide 2024 in Vitoria-Gasteiz</t>
  </si>
  <si>
    <t>Vitorian gastronomy has shone in 2024 with the suns of the Repsol Guide. The award has remained in these 12 restaurants, which value the....</t>
  </si>
  <si>
    <r>
      <rPr>
        <rFont val="Arial, sans-serif"/>
        <color rgb="FF1155CC"/>
        <sz val="9.0"/>
        <u/>
      </rPr>
      <t>Interempresas.net</t>
    </r>
    <r>
      <rPr>
        <rFont val="Arial, sans-serif"/>
        <color rgb="FF1155CC"/>
        <sz val="15.0"/>
        <u/>
      </rPr>
      <t>Repsol alcanza las 100 estaciones de servicio con combustibles 100% renovables</t>
    </r>
    <r>
      <rPr>
        <rFont val="Arial, sans-serif"/>
        <color rgb="FF1155CC"/>
        <sz val="11.0"/>
        <u/>
      </rPr>
      <t>Repsol anunció que ya distribuye combustible 100% renovable en un centenar de estaciones de servicio de la península ibérica, que incluyen 85 ubicadas en...</t>
    </r>
    <r>
      <rPr>
        <rFont val="Arial, sans-serif"/>
        <color rgb="FF1155CC"/>
        <sz val="12.0"/>
        <u/>
      </rPr>
      <t>.</t>
    </r>
    <r>
      <rPr>
        <rFont val="Arial, sans-serif"/>
        <color rgb="FF1155CC"/>
        <sz val="11.0"/>
        <u/>
      </rPr>
      <t>12 mar 2024</t>
    </r>
  </si>
  <si>
    <t>Repsol alcanza las 100 estaciones de servicio con combustibles 100% renovables</t>
  </si>
  <si>
    <t>Repsol anunció que ya distribuye combustible 100% renovable en un centenar de estaciones de servicio de la península ibérica, que incluyen 85 ubicadas en....</t>
  </si>
  <si>
    <t>Repsol reaches 100 service stations with 100% renewable fuels</t>
  </si>
  <si>
    <t>Repsol announced that it already distributes 100% renewable fuel in a hundred service stations on the Iberian Peninsula, including 85 located in...</t>
  </si>
  <si>
    <t>Renewable fuel, Repsol sustainability</t>
  </si>
  <si>
    <t>Combustibles renovables, Sostenibilidad Repsol</t>
  </si>
  <si>
    <t>Expanding renewable fuel offerings aligns with Repsol’s green energy initiatives.</t>
  </si>
  <si>
    <r>
      <rPr>
        <rFont val="Arial, sans-serif"/>
        <color rgb="FF1155CC"/>
        <sz val="9.0"/>
        <u/>
      </rPr>
      <t>OkDiario</t>
    </r>
    <r>
      <rPr>
        <rFont val="Arial, sans-serif"/>
        <color rgb="FF1155CC"/>
        <sz val="15.0"/>
        <u/>
      </rPr>
      <t>Repsol alcanza las 100 gasolineras con combustible renovable al mismo precio que el premium</t>
    </r>
    <r>
      <rPr>
        <rFont val="Arial, sans-serif"/>
        <color rgb="FF1155CC"/>
        <sz val="11.0"/>
        <u/>
      </rPr>
      <t>Repsol continúa con su apuesta por la sostenibilidad y ya cuenta con 100 estaciones de servicio con combustible 100% renovable.</t>
    </r>
    <r>
      <rPr>
        <rFont val="Arial, sans-serif"/>
        <color rgb="FF1155CC"/>
        <sz val="12.0"/>
        <u/>
      </rPr>
      <t>.</t>
    </r>
    <r>
      <rPr>
        <rFont val="Arial, sans-serif"/>
        <color rgb="FF1155CC"/>
        <sz val="11.0"/>
        <u/>
      </rPr>
      <t>12 mar 2024</t>
    </r>
  </si>
  <si>
    <t>Repsol alcanza las 100 gasolineras con combustible renovable al mismo precio que el premium</t>
  </si>
  <si>
    <t>Repsol continúa con su apuesta por la sostenibilidad y ya cuenta con 100 estaciones de servicio con combustible 100% renovable.</t>
  </si>
  <si>
    <t>Repsol reaches 100 gas stations with renewable fuel at the same price as premium</t>
  </si>
  <si>
    <t>Repsol continues with its commitment to sustainability and already has 100 service stations with 100% renewable fuel.</t>
  </si>
  <si>
    <t>Increasing biofuel access strengthens Repsol’s environmental positioning.</t>
  </si>
  <si>
    <t>combustible renovable, sostenibilidad</t>
  </si>
  <si>
    <r>
      <rPr>
        <rFont val="Arial, sans-serif"/>
        <color rgb="FF1155CC"/>
        <sz val="9.0"/>
        <u/>
      </rPr>
      <t>Confilegal</t>
    </r>
    <r>
      <rPr>
        <rFont val="Arial, sans-serif"/>
        <color rgb="FF1155CC"/>
        <sz val="15.0"/>
        <u/>
      </rPr>
      <t>El hecho de trabajar en Repsol, habiendo sido contratado en Colombia, no implica la competencia de la...</t>
    </r>
    <r>
      <rPr>
        <rFont val="Arial, sans-serif"/>
        <color rgb="FF1155CC"/>
        <sz val="11.0"/>
        <u/>
      </rPr>
      <t>Un empleado colombiano contratado en Colombia por Repsol y despedido en España, ha visto cómo la justicia remite a la de su país para dirimir su demanda...</t>
    </r>
    <r>
      <rPr>
        <rFont val="Arial, sans-serif"/>
        <color rgb="FF1155CC"/>
        <sz val="12.0"/>
        <u/>
      </rPr>
      <t>.</t>
    </r>
    <r>
      <rPr>
        <rFont val="Arial, sans-serif"/>
        <color rgb="FF1155CC"/>
        <sz val="11.0"/>
        <u/>
      </rPr>
      <t>12 mar 2024</t>
    </r>
  </si>
  <si>
    <t>Confilegal</t>
  </si>
  <si>
    <t>El hecho de trabajar en Repsol, habiendo sido contratado en Colombia, no implica la competencia de la...</t>
  </si>
  <si>
    <t>Un empleado colombiano contratado en Colombia por Repsol y despedido en España, ha visto cómo la justicia remite a la de su país para dirimir su demanda.</t>
  </si>
  <si>
    <t>The fact of working at Repsol, having been hired in Colombia, does not imply the competence of the...</t>
  </si>
  <si>
    <t>A Colombian employee hired in Colombia by Repsol and fired in Spain, has seen how the justice system refers to his country to settle his claim.</t>
  </si>
  <si>
    <t>Employee testimonials do not impact Repsol’s business.</t>
  </si>
  <si>
    <t>despedido, demanda</t>
  </si>
  <si>
    <t>Negative sentiment due to legal issues involving Repsol.</t>
  </si>
  <si>
    <t>Sentimiento negativo por problemas legales que involucran a Repsol.</t>
  </si>
  <si>
    <r>
      <rPr>
        <rFont val="Arial, sans-serif"/>
        <color rgb="FF1155CC"/>
        <sz val="9.0"/>
        <u/>
      </rPr>
      <t>El Digital Sur</t>
    </r>
    <r>
      <rPr>
        <rFont val="Arial, sans-serif"/>
        <color rgb="FF1155CC"/>
        <sz val="15.0"/>
        <u/>
      </rPr>
      <t>El Lajar de Bello (Arona) Brilla con su Primer Sol Repsol y `Mejor Sala´ en Menos de un Mes</t>
    </r>
    <r>
      <rPr>
        <rFont val="Arial, sans-serif"/>
        <color rgb="FF1155CC"/>
        <sz val="11.0"/>
        <u/>
      </rPr>
      <t>El equipo de sala de El Lajar de Bello recibe el máximo honor en la guía Qué Bueno Canarias 2024, marcando un hito en la hostelería insular.</t>
    </r>
    <r>
      <rPr>
        <rFont val="Arial, sans-serif"/>
        <color rgb="FF1155CC"/>
        <sz val="12.0"/>
        <u/>
      </rPr>
      <t>.</t>
    </r>
    <r>
      <rPr>
        <rFont val="Arial, sans-serif"/>
        <color rgb="FF1155CC"/>
        <sz val="11.0"/>
        <u/>
      </rPr>
      <t>12 mar 2024</t>
    </r>
  </si>
  <si>
    <t>Brilla con su Primer Sol Repsol y 'Mejor Sala' en Menos de un Mes</t>
  </si>
  <si>
    <t>El equipo de sala de El Lajar de Bello recibe el máximo honor en la guía Qué Bueno Canarias 2024, marcando un hito en la hostelería insular.</t>
  </si>
  <si>
    <t>Shines with its First Repsol Sun and 'Best Room' in Less than a Month</t>
  </si>
  <si>
    <t>The El Lajar de Bello front-of-house team receives the highest honor in the Qué Bueno Canarias 2024 guide, marking a milestone in island hospitality.</t>
  </si>
  <si>
    <r>
      <rPr>
        <rFont val="Arial, sans-serif"/>
        <color rgb="FF1155CC"/>
        <sz val="9.0"/>
        <u/>
      </rPr>
      <t>Estrategia Empresarial</t>
    </r>
    <r>
      <rPr>
        <rFont val="Arial, sans-serif"/>
        <color rgb="FF1155CC"/>
        <sz val="15.0"/>
        <u/>
      </rPr>
      <t>El electrolizador de Petronor ya produce hidrógeno renovable</t>
    </r>
    <r>
      <rPr>
        <rFont val="Arial, sans-serif"/>
        <color rgb="FF1155CC"/>
        <sz val="11.0"/>
        <u/>
      </rPr>
      <t>Petronor puso en marcha a finales del año pasado el primer electrolizador que funciona en Euskadi, el segundo en el Estado español tras el que instaló...</t>
    </r>
    <r>
      <rPr>
        <rFont val="Arial, sans-serif"/>
        <color rgb="FF1155CC"/>
        <sz val="12.0"/>
        <u/>
      </rPr>
      <t>.</t>
    </r>
    <r>
      <rPr>
        <rFont val="Arial, sans-serif"/>
        <color rgb="FF1155CC"/>
        <sz val="11.0"/>
        <u/>
      </rPr>
      <t>12 mar 2024</t>
    </r>
  </si>
  <si>
    <t>Estrategia Empresarial</t>
  </si>
  <si>
    <t>El electrolizador de Petronor ya produce hidrógeno renovable</t>
  </si>
  <si>
    <t>Petronor puso en marcha a finales del año pasado el primer electrolizador que funciona en Euskadi, el segundo en el Estado español tras el que instaló....</t>
  </si>
  <si>
    <t>Petronor's electrolyzer already produces renewable hydrogen</t>
  </si>
  <si>
    <t>At the end of last year, Petronor launched the first electrolyser that works in the Basque Country, the second in the Spanish State after the one it installed...</t>
  </si>
  <si>
    <t>Renewable hydrogen, Repsol sustainability</t>
  </si>
  <si>
    <t>Hidrógeno renovable, Sostenibilidad Repsol</t>
  </si>
  <si>
    <t>Producing renewable hydrogen reinforces Repsol’s leadership in green energy.</t>
  </si>
  <si>
    <t>hidrógeno renovable, electrolizador</t>
  </si>
  <si>
    <r>
      <rPr>
        <rFont val="Arial, sans-serif"/>
        <color rgb="FF1155CC"/>
        <sz val="9.0"/>
        <u/>
      </rPr>
      <t>OkDiario</t>
    </r>
    <r>
      <rPr>
        <rFont val="Arial, sans-serif"/>
        <color rgb="FF1155CC"/>
        <sz val="15.0"/>
        <u/>
      </rPr>
      <t>Plantan 1.700 árboles de la mano de Fundación Repsol para promover un entorno más sostenible</t>
    </r>
    <r>
      <rPr>
        <rFont val="Arial, sans-serif"/>
        <color rgb="FF1155CC"/>
        <sz val="11.0"/>
        <u/>
      </rPr>
      <t>NTT DATA planta en Cáceres 1.700 árboles de la mano de la Fundación Repsol para promover un entorno más sostenible.</t>
    </r>
    <r>
      <rPr>
        <rFont val="Arial, sans-serif"/>
        <color rgb="FF1155CC"/>
        <sz val="12.0"/>
        <u/>
      </rPr>
      <t>.</t>
    </r>
    <r>
      <rPr>
        <rFont val="Arial, sans-serif"/>
        <color rgb="FF1155CC"/>
        <sz val="11.0"/>
        <u/>
      </rPr>
      <t>12 mar 2024</t>
    </r>
  </si>
  <si>
    <t>Plantan 1.700 árboles de la mano de Fundación Repsol para promover un entorno más sostenible</t>
  </si>
  <si>
    <t>NTT DATA planta en Cáceres 1.700 árboles de la mano de la Fundación Repsol para promover un entorno más sostenible.</t>
  </si>
  <si>
    <t>They plant 1,700 trees with the help of Fundación Repsol to promote a more sustainable environment</t>
  </si>
  <si>
    <t>NTT DATA plants 1,700 trees in Cáceres with the help of the Repsol Foundation to promote a more sustainable environment.</t>
  </si>
  <si>
    <t>Reforestation, Fundación Repsol</t>
  </si>
  <si>
    <t>Reforestación, Fundación Repsol</t>
  </si>
  <si>
    <t>Supporting reforestation enhances Repsol’s sustainability efforts.</t>
  </si>
  <si>
    <t>árboles, sostenible</t>
  </si>
  <si>
    <r>
      <rPr>
        <rFont val="Arial, sans-serif"/>
        <color rgb="FF1155CC"/>
        <sz val="9.0"/>
        <u/>
      </rPr>
      <t>El Periódico Extremadura</t>
    </r>
    <r>
      <rPr>
        <rFont val="Arial, sans-serif"/>
        <color rgb="FF1155CC"/>
        <sz val="15.0"/>
        <u/>
      </rPr>
      <t>El Oscar de Jeffrey Wright en 'American Fiction' o del chef cacereño Víctor Corchado</t>
    </r>
    <r>
      <rPr>
        <rFont val="Arial, sans-serif"/>
        <color rgb="FF1155CC"/>
        <sz val="11.0"/>
        <u/>
      </rPr>
      <t>El actor estadounidense guarda un razonable parecido con el cocinero de Borona Bistró, que acaba de lograr un Sol Repsol.</t>
    </r>
    <r>
      <rPr>
        <rFont val="Arial, sans-serif"/>
        <color rgb="FF1155CC"/>
        <sz val="12.0"/>
        <u/>
      </rPr>
      <t>.</t>
    </r>
    <r>
      <rPr>
        <rFont val="Arial, sans-serif"/>
        <color rgb="FF1155CC"/>
        <sz val="11.0"/>
        <u/>
      </rPr>
      <t>12 mar 2024</t>
    </r>
  </si>
  <si>
    <t>El Oscar de Jeffrey Wright en 'American Fiction' o del chef cacereño Víctor Corchado</t>
  </si>
  <si>
    <t>El actor estadounidense guarda un razonable parecido con el cocinero de Borona Bistró, que acaba de lograr un Sol Repsol.</t>
  </si>
  <si>
    <t>The Oscar for Jeffrey Wright in 'American Fiction' or the Cáceres chef Víctor Corchado</t>
  </si>
  <si>
    <t>The American actor bears a reasonable resemblance to the chef at Borona Bistró, who has just won a Sol Repsol.</t>
  </si>
  <si>
    <r>
      <rPr>
        <rFont val="Arial, sans-serif"/>
        <color rgb="FF1155CC"/>
        <sz val="9.0"/>
        <u/>
      </rPr>
      <t>Economía Digital</t>
    </r>
    <r>
      <rPr>
        <rFont val="Arial, sans-serif"/>
        <color rgb="FF1155CC"/>
        <sz val="15.0"/>
        <u/>
      </rPr>
      <t>Mercadona firma con Iberdrola, Repsol, EDF y Statkraft el suministro de energía para 10 años</t>
    </r>
    <r>
      <rPr>
        <rFont val="Arial, sans-serif"/>
        <color rgb="FF1155CC"/>
        <sz val="11.0"/>
        <u/>
      </rPr>
      <t>La cadena de supermercados de Juan Roig invierte seis millones de euros en cargadores del coche eléctrico para instalarlos en 396 tiendas y 14 centros de.</t>
    </r>
    <r>
      <rPr>
        <rFont val="Arial, sans-serif"/>
        <color rgb="FF1155CC"/>
        <sz val="12.0"/>
        <u/>
      </rPr>
      <t>.</t>
    </r>
    <r>
      <rPr>
        <rFont val="Arial, sans-serif"/>
        <color rgb="FF1155CC"/>
        <sz val="11.0"/>
        <u/>
      </rPr>
      <t>13 mar 2024</t>
    </r>
  </si>
  <si>
    <t>Mercadona firma con Iberdrola, Repsol, EDF y Statkraft el suministro de energía para 10 años</t>
  </si>
  <si>
    <t>La cadena de supermercados de Juan Roig invierte seis millones de euros en cargadores del coche eléctrico para instalarlos en 396 tiendas y 14 centros de..</t>
  </si>
  <si>
    <t>Mercadona signs with Iberdrola, Repsol, EDF and Statkraft the supply of energy for 10 years</t>
  </si>
  <si>
    <t>Juan Roig's supermarket chain invests six million euros in electric car chargers to install them in 396 stores and 14 shopping centers.</t>
  </si>
  <si>
    <t>General corporate agreements do not significantly impact Repsol’s perception.</t>
  </si>
  <si>
    <t>suministro de energía, cargadores</t>
  </si>
  <si>
    <t>Neutral to slightly positive, as it highlights Repsol's involvement in energy supply.</t>
  </si>
  <si>
    <t>De neutral a ligeramente positiva, ya que destaca la implicación de Repsol en el suministro energético.</t>
  </si>
  <si>
    <r>
      <rPr>
        <rFont val="Arial, sans-serif"/>
        <color rgb="FF1155CC"/>
        <sz val="9.0"/>
        <u/>
      </rPr>
      <t>El Español</t>
    </r>
    <r>
      <rPr>
        <rFont val="Arial, sans-serif"/>
        <color rgb="FF1155CC"/>
        <sz val="15.0"/>
        <u/>
      </rPr>
      <t>Vuelca un camión de Repsol en una carretera de la provincia de Valladolid</t>
    </r>
    <r>
      <rPr>
        <rFont val="Arial, sans-serif"/>
        <color rgb="FF1155CC"/>
        <sz val="11.0"/>
        <u/>
      </rPr>
      <t>Un camión de reparto de gasóleo agrícola de la empresa Repsol ha volcado este miércoles en una carretera de la provincia de Valladolid, concretamente, en la...</t>
    </r>
    <r>
      <rPr>
        <rFont val="Arial, sans-serif"/>
        <color rgb="FF1155CC"/>
        <sz val="12.0"/>
        <u/>
      </rPr>
      <t>.</t>
    </r>
    <r>
      <rPr>
        <rFont val="Arial, sans-serif"/>
        <color rgb="FF1155CC"/>
        <sz val="11.0"/>
        <u/>
      </rPr>
      <t>13 mar 2024</t>
    </r>
  </si>
  <si>
    <t>Vuelca un camión de Repsol en una carretera de la provincia de Valladolid</t>
  </si>
  <si>
    <t>Un camión de reparto de gasóleo agrícola de la empresa Repsol ha volcado este miércoles en una carretera de la provincia de Valladolid, concretamente, en la....</t>
  </si>
  <si>
    <t>A Repsol truck overturns on a road in the province of Valladolid</t>
  </si>
  <si>
    <t>An agricultural diesel delivery truck from the Repsol company overturned this Wednesday on a road in the province of Valladolid, specifically, in the...</t>
  </si>
  <si>
    <t>Incident</t>
  </si>
  <si>
    <t>Repsol truck accident, oil spill</t>
  </si>
  <si>
    <t>Accidente de camión Repsol, derrame de petróleo</t>
  </si>
  <si>
    <t>Accidents involving Repsol vehicles can negatively affect its reputation.</t>
  </si>
  <si>
    <t>vuelca, camión</t>
  </si>
  <si>
    <t>Negative sentiment due to an accident involving Repsol.</t>
  </si>
  <si>
    <t>Sentimiento negativo por el accidente de Repsol.</t>
  </si>
  <si>
    <r>
      <rPr>
        <rFont val="Arial, sans-serif"/>
        <color rgb="FF1155CC"/>
        <sz val="9.0"/>
        <u/>
      </rPr>
      <t>Guía Repsol</t>
    </r>
    <r>
      <rPr>
        <rFont val="Arial, sans-serif"/>
        <color rgb="FF1155CC"/>
        <sz val="15.0"/>
        <u/>
      </rPr>
      <t>'Adaly' (Madrid), el restaurante del joven chef Eduardo Guerrero</t>
    </r>
    <r>
      <rPr>
        <rFont val="Arial, sans-serif"/>
        <color rgb="FF1155CC"/>
        <sz val="11.0"/>
        <u/>
      </rPr>
      <t>Curtido en los fogones de 'El Bohío', Eduardo Guerrero dirige a sus 25 años 'Adaly', un tranquilo rincón gastronómico en pleno barrio de Salamanca de Madrid...</t>
    </r>
    <r>
      <rPr>
        <rFont val="Arial, sans-serif"/>
        <color rgb="FF1155CC"/>
        <sz val="12.0"/>
        <u/>
      </rPr>
      <t>.</t>
    </r>
    <r>
      <rPr>
        <rFont val="Arial, sans-serif"/>
        <color rgb="FF1155CC"/>
        <sz val="11.0"/>
        <u/>
      </rPr>
      <t>13 mar 2024</t>
    </r>
  </si>
  <si>
    <t>'Adaly' (Madrid), el restaurante del joven chef Eduardo Guerrero</t>
  </si>
  <si>
    <t>Curtido en los fogones de 'El Bohío', Eduardo Guerrero dirige a sus 25 años 'Adaly', un tranquilo rincón gastronómico en pleno barrio de Salamanca de Madrid....</t>
  </si>
  <si>
    <t>'Adaly' (Madrid), the restaurant of young chef Eduardo Guerrero</t>
  </si>
  <si>
    <t>Hardened in the kitchens of 'El Bohío', 25-year-old Eduardo Guerrero runs 'Adaly', a quiet gastronomic corner in the Salamanca neighborhood of Madrid....</t>
  </si>
  <si>
    <r>
      <rPr>
        <rFont val="Arial, sans-serif"/>
        <color rgb="FF1155CC"/>
        <sz val="9.0"/>
        <u/>
      </rPr>
      <t>Hule y Mantel</t>
    </r>
    <r>
      <rPr>
        <rFont val="Arial, sans-serif"/>
        <color rgb="FF1155CC"/>
        <sz val="15.0"/>
        <u/>
      </rPr>
      <t>Corral de la Morería (Madrid): así se come en el restaurante donde se rodó la serie 'Reina Roja'</t>
    </r>
    <r>
      <rPr>
        <rFont val="Arial, sans-serif"/>
        <color rgb="FF1155CC"/>
        <sz val="11.0"/>
        <u/>
      </rPr>
      <t>La familia del Rey gestiona este tablao, uno de los más famosos del mundo, y con una propuesta gastronómica avalada con tres soles Repsol y una estrella...</t>
    </r>
    <r>
      <rPr>
        <rFont val="Arial, sans-serif"/>
        <color rgb="FF1155CC"/>
        <sz val="12.0"/>
        <u/>
      </rPr>
      <t>.</t>
    </r>
    <r>
      <rPr>
        <rFont val="Arial, sans-serif"/>
        <color rgb="FF1155CC"/>
        <sz val="11.0"/>
        <u/>
      </rPr>
      <t>13 mar 2024</t>
    </r>
  </si>
  <si>
    <t>Corral de la Morería (Madrid): así se come en el restaurante donde se rodó la serie 'Reina Roja'</t>
  </si>
  <si>
    <t>La familia del Rey gestiona este tablao, uno de los más famosos del mundo, y con una propuesta gastronómica avalada con tres soles Repsol y una estrella.</t>
  </si>
  <si>
    <t>Corral de la Morería (Madrid): this is how you eat in the restaurant where the series 'Red Queen' was filmed</t>
  </si>
  <si>
    <t>The King's family manages this tablao, one of the most famous in the world, and with a gastronomic proposal guaranteed with three Repsol suns and one star.</t>
  </si>
  <si>
    <r>
      <rPr>
        <rFont val="Arial, sans-serif"/>
        <color rgb="FF1155CC"/>
        <sz val="9.0"/>
        <u/>
      </rPr>
      <t>Servimedia</t>
    </r>
    <r>
      <rPr>
        <rFont val="Arial, sans-serif"/>
        <color rgb="FF1155CC"/>
        <sz val="15.0"/>
        <u/>
      </rPr>
      <t>Ibermutua aplicará Inteligencia Artificial a la predicción y mejora de la duración de los procesos de baja en patologías del aparato osteomuscular</t>
    </r>
    <r>
      <rPr>
        <rFont val="Arial, sans-serif"/>
        <color rgb="FF1155CC"/>
        <sz val="11.0"/>
        <u/>
      </rPr>
      <t>Ibermutua, mutua colaboradora con la Seguridad Social, está desarrollando, en colaboración con el Instituto de Biomecánica (IBV), un software de…</t>
    </r>
    <r>
      <rPr>
        <rFont val="Arial, sans-serif"/>
        <color rgb="FF1155CC"/>
        <sz val="12.0"/>
        <u/>
      </rPr>
      <t>.</t>
    </r>
    <r>
      <rPr>
        <rFont val="Arial, sans-serif"/>
        <color rgb="FF1155CC"/>
        <sz val="11.0"/>
        <u/>
      </rPr>
      <t>13 mar 2024</t>
    </r>
  </si>
  <si>
    <t>Servimedia</t>
  </si>
  <si>
    <t>Ibermutua aplicará Inteligencia Artificial a la predicción y mejora de la duración de los procesos de baja en patologías del aparato osteomuscular</t>
  </si>
  <si>
    <t>Ibermutua, mutua colaboradora con la Seguridad Social, está desarrollando, en colaboración con el Instituto de Biomecánica (IBV), un software de….</t>
  </si>
  <si>
    <t>Ibermutua will apply Artificial Intelligence to predict and improve the duration of sick leave processes in pathologies of the musculoskeletal system</t>
  </si>
  <si>
    <t>Ibermutua, a mutual collaborator with Social Security, is developing, in collaboration with the Institute of Biomechanics (IBV), a software for….</t>
  </si>
  <si>
    <t>Health &amp; Technology</t>
  </si>
  <si>
    <t>AI integration in health does not impact Repsol’s corporate perception.</t>
  </si>
  <si>
    <r>
      <rPr>
        <rFont val="Arial, sans-serif"/>
        <color rgb="FF1155CC"/>
        <sz val="9.0"/>
        <u/>
      </rPr>
      <t>EL PAÍS</t>
    </r>
    <r>
      <rPr>
        <rFont val="Arial, sans-serif"/>
        <color rgb="FF1155CC"/>
        <sz val="15.0"/>
        <u/>
      </rPr>
      <t>El periodista de EL PAÍS Ignacio Fariza, Premio de Periodismo Económico de la APIE</t>
    </r>
    <r>
      <rPr>
        <rFont val="Arial, sans-serif"/>
        <color rgb="FF1155CC"/>
        <sz val="11.0"/>
        <u/>
      </rPr>
      <t>La segunda edición de los galardones ha otorgado al reportero el premio en la categoría de Periodismo Joven.</t>
    </r>
    <r>
      <rPr>
        <rFont val="Arial, sans-serif"/>
        <color rgb="FF1155CC"/>
        <sz val="12.0"/>
        <u/>
      </rPr>
      <t>.</t>
    </r>
    <r>
      <rPr>
        <rFont val="Arial, sans-serif"/>
        <color rgb="FF1155CC"/>
        <sz val="11.0"/>
        <u/>
      </rPr>
      <t>13 mar 2024</t>
    </r>
  </si>
  <si>
    <t>El periodista de EL PAÍS Ignacio Fariza, Premio de Periodismo Económico de la API</t>
  </si>
  <si>
    <t>El periodista de EL PAÍS Ignacio Fariza, Premio de Periodismo Económico de la API. La segunda edición de los galardones ha otorgado al reportero el premio en la categoría de Periodismo Joven.</t>
  </si>
  <si>
    <t>EL PAÍS journalist Ignacio Fariza, API Economic Journalism Award</t>
  </si>
  <si>
    <t>EL PAÍS journalist Ignacio Fariza, API Economic Journalism Award. The second edition of the awards has awarded the reporter the prize in the Young Journalism category.</t>
  </si>
  <si>
    <t>Media</t>
  </si>
  <si>
    <r>
      <rPr>
        <rFont val="Arial, sans-serif"/>
        <color rgb="FF1155CC"/>
        <sz val="9.0"/>
        <u/>
      </rPr>
      <t>El Periódico de la Energía</t>
    </r>
    <r>
      <rPr>
        <rFont val="Arial, sans-serif"/>
        <color rgb="FF1155CC"/>
        <sz val="15.0"/>
        <u/>
      </rPr>
      <t>El consejero delegado de Solaria invierte 900.000 euros en acciones de la compañía</t>
    </r>
    <r>
      <rPr>
        <rFont val="Arial, sans-serif"/>
        <color rgb="FF1155CC"/>
        <sz val="11.0"/>
        <u/>
      </rPr>
      <t>El CEO de Solaria ha comprado un paquete accionarial de 90.000 títulos de la compañía, con una inversión total de unos 900.000 euros.</t>
    </r>
    <r>
      <rPr>
        <rFont val="Arial, sans-serif"/>
        <color rgb="FF1155CC"/>
        <sz val="12.0"/>
        <u/>
      </rPr>
      <t>.</t>
    </r>
    <r>
      <rPr>
        <rFont val="Arial, sans-serif"/>
        <color rgb="FF1155CC"/>
        <sz val="11.0"/>
        <u/>
      </rPr>
      <t>13 mar 2024</t>
    </r>
  </si>
  <si>
    <t>El CEO de Solaria ha comprado un paquete accionarial de 90.000 títulos de la compañía, con una inversión total de unos 900.000 euros.</t>
  </si>
  <si>
    <t>The CEO of Solaria has purchased a share package of 90,000 shares of the company, with a total investment of about 900,000 euros.</t>
  </si>
  <si>
    <r>
      <rPr>
        <rFont val="Arial, sans-serif"/>
        <color rgb="FF1155CC"/>
        <sz val="9.0"/>
        <u/>
      </rPr>
      <t>Infobae</t>
    </r>
    <r>
      <rPr>
        <rFont val="Arial, sans-serif"/>
        <color rgb="FF1155CC"/>
        <sz val="15.0"/>
        <u/>
      </rPr>
      <t>El mapa de las mejores hamburguesas de cada Comunidad Autónoma en 2024</t>
    </r>
    <r>
      <rPr>
        <rFont val="Arial, sans-serif"/>
        <color rgb="FF1155CC"/>
        <sz val="11.0"/>
        <u/>
      </rPr>
      <t>Cada comunidad cuenta con tres hamburguesas ganadoras, delicias hechas con carne de calidad e ingredientes originales que han conquistado al jurado de Best...</t>
    </r>
    <r>
      <rPr>
        <rFont val="Arial, sans-serif"/>
        <color rgb="FF1155CC"/>
        <sz val="12.0"/>
        <u/>
      </rPr>
      <t>.</t>
    </r>
    <r>
      <rPr>
        <rFont val="Arial, sans-serif"/>
        <color rgb="FF1155CC"/>
        <sz val="11.0"/>
        <u/>
      </rPr>
      <t>13 mar 2024</t>
    </r>
  </si>
  <si>
    <t>El mapa de las mejores hamburguesas de cada Comunidad Autónoma en 2024</t>
  </si>
  <si>
    <t>Cada comunidad cuenta con tres hamburguesas ganadoras, delicias hechas con carne de calidad e ingredientes originales que han conquistado al jurado de Best....</t>
  </si>
  <si>
    <t>The map of the best burgers in each Autonomous Community in 2024</t>
  </si>
  <si>
    <t>Each community has three winning burgers, delicacies made with quality meat and original ingredients that have conquered the Best... jury.</t>
  </si>
  <si>
    <r>
      <rPr>
        <rFont val="Arial, sans-serif"/>
        <color rgb="FF1155CC"/>
        <sz val="9.0"/>
        <u/>
      </rPr>
      <t>Málaga Hoy</t>
    </r>
    <r>
      <rPr>
        <rFont val="Arial, sans-serif"/>
        <color rgb="FF1155CC"/>
        <sz val="15.0"/>
        <u/>
      </rPr>
      <t>Seis restaurantes familiares en Málaga para celebrar el Día del Padre</t>
    </r>
    <r>
      <rPr>
        <rFont val="Arial, sans-serif"/>
        <color rgb="FF1155CC"/>
        <sz val="11.0"/>
        <u/>
      </rPr>
      <t>Nueve novedades entre los restaurantes 'recomendados' de Málaga de la Guía Repsol 2024.</t>
    </r>
    <r>
      <rPr>
        <rFont val="Arial, sans-serif"/>
        <color rgb="FF1155CC"/>
        <sz val="12.0"/>
        <u/>
      </rPr>
      <t>.</t>
    </r>
    <r>
      <rPr>
        <rFont val="Arial, sans-serif"/>
        <color rgb="FF1155CC"/>
        <sz val="11.0"/>
        <u/>
      </rPr>
      <t>13 mar 2024</t>
    </r>
  </si>
  <si>
    <t>Seis restaurantes familiares en Málaga para celebrar el Día del Padre</t>
  </si>
  <si>
    <t>Nueve novedades entre los restaurantes 'recomendados' de Málaga de la Guía Repsol 2024.</t>
  </si>
  <si>
    <t>Six family restaurants in Malaga to celebrate Father's Day</t>
  </si>
  <si>
    <t>Nine new additions among the 'recommended' restaurants in Malaga from the Repsol Guide 2024.</t>
  </si>
  <si>
    <r>
      <rPr>
        <rFont val="Arial, sans-serif"/>
        <color rgb="FF1155CC"/>
        <sz val="9.0"/>
        <u/>
      </rPr>
      <t>esRadio</t>
    </r>
    <r>
      <rPr>
        <rFont val="Arial, sans-serif"/>
        <color rgb="FF1155CC"/>
        <sz val="15.0"/>
        <u/>
      </rPr>
      <t>O Son do Camiño presenta su cartel por días</t>
    </r>
    <r>
      <rPr>
        <rFont val="Arial, sans-serif"/>
        <color rgb="FF1155CC"/>
        <sz val="11.0"/>
        <u/>
      </rPr>
      <t>El Jueves, Green Day; el viernes, Mike Towers; y el sábado, Melendi.</t>
    </r>
    <r>
      <rPr>
        <rFont val="Arial, sans-serif"/>
        <color rgb="FF1155CC"/>
        <sz val="12.0"/>
        <u/>
      </rPr>
      <t>.</t>
    </r>
    <r>
      <rPr>
        <rFont val="Arial, sans-serif"/>
        <color rgb="FF1155CC"/>
        <sz val="11.0"/>
        <u/>
      </rPr>
      <t>13 mar 2024</t>
    </r>
  </si>
  <si>
    <t>O Son do Camiño</t>
  </si>
  <si>
    <t>RadioO Son do Camiño presenta su cartel por días.</t>
  </si>
  <si>
    <t>El Jueves, Green Day; el viernes, Mike Towers; y el sábado, Melendi.</t>
  </si>
  <si>
    <t>RadioO Son do Camiño presents its poster for days.</t>
  </si>
  <si>
    <t>On Thursday, Green Day; Friday, Mike Towers; and on Saturday, Melendi.</t>
  </si>
  <si>
    <r>
      <rPr>
        <rFont val="Arial, sans-serif"/>
        <color rgb="FF1155CC"/>
        <sz val="9.0"/>
        <u/>
      </rPr>
      <t>EITB</t>
    </r>
    <r>
      <rPr>
        <rFont val="Arial, sans-serif"/>
        <color rgb="FF1155CC"/>
        <sz val="15.0"/>
        <u/>
      </rPr>
      <t>Vídeo: La planta de combustible sintético de Repsol en Bilbao estará en marcha para el 2025-2026</t>
    </r>
    <r>
      <rPr>
        <rFont val="Arial, sans-serif"/>
        <color rgb="FF1155CC"/>
        <sz val="11.0"/>
        <u/>
      </rPr>
      <t>Vídeo: La planta de combustible sintético de Repsol en Bilbao estará en marcha para el 2025-2026. Estos combustibles sintéticos han tenido buenos resultados...</t>
    </r>
    <r>
      <rPr>
        <rFont val="Arial, sans-serif"/>
        <color rgb="FF1155CC"/>
        <sz val="12.0"/>
        <u/>
      </rPr>
      <t>.</t>
    </r>
    <r>
      <rPr>
        <rFont val="Arial, sans-serif"/>
        <color rgb="FF1155CC"/>
        <sz val="11.0"/>
        <u/>
      </rPr>
      <t>14 mar 2024</t>
    </r>
  </si>
  <si>
    <t>EITB</t>
  </si>
  <si>
    <t>La planta de combustible sintético de Repsol en Bilbao estará en marcha para el 2025-2026.</t>
  </si>
  <si>
    <t>Estos combustibles sintéticos han tenido buenos resultados....</t>
  </si>
  <si>
    <t>Repsol's synthetic fuel plant in Bilbao will be operational by 2025-2026.</t>
  </si>
  <si>
    <t>These synthetic fuels have had good results....</t>
  </si>
  <si>
    <t>Repsol synthetic fuel, energy transition</t>
  </si>
  <si>
    <t>Combustible sintético Repsol, transición energética</t>
  </si>
  <si>
    <t>Advancing synthetic fuel production strengthens Repsol’s environmental positioning.</t>
  </si>
  <si>
    <t>combustible sintético, buenos resultados</t>
  </si>
  <si>
    <t>Positive sentiment due to Repsol's innovation in synthetic fuels.</t>
  </si>
  <si>
    <t>Sentimiento positivo por la innovación de Repsol en combustibles sintéticos.</t>
  </si>
  <si>
    <r>
      <rPr>
        <rFont val="Arial, sans-serif"/>
        <color rgb="FF1155CC"/>
        <sz val="9.0"/>
        <u/>
      </rPr>
      <t>Cadena SER</t>
    </r>
    <r>
      <rPr>
        <rFont val="Arial, sans-serif"/>
        <color rgb="FF1155CC"/>
        <sz val="15.0"/>
        <u/>
      </rPr>
      <t>El 'santuario' del equipo Honda Repsol de Moto GP</t>
    </r>
    <r>
      <rPr>
        <rFont val="Arial, sans-serif"/>
        <color rgb="FF1155CC"/>
        <sz val="11.0"/>
        <u/>
      </rPr>
      <t>Radio Bilbao accede a las instalaciones donde Repsol diseña la fórmula de la gasolina que su equipo usa en las competiciones de Moto GP.</t>
    </r>
    <r>
      <rPr>
        <rFont val="Arial, sans-serif"/>
        <color rgb="FF1155CC"/>
        <sz val="12.0"/>
        <u/>
      </rPr>
      <t>.</t>
    </r>
    <r>
      <rPr>
        <rFont val="Arial, sans-serif"/>
        <color rgb="FF1155CC"/>
        <sz val="11.0"/>
        <u/>
      </rPr>
      <t>14 mar 2024</t>
    </r>
  </si>
  <si>
    <t>El 'santuario' del equipo Honda Repsol de Moto GP</t>
  </si>
  <si>
    <t>Radio Bilbao accede a las instalaciones donde Repsol diseña la fórmula de la gasolina que su equipo usa en las competiciones de Moto GP.</t>
  </si>
  <si>
    <t>The 'sanctuary' of the Honda Repsol Moto GP team</t>
  </si>
  <si>
    <t>Radio Bilbao accesses the facilities where Repsol designs the gasoline formula that its team uses in Moto GP competitions.</t>
  </si>
  <si>
    <t>Repsol Honda, MotoGP</t>
  </si>
  <si>
    <t>Showcasing Repsol’s involvement in motorsports reinforces brand presence.</t>
  </si>
  <si>
    <t>Honda Repsol, Moto GP</t>
  </si>
  <si>
    <t>Neutral to slightly positive, as it highlights Repsol's involvement in motorsports.</t>
  </si>
  <si>
    <t>De neutral a ligeramente positivo, ya que destaca la implicación de Repsol en el deporte del motor.</t>
  </si>
  <si>
    <r>
      <rPr>
        <rFont val="Arial, sans-serif"/>
        <color rgb="FF1155CC"/>
        <sz val="9.0"/>
        <u/>
      </rPr>
      <t>Deia</t>
    </r>
    <r>
      <rPr>
        <rFont val="Arial, sans-serif"/>
        <color rgb="FF1155CC"/>
        <sz val="15.0"/>
        <u/>
      </rPr>
      <t>Petronor ya prueba en laboratorio su nuevo combustible sintético</t>
    </r>
    <r>
      <rPr>
        <rFont val="Arial, sans-serif"/>
        <color rgb="FF1155CC"/>
        <sz val="11.0"/>
        <u/>
      </rPr>
      <t>La petrolera vasca afina en el laboratorio de Repsol la nueva energía renovable.</t>
    </r>
    <r>
      <rPr>
        <rFont val="Arial, sans-serif"/>
        <color rgb="FF1155CC"/>
        <sz val="12.0"/>
        <u/>
      </rPr>
      <t>.</t>
    </r>
    <r>
      <rPr>
        <rFont val="Arial, sans-serif"/>
        <color rgb="FF1155CC"/>
        <sz val="11.0"/>
        <u/>
      </rPr>
      <t>14 mar 2024</t>
    </r>
  </si>
  <si>
    <t>Petronor ya prueba en laboratorio su nuevo combustible sintético</t>
  </si>
  <si>
    <t>La petrolera vasca afina en el laboratorio de Repsol la nueva energía renovable.</t>
  </si>
  <si>
    <t>Petronor is already testing its new synthetic fuel in the laboratory</t>
  </si>
  <si>
    <t>The Basque oil company refines the new renewable energy in the Repsol laboratory.</t>
  </si>
  <si>
    <t>Petronor synthetic fuel, Repsol sustainability</t>
  </si>
  <si>
    <t>Combustible sintético Petronor, Sostenibilidad Repsol</t>
  </si>
  <si>
    <t>Testing synthetic fuels enhances Repsol’s commitment to sustainable energy.</t>
  </si>
  <si>
    <t>combustible sintético, energía renovable</t>
  </si>
  <si>
    <r>
      <rPr>
        <rFont val="Arial, sans-serif"/>
        <color rgb="FF1155CC"/>
        <sz val="9.0"/>
        <u/>
      </rPr>
      <t>Box Repsol</t>
    </r>
    <r>
      <rPr>
        <rFont val="Arial, sans-serif"/>
        <color rgb="FF1155CC"/>
        <sz val="15.0"/>
        <u/>
      </rPr>
      <t>Descubre los mejores museos de motos de España</t>
    </r>
    <r>
      <rPr>
        <rFont val="Arial, sans-serif"/>
        <color rgb="FF1155CC"/>
        <sz val="11.0"/>
        <u/>
      </rPr>
      <t>Descubre los museos de motocicletas más impresionantes del mundo. Disfruta de un apasionante viaje a través de la historia del mundo de las dos ruedas.</t>
    </r>
    <r>
      <rPr>
        <rFont val="Arial, sans-serif"/>
        <color rgb="FF1155CC"/>
        <sz val="12.0"/>
        <u/>
      </rPr>
      <t>.</t>
    </r>
    <r>
      <rPr>
        <rFont val="Arial, sans-serif"/>
        <color rgb="FF1155CC"/>
        <sz val="11.0"/>
        <u/>
      </rPr>
      <t>14 mar 2024</t>
    </r>
  </si>
  <si>
    <t>Descubre los mejores museos de motos de España</t>
  </si>
  <si>
    <t>Descubre los museos de motocicletas más impresionantes del mundo. Disfruta de un apasionante viaje a través de la historia del mundo de las dos ruedas.</t>
  </si>
  <si>
    <t>Discover the best motorcycle museums in Spain</t>
  </si>
  <si>
    <t>Discover the most impressive motorcycle museums in the world. Enjoy an exciting journey through the history of the world of two wheels.</t>
  </si>
  <si>
    <r>
      <rPr>
        <rFont val="Arial, sans-serif"/>
        <color rgb="FF1155CC"/>
        <sz val="9.0"/>
        <u/>
      </rPr>
      <t>Guía Repsol</t>
    </r>
    <r>
      <rPr>
        <rFont val="Arial, sans-serif"/>
        <color rgb="FF1155CC"/>
        <sz val="15.0"/>
        <u/>
      </rPr>
      <t>Flores en el plato: proceso creativo de Innoflower y el restaurante 'Gente Rara' (Zaragoza)</t>
    </r>
    <r>
      <rPr>
        <rFont val="Arial, sans-serif"/>
        <color rgb="FF1155CC"/>
        <sz val="11.0"/>
        <u/>
      </rPr>
      <t>Hace tiempo que la alta gastronomía ha asumido que las flores son un ingrediente más al que sacar partido. No solo por su belleza ornamental sino por los...</t>
    </r>
    <r>
      <rPr>
        <rFont val="Arial, sans-serif"/>
        <color rgb="FF1155CC"/>
        <sz val="12.0"/>
        <u/>
      </rPr>
      <t>.</t>
    </r>
    <r>
      <rPr>
        <rFont val="Arial, sans-serif"/>
        <color rgb="FF1155CC"/>
        <sz val="11.0"/>
        <u/>
      </rPr>
      <t>14 mar 2024</t>
    </r>
  </si>
  <si>
    <t>Flores en el plato: proceso creativo de Innoflower y el restaurante 'Gente Rara' (Zaragoza)</t>
  </si>
  <si>
    <t>No solo por su belleza ornamental sino por los sabores y aromas que pueden aportar a los platos, las flores se están convirtiendo en una opción innovadora en la cocina de alta gama.</t>
  </si>
  <si>
    <t>Flowers on the plate: creative process of Innoflower and the restaurant 'Gente Rara' (Zaragoza)</t>
  </si>
  <si>
    <t>Not only for their ornamental beauty but also for the flavors and aromas they can add to dishes, flowers are becoming an innovative option in high-end cuisine.</t>
  </si>
  <si>
    <r>
      <rPr>
        <rFont val="Arial, sans-serif"/>
        <color rgb="FF1155CC"/>
        <sz val="9.0"/>
        <u/>
      </rPr>
      <t>Infobae</t>
    </r>
    <r>
      <rPr>
        <rFont val="Arial, sans-serif"/>
        <color rgb="FF1155CC"/>
        <sz val="15.0"/>
        <u/>
      </rPr>
      <t>Derrame de petróleo de Repsol: pescadores protestan afuera de la PCM para denunciar que ya van 2 años sin justicia</t>
    </r>
    <r>
      <rPr>
        <rFont val="Arial, sans-serif"/>
        <color rgb="FF1155CC"/>
        <sz val="11.0"/>
        <u/>
      </rPr>
      <t>A pesar de los esfuerzos por dialogar con las autoridades, incluyendo una comisión de afectados que se dirigió al Congreso para solicitar la mediación con...</t>
    </r>
    <r>
      <rPr>
        <rFont val="Arial, sans-serif"/>
        <color rgb="FF1155CC"/>
        <sz val="12.0"/>
        <u/>
      </rPr>
      <t>.</t>
    </r>
    <r>
      <rPr>
        <rFont val="Arial, sans-serif"/>
        <color rgb="FF1155CC"/>
        <sz val="11.0"/>
        <u/>
      </rPr>
      <t>14 mar 2024</t>
    </r>
  </si>
  <si>
    <t>Derrame de petróleo de Repsol: pescadores protestan afuera de la PCM para denunciar que ya van 2 años sin justicia</t>
  </si>
  <si>
    <t>A pesar de los esfuerzos por dialogar con las autoridades, incluyendo una comisión de afectados que se dirigió al Congreso para solicitar la mediación con....</t>
  </si>
  <si>
    <t>Repsol oil spill: fishermen protest outside the PCM to denounce that it has been 2 years without justice</t>
  </si>
  <si>
    <t>Despite efforts to dialogue with the authorities, including a commission of affected people that went to Congress to request mediation with...</t>
  </si>
  <si>
    <t>Repsol oil spill, environmental impact</t>
  </si>
  <si>
    <t>Derrame de petróleo de Repsol, impacto ambiental</t>
  </si>
  <si>
    <t>Oil spills can significantly damage Repsol’s environmental reputation.</t>
  </si>
  <si>
    <t>derrame de petróleo, protestan</t>
  </si>
  <si>
    <t>Strongly negative sentiment due to environmental and legal issues involving Repsol.</t>
  </si>
  <si>
    <t>Sentimiento fuertemente negativo por cuestiones medioambientales y legales que afectan a Repsol.</t>
  </si>
  <si>
    <r>
      <rPr>
        <rFont val="Arial, sans-serif"/>
        <color rgb="FF1155CC"/>
        <sz val="9.0"/>
        <u/>
      </rPr>
      <t>tele7.tv</t>
    </r>
    <r>
      <rPr>
        <rFont val="Arial, sans-serif"/>
        <color rgb="FF1155CC"/>
        <sz val="15.0"/>
        <u/>
      </rPr>
      <t>PETRONOR ensaya un nuevo combustible sintético</t>
    </r>
    <r>
      <rPr>
        <rFont val="Arial, sans-serif"/>
        <color rgb="FF1155CC"/>
        <sz val="11.0"/>
        <u/>
      </rPr>
      <t>Este e-fuel se obtiene de la combinación de CO2 capturado de la atmósfera e hidrógeno renovable obtenido del agua (H20) mediante un proceso de electrolisis.</t>
    </r>
    <r>
      <rPr>
        <rFont val="Arial, sans-serif"/>
        <color rgb="FF1155CC"/>
        <sz val="12.0"/>
        <u/>
      </rPr>
      <t>.</t>
    </r>
    <r>
      <rPr>
        <rFont val="Arial, sans-serif"/>
        <color rgb="FF1155CC"/>
        <sz val="11.0"/>
        <u/>
      </rPr>
      <t>14 mar 2024</t>
    </r>
  </si>
  <si>
    <t>tele7.tv</t>
  </si>
  <si>
    <t>PETRONOR ensaya un nuevo combustible sintético</t>
  </si>
  <si>
    <t>Este e-fuel se obtiene de la combinación de CO2 capturado de la atmósfera e hidrógeno renovable obtenido del agua (H20) mediante un proceso de electrolisis.</t>
  </si>
  <si>
    <t>PETRONOR tests a new synthetic fuel</t>
  </si>
  <si>
    <t>This e-fuel is obtained from the combination of CO2 captured from the atmosphere and renewable hydrogen obtained from water (H20) through an electrolysis process.</t>
  </si>
  <si>
    <t>Developing synthetic fuels reinforces Repsol’s innovation in clean energy.</t>
  </si>
  <si>
    <t>combustible sintético, hidrógeno renovable</t>
  </si>
  <si>
    <r>
      <rPr>
        <rFont val="Arial, sans-serif"/>
        <color rgb="FF1155CC"/>
        <sz val="9.0"/>
        <u/>
      </rPr>
      <t>Neo2 Magazine</t>
    </r>
    <r>
      <rPr>
        <rFont val="Arial, sans-serif"/>
        <color rgb="FF1155CC"/>
        <sz val="15.0"/>
        <u/>
      </rPr>
      <t>Restaurante Cookaluzka, sabores veganos del mundo en Madrid</t>
    </r>
    <r>
      <rPr>
        <rFont val="Arial, sans-serif"/>
        <color rgb="FF1155CC"/>
        <sz val="11.0"/>
        <u/>
      </rPr>
      <t>En el centro de Madrid el restaurante vegano Cookaluzka ofrece un menú del día nutritivo y una carta de platos de inspiración mundial.</t>
    </r>
    <r>
      <rPr>
        <rFont val="Arial, sans-serif"/>
        <color rgb="FF1155CC"/>
        <sz val="12.0"/>
        <u/>
      </rPr>
      <t>.</t>
    </r>
    <r>
      <rPr>
        <rFont val="Arial, sans-serif"/>
        <color rgb="FF1155CC"/>
        <sz val="11.0"/>
        <u/>
      </rPr>
      <t>14 mar 2024</t>
    </r>
  </si>
  <si>
    <t>Neo2 Magazine</t>
  </si>
  <si>
    <t>Restaurante Cookaluzka, sabores veganos del mundo en Madrid</t>
  </si>
  <si>
    <t>En el centro de Madrid el restaurante vegano Cookaluzka ofrece un menú del día nutritivo y una carta de platos de inspiración mundial.</t>
  </si>
  <si>
    <t>Cookaluzka Restaurant, vegan flavors of the world in Madrid</t>
  </si>
  <si>
    <t>In the center of Madrid, the vegan restaurant Cookaluzka offers a nutritious daily menu and a menu of globally inspired dishes.</t>
  </si>
  <si>
    <r>
      <rPr>
        <rFont val="Arial, sans-serif"/>
        <color rgb="FF1155CC"/>
        <sz val="9.0"/>
        <u/>
      </rPr>
      <t>Faro de Vigo</t>
    </r>
    <r>
      <rPr>
        <rFont val="Arial, sans-serif"/>
        <color rgb="FF1155CC"/>
        <sz val="15.0"/>
        <u/>
      </rPr>
      <t>Cinco proyectos revolucionarios que podrían mejorar el futuro de todos</t>
    </r>
    <r>
      <rPr>
        <rFont val="Arial, sans-serif"/>
        <color rgb="FF1155CC"/>
        <sz val="11.0"/>
        <u/>
      </rPr>
      <t>Fundación Repsol ha reunido a cerca de un centenar de estudiantes en la Gran Final de su Challenge Universitario, que impulsa la búsqueda de soluciones para...</t>
    </r>
    <r>
      <rPr>
        <rFont val="Arial, sans-serif"/>
        <color rgb="FF1155CC"/>
        <sz val="12.0"/>
        <u/>
      </rPr>
      <t>.</t>
    </r>
    <r>
      <rPr>
        <rFont val="Arial, sans-serif"/>
        <color rgb="FF1155CC"/>
        <sz val="11.0"/>
        <u/>
      </rPr>
      <t>14 mar 2024</t>
    </r>
  </si>
  <si>
    <t>Cinco proyectos revolucionarios que podrían mejorar el futuro de todos</t>
  </si>
  <si>
    <t>Fundación Repsol ha reunido a cerca de un centenar de estudiantes en la Gran Final de su Challenge Universitario, que impulsa la búsqueda de soluciones para....</t>
  </si>
  <si>
    <t>Five revolutionary projects that could improve everyone's future</t>
  </si>
  <si>
    <t>Fundación Repsol has brought together nearly a hundred students in the Grand Final of its University Challenge, which promotes the search for solutions to...</t>
  </si>
  <si>
    <t>Fundación Repsol, sustainability projects</t>
  </si>
  <si>
    <t>Fundación Repsol, proyectos de sostenibilidad</t>
  </si>
  <si>
    <t>Supporting sustainable projects enhances Repsol’s corporate image.</t>
  </si>
  <si>
    <t>proyectos revolucionarios, Fundación Repsol</t>
  </si>
  <si>
    <t>Positive sentiment due to Repsol's support for innovation and education.</t>
  </si>
  <si>
    <t>Sentimiento positivo por el apoyo de Repsol a la innovación y la educación.</t>
  </si>
  <si>
    <r>
      <rPr>
        <rFont val="Arial, sans-serif"/>
        <color rgb="FF1155CC"/>
        <sz val="9.0"/>
        <u/>
      </rPr>
      <t>MDZ Online</t>
    </r>
    <r>
      <rPr>
        <rFont val="Arial, sans-serif"/>
        <color rgb="FF1155CC"/>
        <sz val="15.0"/>
        <u/>
      </rPr>
      <t>Video: detienen a dos jóvenes delincuentes por el robo de una moto en la Ciudad de Mendoza</t>
    </r>
    <r>
      <rPr>
        <rFont val="Arial, sans-serif"/>
        <color rgb="FF1155CC"/>
        <sz val="11.0"/>
        <u/>
      </rPr>
      <t>Ocurrió en Alem y Salta, donde cuatro delincuentes se robaron una moto de un edificio e intentaron fugarse en Ciudad. Tras la intervención de la Policía,...</t>
    </r>
    <r>
      <rPr>
        <rFont val="Arial, sans-serif"/>
        <color rgb="FF1155CC"/>
        <sz val="12.0"/>
        <u/>
      </rPr>
      <t>.</t>
    </r>
    <r>
      <rPr>
        <rFont val="Arial, sans-serif"/>
        <color rgb="FF1155CC"/>
        <sz val="11.0"/>
        <u/>
      </rPr>
      <t>14 mar 2024</t>
    </r>
  </si>
  <si>
    <t>MDZ Online</t>
  </si>
  <si>
    <t>Detienen a dos jóvenes delincuentes por el robo de una moto en la Ciudad de Mendoza</t>
  </si>
  <si>
    <t>Ocurrió en Alem y Salta, donde cuatro delincuentes se robaron una moto de un edificio e intentaron fugarse en Ciudad. Tras la intervención de la Policía,....</t>
  </si>
  <si>
    <t>Two young criminals are arrested for the theft of a motorcycle in the City of Mendoza</t>
  </si>
  <si>
    <t>It happened in Alem and Salta, where four criminals stole a motorcycle from a building and tried to escape in the City. After the intervention of the Police,...</t>
  </si>
  <si>
    <r>
      <rPr>
        <rFont val="Arial, sans-serif"/>
        <color rgb="FF1155CC"/>
        <sz val="9.0"/>
        <u/>
      </rPr>
      <t>El Economista</t>
    </r>
    <r>
      <rPr>
        <rFont val="Arial, sans-serif"/>
        <color rgb="FF1155CC"/>
        <sz val="15.0"/>
        <u/>
      </rPr>
      <t>Lola Rodríguez Trejo (Repsol): "Es fundamental ir de la mano con los territorios a la hora de realizar nuestros proyectos"</t>
    </r>
    <r>
      <rPr>
        <rFont val="Arial, sans-serif"/>
        <color rgb="FF1155CC"/>
        <sz val="11.0"/>
        <u/>
      </rPr>
      <t>Este miércoles 13 de marzo se ha celebrado en el Hotel The Westin Palace de Madrid el V Foro de Renovables 'Objetivo: Triplicar las ...</t>
    </r>
    <r>
      <rPr>
        <rFont val="Arial, sans-serif"/>
        <color rgb="FF1155CC"/>
        <sz val="12.0"/>
        <u/>
      </rPr>
      <t>.</t>
    </r>
    <r>
      <rPr>
        <rFont val="Arial, sans-serif"/>
        <color rgb="FF1155CC"/>
        <sz val="11.0"/>
        <u/>
      </rPr>
      <t>15 mar 2024</t>
    </r>
  </si>
  <si>
    <t>"Es fundamental ir de la mano con los territorios a la hora de realizar nuestros proyectos"</t>
  </si>
  <si>
    <t>"It is essential to go hand in hand with the territories when carrying out our projects"</t>
  </si>
  <si>
    <t>Repsol technology, innovation</t>
  </si>
  <si>
    <t>Tecnología Repsol, innovación</t>
  </si>
  <si>
    <t>Emphasizing future technology strengthens Repsol’s innovation positioning.</t>
  </si>
  <si>
    <r>
      <rPr>
        <rFont val="Arial, sans-serif"/>
        <color rgb="FF1155CC"/>
        <sz val="9.0"/>
        <u/>
      </rPr>
      <t>Ayuntamiento de Puertollano</t>
    </r>
    <r>
      <rPr>
        <rFont val="Arial, sans-serif"/>
        <color rgb="FF1155CC"/>
        <sz val="15.0"/>
        <u/>
      </rPr>
      <t>Punto Violeta de la diversidad y la inclusión en el entorno laboral de la parada de Repsol</t>
    </r>
    <r>
      <rPr>
        <rFont val="Arial, sans-serif"/>
        <color rgb="FF1155CC"/>
        <sz val="11.0"/>
        <u/>
      </rPr>
      <t>Los profesionales de Repsol y de las cerca de 90 empresas auxiliares que durante estos días están trabajando en la parada programada del esquema de...</t>
    </r>
    <r>
      <rPr>
        <rFont val="Arial, sans-serif"/>
        <color rgb="FF1155CC"/>
        <sz val="12.0"/>
        <u/>
      </rPr>
      <t>.</t>
    </r>
    <r>
      <rPr>
        <rFont val="Arial, sans-serif"/>
        <color rgb="FF1155CC"/>
        <sz val="11.0"/>
        <u/>
      </rPr>
      <t>15 mar 2024</t>
    </r>
  </si>
  <si>
    <t>Punto Violeta de la diversidad y la inclusión en el entorno laboral de la parada de Repsol</t>
  </si>
  <si>
    <t>Los profesionales de Repsol y de las cerca de 90 empresas auxiliares que durante estos días están trabajando en la parada programada del esquema de....</t>
  </si>
  <si>
    <t>Violet Point of diversity and inclusion in the work environment of the Repsol stop</t>
  </si>
  <si>
    <t>The professionals from Repsol and the nearly 90 auxiliary companies that during these days are working on the scheduled stoppage of the...</t>
  </si>
  <si>
    <t>Festival inclusivity does not impact Repsol’s corporate perception.</t>
  </si>
  <si>
    <t>diversidad, inclusión</t>
  </si>
  <si>
    <t>Neutral to slightly positive, as it highlights Repsol's commitment to diversity.</t>
  </si>
  <si>
    <t>De neutra a ligeramente positiva, ya que destaca el compromiso de Repsol con la diversidad.</t>
  </si>
  <si>
    <r>
      <rPr>
        <rFont val="Arial, sans-serif"/>
        <color rgb="FF1155CC"/>
        <sz val="9.0"/>
        <u/>
      </rPr>
      <t>Forbes España</t>
    </r>
    <r>
      <rPr>
        <rFont val="Arial, sans-serif"/>
        <color rgb="FF1155CC"/>
        <sz val="15.0"/>
        <u/>
      </rPr>
      <t>Inditex, Iberdrola y Repsol, las mejores empresas en atraer y fidelizar talento en España, según Merco Talento</t>
    </r>
    <r>
      <rPr>
        <rFont val="Arial, sans-serif"/>
        <color rgb="FF1155CC"/>
        <sz val="11.0"/>
        <u/>
      </rPr>
      <t>Inditex, Iberdrola y Repsol lideran el ranking de las mejores empresas en atraer y fidelizar talento en España durante el último año, según el Merco.</t>
    </r>
    <r>
      <rPr>
        <rFont val="Arial, sans-serif"/>
        <color rgb="FF1155CC"/>
        <sz val="12.0"/>
        <u/>
      </rPr>
      <t>.</t>
    </r>
    <r>
      <rPr>
        <rFont val="Arial, sans-serif"/>
        <color rgb="FF1155CC"/>
        <sz val="11.0"/>
        <u/>
      </rPr>
      <t>15 mar 2024</t>
    </r>
  </si>
  <si>
    <t>Inditex, Iberdrola y Repsol, las mejores empresas en atraer y fidelizar talento en España, según Merco Talento</t>
  </si>
  <si>
    <t>Inditex, Iberdrola y Repsol lideran el ranking de las mejores empresas en atraer y fidelizar talento en España durante el último año, según el Merco.</t>
  </si>
  <si>
    <t>Inditex, Iberdrola and Repsol, the best companies in attracting and retaining talent in Spain, according to Merco Talento</t>
  </si>
  <si>
    <t>Inditex, Iberdrola and Repsol lead the ranking of the best companies in attracting and retaining talent in Spain during the last year, according to Merco.</t>
  </si>
  <si>
    <t>Repsol employer ranking, corporate reputation</t>
  </si>
  <si>
    <t>Ranking de empleadores Repsol, reputación corporativa</t>
  </si>
  <si>
    <t>Recognition as a top employer enhances Repsol’s reputation.</t>
  </si>
  <si>
    <t>atraer talento, fidelizar</t>
  </si>
  <si>
    <t>Positive sentiment due to Repsol's recognition as a top employer.</t>
  </si>
  <si>
    <t>Sentimiento positivo por el reconocimiento de Repsol como empleador de primer nivel.</t>
  </si>
  <si>
    <r>
      <rPr>
        <rFont val="Arial, sans-serif"/>
        <color rgb="FF1155CC"/>
        <sz val="9.0"/>
        <u/>
      </rPr>
      <t>Infobae</t>
    </r>
    <r>
      <rPr>
        <rFont val="Arial, sans-serif"/>
        <color rgb="FF1155CC"/>
        <sz val="15.0"/>
        <u/>
      </rPr>
      <t>El mapa de los nuevos restaurantes con soles Repsol en 2024: desde Madrid hasta Barcelona, pasando por Cáceres, Teruel y Murcia</t>
    </r>
    <r>
      <rPr>
        <rFont val="Arial, sans-serif"/>
        <color rgb="FF1155CC"/>
        <sz val="11.0"/>
        <u/>
      </rPr>
      <t>Los Soles de la Guía Repsol se han consolidado como uno de los reconocimientos más prestigiosos en el ámbito gastronómico español, apoyando no solo la...</t>
    </r>
    <r>
      <rPr>
        <rFont val="Arial, sans-serif"/>
        <color rgb="FF1155CC"/>
        <sz val="12.0"/>
        <u/>
      </rPr>
      <t>.</t>
    </r>
    <r>
      <rPr>
        <rFont val="Arial, sans-serif"/>
        <color rgb="FF1155CC"/>
        <sz val="11.0"/>
        <u/>
      </rPr>
      <t>15 mar 2024</t>
    </r>
  </si>
  <si>
    <t>El mapa de los nuevos restaurantes con soles Repsol en 2024: desde Madrid hasta Barcelona, pasando por Cáceres, Teruel y Murcia</t>
  </si>
  <si>
    <t>Los Soles de la Guía Repsol se han consolidado como uno de los reconocimientos más prestigiosos en el ámbito gastronómico español, apoyando no solo la....</t>
  </si>
  <si>
    <t>The map of the new restaurants with Repsol soles in 2024: from Madrid to Barcelona, ​​passing through Cáceres, Teruel and Murcia</t>
  </si>
  <si>
    <t>The Repsol Guide Suns have established themselves as one of the most prestigious recognitions in the Spanish gastronomic field, supporting not only the...</t>
  </si>
  <si>
    <r>
      <rPr>
        <rFont val="Arial, sans-serif"/>
        <color rgb="FF1155CC"/>
        <sz val="9.0"/>
        <u/>
      </rPr>
      <t>El Confidencial</t>
    </r>
    <r>
      <rPr>
        <rFont val="Arial, sans-serif"/>
        <color rgb="FF1155CC"/>
        <sz val="15.0"/>
        <u/>
      </rPr>
      <t>El reto de 1.700 universitarios españoles: aportar ideas para avanzar en la transición energética</t>
    </r>
    <r>
      <rPr>
        <rFont val="Arial, sans-serif"/>
        <color rgb="FF1155CC"/>
        <sz val="11.0"/>
        <u/>
      </rPr>
      <t>La primera edición del Challenge Universitario de Fundación Repsol reunió a 1.702 universitarios de toda España para proponer soluciones de movilidad...</t>
    </r>
    <r>
      <rPr>
        <rFont val="Arial, sans-serif"/>
        <color rgb="FF1155CC"/>
        <sz val="12.0"/>
        <u/>
      </rPr>
      <t>.</t>
    </r>
    <r>
      <rPr>
        <rFont val="Arial, sans-serif"/>
        <color rgb="FF1155CC"/>
        <sz val="11.0"/>
        <u/>
      </rPr>
      <t>15 mar 2024</t>
    </r>
  </si>
  <si>
    <t>El reto de 1.700 universitarios españoles: aportar ideas para avanzar en la transición energética</t>
  </si>
  <si>
    <t>La primera edición del Challenge Universitario de Fundación Repsol reunió a 1.702 universitarios de toda España para proponer soluciones de movilidad....</t>
  </si>
  <si>
    <t>The challenge of 1,700 Spanish university students: to contribute ideas to advance the energy transition</t>
  </si>
  <si>
    <t>The first edition of the Repsol Foundation University Challenge brought together 1,702 university students from all over Spain to propose mobility solutions....</t>
  </si>
  <si>
    <t>Repsol sustainability projects, education</t>
  </si>
  <si>
    <t>Proyectos de sostenibilidad de Repsol, educación</t>
  </si>
  <si>
    <t>Encouraging sustainability among students strengthens Repsol’s public image.</t>
  </si>
  <si>
    <t>transición energética, Fundación Repsol</t>
  </si>
  <si>
    <r>
      <rPr>
        <rFont val="Arial, sans-serif"/>
        <color rgb="FF1155CC"/>
        <sz val="9.0"/>
        <u/>
      </rPr>
      <t>Guía Repsol</t>
    </r>
    <r>
      <rPr>
        <rFont val="Arial, sans-serif"/>
        <color rgb="FF1155CC"/>
        <sz val="15.0"/>
        <u/>
      </rPr>
      <t>Y el mejor torrezno del mundo se cocina en… Zaragoza</t>
    </r>
    <r>
      <rPr>
        <rFont val="Arial, sans-serif"/>
        <color rgb="FF1155CC"/>
        <sz val="11.0"/>
        <u/>
      </rPr>
      <t>El mejor torrezno del mundo se elabora en Zaragoza y lo hacen los hermanos José María y Juan Carlos Calvo en el 'Café Chicago'. Es la primera vez que los g.</t>
    </r>
    <r>
      <rPr>
        <rFont val="Arial, sans-serif"/>
        <color rgb="FF1155CC"/>
        <sz val="12.0"/>
        <u/>
      </rPr>
      <t>.</t>
    </r>
    <r>
      <rPr>
        <rFont val="Arial, sans-serif"/>
        <color rgb="FF1155CC"/>
        <sz val="11.0"/>
        <u/>
      </rPr>
      <t>15 mar 2024</t>
    </r>
  </si>
  <si>
    <t>Y el mejor torrezno del mundo se cocina en… Zaragoza</t>
  </si>
  <si>
    <t>El mejor torrezno del mundo se elabora en Zaragoza y lo hacen los hermanos José María y Juan Carlos Calvo en el 'Café Chicago'.</t>
  </si>
  <si>
    <t>And the best torrezno in the world is cooked in… Zaragoza</t>
  </si>
  <si>
    <t>The best torrezno in the world is made in Zaragoza and is made by the brothers José María and Juan Carlos Calvo at the 'Café Chicago'.</t>
  </si>
  <si>
    <r>
      <rPr>
        <rFont val="Arial, sans-serif"/>
        <color rgb="FF1155CC"/>
        <sz val="9.0"/>
        <u/>
      </rPr>
      <t>Guía Repsol</t>
    </r>
    <r>
      <rPr>
        <rFont val="Arial, sans-serif"/>
        <color rgb="FF1155CC"/>
        <sz val="15.0"/>
        <u/>
      </rPr>
      <t>Dónde se rodo 'Mano de Hierro', la serie de Netflix</t>
    </r>
    <r>
      <rPr>
        <rFont val="Arial, sans-serif"/>
        <color rgb="FF1155CC"/>
        <sz val="11.0"/>
        <u/>
      </rPr>
      <t>La nueva serie española de Netflix es Mano de hierro, un thriller de suspense con reparto de lujo sobre una familia que controla el negocio del narcotráfico...</t>
    </r>
    <r>
      <rPr>
        <rFont val="Arial, sans-serif"/>
        <color rgb="FF1155CC"/>
        <sz val="12.0"/>
        <u/>
      </rPr>
      <t>.</t>
    </r>
    <r>
      <rPr>
        <rFont val="Arial, sans-serif"/>
        <color rgb="FF1155CC"/>
        <sz val="11.0"/>
        <u/>
      </rPr>
      <t>15 mar 2024</t>
    </r>
  </si>
  <si>
    <t>Dónde se rodó 'Mano de Hierro', la serie de Netflix</t>
  </si>
  <si>
    <t>La nueva serie española de Netflix es Mano de hierro, un thriller de suspense con reparto de lujo sobre una familia que controla el negocio del narcotráfico.</t>
  </si>
  <si>
    <t>Where 'Iron Hand', the Netflix series, was filmed</t>
  </si>
  <si>
    <t>The new Spanish series on Netflix is ​​Iron Hand, a suspense thriller with a luxury cast about a family that controls the drug trafficking business.</t>
  </si>
  <si>
    <r>
      <rPr>
        <rFont val="Arial, sans-serif"/>
        <color rgb="FF1155CC"/>
        <sz val="9.0"/>
        <u/>
      </rPr>
      <t>Ultima Hora</t>
    </r>
    <r>
      <rPr>
        <rFont val="Arial, sans-serif"/>
        <color rgb="FF1155CC"/>
        <sz val="15.0"/>
        <u/>
      </rPr>
      <t>Álvaro Salazar, dos estrellas Michelin: «La coherencia es el camino en la alta gastronomía»</t>
    </r>
    <r>
      <rPr>
        <rFont val="Arial, sans-serif"/>
        <color rgb="FF1155CC"/>
        <sz val="11.0"/>
        <u/>
      </rPr>
      <t>El chef al frente del Voro de Cap Vermell Gran Hotel habla sobre la nueva temporada del único restaurante de Baleares con dos estrellas Michelín y dos soles...</t>
    </r>
    <r>
      <rPr>
        <rFont val="Arial, sans-serif"/>
        <color rgb="FF1155CC"/>
        <sz val="12.0"/>
        <u/>
      </rPr>
      <t>.</t>
    </r>
    <r>
      <rPr>
        <rFont val="Arial, sans-serif"/>
        <color rgb="FF1155CC"/>
        <sz val="11.0"/>
        <u/>
      </rPr>
      <t>15 mar 2024</t>
    </r>
  </si>
  <si>
    <t>Álvaro Salazar, dos estrellas Michelin: «La coherencia es el camino en la alta gastronomía»</t>
  </si>
  <si>
    <t>El chef al frente del Voro de Cap Vermell Gran Hotel habla sobre la nueva temporada del único restaurante de Baleares con dos estrellas Michelín y dos soles.</t>
  </si>
  <si>
    <t>Álvaro Salazar, two Michelin stars: «Coherence is the way in haute cuisine»</t>
  </si>
  <si>
    <t>The chef at the head of Voro at Cap Vermell Gran Hotel talks about the new season of the only restaurant in the Balearic Islands with two Michelin stars and two suns.</t>
  </si>
  <si>
    <r>
      <rPr>
        <rFont val="Arial, sans-serif"/>
        <color rgb="FF1155CC"/>
        <sz val="9.0"/>
        <u/>
      </rPr>
      <t>Corresponsables</t>
    </r>
    <r>
      <rPr>
        <rFont val="Arial, sans-serif"/>
        <color rgb="FF1155CC"/>
        <sz val="15.0"/>
        <u/>
      </rPr>
      <t>Ranking Merco 2023: Las mejores empresas en atraer y fidelizar talento en España</t>
    </r>
    <r>
      <rPr>
        <rFont val="Arial, sans-serif"/>
        <color rgb="FF1155CC"/>
        <sz val="11.0"/>
        <u/>
      </rPr>
      <t>Inditex vuelve a liderar por decimotercer año consecutivo el monitor de referencia en Employer Branding en España.</t>
    </r>
    <r>
      <rPr>
        <rFont val="Arial, sans-serif"/>
        <color rgb="FF1155CC"/>
        <sz val="12.0"/>
        <u/>
      </rPr>
      <t>.</t>
    </r>
    <r>
      <rPr>
        <rFont val="Arial, sans-serif"/>
        <color rgb="FF1155CC"/>
        <sz val="11.0"/>
        <u/>
      </rPr>
      <t>15 mar 2024</t>
    </r>
  </si>
  <si>
    <t>Corresponsables</t>
  </si>
  <si>
    <t>Ranking Merco 2023: Las mejores empresas en atraer y fidelizar talento en España</t>
  </si>
  <si>
    <t>Inditex vuelve a liderar por decimotercer año consecutivo el monitor de referencia en Employer Branding en España.</t>
  </si>
  <si>
    <t>Merco 2023 Ranking: The best companies in attracting and retaining talent in Spain</t>
  </si>
  <si>
    <t>Inditex once again leads the reference monitor in Employer Branding in Spain for the thirteenth consecutive year.</t>
  </si>
  <si>
    <r>
      <rPr>
        <rFont val="Arial, sans-serif"/>
        <color rgb="FF1155CC"/>
        <sz val="9.0"/>
        <u/>
      </rPr>
      <t>diariodenavarra.es</t>
    </r>
    <r>
      <rPr>
        <rFont val="Arial, sans-serif"/>
        <color rgb="FF1155CC"/>
        <sz val="15.0"/>
        <u/>
      </rPr>
      <t>El chef Ramsés González, premio El Hortelano 2024</t>
    </r>
    <r>
      <rPr>
        <rFont val="Arial, sans-serif"/>
        <color rgb="FF1155CC"/>
        <sz val="11.0"/>
        <u/>
      </rPr>
      <t>Con estrella Michelín y dos soles Repsol en el Cancook de Zaragoza, recibirá el Galardón de la Federación de Sociedades Gastronómicas de Tudela el 15 de...</t>
    </r>
    <r>
      <rPr>
        <rFont val="Arial, sans-serif"/>
        <color rgb="FF1155CC"/>
        <sz val="12.0"/>
        <u/>
      </rPr>
      <t>.</t>
    </r>
    <r>
      <rPr>
        <rFont val="Arial, sans-serif"/>
        <color rgb="FF1155CC"/>
        <sz val="11.0"/>
        <u/>
      </rPr>
      <t>15 mar 2024</t>
    </r>
  </si>
  <si>
    <t>El chef Ramsés González, premio El Hortelano 2024</t>
  </si>
  <si>
    <t>El chef Ramsés González, premio El Hortelano 2024, con estrella Michelín y dos soles Repsol en el Cancook de Zaragoza, recibirá el Galardón de la Federación de Sociedades Gastronómicas de Tudela el 15 de....</t>
  </si>
  <si>
    <t>Chef Ramsés González, El Hortelano 2024 award</t>
  </si>
  <si>
    <t>Chef Ramsés González, winner of the El Hortelano 2024 award, with a Michelin star and two Repsol suns at Cancook in Zaragoza, will receive the Award from the Federation of Gastronomic Societies of Tudela on the 15th of...</t>
  </si>
  <si>
    <r>
      <rPr>
        <rFont val="Arial, sans-serif"/>
        <color rgb="FF1155CC"/>
        <sz val="9.0"/>
        <u/>
      </rPr>
      <t>Crónica Global</t>
    </r>
    <r>
      <rPr>
        <rFont val="Arial, sans-serif"/>
        <color rgb="FF1155CC"/>
        <sz val="15.0"/>
        <u/>
      </rPr>
      <t>El restaurante de Tarragona ganador de un Sol Repsol 2024: menú degustación en una masía de lujo</t>
    </r>
    <r>
      <rPr>
        <rFont val="Arial, sans-serif"/>
        <color rgb="FF1155CC"/>
        <sz val="11.0"/>
        <u/>
      </rPr>
      <t>Este mítico local culinario consigue el merecido galardón de la Guía Repsol, donde se fusiona una cocina tradicional y de vanguardia.</t>
    </r>
    <r>
      <rPr>
        <rFont val="Arial, sans-serif"/>
        <color rgb="FF1155CC"/>
        <sz val="12.0"/>
        <u/>
      </rPr>
      <t>.</t>
    </r>
    <r>
      <rPr>
        <rFont val="Arial, sans-serif"/>
        <color rgb="FF1155CC"/>
        <sz val="11.0"/>
        <u/>
      </rPr>
      <t>16 mar 2024</t>
    </r>
  </si>
  <si>
    <t>El restaurante de Tarragona ganador de un Sol Repsol 2024: menú degustación en una masía de lujo</t>
  </si>
  <si>
    <t>Este mítico local culinario consigue el merecido galardón de la Guía Repsol, donde se fusiona una cocina tradicional y de vanguardia.</t>
  </si>
  <si>
    <t>The Tarragona restaurant winner of a Sol Repsol 2024: tasting menu in a luxury farmhouse</t>
  </si>
  <si>
    <t>This legendary culinary establishment receives the well-deserved award from the Repsol Guide, where traditional and avant-garde cuisine is fused.</t>
  </si>
  <si>
    <r>
      <rPr>
        <rFont val="Arial, sans-serif"/>
        <color rgb="FF1155CC"/>
        <sz val="9.0"/>
        <u/>
      </rPr>
      <t>Emprendedores</t>
    </r>
    <r>
      <rPr>
        <rFont val="Arial, sans-serif"/>
        <color rgb="FF1155CC"/>
        <sz val="15.0"/>
        <u/>
      </rPr>
      <t>DiCaprio invierte en la española SolarMente</t>
    </r>
    <r>
      <rPr>
        <rFont val="Arial, sans-serif"/>
        <color rgb="FF1155CC"/>
        <sz val="11.0"/>
        <u/>
      </rPr>
      <t>Leonardo DiCaprio acaba de incorporarse como inversor al proyecto de SolarMente, que el promueve el acceso a la energía solar a través de un modelo de...</t>
    </r>
    <r>
      <rPr>
        <rFont val="Arial, sans-serif"/>
        <color rgb="FF1155CC"/>
        <sz val="12.0"/>
        <u/>
      </rPr>
      <t>.</t>
    </r>
    <r>
      <rPr>
        <rFont val="Arial, sans-serif"/>
        <color rgb="FF1155CC"/>
        <sz val="11.0"/>
        <u/>
      </rPr>
      <t>16 mar 2024</t>
    </r>
  </si>
  <si>
    <t>DiCaprio invierte en la española SolarMente</t>
  </si>
  <si>
    <t>Leonardo DiCaprio acaba de incorporarse como inversor al proyecto de SolarMente, que el promueve el acceso a la energía solar a través de un modelo de....</t>
  </si>
  <si>
    <t>DiCaprio invests in the Spanish company SolarMente</t>
  </si>
  <si>
    <t>Leonardo DiCaprio has just joined the SolarMente project as an investor, which promotes access to solar energy through a model of...</t>
  </si>
  <si>
    <t>Celebrity investments do not impact Repsol’s corporate perception.</t>
  </si>
  <si>
    <r>
      <rPr>
        <rFont val="Arial, sans-serif"/>
        <color rgb="FF1155CC"/>
        <sz val="9.0"/>
        <u/>
      </rPr>
      <t>Motorsport.com España</t>
    </r>
    <r>
      <rPr>
        <rFont val="Arial, sans-serif"/>
        <color rgb="FF1155CC"/>
        <sz val="15.0"/>
        <u/>
      </rPr>
      <t>Qué hay detrás del desastroso debut de Marini con Honda en Qatar</t>
    </r>
    <r>
      <rPr>
        <rFont val="Arial, sans-serif"/>
        <color rgb="FF1155CC"/>
        <sz val="11.0"/>
        <u/>
      </rPr>
      <t>El cronómetro no es influenciable y no miente, y el retroceso experimentado por Luca Marini en Losail es incuestionable. El pasado mes de noviembre,...</t>
    </r>
    <r>
      <rPr>
        <rFont val="Arial, sans-serif"/>
        <color rgb="FF1155CC"/>
        <sz val="12.0"/>
        <u/>
      </rPr>
      <t>.</t>
    </r>
    <r>
      <rPr>
        <rFont val="Arial, sans-serif"/>
        <color rgb="FF1155CC"/>
        <sz val="11.0"/>
        <u/>
      </rPr>
      <t>16 mar 2024</t>
    </r>
  </si>
  <si>
    <t>Qué hay detrás del desastroso debut de Marini con Honda en Qatar</t>
  </si>
  <si>
    <t>El cronómetro no es influenciable y no miente, y el retroceso experimentado por Luca Marini en Losail es incuestionable. El pasado mes de noviembre,....</t>
  </si>
  <si>
    <t>What's behind Marini's disastrous debut with Honda in Qatar</t>
  </si>
  <si>
    <t>The stopwatch cannot be influenced and does not lie, and the setback experienced by Luca Marini in Losail is unquestionable. Last November,...</t>
  </si>
  <si>
    <r>
      <rPr>
        <rFont val="Arial, sans-serif"/>
        <color rgb="FF1155CC"/>
        <sz val="9.0"/>
        <u/>
      </rPr>
      <t>Todo Cultura Vega Baja</t>
    </r>
    <r>
      <rPr>
        <rFont val="Arial, sans-serif"/>
        <color rgb="FF1155CC"/>
        <sz val="15.0"/>
        <u/>
      </rPr>
      <t>Benejúzar, evento: Actuación del dj Miguel Serna en el festival de música techno 'Benefest'</t>
    </r>
    <r>
      <rPr>
        <rFont val="Arial, sans-serif"/>
        <color rgb="FF1155CC"/>
        <sz val="11.0"/>
        <u/>
      </rPr>
      <t>El motoclub 'Centauros del Alba' y la Concejalía de Fiestas del Ayuntamiento de Benejúzar han programado para el sábado 16, el domingo 17 y el martes 19 de...</t>
    </r>
    <r>
      <rPr>
        <rFont val="Arial, sans-serif"/>
        <color rgb="FF1155CC"/>
        <sz val="12.0"/>
        <u/>
      </rPr>
      <t>.</t>
    </r>
    <r>
      <rPr>
        <rFont val="Arial, sans-serif"/>
        <color rgb="FF1155CC"/>
        <sz val="11.0"/>
        <u/>
      </rPr>
      <t>16 mar 2024</t>
    </r>
  </si>
  <si>
    <t>Todo Cultura</t>
  </si>
  <si>
    <t>Actuación del dj Miguel Serna en el festival de música techno 'Benefest'</t>
  </si>
  <si>
    <t>El motoclub 'Centauros del Alba' y la Concejalía de Fiestas del Ayuntamiento de Benejúzar han programado para el sábado 16, el domingo 17 y el martes 19 de....</t>
  </si>
  <si>
    <t>Performance by DJ Miguel Serna at the 'Benefest' techno music festival</t>
  </si>
  <si>
    <t>The motorcycle club 'Centauros del Alba' and the Festivities Department of the Benejúzar City Council have scheduled for Saturday the 16th, Sunday the 17th and Tuesday the 19th of...</t>
  </si>
  <si>
    <r>
      <rPr>
        <rFont val="Arial, sans-serif"/>
        <color rgb="FF1155CC"/>
        <sz val="9.0"/>
        <u/>
      </rPr>
      <t>20Minutos</t>
    </r>
    <r>
      <rPr>
        <rFont val="Arial, sans-serif"/>
        <color rgb="FF1155CC"/>
        <sz val="15.0"/>
        <u/>
      </rPr>
      <t>Cuántos restaurantes tiene Dabiz Muñoz en el mundo y cuánto cuesta comer en ellos</t>
    </r>
    <r>
      <rPr>
        <rFont val="Arial, sans-serif"/>
        <color rgb="FF1155CC"/>
        <sz val="11.0"/>
        <u/>
      </rPr>
      <t>Está en la cima de la cocina mundial y está encantado. En noviembre volvió a ser reconocido como el mejor cocinero del mundo por tercera consecutiva.</t>
    </r>
    <r>
      <rPr>
        <rFont val="Arial, sans-serif"/>
        <color rgb="FF1155CC"/>
        <sz val="12.0"/>
        <u/>
      </rPr>
      <t>.</t>
    </r>
    <r>
      <rPr>
        <rFont val="Arial, sans-serif"/>
        <color rgb="FF1155CC"/>
        <sz val="11.0"/>
        <u/>
      </rPr>
      <t>16 mar 2024</t>
    </r>
  </si>
  <si>
    <t>Cuántos restaurantes tiene Dabiz Muñoz en el mundo y cuánto cuesta comer en ellos</t>
  </si>
  <si>
    <t>Está en la cima de la cocina mundial y está encantado. En noviembre volvió a ser reconocido como el mejor cocinero del mundo por tercera consecutiva.</t>
  </si>
  <si>
    <t>How many restaurants does Dabiz Muñoz have in the world and how much does it cost to eat in them?</t>
  </si>
  <si>
    <t>He is at the top of world cuisine and is delighted. In November he was once again recognized as the best chef in the world for the third consecutive year.</t>
  </si>
  <si>
    <r>
      <rPr>
        <rFont val="Arial, sans-serif"/>
        <color rgb="FF1155CC"/>
        <sz val="9.0"/>
        <u/>
      </rPr>
      <t>Todo Alicante</t>
    </r>
    <r>
      <rPr>
        <rFont val="Arial, sans-serif"/>
        <color rgb="FF1155CC"/>
        <sz val="15.0"/>
        <u/>
      </rPr>
      <t>El chef de Calp que liderará el equipo español en las 'olimpiadas de la gastronomía'</t>
    </r>
    <r>
      <rPr>
        <rFont val="Arial, sans-serif"/>
        <color rgb="FF1155CC"/>
        <sz val="11.0"/>
        <u/>
      </rPr>
      <t>José Manuel Miguel, estrella Michelín en el restaurante Beat de la localidad de la Marina Alta, será el cabecilla del destacamento nacional que participará...</t>
    </r>
    <r>
      <rPr>
        <rFont val="Arial, sans-serif"/>
        <color rgb="FF1155CC"/>
        <sz val="12.0"/>
        <u/>
      </rPr>
      <t>.</t>
    </r>
    <r>
      <rPr>
        <rFont val="Arial, sans-serif"/>
        <color rgb="FF1155CC"/>
        <sz val="11.0"/>
        <u/>
      </rPr>
      <t>16 mar 2024</t>
    </r>
  </si>
  <si>
    <t>El chef de Calp que liderará el equipo español en las 'olimpiadas de la gastronomía'</t>
  </si>
  <si>
    <t>El chef de Calp, José Manuel Miguel, estrella Michelín en el restaurante Beat, liderará el equipo español en las 'olimpiadas de la gastronomía'.</t>
  </si>
  <si>
    <t>The chef from Calp who will lead the Spanish team in the 'gastronomy Olympics'</t>
  </si>
  <si>
    <t>The chef from Calp, José Manuel Miguel, Michelin star at the Beat restaurant, will lead the Spanish team in the 'gastronomy Olympics'.</t>
  </si>
  <si>
    <r>
      <rPr>
        <rFont val="Arial, sans-serif"/>
        <color rgb="FF1155CC"/>
        <sz val="9.0"/>
        <u/>
      </rPr>
      <t>El Periódico de España</t>
    </r>
    <r>
      <rPr>
        <rFont val="Arial, sans-serif"/>
        <color rgb="FF1155CC"/>
        <sz val="15.0"/>
        <u/>
      </rPr>
      <t>Felipe VI vuelve al Pirineo aragonés para esquiar en Formigal</t>
    </r>
    <r>
      <rPr>
        <rFont val="Arial, sans-serif"/>
        <color rgb="FF1155CC"/>
        <sz val="11.0"/>
        <u/>
      </rPr>
      <t>Ha accedido a las pistas de ese centro invernal por la zona de Sextas y ha hecho cola como el resto de esquiadores para subirse al telesilla.</t>
    </r>
    <r>
      <rPr>
        <rFont val="Arial, sans-serif"/>
        <color rgb="FF1155CC"/>
        <sz val="12.0"/>
        <u/>
      </rPr>
      <t>.</t>
    </r>
    <r>
      <rPr>
        <rFont val="Arial, sans-serif"/>
        <color rgb="FF1155CC"/>
        <sz val="11.0"/>
        <u/>
      </rPr>
      <t>16 mar 2024</t>
    </r>
  </si>
  <si>
    <t>Felipe VI vuelve al Pirineo aragonés para esquiar en Formigal</t>
  </si>
  <si>
    <t>Ha accedido a las pistas de ese centro invernal por la zona de Sextas y ha hecho cola como el resto de esquiadores para subirse al telesilla.</t>
  </si>
  <si>
    <t>Felipe VI returns to the Aragonese Pyrenees to ski in Formigal</t>
  </si>
  <si>
    <t>He has accessed the slopes of this winter center in the Sextas area and has queued like the rest of the skiers to get on the chairlift.</t>
  </si>
  <si>
    <r>
      <rPr>
        <rFont val="Arial, sans-serif"/>
        <color rgb="FF1155CC"/>
        <sz val="9.0"/>
        <u/>
      </rPr>
      <t>Hosteltur</t>
    </r>
    <r>
      <rPr>
        <rFont val="Arial, sans-serif"/>
        <color rgb="FF1155CC"/>
        <sz val="15.0"/>
        <u/>
      </rPr>
      <t>Las compañías más atractivas para el empleo en el sector turístico</t>
    </r>
    <r>
      <rPr>
        <rFont val="Arial, sans-serif"/>
        <color rgb="FF1155CC"/>
        <sz val="11.0"/>
        <u/>
      </rPr>
      <t>El informe Merco Talento 2023 recoge las 200 empresas con más capacidad para atraer y fidelizar talento en España, entre ellas figuran varias del sector.</t>
    </r>
    <r>
      <rPr>
        <rFont val="Arial, sans-serif"/>
        <color rgb="FF1155CC"/>
        <sz val="12.0"/>
        <u/>
      </rPr>
      <t>.</t>
    </r>
    <r>
      <rPr>
        <rFont val="Arial, sans-serif"/>
        <color rgb="FF1155CC"/>
        <sz val="11.0"/>
        <u/>
      </rPr>
      <t>16 mar 2024</t>
    </r>
  </si>
  <si>
    <t>Las compañías más atractivas para el empleo en el sector turístico</t>
  </si>
  <si>
    <t>Las compañías más atractivas para el empleo en el sector turístico. El informe Merco Talento 2023 recoge las 200 empresas con más capacidad para atraer y fidelizar talento en España, entre ellas figuran varias del sector.</t>
  </si>
  <si>
    <t>The most attractive companies for employment in the tourism sector</t>
  </si>
  <si>
    <t>The most attractive companies for employment in the tourism sector. The Merco Talento 2023 report includes the 200 companies with the greatest capacity to attract and retain talent in Spain, including several from the sector.</t>
  </si>
  <si>
    <r>
      <rPr>
        <rFont val="Arial, sans-serif"/>
        <color rgb="FF1155CC"/>
        <sz val="9.0"/>
        <u/>
      </rPr>
      <t>El Periódico de España</t>
    </r>
    <r>
      <rPr>
        <rFont val="Arial, sans-serif"/>
        <color rgb="FF1155CC"/>
        <sz val="15.0"/>
        <u/>
      </rPr>
      <t>Vinicius se divierte en la goleada del Real Madrid en El Sadar</t>
    </r>
    <r>
      <rPr>
        <rFont val="Arial, sans-serif"/>
        <color rgb="FF1155CC"/>
        <sz val="11.0"/>
        <u/>
      </rPr>
      <t>Dos goles del brasileño, que volvió a ver la amarilla por protestar al árbitro y desafió a la grada rival, deciden un gran partido de los blancos (1-4)</t>
    </r>
    <r>
      <rPr>
        <rFont val="Arial, sans-serif"/>
        <color rgb="FF1155CC"/>
        <sz val="12.0"/>
        <u/>
      </rPr>
      <t>.</t>
    </r>
    <r>
      <rPr>
        <rFont val="Arial, sans-serif"/>
        <color rgb="FF1155CC"/>
        <sz val="11.0"/>
        <u/>
      </rPr>
      <t>16 mar 2024</t>
    </r>
  </si>
  <si>
    <t>Vinicius se divierte en la goleada del Real Madrid en El Sadar</t>
  </si>
  <si>
    <t>Dos goles del brasileño, que volvió a ver la amarilla por protestar al árbitro y desafió a la grada rival, deciden un gran partido de los blancos (1-4).</t>
  </si>
  <si>
    <t>Vinicius has fun in Real Madrid's win at El Sadar</t>
  </si>
  <si>
    <t>Two goals from the Brazilian, who saw yellow again for protesting the referee and challenging the rival stands, decided a great match for the whites (1-4).</t>
  </si>
  <si>
    <r>
      <rPr>
        <rFont val="Arial, sans-serif"/>
        <color rgb="FF1155CC"/>
        <sz val="9.0"/>
        <u/>
      </rPr>
      <t>20Minutos</t>
    </r>
    <r>
      <rPr>
        <rFont val="Arial, sans-serif"/>
        <color rgb="FF1155CC"/>
        <sz val="15.0"/>
        <u/>
      </rPr>
      <t>Los restaurantes más caros de Madrid</t>
    </r>
    <r>
      <rPr>
        <rFont val="Arial, sans-serif"/>
        <color rgb="FF1155CC"/>
        <sz val="11.0"/>
        <u/>
      </rPr>
      <t>La capital de España está llena de restaurantes exclusivos no aptos para todos los bolsillos, siendo el más caro de todos DiverXO, el restaurante del chef...</t>
    </r>
    <r>
      <rPr>
        <rFont val="Arial, sans-serif"/>
        <color rgb="FF1155CC"/>
        <sz val="12.0"/>
        <u/>
      </rPr>
      <t>.</t>
    </r>
    <r>
      <rPr>
        <rFont val="Arial, sans-serif"/>
        <color rgb="FF1155CC"/>
        <sz val="11.0"/>
        <u/>
      </rPr>
      <t>16 mar 2024</t>
    </r>
  </si>
  <si>
    <t>Los restaurantes más caros de Madrid</t>
  </si>
  <si>
    <t>La capital de España está llena de restaurantes exclusivos no aptos para todos los bolsillos, siendo el más caro de todos DiverXO, el restaurante del chef....</t>
  </si>
  <si>
    <t>The most expensive restaurants in Madrid</t>
  </si>
  <si>
    <t>The capital of Spain is full of exclusive restaurants not suitable for all budgets, the most expensive of all being DiverXO, the chef's restaurant....</t>
  </si>
  <si>
    <r>
      <rPr>
        <rFont val="Arial, sans-serif"/>
        <color rgb="FF1155CC"/>
        <sz val="9.0"/>
        <u/>
      </rPr>
      <t>La Verdad</t>
    </r>
    <r>
      <rPr>
        <rFont val="Arial, sans-serif"/>
        <color rgb="FF1155CC"/>
        <sz val="15.0"/>
        <u/>
      </rPr>
      <t>Repsol arranca los motores de su nueva planta en Cartagena para fabricar biocombustibles con aceite usado</t>
    </r>
    <r>
      <rPr>
        <rFont val="Arial, sans-serif"/>
        <color rgb="FF1155CC"/>
        <sz val="11.0"/>
        <u/>
      </rPr>
      <t>Tras 5 meses de pruebas, la refinería comienza a poner en marcha la maquinaria para producir al año 250.000 toneladas de gasolina y queroseno.</t>
    </r>
    <r>
      <rPr>
        <rFont val="Arial, sans-serif"/>
        <color rgb="FF1155CC"/>
        <sz val="12.0"/>
        <u/>
      </rPr>
      <t>.</t>
    </r>
    <r>
      <rPr>
        <rFont val="Arial, sans-serif"/>
        <color rgb="FF1155CC"/>
        <sz val="11.0"/>
        <u/>
      </rPr>
      <t>17 mar 2024</t>
    </r>
  </si>
  <si>
    <t>Repsol arranca los motores de su nueva planta en Cartagena para fabricar biocombustibles con aceite usado</t>
  </si>
  <si>
    <t>Tras 5 meses de pruebas, la refinería comienza a poner en marcha la maquinaria para producir al año 250.000 toneladas de gasolina y queroseno.</t>
  </si>
  <si>
    <t>Repsol starts the engines of its new plant in Cartagena to manufacture biofuels with used oil</t>
  </si>
  <si>
    <t>After 5 months of testing, the refinery begins to commission the machinery to produce 250,000 tons of gasoline and kerosene per year.</t>
  </si>
  <si>
    <t>Repsol refinery, energy production</t>
  </si>
  <si>
    <t>Refinería Repsol, producción de energía</t>
  </si>
  <si>
    <t>Expanding operations strengthens Repsol’s market position.</t>
  </si>
  <si>
    <t>nueva planta, biocombustibles, aceite usado</t>
  </si>
  <si>
    <t>Positive sentiment due to Repsol's innovation and sustainability efforts.</t>
  </si>
  <si>
    <t>Sentimiento positivo por el esfuerzo de Repsol en innovación y sostenibilidad.</t>
  </si>
  <si>
    <r>
      <rPr>
        <rFont val="Arial, sans-serif"/>
        <color rgb="FF1155CC"/>
        <sz val="9.0"/>
        <u/>
      </rPr>
      <t>Diario de Ávila</t>
    </r>
    <r>
      <rPr>
        <rFont val="Arial, sans-serif"/>
        <color rgb="FF1155CC"/>
        <sz val="15.0"/>
        <u/>
      </rPr>
      <t>Restaurante El Almacén de Ávila, dos soles Repsol</t>
    </r>
    <r>
      <rPr>
        <rFont val="Arial, sans-serif"/>
        <color rgb="FF1155CC"/>
        <sz val="11.0"/>
        <u/>
      </rPr>
      <t>El Almacén, único con esta distinción en Ávila, renueva un año más, como desde 2011, el distintivo con el que la Guía Repsol distingue a restaurantes...</t>
    </r>
    <r>
      <rPr>
        <rFont val="Arial, sans-serif"/>
        <color rgb="FF1155CC"/>
        <sz val="12.0"/>
        <u/>
      </rPr>
      <t>.</t>
    </r>
    <r>
      <rPr>
        <rFont val="Arial, sans-serif"/>
        <color rgb="FF1155CC"/>
        <sz val="11.0"/>
        <u/>
      </rPr>
      <t>17 mar 2024</t>
    </r>
  </si>
  <si>
    <t>Restaurante El Almacén de Ávila, dos soles Repsol</t>
  </si>
  <si>
    <t>El Almacén, único con esta distinción en Ávila, renueva un año más, como desde 2011, el distintivo con el que la Guía Repsol distingue a restaurantes....</t>
  </si>
  <si>
    <t>El Almacén de Ávila Restaurant, two Repsol soles</t>
  </si>
  <si>
    <t>El Almacén, the only one with this distinction in Ávila, renews for another year, as it has since 2011, the distinction with which the Repsol Guide distinguishes restaurants....</t>
  </si>
  <si>
    <r>
      <rPr>
        <rFont val="Arial, sans-serif"/>
        <color rgb="FF1155CC"/>
        <sz val="9.0"/>
        <u/>
      </rPr>
      <t>El Diario Montañés</t>
    </r>
    <r>
      <rPr>
        <rFont val="Arial, sans-serif"/>
        <color rgb="FF1155CC"/>
        <sz val="15.0"/>
        <u/>
      </rPr>
      <t>Repsol alcanza en Hoznayo el centenar de estaciones de servicio con diésel 100% renovable</t>
    </r>
    <r>
      <rPr>
        <rFont val="Arial, sans-serif"/>
        <color rgb="FF1155CC"/>
        <sz val="11.0"/>
        <u/>
      </rPr>
      <t>La compañía dispone ya de 14 gasolineras en la región con combustible fabricado a partir de residuos agrícolas o aceite doméstico usado.</t>
    </r>
    <r>
      <rPr>
        <rFont val="Arial, sans-serif"/>
        <color rgb="FF1155CC"/>
        <sz val="12.0"/>
        <u/>
      </rPr>
      <t>.</t>
    </r>
    <r>
      <rPr>
        <rFont val="Arial, sans-serif"/>
        <color rgb="FF1155CC"/>
        <sz val="11.0"/>
        <u/>
      </rPr>
      <t>17 mar 2024</t>
    </r>
  </si>
  <si>
    <t>Repsol alcanza en Hoznayo el centenar de estaciones de servicio con diésel 100% renovable</t>
  </si>
  <si>
    <t>La compañía dispone ya de 14 gasolineras en la región con combustible fabricado a partir de residuos agrícolas o aceite doméstico usado.</t>
  </si>
  <si>
    <t>Repsol reaches one hundred service stations in Hoznayo with 100% renewable diesel</t>
  </si>
  <si>
    <t>The company already has 14 gas stations in the region with fuel made from agricultural waste or used domestic oil.</t>
  </si>
  <si>
    <t>Expanding renewable fuel stations supports Repsol’s environmental commitment.</t>
  </si>
  <si>
    <t>diésel renovable, residuos agrícolas</t>
  </si>
  <si>
    <r>
      <rPr>
        <rFont val="Arial, sans-serif"/>
        <color rgb="FF1155CC"/>
        <sz val="9.0"/>
        <u/>
      </rPr>
      <t>Crónica Vasca</t>
    </r>
    <r>
      <rPr>
        <rFont val="Arial, sans-serif"/>
        <color rgb="FF1155CC"/>
        <sz val="15.0"/>
        <u/>
      </rPr>
      <t>Dorronsoro: "Entiendo a Imaz al 200% cuando pide ayuda para transformar Repsol"</t>
    </r>
    <r>
      <rPr>
        <rFont val="Arial, sans-serif"/>
        <color rgb="FF1155CC"/>
        <sz val="11.0"/>
        <u/>
      </rPr>
      <t>El economista Guillermo Dorronsoro combina su discurso crítico por la pérdida de peso empresarial en Euskadi con dosis de optimismo: la fundación Artizarra...</t>
    </r>
    <r>
      <rPr>
        <rFont val="Arial, sans-serif"/>
        <color rgb="FF1155CC"/>
        <sz val="12.0"/>
        <u/>
      </rPr>
      <t>.</t>
    </r>
    <r>
      <rPr>
        <rFont val="Arial, sans-serif"/>
        <color rgb="FF1155CC"/>
        <sz val="11.0"/>
        <u/>
      </rPr>
      <t>17 mar 2024</t>
    </r>
  </si>
  <si>
    <t>Dorronsoro: "Entiendo a Imaz al 200% cuando pide ayuda para transformar Repsol"</t>
  </si>
  <si>
    <t>El economista Guillermo Dorronsoro combina su discurso crítico por la pérdida de peso empresarial en Euskadi con dosis de optimismo: la fundación Artizarra.</t>
  </si>
  <si>
    <t>Dorronsoro: "I understand Imaz 200% when he asks for help to transform Repsol"</t>
  </si>
  <si>
    <t>The economist Guillermo Dorronsoro combines his critical speech about the loss of business weight in Euskadi with a dose of optimism: the Artizarra foundation.</t>
  </si>
  <si>
    <t>General energy discussions do not impact Repsol’s business.</t>
  </si>
  <si>
    <t>transformar Repsol, optimismo</t>
  </si>
  <si>
    <t>Neutral to slightly positive, as it highlights Repsol's transformation efforts.</t>
  </si>
  <si>
    <t>De neutral a ligeramente positiva, ya que destaca el esfuerzo de transformación de Repsol.</t>
  </si>
  <si>
    <r>
      <rPr>
        <rFont val="Arial, sans-serif"/>
        <color rgb="FF1155CC"/>
        <sz val="9.0"/>
        <u/>
      </rPr>
      <t>EFE - Agencia de noticias</t>
    </r>
    <r>
      <rPr>
        <rFont val="Arial, sans-serif"/>
        <color rgb="FF1155CC"/>
        <sz val="15.0"/>
        <u/>
      </rPr>
      <t>La cocina silvestre de David Yarnoz, la base de un proyecto con cuatro Estrellas Michelin</t>
    </r>
    <r>
      <rPr>
        <rFont val="Arial, sans-serif"/>
        <color rgb="FF1155CC"/>
        <sz val="11.0"/>
        <u/>
      </rPr>
      <t>El concepto de 'cocina silvestre' es la base del proyecto del Molino de Urdaniz, del cocinero pamplonés David Yárnoz, ganador de cuatro Estrellas Michelin.</t>
    </r>
    <r>
      <rPr>
        <rFont val="Arial, sans-serif"/>
        <color rgb="FF1155CC"/>
        <sz val="12.0"/>
        <u/>
      </rPr>
      <t>.</t>
    </r>
    <r>
      <rPr>
        <rFont val="Arial, sans-serif"/>
        <color rgb="FF1155CC"/>
        <sz val="11.0"/>
        <u/>
      </rPr>
      <t>17 mar 2024</t>
    </r>
  </si>
  <si>
    <t>La cocina silvestre de David Yarnoz, la base de un proyecto con cuatro Estrellas Michelin</t>
  </si>
  <si>
    <t>El concepto de 'cocina silvestre' es la base del proyecto del Molino de Urdaniz, del cocinero pamplonés David Yárnoz, ganador de cuatro Estrellas Michelin.</t>
  </si>
  <si>
    <t>David Yarnoz's wild cuisine, the basis of a project with four Michelin Stars</t>
  </si>
  <si>
    <t>The concept of 'wild cuisine' is the basis of the Molino de Urdaniz project, by Pamplona chef David Yárnoz, winner of four Michelin Stars.</t>
  </si>
  <si>
    <r>
      <rPr>
        <rFont val="Arial, sans-serif"/>
        <color rgb="FF1155CC"/>
        <sz val="9.0"/>
        <u/>
      </rPr>
      <t>El Progreso de Lugo</t>
    </r>
    <r>
      <rPr>
        <rFont val="Arial, sans-serif"/>
        <color rgb="FF1155CC"/>
        <sz val="15.0"/>
        <u/>
      </rPr>
      <t>Los Montero exaltan los fogones de Pepita</t>
    </r>
    <r>
      <rPr>
        <rFont val="Arial, sans-serif"/>
        <color rgb="FF1155CC"/>
        <sz val="11.0"/>
        <u/>
      </rPr>
      <t>El padre vendía fruta y las almejas dieron fama a la madre, impulsando el negocio de Mondoñedo y sumando a los tres hijos más jóvenes al mundo de la rest...</t>
    </r>
    <r>
      <rPr>
        <rFont val="Arial, sans-serif"/>
        <color rgb="FF1155CC"/>
        <sz val="12.0"/>
        <u/>
      </rPr>
      <t>.</t>
    </r>
    <r>
      <rPr>
        <rFont val="Arial, sans-serif"/>
        <color rgb="FF1155CC"/>
        <sz val="11.0"/>
        <u/>
      </rPr>
      <t>17 mar 2024</t>
    </r>
  </si>
  <si>
    <t>Los Montero exaltan los fogones de Pepita</t>
  </si>
  <si>
    <t>El padre vendía fruta y las almejas dieron fama a la madre, impulsando el negocio de Mondoñedo y sumando a los tres hijos más jóvenes al mundo de la rest....</t>
  </si>
  <si>
    <t>The Monteros exalt Pepita's kitchens</t>
  </si>
  <si>
    <t>The father sold fruit and the clams brought fame to the mother, boosting Mondoñedo's business and adding the three youngest children to the world of rest...</t>
  </si>
  <si>
    <r>
      <rPr>
        <rFont val="Arial, sans-serif"/>
        <color rgb="FF1155CC"/>
        <sz val="9.0"/>
        <u/>
      </rPr>
      <t>cartv</t>
    </r>
    <r>
      <rPr>
        <rFont val="Arial, sans-serif"/>
        <color rgb="FF1155CC"/>
        <sz val="15.0"/>
        <u/>
      </rPr>
      <t>Menús caseros que luchan contra la despoblación y mantienen vivos a pequeños pueblos de Aragón</t>
    </r>
    <r>
      <rPr>
        <rFont val="Arial, sans-serif"/>
        <color rgb="FF1155CC"/>
        <sz val="11.0"/>
        <u/>
      </rPr>
      <t>Los últimos 'Soles de la Guía Repsol' de 2024 han premiado a tres establecimientos ubicados en pequeñas poblaciones de Huesca y Teruel. "Los clientes …</t>
    </r>
    <r>
      <rPr>
        <rFont val="Arial, sans-serif"/>
        <color rgb="FF1155CC"/>
        <sz val="12.0"/>
        <u/>
      </rPr>
      <t>.</t>
    </r>
    <r>
      <rPr>
        <rFont val="Arial, sans-serif"/>
        <color rgb="FF1155CC"/>
        <sz val="11.0"/>
        <u/>
      </rPr>
      <t>17 mar 2024</t>
    </r>
  </si>
  <si>
    <t>cartv</t>
  </si>
  <si>
    <t>Menús caseros que luchan contra la despoblación y mantienen vivos a pequeños pueblos de Aragón</t>
  </si>
  <si>
    <t>Los últimos 'Soles de la Guía Repsol' de 2024 han premiado a tres establecimientos ubicados en pequeñas poblaciones de Huesca y Teruel. "Los clientes ….</t>
  </si>
  <si>
    <t>Homemade menus that fight against depopulation and keep small towns in Aragon alive</t>
  </si>
  <si>
    <t>The latest 'Repsol Guide Suns' of 2024 have awarded three establishments located in small towns in Huesca and Teruel. "The clients...</t>
  </si>
  <si>
    <r>
      <rPr>
        <rFont val="Arial, sans-serif"/>
        <color rgb="FF1155CC"/>
        <sz val="9.0"/>
        <u/>
      </rPr>
      <t>20Minutos</t>
    </r>
    <r>
      <rPr>
        <rFont val="Arial, sans-serif"/>
        <color rgb="FF1155CC"/>
        <sz val="15.0"/>
        <u/>
      </rPr>
      <t>¿Por qué Dubai es la ciudad de moda de la gastronomía? Dabiz Muñoz, Berasategui y otros chefs españoles ya han abierto allí</t>
    </r>
    <r>
      <rPr>
        <rFont val="Arial, sans-serif"/>
        <color rgb="FF1155CC"/>
        <sz val="11.0"/>
        <u/>
      </rPr>
      <t>Se ha hecho un sitio en el mapa del mundo y ahora quiere convertirse en un destino gastronómico. Aquí hay muchos que pueden pagar un menú degustación de más...</t>
    </r>
    <r>
      <rPr>
        <rFont val="Arial, sans-serif"/>
        <color rgb="FF1155CC"/>
        <sz val="12.0"/>
        <u/>
      </rPr>
      <t>.</t>
    </r>
    <r>
      <rPr>
        <rFont val="Arial, sans-serif"/>
        <color rgb="FF1155CC"/>
        <sz val="11.0"/>
        <u/>
      </rPr>
      <t>17 mar 2024</t>
    </r>
  </si>
  <si>
    <t>¿Por qué Dubai es la ciudad de moda de la gastronomía? Dabiz Muñoz, Berasategui y otros chefs españoles ya han abierto allí</t>
  </si>
  <si>
    <t>Se ha hecho un sitio en el mapa del mundo y ahora quiere convertirse en un destino gastronómico. Aquí hay muchos que pueden pagar un menú degustación de más.</t>
  </si>
  <si>
    <t>Why is Dubai the fashionable city for gastronomy? Dabiz Muñoz, Berasategui and other Spanish chefs have already opened there</t>
  </si>
  <si>
    <t>It has made a place for itself on the world map and now wants to become a gastronomic destination. There are many here who can pay more for a tasting menu.</t>
  </si>
  <si>
    <r>
      <rPr>
        <rFont val="Arial, sans-serif"/>
        <color rgb="FF1155CC"/>
        <sz val="9.0"/>
        <u/>
      </rPr>
      <t>Todo Cultura Vega Baja</t>
    </r>
    <r>
      <rPr>
        <rFont val="Arial, sans-serif"/>
        <color rgb="FF1155CC"/>
        <sz val="15.0"/>
        <u/>
      </rPr>
      <t>Benejúzar: XIX Concentración Motera del club 'Centauros del Alba' en la fiesta del patrón San José</t>
    </r>
    <r>
      <rPr>
        <rFont val="Arial, sans-serif"/>
        <color rgb="FF1155CC"/>
        <sz val="11.0"/>
        <u/>
      </rPr>
      <t>Benejúzar, evento: XIX Concentración Motera del club 'Centauros del Alba', con almuerzo motero, música en directo, animación, 'stands' de exposición y...</t>
    </r>
    <r>
      <rPr>
        <rFont val="Arial, sans-serif"/>
        <color rgb="FF1155CC"/>
        <sz val="12.0"/>
        <u/>
      </rPr>
      <t>.</t>
    </r>
    <r>
      <rPr>
        <rFont val="Arial, sans-serif"/>
        <color rgb="FF1155CC"/>
        <sz val="11.0"/>
        <u/>
      </rPr>
      <t>17 mar 2024</t>
    </r>
  </si>
  <si>
    <t>Benejúzar: XIX Concentración Motera del club 'Centauros del Alba' en la fiesta del patrón San José</t>
  </si>
  <si>
    <t>Benejúzar, evento: XIX Concentración Motera del club 'Centauros del Alba', con almuerzo motero, música en directo, animación, 'stands' de exposición y....</t>
  </si>
  <si>
    <t>Benejúzar: XIX Motorcycle Concentration of the 'Centauros del Alba' club at the festival of the patron saint San José</t>
  </si>
  <si>
    <t>Benejúzar, event: XIX Biker Concentration of the 'Centauros del Alba' club, with biker lunch, live music, entertainment, exhibition stands and....</t>
  </si>
  <si>
    <r>
      <rPr>
        <rFont val="Arial, sans-serif"/>
        <color rgb="FF1155CC"/>
        <sz val="9.0"/>
        <u/>
      </rPr>
      <t>Metropolitano.gal</t>
    </r>
    <r>
      <rPr>
        <rFont val="Arial, sans-serif"/>
        <color rgb="FF1155CC"/>
        <sz val="15.0"/>
        <u/>
      </rPr>
      <t>Entre los fogones y la barra, así son los 'secretos' de La Mesa de Conus en Vigo</t>
    </r>
    <r>
      <rPr>
        <rFont val="Arial, sans-serif"/>
        <color rgb="FF1155CC"/>
        <sz val="11.0"/>
        <u/>
      </rPr>
      <t>Víctor Conus descubre los secretos de la experiencia que ofrece en Vigo en su restaurante, que vuelve a ser un "recomendado" de la Guía Repsol.</t>
    </r>
    <r>
      <rPr>
        <rFont val="Arial, sans-serif"/>
        <color rgb="FF1155CC"/>
        <sz val="12.0"/>
        <u/>
      </rPr>
      <t>.</t>
    </r>
    <r>
      <rPr>
        <rFont val="Arial, sans-serif"/>
        <color rgb="FF1155CC"/>
        <sz val="11.0"/>
        <u/>
      </rPr>
      <t>17 mar 2024</t>
    </r>
  </si>
  <si>
    <t>Así son los 'secretos' de La Mesa de Conus en Vigo</t>
  </si>
  <si>
    <t>Víctor Conus descubre los secretos de la experiencia que ofrece en Vigo en su restaurante, que vuelve a ser un "recomendado" de la Guía Repsol.</t>
  </si>
  <si>
    <t>These are the 'secrets' of La Mesa de Conus in Vigo</t>
  </si>
  <si>
    <t>Víctor Conus discovers the secrets of the experience he offers in Vigo in his restaurant, which is once again "recommended" by the Repsol Guide.</t>
  </si>
  <si>
    <r>
      <rPr>
        <rFont val="Arial, sans-serif"/>
        <color rgb="FF1155CC"/>
        <sz val="9.0"/>
        <u/>
      </rPr>
      <t>RTVE.es</t>
    </r>
    <r>
      <rPr>
        <rFont val="Arial, sans-serif"/>
        <color rgb="FF1155CC"/>
        <sz val="15.0"/>
        <u/>
      </rPr>
      <t>Iberdrola lleva a los juzgados a Repsol por competencia desleal y lo acusa de 'greenwashing'</t>
    </r>
    <r>
      <rPr>
        <rFont val="Arial, sans-serif"/>
        <color rgb="FF1155CC"/>
        <sz val="11.0"/>
        <u/>
      </rPr>
      <t>Iberdrola ha presentado una demanda contra Repsol por "competencia desleal y publicidad engañosa", al considerar que ha incurrido en 'greenwashing'</t>
    </r>
    <r>
      <rPr>
        <rFont val="Arial, sans-serif"/>
        <color rgb="FF1155CC"/>
        <sz val="12.0"/>
        <u/>
      </rPr>
      <t>.</t>
    </r>
    <r>
      <rPr>
        <rFont val="Arial, sans-serif"/>
        <color rgb="FF1155CC"/>
        <sz val="11.0"/>
        <u/>
      </rPr>
      <t>18 mar 2024</t>
    </r>
  </si>
  <si>
    <t>Iberdrola lleva a los juzgados a Repsol por competencia desleal y lo acusa de 'greenwashing'</t>
  </si>
  <si>
    <t>Iberdrola ha presentado una demanda contra Repsol por "competencia desleal y publicidad engañosa", al considerar que ha incurrido en 'greenwashing'.</t>
  </si>
  <si>
    <t>Iberdrola takes Repsol to court for unfair competition and accuses it of 'greenwashing'</t>
  </si>
  <si>
    <t>Iberdrola has filed a lawsuit against Repsol for "unfair competition and misleading advertising", considering that it has engaged in 'greenwashing'.</t>
  </si>
  <si>
    <t>Iberdrola lawsuit, Repsol legal case</t>
  </si>
  <si>
    <t>“Demanda Iberdrola”, “Caso judicial Repsol”</t>
  </si>
  <si>
    <t>Legal disputes can negatively impact Repsol’s reputation.</t>
  </si>
  <si>
    <t>competencia desleal, greenwashing</t>
  </si>
  <si>
    <t>Strongly negative sentiment due to legal issues and accusations against Repsol.</t>
  </si>
  <si>
    <t>Sentimiento fuertemente negativo por cuestiones legales y acusaciones contra Repsol.</t>
  </si>
  <si>
    <r>
      <rPr>
        <rFont val="Arial, sans-serif"/>
        <color rgb="FF1155CC"/>
        <sz val="9.0"/>
        <u/>
      </rPr>
      <t>El Mundo</t>
    </r>
    <r>
      <rPr>
        <rFont val="Arial, sans-serif"/>
        <color rgb="FF1155CC"/>
        <sz val="15.0"/>
        <u/>
      </rPr>
      <t>Iberdrola acusa a Repsol de "greenwashing" y demanda a la petrolera por publicidad engañosa</t>
    </r>
    <r>
      <rPr>
        <rFont val="Arial, sans-serif"/>
        <color rgb="FF1155CC"/>
        <sz val="11.0"/>
        <u/>
      </rPr>
      <t>Iberdrola ha pasado de las palabras a los hechos. El 24 de enero, el presidente de la primera eléctrica española, Ignacio Galán, cargó públicamente,...</t>
    </r>
    <r>
      <rPr>
        <rFont val="Arial, sans-serif"/>
        <color rgb="FF1155CC"/>
        <sz val="12.0"/>
        <u/>
      </rPr>
      <t>.</t>
    </r>
    <r>
      <rPr>
        <rFont val="Arial, sans-serif"/>
        <color rgb="FF1155CC"/>
        <sz val="11.0"/>
        <u/>
      </rPr>
      <t>18 mar 2024</t>
    </r>
  </si>
  <si>
    <t>Iberdrola acusa a Repsol de "greenwashing" y demanda a la petrolera por publicidad engañosa</t>
  </si>
  <si>
    <t>Iberdrola ha pasado de las palabras a los hechos. El 24 de enero, el presidente de la primera eléctrica española, Ignacio Galán, cargó públicamente,....</t>
  </si>
  <si>
    <t>Iberdrola accuses Repsol of "greenwashing" and sues the oil company for misleading advertising</t>
  </si>
  <si>
    <t>Iberdrola has gone from words to actions. On January 24, the president of the first Spanish electricity company, Ignacio Galán, publicly charged,....</t>
  </si>
  <si>
    <t>Greenwashing accusations, Repsol legal dispute</t>
  </si>
  <si>
    <t>Acusaciones de greenwashing, Disputa judicial Repsol</t>
  </si>
  <si>
    <t>Accusations of misleading environmental claims can damage Repsol’s credibility.</t>
  </si>
  <si>
    <t>greenwashing, publicidad engañosa</t>
  </si>
  <si>
    <r>
      <rPr>
        <rFont val="Arial, sans-serif"/>
        <color rgb="FF1155CC"/>
        <sz val="9.0"/>
        <u/>
      </rPr>
      <t>Diario Público</t>
    </r>
    <r>
      <rPr>
        <rFont val="Arial, sans-serif"/>
        <color rgb="FF1155CC"/>
        <sz val="15.0"/>
        <u/>
      </rPr>
      <t>Iberdrola acusa a Repsol de competencia desleal, publicidad engañosa y 'greenwashing'</t>
    </r>
    <r>
      <rPr>
        <rFont val="Arial, sans-serif"/>
        <color rgb="FF1155CC"/>
        <sz val="11.0"/>
        <u/>
      </rPr>
      <t>En la demanda, Iberdrola señala a Repsol por promocionar iniciativas sostenibles, "cuando su oferta multi producto busca fomentar el uso de carburantes".</t>
    </r>
    <r>
      <rPr>
        <rFont val="Arial, sans-serif"/>
        <color rgb="FF1155CC"/>
        <sz val="12.0"/>
        <u/>
      </rPr>
      <t>.</t>
    </r>
    <r>
      <rPr>
        <rFont val="Arial, sans-serif"/>
        <color rgb="FF1155CC"/>
        <sz val="11.0"/>
        <u/>
      </rPr>
      <t>18 mar 2024</t>
    </r>
  </si>
  <si>
    <t>Iberdrola acusa a Repsol de competencia desleal, publicidad engañosa y 'greenwashing'</t>
  </si>
  <si>
    <t>Iberdrola señala a Repsol por promocionar iniciativas sostenibles, "cuando su oferta multi producto busca fomentar el uso de carburantes".</t>
  </si>
  <si>
    <t>Iberdrola accuses Repsol of unfair competition, misleading advertising and 'greenwashing'</t>
  </si>
  <si>
    <t>Iberdrola points to Repsol for promoting sustainable initiatives, "when its multi-product offer seeks to promote the use of fuels."</t>
  </si>
  <si>
    <t>Repsol advertising dispute, Iberdrola lawsuit</t>
  </si>
  <si>
    <t>Disputa publicitaria de Repsol, Demanda de Iberdrola</t>
  </si>
  <si>
    <t>Legal conflicts over advertising can harm Repsol’s public image.</t>
  </si>
  <si>
    <r>
      <rPr>
        <rFont val="Arial, sans-serif"/>
        <color rgb="FF1155CC"/>
        <sz val="9.0"/>
        <u/>
      </rPr>
      <t>Confidencial Digital</t>
    </r>
    <r>
      <rPr>
        <rFont val="Arial, sans-serif"/>
        <color rgb="FF1155CC"/>
        <sz val="15.0"/>
        <u/>
      </rPr>
      <t>Repsol multiplicará por 6 las estaciones con combustible renovable en 2024</t>
    </r>
    <r>
      <rPr>
        <rFont val="Arial, sans-serif"/>
        <color rgb="FF1155CC"/>
        <sz val="11.0"/>
        <u/>
      </rPr>
      <t>Repsol, el gigante energético español, cuenta en su hoja de ruta con aumentar significativamente el número de sus gasolineras que ofrecen combustible...</t>
    </r>
    <r>
      <rPr>
        <rFont val="Arial, sans-serif"/>
        <color rgb="FF1155CC"/>
        <sz val="12.0"/>
        <u/>
      </rPr>
      <t>.</t>
    </r>
    <r>
      <rPr>
        <rFont val="Arial, sans-serif"/>
        <color rgb="FF1155CC"/>
        <sz val="11.0"/>
        <u/>
      </rPr>
      <t>18 mar 2024</t>
    </r>
  </si>
  <si>
    <t>Repsol multiplicará por 6 las estaciones con combustible renovable en 2024</t>
  </si>
  <si>
    <t>Repsol, el gigante energético español, cuenta en su hoja de ruta con aumentar significativamente el número de sus gasolineras que ofrecen combustible....</t>
  </si>
  <si>
    <t>Repsol will multiply the stations with renewable fuel by 6 in 2024</t>
  </si>
  <si>
    <t>Repsol, the Spanish energy giant, has in its roadmap to significantly increase the number of its gas stations that offer fuel....</t>
  </si>
  <si>
    <t>Repsol renewable fuels, sustainability</t>
  </si>
  <si>
    <t>Repsol combustibles renovables, sostenibilidad</t>
  </si>
  <si>
    <t>Expanding renewable fuel stations strengthens Repsol’s environmental efforts.</t>
  </si>
  <si>
    <r>
      <rPr>
        <rFont val="Arial, sans-serif"/>
        <color rgb="FF1155CC"/>
        <sz val="9.0"/>
        <u/>
      </rPr>
      <t>Equipos y Talento</t>
    </r>
    <r>
      <rPr>
        <rFont val="Arial, sans-serif"/>
        <color rgb="FF1155CC"/>
        <sz val="15.0"/>
        <u/>
      </rPr>
      <t>:: Repsol, la tercera mejor empresa de España para trabajar ::</t>
    </r>
    <r>
      <rPr>
        <rFont val="Arial, sans-serif"/>
        <color rgb="FF1155CC"/>
        <sz val="11.0"/>
        <u/>
      </rPr>
      <t>La compañía multienergética se ha situado entre las tres mejores empresas del monitor en su edición 2003 y logra ser la única empresa del Ibex y del sector...</t>
    </r>
    <r>
      <rPr>
        <rFont val="Arial, sans-serif"/>
        <color rgb="FF1155CC"/>
        <sz val="12.0"/>
        <u/>
      </rPr>
      <t>.</t>
    </r>
    <r>
      <rPr>
        <rFont val="Arial, sans-serif"/>
        <color rgb="FF1155CC"/>
        <sz val="11.0"/>
        <u/>
      </rPr>
      <t>18 mar 2024</t>
    </r>
  </si>
  <si>
    <t>Equipos y Talento</t>
  </si>
  <si>
    <t>Repsol, la tercera mejor empresa de España para trabajar</t>
  </si>
  <si>
    <t>La compañía multienergética se ha situado entre las tres mejores empresas del monitor en su edición 2003 y logra ser la única empresa del Ibex y del sector....</t>
  </si>
  <si>
    <t>Repsol, the third best company in Spain to work for</t>
  </si>
  <si>
    <t>The multi-energy company has been among the three best companies on the monitor in its 2003 edition and manages to be the only company on the Ibex and in the sector....</t>
  </si>
  <si>
    <t>Recognition as a top employer enhances Repsol’s corporate reputation.</t>
  </si>
  <si>
    <t>mejor empresa, trabajar</t>
  </si>
  <si>
    <r>
      <rPr>
        <rFont val="Arial, sans-serif"/>
        <color rgb="FF1155CC"/>
        <sz val="9.0"/>
        <u/>
      </rPr>
      <t>Guía Repsol</t>
    </r>
    <r>
      <rPr>
        <rFont val="Arial, sans-serif"/>
        <color rgb="FF1155CC"/>
        <sz val="15.0"/>
        <u/>
      </rPr>
      <t>Nueva apertura en Sevilla: restaurante 'Leartá'</t>
    </r>
    <r>
      <rPr>
        <rFont val="Arial, sans-serif"/>
        <color rgb="FF1155CC"/>
        <sz val="11.0"/>
        <u/>
      </rPr>
      <t>Utilizar el espacio de conexión entre fogones y sala para convertirlo en punto de encuentro de esos oficios con arraigo que tanto y tan bien definen...</t>
    </r>
    <r>
      <rPr>
        <rFont val="Arial, sans-serif"/>
        <color rgb="FF1155CC"/>
        <sz val="12.0"/>
        <u/>
      </rPr>
      <t>.</t>
    </r>
    <r>
      <rPr>
        <rFont val="Arial, sans-serif"/>
        <color rgb="FF1155CC"/>
        <sz val="11.0"/>
        <u/>
      </rPr>
      <t>18 mar 2024</t>
    </r>
  </si>
  <si>
    <t>Nueva apertura en Sevilla: restaurante 'Leartá'</t>
  </si>
  <si>
    <t>Utilizar el espacio de conexión entre fogones y sala para convertirlo en punto de encuentro de esos oficios con arraigo que tanto y tan bien definen....</t>
  </si>
  <si>
    <t>New opening in Seville: 'Leartá' restaurant</t>
  </si>
  <si>
    <t>Use the connection space between the stove and the living room to turn it into a meeting point for those deep-rooted crafts that define so much and so well...</t>
  </si>
  <si>
    <r>
      <rPr>
        <rFont val="Arial, sans-serif"/>
        <color rgb="FF1155CC"/>
        <sz val="9.0"/>
        <u/>
      </rPr>
      <t>Repsol</t>
    </r>
    <r>
      <rPr>
        <rFont val="Arial, sans-serif"/>
        <color rgb="FF1155CC"/>
        <sz val="15.0"/>
        <u/>
      </rPr>
      <t>¿Cómo pagar la zona azul desde el móvil con Waylet?</t>
    </r>
    <r>
      <rPr>
        <rFont val="Arial, sans-serif"/>
        <color rgb="FF1155CC"/>
        <sz val="11.0"/>
        <u/>
      </rPr>
      <t>Descubre cómo pagar la zona azul desde el móvil y también parkings gracias a Waylet. Genera saldo y ahorra más con tu coche. ¡Ha llegado la hora!</t>
    </r>
    <r>
      <rPr>
        <rFont val="Arial, sans-serif"/>
        <color rgb="FF1155CC"/>
        <sz val="12.0"/>
        <u/>
      </rPr>
      <t>.</t>
    </r>
    <r>
      <rPr>
        <rFont val="Arial, sans-serif"/>
        <color rgb="FF1155CC"/>
        <sz val="11.0"/>
        <u/>
      </rPr>
      <t>18 mar 2024</t>
    </r>
  </si>
  <si>
    <t>¿Cómo pagar la zona azul desde el móvil con Waylet?</t>
  </si>
  <si>
    <t>Descubre cómo pagar la zona azul desde el móvil y también parkings gracias a Waylet. Genera saldo y ahorra más con tu coche. ¡Ha llegado la hora!.</t>
  </si>
  <si>
    <t>How to pay the blue zone from your mobile with Waylet?</t>
  </si>
  <si>
    <t>Discover how to pay for the blue zone from your mobile and also for parking thanks to Waylet. Build balance and save more with your car. The time has come!</t>
  </si>
  <si>
    <r>
      <rPr>
        <rFont val="Arial, sans-serif"/>
        <color rgb="FF1155CC"/>
        <sz val="9.0"/>
        <u/>
      </rPr>
      <t>El Confidencial</t>
    </r>
    <r>
      <rPr>
        <rFont val="Arial, sans-serif"/>
        <color rgb="FF1155CC"/>
        <sz val="15.0"/>
        <u/>
      </rPr>
      <t>Iberdrola abre una batalla legal contra Repsol por "competencia desleal" y "publicidad engañosa"</t>
    </r>
    <r>
      <rPr>
        <rFont val="Arial, sans-serif"/>
        <color rgb="FF1155CC"/>
        <sz val="11.0"/>
        <u/>
      </rPr>
      <t>Le acusa de 'greenwhasing' y de engañar al mercado. Pide al juez que retire y destruya sus campañas. Repsol ve la demanda infundada y prueba del nerviosismo...</t>
    </r>
    <r>
      <rPr>
        <rFont val="Arial, sans-serif"/>
        <color rgb="FF1155CC"/>
        <sz val="12.0"/>
        <u/>
      </rPr>
      <t>.</t>
    </r>
    <r>
      <rPr>
        <rFont val="Arial, sans-serif"/>
        <color rgb="FF1155CC"/>
        <sz val="11.0"/>
        <u/>
      </rPr>
      <t>18 mar 2024</t>
    </r>
  </si>
  <si>
    <t>Iberdrola abre una batalla legal contra Repsol por "competencia desleal" y "publicidad engañosa"</t>
  </si>
  <si>
    <t>Le acusa de 'greenwhasing' y de engañar al mercado. Pide al juez que retire y destruya sus campañas. Repsol ve la demanda infundada y prueba del nerviosismo.</t>
  </si>
  <si>
    <t>Iberdrola opens a legal battle against Repsol for "unfair competition" and "misleading advertising"</t>
  </si>
  <si>
    <t>He accuses him of 'greenwhasing' and deceiving the market. Ask the judge to withdraw and destroy their campaigns. Repsol sees the lawsuit as unfounded and proof of nervousness.</t>
  </si>
  <si>
    <t>Repsol legal battle, Iberdrola lawsuit</t>
  </si>
  <si>
    <t>Batalla legal de Repsol, Demanda de Iberdrola</t>
  </si>
  <si>
    <t>Legal disputes with competitors can harm Repsol’s corporate reputation.</t>
  </si>
  <si>
    <t>competencia desleal, publicidad engañosa</t>
  </si>
  <si>
    <r>
      <rPr>
        <rFont val="Arial, sans-serif"/>
        <color rgb="FF1155CC"/>
        <sz val="9.0"/>
        <u/>
      </rPr>
      <t>Revista Haz</t>
    </r>
    <r>
      <rPr>
        <rFont val="Arial, sans-serif"/>
        <color rgb="FF1155CC"/>
        <sz val="15.0"/>
        <u/>
      </rPr>
      <t>Inditex, Iberdrola y Repsol, líderes en atraer y retener talento en España en 2023 - Haz</t>
    </r>
    <r>
      <rPr>
        <rFont val="Arial, sans-serif"/>
        <color rgb="FF1155CC"/>
        <sz val="11.0"/>
        <u/>
      </rPr>
      <t>Según el ranking Merco Talento España 2023, Inditex repite como la mejor compañía para atraer y fidelizar talento, seguida por Iberdrola y Repsol.</t>
    </r>
    <r>
      <rPr>
        <rFont val="Arial, sans-serif"/>
        <color rgb="FF1155CC"/>
        <sz val="12.0"/>
        <u/>
      </rPr>
      <t>.</t>
    </r>
    <r>
      <rPr>
        <rFont val="Arial, sans-serif"/>
        <color rgb="FF1155CC"/>
        <sz val="11.0"/>
        <u/>
      </rPr>
      <t>18 mar 2024</t>
    </r>
  </si>
  <si>
    <t>Haz</t>
  </si>
  <si>
    <t>Inditex, Iberdrola y Repsol, líderes en atraer y retener talento en España en 2023 - Haz</t>
  </si>
  <si>
    <t>Según el ranking Merco Talento España 2023, Inditex repite como la mejor compañía para atraer y fidelizar talento, seguida por Iberdrola y Repsol.</t>
  </si>
  <si>
    <t>Inditex, Iberdrola and Repsol, leaders in attracting and retaining talent in Spain in 2023 - Haz</t>
  </si>
  <si>
    <t>According to the Merco Talento España 2023 ranking, Inditex repeats as the best company to attract and retain talent, followed by Iberdrola and Repsol.</t>
  </si>
  <si>
    <t>High rankings in employer reputation enhance Repsol’s corporate perception.</t>
  </si>
  <si>
    <t>atraer talento, retener</t>
  </si>
  <si>
    <r>
      <rPr>
        <rFont val="Arial, sans-serif"/>
        <color rgb="FF1155CC"/>
        <sz val="9.0"/>
        <u/>
      </rPr>
      <t>Box Repsol</t>
    </r>
    <r>
      <rPr>
        <rFont val="Arial, sans-serif"/>
        <color rgb="FF1155CC"/>
        <sz val="15.0"/>
        <u/>
      </rPr>
      <t>MotoGP Portugal 2024: Horarios y dónde ver por TV y online el Gran Premio en Portimao</t>
    </r>
    <r>
      <rPr>
        <rFont val="Arial, sans-serif"/>
        <color rgb="FF1155CC"/>
        <sz val="11.0"/>
        <u/>
      </rPr>
      <t>Horarios y cómo ver el MotoGP de Portugal. No te pierdas ni un segundo de la acción en el emocionante circuito de Portimao.</t>
    </r>
    <r>
      <rPr>
        <rFont val="Arial, sans-serif"/>
        <color rgb="FF1155CC"/>
        <sz val="12.0"/>
        <u/>
      </rPr>
      <t>.</t>
    </r>
    <r>
      <rPr>
        <rFont val="Arial, sans-serif"/>
        <color rgb="FF1155CC"/>
        <sz val="11.0"/>
        <u/>
      </rPr>
      <t>18 mar 2024</t>
    </r>
  </si>
  <si>
    <t>MotoGP Portugal 2024: Horarios y dónde ver por TV y online el Gran Premio en Portimao</t>
  </si>
  <si>
    <t>No te pierdas ni un segundo de la acción en el emocionante circuito de Portimao.</t>
  </si>
  <si>
    <t>MotoGP Portugal 2024: Schedules and where to watch the Grand Prix in Portimao on TV and online</t>
  </si>
  <si>
    <t>Don't miss a second of the action at the exciting Portimao circuit.</t>
  </si>
  <si>
    <r>
      <rPr>
        <rFont val="Arial, sans-serif"/>
        <color rgb="FF1155CC"/>
        <sz val="9.0"/>
        <u/>
      </rPr>
      <t>Guía Repsol</t>
    </r>
    <r>
      <rPr>
        <rFont val="Arial, sans-serif"/>
        <color rgb="FF1155CC"/>
        <sz val="15.0"/>
        <u/>
      </rPr>
      <t>El lugar milagroso de Benicàssim</t>
    </r>
    <r>
      <rPr>
        <rFont val="Arial, sans-serif"/>
        <color rgb="FF1155CC"/>
        <sz val="11.0"/>
        <u/>
      </rPr>
      <t>El hotel Voramar es un milagro. Por fuera, visto desde la orilla de la playa de Benicàssim, en Castellón, anchísima para esta parte del Mediterráneo, es un.</t>
    </r>
    <r>
      <rPr>
        <rFont val="Arial, sans-serif"/>
        <color rgb="FF1155CC"/>
        <sz val="12.0"/>
        <u/>
      </rPr>
      <t>.</t>
    </r>
    <r>
      <rPr>
        <rFont val="Arial, sans-serif"/>
        <color rgb="FF1155CC"/>
        <sz val="11.0"/>
        <u/>
      </rPr>
      <t>18 mar 2024</t>
    </r>
  </si>
  <si>
    <t>El lugar milagroso de Benicàssim</t>
  </si>
  <si>
    <t>El hotel Voramar es un milagro. Por fuera, visto desde la orilla de la playa de Benicàssim, en Castellón, anchísima para esta parte del Mediterráneo, es un..</t>
  </si>
  <si>
    <t>The miraculous place of Benicàssim</t>
  </si>
  <si>
    <t>The Voramar hotel is a miracle. From the outside, seen from the shore of Benicàssim beach, in Castellón, very wide for this part of the Mediterranean, it is a..</t>
  </si>
  <si>
    <r>
      <rPr>
        <rFont val="Arial, sans-serif"/>
        <color rgb="FF1155CC"/>
        <sz val="9.0"/>
        <u/>
      </rPr>
      <t>El Español</t>
    </r>
    <r>
      <rPr>
        <rFont val="Arial, sans-serif"/>
        <color rgb="FF1155CC"/>
        <sz val="15.0"/>
        <u/>
      </rPr>
      <t>El restaurante heredero del mítico Santceloni que arrasa en Madrid entre los expertos: ya tiene un Sol Repsol</t>
    </r>
    <r>
      <rPr>
        <rFont val="Arial, sans-serif"/>
        <color rgb="FF1155CC"/>
        <sz val="11.0"/>
        <u/>
      </rPr>
      <t>Situado en Chamartín, ya ha sido escenario de MasterChef y la elección de miembros de la Casa Real y otros personajes de la 'jet set' mundial.</t>
    </r>
    <r>
      <rPr>
        <rFont val="Arial, sans-serif"/>
        <color rgb="FF1155CC"/>
        <sz val="12.0"/>
        <u/>
      </rPr>
      <t>.</t>
    </r>
    <r>
      <rPr>
        <rFont val="Arial, sans-serif"/>
        <color rgb="FF1155CC"/>
        <sz val="11.0"/>
        <u/>
      </rPr>
      <t>18 mar 2024</t>
    </r>
  </si>
  <si>
    <t>El restaurante heredero del mítico Santceloni que arrasa en Madrid entre los expertos: ya tiene un Sol Repsol</t>
  </si>
  <si>
    <t>Situado en Chamartín, ya ha sido escenario de MasterChef y la elección de miembros de la Casa Real y otros personajes de la 'jet set' mundial.</t>
  </si>
  <si>
    <t>The restaurant heir to the legendary Santceloni that is sweeping Madrid among experts: it already has a Sol Repsol</t>
  </si>
  <si>
    <t>Located in Chamartín, it has already been the setting for MasterChef and the election of members of the Royal Family and other characters from the world's 'jet set'.</t>
  </si>
  <si>
    <r>
      <rPr>
        <rFont val="Arial, sans-serif"/>
        <color rgb="FF1155CC"/>
        <sz val="9.0"/>
        <u/>
      </rPr>
      <t>El Universal</t>
    </r>
    <r>
      <rPr>
        <rFont val="Arial, sans-serif"/>
        <color rgb="FF1155CC"/>
        <sz val="15.0"/>
        <u/>
      </rPr>
      <t>Pemex, más rentable que Repsol y Shell en 2023</t>
    </r>
    <r>
      <rPr>
        <rFont val="Arial, sans-serif"/>
        <color rgb="FF1155CC"/>
        <sz val="11.0"/>
        <u/>
      </rPr>
      <t>Petróleos Mexicanos (Pemex) cerró 2023 superando a las petroleras internacionales Shell y Repsol, de acuerdo con sus estados financieros.</t>
    </r>
    <r>
      <rPr>
        <rFont val="Arial, sans-serif"/>
        <color rgb="FF1155CC"/>
        <sz val="12.0"/>
        <u/>
      </rPr>
      <t>.</t>
    </r>
    <r>
      <rPr>
        <rFont val="Arial, sans-serif"/>
        <color rgb="FF1155CC"/>
        <sz val="11.0"/>
        <u/>
      </rPr>
      <t>18 mar 2024</t>
    </r>
  </si>
  <si>
    <t>El Universal</t>
  </si>
  <si>
    <t>Pemex, más rentable que Repsol y Shell en 2023</t>
  </si>
  <si>
    <t>Petróleos Mexicanos (Pemex) cerró 2023 superando a las petroleras internacionales Shell y Repsol, de acuerdo con sus estados financieros.</t>
  </si>
  <si>
    <t>Pemex, more profitable than Repsol and Shell in 2023</t>
  </si>
  <si>
    <t>Petróleos Mexicanos (Pemex) closed 2023 surpassing international oil companies Shell and Repsol, according to its financial statements.</t>
  </si>
  <si>
    <t>Pemex vs. Repsol, energy profits</t>
  </si>
  <si>
    <t>Pemex vs. Repsol, ganancias energéticas</t>
  </si>
  <si>
    <t>Being outperformed by a competitor could negatively impact investor perception of Repsol.</t>
  </si>
  <si>
    <t>Pemex, rentable</t>
  </si>
  <si>
    <t>Slightly negative sentiment due to Repsol being outperformed by Pemex.</t>
  </si>
  <si>
    <t>Sentimiento ligeramente negativo debido a que Repsol ha sido superado por Pemex.</t>
  </si>
  <si>
    <r>
      <rPr>
        <rFont val="Arial, sans-serif"/>
        <color rgb="FF1155CC"/>
        <sz val="9.0"/>
        <u/>
      </rPr>
      <t>Box Repsol</t>
    </r>
    <r>
      <rPr>
        <rFont val="Arial, sans-serif"/>
        <color rgb="FF1155CC"/>
        <sz val="15.0"/>
        <u/>
      </rPr>
      <t>Motos estilo Vespa: las mejores scooters urbanas</t>
    </r>
    <r>
      <rPr>
        <rFont val="Arial, sans-serif"/>
        <color rgb="FF1155CC"/>
        <sz val="11.0"/>
        <u/>
      </rPr>
      <t>Las motos al estilo Vespa son la elección ideal para la ciudad, ofreciendo comodidad, eficiencia y un toque de estilo inigualable en cada trayecto.</t>
    </r>
    <r>
      <rPr>
        <rFont val="Arial, sans-serif"/>
        <color rgb="FF1155CC"/>
        <sz val="12.0"/>
        <u/>
      </rPr>
      <t>.</t>
    </r>
    <r>
      <rPr>
        <rFont val="Arial, sans-serif"/>
        <color rgb="FF1155CC"/>
        <sz val="11.0"/>
        <u/>
      </rPr>
      <t>18 mar 2024</t>
    </r>
  </si>
  <si>
    <t>Motos estilo Vespa: las mejores scooters urbanas</t>
  </si>
  <si>
    <t>Las motos al estilo Vespa son la elección ideal para la ciudad, ofreciendo comodidad, eficiencia y un toque de estilo inigualable en cada trayecto.</t>
  </si>
  <si>
    <t>Vespa style motorcycles: the best urban scooters</t>
  </si>
  <si>
    <t>Vespa-style motorcycles are the ideal choice for the city, offering comfort, efficiency and a touch of unmatched style on every ride.</t>
  </si>
  <si>
    <t>Automotive</t>
  </si>
  <si>
    <r>
      <rPr>
        <rFont val="Arial, sans-serif"/>
        <color rgb="FF1155CC"/>
        <sz val="9.0"/>
        <u/>
      </rPr>
      <t>Guía Repsol</t>
    </r>
    <r>
      <rPr>
        <rFont val="Arial, sans-serif"/>
        <color rgb="FF1155CC"/>
        <sz val="15.0"/>
        <u/>
      </rPr>
      <t>Cuatro lugares para esquiar y surfear en el mismo día</t>
    </r>
    <r>
      <rPr>
        <rFont val="Arial, sans-serif"/>
        <color rgb="FF1155CC"/>
        <sz val="11.0"/>
        <u/>
      </rPr>
      <t>Por la mañana a la nieve, por la tarde a la playa. Las últimas nevadas permiten disfrutar en el mismo día de los esquís o las raquetas para unas horas...</t>
    </r>
    <r>
      <rPr>
        <rFont val="Arial, sans-serif"/>
        <color rgb="FF1155CC"/>
        <sz val="12.0"/>
        <u/>
      </rPr>
      <t>.</t>
    </r>
    <r>
      <rPr>
        <rFont val="Arial, sans-serif"/>
        <color rgb="FF1155CC"/>
        <sz val="11.0"/>
        <u/>
      </rPr>
      <t>18 mar 2024</t>
    </r>
  </si>
  <si>
    <t>Cuatro lugares para esquiar y surfear en el mismo día</t>
  </si>
  <si>
    <t>Por la mañana a la nieve, por la tarde a la playa. Las últimas nevadas permiten disfrutar en el mismo día de los esquís o las raquetas para unas horas....</t>
  </si>
  <si>
    <t>Four places to ski and surf in the same day</t>
  </si>
  <si>
    <t>In the morning to the snow, in the afternoon to the beach. The last snowfalls allow you to enjoy skis or snowshoes for a few hours on the same day....</t>
  </si>
  <si>
    <t>Travel</t>
  </si>
  <si>
    <r>
      <rPr>
        <rFont val="Arial, sans-serif"/>
        <color rgb="FF1155CC"/>
        <sz val="9.0"/>
        <u/>
      </rPr>
      <t>El Heraldo de México</t>
    </r>
    <r>
      <rPr>
        <rFont val="Arial, sans-serif"/>
        <color rgb="FF1155CC"/>
        <sz val="15.0"/>
        <u/>
      </rPr>
      <t>Pemex, Chevron, Repsol o Shell, quién da más barata la gasolina según el gobierno federal</t>
    </r>
    <r>
      <rPr>
        <rFont val="Arial, sans-serif"/>
        <color rgb="FF1155CC"/>
        <sz val="11.0"/>
        <u/>
      </rPr>
      <t>Ya sea regular, premium o diésel, en el estudio Quién es Quién se puede ver qué empresa da a mejor precio los combustibles en México.</t>
    </r>
    <r>
      <rPr>
        <rFont val="Arial, sans-serif"/>
        <color rgb="FF1155CC"/>
        <sz val="12.0"/>
        <u/>
      </rPr>
      <t>.</t>
    </r>
    <r>
      <rPr>
        <rFont val="Arial, sans-serif"/>
        <color rgb="FF1155CC"/>
        <sz val="11.0"/>
        <u/>
      </rPr>
      <t>18 mar 2024</t>
    </r>
  </si>
  <si>
    <t>El Heraldo de México</t>
  </si>
  <si>
    <t>Pemex, Chevron, Repsol o Shell, quién da más barata la gasolina según el gobierno federal</t>
  </si>
  <si>
    <t>Ya sea regular, premium o diésel, en el estudio Quién es Quién se puede ver qué empresa da a mejor precio los combustibles en México.</t>
  </si>
  <si>
    <t>Pemex, Chevron, Repsol or Shell, who gives cheaper gasoline according to the federal government</t>
  </si>
  <si>
    <t>Whether regular, premium or diesel, in the Who is Who study you can see which company provides the best price for fuel in Mexico.</t>
  </si>
  <si>
    <t>Gasoline prices, Repsol fuel comparison</t>
  </si>
  <si>
    <t>Precios de la gasolina, Comparativa de combustibles Repsol</t>
  </si>
  <si>
    <t>Comparisons on fuel pricing could affect consumer perception of Repsol.</t>
  </si>
  <si>
    <r>
      <rPr>
        <rFont val="Arial, sans-serif"/>
        <color rgb="FF1155CC"/>
        <sz val="9.0"/>
        <u/>
      </rPr>
      <t>Guía Repsol</t>
    </r>
    <r>
      <rPr>
        <rFont val="Arial, sans-serif"/>
        <color rgb="FF1155CC"/>
        <sz val="15.0"/>
        <u/>
      </rPr>
      <t>¿Cómo trabajan los artesanos de la Real Fábrica de Tapices de Madrid?</t>
    </r>
    <r>
      <rPr>
        <rFont val="Arial, sans-serif"/>
        <color rgb="FF1155CC"/>
        <sz val="11.0"/>
        <u/>
      </rPr>
      <t>Las grandes ciudades todavía esconden alguna que otra sorpresa escondida para visitar sin aglomeraciones, y Madrid tiene un ejemplo en la Real Fábrica de...</t>
    </r>
    <r>
      <rPr>
        <rFont val="Arial, sans-serif"/>
        <color rgb="FF1155CC"/>
        <sz val="12.0"/>
        <u/>
      </rPr>
      <t>.</t>
    </r>
    <r>
      <rPr>
        <rFont val="Arial, sans-serif"/>
        <color rgb="FF1155CC"/>
        <sz val="11.0"/>
        <u/>
      </rPr>
      <t>18 mar 2024</t>
    </r>
  </si>
  <si>
    <t>¿Cómo trabajan los artesanos de la Real Fábrica de Tapices de Madrid?</t>
  </si>
  <si>
    <t>Las grandes ciudades todavía esconden alguna que otra sorpresa escondida para visitar sin aglomeraciones, y Madrid tiene un ejemplo en la Real Fábrica de....</t>
  </si>
  <si>
    <t>How do the artisans of the Royal Tapestry Factory of Madrid work?</t>
  </si>
  <si>
    <t>The big cities still hide some hidden surprises to visit without crowds, and Madrid has an example in the Royal Factory of...</t>
  </si>
  <si>
    <t>Culture</t>
  </si>
  <si>
    <r>
      <rPr>
        <rFont val="Arial, sans-serif"/>
        <color rgb="FF1155CC"/>
        <sz val="9.0"/>
        <u/>
      </rPr>
      <t>Reason Why</t>
    </r>
    <r>
      <rPr>
        <rFont val="Arial, sans-serif"/>
        <color rgb="FF1155CC"/>
        <sz val="15.0"/>
        <u/>
      </rPr>
      <t>Iberdrola demanda a Repsol por competencia desleal y publicidad engañosa</t>
    </r>
    <r>
      <rPr>
        <rFont val="Arial, sans-serif"/>
        <color rgb="FF1155CC"/>
        <sz val="11.0"/>
        <u/>
      </rPr>
      <t>Iberdrola ha presentado una demanda contra Repsol por competencia desleal y publicidad engañosa, puesto que considera que ha cometido greenwashing,...</t>
    </r>
    <r>
      <rPr>
        <rFont val="Arial, sans-serif"/>
        <color rgb="FF1155CC"/>
        <sz val="12.0"/>
        <u/>
      </rPr>
      <t>.</t>
    </r>
    <r>
      <rPr>
        <rFont val="Arial, sans-serif"/>
        <color rgb="FF1155CC"/>
        <sz val="11.0"/>
        <u/>
      </rPr>
      <t>19 mar 2024</t>
    </r>
  </si>
  <si>
    <t>Iberdrola</t>
  </si>
  <si>
    <t>Iberdrola demanda a Repsol por competencia desleal y publicidad engañosa</t>
  </si>
  <si>
    <t>Iberdrola ha presentado una demanda contra Repsol por competencia desleal y publicidad engañosa, puesto que considera que ha cometido greenwashing,...</t>
  </si>
  <si>
    <t>Iberdrola sues Repsol for unfair competition and misleading advertising</t>
  </si>
  <si>
    <t>Iberdrola has filed a lawsuit against Repsol for unfair competition and misleading advertising, since it considers that it has committed greenwashing,...</t>
  </si>
  <si>
    <t>Legal dispute, Repsol advertising</t>
  </si>
  <si>
    <t>Disputa jurídica, Publicidad de Repsol</t>
  </si>
  <si>
    <t>Legal conflicts over advertising practices can damage Repsol’s public reputation.</t>
  </si>
  <si>
    <r>
      <rPr>
        <rFont val="Arial, sans-serif"/>
        <color rgb="FF1155CC"/>
        <sz val="9.0"/>
        <u/>
      </rPr>
      <t>El Independiente</t>
    </r>
    <r>
      <rPr>
        <rFont val="Arial, sans-serif"/>
        <color rgb="FF1155CC"/>
        <sz val="15.0"/>
        <u/>
      </rPr>
      <t>Repsol se lanza a por Iberdrola y Endesa: ofertas y descuentos para robar dos millones de clientes eléctricos</t>
    </r>
    <r>
      <rPr>
        <rFont val="Arial, sans-serif"/>
        <color rgb="FF1155CC"/>
        <sz val="11.0"/>
        <u/>
      </rPr>
      <t>Repsol quiere dar un golpe sobre la mesa en el mercado eléctrico. La compañía dirigida por Josu Jon Imaz va a intentar robarle hasta dos millones de.</t>
    </r>
    <r>
      <rPr>
        <rFont val="Arial, sans-serif"/>
        <color rgb="FF1155CC"/>
        <sz val="12.0"/>
        <u/>
      </rPr>
      <t>.</t>
    </r>
    <r>
      <rPr>
        <rFont val="Arial, sans-serif"/>
        <color rgb="FF1155CC"/>
        <sz val="11.0"/>
        <u/>
      </rPr>
      <t>19 mar 2024</t>
    </r>
  </si>
  <si>
    <t>Repsol se lanza a por Iberdrola y Endesa: ofertas y descuentos para robar dos millones de clientes eléctricos</t>
  </si>
  <si>
    <t>Repsol quiere dar un golpe sobre la mesa en el mercado eléctrico. La compañía dirigida por Josu Jon Imaz va a intentar robarle hasta dos millones de clientes eléctricos a Iberdrola y Endesa.</t>
  </si>
  <si>
    <t>Repsol goes after Iberdrola and Endesa: offers and discounts to steal two million electricity customers</t>
  </si>
  <si>
    <t>Repsol wants to hit the table in the electricity market. The company led by Josu Jon Imaz is going to try to steal up to two million electricity customers from Iberdrola and Endesa.</t>
  </si>
  <si>
    <t>Repsol electricity, energy market</t>
  </si>
  <si>
    <t>Repsol electricidad, mercado de la energía</t>
  </si>
  <si>
    <t>Expanding into electricity services could enhance Repsol’s competitive positioning.</t>
  </si>
  <si>
    <t>robar clientes, mercado eléctrico</t>
  </si>
  <si>
    <t>Negative sentiment due to aggressive business tactics by Repsol.</t>
  </si>
  <si>
    <t>Sentimiento negativo por tácticas comerciales agresivas de Repsol.</t>
  </si>
  <si>
    <r>
      <rPr>
        <rFont val="Arial, sans-serif"/>
        <color rgb="FF1155CC"/>
        <sz val="9.0"/>
        <u/>
      </rPr>
      <t>El Periódico de la Energía</t>
    </r>
    <r>
      <rPr>
        <rFont val="Arial, sans-serif"/>
        <color rgb="FF1155CC"/>
        <sz val="15.0"/>
        <u/>
      </rPr>
      <t>Repsol y el resto de grandes petroleras y gasistas del mundo se alejan de los objetivos del Acuerdo de París</t>
    </r>
    <r>
      <rPr>
        <rFont val="Arial, sans-serif"/>
        <color rgb="FF1155CC"/>
        <sz val="11.0"/>
        <u/>
      </rPr>
      <t>Las compañías petroleras y gasistas siguen apostando por nuevos proyectos de producción de combustibles fósiles.</t>
    </r>
    <r>
      <rPr>
        <rFont val="Arial, sans-serif"/>
        <color rgb="FF1155CC"/>
        <sz val="12.0"/>
        <u/>
      </rPr>
      <t>.</t>
    </r>
    <r>
      <rPr>
        <rFont val="Arial, sans-serif"/>
        <color rgb="FF1155CC"/>
        <sz val="11.0"/>
        <u/>
      </rPr>
      <t>19 mar 2024</t>
    </r>
  </si>
  <si>
    <t>Repsol y el resto de grandes petroleras y gasistas del mundo se alejan de los objetivos del Acuerdo de París</t>
  </si>
  <si>
    <t>Las compañías petroleras y gasistas siguen apostando por nuevos proyectos de producción de combustibles fósiles.</t>
  </si>
  <si>
    <t>Repsol and the rest of the world's major oil and gas companies are moving away from the objectives of the Paris Agreement</t>
  </si>
  <si>
    <t>Oil and gas companies continue to invest in new fossil fuel production projects.</t>
  </si>
  <si>
    <t>Oil and gas industry, Repsol sustainability</t>
  </si>
  <si>
    <t>Industria del petróleo y del gas, Sostenibilidad Repsol</t>
  </si>
  <si>
    <t>Industry-wide trends may reinforce Repsol’s long-term sustainability strategy.</t>
  </si>
  <si>
    <t>combustibles fósiles, Acuerdo de París</t>
  </si>
  <si>
    <t>Negative sentiment due to Repsol's alignment with fossil fuel production.</t>
  </si>
  <si>
    <t>Sentimiento negativo por el alineamiento de Repsol con la producción de combustibles fósiles.</t>
  </si>
  <si>
    <r>
      <rPr>
        <rFont val="Arial, sans-serif"/>
        <color rgb="FF1155CC"/>
        <sz val="9.0"/>
        <u/>
      </rPr>
      <t>RRHH Digital</t>
    </r>
    <r>
      <rPr>
        <rFont val="Arial, sans-serif"/>
        <color rgb="FF1155CC"/>
        <sz val="15.0"/>
        <u/>
      </rPr>
      <t>Repsol es la tercera mejor empresa para trabajar en España</t>
    </r>
    <r>
      <rPr>
        <rFont val="Arial, sans-serif"/>
        <color rgb="FF1155CC"/>
        <sz val="11.0"/>
        <u/>
      </rPr>
      <t>La compañía multienergética se ha situado entre las tres mejores empresas del monitor en su edición 2003 y logra ser la única empresa del Ibex y del sector...</t>
    </r>
    <r>
      <rPr>
        <rFont val="Arial, sans-serif"/>
        <color rgb="FF1155CC"/>
        <sz val="12.0"/>
        <u/>
      </rPr>
      <t>.</t>
    </r>
    <r>
      <rPr>
        <rFont val="Arial, sans-serif"/>
        <color rgb="FF1155CC"/>
        <sz val="11.0"/>
        <u/>
      </rPr>
      <t>19 mar 2024</t>
    </r>
  </si>
  <si>
    <t>RRHH Digital</t>
  </si>
  <si>
    <t>Repsol es la tercera mejor empresa para trabajar en España</t>
  </si>
  <si>
    <t>Repsol is the third best company to work for in Spain</t>
  </si>
  <si>
    <t>Recognition as a top employer enhances Repsol’s corporate image.</t>
  </si>
  <si>
    <r>
      <rPr>
        <rFont val="Arial, sans-serif"/>
        <color rgb="FF1155CC"/>
        <sz val="9.0"/>
        <u/>
      </rPr>
      <t>PuroMarketing</t>
    </r>
    <r>
      <rPr>
        <rFont val="Arial, sans-serif"/>
        <color rgb="FF1155CC"/>
        <sz val="15.0"/>
        <u/>
      </rPr>
      <t>Iberdrola acusa a Repsol de publicidad engañosa y prácticas de 'eco postureo' en una demanda multimillonaria</t>
    </r>
    <r>
      <rPr>
        <rFont val="Arial, sans-serif"/>
        <color rgb="FF1155CC"/>
        <sz val="11.0"/>
        <u/>
      </rPr>
      <t>La multinacional energética Iberdrola ha lanzado una acusación contundente contra su rival Repsol, presentando una demanda por lo que considera prácticas de...</t>
    </r>
    <r>
      <rPr>
        <rFont val="Arial, sans-serif"/>
        <color rgb="FF1155CC"/>
        <sz val="12.0"/>
        <u/>
      </rPr>
      <t>.</t>
    </r>
    <r>
      <rPr>
        <rFont val="Arial, sans-serif"/>
        <color rgb="FF1155CC"/>
        <sz val="11.0"/>
        <u/>
      </rPr>
      <t>19 mar 2024</t>
    </r>
  </si>
  <si>
    <t>PuroMarketing</t>
  </si>
  <si>
    <t>Iberdrola acusa a Repsol de publicidad engañosa y prácticas de 'eco postureo' en una demanda multimillonaria</t>
  </si>
  <si>
    <t>La multinacional energética Iberdrola ha lanzado una acusación contundente contra su rival Repsol, presentando una demanda por lo que considera prácticas de....</t>
  </si>
  <si>
    <t>Iberdrola accuses Repsol of misleading advertising and 'eco-posturing' practices in a multimillion-dollar lawsuit</t>
  </si>
  <si>
    <t>The energy multinational Iberdrola has launched a forceful accusation against its rival Repsol, filing a lawsuit for what it considers practices of...</t>
  </si>
  <si>
    <t>Legal disputes over advertising can damage Repsol’s credibility.</t>
  </si>
  <si>
    <t>publicidad engañosa, eco postureo</t>
  </si>
  <si>
    <r>
      <rPr>
        <rFont val="Arial, sans-serif"/>
        <color rgb="FF1155CC"/>
        <sz val="9.0"/>
        <u/>
      </rPr>
      <t>El Mundo</t>
    </r>
    <r>
      <rPr>
        <rFont val="Arial, sans-serif"/>
        <color rgb="FF1155CC"/>
        <sz val="15.0"/>
        <u/>
      </rPr>
      <t>Las claves de la batalla de Iberdrola contra Repsol: del pulso por el relato ecológico europeo a la guerra comercial de la luz en España</t>
    </r>
    <r>
      <rPr>
        <rFont val="Arial, sans-serif"/>
        <color rgb="FF1155CC"/>
        <sz val="11.0"/>
        <u/>
      </rPr>
      <t>Es mucho más que una cruzada contra el greenwashing. El frente judicial que Iberdrola ha abierto contra Repsol en los Juzgados de lo Mercantil de Santander...</t>
    </r>
    <r>
      <rPr>
        <rFont val="Arial, sans-serif"/>
        <color rgb="FF1155CC"/>
        <sz val="12.0"/>
        <u/>
      </rPr>
      <t>.</t>
    </r>
    <r>
      <rPr>
        <rFont val="Arial, sans-serif"/>
        <color rgb="FF1155CC"/>
        <sz val="11.0"/>
        <u/>
      </rPr>
      <t>19 mar 2024</t>
    </r>
  </si>
  <si>
    <t>Las claves de la batalla de Iberdrola contra Repsol: del pulso por el relato ecológico europeo a la guerra comercial de la luz en España</t>
  </si>
  <si>
    <t>Es mucho más que una cruzada contra el greenwashing. El frente judicial que Iberdrola ha abierto contra Repsol en los Juzgados de lo Mercantil de Santander....</t>
  </si>
  <si>
    <t>The keys to Iberdrola's battle against Repsol: from the fight for the European ecological story to the electricity trade war in Spain</t>
  </si>
  <si>
    <t>It is much more than a crusade against greenwashing. The judicial front that Iberdrola has opened against Repsol in the Commercial Courts of Santander....</t>
  </si>
  <si>
    <t>Accusations of misleading environmental claims could harm Repsol’s reputation.</t>
  </si>
  <si>
    <t>batalla, greenwashing</t>
  </si>
  <si>
    <r>
      <rPr>
        <rFont val="Arial, sans-serif"/>
        <color rgb="FF1155CC"/>
        <sz val="9.0"/>
        <u/>
      </rPr>
      <t>Diari de Tarragona</t>
    </r>
    <r>
      <rPr>
        <rFont val="Arial, sans-serif"/>
        <color rgb="FF1155CC"/>
        <sz val="15.0"/>
        <u/>
      </rPr>
      <t>Repsol acaba la parada del complejo tarraconense tras una inversión de 150 M€</t>
    </r>
    <r>
      <rPr>
        <rFont val="Arial, sans-serif"/>
        <color rgb="FF1155CC"/>
        <sz val="11.0"/>
        <u/>
      </rPr>
      <t>Dos meses después de iniciarse el 15 de enero, ha finalizado en Repsol la parada programada de mantenimiento más importante realizada hasta el momento...</t>
    </r>
    <r>
      <rPr>
        <rFont val="Arial, sans-serif"/>
        <color rgb="FF1155CC"/>
        <sz val="12.0"/>
        <u/>
      </rPr>
      <t>.</t>
    </r>
    <r>
      <rPr>
        <rFont val="Arial, sans-serif"/>
        <color rgb="FF1155CC"/>
        <sz val="11.0"/>
        <u/>
      </rPr>
      <t>19 mar 2024</t>
    </r>
  </si>
  <si>
    <t>Repsol acaba la parada del complejo tarraconense tras una inversión de 150 M€</t>
  </si>
  <si>
    <t>Dos meses después de iniciarse el 15 de enero, ha finalizado en Repsol la parada programada de mantenimiento más importante realizada hasta el momento.</t>
  </si>
  <si>
    <t>Repsol completes the shutdown of the Tarragona complex after an investment of €150 million</t>
  </si>
  <si>
    <t>Two months after it began on January 15, the most important scheduled maintenance stoppage carried out to date has ended at Repsol.</t>
  </si>
  <si>
    <t>Routine maintenance has no major impact but reassures operational stability.</t>
  </si>
  <si>
    <t>inversión, mantenimiento</t>
  </si>
  <si>
    <t>Neutral to slightly positive, as it highlights Repsol's maintenance efforts.</t>
  </si>
  <si>
    <t>De neutral a ligeramente positivo, ya que destaca el esfuerzo de mantenimiento de Repsol.</t>
  </si>
  <si>
    <r>
      <rPr>
        <rFont val="Arial, sans-serif"/>
        <color rgb="FF1155CC"/>
        <sz val="9.0"/>
        <u/>
      </rPr>
      <t>Guía Repsol</t>
    </r>
    <r>
      <rPr>
        <rFont val="Arial, sans-serif"/>
        <color rgb="FF1155CC"/>
        <sz val="15.0"/>
        <u/>
      </rPr>
      <t>Dónde comer en el Escorial: 7 restaurantes para disfrutar</t>
    </r>
    <r>
      <rPr>
        <rFont val="Arial, sans-serif"/>
        <color rgb="FF1155CC"/>
        <sz val="11.0"/>
        <u/>
      </rPr>
      <t>Hay muchas excusas para visitar (una y otra vez) San Lorenzo de El Escorial, en plena sierra del Guadarrama. Bien sea por entrar a su Real Monasterio,...</t>
    </r>
    <r>
      <rPr>
        <rFont val="Arial, sans-serif"/>
        <color rgb="FF1155CC"/>
        <sz val="12.0"/>
        <u/>
      </rPr>
      <t>.</t>
    </r>
    <r>
      <rPr>
        <rFont val="Arial, sans-serif"/>
        <color rgb="FF1155CC"/>
        <sz val="11.0"/>
        <u/>
      </rPr>
      <t>19 mar 2024</t>
    </r>
  </si>
  <si>
    <t>Dónde comer en el Escorial: 7 restaurantes para disfrutar</t>
  </si>
  <si>
    <t>Hay muchas excusas para visitar (una y otra vez) San Lorenzo de El Escorial, en plena sierra del Guadarrama. Bien sea por entrar a su Real Monasterio,...</t>
  </si>
  <si>
    <t>Where to eat in El Escorial: 7 restaurants to enjoy</t>
  </si>
  <si>
    <t>There are many excuses to visit (again and again) San Lorenzo de El Escorial, in the heart of the Guadarrama mountain range. Either by entering his Royal Monastery,...</t>
  </si>
  <si>
    <r>
      <rPr>
        <rFont val="Arial, sans-serif"/>
        <color rgb="FF1155CC"/>
        <sz val="9.0"/>
        <u/>
      </rPr>
      <t>Málaga Hoy</t>
    </r>
    <r>
      <rPr>
        <rFont val="Arial, sans-serif"/>
        <color rgb="FF1155CC"/>
        <sz val="15.0"/>
        <u/>
      </rPr>
      <t>Málaga ficha como asesor de Urbanismo a un ex jefe de Urbania: Víctor Troyano Zurita</t>
    </r>
    <r>
      <rPr>
        <rFont val="Arial, sans-serif"/>
        <color rgb="FF1155CC"/>
        <sz val="11.0"/>
        <u/>
      </rPr>
      <t>La empresa aún tiene que cerrar con el Ayuntamiento la enajenación de los terrenos de Repsol.</t>
    </r>
    <r>
      <rPr>
        <rFont val="Arial, sans-serif"/>
        <color rgb="FF1155CC"/>
        <sz val="12.0"/>
        <u/>
      </rPr>
      <t>.</t>
    </r>
    <r>
      <rPr>
        <rFont val="Arial, sans-serif"/>
        <color rgb="FF1155CC"/>
        <sz val="11.0"/>
        <u/>
      </rPr>
      <t>19 mar 2024</t>
    </r>
  </si>
  <si>
    <t>Málaga ficha como asesor de Urbanismo a un ex jefe de Urbania: Víctor Troyano Zurita</t>
  </si>
  <si>
    <t>La empresa aún tiene que cerrar con el Ayuntamiento la enajenación de los terrenos de Repsol.</t>
  </si>
  <si>
    <t>Málaga hires a former head of Urbania as Urban Planning advisor: Víctor Troyano Zurita</t>
  </si>
  <si>
    <t>The company has yet to close with the City Council the sale of Repsol's land.</t>
  </si>
  <si>
    <t>Urban Planning</t>
  </si>
  <si>
    <t>Urban planning changes do not impact Repsol’s corporate perception.</t>
  </si>
  <si>
    <r>
      <rPr>
        <rFont val="Arial, sans-serif"/>
        <color rgb="FF1155CC"/>
        <sz val="9.0"/>
        <u/>
      </rPr>
      <t>Guía Repsol</t>
    </r>
    <r>
      <rPr>
        <rFont val="Arial, sans-serif"/>
        <color rgb="FF1155CC"/>
        <sz val="15.0"/>
        <u/>
      </rPr>
      <t>Las mejores ensaladillas: tres versiones curiosas del chef Chema Soler</t>
    </r>
    <r>
      <rPr>
        <rFont val="Arial, sans-serif"/>
        <color rgb="FF1155CC"/>
        <sz val="11.0"/>
        <u/>
      </rPr>
      <t>El chef valenciano Chema Soler triunfó hace 13 años con sus croquetas gourmet en 'La Gastro-croquetería' de Madrid y hoy continúa con el formato de tapas...</t>
    </r>
    <r>
      <rPr>
        <rFont val="Arial, sans-serif"/>
        <color rgb="FF1155CC"/>
        <sz val="12.0"/>
        <u/>
      </rPr>
      <t>.</t>
    </r>
    <r>
      <rPr>
        <rFont val="Arial, sans-serif"/>
        <color rgb="FF1155CC"/>
        <sz val="11.0"/>
        <u/>
      </rPr>
      <t>19 mar 2024</t>
    </r>
  </si>
  <si>
    <t>Las mejores ensaladillas: tres versiones curiosas del chef Chema Soler</t>
  </si>
  <si>
    <t>El chef valenciano Chema Soler triunfó hace 13 años con sus croquetas gourmet en 'La Gastro-croquetería' de Madrid y hoy continúa con el formato de tapas....</t>
  </si>
  <si>
    <t>The best salads: three curious versions by chef Chema Soler</t>
  </si>
  <si>
    <t>The Valencian chef Chema Soler triumphed 13 years ago with his gourmet croquettes at 'La Gastro-croquetería' in Madrid and today he continues with the tapas format....</t>
  </si>
  <si>
    <r>
      <rPr>
        <rFont val="Arial, sans-serif"/>
        <color rgb="FF1155CC"/>
        <sz val="9.0"/>
        <u/>
      </rPr>
      <t>RRHH Digital</t>
    </r>
    <r>
      <rPr>
        <rFont val="Arial, sans-serif"/>
        <color rgb="FF1155CC"/>
        <sz val="15.0"/>
        <u/>
      </rPr>
      <t>Grupo EULEN nombra a María Jesús Algaba Álvarez como Directora de personas, talento y cultura</t>
    </r>
    <r>
      <rPr>
        <color rgb="FF1155CC"/>
        <sz val="11.0"/>
        <u/>
      </rPr>
      <t>El Grupo EULEN, líder en nuestro país en la prestación de servicios especializados a empresas, ha nombrado a María Jesús Algaba Álvarez como nueva Directora...</t>
    </r>
    <r>
      <rPr>
        <color rgb="FF1155CC"/>
        <u/>
      </rPr>
      <t>.</t>
    </r>
    <r>
      <rPr>
        <color rgb="FF1155CC"/>
        <sz val="11.0"/>
        <u/>
      </rPr>
      <t>19 mar 2024</t>
    </r>
  </si>
  <si>
    <t>Grupo EULEN nombra a María Jesús Algaba Álvarez como Directora de personas, talento y cultura</t>
  </si>
  <si>
    <t>El Grupo EULEN, líder en nuestro país en la prestación de servicios especializados a empresas, ha nombrado a María Jesús Algaba Álvarez como nueva Directora....</t>
  </si>
  <si>
    <t>EULEN Group appoints María Jesús Algaba Álvarez as Director of People, Talent and Culture</t>
  </si>
  <si>
    <t>The EULEN Group, a leader in our country in providing specialized services to companies, has appointed María Jesús Algaba Álvarez as the new Director....</t>
  </si>
  <si>
    <r>
      <rPr>
        <rFont val="Arial, sans-serif"/>
        <color rgb="FF1155CC"/>
        <sz val="9.0"/>
        <u/>
      </rPr>
      <t>Greenpeace España</t>
    </r>
    <r>
      <rPr>
        <rFont val="Arial, sans-serif"/>
        <color rgb="FF1155CC"/>
        <sz val="15.0"/>
        <u/>
      </rPr>
      <t>Repsol nos ha robado la primavera</t>
    </r>
    <r>
      <rPr>
        <rFont val="Arial, sans-serif"/>
        <color rgb="FF1155CC"/>
        <sz val="11.0"/>
        <u/>
      </rPr>
      <t>El cambio climático, provocado por el petróleo y gas, está haciendo desaparecer la primavera tal como la conocíamos.</t>
    </r>
    <r>
      <rPr>
        <rFont val="Arial, sans-serif"/>
        <color rgb="FF1155CC"/>
        <sz val="12.0"/>
        <u/>
      </rPr>
      <t>.</t>
    </r>
    <r>
      <rPr>
        <rFont val="Arial, sans-serif"/>
        <color rgb="FF1155CC"/>
        <sz val="11.0"/>
        <u/>
      </rPr>
      <t>20 mar 2024</t>
    </r>
  </si>
  <si>
    <t>Greenpeace España</t>
  </si>
  <si>
    <t>Repsol nos ha robado la primavera</t>
  </si>
  <si>
    <t>El cambio climático, provocado por el petróleo y gas, está haciendo desaparecer la primavera tal como la conocíamos.</t>
  </si>
  <si>
    <t>Repsol has stolen our spring</t>
  </si>
  <si>
    <t>Climate change, caused by oil and gas, is making spring as we knew it disappear.</t>
  </si>
  <si>
    <t>Climate change, Repsol fossil fuels</t>
  </si>
  <si>
    <t>Cambio climático, Combustibles fósiles de Repsol</t>
  </si>
  <si>
    <t>Blaming Repsol for climate change could damage its environmental reputation.</t>
  </si>
  <si>
    <t>cambio climático, petróleo</t>
  </si>
  <si>
    <t>Strongly negative sentiment due to environmental criticism of Repsol.</t>
  </si>
  <si>
    <t>Sentimiento fuertemente negativo por las críticas medioambientales a Repsol.</t>
  </si>
  <si>
    <r>
      <rPr>
        <rFont val="Arial, sans-serif"/>
        <color rgb="FF1155CC"/>
        <sz val="9.0"/>
        <u/>
      </rPr>
      <t>Expansión</t>
    </r>
    <r>
      <rPr>
        <rFont val="Arial, sans-serif"/>
        <color rgb="FF1155CC"/>
        <sz val="15.0"/>
        <u/>
      </rPr>
      <t>Repsol propondrá a su junta el pago de un dividendo de 0,45 euros por acción en enero</t>
    </r>
    <r>
      <rPr>
        <rFont val="Arial, sans-serif"/>
        <color rgb="FF1155CC"/>
        <sz val="11.0"/>
        <u/>
      </rPr>
      <t>El consejo de administración de Repsol ha acordado convocar su junta general de accionistas para el próximo 10 de mayo, en segunda convocatoria,...</t>
    </r>
    <r>
      <rPr>
        <rFont val="Arial, sans-serif"/>
        <color rgb="FF1155CC"/>
        <sz val="12.0"/>
        <u/>
      </rPr>
      <t>.</t>
    </r>
    <r>
      <rPr>
        <rFont val="Arial, sans-serif"/>
        <color rgb="FF1155CC"/>
        <sz val="11.0"/>
        <u/>
      </rPr>
      <t>20 mar 2024</t>
    </r>
  </si>
  <si>
    <t>Repsol propondrá a su junta el pago de un dividendo de 0,45 euros por acción en enero</t>
  </si>
  <si>
    <t>El consejo de administración de Repsol ha acordado convocar su junta general de accionistas para el próximo 10 de mayo, en segunda convocatoria.</t>
  </si>
  <si>
    <t>Repsol will propose to its board the payment of a dividend of 0.45 euros per share in January</t>
  </si>
  <si>
    <t>The board of directors of Repsol has agreed to call its general meeting of shareholders for next May 10, on second call.</t>
  </si>
  <si>
    <t>Repsol dividend, shareholder payments</t>
  </si>
  <si>
    <t>Dividendo Repsol, pagos a accionistas</t>
  </si>
  <si>
    <t>Offering dividends strengthens investor confidence in Repsol.</t>
  </si>
  <si>
    <t>dividendo, accionistas</t>
  </si>
  <si>
    <t>Neutral to slightly positive, as it highlights financial decisions by Repsol.</t>
  </si>
  <si>
    <t>De neutral a ligeramente positivo, ya que destaca las decisiones financieras de Repsol.</t>
  </si>
  <si>
    <r>
      <rPr>
        <rFont val="Arial, sans-serif"/>
        <color rgb="FF1155CC"/>
        <sz val="9.0"/>
        <u/>
      </rPr>
      <t>CapitalMadrid</t>
    </r>
    <r>
      <rPr>
        <rFont val="Arial, sans-serif"/>
        <color rgb="FF1155CC"/>
        <sz val="15.0"/>
        <u/>
      </rPr>
      <t>Repsol abonará un dividendo de 0,5 euros en julio y realizará una amortización de acciones</t>
    </r>
    <r>
      <rPr>
        <rFont val="Arial, sans-serif"/>
        <color rgb="FF1155CC"/>
        <sz val="11.0"/>
        <u/>
      </rPr>
      <t>El consejo de administración de Repsol ha acordado convocar su junta general de accionistas para el próximo 10 de mayo, en segunda convocatoria, en la que...</t>
    </r>
    <r>
      <rPr>
        <rFont val="Arial, sans-serif"/>
        <color rgb="FF1155CC"/>
        <sz val="12.0"/>
        <u/>
      </rPr>
      <t>.</t>
    </r>
    <r>
      <rPr>
        <rFont val="Arial, sans-serif"/>
        <color rgb="FF1155CC"/>
        <sz val="11.0"/>
        <u/>
      </rPr>
      <t>20 mar 2024</t>
    </r>
  </si>
  <si>
    <t>CapitalMadrid</t>
  </si>
  <si>
    <t>Repsol abonará un dividendo de 0,5 euros en julio y realizará una amortización de acciones</t>
  </si>
  <si>
    <t>El consejo de administración de Repsol ha acordado convocar su junta general de accionistas para el próximo 10 de mayo, en segunda convocatoria, en la que....</t>
  </si>
  <si>
    <t>Repsol will pay a dividend of 0.5 euros in July and will redeem shares</t>
  </si>
  <si>
    <t>The board of directors of Repsol has agreed to call its general meeting of shareholders for next May 10, on second call, in which...</t>
  </si>
  <si>
    <t>Repsol dividend, investor returns</t>
  </si>
  <si>
    <t>Dividendo Repsol, rendimiento para los inversores</t>
  </si>
  <si>
    <t>Dividend payments reinforce shareholder confidence.</t>
  </si>
  <si>
    <t>dividendo, amortización</t>
  </si>
  <si>
    <r>
      <rPr>
        <rFont val="Arial, sans-serif"/>
        <color rgb="FF1155CC"/>
        <sz val="9.0"/>
        <u/>
      </rPr>
      <t>El Blog de Self Bank</t>
    </r>
    <r>
      <rPr>
        <rFont val="Arial, sans-serif"/>
        <color rgb="FF1155CC"/>
        <sz val="15.0"/>
        <u/>
      </rPr>
      <t>REPSOL: El dividendo en efectivo crece cerca del 30% en 2024</t>
    </r>
    <r>
      <rPr>
        <rFont val="Arial, sans-serif"/>
        <color rgb="FF1155CC"/>
        <sz val="11.0"/>
        <u/>
      </rPr>
      <t>REPSOL (BME; REP; ES0173516115) es una multinacional energética y petroquímica española, con sede social en Madrid, que fue fundada en 1987.</t>
    </r>
    <r>
      <rPr>
        <rFont val="Arial, sans-serif"/>
        <color rgb="FF1155CC"/>
        <sz val="12.0"/>
        <u/>
      </rPr>
      <t>.</t>
    </r>
    <r>
      <rPr>
        <rFont val="Arial, sans-serif"/>
        <color rgb="FF1155CC"/>
        <sz val="11.0"/>
        <u/>
      </rPr>
      <t>20 mar 2024</t>
    </r>
  </si>
  <si>
    <t>El Blog de Self Bank</t>
  </si>
  <si>
    <t>El dividendo en efectivo crece cerca del 30% en 2024</t>
  </si>
  <si>
    <t>El dividendo en efectivo crece cerca del 30% en 2024.</t>
  </si>
  <si>
    <t>Cash dividend grows close to 30% in 2024</t>
  </si>
  <si>
    <t>The cash dividend grows close to 30% in 2024.</t>
  </si>
  <si>
    <t>Repsol dividend, financial growth</t>
  </si>
  <si>
    <t>Dividendo Repsol, crecimiento financiero</t>
  </si>
  <si>
    <t>A rising dividend suggests strong financial performance and stability.</t>
  </si>
  <si>
    <t>dividendo, crecimiento</t>
  </si>
  <si>
    <t>Neutral to slightly positive, as it highlights financial growth.</t>
  </si>
  <si>
    <t>De neutral a ligeramente positivo, ya que destaca el crecimiento financiero.</t>
  </si>
  <si>
    <r>
      <rPr>
        <rFont val="Arial, sans-serif"/>
        <color rgb="FF1155CC"/>
        <sz val="9.0"/>
        <u/>
      </rPr>
      <t>OkDiario</t>
    </r>
    <r>
      <rPr>
        <rFont val="Arial, sans-serif"/>
        <color rgb="FF1155CC"/>
        <sz val="15.0"/>
        <u/>
      </rPr>
      <t>¿Qué coches pueden repostar con gasolina renovable de Repsol?</t>
    </r>
    <r>
      <rPr>
        <rFont val="Arial, sans-serif"/>
        <color rgb="FF1155CC"/>
        <sz val="11.0"/>
        <u/>
      </rPr>
      <t>La gasolina renovable es una opción de lo más interesante en la que Repsol está trabajando y que merece la pena conocer por los usuarios.</t>
    </r>
    <r>
      <rPr>
        <rFont val="Arial, sans-serif"/>
        <color rgb="FF1155CC"/>
        <sz val="12.0"/>
        <u/>
      </rPr>
      <t>.</t>
    </r>
    <r>
      <rPr>
        <rFont val="Arial, sans-serif"/>
        <color rgb="FF1155CC"/>
        <sz val="11.0"/>
        <u/>
      </rPr>
      <t>20 mar 2024</t>
    </r>
  </si>
  <si>
    <t>¿Qué coches pueden repostar con gasolina renovable de Repsol?</t>
  </si>
  <si>
    <t>La gasolina renovable es una opción de lo más interesante en la que Repsol está trabajando y que merece la pena conocer por los usuarios.</t>
  </si>
  <si>
    <t>What cars can be refueled with Repsol renewable gasoline?</t>
  </si>
  <si>
    <t>Renewable gasoline is a very interesting option that Repsol is working on and that is worth knowing about for users.</t>
  </si>
  <si>
    <t>Promoting renewable fuel options supports Repsol’s environmental strategy.</t>
  </si>
  <si>
    <t>gasolina renovable, usuarios</t>
  </si>
  <si>
    <t>Positive sentiment due to Repsol's innovation in renewable fuels.</t>
  </si>
  <si>
    <t>Sentimiento positivo por la innovación de Repsol en combustibles renovables.</t>
  </si>
  <si>
    <r>
      <rPr>
        <rFont val="Arial, sans-serif"/>
        <color rgb="FF1155CC"/>
        <sz val="9.0"/>
        <u/>
      </rPr>
      <t>Cinco Días</t>
    </r>
    <r>
      <rPr>
        <rFont val="Arial, sans-serif"/>
        <color rgb="FF1155CC"/>
        <sz val="15.0"/>
        <u/>
      </rPr>
      <t>Repsol reconquista los 15 euros por acción de la mano del dividendo</t>
    </r>
    <r>
      <rPr>
        <rFont val="Arial, sans-serif"/>
        <color rgb="FF1155CC"/>
        <sz val="11.0"/>
        <u/>
      </rPr>
      <t>Repsol mantiene el impulso alcista que tomó con la presentación de resultados y del plan estratégico el pasado 22 de febrero, y acumula desde entonces un...</t>
    </r>
    <r>
      <rPr>
        <rFont val="Arial, sans-serif"/>
        <color rgb="FF1155CC"/>
        <sz val="12.0"/>
        <u/>
      </rPr>
      <t>.</t>
    </r>
    <r>
      <rPr>
        <rFont val="Arial, sans-serif"/>
        <color rgb="FF1155CC"/>
        <sz val="11.0"/>
        <u/>
      </rPr>
      <t>20 mar 2024</t>
    </r>
  </si>
  <si>
    <t>Repsol reconquista los 15 euros por acción de la mano del dividendo</t>
  </si>
  <si>
    <t>Repsol mantiene el impulso alcista que tomó con la presentación de resultados y del plan estratégico el pasado 22 de febrero, y acumula desde entonces un....</t>
  </si>
  <si>
    <t>Repsol regains 15 euros per share thanks to the dividend</t>
  </si>
  <si>
    <t>Repsol maintains the upward momentum it took with the presentation of results and the strategic plan on February 22, and since then has accumulated a...</t>
  </si>
  <si>
    <t>Repsol stock price, energy sector</t>
  </si>
  <si>
    <t>Cotización de las acciones de Repsol, sector energético</t>
  </si>
  <si>
    <t>A rising stock price reinforces Repsol’s financial stability and market confidence.</t>
  </si>
  <si>
    <t>dividendo, impulso alcista</t>
  </si>
  <si>
    <t>Neutral to slightly positive, as it highlights financial performance.</t>
  </si>
  <si>
    <t>De neutral a ligeramente positivo, ya que destaca el desempeño financiero.</t>
  </si>
  <si>
    <r>
      <rPr>
        <rFont val="Arial, sans-serif"/>
        <color rgb="FF1155CC"/>
        <sz val="9.0"/>
        <u/>
      </rPr>
      <t>Cadena SER</t>
    </r>
    <r>
      <rPr>
        <rFont val="Arial, sans-serif"/>
        <color rgb="FF1155CC"/>
        <sz val="15.0"/>
        <u/>
      </rPr>
      <t>La ministra Teresa Ribera se declara "neutra" en la demanda de Iberdrola contra Repsol y defiende una agenda verde sin "confusión"</t>
    </r>
    <r>
      <rPr>
        <rFont val="Arial, sans-serif"/>
        <color rgb="FF1155CC"/>
        <sz val="11.0"/>
        <u/>
      </rPr>
      <t>La ministra se ha desplazado a Euskadi este miércoles para asistir al acto de inauguración de WindEurope 2024, la principal cita del sector eólico europeo...</t>
    </r>
    <r>
      <rPr>
        <rFont val="Arial, sans-serif"/>
        <color rgb="FF1155CC"/>
        <sz val="12.0"/>
        <u/>
      </rPr>
      <t>.</t>
    </r>
    <r>
      <rPr>
        <rFont val="Arial, sans-serif"/>
        <color rgb="FF1155CC"/>
        <sz val="11.0"/>
        <u/>
      </rPr>
      <t>20 mar 2024</t>
    </r>
  </si>
  <si>
    <t>La ministra Teresa Ribera se declara "neutra" en la demanda de Iberdrola contra Repsol y defiende una agenda verde sin "confusión"</t>
  </si>
  <si>
    <t>La ministra se ha desplazado a Euskadi este miércoles para asistir al acto de inauguración de WindEurope 2024, la principal cita del sector eólico europeo.</t>
  </si>
  <si>
    <t>Minister Teresa Ribera declares herself "neutral" in Iberdrola's lawsuit against Repsol and defends a green agenda without "confusion"</t>
  </si>
  <si>
    <t>The minister traveled to the Basque Country this Wednesday to attend the opening ceremony of WindEurope 2024, the main event for the European wind sector.</t>
  </si>
  <si>
    <t>Repsol legal dispute, government neutrality</t>
  </si>
  <si>
    <t>Disputa jurídica de Repsol, neutralidad gubernamental</t>
  </si>
  <si>
    <t>Government neutrality in legal disputes may limit reputational impact.</t>
  </si>
  <si>
    <r>
      <rPr>
        <rFont val="Arial, sans-serif"/>
        <color rgb="FF1155CC"/>
        <sz val="9.0"/>
        <u/>
      </rPr>
      <t>Guía Repsol</t>
    </r>
    <r>
      <rPr>
        <rFont val="Arial, sans-serif"/>
        <color rgb="FF1155CC"/>
        <sz val="15.0"/>
        <u/>
      </rPr>
      <t>Quinta San Francisco (Castrojeriz, Burgos): el lujo austero que revive al peregrino</t>
    </r>
    <r>
      <rPr>
        <rFont val="Arial, sans-serif"/>
        <color rgb="FF1155CC"/>
        <sz val="11.0"/>
        <u/>
      </rPr>
      <t>Todos los caprichos que pueda desear un peregrino del Camino Francés los tiene en la 'Quinta de San Francisco', un delicioso hotel rural situado en...</t>
    </r>
    <r>
      <rPr>
        <rFont val="Arial, sans-serif"/>
        <color rgb="FF1155CC"/>
        <sz val="12.0"/>
        <u/>
      </rPr>
      <t>.</t>
    </r>
    <r>
      <rPr>
        <rFont val="Arial, sans-serif"/>
        <color rgb="FF1155CC"/>
        <sz val="11.0"/>
        <u/>
      </rPr>
      <t>20 mar 2024</t>
    </r>
  </si>
  <si>
    <t>Quinta San Francisco (Castrojeriz, Burgos): el lujo austero que revive al peregrino</t>
  </si>
  <si>
    <t>Todos los caprichos que pueda desear un peregrino del Camino Francés los tiene en la 'Quinta de San Francisco', un delicioso hotel rural situado en....</t>
  </si>
  <si>
    <t>Quinta San Francisco (Castrojeriz, Burgos): the austere luxury that revives the pilgrim</t>
  </si>
  <si>
    <t>All the whims that a pilgrim of the French Way could wish for are available at the 'Quinta de San Francisco', a delicious rural hotel located in...</t>
  </si>
  <si>
    <r>
      <rPr>
        <rFont val="Arial, sans-serif"/>
        <color rgb="FF1155CC"/>
        <sz val="9.0"/>
        <u/>
      </rPr>
      <t>Lacontradejaén</t>
    </r>
    <r>
      <rPr>
        <rFont val="Arial, sans-serif"/>
        <color rgb="FF1155CC"/>
        <sz val="15.0"/>
        <u/>
      </rPr>
      <t>El Restaurante Acebuche, recomendado en la Guía Repsol</t>
    </r>
    <r>
      <rPr>
        <rFont val="Arial, sans-serif"/>
        <color rgb="FF1155CC"/>
        <sz val="11.0"/>
        <u/>
      </rPr>
      <t>La apuesta gastronómica del Hotel Puerta de la Luna de Baeza, abierto hace un año, sigue cosechando éxitos y entra a formar parte de la prestigiosa guía.</t>
    </r>
    <r>
      <rPr>
        <rFont val="Arial, sans-serif"/>
        <color rgb="FF1155CC"/>
        <sz val="12.0"/>
        <u/>
      </rPr>
      <t>.</t>
    </r>
    <r>
      <rPr>
        <rFont val="Arial, sans-serif"/>
        <color rgb="FF1155CC"/>
        <sz val="11.0"/>
        <u/>
      </rPr>
      <t>20 mar 2024</t>
    </r>
  </si>
  <si>
    <t>Lacontradejaén</t>
  </si>
  <si>
    <t>El Restaurante Acebuche, recomendado en la Guía Repsol</t>
  </si>
  <si>
    <t>La apuesta gastronómica del Hotel Puerta de la Luna de Baeza, abierto hace un año, sigue cosechando éxitos y entra a formar parte de la prestigiosa guía.</t>
  </si>
  <si>
    <t>The Acebuche Restaurant, recommended in the Repsol Guide</t>
  </si>
  <si>
    <t>The gastronomic commitment of the Hotel Puerta de la Luna in Baeza, opened a year ago, continues to be successful and is now part of the prestigious guide.</t>
  </si>
  <si>
    <r>
      <rPr>
        <rFont val="Arial, sans-serif"/>
        <color rgb="FF1155CC"/>
        <sz val="9.0"/>
        <u/>
      </rPr>
      <t>El Correo</t>
    </r>
    <r>
      <rPr>
        <rFont val="Arial, sans-serif"/>
        <color rgb="FF1155CC"/>
        <sz val="15.0"/>
        <u/>
      </rPr>
      <t>La apariencia como marketing: del greenwashing al pinkwashing</t>
    </r>
    <r>
      <rPr>
        <rFont val="Arial, sans-serif"/>
        <color rgb="FF1155CC"/>
        <sz val="11.0"/>
        <u/>
      </rPr>
      <t>El blanqueo de empresas, instituciones y organismos no tiene como única misión presentarse como respetuoso con el medio ambiente.</t>
    </r>
    <r>
      <rPr>
        <rFont val="Arial, sans-serif"/>
        <color rgb="FF1155CC"/>
        <sz val="12.0"/>
        <u/>
      </rPr>
      <t>.</t>
    </r>
    <r>
      <rPr>
        <rFont val="Arial, sans-serif"/>
        <color rgb="FF1155CC"/>
        <sz val="11.0"/>
        <u/>
      </rPr>
      <t>20 mar 2024</t>
    </r>
  </si>
  <si>
    <t>La apariencia como marketing: del greenwashing al pinkwashing</t>
  </si>
  <si>
    <t>El blanqueo de empresas, instituciones y organismos no tiene como única misión presentarse como respetuoso con el medio ambiente.</t>
  </si>
  <si>
    <t>Appearance as marketing: from greenwashing to pinkwashing</t>
  </si>
  <si>
    <t>The laundering of companies, institutions and organizations does not have the sole mission of presenting themselves as respectful of the environment.</t>
  </si>
  <si>
    <t>Corporate Reputation</t>
  </si>
  <si>
    <t>Greenwashing, corporate activism</t>
  </si>
  <si>
    <t>Lavado verde, activismo empresarial</t>
  </si>
  <si>
    <t>Perceived greenwashing accusations could negatively impact Repsol’s sustainability credibility.</t>
  </si>
  <si>
    <t>greenwashing, pinkwashing</t>
  </si>
  <si>
    <t>Negative sentiment due to criticism of marketing practices.</t>
  </si>
  <si>
    <t>Sentimiento negativo debido a críticas a las prácticas de marketing.</t>
  </si>
  <si>
    <r>
      <rPr>
        <rFont val="Arial, sans-serif"/>
        <color rgb="FF1155CC"/>
        <sz val="9.0"/>
        <u/>
      </rPr>
      <t>Neomotor</t>
    </r>
    <r>
      <rPr>
        <rFont val="Arial, sans-serif"/>
        <color rgb="FF1155CC"/>
        <sz val="15.0"/>
        <u/>
      </rPr>
      <t>El GLP sigue sumando adeptos en España, con un crecimiento del 25% en 2023</t>
    </r>
    <r>
      <rPr>
        <rFont val="Arial, sans-serif"/>
        <color rgb="FF1155CC"/>
        <sz val="11.0"/>
        <u/>
      </rPr>
      <t>Las conversiones de coches al gas licuado del petróleo (GLP) crecieron en un 25% en 2023, con 100.000 transformaciones, según ha informado Eco Moving,...</t>
    </r>
    <r>
      <rPr>
        <rFont val="Arial, sans-serif"/>
        <color rgb="FF1155CC"/>
        <sz val="12.0"/>
        <u/>
      </rPr>
      <t>.</t>
    </r>
    <r>
      <rPr>
        <rFont val="Arial, sans-serif"/>
        <color rgb="FF1155CC"/>
        <sz val="11.0"/>
        <u/>
      </rPr>
      <t>20 mar 2024</t>
    </r>
  </si>
  <si>
    <t>El GLP sigue sumando adeptos en España, con un crecimiento del 25% en 2023</t>
  </si>
  <si>
    <t>Las conversiones de coches al gas licuado del petróleo (GLP) crecieron en un 25% en 2023, con 100.000 transformaciones, según ha informado Eco Moving,....</t>
  </si>
  <si>
    <t>LPG continues to gain followers in Spain, with a growth of 25% in 2023</t>
  </si>
  <si>
    <t>Car conversions to liquefied petroleum gas (LPG) grew by 25% in 2023, with 100,000 conversions, as reported by Eco Moving....</t>
  </si>
  <si>
    <t>General fuel trends do not impact Repsol’s corporate perception.</t>
  </si>
  <si>
    <r>
      <rPr>
        <rFont val="Arial, sans-serif"/>
        <color rgb="FF1155CC"/>
        <sz val="9.0"/>
        <u/>
      </rPr>
      <t>InfoPack Online</t>
    </r>
    <r>
      <rPr>
        <rFont val="Arial, sans-serif"/>
        <color rgb="FF1155CC"/>
        <sz val="15.0"/>
        <u/>
      </rPr>
      <t>Repsol lanza sus nuevos envases de lubricantes con un 60% de contenido de plástico reciclado</t>
    </r>
    <r>
      <rPr>
        <rFont val="Arial, sans-serif"/>
        <color rgb="FF1155CC"/>
        <sz val="11.0"/>
        <u/>
      </rPr>
      <t>Con estos nuevos envases la compañía multienergética logra una reducción de un 25% de la huella de carbono respecto a los envases anteriores. Repsol lanza...</t>
    </r>
    <r>
      <rPr>
        <rFont val="Arial, sans-serif"/>
        <color rgb="FF1155CC"/>
        <sz val="12.0"/>
        <u/>
      </rPr>
      <t>.</t>
    </r>
    <r>
      <rPr>
        <rFont val="Arial, sans-serif"/>
        <color rgb="FF1155CC"/>
        <sz val="11.0"/>
        <u/>
      </rPr>
      <t>21 mar 2024</t>
    </r>
  </si>
  <si>
    <t>InfoPack Online</t>
  </si>
  <si>
    <t>Repsol lanza sus nuevos envases de lubricantes con un 60% de contenido de plástico reciclado</t>
  </si>
  <si>
    <t>Con estos nuevos envases la compañía multienergética logra una reducción de un 25% de la huella de carbono respecto a los envases anteriores.</t>
  </si>
  <si>
    <t>Repsol launches its new lubricant packaging with 60% recycled plastic content</t>
  </si>
  <si>
    <t>With these new containers, the multi-energy company achieves a 25% reduction in its carbon footprint compared to previous containers.</t>
  </si>
  <si>
    <t>envases, plástico reciclado</t>
  </si>
  <si>
    <r>
      <rPr>
        <rFont val="Arial, sans-serif"/>
        <color rgb="FF1155CC"/>
        <sz val="9.0"/>
        <u/>
      </rPr>
      <t>Estrategias de Inversión</t>
    </r>
    <r>
      <rPr>
        <rFont val="Arial, sans-serif"/>
        <color rgb="FF1155CC"/>
        <sz val="15.0"/>
        <u/>
      </rPr>
      <t>Repsol propone un dividendo de 0,45 euros por acción para el próximo enero</t>
    </r>
    <r>
      <rPr>
        <rFont val="Arial, sans-serif"/>
        <color rgb="FF1155CC"/>
        <sz val="11.0"/>
        <u/>
      </rPr>
      <t>Repsol convoca junta el 10 de mayo para la distribución de un dividendo de 0,45 euros brutos por acción a abonar en enero de 2025. Repsol también propondrá...</t>
    </r>
    <r>
      <rPr>
        <rFont val="Arial, sans-serif"/>
        <color rgb="FF1155CC"/>
        <sz val="12.0"/>
        <u/>
      </rPr>
      <t>.</t>
    </r>
    <r>
      <rPr>
        <rFont val="Arial, sans-serif"/>
        <color rgb="FF1155CC"/>
        <sz val="11.0"/>
        <u/>
      </rPr>
      <t>21 mar 2024</t>
    </r>
  </si>
  <si>
    <t>Repsol propone un dividendo de 0,45 euros por acción para el próximo enero</t>
  </si>
  <si>
    <t>Repsol convoca junta el 10 de mayo para la distribución de un dividendo de 0,45 euros brutos por acción a abonar en enero de 2025. Repsol también propondrá....</t>
  </si>
  <si>
    <t>Repsol proposes a dividend of 0.45 euros per share for next January</t>
  </si>
  <si>
    <t>Repsol calls a meeting on May 10 for the distribution of a dividend of 0.45 euros gross per share to be paid in January 2025. Repsol will also propose...</t>
  </si>
  <si>
    <t>Repsol dividend, shareholder returns</t>
  </si>
  <si>
    <t>Dividendo Repsol, retorno al accionista</t>
  </si>
  <si>
    <r>
      <rPr>
        <rFont val="Arial, sans-serif"/>
        <color rgb="FF1155CC"/>
        <sz val="9.0"/>
        <u/>
      </rPr>
      <t>El Economista</t>
    </r>
    <r>
      <rPr>
        <rFont val="Arial, sans-serif"/>
        <color rgb="FF1155CC"/>
        <sz val="15.0"/>
        <u/>
      </rPr>
      <t>Repsol explora unirse al fondo danés CIP para producir hidrógeno en España pese al choque fiscal con el Gobierno</t>
    </r>
    <r>
      <rPr>
        <rFont val="Arial, sans-serif"/>
        <color rgb="FF1155CC"/>
        <sz val="11.0"/>
        <u/>
      </rPr>
      <t>Repsol está analizando aliarse con CIP (Copenhagen Infrastructure Partners) para producir hidrógeno verde en España.</t>
    </r>
    <r>
      <rPr>
        <rFont val="Arial, sans-serif"/>
        <color rgb="FF1155CC"/>
        <sz val="12.0"/>
        <u/>
      </rPr>
      <t>.</t>
    </r>
    <r>
      <rPr>
        <rFont val="Arial, sans-serif"/>
        <color rgb="FF1155CC"/>
        <sz val="11.0"/>
        <u/>
      </rPr>
      <t>21 mar 2024</t>
    </r>
  </si>
  <si>
    <t>Repsol explora unirse al fondo danés CIP para producir hidrógeno en España pese al choque fiscal con el Gobierno</t>
  </si>
  <si>
    <t>Repsol está analizando aliarse con CIP (Copenhagen Infrastructure Partners) para producir hidrógeno verde en España.</t>
  </si>
  <si>
    <t>Repsol explores joining the Danish CIP fund to produce hydrogen in Spain despite the fiscal clash with the Government</t>
  </si>
  <si>
    <t>Repsol is analyzing an alliance with CIP (Copenhagen Infrastructure Partners) to produce green hydrogen in Spain.</t>
  </si>
  <si>
    <t>Repsol renewable investment, sustainability</t>
  </si>
  <si>
    <t>Repsol inversión renovable, sostenibilidad</t>
  </si>
  <si>
    <t>Exploring renewable investments supports Repsol’s green energy transition.</t>
  </si>
  <si>
    <t>hidrógeno verde, CIP</t>
  </si>
  <si>
    <r>
      <rPr>
        <rFont val="Arial, sans-serif"/>
        <color rgb="FF1155CC"/>
        <sz val="9.0"/>
        <u/>
      </rPr>
      <t>El Independiente</t>
    </r>
    <r>
      <rPr>
        <rFont val="Arial, sans-serif"/>
        <color rgb="FF1155CC"/>
        <sz val="15.0"/>
        <u/>
      </rPr>
      <t>Imaz (Repsol) entra al cuerpo a cuerpo con Galán (Iberdrola): "Nosotros no dependemos del BOE"</t>
    </r>
    <r>
      <rPr>
        <rFont val="Arial, sans-serif"/>
        <color rgb="FF1155CC"/>
        <sz val="11.0"/>
        <u/>
      </rPr>
      <t>Josu Jon Imaz, CEO de Repsol, ha entrado de lleno en la guerra contra Iberdrola. La demanda interpuesta por la mayor eléctrica española, que le acusa de.</t>
    </r>
    <r>
      <rPr>
        <rFont val="Arial, sans-serif"/>
        <color rgb="FF1155CC"/>
        <sz val="12.0"/>
        <u/>
      </rPr>
      <t>.</t>
    </r>
    <r>
      <rPr>
        <rFont val="Arial, sans-serif"/>
        <color rgb="FF1155CC"/>
        <sz val="11.0"/>
        <u/>
      </rPr>
      <t>21 mar 2024</t>
    </r>
  </si>
  <si>
    <t>Imaz (Repsol) entra al cuerpo a cuerpo con Galán (Iberdrola): "Nosotros no dependemos del BOE"</t>
  </si>
  <si>
    <t>Josu Jon Imaz, CEO de Repsol, ha entrado de lleno en la guerra contra Iberdrola. La demanda interpuesta por la mayor eléctrica española, que le acusa de..</t>
  </si>
  <si>
    <t>Imaz (Repsol) enters the melee with Galán (Iberdrola): "We do not depend on the BOE"</t>
  </si>
  <si>
    <t>Josu Jon Imaz, CEO of Repsol, has fully entered the war against Iberdrola. The lawsuit filed by the largest Spanish electricity company, which accuses it of...</t>
  </si>
  <si>
    <t>Repsol vs. Iberdrola, energy sector dispute</t>
  </si>
  <si>
    <t>Repsol vs. Iberdrola, disputa del sector energético</t>
  </si>
  <si>
    <t>Ongoing public disputes with competitors can harm Repsol’s reputation.</t>
  </si>
  <si>
    <t>demanda, guerra</t>
  </si>
  <si>
    <t>Negative sentiment due to legal and competitive tensions.</t>
  </si>
  <si>
    <t>Sentimiento negativo debido a tensiones legales y competitivas.</t>
  </si>
  <si>
    <r>
      <rPr>
        <rFont val="Arial, sans-serif"/>
        <color rgb="FF1155CC"/>
        <sz val="9.0"/>
        <u/>
      </rPr>
      <t>Cinco Días</t>
    </r>
    <r>
      <rPr>
        <rFont val="Arial, sans-serif"/>
        <color rgb="FF1155CC"/>
        <sz val="15.0"/>
        <u/>
      </rPr>
      <t>Josu Jon Imaz arremete contra Teresa Ribera, a la que acusa de no defender a la industria</t>
    </r>
    <r>
      <rPr>
        <rFont val="Arial, sans-serif"/>
        <color rgb="FF1155CC"/>
        <sz val="11.0"/>
        <u/>
      </rPr>
      <t>El consejero delegado de Repsol asegura que la demanda por 'greenwashing' presentada por Iberdrola “carece de fundamento jurídico”</t>
    </r>
    <r>
      <rPr>
        <rFont val="Arial, sans-serif"/>
        <color rgb="FF1155CC"/>
        <sz val="12.0"/>
        <u/>
      </rPr>
      <t>.</t>
    </r>
    <r>
      <rPr>
        <rFont val="Arial, sans-serif"/>
        <color rgb="FF1155CC"/>
        <sz val="11.0"/>
        <u/>
      </rPr>
      <t>21 mar 2024</t>
    </r>
  </si>
  <si>
    <t>Josu Jon Imaz arremete contra Teresa Ribera, a la que acusa de no defender a la industria</t>
  </si>
  <si>
    <t>El consejero delegado de Repsol asegura que la demanda por 'greenwashing' presentada por Iberdrola “carece de fundamento jurídico”.</t>
  </si>
  <si>
    <t>Josu Jon Imaz attacks Teresa Ribera, whom he accuses of not defending the industry</t>
  </si>
  <si>
    <t>The CEO of Repsol assures that the lawsuit for 'greenwashing' presented by Iberdrola “lacks legal basis.”</t>
  </si>
  <si>
    <t>Repsol legal dispute, government relations</t>
  </si>
  <si>
    <t>Disputa jurídica Repsol, relaciones gubernamentales</t>
  </si>
  <si>
    <t>Conflict with government officials could impact Repsol’s public relations.</t>
  </si>
  <si>
    <t>demanda, greenwashing</t>
  </si>
  <si>
    <r>
      <rPr>
        <rFont val="Arial, sans-serif"/>
        <color rgb="FF1155CC"/>
        <sz val="9.0"/>
        <u/>
      </rPr>
      <t>EITB</t>
    </r>
    <r>
      <rPr>
        <rFont val="Arial, sans-serif"/>
        <color rgb="FF1155CC"/>
        <sz val="15.0"/>
        <u/>
      </rPr>
      <t>Vídeo: Imaz (Repsol) a la ministra Teresa Ribera: ¿Quiere que cerremos las refinerías?</t>
    </r>
    <r>
      <rPr>
        <rFont val="Arial, sans-serif"/>
        <color rgb="FF1155CC"/>
        <sz val="11.0"/>
        <u/>
      </rPr>
      <t>El consejero delegado de la empresa petrolera se ha dirigido a la ministra de Transición Ecológica para asegurar que Repsol se "revelará contra aquel que ve...</t>
    </r>
    <r>
      <rPr>
        <rFont val="Arial, sans-serif"/>
        <color rgb="FF1155CC"/>
        <sz val="12.0"/>
        <u/>
      </rPr>
      <t>.</t>
    </r>
    <r>
      <rPr>
        <rFont val="Arial, sans-serif"/>
        <color rgb="FF1155CC"/>
        <sz val="11.0"/>
        <u/>
      </rPr>
      <t>21 mar 2024</t>
    </r>
  </si>
  <si>
    <t>¿Quiere que cerremos las refinerías?</t>
  </si>
  <si>
    <t>El consejero delegado de la empresa petrolera se ha dirigido a la ministra de Transición Ecológica para asegurar que Repsol se "revelará contra aquel que ve....</t>
  </si>
  <si>
    <t>Do you want us to close the refineries?</t>
  </si>
  <si>
    <t>The CEO of the oil company has addressed the Minister of Ecological Transition to ensure that Repsol will "revolt against those who see...</t>
  </si>
  <si>
    <t>Defending operations amidst regulatory pressure maintains Repsol’s stance in energy policy.</t>
  </si>
  <si>
    <t>refinerías, ministra</t>
  </si>
  <si>
    <t>Negative sentiment due to political and competitive tensions.</t>
  </si>
  <si>
    <t>Sentimiento negativo debido a tensiones políticas y competitivas.</t>
  </si>
  <si>
    <r>
      <rPr>
        <rFont val="Arial, sans-serif"/>
        <color rgb="FF1155CC"/>
        <sz val="9.0"/>
        <u/>
      </rPr>
      <t>Hispanidad</t>
    </r>
    <r>
      <rPr>
        <rFont val="Arial, sans-serif"/>
        <color rgb="FF1155CC"/>
        <sz val="15.0"/>
        <u/>
      </rPr>
      <t>El CEO de Repsol, Josu Jon Imaz, pierde la paciencia y se enfrenta directamente a la vicepresidenta Teresa Ribera, a la que acusa de desindustrializar España</t>
    </r>
    <r>
      <rPr>
        <rFont val="Arial, sans-serif"/>
        <color rgb="FF1155CC"/>
        <sz val="11.0"/>
        <u/>
      </rPr>
      <t>Josu Jon Imaz se ha rebelado contra Teresa Ribera e Ignacio S. Galán, después de que la vicepresidenta ecológica iniciara su campaña para Bruselas apoyando...</t>
    </r>
    <r>
      <rPr>
        <rFont val="Arial, sans-serif"/>
        <color rgb="FF1155CC"/>
        <sz val="12.0"/>
        <u/>
      </rPr>
      <t>.</t>
    </r>
    <r>
      <rPr>
        <rFont val="Arial, sans-serif"/>
        <color rgb="FF1155CC"/>
        <sz val="11.0"/>
        <u/>
      </rPr>
      <t>21 mar 2024</t>
    </r>
  </si>
  <si>
    <t>El CEO de Repsol, Josu Jon Imaz, pierde la paciencia y se enfrenta directamente a la vicepresidenta Teresa Ribera, a la que acusa de desindustrializar España</t>
  </si>
  <si>
    <t>El CEO de Repsol, Josu Jon Imaz, pierde la paciencia y se enfrenta directamente a la vicepresidenta Teresa Ribera, a la que acusa de desindustrializar España.</t>
  </si>
  <si>
    <t>The CEO of Repsol, Josu Jon Imaz, loses patience and directly confronts Vice President Teresa Ribera, whom he accuses of deindustrializing Spain</t>
  </si>
  <si>
    <t>The CEO of Repsol, Josu Jon Imaz, loses patience and directly confronts Vice President Teresa Ribera, whom he accuses of deindustrializing Spain.</t>
  </si>
  <si>
    <t>Repsol vs. Iberdrola, energy policy</t>
  </si>
  <si>
    <t>Repsol vs. Iberdrola, política energética</t>
  </si>
  <si>
    <t>Ongoing disputes with regulators may damage Repsol’s standing in policy negotiations.</t>
  </si>
  <si>
    <t>desindustrializar, enfrenta</t>
  </si>
  <si>
    <r>
      <rPr>
        <rFont val="Arial, sans-serif"/>
        <color rgb="FF1155CC"/>
        <sz val="9.0"/>
        <u/>
      </rPr>
      <t>www.fundacionrepsol.com</t>
    </r>
    <r>
      <rPr>
        <rFont val="Arial, sans-serif"/>
        <color rgb="FF1155CC"/>
        <sz val="15.0"/>
        <u/>
      </rPr>
      <t>Expertos debaten sobre el impacto de la economía en el sector energético</t>
    </r>
    <r>
      <rPr>
        <rFont val="Arial, sans-serif"/>
        <color rgb="FF1155CC"/>
        <sz val="11.0"/>
        <u/>
      </rPr>
      <t>Fundación Repsol y Funseam han organizado la jornada "Energía y Economía, un binomio de futuro. World Energy Outlook 2023" en la que se han presentado las...</t>
    </r>
    <r>
      <rPr>
        <rFont val="Arial, sans-serif"/>
        <color rgb="FF1155CC"/>
        <sz val="12.0"/>
        <u/>
      </rPr>
      <t>.</t>
    </r>
    <r>
      <rPr>
        <rFont val="Arial, sans-serif"/>
        <color rgb="FF1155CC"/>
        <sz val="11.0"/>
        <u/>
      </rPr>
      <t>22 mar 2024</t>
    </r>
  </si>
  <si>
    <t>Expertos debaten sobre el impacto de la economía en el sector energético</t>
  </si>
  <si>
    <t>Fundación Repsol y Funseam han organizado la jornada "Energía y Economía, un binomio de futuro. World Energy Outlook 2023" en la que se han presentado las....</t>
  </si>
  <si>
    <t>Experts debate the impact of the economy on the energy sector</t>
  </si>
  <si>
    <t>Repsol Foundation and Funseam have organized the conference "Energy and Economy, a binomial for the future. World Energy Outlook 2023" in which the...</t>
  </si>
  <si>
    <t>Repsol sustainability, energy transition</t>
  </si>
  <si>
    <t>Sostenibilidad Repsol, transición energética</t>
  </si>
  <si>
    <t>Encouraging dialogue on sustainability enhances Repsol’s image as an industry leader.</t>
  </si>
  <si>
    <t>energía, economía</t>
  </si>
  <si>
    <t>Neutral to slightly positive, as it highlights Repsol's involvement in energy discussions.</t>
  </si>
  <si>
    <t>De neutral a ligeramente positivo, ya que destaca la implicación de Repsol en las discusiones sobre energía.</t>
  </si>
  <si>
    <r>
      <rPr>
        <rFont val="Arial, sans-serif"/>
        <color rgb="FF1155CC"/>
        <sz val="9.0"/>
        <u/>
      </rPr>
      <t>El Español</t>
    </r>
    <r>
      <rPr>
        <rFont val="Arial, sans-serif"/>
        <color rgb="FF1155CC"/>
        <sz val="15.0"/>
        <u/>
      </rPr>
      <t>La discoteca reconvertida en restaurante que la Guía Repsol recomienda por tercer año consecutivo en la provincia de Valladolid</t>
    </r>
    <r>
      <rPr>
        <rFont val="Arial, sans-serif"/>
        <color rgb="FF1155CC"/>
        <sz val="11.0"/>
        <u/>
      </rPr>
      <t>El dueño afirma que suman, de recomendación, los años 2022, 2023 y 2024 y asegura que le gustaría conseguir un sol de la prestigiosa guía.</t>
    </r>
    <r>
      <rPr>
        <rFont val="Arial, sans-serif"/>
        <color rgb="FF1155CC"/>
        <sz val="12.0"/>
        <u/>
      </rPr>
      <t>.</t>
    </r>
    <r>
      <rPr>
        <rFont val="Arial, sans-serif"/>
        <color rgb="FF1155CC"/>
        <sz val="11.0"/>
        <u/>
      </rPr>
      <t>21 mar 2024</t>
    </r>
  </si>
  <si>
    <t>La discoteca reconvertida en restaurante que la Guía Repsol recomienda por tercer año consecutivo en la provincia de Valladolid</t>
  </si>
  <si>
    <t>El dueño afirma que suman, de recomendación, los años 2022, 2023 y 2024 y asegura que le gustaría conseguir un sol de la prestigiosa guía.</t>
  </si>
  <si>
    <t>The nightclub converted into a restaurant that the Repsol Guide recommends for the third consecutive year in the province of Valladolid</t>
  </si>
  <si>
    <t>The owner states that the recommended years are 2022, 2023 and 2024 and assures that he would like to get a sun from the prestigious guide.</t>
  </si>
  <si>
    <r>
      <rPr>
        <rFont val="Arial, sans-serif"/>
        <color rgb="FF1155CC"/>
        <sz val="9.0"/>
        <u/>
      </rPr>
      <t>Vanitatis</t>
    </r>
    <r>
      <rPr>
        <rFont val="Arial, sans-serif"/>
        <color rgb="FF1155CC"/>
        <sz val="15.0"/>
        <u/>
      </rPr>
      <t>Así de bien se come en Bistronómika, Chispa y Per Se, tres de los nuevos soles de la capital</t>
    </r>
    <r>
      <rPr>
        <rFont val="Arial, sans-serif"/>
        <color rgb="FF1155CC"/>
        <sz val="11.0"/>
        <u/>
      </rPr>
      <t>Compartimos mesa —y sobremesa— con los artífices de Bistronómika, Chispa Bistró y Per Se Bistró. ¿Por qué? Porque estos tres restaurantes madrileños acaban...</t>
    </r>
    <r>
      <rPr>
        <rFont val="Arial, sans-serif"/>
        <color rgb="FF1155CC"/>
        <sz val="12.0"/>
        <u/>
      </rPr>
      <t>.</t>
    </r>
    <r>
      <rPr>
        <rFont val="Arial, sans-serif"/>
        <color rgb="FF1155CC"/>
        <sz val="11.0"/>
        <u/>
      </rPr>
      <t>21 mar 2024</t>
    </r>
  </si>
  <si>
    <t>Así de bien se come en Bistronómika, Chispa y Per Se, tres de los nuevos soles de la capital</t>
  </si>
  <si>
    <t>Compartimos mesa —y sobremesa— con los artífices de Bistronómika, Chispa Bistró y Per Se Bistró. ¿Por qué? Porque estos tres restaurantes madrileños acaban....</t>
  </si>
  <si>
    <t>This is how well the food is at Bistronómika, Chispa and Per Se, three of the new suns of the capital</t>
  </si>
  <si>
    <t>We shared a table—and after dinner—with the creators of Bistronómika, Chispa Bistró and Per Se Bistró. Because? Because these three Madrid restaurants end up...</t>
  </si>
  <si>
    <r>
      <rPr>
        <rFont val="Arial, sans-serif"/>
        <color rgb="FF1155CC"/>
        <sz val="9.0"/>
        <u/>
      </rPr>
      <t>Noticias de Gipuzkoa</t>
    </r>
    <r>
      <rPr>
        <rFont val="Arial, sans-serif"/>
        <color rgb="FF1155CC"/>
        <sz val="15.0"/>
        <u/>
      </rPr>
      <t>Josu Jon Imaz a Ribera: "Ministra, ¿quiere que cerremos las refinerías?"</t>
    </r>
    <r>
      <rPr>
        <rFont val="Arial, sans-serif"/>
        <color rgb="FF1155CC"/>
        <sz val="11.0"/>
        <u/>
      </rPr>
      <t>La responsable del Ministerio de Transición Ecológica se había mostrado favorable a la demanda de Iberdrola contra Repsol por 'greenwashing'</t>
    </r>
    <r>
      <rPr>
        <rFont val="Arial, sans-serif"/>
        <color rgb="FF1155CC"/>
        <sz val="12.0"/>
        <u/>
      </rPr>
      <t>.</t>
    </r>
    <r>
      <rPr>
        <rFont val="Arial, sans-serif"/>
        <color rgb="FF1155CC"/>
        <sz val="11.0"/>
        <u/>
      </rPr>
      <t>21 mar 2024</t>
    </r>
  </si>
  <si>
    <t>Josu Jon Imaz a Ribera: "Ministra, ¿quiere que cerremos las refinerías?"</t>
  </si>
  <si>
    <t>La responsable del Ministerio de Transición Ecológica se había mostrado favorable a la demanda de Iberdrola contra Repsol por 'greenwashing'.</t>
  </si>
  <si>
    <t>Josu Jon Imaz to Ribera: "Minister, do you want us to close the refineries?"</t>
  </si>
  <si>
    <t>The head of the Ministry of Ecological Transition had been favorable to Iberdrola's lawsuit against Repsol for 'greenwashing'.</t>
  </si>
  <si>
    <t>Repsol government dispute, energy transition</t>
  </si>
  <si>
    <t>Disputa del gobierno de Repsol, transición energética</t>
  </si>
  <si>
    <t>Confrontations with policymakers could affect Repsol’s regulatory standing.</t>
  </si>
  <si>
    <t>refinerías, greenwashing</t>
  </si>
  <si>
    <r>
      <rPr>
        <rFont val="Arial, sans-serif"/>
        <color rgb="FF1155CC"/>
        <sz val="9.0"/>
        <u/>
      </rPr>
      <t>El Mundo</t>
    </r>
    <r>
      <rPr>
        <rFont val="Arial, sans-serif"/>
        <color rgb="FF1155CC"/>
        <sz val="15.0"/>
        <u/>
      </rPr>
      <t>Imaz va al choque frontal con Galán y avisa a Ribera: "¿Quiere industria, señora ministra, o cerrar las refinerías que dan 28.000 empleos? Menos ideología y más tecnología"</t>
    </r>
    <r>
      <rPr>
        <rFont val="Arial, sans-serif"/>
        <color rgb="FF1155CC"/>
        <sz val="11.0"/>
        <u/>
      </rPr>
      <t>El consejero delegado de Repsol, Josu Jon Imaz, va al choque contra Iberdrola y Teresa Ribera. Después de que la ministra para la Transición Ecológica se...</t>
    </r>
    <r>
      <rPr>
        <rFont val="Arial, sans-serif"/>
        <color rgb="FF1155CC"/>
        <sz val="12.0"/>
        <u/>
      </rPr>
      <t>.</t>
    </r>
    <r>
      <rPr>
        <rFont val="Arial, sans-serif"/>
        <color rgb="FF1155CC"/>
        <sz val="11.0"/>
        <u/>
      </rPr>
      <t>21 mar 2024</t>
    </r>
  </si>
  <si>
    <t>Imaz va al choque frontal con Galán y avisa a Ribera: "¿Quiere industria, señora ministra, o cerrar las refinerías que dan 28.000 empleos? Menos ideología y más tecnología"</t>
  </si>
  <si>
    <t>"¿Quiere industria, señora ministra, o cerrar las refinerías que dan 28.000 empleos? Menos ideología y más tecnología"</t>
  </si>
  <si>
    <t>Imaz goes to a head-on collision with Galán and warns Ribera: "Do you want industry, Madam Minister, or close the refineries that provide 28,000 jobs? Less ideology and more technology"</t>
  </si>
  <si>
    <t>"Do you want industry, Minister, or to close the refineries that provide 28,000 jobs? Less ideology and more technology"</t>
  </si>
  <si>
    <t>Repsol energy dispute, government conflict</t>
  </si>
  <si>
    <t>Disputa energética de Repsol, conflicto gubernamental</t>
  </si>
  <si>
    <t>Public conflicts with the government may negatively impact Repsol’s corporate image.</t>
  </si>
  <si>
    <t>refinerías, empleos</t>
  </si>
  <si>
    <r>
      <rPr>
        <rFont val="Arial, sans-serif"/>
        <color rgb="FF1155CC"/>
        <sz val="9.0"/>
        <u/>
      </rPr>
      <t>naiz:</t>
    </r>
    <r>
      <rPr>
        <rFont val="Arial, sans-serif"/>
        <color rgb="FF1155CC"/>
        <sz val="15.0"/>
        <u/>
      </rPr>
      <t>Josu Jon Imaz pregunta a Teresa Ribera: «Ministra, ¿quiere que cerremos las refinerías?»</t>
    </r>
    <r>
      <rPr>
        <rFont val="Arial, sans-serif"/>
        <color rgb="FF1155CC"/>
        <sz val="11.0"/>
        <u/>
      </rPr>
      <t>El consejero delegado de Repsol, Josu Jon Imaz, ha cargado en una jornada en la que ha participado este jueves en Madrid contra la vicepresidenta t...</t>
    </r>
    <r>
      <rPr>
        <rFont val="Arial, sans-serif"/>
        <color rgb="FF1155CC"/>
        <sz val="12.0"/>
        <u/>
      </rPr>
      <t>.</t>
    </r>
    <r>
      <rPr>
        <rFont val="Arial, sans-serif"/>
        <color rgb="FF1155CC"/>
        <sz val="11.0"/>
        <u/>
      </rPr>
      <t>21 mar 2024</t>
    </r>
  </si>
  <si>
    <t>"Josu Jon Imaz pregunta a Teresa Ribera: «Ministra, ¿quiere que cerremos las refinerías?»"</t>
  </si>
  <si>
    <t>El consejero delegado de Repsol, Josu Jon Imaz, ha cargado en una jornada en la que ha participado este jueves en Madrid contra la vicepresidenta t....</t>
  </si>
  <si>
    <t>"Josu Jon Imaz asks Teresa Ribera: «Minister, do you want us to close the refineries?»"</t>
  </si>
  <si>
    <t>The CEO of Repsol, Josu Jon Imaz, has charged against the vice president t... in a day in which he participated this Thursday in Madrid.</t>
  </si>
  <si>
    <t>Ongoing regulatory disputes could create challenges for Repsol’s business operations.</t>
  </si>
  <si>
    <r>
      <rPr>
        <rFont val="Arial, sans-serif"/>
        <color rgb="FF1155CC"/>
        <sz val="9.0"/>
        <u/>
      </rPr>
      <t>Confilegal</t>
    </r>
    <r>
      <rPr>
        <rFont val="Arial, sans-serif"/>
        <color rgb="FF1155CC"/>
        <sz val="15.0"/>
        <u/>
      </rPr>
      <t>La batalla legal entre las dos mayores energéticas españolas por una acusación de "greenwashing"</t>
    </r>
    <r>
      <rPr>
        <rFont val="Arial, sans-serif"/>
        <color rgb="FF1155CC"/>
        <sz val="11.0"/>
        <u/>
      </rPr>
      <t>Esta semana Iberdrola presentaba una demanda contra Repsol en el Juzgado de lo Mercantil número 2 de Santander por «competencia desleal y publicidad...</t>
    </r>
    <r>
      <rPr>
        <rFont val="Arial, sans-serif"/>
        <color rgb="FF1155CC"/>
        <sz val="12.0"/>
        <u/>
      </rPr>
      <t>.</t>
    </r>
    <r>
      <rPr>
        <rFont val="Arial, sans-serif"/>
        <color rgb="FF1155CC"/>
        <sz val="11.0"/>
        <u/>
      </rPr>
      <t>21 mar 2024</t>
    </r>
  </si>
  <si>
    <t>La batalla legal entre las dos mayores energéticas españolas por una acusación de "greenwashing"</t>
  </si>
  <si>
    <t>La batalla legal entre las dos mayores energéticas españolas por una acusación de "greenwashing". Esta semana Iberdrola presentaba una demanda contra Repsol en el Juzgado de lo Mercantil número 2 de Santander por «competencia desleal y publicidad....</t>
  </si>
  <si>
    <t>The legal battle between the two largest Spanish energy companies over an accusation of "greenwashing"</t>
  </si>
  <si>
    <t>The legal battle between the two largest Spanish energy companies over an accusation of "greenwashing". This week Iberdrola filed a lawsuit against Repsol in the Commercial Court number 2 of Santander for "unfair competition and advertising...</t>
  </si>
  <si>
    <t>Repsol vs. Iberdrola, legal conflict</t>
  </si>
  <si>
    <t>Repsol vs. Iberdrola, conflicto jurídico</t>
  </si>
  <si>
    <t>Continued legal conflicts could erode trust in Repsol’s sustainability commitments.</t>
  </si>
  <si>
    <t>batalla legal, greenwashing</t>
  </si>
  <si>
    <r>
      <rPr>
        <rFont val="Arial, sans-serif"/>
        <color rgb="FF1155CC"/>
        <sz val="9.0"/>
        <u/>
      </rPr>
      <t>The Objective</t>
    </r>
    <r>
      <rPr>
        <rFont val="Arial, sans-serif"/>
        <color rgb="FF1155CC"/>
        <sz val="15.0"/>
        <u/>
      </rPr>
      <t>Imaz contraataca a Galán tras su demanda: «Están acostumbrados a depender del BOE»</t>
    </r>
    <r>
      <rPr>
        <rFont val="Arial, sans-serif"/>
        <color rgb="FF1155CC"/>
        <sz val="11.0"/>
        <u/>
      </rPr>
      <t>El CEO de Repsol, Josu Jon Imaz, ha roto su silencio tras la demanda de Iberdrola presentada a finales de febrero -y conocida hace escasos días por la.</t>
    </r>
    <r>
      <rPr>
        <rFont val="Arial, sans-serif"/>
        <color rgb="FF1155CC"/>
        <sz val="12.0"/>
        <u/>
      </rPr>
      <t>.</t>
    </r>
    <r>
      <rPr>
        <rFont val="Arial, sans-serif"/>
        <color rgb="FF1155CC"/>
        <sz val="11.0"/>
        <u/>
      </rPr>
      <t>21 mar 2024</t>
    </r>
  </si>
  <si>
    <t>Imaz contraataca a Galán tras su demanda: «Están acostumbrados a depender del BOE»</t>
  </si>
  <si>
    <t>El CEO de Repsol, Josu Jon Imaz, ha roto su silencio tras la demanda de Iberdrola presentada a finales de febrero -y conocida hace escasos días por la..</t>
  </si>
  <si>
    <t>Imaz counterattacks Galán after his demand: "They are used to depending on the BOE"</t>
  </si>
  <si>
    <t>The CEO of Repsol, Josu Jon Imaz, has broken his silence following the Iberdrola lawsuit filed at the end of February - and known a few days ago by the...</t>
  </si>
  <si>
    <t>Disputes between energy giants can affect investor confidence in Repsol.</t>
  </si>
  <si>
    <t>demanda, BOE</t>
  </si>
  <si>
    <r>
      <rPr>
        <rFont val="Arial, sans-serif"/>
        <color rgb="FF1155CC"/>
        <sz val="9.0"/>
        <u/>
      </rPr>
      <t>Motor16</t>
    </r>
    <r>
      <rPr>
        <rFont val="Arial, sans-serif"/>
        <color rgb="FF1155CC"/>
        <sz val="15.0"/>
        <u/>
      </rPr>
      <t>La nueva línea de negocio con la que Cepsa se adelanta a Repsol, BP o Galp y con la que pasa de la gasolina</t>
    </r>
    <r>
      <rPr>
        <rFont val="Arial, sans-serif"/>
        <color rgb="FF1155CC"/>
        <sz val="11.0"/>
        <u/>
      </rPr>
      <t>En un audaz movimiento hacia la sostenibilidad y la vanguardia tecnológica, Cepsa, líder en el sector energético, anuncia la ampliación de su oferta de.</t>
    </r>
    <r>
      <rPr>
        <rFont val="Arial, sans-serif"/>
        <color rgb="FF1155CC"/>
        <sz val="12.0"/>
        <u/>
      </rPr>
      <t>.</t>
    </r>
    <r>
      <rPr>
        <rFont val="Arial, sans-serif"/>
        <color rgb="FF1155CC"/>
        <sz val="11.0"/>
        <u/>
      </rPr>
      <t>21 mar 2024</t>
    </r>
  </si>
  <si>
    <t>La nueva línea de negocio con la que Cepsa se adelanta a Repsol, BP o Galp y con la que pasa de la gasolina</t>
  </si>
  <si>
    <t>En un audaz movimiento hacia la sostenibilidad y la vanguardia tecnológica, Cepsa, líder en el sector energético, anuncia la ampliación de su oferta de..</t>
  </si>
  <si>
    <t>The new line of business with which Cepsa is ahead of Repsol, BP or Galp and with which it moves away from gasoline</t>
  </si>
  <si>
    <t>In a bold move towards sustainability and the technological forefront, Cepsa, a leader in the energy sector, announces the expansion of its offer of...</t>
  </si>
  <si>
    <t>Repsol vs. Cepsa, energy competition</t>
  </si>
  <si>
    <t>Repsol vs. Cepsa, competencia energética</t>
  </si>
  <si>
    <t>Increased competition in renewables could challenge Repsol’s market position.</t>
  </si>
  <si>
    <t>Cepsa, gasolina</t>
  </si>
  <si>
    <t>Slightly negative sentiment due to Repsol being outperformed by Cepsa.</t>
  </si>
  <si>
    <t>Sentimiento ligeramente negativo debido a que Repsol ha sido superado por Cepsa.</t>
  </si>
  <si>
    <r>
      <rPr>
        <rFont val="Arial, sans-serif"/>
        <color rgb="FF1155CC"/>
        <sz val="9.0"/>
        <u/>
      </rPr>
      <t>Moto1Pro</t>
    </r>
    <r>
      <rPr>
        <rFont val="Arial, sans-serif"/>
        <color rgb="FF1155CC"/>
        <sz val="15.0"/>
        <u/>
      </rPr>
      <t>Toni Bou regresa al Campeonato de España de Trial en Gironella</t>
    </r>
    <r>
      <rPr>
        <rFont val="Arial, sans-serif"/>
        <color rgb="FF1155CC"/>
        <sz val="11.0"/>
        <u/>
      </rPr>
      <t>Toni Bou, del Repsol Honda Team, participará en la cita barcelonesa en exclusiva tras cuatro años de ausencia.</t>
    </r>
    <r>
      <rPr>
        <rFont val="Arial, sans-serif"/>
        <color rgb="FF1155CC"/>
        <sz val="12.0"/>
        <u/>
      </rPr>
      <t>.</t>
    </r>
    <r>
      <rPr>
        <rFont val="Arial, sans-serif"/>
        <color rgb="FF1155CC"/>
        <sz val="11.0"/>
        <u/>
      </rPr>
      <t>21 mar 2024</t>
    </r>
  </si>
  <si>
    <t>Toni Bou regresa al Campeonato de España de Trial en Gironella</t>
  </si>
  <si>
    <t>Toni Bou, del Repsol Honda Team, participará en la cita barcelonesa en exclusiva tras cuatro años de ausencia.</t>
  </si>
  <si>
    <t>Toni Bou returns to the Spanish Trial Championship in Gironella</t>
  </si>
  <si>
    <t>Toni Bou, from the Repsol Honda Team, will participate exclusively in the Barcelona event after four years of absence.</t>
  </si>
  <si>
    <r>
      <rPr>
        <rFont val="Arial, sans-serif"/>
        <color rgb="FF1155CC"/>
        <sz val="9.0"/>
        <u/>
      </rPr>
      <t>El Español</t>
    </r>
    <r>
      <rPr>
        <rFont val="Arial, sans-serif"/>
        <color rgb="FF1155CC"/>
        <sz val="15.0"/>
        <u/>
      </rPr>
      <t>Teresa Ribera responde a Imaz: "Por supuesto que este Gobierno apuesta por la industria de España"</t>
    </r>
    <r>
      <rPr>
        <rFont val="Arial, sans-serif"/>
        <color rgb="FF1155CC"/>
        <sz val="11.0"/>
        <u/>
      </rPr>
      <t>La ministra dice que no es su intención entrar "en valoraciones personales" y deja claro que la intención del Gobierno no es la de cerrar las refinerías.</t>
    </r>
    <r>
      <rPr>
        <rFont val="Arial, sans-serif"/>
        <color rgb="FF1155CC"/>
        <sz val="12.0"/>
        <u/>
      </rPr>
      <t>.</t>
    </r>
    <r>
      <rPr>
        <rFont val="Arial, sans-serif"/>
        <color rgb="FF1155CC"/>
        <sz val="11.0"/>
        <u/>
      </rPr>
      <t>21 mar 2024</t>
    </r>
  </si>
  <si>
    <t>"Teresa Ribera responde a Imaz: 'Por supuesto que este Gobierno apuesta por la industria de España'"</t>
  </si>
  <si>
    <t>La ministra dice que no es su intención entrar "en valoraciones personales" y deja claro que la intención del Gobierno no es la de cerrar las refinerías.</t>
  </si>
  <si>
    <t>"Teresa Ribera responds to Imaz: 'Of course this Government is committed to Spain's industry'"</t>
  </si>
  <si>
    <t>The minister says that it is not her intention to enter "into personal assessments" and makes it clear that the Government's intention is not to close the refineries.</t>
  </si>
  <si>
    <t>Disputes with the government may affect Repsol’s regulatory negotiations.</t>
  </si>
  <si>
    <r>
      <rPr>
        <rFont val="Arial, sans-serif"/>
        <color rgb="FF1155CC"/>
        <sz val="9.0"/>
        <u/>
      </rPr>
      <t>Repsol</t>
    </r>
    <r>
      <rPr>
        <rFont val="Arial, sans-serif"/>
        <color rgb="FF1155CC"/>
        <sz val="15.0"/>
        <u/>
      </rPr>
      <t>FP Dual Repsol: nuestro modelo de formación de éxito</t>
    </r>
    <r>
      <rPr>
        <rFont val="Arial, sans-serif"/>
        <color rgb="FF1155CC"/>
        <sz val="11.0"/>
        <u/>
      </rPr>
      <t>Descubre el FP Dual en Repsol: formación teórica y práctica para mejorar tu empleabilidad.</t>
    </r>
    <r>
      <rPr>
        <rFont val="Arial, sans-serif"/>
        <color rgb="FF1155CC"/>
        <sz val="12.0"/>
        <u/>
      </rPr>
      <t>.</t>
    </r>
    <r>
      <rPr>
        <rFont val="Arial, sans-serif"/>
        <color rgb="FF1155CC"/>
        <sz val="11.0"/>
        <u/>
      </rPr>
      <t>22 mar 2024</t>
    </r>
  </si>
  <si>
    <t>Repsol FP Dual: nuestro modelo de formación de éxito</t>
  </si>
  <si>
    <t>Descubre el FP Dual en Repsol: formación teórica y práctica para mejorar tu empleabilidad.</t>
  </si>
  <si>
    <t>Repsol FP Dual: our successful training model</t>
  </si>
  <si>
    <t>Discover the Dual FP at Repsol: theoretical and practical training to improve your employability.</t>
  </si>
  <si>
    <t>Repsol training program, education</t>
  </si>
  <si>
    <t>Programa de formación Repsol, educación</t>
  </si>
  <si>
    <t>Investing in workforce education enhances Repsol’s corporate reputation.</t>
  </si>
  <si>
    <t>Positive sentiment due to Repsol's commitment to education and training.</t>
  </si>
  <si>
    <t>Sentimiento positivo por el compromiso de Repsol con la educación y la formación.</t>
  </si>
  <si>
    <r>
      <rPr>
        <rFont val="Arial, sans-serif"/>
        <color rgb="FF1155CC"/>
        <sz val="9.0"/>
        <u/>
      </rPr>
      <t>La Tribuna de Ciudad Real</t>
    </r>
    <r>
      <rPr>
        <rFont val="Arial, sans-serif"/>
        <color rgb="FF1155CC"/>
        <sz val="15.0"/>
        <u/>
      </rPr>
      <t>La seguridad, lo más importante en la parada de Repsol</t>
    </r>
    <r>
      <rPr>
        <rFont val="Arial, sans-serif"/>
        <color rgb="FF1155CC"/>
        <sz val="11.0"/>
        <u/>
      </rPr>
      <t>Para lograr el objetivo de cero accidentes, durante la parada se ha organizado un Grupo de Coordinación de Seguridad multidisciplinar formado por más de 80...</t>
    </r>
    <r>
      <rPr>
        <rFont val="Arial, sans-serif"/>
        <color rgb="FF1155CC"/>
        <sz val="12.0"/>
        <u/>
      </rPr>
      <t>.</t>
    </r>
    <r>
      <rPr>
        <rFont val="Arial, sans-serif"/>
        <color rgb="FF1155CC"/>
        <sz val="11.0"/>
        <u/>
      </rPr>
      <t>22 mar 2024</t>
    </r>
  </si>
  <si>
    <t>La seguridad, lo más importante en la parada de Repsol</t>
  </si>
  <si>
    <t>Para lograr el objetivo de cero accidentes, durante la parada se ha organizado un Grupo de Coordinación de Seguridad multidisciplinar formado por más de 80....</t>
  </si>
  <si>
    <t>Safety, the most important thing at the Repsol stop</t>
  </si>
  <si>
    <t>To achieve the goal of zero accidents, a multidisciplinary Safety Coordination Group made up of more than 80 has been organized during the stoppage....</t>
  </si>
  <si>
    <t>Repsol refinery safety, workplace security</t>
  </si>
  <si>
    <t>Seguridad en refinerías Repsol, seguridad en el trabajo</t>
  </si>
  <si>
    <t>Prioritizing workplace safety reinforces Repsol’s commitment to responsible operations.</t>
  </si>
  <si>
    <t>seguridad, parada</t>
  </si>
  <si>
    <t>Neutral to slightly positive, as it highlights Repsol's safety efforts.</t>
  </si>
  <si>
    <t>De neutral a ligeramente positivo, ya que destaca los esfuerzos de Repsol en materia de seguridad.</t>
  </si>
  <si>
    <r>
      <rPr>
        <rFont val="Arial, sans-serif"/>
        <color rgb="FF1155CC"/>
        <sz val="9.0"/>
        <u/>
      </rPr>
      <t>heraldo.es</t>
    </r>
    <r>
      <rPr>
        <rFont val="Arial, sans-serif"/>
        <color rgb="FF1155CC"/>
        <sz val="15.0"/>
        <u/>
      </rPr>
      <t>Estudiantes de la Universidad de Zaragoza, ganadores del Challenge de la Fundación Repsol</t>
    </r>
    <r>
      <rPr>
        <rFont val="Arial, sans-serif"/>
        <color rgb="FF1155CC"/>
        <sz val="11.0"/>
        <u/>
      </rPr>
      <t>Cinco estudiantes de la Universidad de Zaragoza han ganado este año el Challenge Universitario de la Fundación Repsol. El equipo, integrado por Cristian...</t>
    </r>
    <r>
      <rPr>
        <rFont val="Arial, sans-serif"/>
        <color rgb="FF1155CC"/>
        <sz val="12.0"/>
        <u/>
      </rPr>
      <t>.</t>
    </r>
    <r>
      <rPr>
        <rFont val="Arial, sans-serif"/>
        <color rgb="FF1155CC"/>
        <sz val="11.0"/>
        <u/>
      </rPr>
      <t>22 mar 2024</t>
    </r>
  </si>
  <si>
    <t>Estudiantes de la Universidad de Zaragoza, ganadores del Challenge de la Fundación Repsol</t>
  </si>
  <si>
    <t>Cinco estudiantes de la Universidad de Zaragoza han ganado este año el Challenge Universitario de la Fundación Repsol. El equipo, integrado por Cristian....</t>
  </si>
  <si>
    <t>Students from the University of Zaragoza, winners of the Repsol Foundation Challenge</t>
  </si>
  <si>
    <t>Five students from the University of Zaragoza have won this year's Repsol Foundation University Challenge. The team, made up of Cristian....</t>
  </si>
  <si>
    <t>Repsol sustainability, education initiatives</t>
  </si>
  <si>
    <t>Sostenibilidad Repsol, iniciativas educativas</t>
  </si>
  <si>
    <t>Supporting innovation strengthens Repsol’s sustainability image.</t>
  </si>
  <si>
    <t>Challenge, Fundación Repsol</t>
  </si>
  <si>
    <r>
      <rPr>
        <rFont val="Arial, sans-serif"/>
        <color rgb="FF1155CC"/>
        <sz val="9.0"/>
        <u/>
      </rPr>
      <t>Europneus</t>
    </r>
    <r>
      <rPr>
        <rFont val="Arial, sans-serif"/>
        <color rgb="FF1155CC"/>
        <sz val="15.0"/>
        <u/>
      </rPr>
      <t>Nuevos envases de lubricantes Repsol con un 60% de plástico reciclado</t>
    </r>
    <r>
      <rPr>
        <rFont val="Arial, sans-serif"/>
        <color rgb="FF1155CC"/>
        <sz val="11.0"/>
        <u/>
      </rPr>
      <t>Repsol lanza sus nuevos envases de lubricantes con un 60% de contenido de plástico post-consumo, reciclado mecánicamente.</t>
    </r>
    <r>
      <rPr>
        <rFont val="Arial, sans-serif"/>
        <color rgb="FF1155CC"/>
        <sz val="12.0"/>
        <u/>
      </rPr>
      <t>.</t>
    </r>
    <r>
      <rPr>
        <rFont val="Arial, sans-serif"/>
        <color rgb="FF1155CC"/>
        <sz val="11.0"/>
        <u/>
      </rPr>
      <t>22 mar 2024</t>
    </r>
  </si>
  <si>
    <t>Europneus</t>
  </si>
  <si>
    <t>Nuevos envases de lubricantes Repsol con un 60% de plástico reciclado</t>
  </si>
  <si>
    <t>Repsol lanza sus nuevos envases de lubricantes con un 60% de contenido de plástico post-consumo, reciclado mecánicamente.</t>
  </si>
  <si>
    <t>New Repsol lubricant containers with 60% recycled plastic</t>
  </si>
  <si>
    <t>Repsol launches its new lubricant containers with 60% post-consumer plastic content, mechanically recycled.</t>
  </si>
  <si>
    <t>Advancing sustainable packaging enhances Repsol’s environmental responsibility.</t>
  </si>
  <si>
    <r>
      <rPr>
        <rFont val="Arial, sans-serif"/>
        <color rgb="FF1155CC"/>
        <sz val="9.0"/>
        <u/>
      </rPr>
      <t>Guía Repsol</t>
    </r>
    <r>
      <rPr>
        <rFont val="Arial, sans-serif"/>
        <color rgb="FF1155CC"/>
        <sz val="15.0"/>
        <u/>
      </rPr>
      <t>¿Qué es La Neomudéjar? (Madrid)</t>
    </r>
    <r>
      <rPr>
        <rFont val="Arial, sans-serif"/>
        <color rgb="FF1155CC"/>
        <sz val="11.0"/>
        <u/>
      </rPr>
      <t>Muy cerca de la Estación de Atocha hay un rincón verdaderamente único y aún algo esconocido. Es una cápsula del tiempo que preserva parte del pasado...</t>
    </r>
    <r>
      <rPr>
        <rFont val="Arial, sans-serif"/>
        <color rgb="FF1155CC"/>
        <sz val="12.0"/>
        <u/>
      </rPr>
      <t>.</t>
    </r>
    <r>
      <rPr>
        <rFont val="Arial, sans-serif"/>
        <color rgb="FF1155CC"/>
        <sz val="11.0"/>
        <u/>
      </rPr>
      <t>22 mar 2024</t>
    </r>
  </si>
  <si>
    <t>¿Qué es La Neomudéjar? (Madrid)</t>
  </si>
  <si>
    <t>Muy cerca de la Estación de Atocha hay un rincón verdaderamente único y aún algo desconocido. Es una cápsula del tiempo que preserva parte del pasado....</t>
  </si>
  <si>
    <t>What is La Neomudéjar? (Madrid)</t>
  </si>
  <si>
    <t>Very close to the Atocha Station there is a truly unique and still somewhat unknown corner. It is a time capsule that preserves part of the past....</t>
  </si>
  <si>
    <r>
      <rPr>
        <rFont val="Arial, sans-serif"/>
        <color rgb="FF1155CC"/>
        <sz val="9.0"/>
        <u/>
      </rPr>
      <t>Europa Press</t>
    </r>
    <r>
      <rPr>
        <rFont val="Arial, sans-serif"/>
        <color rgb="FF1155CC"/>
        <sz val="15.0"/>
        <u/>
      </rPr>
      <t>Feijóo ve "inaudito y un disparate" el "enfrentamiento que provoca el Gobierno entre Iberdrola y Repsol</t>
    </r>
    <r>
      <rPr>
        <rFont val="Arial, sans-serif"/>
        <color rgb="FF1155CC"/>
        <sz val="11.0"/>
        <u/>
      </rPr>
      <t>El presidente del PP, Alberto Núñez Feijóo, ha calificado de "inaudito" y de "disparate" el "enfrentamiento...</t>
    </r>
    <r>
      <rPr>
        <rFont val="Arial, sans-serif"/>
        <color rgb="FF1155CC"/>
        <sz val="12.0"/>
        <u/>
      </rPr>
      <t>.</t>
    </r>
    <r>
      <rPr>
        <rFont val="Arial, sans-serif"/>
        <color rgb="FF1155CC"/>
        <sz val="11.0"/>
        <u/>
      </rPr>
      <t>22 mar 2024</t>
    </r>
  </si>
  <si>
    <t>Feijóo ve "inaudito y un disparate" el "enfrentamiento que provoca el Gobierno entre Iberdrola y Repsol"</t>
  </si>
  <si>
    <t>Feijóo califica de "inaudito" y "disparate" el "enfrentamiento" entre Iberdrola y Repsol provocado por el Gobierno.</t>
  </si>
  <si>
    <t>Feijóo sees the "confrontation provoked by the Government between Iberdrola and Repsol as "unheard of and absurd"</t>
  </si>
  <si>
    <t>Feijóo describes as "unheard of" and "nonsense" the "confrontation" between Iberdrola and Repsol caused by the Government.</t>
  </si>
  <si>
    <t>Repsol vs. Iberdrola, political dispute</t>
  </si>
  <si>
    <t>Repsol vs. Iberdrola, disputa política</t>
  </si>
  <si>
    <t>Political tensions surrounding Repsol’s legal battle could impact its business.</t>
  </si>
  <si>
    <t>enfrentamiento, Gobierno</t>
  </si>
  <si>
    <r>
      <rPr>
        <rFont val="Arial, sans-serif"/>
        <color rgb="FF1155CC"/>
        <sz val="9.0"/>
        <u/>
      </rPr>
      <t>El Independiente</t>
    </r>
    <r>
      <rPr>
        <rFont val="Arial, sans-serif"/>
        <color rgb="FF1155CC"/>
        <sz val="15.0"/>
        <u/>
      </rPr>
      <t>La alianza de Galán (Iberdrola) y Ribera: de "ponerse verde por el mundo" a unir fuerzas contra Repsol y las nucleares</t>
    </r>
    <r>
      <rPr>
        <rFont val="Arial, sans-serif"/>
        <color rgb="FF1155CC"/>
        <sz val="11.0"/>
        <u/>
      </rPr>
      <t>Hubo un tiempo en el que Iberdrola y el Gobierno no se podían ni ver. La batalla de la mayor eléctrica española contra Pedro Sánchez y la ministra Teresa.</t>
    </r>
    <r>
      <rPr>
        <rFont val="Arial, sans-serif"/>
        <color rgb="FF1155CC"/>
        <sz val="12.0"/>
        <u/>
      </rPr>
      <t>.</t>
    </r>
    <r>
      <rPr>
        <rFont val="Arial, sans-serif"/>
        <color rgb="FF1155CC"/>
        <sz val="11.0"/>
        <u/>
      </rPr>
      <t>22 mar 2024</t>
    </r>
  </si>
  <si>
    <t>La alianza de Galán (Iberdrola) y Ribera: de "ponerse verde por el mundo" a unir fuerzas contra Repsol y las nucleares</t>
  </si>
  <si>
    <t>Hubo un tiempo en el que Iberdrola y el Gobierno no se podían ni ver. La batalla de la mayor eléctrica española contra Pedro Sánchez y la ministra Teresa..</t>
  </si>
  <si>
    <t>The alliance of Galán (Iberdrola) and Ribera: from "going green for the world" to joining forces against Repsol and nuclear companies</t>
  </si>
  <si>
    <t>There was a time when Iberdrola and the Government could not even see each other. The battle of the largest Spanish electricity company against Pedro Sánchez and Minister Teresa..</t>
  </si>
  <si>
    <t>Repsol vs. Iberdrola, energy competition</t>
  </si>
  <si>
    <t>Repsol vs. Iberdrola, competencia energética</t>
  </si>
  <si>
    <t>Alleged favoritism towards Iberdrola could disadvantage Repsol in the energy market.</t>
  </si>
  <si>
    <t>alianza, nucleares</t>
  </si>
  <si>
    <r>
      <rPr>
        <rFont val="Arial, sans-serif"/>
        <color rgb="FF1155CC"/>
        <sz val="9.0"/>
        <u/>
      </rPr>
      <t>Economía Digital</t>
    </r>
    <r>
      <rPr>
        <rFont val="Arial, sans-serif"/>
        <color rgb="FF1155CC"/>
        <sz val="15.0"/>
        <u/>
      </rPr>
      <t>A examen ambiental la planta de hidrógeno verde de Meirama, que conectará con la refinería de Repsol</t>
    </r>
    <r>
      <rPr>
        <rFont val="Arial, sans-serif"/>
        <color rgb="FF1155CC"/>
        <sz val="11.0"/>
        <u/>
      </rPr>
      <t>Nuevo paso del proyecto de hidrógeno verde de Naturgy, Repsol y Reganosa en Meirama. El Diario Oficial de Galicia (DOG) ha publicado este viernes el anuncio...</t>
    </r>
    <r>
      <rPr>
        <rFont val="Arial, sans-serif"/>
        <color rgb="FF1155CC"/>
        <sz val="12.0"/>
        <u/>
      </rPr>
      <t>.</t>
    </r>
    <r>
      <rPr>
        <rFont val="Arial, sans-serif"/>
        <color rgb="FF1155CC"/>
        <sz val="11.0"/>
        <u/>
      </rPr>
      <t>22 mar 2024</t>
    </r>
  </si>
  <si>
    <t>A examen ambiental la planta de hidrógeno verde de Meirama, que conectará con la refinería de Repsol</t>
  </si>
  <si>
    <t>Nuevo paso del proyecto de hidrógeno verde de Naturgy, Repsol y Reganosa en Meirama. El Diario Oficial de Galicia (DOG) ha publicado este viernes el anuncio.</t>
  </si>
  <si>
    <t>The Meirama green hydrogen plant, which will connect with the Repsol refinery, undergoes environmental examination</t>
  </si>
  <si>
    <t>New step of the green hydrogen project of Naturgy, Repsol and Reganosa in Meirama. The Official Gazette of Galicia (DOG) published the announcement this Friday.</t>
  </si>
  <si>
    <t>Repsol green hydrogen, sustainability</t>
  </si>
  <si>
    <t>Repsol hidrógeno verde, sostenibilidad</t>
  </si>
  <si>
    <t>Advancing hydrogen production reinforces Repsol’s commitment to clean energy.</t>
  </si>
  <si>
    <t>hidrógeno verde, refinería</t>
  </si>
  <si>
    <r>
      <rPr>
        <rFont val="Arial, sans-serif"/>
        <color rgb="FF1155CC"/>
        <sz val="9.0"/>
        <u/>
      </rPr>
      <t>El Debate</t>
    </r>
    <r>
      <rPr>
        <rFont val="Arial, sans-serif"/>
        <color rgb="FF1155CC"/>
        <sz val="15.0"/>
        <u/>
      </rPr>
      <t>Así es la planta que surtirá hidrógeno a la refinería de La Coruña: 64 millones y 30.000 toneladas al año</t>
    </r>
    <r>
      <rPr>
        <rFont val="Arial, sans-serif"/>
        <color rgb="FF1155CC"/>
        <sz val="11.0"/>
        <u/>
      </rPr>
      <t>El proyecto, promovido por Repsol, Reganosa y Naturgy, inicia la tramitación ambiental.</t>
    </r>
    <r>
      <rPr>
        <rFont val="Arial, sans-serif"/>
        <color rgb="FF1155CC"/>
        <sz val="12.0"/>
        <u/>
      </rPr>
      <t>.</t>
    </r>
    <r>
      <rPr>
        <rFont val="Arial, sans-serif"/>
        <color rgb="FF1155CC"/>
        <sz val="11.0"/>
        <u/>
      </rPr>
      <t>22 mar 2024</t>
    </r>
  </si>
  <si>
    <t>Así es la planta que surtirá hidrógeno a la refinería de La Coruña: 64 millones y 30.000 toneladas al año</t>
  </si>
  <si>
    <t>El proyecto, promovido por Repsol, Reganosa y Naturgy, inicia la tramitación ambiental.</t>
  </si>
  <si>
    <t>This is the plant that will supply hydrogen to the La Coruña refinery: 64 million and 30,000 tons per year</t>
  </si>
  <si>
    <t>The project, promoted by Repsol, Reganosa and Naturgy, begins the environmental processing.</t>
  </si>
  <si>
    <t>Repsol hydrogen supply, sustainability</t>
  </si>
  <si>
    <t>Suministro de hidrógeno Repsol, sostenibilidad</t>
  </si>
  <si>
    <t>Investment in hydrogen production strengthens Repsol’s renewable energy strategy.</t>
  </si>
  <si>
    <t>hidrógeno, refinería</t>
  </si>
  <si>
    <r>
      <rPr>
        <rFont val="Arial, sans-serif"/>
        <color rgb="FF1155CC"/>
        <sz val="9.0"/>
        <u/>
      </rPr>
      <t>Murcia Plaza</t>
    </r>
    <r>
      <rPr>
        <rFont val="Arial, sans-serif"/>
        <color rgb="FF1155CC"/>
        <sz val="15.0"/>
        <u/>
      </rPr>
      <t>MIN La Unión abre sus puertas tras un millón de inversión para proveer a empresas como Iberdrola o Repsol</t>
    </r>
    <r>
      <rPr>
        <rFont val="Arial, sans-serif"/>
        <color rgb="FF1155CC"/>
        <sz val="11.0"/>
        <u/>
      </rPr>
      <t>MURCIA.La empresa MIN La Unión (Mecanizado Industrial y Naval La Unión S.L.) ha realizado el acto de inauguración y presentación pública de la compañía y...</t>
    </r>
    <r>
      <rPr>
        <rFont val="Arial, sans-serif"/>
        <color rgb="FF1155CC"/>
        <sz val="12.0"/>
        <u/>
      </rPr>
      <t>.</t>
    </r>
    <r>
      <rPr>
        <rFont val="Arial, sans-serif"/>
        <color rgb="FF1155CC"/>
        <sz val="11.0"/>
        <u/>
      </rPr>
      <t>22 mar 2024</t>
    </r>
  </si>
  <si>
    <t>MIN La Unión abre sus puertas tras un millón de inversión para proveer a empresas como Iberdrola o Repsol</t>
  </si>
  <si>
    <t>La empresa MIN La Unión (Mecanizado Industrial y Naval La Unión S.L.) ha realizado el acto de inauguración y presentación pública de la compañía y....</t>
  </si>
  <si>
    <t>MIN La Unión opens its doors after a million investment to supply companies like Iberdrola or Repsol</t>
  </si>
  <si>
    <t>The company MIN La Unión (Mecanizado Industrial y Naval La Unión S.L.) has held the opening ceremony and public presentation of the company and....</t>
  </si>
  <si>
    <t>Repsol supply chain, business investment</t>
  </si>
  <si>
    <t>Cadena de suministro de Repsol, inversión empresarial</t>
  </si>
  <si>
    <t>Expanding supply chain infrastructure supports Repsol’s operations.</t>
  </si>
  <si>
    <r>
      <rPr>
        <rFont val="Arial, sans-serif"/>
        <color rgb="FF1155CC"/>
        <sz val="9.0"/>
        <u/>
      </rPr>
      <t>Guía Repsol</t>
    </r>
    <r>
      <rPr>
        <rFont val="Arial, sans-serif"/>
        <color rgb="FF1155CC"/>
        <sz val="15.0"/>
        <u/>
      </rPr>
      <t>Casa de la Campana (Cieza, Murcia): El sueño de una primavera murciana</t>
    </r>
    <r>
      <rPr>
        <rFont val="Arial, sans-serif"/>
        <color rgb="FF1155CC"/>
        <sz val="11.0"/>
        <u/>
      </rPr>
      <t>Situada en pleno valle de la Vega del Segura, 'La Casa de la Campana' recupera con mimo una antigua vivienda señorial del siglo XIX convertida hoy en un...</t>
    </r>
    <r>
      <rPr>
        <rFont val="Arial, sans-serif"/>
        <color rgb="FF1155CC"/>
        <sz val="12.0"/>
        <u/>
      </rPr>
      <t>.</t>
    </r>
    <r>
      <rPr>
        <rFont val="Arial, sans-serif"/>
        <color rgb="FF1155CC"/>
        <sz val="11.0"/>
        <u/>
      </rPr>
      <t>22 mar 2024</t>
    </r>
  </si>
  <si>
    <t>Casa de la Campana (Cieza, Murcia): El sueño de una primavera murciana</t>
  </si>
  <si>
    <t>Situada en pleno valle de la Vega del Segura, 'La Casa de la Campana' recupera con mimo una antigua vivienda señorial del siglo XIX convertida hoy en un....</t>
  </si>
  <si>
    <t>Casa de la Campana (Cieza, Murcia): The dream of a Murcian spring</t>
  </si>
  <si>
    <t>Located in the heart of the Vega del Segura valley, 'La Casa de la Campana' lovingly recovers an old stately home from the 19th century, now converted into a...</t>
  </si>
  <si>
    <r>
      <rPr>
        <rFont val="Arial, sans-serif"/>
        <color rgb="FF1155CC"/>
        <sz val="9.0"/>
        <u/>
      </rPr>
      <t>EL PAÍS</t>
    </r>
    <r>
      <rPr>
        <rFont val="Arial, sans-serif"/>
        <color rgb="FF1155CC"/>
        <sz val="15.0"/>
        <u/>
      </rPr>
      <t>La batalla contra el ecopostureo explota en los tribunales</t>
    </r>
    <r>
      <rPr>
        <rFont val="Arial, sans-serif"/>
        <color rgb="FF1155CC"/>
        <sz val="11.0"/>
        <u/>
      </rPr>
      <t>La demanda de Iberdrola contra Repsol, sin precedentes en España, abre una vía judicial contra el 'greenwashing' al que las instituciones europeas y...</t>
    </r>
    <r>
      <rPr>
        <rFont val="Arial, sans-serif"/>
        <color rgb="FF1155CC"/>
        <sz val="12.0"/>
        <u/>
      </rPr>
      <t>.</t>
    </r>
    <r>
      <rPr>
        <rFont val="Arial, sans-serif"/>
        <color rgb="FF1155CC"/>
        <sz val="11.0"/>
        <u/>
      </rPr>
      <t>23 mar 2024</t>
    </r>
  </si>
  <si>
    <t>La batalla contra el ecopostureo explota en los tribunales</t>
  </si>
  <si>
    <t>La demanda de Iberdrola contra Repsol, sin precedentes en España, abre una vía judicial contra el 'greenwashing' al que las instituciones europeas y....</t>
  </si>
  <si>
    <t>The battle against ecopostureo explodes in the courts</t>
  </si>
  <si>
    <t>Iberdrola's lawsuit against Repsol, unprecedented in Spain, opens a judicial avenue against the 'greenwashing' to which the European institutions and...</t>
  </si>
  <si>
    <t>Repsol vs. Iberdrola, greenwashing accusations</t>
  </si>
  <si>
    <t>Repsol vs. Iberdrola, acusaciones de greenwashing</t>
  </si>
  <si>
    <t>Public scrutiny of greenwashing claims may harm Repsol’s sustainability credibility.</t>
  </si>
  <si>
    <t>ecopostureo, greenwashing</t>
  </si>
  <si>
    <r>
      <rPr>
        <rFont val="Arial, sans-serif"/>
        <color rgb="FF1155CC"/>
        <sz val="9.0"/>
        <u/>
      </rPr>
      <t>Box Repsol</t>
    </r>
    <r>
      <rPr>
        <rFont val="Arial, sans-serif"/>
        <color rgb="FF1155CC"/>
        <sz val="15.0"/>
        <u/>
      </rPr>
      <t>Resultados de la carrera sprint del GP de Portugal de MotoGP</t>
    </r>
    <r>
      <rPr>
        <rFont val="Arial, sans-serif"/>
        <color rgb="FF1155CC"/>
        <sz val="11.0"/>
        <u/>
      </rPr>
      <t>Crónica y resultados de la carrera sprint del GP de Portugal 2024, celebrado en el Autódromo Internacional do Algarve.</t>
    </r>
    <r>
      <rPr>
        <rFont val="Arial, sans-serif"/>
        <color rgb="FF1155CC"/>
        <sz val="12.0"/>
        <u/>
      </rPr>
      <t>.</t>
    </r>
    <r>
      <rPr>
        <rFont val="Arial, sans-serif"/>
        <color rgb="FF1155CC"/>
        <sz val="11.0"/>
        <u/>
      </rPr>
      <t>23 mar 2024</t>
    </r>
  </si>
  <si>
    <t>Resultados de la carrera sprint del GP de Portugal de MotoGP</t>
  </si>
  <si>
    <t>Crónica y resultados de la carrera sprint del GP de Portugal 2024, celebrado en el Autódromo Internacional do Algarve.</t>
  </si>
  <si>
    <t>MotoGP Portuguese GP sprint race results</t>
  </si>
  <si>
    <t>Chronicle and results of the sprint race of the 2024 Portuguese GP, held at the Autódromo Internacional do Algarve.</t>
  </si>
  <si>
    <r>
      <rPr>
        <rFont val="Arial, sans-serif"/>
        <color rgb="FF1155CC"/>
        <sz val="9.0"/>
        <u/>
      </rPr>
      <t>El Español</t>
    </r>
    <r>
      <rPr>
        <rFont val="Arial, sans-serif"/>
        <color rgb="FF1155CC"/>
        <sz val="15.0"/>
        <u/>
      </rPr>
      <t>La costilla perfecta la sirven en un restaurante de Madrid: tiene un sabor único y un Solete Repsol</t>
    </r>
    <r>
      <rPr>
        <rFont val="Arial, sans-serif"/>
        <color rgb="FF1155CC"/>
        <sz val="11.0"/>
        <u/>
      </rPr>
      <t>Este restaurante de Madrid se ha ganado una excelente reputación, no solo por su inclusión en la Guía Michelin y haber recibido un Solete Repsol,...</t>
    </r>
    <r>
      <rPr>
        <rFont val="Arial, sans-serif"/>
        <color rgb="FF1155CC"/>
        <sz val="12.0"/>
        <u/>
      </rPr>
      <t>.</t>
    </r>
    <r>
      <rPr>
        <rFont val="Arial, sans-serif"/>
        <color rgb="FF1155CC"/>
        <sz val="11.0"/>
        <u/>
      </rPr>
      <t>23 mar 2024</t>
    </r>
  </si>
  <si>
    <t>La costilla perfecta la sirven en un restaurante de Madrid: tiene un sabor único y un Solete Repsol</t>
  </si>
  <si>
    <t>Este restaurante de Madrid se ha ganado una excelente reputación, no solo por su inclusión en la Guía Michelin y haber recibido un Solete Repsol,...</t>
  </si>
  <si>
    <t>The perfect rib is served in a restaurant in Madrid: it has a unique flavor and a Repsol Solete</t>
  </si>
  <si>
    <t>This restaurant in Madrid has earned an excellent reputation, not only for its inclusion in the Michelin Guide and having received a Solete Repsol,...</t>
  </si>
  <si>
    <r>
      <rPr>
        <rFont val="Arial, sans-serif"/>
        <color rgb="FF1155CC"/>
        <sz val="9.0"/>
        <u/>
      </rPr>
      <t>El Televisero</t>
    </r>
    <r>
      <rPr>
        <rFont val="Arial, sans-serif"/>
        <color rgb="FF1155CC"/>
        <sz val="15.0"/>
        <u/>
      </rPr>
      <t>Mario Picazo rescata a este rostro del universo 'Sálvame' para su vuelta a Mediaset</t>
    </r>
    <r>
      <rPr>
        <rFont val="Arial, sans-serif"/>
        <color rgb="FF1155CC"/>
        <sz val="11.0"/>
        <u/>
      </rPr>
      <t>Mario Picazo ficha a Begoña Rodrigo, ganadora de 'Top Chef' y jurado de 'La última cena' en Telecinco como colaboradora para su programa en Cuatro.</t>
    </r>
    <r>
      <rPr>
        <rFont val="Arial, sans-serif"/>
        <color rgb="FF1155CC"/>
        <sz val="12.0"/>
        <u/>
      </rPr>
      <t>.</t>
    </r>
    <r>
      <rPr>
        <rFont val="Arial, sans-serif"/>
        <color rgb="FF1155CC"/>
        <sz val="11.0"/>
        <u/>
      </rPr>
      <t>23 mar 2024</t>
    </r>
  </si>
  <si>
    <t>El Televisero</t>
  </si>
  <si>
    <t>Mario Picazo rescata a este rostro del universo 'Sálvame' para su vuelta a Mediaset</t>
  </si>
  <si>
    <t>Mario Picazo ficha a Begoña Rodrigo, ganadora de 'Top Chef' y jurado de 'La última cena' en Telecinco como colaboradora para su programa en Cuatro.</t>
  </si>
  <si>
    <t>Mario Picazo rescues this face of the 'Sálvame' universe for his return to Mediaset</t>
  </si>
  <si>
    <t>Mario Picazo signs Begoña Rodrigo, winner of 'Top Chef' and jury of 'The Last Dinner' on Telecinco as a collaborator for his program on Cuatro.</t>
  </si>
  <si>
    <r>
      <rPr>
        <rFont val="Arial, sans-serif"/>
        <color rgb="FF1155CC"/>
        <sz val="9.0"/>
        <u/>
      </rPr>
      <t>hoy aragón</t>
    </r>
    <r>
      <rPr>
        <rFont val="Arial, sans-serif"/>
        <color rgb="FF1155CC"/>
        <sz val="15.0"/>
        <u/>
      </rPr>
      <t>La calle con más 'soletes' de España y que es la cuna del tapeo entre calles estrechas</t>
    </r>
    <r>
      <rPr>
        <rFont val="Arial, sans-serif"/>
        <color rgb="FF1155CC"/>
        <sz val="11.0"/>
        <u/>
      </rPr>
      <t>Esta vía es un destino imprescindible para gourmets y curiosos por igual de toda España.</t>
    </r>
    <r>
      <rPr>
        <rFont val="Arial, sans-serif"/>
        <color rgb="FF1155CC"/>
        <sz val="12.0"/>
        <u/>
      </rPr>
      <t>.</t>
    </r>
    <r>
      <rPr>
        <rFont val="Arial, sans-serif"/>
        <color rgb="FF1155CC"/>
        <sz val="11.0"/>
        <u/>
      </rPr>
      <t>23 mar 2024</t>
    </r>
  </si>
  <si>
    <t>hoy aragón</t>
  </si>
  <si>
    <t>La calle con más 'soletes' de España y que es la cuna del tapeo entre calles estrechas</t>
  </si>
  <si>
    <t>Esta vía es un destino imprescindible para gourmets y curiosos por igual de toda España.</t>
  </si>
  <si>
    <t>The street with the most 'soletes' in Spain and which is the cradle of tapas between narrow streets</t>
  </si>
  <si>
    <t>This route is an essential destination for gourmets and the curious alike from all over Spain.</t>
  </si>
  <si>
    <r>
      <rPr>
        <rFont val="Arial, sans-serif"/>
        <color rgb="FF1155CC"/>
        <sz val="9.0"/>
        <u/>
      </rPr>
      <t>diariodelaltoaragon.es</t>
    </r>
    <r>
      <rPr>
        <rFont val="Arial, sans-serif"/>
        <color rgb="FF1155CC"/>
        <sz val="15.0"/>
        <u/>
      </rPr>
      <t>Casa Rubén y el nuevo concepto de cocina que transforma la España vaciada</t>
    </r>
    <r>
      <rPr>
        <rFont val="Arial, sans-serif"/>
        <color rgb="FF1155CC"/>
        <sz val="11.0"/>
        <u/>
      </rPr>
      <t>El cocinero Rubén Coronas y su mujer Cristina Romero han convertido el restaurante en un importante agente dinamizador del territorio.</t>
    </r>
    <r>
      <rPr>
        <rFont val="Arial, sans-serif"/>
        <color rgb="FF1155CC"/>
        <sz val="12.0"/>
        <u/>
      </rPr>
      <t>.</t>
    </r>
    <r>
      <rPr>
        <rFont val="Arial, sans-serif"/>
        <color rgb="FF1155CC"/>
        <sz val="11.0"/>
        <u/>
      </rPr>
      <t>23 mar 2024</t>
    </r>
  </si>
  <si>
    <t>Casa Rubén y el nuevo concepto de cocina que transforma la España vaciada</t>
  </si>
  <si>
    <t>El cocinero Rubén Coronas y su mujer Cristina Romero han convertido el restaurante en un importante agente dinamizador del territorio.</t>
  </si>
  <si>
    <t>Casa Rubén and the new kitchen concept that transforms emptied Spain</t>
  </si>
  <si>
    <t>The chef Rubén Coronas and his wife Cristina Romero have turned the restaurant into an important dynamic agent of the territory.</t>
  </si>
  <si>
    <r>
      <rPr>
        <rFont val="Arial, sans-serif"/>
        <color rgb="FF1155CC"/>
        <sz val="9.0"/>
        <u/>
      </rPr>
      <t>El Independiente</t>
    </r>
    <r>
      <rPr>
        <rFont val="Arial, sans-serif"/>
        <color rgb="FF1155CC"/>
        <sz val="15.0"/>
        <u/>
      </rPr>
      <t>El juez Pedraz ordena a las 'telecos' apagar Telegram antes del sábado por la noche</t>
    </r>
    <r>
      <rPr>
        <rFont val="Arial, sans-serif"/>
        <color rgb="FF1155CC"/>
        <sz val="11.0"/>
        <u/>
      </rPr>
      <t>Punto y final a Telegram. O al menos, momentáneamente. El juez encargado de la denuncia llevada a cabo por parte de Movistar+, Mediaset y Atresmedia para.</t>
    </r>
    <r>
      <rPr>
        <rFont val="Arial, sans-serif"/>
        <color rgb="FF1155CC"/>
        <sz val="12.0"/>
        <u/>
      </rPr>
      <t>.</t>
    </r>
    <r>
      <rPr>
        <rFont val="Arial, sans-serif"/>
        <color rgb="FF1155CC"/>
        <sz val="11.0"/>
        <u/>
      </rPr>
      <t>23 mar 2024</t>
    </r>
  </si>
  <si>
    <t>El juez Pedraz ordena a las 'telecos' apagar Telegram antes del sábado por la noche</t>
  </si>
  <si>
    <t>Punto y final a Telegram. O al menos, momentáneamente. El juez encargado de la denuncia llevada a cabo por parte de Movistar+, Mediaset y Atresmedia para..</t>
  </si>
  <si>
    <t>Judge Pedraz orders the 'telecos' to turn off Telegram before Saturday night</t>
  </si>
  <si>
    <t>Full stop to Telegram. Or at least, momentarily. The judge in charge of the complaint carried out by Movistar+, Mediaset and Atresmedia for...</t>
  </si>
  <si>
    <r>
      <rPr>
        <rFont val="Arial, sans-serif"/>
        <color rgb="FF1155CC"/>
        <sz val="9.0"/>
        <u/>
      </rPr>
      <t>Todocircuito.com</t>
    </r>
    <r>
      <rPr>
        <rFont val="Arial, sans-serif"/>
        <color rgb="FF1155CC"/>
        <sz val="15.0"/>
        <u/>
      </rPr>
      <t>Luca Marini, otra vez el último en un sábado estrepitoso para Honda en Portimao</t>
    </r>
    <r>
      <rPr>
        <rFont val="Arial, sans-serif"/>
        <color rgb="FF1155CC"/>
        <sz val="11.0"/>
        <u/>
      </rPr>
      <t>Hoy Luca Marini ha sido uno de los antagonistas involuntarios del Gran Premio de Portugal. El recién llegado al box del Repsol Honda Team ya sabe lo que es...</t>
    </r>
    <r>
      <rPr>
        <rFont val="Arial, sans-serif"/>
        <color rgb="FF1155CC"/>
        <sz val="12.0"/>
        <u/>
      </rPr>
      <t>.</t>
    </r>
    <r>
      <rPr>
        <rFont val="Arial, sans-serif"/>
        <color rgb="FF1155CC"/>
        <sz val="11.0"/>
        <u/>
      </rPr>
      <t>23 mar 2024</t>
    </r>
  </si>
  <si>
    <t>Luca Marini, otra vez el último en un sábado estrepitoso para Honda en Portimao</t>
  </si>
  <si>
    <t>El recién llegado al box del Repsol Honda Team ya sabe lo que es....</t>
  </si>
  <si>
    <t>Luca Marini, last again on a resounding Saturday for Honda in Portimao</t>
  </si>
  <si>
    <t>The newcomer to the Repsol Honda Team box already knows what it is....</t>
  </si>
  <si>
    <r>
      <rPr>
        <rFont val="Arial, sans-serif"/>
        <color rgb="FF1155CC"/>
        <sz val="9.0"/>
        <u/>
      </rPr>
      <t>Crónica Vasca</t>
    </r>
    <r>
      <rPr>
        <rFont val="Arial, sans-serif"/>
        <color rgb="FF1155CC"/>
        <sz val="15.0"/>
        <u/>
      </rPr>
      <t>El 'greenwashing', la polémica práctica que enfrenta a Repsol e Iberdrola en los juzgados</t>
    </r>
    <r>
      <rPr>
        <rFont val="Arial, sans-serif"/>
        <color rgb="FF1155CC"/>
        <sz val="11.0"/>
        <u/>
      </rPr>
      <t>La guerra entre Iberdrola y Repsol y su cruce de reproches ha cristalizado en forma de una demanda que la eléctrica vasca ha interpuesto contra la refinería...</t>
    </r>
    <r>
      <rPr>
        <rFont val="Arial, sans-serif"/>
        <color rgb="FF1155CC"/>
        <sz val="12.0"/>
        <u/>
      </rPr>
      <t>.</t>
    </r>
    <r>
      <rPr>
        <rFont val="Arial, sans-serif"/>
        <color rgb="FF1155CC"/>
        <sz val="11.0"/>
        <u/>
      </rPr>
      <t>24 mar 2024</t>
    </r>
  </si>
  <si>
    <t>El 'greenwashing', la polémica práctica que enfrenta a Repsol e Iberdrola en los juzgados</t>
  </si>
  <si>
    <t>La guerra entre Iberdrola y Repsol y su cruce de reproches ha cristalizado en forma de una demanda que la eléctrica vasca ha interpuesto contra la refinería....</t>
  </si>
  <si>
    <t>'Greenwashing', the controversial practice that confronts Repsol and Iberdrola in court</t>
  </si>
  <si>
    <t>The war between Iberdrola and Repsol and their exchange of reproaches has crystallized in the form of a lawsuit that the Basque electricity company has filed against the refinery...</t>
  </si>
  <si>
    <t>Repsol greenwashing, Iberdrola lawsuit</t>
  </si>
  <si>
    <t>Lavado verde de Repsol, Demanda de Iberdrola</t>
  </si>
  <si>
    <t>greenwashing, demanda</t>
  </si>
  <si>
    <r>
      <rPr>
        <rFont val="Arial, sans-serif"/>
        <color rgb="FF1155CC"/>
        <sz val="9.0"/>
        <u/>
      </rPr>
      <t>El Independiente</t>
    </r>
    <r>
      <rPr>
        <rFont val="Arial, sans-serif"/>
        <color rgb="FF1155CC"/>
        <sz val="15.0"/>
        <u/>
      </rPr>
      <t>Ribera vuelve a la carga contra Repsol: "Cuidado con iniciativas simbólicas que buscan confundir"</t>
    </r>
    <r>
      <rPr>
        <rFont val="Arial, sans-serif"/>
        <color rgb="FF1155CC"/>
        <sz val="11.0"/>
        <u/>
      </rPr>
      <t>La vicepresidenta tercera y ministra para la Transición Ecológica, Teresa Ribera, no cree que el combustible sintético sea "la respuesta para lo que la.</t>
    </r>
    <r>
      <rPr>
        <rFont val="Arial, sans-serif"/>
        <color rgb="FF1155CC"/>
        <sz val="12.0"/>
        <u/>
      </rPr>
      <t>.</t>
    </r>
    <r>
      <rPr>
        <rFont val="Arial, sans-serif"/>
        <color rgb="FF1155CC"/>
        <sz val="11.0"/>
        <u/>
      </rPr>
      <t>24 mar 2024</t>
    </r>
  </si>
  <si>
    <t>Ribera vuelve a la carga contra Repsol: "Cuidado con iniciativas simbólicas que buscan confundir"</t>
  </si>
  <si>
    <t>La vicepresidenta tercera y ministra para la Transición Ecológica, Teresa Ribera, no cree que el combustible sintético sea "la respuesta para lo que la...</t>
  </si>
  <si>
    <t>Ribera returns to the charge against Repsol: "Be careful with symbolic initiatives that seek to confuse"</t>
  </si>
  <si>
    <t>The third vice president and minister for the Ecological Transition, Teresa Ribera, does not believe that synthetic fuel is "the answer for what...</t>
  </si>
  <si>
    <t>Repsol government dispute, misleading advertising</t>
  </si>
  <si>
    <t>Disputa del gobierno Repsol, publicidad engañosa</t>
  </si>
  <si>
    <t>Government scrutiny may impact Repsol’s sustainability credibility.</t>
  </si>
  <si>
    <t>iniciativas simbólicas, confundir</t>
  </si>
  <si>
    <r>
      <rPr>
        <rFont val="Arial, sans-serif"/>
        <color rgb="FF1155CC"/>
        <sz val="9.0"/>
        <u/>
      </rPr>
      <t>Economía Digital</t>
    </r>
    <r>
      <rPr>
        <rFont val="Arial, sans-serif"/>
        <color rgb="FF1155CC"/>
        <sz val="15.0"/>
        <u/>
      </rPr>
      <t>Repsol utiliza la eléctrica que compró a Juan Roig como ariete comercial en la guerra contra Iberdrola</t>
    </r>
    <r>
      <rPr>
        <rFont val="Arial, sans-serif"/>
        <color rgb="FF1155CC"/>
        <sz val="11.0"/>
        <u/>
      </rPr>
      <t>Iberdrola denunció a Repsol por competencia desleal con el uso de 'ecopostureo' en su publicidad. La petrolera se revolvió, y lanzó el mensaje de que el...</t>
    </r>
    <r>
      <rPr>
        <rFont val="Arial, sans-serif"/>
        <color rgb="FF1155CC"/>
        <sz val="12.0"/>
        <u/>
      </rPr>
      <t>.</t>
    </r>
    <r>
      <rPr>
        <rFont val="Arial, sans-serif"/>
        <color rgb="FF1155CC"/>
        <sz val="11.0"/>
        <u/>
      </rPr>
      <t>24 mar 2024</t>
    </r>
  </si>
  <si>
    <t>Repsol utiliza la eléctrica que compró a Juan Roig como ariete comercial en la guerra contra Iberdrola</t>
  </si>
  <si>
    <t>Iberdrola denunció a Repsol por competencia desleal con el uso de 'ecopostureo' en su publicidad. La petrolera se revolvió, y lanzó el mensaje de que el....</t>
  </si>
  <si>
    <t>Repsol uses the electricity company it bought from Juan Roig as a commercial striker in the war against Iberdrola</t>
  </si>
  <si>
    <t>Iberdrola sued Repsol for unfair competition with the use of 'ecopostureo' in its advertising. The oil company revolted, and sent the message that the...</t>
  </si>
  <si>
    <t>competencia desleal, ecopostureo</t>
  </si>
  <si>
    <r>
      <rPr>
        <rFont val="Arial, sans-serif"/>
        <color rgb="FF1155CC"/>
        <sz val="9.0"/>
        <u/>
      </rPr>
      <t>Box Repsol</t>
    </r>
    <r>
      <rPr>
        <rFont val="Arial, sans-serif"/>
        <color rgb="FF1155CC"/>
        <sz val="15.0"/>
        <u/>
      </rPr>
      <t>Resultados del GP de Portugal de MotoGP 2024</t>
    </r>
    <r>
      <rPr>
        <rFont val="Arial, sans-serif"/>
        <color rgb="FF1155CC"/>
        <sz val="11.0"/>
        <u/>
      </rPr>
      <t>El broche final del Gran Premio de Portugal ha llegado con la carrera principal de la categoría reina. 25 vueltas al circuito portugués han permitido que...</t>
    </r>
    <r>
      <rPr>
        <rFont val="Arial, sans-serif"/>
        <color rgb="FF1155CC"/>
        <sz val="12.0"/>
        <u/>
      </rPr>
      <t>.</t>
    </r>
    <r>
      <rPr>
        <rFont val="Arial, sans-serif"/>
        <color rgb="FF1155CC"/>
        <sz val="11.0"/>
        <u/>
      </rPr>
      <t>24 mar 2024</t>
    </r>
  </si>
  <si>
    <t>Resultados del GP de Portugal de MotoGP 2024</t>
  </si>
  <si>
    <t>El broche final del Gran Premio de Portugal ha llegado con la carrera principal de la categoría reina. 25 vueltas al circuito portugués han permitido que...</t>
  </si>
  <si>
    <t>Results of the 2024 MotoGP Portuguese GP</t>
  </si>
  <si>
    <t>The final touch of the Portuguese Grand Prix has come with the main race of the premier category. 25 laps of the Portuguese circuit have allowed...</t>
  </si>
  <si>
    <r>
      <rPr>
        <rFont val="Arial, sans-serif"/>
        <color rgb="FF1155CC"/>
        <sz val="9.0"/>
        <u/>
      </rPr>
      <t>El Periódico de la Energía</t>
    </r>
    <r>
      <rPr>
        <rFont val="Arial, sans-serif"/>
        <color rgb="FF1155CC"/>
        <sz val="15.0"/>
        <u/>
      </rPr>
      <t>Entran los Certificados de Ahorro Energético en juego: las energéticas tienen que demostrar inversiones por 510 millones en 2024</t>
    </r>
    <r>
      <rPr>
        <rFont val="Arial, sans-serif"/>
        <color rgb="FF1155CC"/>
        <sz val="11.0"/>
        <u/>
      </rPr>
      <t>En total, las empresas energéticas tendrían que destinar al Fondo Nacional de Eficiencia Energética algo más de 784 millones sin CAEs.</t>
    </r>
    <r>
      <rPr>
        <rFont val="Arial, sans-serif"/>
        <color rgb="FF1155CC"/>
        <sz val="12.0"/>
        <u/>
      </rPr>
      <t>.</t>
    </r>
    <r>
      <rPr>
        <rFont val="Arial, sans-serif"/>
        <color rgb="FF1155CC"/>
        <sz val="11.0"/>
        <u/>
      </rPr>
      <t>24 mar 2024</t>
    </r>
  </si>
  <si>
    <t>Entran los Certificados de Ahorro Energético en juego: las energéticas tienen que demostrar inversiones por 510 millones en 2024</t>
  </si>
  <si>
    <t>Las empresas energéticas tendrían que destinar al Fondo Nacional de Eficiencia Energética algo más de 784 millones sin CAEs.</t>
  </si>
  <si>
    <t>Energy Savings Certificates come into play: energy companies have to demonstrate investments of 510 million in 2024</t>
  </si>
  <si>
    <t>Energy companies would have to allocate slightly more than 784 million to the National Energy Efficiency Fund without CAEs.</t>
  </si>
  <si>
    <r>
      <rPr>
        <rFont val="Arial, sans-serif"/>
        <color rgb="FF1155CC"/>
        <sz val="9.0"/>
        <u/>
      </rPr>
      <t>La Voz de Galicia</t>
    </r>
    <r>
      <rPr>
        <rFont val="Arial, sans-serif"/>
        <color rgb="FF1155CC"/>
        <sz val="15.0"/>
        <u/>
      </rPr>
      <t>Los dos soletes mantienen su brillo</t>
    </r>
    <r>
      <rPr>
        <rFont val="Arial, sans-serif"/>
        <color rgb="FF1155CC"/>
        <sz val="11.0"/>
        <u/>
      </rPr>
      <t>La guía Repsol revalidó ese reconocimiento ya otorgado el pasado año para Argentinos Burguer en A Estrada y Pan de Soutelo, en Forcarei.</t>
    </r>
    <r>
      <rPr>
        <rFont val="Arial, sans-serif"/>
        <color rgb="FF1155CC"/>
        <sz val="12.0"/>
        <u/>
      </rPr>
      <t>.</t>
    </r>
    <r>
      <rPr>
        <rFont val="Arial, sans-serif"/>
        <color rgb="FF1155CC"/>
        <sz val="11.0"/>
        <u/>
      </rPr>
      <t>24 mar 2024</t>
    </r>
  </si>
  <si>
    <t>Los dos soletes mantienen su brillo</t>
  </si>
  <si>
    <t>La guía Repsol revalidó ese reconocimiento ya otorgado el pasado año para Argentinos Burguer en A Estrada y Pan de Soutelo, en Forcarei.</t>
  </si>
  <si>
    <t>The two suns maintain their shine</t>
  </si>
  <si>
    <t>The Repsol guide revalidated that recognition already granted last year to Argentinos Burguer in A Estrada and Pan de Soutelo, in Forcarei.</t>
  </si>
  <si>
    <r>
      <rPr>
        <rFont val="Arial, sans-serif"/>
        <color rgb="FF1155CC"/>
        <sz val="9.0"/>
        <u/>
      </rPr>
      <t>El Confidencial</t>
    </r>
    <r>
      <rPr>
        <rFont val="Arial, sans-serif"/>
        <color rgb="FF1155CC"/>
        <sz val="15.0"/>
        <u/>
      </rPr>
      <t>Este restaurante es uno de esos secretos que contar a los amigos: trata como nadie los pescados a la brasa</t>
    </r>
    <r>
      <rPr>
        <rFont val="Arial, sans-serif"/>
        <color rgb="FF1155CC"/>
        <sz val="11.0"/>
        <u/>
      </rPr>
      <t>En el número 44 de la calle Ibiza, cerca de El Retiro, luce un establecimiento especializado en pescados de las costas españolas que ha sido galardonado...</t>
    </r>
    <r>
      <rPr>
        <rFont val="Arial, sans-serif"/>
        <color rgb="FF1155CC"/>
        <sz val="12.0"/>
        <u/>
      </rPr>
      <t>.</t>
    </r>
    <r>
      <rPr>
        <rFont val="Arial, sans-serif"/>
        <color rgb="FF1155CC"/>
        <sz val="11.0"/>
        <u/>
      </rPr>
      <t>24 mar 2024</t>
    </r>
  </si>
  <si>
    <t>Este restaurante es uno de esos secretos que contar a los amigos: trata como nadie los pescados a la brasa</t>
  </si>
  <si>
    <t>Este restaurante es uno de esos secretos que contar a los amigos: trata como nadie los pescados a la brasa. En el número 44 de la calle Ibiza, cerca de El Retiro, luce un establecimiento especializado en pescados de las costas españolas que ha sido galardonado....</t>
  </si>
  <si>
    <t>This restaurant is one of those secrets to tell your friends: it treats grilled fish like no other.</t>
  </si>
  <si>
    <t>This restaurant is one of those secrets to tell your friends: it treats grilled fish like no other. At number 44 Ibiza Street, near El Retiro, there is an award-winning establishment specializing in fish from the Spanish coast....</t>
  </si>
  <si>
    <r>
      <rPr>
        <rFont val="Arial, sans-serif"/>
        <color rgb="FF1155CC"/>
        <sz val="9.0"/>
        <u/>
      </rPr>
      <t>Expansión</t>
    </r>
    <r>
      <rPr>
        <rFont val="Arial, sans-serif"/>
        <color rgb="FF1155CC"/>
        <sz val="15.0"/>
        <u/>
      </rPr>
      <t>Reunión del jurado de los Premios Compliance de EXPANSIÓN</t>
    </r>
    <r>
      <rPr>
        <rFont val="Arial, sans-serif"/>
        <color rgb="FF1155CC"/>
        <sz val="11.0"/>
        <u/>
      </rPr>
      <t>Fila de atrás (de izq. a dcha.): Iranzu Presmanes (Acciona), Rodrigo García-Vega Redondo (Acerinox), Alberto Soto Vicente (Aedas Homes), Juan Francisco...</t>
    </r>
    <r>
      <rPr>
        <rFont val="Arial, sans-serif"/>
        <color rgb="FF1155CC"/>
        <sz val="12.0"/>
        <u/>
      </rPr>
      <t>.</t>
    </r>
    <r>
      <rPr>
        <rFont val="Arial, sans-serif"/>
        <color rgb="FF1155CC"/>
        <sz val="11.0"/>
        <u/>
      </rPr>
      <t>24 mar 2024</t>
    </r>
  </si>
  <si>
    <t>Reunión del jurado de los Premios Compliance de EXPANSIÓN</t>
  </si>
  <si>
    <t>Reunión del jurado de los Premios Compliance de EXPANSIÓN. Fila de atrás (de izq. a dcha.): Iranzu Presmanes (Acciona), Rodrigo García-Vega Redondo (Acerinox), Alberto Soto Vicente (Aedas Homes), Juan Francisco....</t>
  </si>
  <si>
    <t>EXPANSIÓN Compliance Awards jury meeting</t>
  </si>
  <si>
    <t>EXPANSIÓN Compliance Awards jury meeting. Back row (from left to right): Iranzu Presmanes (Acciona), Rodrigo García-Vega Redondo (Acerinox), Alberto Soto Vicente (Aedas Homes), Juan Francisco....</t>
  </si>
  <si>
    <r>
      <rPr>
        <rFont val="Arial, sans-serif"/>
        <color rgb="FF1155CC"/>
        <sz val="9.0"/>
        <u/>
      </rPr>
      <t>La Razón</t>
    </r>
    <r>
      <rPr>
        <rFont val="Arial, sans-serif"/>
        <color rgb="FF1155CC"/>
        <sz val="15.0"/>
        <u/>
      </rPr>
      <t>Ribera sigue su cruzada contra las petroleras: "El combustible sintético sólo sirve para quien tenga un M</t>
    </r>
    <r>
      <rPr>
        <rFont val="Arial, sans-serif"/>
        <color rgb="FF1155CC"/>
        <sz val="11.0"/>
        <u/>
      </rPr>
      <t>La ministra para la Transición Ecológica sostiene que en 2040 o 2050 es "lógico pensar que no se va a necesitar gasolina o gasoil"</t>
    </r>
    <r>
      <rPr>
        <rFont val="Arial, sans-serif"/>
        <color rgb="FF1155CC"/>
        <sz val="12.0"/>
        <u/>
      </rPr>
      <t>.</t>
    </r>
    <r>
      <rPr>
        <rFont val="Arial, sans-serif"/>
        <color rgb="FF1155CC"/>
        <sz val="11.0"/>
        <u/>
      </rPr>
      <t>24 mar 2024</t>
    </r>
  </si>
  <si>
    <t>Ribera sigue su cruzada contra las petroleras: "El combustible sintético sólo sirve para quien tenga un M</t>
  </si>
  <si>
    <t>La ministra para la Transición Ecológica sostiene que en 2040 o 2050 es "lógico pensar que no se va a necesitar gasolina o gasoil".</t>
  </si>
  <si>
    <t>Ribera continues his crusade against the oil companies: "Synthetic fuel only works for those who have a M</t>
  </si>
  <si>
    <t>The Minister for the Ecological Transition maintains that in 2040 or 2050 it is "logical to think that gasoline or diesel will not be needed."</t>
  </si>
  <si>
    <t>Government scrutiny may affect Repsol’s sustainability credibility.</t>
  </si>
  <si>
    <t>combustible sintético, petroleras</t>
  </si>
  <si>
    <r>
      <rPr>
        <rFont val="Arial, sans-serif"/>
        <color rgb="FF1155CC"/>
        <sz val="9.0"/>
        <u/>
      </rPr>
      <t>20Minutos</t>
    </r>
    <r>
      <rPr>
        <rFont val="Arial, sans-serif"/>
        <color rgb="FF1155CC"/>
        <sz val="15.0"/>
        <u/>
      </rPr>
      <t>15 restaurantes en pueblos bonitos cerca de Madrid para escaparse a comer en Semana Santa</t>
    </r>
    <r>
      <rPr>
        <rFont val="Arial, sans-serif"/>
        <color rgb="FF1155CC"/>
        <sz val="11.0"/>
        <u/>
      </rPr>
      <t>Las visitas turísticas, por cortas que sean, siempre necesitan de una buena mesa para degustar de la gastronomía autóctona e incluso justifican el...</t>
    </r>
    <r>
      <rPr>
        <rFont val="Arial, sans-serif"/>
        <color rgb="FF1155CC"/>
        <sz val="12.0"/>
        <u/>
      </rPr>
      <t>.</t>
    </r>
    <r>
      <rPr>
        <rFont val="Arial, sans-serif"/>
        <color rgb="FF1155CC"/>
        <sz val="11.0"/>
        <u/>
      </rPr>
      <t>24 mar 2024</t>
    </r>
  </si>
  <si>
    <t>15 restaurantes en pueblos bonitos cerca de Madrid para escaparse a comer en Semana Santa</t>
  </si>
  <si>
    <t>Las visitas turísticas, por cortas que sean, siempre necesitan de una buena mesa para degustar de la gastronomía autóctona e incluso justifican el....</t>
  </si>
  <si>
    <t>15 restaurants in beautiful towns near Madrid to escape to eat during Holy Week</t>
  </si>
  <si>
    <t>Tourist visits, no matter how short, always require a good table to taste the native cuisine and even justify the...</t>
  </si>
  <si>
    <r>
      <rPr>
        <rFont val="Arial, sans-serif"/>
        <color rgb="FF1155CC"/>
        <sz val="9.0"/>
        <u/>
      </rPr>
      <t>Brand Finance</t>
    </r>
    <r>
      <rPr>
        <rFont val="Arial, sans-serif"/>
        <color rgb="FF1155CC"/>
        <sz val="15.0"/>
        <u/>
      </rPr>
      <t>Repsol pierde gas en posicionamiento sectorial</t>
    </r>
    <r>
      <rPr>
        <rFont val="Arial, sans-serif"/>
        <color rgb="FF1155CC"/>
        <sz val="11.0"/>
        <u/>
      </rPr>
      <t>Nuevos datos de Brand Finance resaltan estabilidad para las principales marcas de petróleo y gas a nivel mundial. Repsol sigue siendo la marca de petróleo y...</t>
    </r>
    <r>
      <rPr>
        <rFont val="Arial, sans-serif"/>
        <color rgb="FF1155CC"/>
        <sz val="12.0"/>
        <u/>
      </rPr>
      <t>.</t>
    </r>
    <r>
      <rPr>
        <rFont val="Arial, sans-serif"/>
        <color rgb="FF1155CC"/>
        <sz val="11.0"/>
        <u/>
      </rPr>
      <t>25 mar 2024</t>
    </r>
  </si>
  <si>
    <t>Brand Finance</t>
  </si>
  <si>
    <t>Repsol pierde gas en posicionamiento sectorial</t>
  </si>
  <si>
    <t>Nuevos datos de Brand Finance resaltan estabilidad para las principales marcas de petróleo y gas a nivel mundial. Repsol sigue siendo la marca de petróleo y....</t>
  </si>
  <si>
    <t>Repsol loses gas in sector positioning</t>
  </si>
  <si>
    <t>New data from Brand Finance highlights stability for the world's leading oil and gas brands. Repsol continues to be the oil brand and....</t>
  </si>
  <si>
    <t>Repsol brand ranking, market positioning</t>
  </si>
  <si>
    <t>Ranking de marca Repsol, posicionamiento en el mercado</t>
  </si>
  <si>
    <t>Declining market position could affect Repsol’s corporate perception.</t>
  </si>
  <si>
    <t>posicionamiento sectorial, petróleo</t>
  </si>
  <si>
    <t>Slightly negative sentiment due to Repsol's declining sector positioning.</t>
  </si>
  <si>
    <t>Sentimiento ligeramente negativo por el menor posicionamiento sectorial de Repsol.</t>
  </si>
  <si>
    <r>
      <rPr>
        <rFont val="Arial, sans-serif"/>
        <color rgb="FF1155CC"/>
        <sz val="9.0"/>
        <u/>
      </rPr>
      <t>El Periódico de la Energía</t>
    </r>
    <r>
      <rPr>
        <rFont val="Arial, sans-serif"/>
        <color rgb="FF1155CC"/>
        <sz val="15.0"/>
        <u/>
      </rPr>
      <t>Repsol inicia un programa de recompra de acciones por más de 913 millones de euros</t>
    </r>
    <r>
      <rPr>
        <rFont val="Arial, sans-serif"/>
        <color rgb="FF1155CC"/>
        <sz val="11.0"/>
        <u/>
      </rPr>
      <t>Repsol arrancará este martes 26 de marzo un programa de recompra de acciones por un importe máximo de 913,92 millones de euros.</t>
    </r>
    <r>
      <rPr>
        <rFont val="Arial, sans-serif"/>
        <color rgb="FF1155CC"/>
        <sz val="12.0"/>
        <u/>
      </rPr>
      <t>.</t>
    </r>
    <r>
      <rPr>
        <rFont val="Arial, sans-serif"/>
        <color rgb="FF1155CC"/>
        <sz val="11.0"/>
        <u/>
      </rPr>
      <t>25 mar 2024</t>
    </r>
  </si>
  <si>
    <t>Repsol inicia un programa de recompra de acciones por más de 913 millones de euros</t>
  </si>
  <si>
    <t>Repsol arrancará este martes 26 de marzo un programa de recompra de acciones por un importe máximo de 913,92 millones de euros.</t>
  </si>
  <si>
    <t>Repsol begins a share repurchase program for more than 913 million euros</t>
  </si>
  <si>
    <t>This Tuesday, March 26, Repsol will start a share buyback program for a maximum amount of 913.92 million euros.</t>
  </si>
  <si>
    <t>Repsol stock buyback, investor returns</t>
  </si>
  <si>
    <t>Recompra de acciones de Repsol, rendimiento para los inversores</t>
  </si>
  <si>
    <t>Stock repurchase programs typically signal confidence in financial performance.</t>
  </si>
  <si>
    <t>recompra de acciones, millones</t>
  </si>
  <si>
    <r>
      <rPr>
        <rFont val="Arial, sans-serif"/>
        <color rgb="FF1155CC"/>
        <sz val="9.0"/>
        <u/>
      </rPr>
      <t>Maldita.es</t>
    </r>
    <r>
      <rPr>
        <rFont val="Arial, sans-serif"/>
        <color rgb="FF1155CC"/>
        <sz val="15.0"/>
        <u/>
      </rPr>
      <t>Las demandas a Repsol por ‘greenwashing’: preguntas y respuestas</t>
    </r>
    <r>
      <rPr>
        <rFont val="Arial, sans-serif"/>
        <color rgb="FF1155CC"/>
        <sz val="11.0"/>
        <u/>
      </rPr>
      <t>En febrero de 2024, Iberdrola demandó a Repsol por “competencia desleal y publicidad engañosa por greenwashing”; En febrero de 2025 se desestimó la demanda...</t>
    </r>
    <r>
      <rPr>
        <rFont val="Arial, sans-serif"/>
        <color rgb="FF1155CC"/>
        <sz val="12.0"/>
        <u/>
      </rPr>
      <t>.</t>
    </r>
    <r>
      <rPr>
        <rFont val="Arial, sans-serif"/>
        <color rgb="FF1155CC"/>
        <sz val="11.0"/>
        <u/>
      </rPr>
      <t>25 mar 2024</t>
    </r>
  </si>
  <si>
    <t>Maldita.es</t>
  </si>
  <si>
    <t>Las demandas a Repsol por ‘greenwashing’: preguntas y respuestas</t>
  </si>
  <si>
    <t>En febrero de 2024, Iberdrola demandó a Repsol por “competencia desleal y publicidad engañosa por greenwashing”; En febrero de 2025 se desestimó la demanda.</t>
  </si>
  <si>
    <t>Lawsuits against Repsol for 'greenwashing': questions and answers</t>
  </si>
  <si>
    <t>In February 2024, Iberdrola sued Repsol for “unfair competition and misleading advertising due to greenwashing”; In February 2025 the lawsuit was dismissed.</t>
  </si>
  <si>
    <t>Legal challenges over sustainability claims could harm Repsol’s corporate image.</t>
  </si>
  <si>
    <t>demandas, greenwashing</t>
  </si>
  <si>
    <r>
      <rPr>
        <rFont val="Arial, sans-serif"/>
        <color rgb="FF1155CC"/>
        <sz val="9.0"/>
        <u/>
      </rPr>
      <t>Interempresas.net</t>
    </r>
    <r>
      <rPr>
        <rFont val="Arial, sans-serif"/>
        <color rgb="FF1155CC"/>
        <sz val="15.0"/>
        <u/>
      </rPr>
      <t>Repsol y Bosch Rexroth se unen para impulsar la eficiencia y la sostenibilidad industrial</t>
    </r>
    <r>
      <rPr>
        <rFont val="Arial, sans-serif"/>
        <color rgb="FF1155CC"/>
        <sz val="11.0"/>
        <u/>
      </rPr>
      <t>Bosch Rexroth y Repsol anunciaron el arranque de su colaboración para apoyar a las empresas a la hora de desarrollar soluciones que no solo mejoren su...</t>
    </r>
    <r>
      <rPr>
        <rFont val="Arial, sans-serif"/>
        <color rgb="FF1155CC"/>
        <sz val="12.0"/>
        <u/>
      </rPr>
      <t>.</t>
    </r>
    <r>
      <rPr>
        <rFont val="Arial, sans-serif"/>
        <color rgb="FF1155CC"/>
        <sz val="11.0"/>
        <u/>
      </rPr>
      <t>25 mar 2024</t>
    </r>
  </si>
  <si>
    <t>Repsol y Bosch Rexroth se unen para impulsar la eficiencia y la sostenibilidad industrial</t>
  </si>
  <si>
    <t>Bosch Rexroth y Repsol anunciaron el arranque de su colaboración para apoyar a las empresas a la hora de desarrollar soluciones que no solo mejoren su....</t>
  </si>
  <si>
    <t>Repsol and Bosch Rexroth join forces to promote industrial efficiency and sustainability</t>
  </si>
  <si>
    <t>Bosch Rexroth and Repsol announced the start of their collaboration to support companies in developing solutions that not only improve their...</t>
  </si>
  <si>
    <t>Repsol energy efficiency, business partnership</t>
  </si>
  <si>
    <t>Repsol eficiencia energética, alianza empresarial</t>
  </si>
  <si>
    <t>Expanding partnerships in energy efficiency supports Repsol’s innovation profile.</t>
  </si>
  <si>
    <t>eficiencia, sostenibilidad</t>
  </si>
  <si>
    <t>Positive sentiment due to Repsol's collaboration for sustainability.</t>
  </si>
  <si>
    <t>Sentimiento positivo por la colaboración de Repsol por la sostenibilidad.</t>
  </si>
  <si>
    <r>
      <rPr>
        <rFont val="Arial, sans-serif"/>
        <color rgb="FF1155CC"/>
        <sz val="9.0"/>
        <u/>
      </rPr>
      <t>Expansión</t>
    </r>
    <r>
      <rPr>
        <rFont val="Arial, sans-serif"/>
        <color rgb="FF1155CC"/>
        <sz val="15.0"/>
        <u/>
      </rPr>
      <t>Repsol rompe el poder de Iberdrola y Endesa en el mercado eléctrico</t>
    </r>
    <r>
      <rPr>
        <rFont val="Arial, sans-serif"/>
        <color rgb="FF1155CC"/>
        <sz val="11.0"/>
        <u/>
      </rPr>
      <t>Repsol, la primera petrolera española, que hace tiempo lanzó ofertas de luz y gas, ha conseguido abrir un boquete comercial a Iberdrola, Endesa y Naturgy,...</t>
    </r>
    <r>
      <rPr>
        <rFont val="Arial, sans-serif"/>
        <color rgb="FF1155CC"/>
        <sz val="12.0"/>
        <u/>
      </rPr>
      <t>.</t>
    </r>
    <r>
      <rPr>
        <rFont val="Arial, sans-serif"/>
        <color rgb="FF1155CC"/>
        <sz val="11.0"/>
        <u/>
      </rPr>
      <t>25 mar 2024</t>
    </r>
  </si>
  <si>
    <t>Repsol rompe el poder de Iberdrola y Endesa en el mercado eléctrico</t>
  </si>
  <si>
    <t>Repsol, la primera petrolera española, que hace tiempo lanzó ofertas de luz y gas, ha conseguido abrir un boquete comercial a Iberdrola, Endesa y Naturgy,....</t>
  </si>
  <si>
    <t>Repsol breaks the power of Iberdrola and Endesa in the electricity market</t>
  </si>
  <si>
    <t>Repsol, the first Spanish oil company, which long ago launched offers for electricity and gas, has managed to open a commercial gap to Iberdrola, Endesa and Naturgy....</t>
  </si>
  <si>
    <t>Repsol electricity market, energy competition</t>
  </si>
  <si>
    <t>Mercado eléctrico de Repsol, competencia energética</t>
  </si>
  <si>
    <t>Expanding electricity services could strengthen Repsol’s competitive position.</t>
  </si>
  <si>
    <t>rompe el poder (dominance)</t>
  </si>
  <si>
    <t>Positive for Repsol's market expansion.</t>
  </si>
  <si>
    <t>Positivo para la expansión de mercado de Repsol.</t>
  </si>
  <si>
    <r>
      <rPr>
        <rFont val="Arial, sans-serif"/>
        <color rgb="FF1155CC"/>
        <sz val="9.0"/>
        <u/>
      </rPr>
      <t>Repsol</t>
    </r>
    <r>
      <rPr>
        <rFont val="Arial, sans-serif"/>
        <color rgb="FF1155CC"/>
        <sz val="15.0"/>
        <u/>
      </rPr>
      <t>ODS 9: Industria, innovación e infraestructuras</t>
    </r>
    <r>
      <rPr>
        <rFont val="Arial, sans-serif"/>
        <color rgb="FF1155CC"/>
        <sz val="11.0"/>
        <u/>
      </rPr>
      <t>El ODS 9 busca fomentar la innovación y construir infraestructuras resilientes, promoviendo la industrialización inclusiva y sostenible.</t>
    </r>
    <r>
      <rPr>
        <rFont val="Arial, sans-serif"/>
        <color rgb="FF1155CC"/>
        <sz val="12.0"/>
        <u/>
      </rPr>
      <t>.</t>
    </r>
    <r>
      <rPr>
        <rFont val="Arial, sans-serif"/>
        <color rgb="FF1155CC"/>
        <sz val="11.0"/>
        <u/>
      </rPr>
      <t>25 mar 2024</t>
    </r>
  </si>
  <si>
    <t>El ODS 9 busca fomentar la innovación y construir infraestructuras resilientes, promoviendo la industrialización inclusiva y sostenible.</t>
  </si>
  <si>
    <t>SDG 9 seeks to foster innovation and build resilient infrastructure, promoting inclusive and sustainable industrialization.</t>
  </si>
  <si>
    <r>
      <rPr>
        <rFont val="Arial, sans-serif"/>
        <color rgb="FF1155CC"/>
        <sz val="9.0"/>
        <u/>
      </rPr>
      <t>Moto1Pro</t>
    </r>
    <r>
      <rPr>
        <rFont val="Arial, sans-serif"/>
        <color rgb="FF1155CC"/>
        <sz val="15.0"/>
        <u/>
      </rPr>
      <t>Doblete para el Repsol Honda Team en Gironella</t>
    </r>
    <r>
      <rPr>
        <rFont val="Arial, sans-serif"/>
        <color rgb="FF1155CC"/>
        <sz val="11.0"/>
        <u/>
      </rPr>
      <t>Punto final a la tercera cita de la temporada del Campeonato de España en Gironella, Barcelona. Los pilotos del Repsol Honda Team han realizado una gran...</t>
    </r>
    <r>
      <rPr>
        <rFont val="Arial, sans-serif"/>
        <color rgb="FF1155CC"/>
        <sz val="12.0"/>
        <u/>
      </rPr>
      <t>.</t>
    </r>
    <r>
      <rPr>
        <rFont val="Arial, sans-serif"/>
        <color rgb="FF1155CC"/>
        <sz val="11.0"/>
        <u/>
      </rPr>
      <t>25 mar 2024</t>
    </r>
  </si>
  <si>
    <t>Doblete para el Repsol Honda Team en Gironella</t>
  </si>
  <si>
    <t>Punto final a la tercera cita de la temporada del Campeonato de España en Gironella, Barcelona. Los pilotos del Repsol Honda Team han realizado una gran....</t>
  </si>
  <si>
    <t>Double for the Repsol Honda Team in Gironella</t>
  </si>
  <si>
    <t>Final point to the third event of the Spanish Championship season in Gironella, Barcelona. The Repsol Honda Team riders have done a great job....</t>
  </si>
  <si>
    <r>
      <rPr>
        <rFont val="Arial, sans-serif"/>
        <color rgb="FF1155CC"/>
        <sz val="9.0"/>
        <u/>
      </rPr>
      <t>Guía Repsol</t>
    </r>
    <r>
      <rPr>
        <rFont val="Arial, sans-serif"/>
        <color rgb="FF1155CC"/>
        <sz val="15.0"/>
        <u/>
      </rPr>
      <t>Estrenar la primavera en los Soletes de Zamora</t>
    </r>
    <r>
      <rPr>
        <rFont val="Arial, sans-serif"/>
        <color rgb="FF1155CC"/>
        <sz val="11.0"/>
        <u/>
      </rPr>
      <t>La Semana Santa de Zamora, sobria e impactante, fue la primera en toda España en recibir el nombramiento de Bien de Interés Cultural. "Austeridad y recogim.</t>
    </r>
    <r>
      <rPr>
        <rFont val="Arial, sans-serif"/>
        <color rgb="FF1155CC"/>
        <sz val="12.0"/>
        <u/>
      </rPr>
      <t>.</t>
    </r>
    <r>
      <rPr>
        <rFont val="Arial, sans-serif"/>
        <color rgb="FF1155CC"/>
        <sz val="11.0"/>
        <u/>
      </rPr>
      <t>25 mar 2024</t>
    </r>
  </si>
  <si>
    <t>La Semana Santa de Zamora, sobria e impactante, fue la primera en toda España en recibir el nombramiento de Bien de Interés Cultural.</t>
  </si>
  <si>
    <t>La Semana Santa de Zamora, sobria e impactante, fue la primera en toda España en recibir el nombramiento de Bien de Interés Cultural. "Austeridad y recogim..</t>
  </si>
  <si>
    <t>Holy Week in Zamora, sober and impressive, was the first in all of Spain to receive the designation of Asset of Cultural Interest.</t>
  </si>
  <si>
    <t>Holy Week in Zamora, sober and impressive, was the first in all of Spain to receive the designation of Asset of Cultural Interest. "Austerity and recollection..</t>
  </si>
  <si>
    <r>
      <rPr>
        <rFont val="Arial, sans-serif"/>
        <color rgb="FF1155CC"/>
        <sz val="9.0"/>
        <u/>
      </rPr>
      <t>IPMARK</t>
    </r>
    <r>
      <rPr>
        <rFont val="Arial, sans-serif"/>
        <color rgb="FF1155CC"/>
        <sz val="15.0"/>
        <u/>
      </rPr>
      <t>Shell, marca de petróleo y gas más valiosa del mundo</t>
    </r>
    <r>
      <rPr>
        <rFont val="Arial, sans-serif"/>
        <color rgb="FF1155CC"/>
        <sz val="11.0"/>
        <u/>
      </rPr>
      <t>Repsol es la única española en la lista de las 50 más valiosas del mundo. Cepsa, aunque crece, se queda a las puertas de entrar. Shell, marca de petróleo y...</t>
    </r>
    <r>
      <rPr>
        <rFont val="Arial, sans-serif"/>
        <color rgb="FF1155CC"/>
        <sz val="12.0"/>
        <u/>
      </rPr>
      <t>.</t>
    </r>
    <r>
      <rPr>
        <rFont val="Arial, sans-serif"/>
        <color rgb="FF1155CC"/>
        <sz val="11.0"/>
        <u/>
      </rPr>
      <t>25 mar 2024</t>
    </r>
  </si>
  <si>
    <t>Repsol es la única española en la lista de las 50 más valiosas del mundo.</t>
  </si>
  <si>
    <t>Repsol es la única española en la lista de las 50 más valiosas del mundo. Cepsa, aunque crece, se queda a las puertas de entrar. Shell, marca de petróleo y....</t>
  </si>
  <si>
    <t>Repsol is the only Spanish company on the list of the 50 most valuable in the world.</t>
  </si>
  <si>
    <t>Repsol is the only Spanish company on the list of the 50 most valuable in the world. Cepsa, although it grows, remains on the verge of entering. Shell, oil brand and....</t>
  </si>
  <si>
    <t>Repsol sustainability ranking, corporate responsibility</t>
  </si>
  <si>
    <t>Ranking de sostenibilidad Repsol, responsabilidad corporativa</t>
  </si>
  <si>
    <t>Recognition for sustainability efforts enhances Repsol’s corporate image.</t>
  </si>
  <si>
    <t>única española, "valiosas"</t>
  </si>
  <si>
    <t>Strong brand prestige.</t>
  </si>
  <si>
    <t>Fuerte prestigio de marca.</t>
  </si>
  <si>
    <r>
      <rPr>
        <rFont val="Arial, sans-serif"/>
        <color rgb="FF1155CC"/>
        <sz val="9.0"/>
        <u/>
      </rPr>
      <t>El Periódico de la Energía</t>
    </r>
    <r>
      <rPr>
        <rFont val="Arial, sans-serif"/>
        <color rgb="FF1155CC"/>
        <sz val="15.0"/>
        <u/>
      </rPr>
      <t>Repsol dispara su cuota en luz al 6% con Iberdrola y Endesa como líderes, pero a la baja</t>
    </r>
    <r>
      <rPr>
        <rFont val="Arial, sans-serif"/>
        <color rgb="FF1155CC"/>
        <sz val="11.0"/>
        <u/>
      </rPr>
      <t>Iberdrola, Endesa, Naturgy y Repsol reforzaron su posicionamiento en el mercado eléctrico nacional, libre y regulado durante 2023.</t>
    </r>
    <r>
      <rPr>
        <rFont val="Arial, sans-serif"/>
        <color rgb="FF1155CC"/>
        <sz val="12.0"/>
        <u/>
      </rPr>
      <t>.</t>
    </r>
    <r>
      <rPr>
        <rFont val="Arial, sans-serif"/>
        <color rgb="FF1155CC"/>
        <sz val="11.0"/>
        <u/>
      </rPr>
      <t>25 mar 2024</t>
    </r>
  </si>
  <si>
    <t>Repsol dispara su cuota en luz al 6% con Iberdrola y Endesa como líderes, pero a la baja</t>
  </si>
  <si>
    <t>Iberdrola, Endesa, Naturgy y Repsol reforzaron su posicionamiento en el mercado eléctrico nacional, libre y regulado durante 2023.</t>
  </si>
  <si>
    <t>Repsol shoots up its electricity share to 6% with Iberdrola and Endesa as leaders, but downwards</t>
  </si>
  <si>
    <t>Iberdrola, Endesa, Naturgy and Repsol reinforced their positioning in the national, free and regulated electricity market during 2023.</t>
  </si>
  <si>
    <t>Gaining market share in electricity strengthens Repsol’s business growth.</t>
  </si>
  <si>
    <t>dispara su cuota (growth)</t>
  </si>
  <si>
    <t>Market share gains are positive.</t>
  </si>
  <si>
    <t>Las ganancias de cuota de mercado son positivas.</t>
  </si>
  <si>
    <r>
      <rPr>
        <rFont val="Arial, sans-serif"/>
        <color rgb="FF1155CC"/>
        <sz val="9.0"/>
        <u/>
      </rPr>
      <t>El Debate</t>
    </r>
    <r>
      <rPr>
        <rFont val="Arial, sans-serif"/>
        <color rgb="FF1155CC"/>
        <sz val="15.0"/>
        <u/>
      </rPr>
      <t>Estos son los empleos que generará la nueva planta de hidrógeno de Cerceda, en La Coruña</t>
    </r>
    <r>
      <rPr>
        <rFont val="Arial, sans-serif"/>
        <color rgb="FF1155CC"/>
        <sz val="11.0"/>
        <u/>
      </rPr>
      <t>La factoría promovida por Repsol, Naturgy y Reganosa aspira a producir 30.000 toneladas al año.</t>
    </r>
    <r>
      <rPr>
        <rFont val="Arial, sans-serif"/>
        <color rgb="FF1155CC"/>
        <sz val="12.0"/>
        <u/>
      </rPr>
      <t>.</t>
    </r>
    <r>
      <rPr>
        <rFont val="Arial, sans-serif"/>
        <color rgb="FF1155CC"/>
        <sz val="11.0"/>
        <u/>
      </rPr>
      <t>25 mar 2024</t>
    </r>
  </si>
  <si>
    <t>Estos son los empleos que generará la nueva planta de hidrógeno de Cerceda, en La Coruña</t>
  </si>
  <si>
    <t>La factoría promovida por Repsol, Naturgy y Reganosa aspira a producir 30.000 toneladas al año.</t>
  </si>
  <si>
    <t>These are the jobs that the new Cerceda hydrogen plant, in La Coruña, will generate</t>
  </si>
  <si>
    <t>The factory promoted by Repsol, Naturgy and Reganosa aims to produce 30,000 tons per year.</t>
  </si>
  <si>
    <t>Repsol hydrogen plant, sustainability jobs</t>
  </si>
  <si>
    <t>Planta de hidrógeno de Repsol, empleos de sostenibilidad</t>
  </si>
  <si>
    <t>Creating green jobs strengthens Repsol’s sustainability commitment.</t>
  </si>
  <si>
    <t>empleos, "nueva planta"</t>
  </si>
  <si>
    <t>Job creation and green investment.</t>
  </si>
  <si>
    <t>Creación de empleo e inversión verde.</t>
  </si>
  <si>
    <r>
      <rPr>
        <rFont val="Arial, sans-serif"/>
        <color rgb="FF1155CC"/>
        <sz val="9.0"/>
        <u/>
      </rPr>
      <t>Repsol</t>
    </r>
    <r>
      <rPr>
        <rFont val="Arial, sans-serif"/>
        <color rgb="FF1155CC"/>
        <sz val="15.0"/>
        <u/>
      </rPr>
      <t>ODS 13: Acción por el clima</t>
    </r>
    <r>
      <rPr>
        <rFont val="Arial, sans-serif"/>
        <color rgb="FF1155CC"/>
        <sz val="11.0"/>
        <u/>
      </rPr>
      <t>El Objetivo de Desarrollo Sostenible (ODS) 13 busca impulsar la acción climática a nivel global, presentándose como una oportunidad para construir un futuro...</t>
    </r>
    <r>
      <rPr>
        <rFont val="Arial, sans-serif"/>
        <color rgb="FF1155CC"/>
        <sz val="12.0"/>
        <u/>
      </rPr>
      <t>.</t>
    </r>
    <r>
      <rPr>
        <rFont val="Arial, sans-serif"/>
        <color rgb="FF1155CC"/>
        <sz val="11.0"/>
        <u/>
      </rPr>
      <t>25 mar 2024</t>
    </r>
  </si>
  <si>
    <t>Acción por el clima</t>
  </si>
  <si>
    <t>El Objetivo de Desarrollo Sostenible (ODS) 13 busca impulsar la acción climática a nivel global, presentándose como una oportunidad para construir un futuro....</t>
  </si>
  <si>
    <t>Climate action</t>
  </si>
  <si>
    <t>Sustainable Development Goal (SDG) 13 seeks to promote climate action at a global level, presenting itself as an opportunity to build a future....</t>
  </si>
  <si>
    <r>
      <rPr>
        <rFont val="Arial, sans-serif"/>
        <color rgb="FF1155CC"/>
        <sz val="9.0"/>
        <u/>
      </rPr>
      <t>elmercantil.com</t>
    </r>
    <r>
      <rPr>
        <rFont val="Arial, sans-serif"/>
        <color rgb="FF1155CC"/>
        <sz val="15.0"/>
        <u/>
      </rPr>
      <t>Repsol entra como accionista en las terminales de Bunge en Bilbao, Barcelona y Cartagena</t>
    </r>
    <r>
      <rPr>
        <rFont val="Arial, sans-serif"/>
        <color rgb="FF1155CC"/>
        <sz val="11.0"/>
        <u/>
      </rPr>
      <t>La operación para adquirir el 40% de estas instalaciones se ha cerrado por 300 millones y hasta 40 millones adicionales en pagos contingentes.</t>
    </r>
    <r>
      <rPr>
        <rFont val="Arial, sans-serif"/>
        <color rgb="FF1155CC"/>
        <sz val="12.0"/>
        <u/>
      </rPr>
      <t>.</t>
    </r>
    <r>
      <rPr>
        <rFont val="Arial, sans-serif"/>
        <color rgb="FF1155CC"/>
        <sz val="11.0"/>
        <u/>
      </rPr>
      <t>26 mar 2024</t>
    </r>
  </si>
  <si>
    <t>elmercantil.com</t>
  </si>
  <si>
    <t>Repsol entra como accionista en las terminales de Bunge en Bilbao, Barcelona y Cartagena</t>
  </si>
  <si>
    <t>La operación para adquirir el 40% de estas instalaciones se ha cerrado por 300 millones y hasta 40 millones adicionales en pagos contingentes.</t>
  </si>
  <si>
    <t>Repsol enters as a shareholder in the Bunge terminals in Bilbao, Barcelona and Cartagena</t>
  </si>
  <si>
    <t>The operation to acquire 40% of these facilities has been closed for 300 million and up to an additional 40 million in contingent payments.</t>
  </si>
  <si>
    <t>Repsol biofuel, renewable energy</t>
  </si>
  <si>
    <t>Biocombustible Repsol, energía renovable</t>
  </si>
  <si>
    <t>Expanding biofuel production aligns with Repsol’s sustainability strategy.</t>
  </si>
  <si>
    <t>entra como accionista (expansion)</t>
  </si>
  <si>
    <t>Strategic growth.</t>
  </si>
  <si>
    <t>Crecimiento estratégico.</t>
  </si>
  <si>
    <r>
      <rPr>
        <rFont val="Arial, sans-serif"/>
        <color rgb="FF1155CC"/>
        <sz val="9.0"/>
        <u/>
      </rPr>
      <t>Repsol</t>
    </r>
    <r>
      <rPr>
        <rFont val="Arial, sans-serif"/>
        <color rgb="FF1155CC"/>
        <sz val="15.0"/>
        <u/>
      </rPr>
      <t>Repsol y Bunge se alían en España para impulsar el suministro de combustibles renovables</t>
    </r>
    <r>
      <rPr>
        <rFont val="Arial, sans-serif"/>
        <color rgb="FF1155CC"/>
        <sz val="11.0"/>
        <u/>
      </rPr>
      <t>Mediante este acuerdo estratégico, Repsol incrementa su acceso a las materias primas necesarias para alcanzar su objetivo de producir hasta 1,7 millones de...</t>
    </r>
    <r>
      <rPr>
        <rFont val="Arial, sans-serif"/>
        <color rgb="FF1155CC"/>
        <sz val="12.0"/>
        <u/>
      </rPr>
      <t>.</t>
    </r>
    <r>
      <rPr>
        <rFont val="Arial, sans-serif"/>
        <color rgb="FF1155CC"/>
        <sz val="11.0"/>
        <u/>
      </rPr>
      <t>26 mar 2024</t>
    </r>
  </si>
  <si>
    <t>Repsol y Bunge se alían en España para impulsar el suministro de combustibles renovables</t>
  </si>
  <si>
    <t>Mediante este acuerdo estratégico, Repsol incrementa su acceso a las materias primas necesarias para alcanzar su objetivo de producir hasta 1,7 millones de....</t>
  </si>
  <si>
    <t>Repsol and Bunge join forces in Spain to promote the supply of renewable fuels</t>
  </si>
  <si>
    <t>Through this strategic agreement, Repsol increases its access to the raw materials necessary to achieve its objective of producing up to 1.7 million...</t>
  </si>
  <si>
    <t>Repsol biofuel, sustainability</t>
  </si>
  <si>
    <t>Biocombustible Repsol, sostenibilidad</t>
  </si>
  <si>
    <t>Strengthening biofuel development supports Repsol’s renewable energy goals.</t>
  </si>
  <si>
    <t>se alían (collaboration)</t>
  </si>
  <si>
    <t>Positive partnership.</t>
  </si>
  <si>
    <t>Asociación positiva.</t>
  </si>
  <si>
    <r>
      <rPr>
        <rFont val="Arial, sans-serif"/>
        <color rgb="FF1155CC"/>
        <sz val="9.0"/>
        <u/>
      </rPr>
      <t>Climática</t>
    </r>
    <r>
      <rPr>
        <rFont val="Arial, sans-serif"/>
        <color rgb="FF1155CC"/>
        <sz val="15.0"/>
        <u/>
      </rPr>
      <t>Goliat contra Goliat: qué significa la demanda de Iberdrola a Repsol por ‘greenwashing’</t>
    </r>
    <r>
      <rPr>
        <rFont val="Arial, sans-serif"/>
        <color rgb="FF1155CC"/>
        <sz val="11.0"/>
        <u/>
      </rPr>
      <t>Esta vez Goliat no se ha enfrentado a David, sino a otro Goliat. Iberdrola ha presentado una demanda contra Repsol, cuyas campañas de publicidad y...</t>
    </r>
    <r>
      <rPr>
        <rFont val="Arial, sans-serif"/>
        <color rgb="FF1155CC"/>
        <sz val="12.0"/>
        <u/>
      </rPr>
      <t>.</t>
    </r>
    <r>
      <rPr>
        <rFont val="Arial, sans-serif"/>
        <color rgb="FF1155CC"/>
        <sz val="11.0"/>
        <u/>
      </rPr>
      <t>26 mar 2024</t>
    </r>
  </si>
  <si>
    <t>Climática</t>
  </si>
  <si>
    <t>Goliat contra Goliat: qué significa la demanda de Iberdrola a Repsol por ‘greenwashing’</t>
  </si>
  <si>
    <t>Iberdrola ha presentado una demanda contra Repsol, cuyas campañas de publicidad y....</t>
  </si>
  <si>
    <t>Goliath against Goliath: what Iberdrola's lawsuit against Repsol for 'greenwashing' means</t>
  </si>
  <si>
    <t>Iberdrola has filed a lawsuit against Repsol, whose advertising campaigns and...</t>
  </si>
  <si>
    <t>Repsol legal dispute, greenwashing accusations</t>
  </si>
  <si>
    <t>Disputa judicial Repsol, acusaciones de greenwashing</t>
  </si>
  <si>
    <t>Legal disputes over sustainability claims can harm Repsol’s reputation.</t>
  </si>
  <si>
    <t>demanda (conflict)</t>
  </si>
  <si>
    <t>Legal dispute harms reputation.</t>
  </si>
  <si>
    <t>Las disputas legales dañan la reputación.</t>
  </si>
  <si>
    <r>
      <rPr>
        <rFont val="Arial, sans-serif"/>
        <color rgb="FF1155CC"/>
        <sz val="9.0"/>
        <u/>
      </rPr>
      <t>El Economista</t>
    </r>
    <r>
      <rPr>
        <rFont val="Arial, sans-serif"/>
        <color rgb="FF1155CC"/>
        <sz val="15.0"/>
        <u/>
      </rPr>
      <t>Repsol se olvida de Ribera y se alía con Bunge para impulsar los biocarburantes en España</t>
    </r>
    <r>
      <rPr>
        <rFont val="Arial, sans-serif"/>
        <color rgb="FF1155CC"/>
        <sz val="11.0"/>
        <u/>
      </rPr>
      <t>Repsol ha aparcado por un momento las discusiones con Iberdrola y la vicepresidenta tercera y ministra de Transición Ecológica, Teresa ...</t>
    </r>
    <r>
      <rPr>
        <rFont val="Arial, sans-serif"/>
        <color rgb="FF1155CC"/>
        <sz val="12.0"/>
        <u/>
      </rPr>
      <t>.</t>
    </r>
    <r>
      <rPr>
        <rFont val="Arial, sans-serif"/>
        <color rgb="FF1155CC"/>
        <sz val="11.0"/>
        <u/>
      </rPr>
      <t>26 mar 2024</t>
    </r>
  </si>
  <si>
    <t>Repsol se olvida de Ribera y se alía con Bunge para impulsar los biocarburantes en España</t>
  </si>
  <si>
    <t>Repsol ha aparcado por un momento las discusiones con Iberdrola y la vicepresidenta tercera y ministra de Transición Ecológica, Teresa ....</t>
  </si>
  <si>
    <t>Repsol forgets about Ribera and joins forces with Bunge to promote biofuels in Spain</t>
  </si>
  <si>
    <t>Repsol has put aside for a moment the discussions with Iberdrola and the third vice president and Minister of Ecological Transition, Teresa....</t>
  </si>
  <si>
    <t>Repsol biofuel strategy, sustainability</t>
  </si>
  <si>
    <t>Estrategia de biocombustibles de Repsol, sostenibilidad</t>
  </si>
  <si>
    <t>Investing in biofuels strengthens Repsol’s transition towards clean energy.</t>
  </si>
  <si>
    <t>se alía (positive), "olvida" (neutral)</t>
  </si>
  <si>
    <t>Mixed, but alliance is positive.</t>
  </si>
  <si>
    <t>Mixto, pero la alianza es positiva.</t>
  </si>
  <si>
    <r>
      <rPr>
        <rFont val="Arial, sans-serif"/>
        <color rgb="FF1155CC"/>
        <sz val="9.0"/>
        <u/>
      </rPr>
      <t>Capital Radio</t>
    </r>
    <r>
      <rPr>
        <rFont val="Arial, sans-serif"/>
        <color rgb="FF1155CC"/>
        <sz val="15.0"/>
        <u/>
      </rPr>
      <t>Iberdrola vs. Repsol: ¿Cuál tiene mayor potencial en Bolsa?</t>
    </r>
    <r>
      <rPr>
        <rFont val="Arial, sans-serif"/>
        <color rgb="FF1155CC"/>
        <sz val="11.0"/>
        <u/>
      </rPr>
      <t>Ambas compiten por el mercado eléctrico, donde ha entrado la de Imaz. Por su parte, la de Sánchez Galán ha demandado a Repsol por greenwashing.</t>
    </r>
    <r>
      <rPr>
        <rFont val="Arial, sans-serif"/>
        <color rgb="FF1155CC"/>
        <sz val="12.0"/>
        <u/>
      </rPr>
      <t>.</t>
    </r>
    <r>
      <rPr>
        <rFont val="Arial, sans-serif"/>
        <color rgb="FF1155CC"/>
        <sz val="11.0"/>
        <u/>
      </rPr>
      <t>26 mar 2024</t>
    </r>
  </si>
  <si>
    <t>Iberdrola vs. Repsol: ¿Cuál tiene mayor potencial en Bolsa?</t>
  </si>
  <si>
    <t>Ambas compiten por el mercado eléctrico, donde ha entrado la de Imaz. Por su parte, la de Sánchez Galán ha demandado a Repsol por greenwashing.</t>
  </si>
  <si>
    <t>Iberdrola vs. Repsol: Which has the greatest potential on the Stock Market?</t>
  </si>
  <si>
    <t>Both compete for the electricity market, where Imaz has entered. For its part, Sánchez Galán has sued Repsol for greenwashing.</t>
  </si>
  <si>
    <t>Comparisons that favor competitors may slightly affect Repsol’s market perception.</t>
  </si>
  <si>
    <t>vs. (competition)</t>
  </si>
  <si>
    <t>Neutral competition framing.</t>
  </si>
  <si>
    <t>Encuadre de competencia neutral.</t>
  </si>
  <si>
    <r>
      <rPr>
        <rFont val="Arial, sans-serif"/>
        <color rgb="FF1155CC"/>
        <sz val="9.0"/>
        <u/>
      </rPr>
      <t>Radio Intereconomía</t>
    </r>
    <r>
      <rPr>
        <rFont val="Arial, sans-serif"/>
        <color rgb="FF1155CC"/>
        <sz val="15.0"/>
        <u/>
      </rPr>
      <t>Repsol refuerza con Bunge su apuesta por los combustibles renovables que desprecia Ribera</t>
    </r>
    <r>
      <rPr>
        <rFont val="Arial, sans-serif"/>
        <color rgb="FF1155CC"/>
        <sz val="11.0"/>
        <u/>
      </rPr>
      <t>Repsol refuerza con Bunge su apuesta por los combustibles renovables que desprecia la ministra de Transición Ecológica, Teresa Ribera.</t>
    </r>
    <r>
      <rPr>
        <rFont val="Arial, sans-serif"/>
        <color rgb="FF1155CC"/>
        <sz val="12.0"/>
        <u/>
      </rPr>
      <t>.</t>
    </r>
    <r>
      <rPr>
        <rFont val="Arial, sans-serif"/>
        <color rgb="FF1155CC"/>
        <sz val="11.0"/>
        <u/>
      </rPr>
      <t>26 mar 2024</t>
    </r>
  </si>
  <si>
    <t>Repsol refuerza con Bunge su apuesta por los combustibles renovables que desprecia Ribera</t>
  </si>
  <si>
    <t>Repsol refuerza con Bunge su apuesta por los combustibles renovables que desprecia la ministra de Transición Ecológica, Teresa Ribera.</t>
  </si>
  <si>
    <t>With Bunge, Repsol reinforces its commitment to renewable fuels that Ribera despises</t>
  </si>
  <si>
    <t>With Bunge, Repsol reinforces its commitment to renewable fuels that the Minister of Ecological Transition, Teresa Ribera, despises.</t>
  </si>
  <si>
    <t>Repsol biofuel investment, sustainability</t>
  </si>
  <si>
    <t>Inversión de Repsol en biocombustibles, sostenibilidad</t>
  </si>
  <si>
    <t>Expanding biofuel production aligns with Repsol’s environmental strategy.</t>
  </si>
  <si>
    <t>refuerza, "renovables"</t>
  </si>
  <si>
    <t>Green initiatives boost image.</t>
  </si>
  <si>
    <t>Las iniciativas verdes mejoran la imagen.</t>
  </si>
  <si>
    <r>
      <rPr>
        <rFont val="Arial, sans-serif"/>
        <color rgb="FF1155CC"/>
        <sz val="9.0"/>
        <u/>
      </rPr>
      <t>La Vanguardia</t>
    </r>
    <r>
      <rPr>
        <rFont val="Arial, sans-serif"/>
        <color rgb="FF1155CC"/>
        <sz val="15.0"/>
        <u/>
      </rPr>
      <t>Repsol compra el 40 % de tres plantas de producción de biocombustibles de Bunge</t>
    </r>
    <r>
      <rPr>
        <rFont val="Arial, sans-serif"/>
        <color rgb="FF1155CC"/>
        <sz val="11.0"/>
        <u/>
      </rPr>
      <t>Repsol ha anunciado la adquisición del 40 % de tres instalaciones industriales de Bunge en España por unos 276 millones de euros (300 millones de dólares)</t>
    </r>
    <r>
      <rPr>
        <rFont val="Arial, sans-serif"/>
        <color rgb="FF1155CC"/>
        <sz val="12.0"/>
        <u/>
      </rPr>
      <t>.</t>
    </r>
    <r>
      <rPr>
        <rFont val="Arial, sans-serif"/>
        <color rgb="FF1155CC"/>
        <sz val="11.0"/>
        <u/>
      </rPr>
      <t>26 mar 2024</t>
    </r>
  </si>
  <si>
    <t>Repsol compra el 40 % de tres plantas de producción de biocombustibles de Bunge</t>
  </si>
  <si>
    <t>Repsol ha anunciado la adquisición del 40 % de tres instalaciones industriales de Bunge en España por unos 276 millones de euros (300 millones de dólares).</t>
  </si>
  <si>
    <t>Repsol buys 40% of three Bunge biofuel production plants</t>
  </si>
  <si>
    <t>Repsol has announced the acquisition of 40% of three Bunge industrial facilities in Spain for approximately 276 million euros (300 million dollars).</t>
  </si>
  <si>
    <t>Investing in biofuel production supports Repsol’s green energy initiatives.</t>
  </si>
  <si>
    <t>compra, "biocombustibles"</t>
  </si>
  <si>
    <t>Expansion in renewables.</t>
  </si>
  <si>
    <t>Expansión en renovables.</t>
  </si>
  <si>
    <r>
      <rPr>
        <rFont val="Arial, sans-serif"/>
        <color rgb="FF1155CC"/>
        <sz val="9.0"/>
        <u/>
      </rPr>
      <t>Libre Mercado</t>
    </r>
    <r>
      <rPr>
        <rFont val="Arial, sans-serif"/>
        <color rgb="FF1155CC"/>
        <sz val="15.0"/>
        <u/>
      </rPr>
      <t>Repsol inicia un programa de recompra de acciones por más de 913 millones de euros</t>
    </r>
    <r>
      <rPr>
        <rFont val="Arial, sans-serif"/>
        <color rgb="FF1155CC"/>
        <sz val="11.0"/>
        <u/>
      </rPr>
      <t>La compañía se reserva el derecho a finalizarlo si se cumple con su finalidad antes de la fecha límite.</t>
    </r>
    <r>
      <rPr>
        <rFont val="Arial, sans-serif"/>
        <color rgb="FF1155CC"/>
        <sz val="12.0"/>
        <u/>
      </rPr>
      <t>.</t>
    </r>
    <r>
      <rPr>
        <rFont val="Arial, sans-serif"/>
        <color rgb="FF1155CC"/>
        <sz val="11.0"/>
        <u/>
      </rPr>
      <t>26 mar 2024</t>
    </r>
  </si>
  <si>
    <t>La compañía se reserva el derecho a finalizarlo si se cumple con su finalidad antes de la fecha límite.</t>
  </si>
  <si>
    <t>The company reserves the right to terminate it if its purpose is fulfilled before the deadline.</t>
  </si>
  <si>
    <t>Stock repurchases typically signal confidence in financial stability.</t>
  </si>
  <si>
    <t>recompra de acciones</t>
  </si>
  <si>
    <t>Neutral financial move.</t>
  </si>
  <si>
    <t>Movimiento financiero neutral.</t>
  </si>
  <si>
    <r>
      <rPr>
        <rFont val="Arial, sans-serif"/>
        <color rgb="FF1155CC"/>
        <sz val="9.0"/>
        <u/>
      </rPr>
      <t>Cinco Días</t>
    </r>
    <r>
      <rPr>
        <rFont val="Arial, sans-serif"/>
        <color rgb="FF1155CC"/>
        <sz val="15.0"/>
        <u/>
      </rPr>
      <t>Repsol compra a Bunge el 40% de tres plantas de producción de biocombustibles por hasta 313 millones de euros</t>
    </r>
    <r>
      <rPr>
        <rFont val="Arial, sans-serif"/>
        <color rgb="FF1155CC"/>
        <sz val="11.0"/>
        <u/>
      </rPr>
      <t>Repsol ha adquirido el 40% de tres instalaciones industriales que forman parte de Bunge Ibérica, una de las filiales de Bunge en la Península Ibérica,...</t>
    </r>
    <r>
      <rPr>
        <rFont val="Arial, sans-serif"/>
        <color rgb="FF1155CC"/>
        <sz val="12.0"/>
        <u/>
      </rPr>
      <t>.</t>
    </r>
    <r>
      <rPr>
        <rFont val="Arial, sans-serif"/>
        <color rgb="FF1155CC"/>
        <sz val="11.0"/>
        <u/>
      </rPr>
      <t>26 mar 2024</t>
    </r>
  </si>
  <si>
    <t>Repsol compra a Bunge el 40% de tres plantas de producción de biocombustibles por hasta 313 millones de euros</t>
  </si>
  <si>
    <t>Repsol ha adquirido el 40% de tres instalaciones industriales que forman parte de Bunge Ibérica, una de las filiales de Bunge en la Península Ibérica,....</t>
  </si>
  <si>
    <t>Repsol buys 40% of three biofuel production plants from Bunge for up to 313 million euros</t>
  </si>
  <si>
    <t>Repsol has acquired 40% of three industrial facilities that are part of Bunge Ibérica, one of Bunge's subsidiaries in the Iberian Peninsula,...</t>
  </si>
  <si>
    <t>Strengthening biofuel infrastructure supports Repsol’s renewable energy transition.</t>
  </si>
  <si>
    <t>compra (expansion)</t>
  </si>
  <si>
    <t>Positive acquisition.</t>
  </si>
  <si>
    <t>Adquisición positiva.</t>
  </si>
  <si>
    <r>
      <rPr>
        <rFont val="Arial, sans-serif"/>
        <color rgb="FF1155CC"/>
        <sz val="9.0"/>
        <u/>
      </rPr>
      <t>El Mundo</t>
    </r>
    <r>
      <rPr>
        <rFont val="Arial, sans-serif"/>
        <color rgb="FF1155CC"/>
        <sz val="15.0"/>
        <u/>
      </rPr>
      <t>Repsol se reafirma tras la demanda de Galán y las críticas de Ribera y compra el 40% de tres plantas de biocombustible en España por 340 millones</t>
    </r>
    <r>
      <rPr>
        <rFont val="Arial, sans-serif"/>
        <color rgb="FF1155CC"/>
        <sz val="11.0"/>
        <u/>
      </rPr>
      <t>"No nos va a distraer una demanda (...) pelearemos con uñas y dientes por nuestra transformación". Con estas palabras respondió el CEO de Repsol,...</t>
    </r>
    <r>
      <rPr>
        <rFont val="Arial, sans-serif"/>
        <color rgb="FF1155CC"/>
        <sz val="12.0"/>
        <u/>
      </rPr>
      <t>.</t>
    </r>
    <r>
      <rPr>
        <rFont val="Arial, sans-serif"/>
        <color rgb="FF1155CC"/>
        <sz val="11.0"/>
        <u/>
      </rPr>
      <t>26 mar 2024</t>
    </r>
  </si>
  <si>
    <t>Repsol se reafirma tras la demanda de Galán y las críticas de Ribera y compra el 40% de tres plantas de biocombustible en España por 340 millones</t>
  </si>
  <si>
    <t>"No nos va a distraer una demanda (...) pelearemos con uñas y dientes por nuestra transformación". Con estas palabras respondió el CEO de Repsol,....</t>
  </si>
  <si>
    <t>Repsol reaffirms itself after Galán's lawsuit and Ribera's criticism and buys 40% of three biofuel plants in Spain for 340 million</t>
  </si>
  <si>
    <t>"We are not going to be distracted by a lawsuit (...) we will fight tooth and nail for our transformation." With these words the CEO of Repsol responded,....</t>
  </si>
  <si>
    <t>Repsol legal dispute, business investment</t>
  </si>
  <si>
    <t>Disputa judicial Repsol, inversión empresarial</t>
  </si>
  <si>
    <t>Maintaining focus on investments despite legal disputes reinforces business resilience.</t>
  </si>
  <si>
    <t>se reafirma (resilience)</t>
  </si>
  <si>
    <t>Mixed due to legal context.</t>
  </si>
  <si>
    <t>Mixto debido al contexto legal.</t>
  </si>
  <si>
    <r>
      <rPr>
        <rFont val="Arial, sans-serif"/>
        <color rgb="FF1155CC"/>
        <sz val="9.0"/>
        <u/>
      </rPr>
      <t>www.diariodelpuerto.com</t>
    </r>
    <r>
      <rPr>
        <rFont val="Arial, sans-serif"/>
        <color rgb="FF1155CC"/>
        <sz val="15.0"/>
        <u/>
      </rPr>
      <t>Repsol adquiere el 40% de las plantas de Bunge Ibérica en Bilbao, Barcelona y Cartagena</t>
    </r>
    <r>
      <rPr>
        <rFont val="Arial, sans-serif"/>
        <color rgb="FF1155CC"/>
        <sz val="11.0"/>
        <u/>
      </rPr>
      <t>Repsol y Bunge colaborar en el desarrollo nuevas oportunidades para satisfacer la demanda de materias primas con menor intensidad de carbono y producir...</t>
    </r>
    <r>
      <rPr>
        <rFont val="Arial, sans-serif"/>
        <color rgb="FF1155CC"/>
        <sz val="12.0"/>
        <u/>
      </rPr>
      <t>.</t>
    </r>
    <r>
      <rPr>
        <rFont val="Arial, sans-serif"/>
        <color rgb="FF1155CC"/>
        <sz val="11.0"/>
        <u/>
      </rPr>
      <t>26 mar 2024</t>
    </r>
  </si>
  <si>
    <t>www.diariodelpuerto.com</t>
  </si>
  <si>
    <t>Repsol adquiere el 40% de las plantas de Bunge Ibérica en Bilbao, Barcelona y Cartagena</t>
  </si>
  <si>
    <t>Repsol y Bunge colaborarán en el desarrollo de nuevas oportunidades para satisfacer la demanda de materias primas con menor intensidad de carbono y producir....</t>
  </si>
  <si>
    <t>Repsol acquires 40% of the Bunge Ibérica plants in Bilbao, Barcelona and Cartagena</t>
  </si>
  <si>
    <t>Repsol and Bunge will collaborate in the development of new opportunities to meet the demand for raw materials with lower carbon intensity and produce....</t>
  </si>
  <si>
    <t>Partnering for biofuel production supports Repsol’s environmental commitments.</t>
  </si>
  <si>
    <t>adquiere (growth)</t>
  </si>
  <si>
    <t>Positive expansion.</t>
  </si>
  <si>
    <t>Expansión positiva.</t>
  </si>
  <si>
    <r>
      <rPr>
        <rFont val="Arial, sans-serif"/>
        <color rgb="FF1155CC"/>
        <sz val="9.0"/>
        <u/>
      </rPr>
      <t>MurciaEconomía.com</t>
    </r>
    <r>
      <rPr>
        <rFont val="Arial, sans-serif"/>
        <color rgb="FF1155CC"/>
        <sz val="15.0"/>
        <u/>
      </rPr>
      <t>Repsol adquiere el 40% de tres plantas industriales de Bunge en Cartagena, Bilbao y Barcelona</t>
    </r>
    <r>
      <rPr>
        <rFont val="Arial, sans-serif"/>
        <color rgb="FF1155CC"/>
        <sz val="11.0"/>
        <u/>
      </rPr>
      <t>Mediante esta alianza, Repsol incrementa su acceso a una amplia cartera de materias primas de baja intensidad de carbono para producir combustibles...</t>
    </r>
    <r>
      <rPr>
        <rFont val="Arial, sans-serif"/>
        <color rgb="FF1155CC"/>
        <sz val="12.0"/>
        <u/>
      </rPr>
      <t>.</t>
    </r>
    <r>
      <rPr>
        <rFont val="Arial, sans-serif"/>
        <color rgb="FF1155CC"/>
        <sz val="11.0"/>
        <u/>
      </rPr>
      <t>26 mar 2024</t>
    </r>
  </si>
  <si>
    <t>MurciaEconomía.com</t>
  </si>
  <si>
    <t>Repsol adquiere el 40% de tres plantas industriales de Bunge en Cartagena, Bilbao y Barcelona</t>
  </si>
  <si>
    <t>Mediante esta alianza, Repsol incrementa su acceso a una amplia cartera de materias primas de baja intensidad de carbono para producir combustibles....</t>
  </si>
  <si>
    <t>Repsol acquires 40% of three Bunge industrial plants in Cartagena, Bilbao and Barcelona</t>
  </si>
  <si>
    <t>Through this alliance, Repsol increases its access to a broad portfolio of low-carbon intensity raw materials to produce fuels....</t>
  </si>
  <si>
    <t>Expanding biofuel production reinforces Repsol’s leadership in sustainable energy.</t>
  </si>
  <si>
    <t>adquiere</t>
  </si>
  <si>
    <t>Repeated positive acquisition.</t>
  </si>
  <si>
    <t>Adquisición positiva repetida.</t>
  </si>
  <si>
    <r>
      <rPr>
        <rFont val="Arial, sans-serif"/>
        <color rgb="FF1155CC"/>
        <sz val="9.0"/>
        <u/>
      </rPr>
      <t>El Nacional.cat</t>
    </r>
    <r>
      <rPr>
        <rFont val="Arial, sans-serif"/>
        <color rgb="FF1155CC"/>
        <sz val="15.0"/>
        <u/>
      </rPr>
      <t>Repsol compra el 40% de tres instalaciones de Bunge en España por 313 millones</t>
    </r>
    <r>
      <rPr>
        <rFont val="Arial, sans-serif"/>
        <color rgb="FF1155CC"/>
        <sz val="11.0"/>
        <u/>
      </rPr>
      <t>Repsol ha anunciado la adquisición del 40% de tres instalaciones industriales de Bunge en España por unos 276 millones de euros (300 millones de dólares) y...</t>
    </r>
    <r>
      <rPr>
        <rFont val="Arial, sans-serif"/>
        <color rgb="FF1155CC"/>
        <sz val="12.0"/>
        <u/>
      </rPr>
      <t>.</t>
    </r>
    <r>
      <rPr>
        <rFont val="Arial, sans-serif"/>
        <color rgb="FF1155CC"/>
        <sz val="11.0"/>
        <u/>
      </rPr>
      <t>26 mar 2024</t>
    </r>
  </si>
  <si>
    <t>Repsol compra el 40% de tres instalaciones de Bunge en España por 313 millones</t>
  </si>
  <si>
    <t>Repsol ha anunciado la adquisición del 40% de tres instalaciones industriales de Bunge en España por unos 276 millones de euros (300 millones de dólares) y....</t>
  </si>
  <si>
    <t>Repsol buys 40% of three Bunge facilities in Spain for 313 million</t>
  </si>
  <si>
    <t>Repsol has announced the acquisition of 40% of three Bunge industrial facilities in Spain for approximately 276 million euros (300 million dollars) and...</t>
  </si>
  <si>
    <t>Investment in biofuels supports Repsol’s transition to renewable energy.</t>
  </si>
  <si>
    <t>compra</t>
  </si>
  <si>
    <t>Same as above.</t>
  </si>
  <si>
    <t>Lo mismo que arriba.</t>
  </si>
  <si>
    <r>
      <rPr>
        <rFont val="Arial, sans-serif"/>
        <color rgb="FF1155CC"/>
        <sz val="9.0"/>
        <u/>
      </rPr>
      <t>Guía Repsol</t>
    </r>
    <r>
      <rPr>
        <rFont val="Arial, sans-serif"/>
        <color rgb="FF1155CC"/>
        <sz val="15.0"/>
        <u/>
      </rPr>
      <t>La 'road movie' más dulce: Dulces con historia (Canal Cocina)</t>
    </r>
    <r>
      <rPr>
        <rFont val="Arial, sans-serif"/>
        <color rgb="FF1155CC"/>
        <sz val="11.0"/>
        <u/>
      </rPr>
      <t>Una especial road movie por los dulces centenarios de toda la geografía española, eso es el documental de diez episodios 'Dulces con Historia',...</t>
    </r>
    <r>
      <rPr>
        <rFont val="Arial, sans-serif"/>
        <color rgb="FF1155CC"/>
        <sz val="12.0"/>
        <u/>
      </rPr>
      <t>.</t>
    </r>
    <r>
      <rPr>
        <rFont val="Arial, sans-serif"/>
        <color rgb="FF1155CC"/>
        <sz val="11.0"/>
        <u/>
      </rPr>
      <t>26 mar 2024</t>
    </r>
  </si>
  <si>
    <t>La 'road movie' más dulce: Dulces con historia</t>
  </si>
  <si>
    <t>Una especial road movie por los dulces centenarios de toda la geografía española, eso es el documental de diez episodios 'Dulces con Historia',....</t>
  </si>
  <si>
    <t>The sweetest road movie: Sweets with a story</t>
  </si>
  <si>
    <t>A special road movie for the centenary sweets of the entire Spanish geography, that is the ten-episode documentary 'Sweets with History',....</t>
  </si>
  <si>
    <r>
      <rPr>
        <rFont val="Arial, sans-serif"/>
        <color rgb="FF1155CC"/>
        <sz val="9.0"/>
        <u/>
      </rPr>
      <t>El Español</t>
    </r>
    <r>
      <rPr>
        <rFont val="Arial, sans-serif"/>
        <color rgb="FF1155CC"/>
        <sz val="15.0"/>
        <u/>
      </rPr>
      <t>El bar de tres taberneras que arrasa en La Latina por su ensaladilla recomendada por la Guía Repsol</t>
    </r>
    <r>
      <rPr>
        <rFont val="Arial, sans-serif"/>
        <color rgb="FF1155CC"/>
        <sz val="11.0"/>
        <u/>
      </rPr>
      <t>La Taberna Errante cumple 13 años en la Carrera de San Francisco y es conocida por su cocina "honesta que respeta el producto y al cliente".</t>
    </r>
    <r>
      <rPr>
        <rFont val="Arial, sans-serif"/>
        <color rgb="FF1155CC"/>
        <sz val="12.0"/>
        <u/>
      </rPr>
      <t>.</t>
    </r>
    <r>
      <rPr>
        <rFont val="Arial, sans-serif"/>
        <color rgb="FF1155CC"/>
        <sz val="11.0"/>
        <u/>
      </rPr>
      <t>26 mar 2024</t>
    </r>
  </si>
  <si>
    <t>El bar de tres taberneras que arrasa en La Latina por su ensaladilla recomendada por la Guía Repsol</t>
  </si>
  <si>
    <t>La Taberna Errante cumple 13 años en la Carrera de San Francisco y es conocida por su cocina "honesta que respeta el producto y al cliente".</t>
  </si>
  <si>
    <t>The bar with three taverns that is sweeping La Latina for its salad recommended by the Repsol Guide</t>
  </si>
  <si>
    <t>La Taberna Errante celebrates its 13th anniversary in Carrera de San Francisco and is known for its "honest" cuisine that respects the product and the customer.</t>
  </si>
  <si>
    <r>
      <rPr>
        <rFont val="Arial, sans-serif"/>
        <color rgb="FF1155CC"/>
        <sz val="9.0"/>
        <u/>
      </rPr>
      <t>El Periódico de la Energía</t>
    </r>
    <r>
      <rPr>
        <rFont val="Arial, sans-serif"/>
        <color rgb="FF1155CC"/>
        <sz val="15.0"/>
        <u/>
      </rPr>
      <t>Las compañías eléctricas que más energía vendieron en 2023 y superaron el teravatio</t>
    </r>
    <r>
      <rPr>
        <rFont val="Arial, sans-serif"/>
        <color rgb="FF1155CC"/>
        <sz val="11.0"/>
        <u/>
      </rPr>
      <t>Tan sólo 18 compañías eléctricas han superado el teravatio hora de electricidad vendida a sus clientes durante 2023.</t>
    </r>
    <r>
      <rPr>
        <rFont val="Arial, sans-serif"/>
        <color rgb="FF1155CC"/>
        <sz val="12.0"/>
        <u/>
      </rPr>
      <t>.</t>
    </r>
    <r>
      <rPr>
        <rFont val="Arial, sans-serif"/>
        <color rgb="FF1155CC"/>
        <sz val="11.0"/>
        <u/>
      </rPr>
      <t>26 mar 2024</t>
    </r>
  </si>
  <si>
    <t>Las compañías eléctricas que más energía vendieron en 2023 y superaron el teravatio</t>
  </si>
  <si>
    <t>Tan sólo 18 compañías eléctricas han superado el teravatio hora de electricidad vendida a sus clientes durante 2023.</t>
  </si>
  <si>
    <t>The electricity companies that sold the most energy in 2023 and exceeded one terawatt</t>
  </si>
  <si>
    <t>Only 18 electricity companies have exceeded one terawatt hour of electricity sold to their customers during 2023.</t>
  </si>
  <si>
    <t>General electricity market discussions do not impact Repsol’s business.</t>
  </si>
  <si>
    <t>No direct link.</t>
  </si>
  <si>
    <t>Sin enlace directo.</t>
  </si>
  <si>
    <r>
      <rPr>
        <rFont val="Arial, sans-serif"/>
        <color rgb="FF1155CC"/>
        <sz val="9.0"/>
        <u/>
      </rPr>
      <t>Guía Repsol</t>
    </r>
    <r>
      <rPr>
        <rFont val="Arial, sans-serif"/>
        <color rgb="FF1155CC"/>
        <sz val="15.0"/>
        <u/>
      </rPr>
      <t>Hotel Don Ramón (Sevilla): El lujo está en el detalle</t>
    </r>
    <r>
      <rPr>
        <rFont val="Arial, sans-serif"/>
        <color rgb="FF1155CC"/>
        <sz val="11.0"/>
        <u/>
      </rPr>
      <t>Aguarda en el corazón de Sevilla una casa palacio del S. XVIII donde pasado, presente y futuro se entrelanzan para escribir su historia.</t>
    </r>
    <r>
      <rPr>
        <rFont val="Arial, sans-serif"/>
        <color rgb="FF1155CC"/>
        <sz val="12.0"/>
        <u/>
      </rPr>
      <t>.</t>
    </r>
    <r>
      <rPr>
        <rFont val="Arial, sans-serif"/>
        <color rgb="FF1155CC"/>
        <sz val="11.0"/>
        <u/>
      </rPr>
      <t>26 mar 2024</t>
    </r>
  </si>
  <si>
    <t>Hotel Don Ramón (Sevilla): El lujo está en el detalle</t>
  </si>
  <si>
    <t>Aguarda en el corazón de Sevilla una casa palacio del S. XVIII donde pasado, presente y futuro se entrelazan para escribir su historia.</t>
  </si>
  <si>
    <t>Hotel Don Ramón (Seville): Luxury is in the detail</t>
  </si>
  <si>
    <t>Awaiting in the heart of Seville is an 18th century palace house where past, present and future intertwine to write its history.</t>
  </si>
  <si>
    <r>
      <rPr>
        <rFont val="Arial, sans-serif"/>
        <color rgb="FF1155CC"/>
        <sz val="9.0"/>
        <u/>
      </rPr>
      <t>Energía Estratégica España</t>
    </r>
    <r>
      <rPr>
        <rFont val="Arial, sans-serif"/>
        <color rgb="FF1155CC"/>
        <sz val="15.0"/>
        <u/>
      </rPr>
      <t>Repsol y Bunge se alían para impulsar el suministro de combustibles renovables</t>
    </r>
    <r>
      <rPr>
        <rFont val="Arial, sans-serif"/>
        <color rgb="FF1155CC"/>
        <sz val="11.0"/>
        <u/>
      </rPr>
      <t>Mediante este acuerdo estratégico, Repsol incrementa su acceso a las materias primas necesarias para alcanzar su objetivo de producir hasta 1,7 millones de...</t>
    </r>
    <r>
      <rPr>
        <rFont val="Arial, sans-serif"/>
        <color rgb="FF1155CC"/>
        <sz val="12.0"/>
        <u/>
      </rPr>
      <t>.</t>
    </r>
    <r>
      <rPr>
        <rFont val="Arial, sans-serif"/>
        <color rgb="FF1155CC"/>
        <sz val="11.0"/>
        <u/>
      </rPr>
      <t>27 mar 2024</t>
    </r>
  </si>
  <si>
    <t>Repsol y Bunge se alían para impulsar el suministro de combustibles renovables</t>
  </si>
  <si>
    <t>Repsol and Bunge join forces to promote the supply of renewable fuels</t>
  </si>
  <si>
    <t>se alían</t>
  </si>
  <si>
    <t>Repeated positive.</t>
  </si>
  <si>
    <t>Positivo repetido.</t>
  </si>
  <si>
    <r>
      <rPr>
        <rFont val="Arial, sans-serif"/>
        <color rgb="FF1155CC"/>
        <sz val="9.0"/>
        <u/>
      </rPr>
      <t>La Opinión de Málaga</t>
    </r>
    <r>
      <rPr>
        <rFont val="Arial, sans-serif"/>
        <color rgb="FF1155CC"/>
        <sz val="15.0"/>
        <u/>
      </rPr>
      <t>Otro asomo de civilización en los terrenos de Repsol</t>
    </r>
    <r>
      <rPr>
        <rFont val="Arial, sans-serif"/>
        <color rgb="FF1155CC"/>
        <sz val="11.0"/>
        <u/>
      </rPr>
      <t>Tanto la plantación de Bosque Urbano como una controlada colonia felina simbolizan el civismo en esta desmadrada parcela municipal.</t>
    </r>
    <r>
      <rPr>
        <rFont val="Arial, sans-serif"/>
        <color rgb="FF1155CC"/>
        <sz val="12.0"/>
        <u/>
      </rPr>
      <t>.</t>
    </r>
    <r>
      <rPr>
        <rFont val="Arial, sans-serif"/>
        <color rgb="FF1155CC"/>
        <sz val="11.0"/>
        <u/>
      </rPr>
      <t>27 mar 2024</t>
    </r>
  </si>
  <si>
    <t>Otro asomo de civilización en los terrenos de Repsol</t>
  </si>
  <si>
    <t>Tanto la plantación de Bosque Urbano como una controlada colonia felina simbolizan el civismo en esta desmadrada parcela municipal.</t>
  </si>
  <si>
    <t>Another glimpse of civilization on the Repsol grounds</t>
  </si>
  <si>
    <t>Both the Urban Forest plantation and a controlled feline colony symbolize civility in this sprawling municipal plot.</t>
  </si>
  <si>
    <r>
      <rPr>
        <rFont val="Arial, sans-serif"/>
        <color rgb="FF1155CC"/>
        <sz val="9.0"/>
        <u/>
      </rPr>
      <t>Merca2.es</t>
    </r>
    <r>
      <rPr>
        <rFont val="Arial, sans-serif"/>
        <color rgb="FF1155CC"/>
        <sz val="15.0"/>
        <u/>
      </rPr>
      <t>Repsol se queda a las puertas del ‘top ten’ de las marcas de petróleo y gas a nivel global</t>
    </r>
    <r>
      <rPr>
        <rFont val="Arial, sans-serif"/>
        <color rgb="FF1155CC"/>
        <sz val="11.0"/>
        <u/>
      </rPr>
      <t>A pesar de haber perdido parte de su valor respecto al año pasado, la marca Repsol se mantiene como la única española entre las 50 más importantes del...</t>
    </r>
    <r>
      <rPr>
        <rFont val="Arial, sans-serif"/>
        <color rgb="FF1155CC"/>
        <sz val="12.0"/>
        <u/>
      </rPr>
      <t>.</t>
    </r>
    <r>
      <rPr>
        <rFont val="Arial, sans-serif"/>
        <color rgb="FF1155CC"/>
        <sz val="11.0"/>
        <u/>
      </rPr>
      <t>27 mar 2024</t>
    </r>
  </si>
  <si>
    <t>Merca2.es</t>
  </si>
  <si>
    <t>Repsol se queda a las puertas del ‘top ten’ de las marcas de petróleo y gas a nivel global</t>
  </si>
  <si>
    <t>A pesar de haber perdido parte de su valor respecto al año pasado, la marca Repsol se mantiene como la única española entre las 50 más importantes del....</t>
  </si>
  <si>
    <t>Repsol remains at the gates of the 'top ten' of oil and gas brands globally</t>
  </si>
  <si>
    <t>Despite having lost part of its value compared to last year, the Repsol brand remains the only Spanish brand among the 50 most important in the...</t>
  </si>
  <si>
    <t>Repsol market ranking, corporate performance</t>
  </si>
  <si>
    <t>Ranking de mercado de Repsol, desempeño corporativo</t>
  </si>
  <si>
    <t>Remaining outside the top companies could slightly affect Repsol’s perception.</t>
  </si>
  <si>
    <t>se queda (missed opportunity)</t>
  </si>
  <si>
    <t>Slightly negative.</t>
  </si>
  <si>
    <t>Ligeramente negativo.</t>
  </si>
  <si>
    <r>
      <rPr>
        <rFont val="Arial, sans-serif"/>
        <color rgb="FF1155CC"/>
        <sz val="9.0"/>
        <u/>
      </rPr>
      <t>El Periódico Extremadura</t>
    </r>
    <r>
      <rPr>
        <rFont val="Arial, sans-serif"/>
        <color rgb="FF1155CC"/>
        <sz val="15.0"/>
        <u/>
      </rPr>
      <t>El ascenso meteórico de Borona Bistró: de un Sol Repsol a la Guía Michelín</t>
    </r>
    <r>
      <rPr>
        <rFont val="Arial, sans-serif"/>
        <color rgb="FF1155CC"/>
        <sz val="11.0"/>
        <u/>
      </rPr>
      <t>También se hace con el distintivo Michelin el restaurante Miga, abierto por las hermanas Blanco en la Plaza Mayor cacereña.</t>
    </r>
    <r>
      <rPr>
        <rFont val="Arial, sans-serif"/>
        <color rgb="FF1155CC"/>
        <sz val="12.0"/>
        <u/>
      </rPr>
      <t>.</t>
    </r>
    <r>
      <rPr>
        <rFont val="Arial, sans-serif"/>
        <color rgb="FF1155CC"/>
        <sz val="11.0"/>
        <u/>
      </rPr>
      <t>27 mar 2024</t>
    </r>
  </si>
  <si>
    <t>El ascenso meteórico de Borona Bistró: de un Sol Repsol a la Guía Michelín</t>
  </si>
  <si>
    <t>También se hace con el distintivo Michelin el restaurante Miga, abierto por las hermanas Blanco en la Plaza Mayor cacereña.</t>
  </si>
  <si>
    <t>The meteoric rise of Borona Bistró: from a Repsol Sun to the Michelin Guide</t>
  </si>
  <si>
    <t>The Miga restaurant, opened by the Blanco sisters in the Plaza Mayor of Cáceres, also received the Michelin badge.</t>
  </si>
  <si>
    <r>
      <rPr>
        <rFont val="Arial, sans-serif"/>
        <color rgb="FF1155CC"/>
        <sz val="9.0"/>
        <u/>
      </rPr>
      <t>elDiario.es</t>
    </r>
    <r>
      <rPr>
        <rFont val="Arial, sans-serif"/>
        <color rgb="FF1155CC"/>
        <sz val="15.0"/>
        <u/>
      </rPr>
      <t>Las grandes energéticas españolas aumentan la inversión un 22% pese al impuesto extraordinario al sector</t>
    </r>
    <r>
      <rPr>
        <rFont val="Arial, sans-serif"/>
        <color rgb="FF1155CC"/>
        <sz val="11.0"/>
        <u/>
      </rPr>
      <t>Iberdrola, Repsol, Endesa, Naturgy y Cepsa invirtieron más de 23.500 millones en 2023 y destinaron el 72% a descarbonización tras ganar 10.466 millones y...</t>
    </r>
    <r>
      <rPr>
        <rFont val="Arial, sans-serif"/>
        <color rgb="FF1155CC"/>
        <sz val="12.0"/>
        <u/>
      </rPr>
      <t>.</t>
    </r>
    <r>
      <rPr>
        <rFont val="Arial, sans-serif"/>
        <color rgb="FF1155CC"/>
        <sz val="11.0"/>
        <u/>
      </rPr>
      <t>27 mar 2024</t>
    </r>
  </si>
  <si>
    <t>Las grandes energéticas españolas aumentan la inversión un 22% pese al impuesto extraordinario al sector</t>
  </si>
  <si>
    <t>Iberdrola, Repsol, Endesa, Naturgy y Cepsa invirtieron más de 23.500 millones en 2023 y destinaron el 72% a descarbonización tras ganar 10.466 millones y....</t>
  </si>
  <si>
    <t>Large Spanish energy companies increase investment by 22% despite the extraordinary tax on the sector</t>
  </si>
  <si>
    <t>Iberdrola, Repsol, Endesa, Naturgy and Cepsa invested more than 23,500 million in 2023 and allocated 72% to decarbonization after earning 10,466 million and...</t>
  </si>
  <si>
    <t>Increasing renewable energy investments supports Repsol’s green transition.</t>
  </si>
  <si>
    <t>Broad sector news.</t>
  </si>
  <si>
    <t>Noticias del amplio sector.</t>
  </si>
  <si>
    <r>
      <rPr>
        <rFont val="Arial, sans-serif"/>
        <color rgb="FF1155CC"/>
        <sz val="9.0"/>
        <u/>
      </rPr>
      <t>Cadena SER</t>
    </r>
    <r>
      <rPr>
        <rFont val="Arial, sans-serif"/>
        <color rgb="FF1155CC"/>
        <sz val="15.0"/>
        <u/>
      </rPr>
      <t>Casalarreina: gastronomía, patrimonio, naturaleza y "buena gente"</t>
    </r>
    <r>
      <rPr>
        <rFont val="Arial, sans-serif"/>
        <color rgb="FF1155CC"/>
        <sz val="11.0"/>
        <u/>
      </rPr>
      <t>Casalarreina. Viajamos hasta La Rioja Alta para visitar Casalarreina, un municipio donde se agolpan estos días las buenas noticias. Lo explica su alcalde,...</t>
    </r>
    <r>
      <rPr>
        <rFont val="Arial, sans-serif"/>
        <color rgb="FF1155CC"/>
        <sz val="12.0"/>
        <u/>
      </rPr>
      <t>.</t>
    </r>
    <r>
      <rPr>
        <rFont val="Arial, sans-serif"/>
        <color rgb="FF1155CC"/>
        <sz val="11.0"/>
        <u/>
      </rPr>
      <t>27 mar 2024</t>
    </r>
  </si>
  <si>
    <t>Casalarreina: gastronomía, patrimonio, naturaleza y "buena gente"</t>
  </si>
  <si>
    <t>Viajamos hasta La Rioja Alta para visitar Casalarreina, un municipio donde se agolpan estos días las buenas noticias. Lo explica su alcalde,....</t>
  </si>
  <si>
    <t>Casalarreina: gastronomy, heritage, nature and "good people"</t>
  </si>
  <si>
    <t>We traveled to La Rioja Alta to visit Casalarreina, a municipality where good news is crowded these days. Its mayor explains it,...</t>
  </si>
  <si>
    <r>
      <rPr>
        <rFont val="Arial, sans-serif"/>
        <color rgb="FF1155CC"/>
        <sz val="9.0"/>
        <u/>
      </rPr>
      <t>Infobae</t>
    </r>
    <r>
      <rPr>
        <rFont val="Arial, sans-serif"/>
        <color rgb="FF1155CC"/>
        <sz val="15.0"/>
        <u/>
      </rPr>
      <t>Unos influencers escriben a un restaurante para cenar gratis en su proyecto “recorrer España sin gastar ni un euro” y el chef les dice que se pongan a trabajar</t>
    </r>
    <r>
      <rPr>
        <rFont val="Arial, sans-serif"/>
        <color rgb="FF1155CC"/>
        <sz val="11.0"/>
        <u/>
      </rPr>
      <t>Le Bistroman L'Atelier es uno de los restaurantes franceses más conocidos de Madrid, un atelier gastronómico que está galardonado con dos Soles Repsol y...</t>
    </r>
    <r>
      <rPr>
        <rFont val="Arial, sans-serif"/>
        <color rgb="FF1155CC"/>
        <sz val="12.0"/>
        <u/>
      </rPr>
      <t>.</t>
    </r>
    <r>
      <rPr>
        <rFont val="Arial, sans-serif"/>
        <color rgb="FF1155CC"/>
        <sz val="11.0"/>
        <u/>
      </rPr>
      <t>27 mar 2024</t>
    </r>
  </si>
  <si>
    <t>Unos influencers escriben a un restaurante para cenar gratis en su proyecto “recorrer España sin gastar ni un euro” y el chef les dice que se pongan a trabajar</t>
  </si>
  <si>
    <t>Unos influencers escriben a un restaurante para cenar gratis en su proyecto “recorrer España sin gastar ni un euro” y el chef les dice que se pongan a trabajar.</t>
  </si>
  <si>
    <t>Some influencers write to a restaurant to dine for free in their project “tour Spain without spending a single euro” and the chef tells them to get to work</t>
  </si>
  <si>
    <t>Some influencers write to a restaurant to dine for free in their project “tour Spain without spending a single euro” and the chef tells them to get to work.</t>
  </si>
  <si>
    <t>Social Media</t>
  </si>
  <si>
    <r>
      <rPr>
        <rFont val="Arial, sans-serif"/>
        <color rgb="FF1155CC"/>
        <sz val="9.0"/>
        <u/>
      </rPr>
      <t>EL PAÍS</t>
    </r>
    <r>
      <rPr>
        <rFont val="Arial, sans-serif"/>
        <color rgb="FF1155CC"/>
        <sz val="15.0"/>
        <u/>
      </rPr>
      <t>Comida y fotografía: una armonía posible</t>
    </r>
    <r>
      <rPr>
        <rFont val="Arial, sans-serif"/>
        <color rgb="FF1155CC"/>
        <sz val="11.0"/>
        <u/>
      </rPr>
      <t>La chef Begoña Rodrigo ofrece un singular menú de siete platos en combinación con las imágenes de Javier Corso sobre oficios artesanales.</t>
    </r>
    <r>
      <rPr>
        <rFont val="Arial, sans-serif"/>
        <color rgb="FF1155CC"/>
        <sz val="12.0"/>
        <u/>
      </rPr>
      <t>.</t>
    </r>
    <r>
      <rPr>
        <rFont val="Arial, sans-serif"/>
        <color rgb="FF1155CC"/>
        <sz val="11.0"/>
        <u/>
      </rPr>
      <t>27 mar 2024</t>
    </r>
  </si>
  <si>
    <t>Comida y fotografía: una armonía posible</t>
  </si>
  <si>
    <t>La chef Begoña Rodrigo ofrece un singular menú de siete platos en combinación con las imágenes de Javier Corso sobre oficios artesanales.</t>
  </si>
  <si>
    <t>Food and photography: a possible harmony</t>
  </si>
  <si>
    <t>Chef Begoña Rodrigo offers a unique seven-course menu in combination with Javier Corso's images of artisanal crafts.</t>
  </si>
  <si>
    <r>
      <rPr>
        <rFont val="Arial, sans-serif"/>
        <color rgb="FF1155CC"/>
        <sz val="9.0"/>
        <u/>
      </rPr>
      <t>Hispanidad</t>
    </r>
    <r>
      <rPr>
        <rFont val="Arial, sans-serif"/>
        <color rgb="FF1155CC"/>
        <sz val="15.0"/>
        <u/>
      </rPr>
      <t>Mapfre. Doce años después de la ‘triste’ gestión de Antonio Huertas, la acción vale lo mismo</t>
    </r>
    <r>
      <rPr>
        <rFont val="Arial, sans-serif"/>
        <color rgb="FF1155CC"/>
        <sz val="11.0"/>
        <u/>
      </rPr>
      <t>Mapfre buscaba instalarse en los 2 euros, y lo ha conseguido, holgadamente. Comenzaba la semana protagonizando su mejor jornada desde el otoño de 2021,...</t>
    </r>
    <r>
      <rPr>
        <rFont val="Arial, sans-serif"/>
        <color rgb="FF1155CC"/>
        <sz val="12.0"/>
        <u/>
      </rPr>
      <t>.</t>
    </r>
    <r>
      <rPr>
        <rFont val="Arial, sans-serif"/>
        <color rgb="FF1155CC"/>
        <sz val="11.0"/>
        <u/>
      </rPr>
      <t>27 mar 2024</t>
    </r>
  </si>
  <si>
    <t>Doce años después de la ‘triste’ gestión de Antonio Huertas, la acción vale lo mismo</t>
  </si>
  <si>
    <t>Mapfre buscaba instalarse en los 2 euros, y lo ha conseguido, holgadamente. Comenzaba la semana protagonizando su mejor jornada desde el otoño de 2021,....</t>
  </si>
  <si>
    <t>Twelve years after Antonio Huertas' 'sad' management, the stock is worth the same</t>
  </si>
  <si>
    <t>Mapfre was looking to settle at 2 euros, and it has achieved it, comfortably. The week began with its best day since the fall of 2021,....</t>
  </si>
  <si>
    <r>
      <rPr>
        <rFont val="Arial, sans-serif"/>
        <color rgb="FF1155CC"/>
        <sz val="9.0"/>
        <u/>
      </rPr>
      <t>Universia</t>
    </r>
    <r>
      <rPr>
        <rFont val="Arial, sans-serif"/>
        <color rgb="FF1155CC"/>
        <sz val="15.0"/>
        <u/>
      </rPr>
      <t>Preguntas esenciales en una entrevista de trabajo para ingenieros</t>
    </r>
    <r>
      <rPr>
        <rFont val="Arial, sans-serif"/>
        <color rgb="FF1155CC"/>
        <sz val="11.0"/>
        <u/>
      </rPr>
      <t>La ingeniería se ha convertido en uno de los campos con mayores oportunidades profesionales. Su labor es esencial para estructurar todas las novedades v...</t>
    </r>
    <r>
      <rPr>
        <rFont val="Arial, sans-serif"/>
        <color rgb="FF1155CC"/>
        <sz val="12.0"/>
        <u/>
      </rPr>
      <t>.</t>
    </r>
    <r>
      <rPr>
        <rFont val="Arial, sans-serif"/>
        <color rgb="FF1155CC"/>
        <sz val="11.0"/>
        <u/>
      </rPr>
      <t>27 mar 2024</t>
    </r>
  </si>
  <si>
    <t>Universia</t>
  </si>
  <si>
    <t>Preguntas esenciales en una entrevista de trabajo para ingenieros</t>
  </si>
  <si>
    <t>La ingeniería se ha convertido en uno de los campos con mayores oportunidades profesionales. Su labor es esencial para estructurar todas las novedades v....</t>
  </si>
  <si>
    <t>Essential questions in a job interview for engineers</t>
  </si>
  <si>
    <t>Engineering has become one of the fields with the greatest professional opportunities. Their work is essential to structure all the news v....</t>
  </si>
  <si>
    <r>
      <rPr>
        <rFont val="Arial, sans-serif"/>
        <color rgb="FF1155CC"/>
        <sz val="9.0"/>
        <u/>
      </rPr>
      <t>20Minutos</t>
    </r>
    <r>
      <rPr>
        <rFont val="Arial, sans-serif"/>
        <color rgb="FF1155CC"/>
        <sz val="15.0"/>
        <u/>
      </rPr>
      <t>Repsol recibe luz verde a su megaproyecto de combustibles sintéticos en Bilbao</t>
    </r>
    <r>
      <rPr>
        <rFont val="Arial, sans-serif"/>
        <color rgb="FF1155CC"/>
        <sz val="11.0"/>
        <u/>
      </rPr>
      <t>El consejo de administración de la Autoridad Portuaria de Bilbao ha dado luz verde al denominado 'hub de descarbonización' que lidera la energética,...</t>
    </r>
    <r>
      <rPr>
        <rFont val="Arial, sans-serif"/>
        <color rgb="FF1155CC"/>
        <sz val="12.0"/>
        <u/>
      </rPr>
      <t>.</t>
    </r>
    <r>
      <rPr>
        <rFont val="Arial, sans-serif"/>
        <color rgb="FF1155CC"/>
        <sz val="11.0"/>
        <u/>
      </rPr>
      <t>28 mar 2024</t>
    </r>
  </si>
  <si>
    <t>Repsol recibe luz verde a su megaproyecto de combustibles sintéticos en Bilbao</t>
  </si>
  <si>
    <t>El consejo de administración de la Autoridad Portuaria de Bilbao ha dado luz verde al denominado 'hub de descarbonización' que lidera la energética,....</t>
  </si>
  <si>
    <t>Repsol receives the green light for its synthetic fuels megaproject in Bilbao</t>
  </si>
  <si>
    <t>The board of directors of the Port Authority of Bilbao has given the green light to the so-called 'decarbonization hub' led by the energy company,...</t>
  </si>
  <si>
    <t>Repsol synthetic fuel, sustainability</t>
  </si>
  <si>
    <t>Combustible sintético Repsol, sostenibilidad</t>
  </si>
  <si>
    <t>Advancing synthetic fuel production supports Repsol’s clean energy transition.</t>
  </si>
  <si>
    <t>luz verde, "megaproyecto"</t>
  </si>
  <si>
    <t>Major green initiative.</t>
  </si>
  <si>
    <t>Gran iniciativa verde.</t>
  </si>
  <si>
    <r>
      <rPr>
        <rFont val="Arial, sans-serif"/>
        <color rgb="FF1155CC"/>
        <sz val="9.0"/>
        <u/>
      </rPr>
      <t>El Español</t>
    </r>
    <r>
      <rPr>
        <rFont val="Arial, sans-serif"/>
        <color rgb="FF1155CC"/>
        <sz val="15.0"/>
        <u/>
      </rPr>
      <t>Repsol afirma que un punto de carga de coche eléctrico tarda 432 días en ser activado</t>
    </r>
    <r>
      <rPr>
        <rFont val="Arial, sans-serif"/>
        <color rgb="FF1155CC"/>
        <sz val="11.0"/>
        <u/>
      </rPr>
      <t>Carlos Bermúdez, experto en movilidad eléctrica de esta compañía, analiza las mejoras para que la infraestructura de recarga avance en España.</t>
    </r>
    <r>
      <rPr>
        <rFont val="Arial, sans-serif"/>
        <color rgb="FF1155CC"/>
        <sz val="12.0"/>
        <u/>
      </rPr>
      <t>.</t>
    </r>
    <r>
      <rPr>
        <rFont val="Arial, sans-serif"/>
        <color rgb="FF1155CC"/>
        <sz val="11.0"/>
        <u/>
      </rPr>
      <t>28 mar 2024</t>
    </r>
  </si>
  <si>
    <t>Repsol afirma que un punto de carga de coche eléctrico tarda 432 días en ser activado</t>
  </si>
  <si>
    <t>Repsol afirma que un punto de carga de coche eléctrico tarda 432 días en ser activado Carlos Bermúdez, experto en movilidad eléctrica de esta compañía, analiza las mejoras para que la infraestructura de recarga avance en España.</t>
  </si>
  <si>
    <t>Repsol affirms that an electric car charging point takes 432 days to be activated</t>
  </si>
  <si>
    <t>Repsol states that an electric car charging point takes 432 days to be activated Carlos Bermúdez, an expert in electric mobility at this company, analyzes the improvements so that the charging infrastructure advances in Spain.</t>
  </si>
  <si>
    <t>Repsol EV charging, sustainability</t>
  </si>
  <si>
    <t>Repsol recarga de vehículos eléctricos, sostenibilidad</t>
  </si>
  <si>
    <t>Expanding EV charging stations aligns with Repsol’s sustainability strategy.</t>
  </si>
  <si>
    <t>Technical, no sentiment.</t>
  </si>
  <si>
    <t>Técnico, sin sentimiento.</t>
  </si>
  <si>
    <r>
      <rPr>
        <rFont val="Arial, sans-serif"/>
        <color rgb="FF1155CC"/>
        <sz val="9.0"/>
        <u/>
      </rPr>
      <t>Emprendedores</t>
    </r>
    <r>
      <rPr>
        <rFont val="Arial, sans-serif"/>
        <color rgb="FF1155CC"/>
        <sz val="15.0"/>
        <u/>
      </rPr>
      <t>Un humano al teléfono y otras obligaciones para cumplir con la nueva Ley de Atención al Cliente</t>
    </r>
    <r>
      <rPr>
        <rFont val="Arial, sans-serif"/>
        <color rgb="FF1155CC"/>
        <sz val="11.0"/>
        <u/>
      </rPr>
      <t>El pasado mes de febrero, el Consejo de Ministros aprobaba la remisión a las Cortes Generales del Proyecto de Ley de Servicios de Atención al Cliente cuyo.</t>
    </r>
    <r>
      <rPr>
        <rFont val="Arial, sans-serif"/>
        <color rgb="FF1155CC"/>
        <sz val="12.0"/>
        <u/>
      </rPr>
      <t>.</t>
    </r>
    <r>
      <rPr>
        <rFont val="Arial, sans-serif"/>
        <color rgb="FF1155CC"/>
        <sz val="11.0"/>
        <u/>
      </rPr>
      <t>28 mar 2024</t>
    </r>
  </si>
  <si>
    <t>Un humano al teléfono y otras obligaciones para cumplir con la nueva Ley de Atención al Cliente</t>
  </si>
  <si>
    <t>El pasado mes de febrero, el Consejo de Ministros aprobaba la remisión a las Cortes Generales del Proyecto de Ley de Servicios de Atención al Cliente cuyo..</t>
  </si>
  <si>
    <t>A human on the phone and other obligations to comply with the new Customer Service Law</t>
  </si>
  <si>
    <t>Last February, the Council of Ministers approved the referral to the Cortes Generales of the Customer Service Services Bill whose...</t>
  </si>
  <si>
    <t>Business Regulation</t>
  </si>
  <si>
    <r>
      <rPr>
        <rFont val="Arial, sans-serif"/>
        <color rgb="FF1155CC"/>
        <sz val="9.0"/>
        <u/>
      </rPr>
      <t>ELLE</t>
    </r>
    <r>
      <rPr>
        <rFont val="Arial, sans-serif"/>
        <color rgb="FF1155CC"/>
        <sz val="15.0"/>
        <u/>
      </rPr>
      <t>Los 15 mejores restaurantes de Toledo</t>
    </r>
    <r>
      <rPr>
        <rFont val="Arial, sans-serif"/>
        <color rgb="FF1155CC"/>
        <sz val="11.0"/>
        <u/>
      </rPr>
      <t>La ciudad imperial destaca por una oferta de cocina tradicional a experiencias culinarias contemporáneas. Estos son los mejores restaurantes de Toledo.</t>
    </r>
    <r>
      <rPr>
        <rFont val="Arial, sans-serif"/>
        <color rgb="FF1155CC"/>
        <sz val="12.0"/>
        <u/>
      </rPr>
      <t>.</t>
    </r>
    <r>
      <rPr>
        <rFont val="Arial, sans-serif"/>
        <color rgb="FF1155CC"/>
        <sz val="11.0"/>
        <u/>
      </rPr>
      <t>28 mar 2024</t>
    </r>
  </si>
  <si>
    <t>Los 15 mejores restaurantes de Toledo</t>
  </si>
  <si>
    <t>La ciudad imperial destaca por una oferta de cocina tradicional a experiencias culinarias contemporáneas. Estos son los mejores restaurantes de Toledo.</t>
  </si>
  <si>
    <t>The 15 best restaurants in Toledo</t>
  </si>
  <si>
    <t>The imperial city stands out for its offer of traditional cuisine and contemporary culinary experiences. These are the best restaurants in Toledo.</t>
  </si>
  <si>
    <r>
      <rPr>
        <rFont val="Arial, sans-serif"/>
        <color rgb="FF1155CC"/>
        <sz val="9.0"/>
        <u/>
      </rPr>
      <t>OkDiario</t>
    </r>
    <r>
      <rPr>
        <rFont val="Arial, sans-serif"/>
        <color rgb="FF1155CC"/>
        <sz val="15.0"/>
        <u/>
      </rPr>
      <t>El precio de la luz se va a cero y confirma la burbuja de las renovables fomentada por el Gobierno</t>
    </r>
    <r>
      <rPr>
        <rFont val="Arial, sans-serif"/>
        <color rgb="FF1155CC"/>
        <sz val="11.0"/>
        <u/>
      </rPr>
      <t>El precio de la luz se va a cero durante muchas horas en las últimas semanas y confirma el suicidio de las renovables por exceso de capacidad.</t>
    </r>
    <r>
      <rPr>
        <rFont val="Arial, sans-serif"/>
        <color rgb="FF1155CC"/>
        <sz val="12.0"/>
        <u/>
      </rPr>
      <t>.</t>
    </r>
    <r>
      <rPr>
        <rFont val="Arial, sans-serif"/>
        <color rgb="FF1155CC"/>
        <sz val="11.0"/>
        <u/>
      </rPr>
      <t>28 mar 2024</t>
    </r>
  </si>
  <si>
    <t>El precio de la luz se va a cero y confirma la burbuja de las renovables fomentada por el Gobierno</t>
  </si>
  <si>
    <t>El precio de la luz se va a cero durante muchas horas en las últimas semanas y confirma el suicidio de las renovables por exceso de capacidad.</t>
  </si>
  <si>
    <t>The price of electricity goes to zero and confirms the renewable energy bubble promoted by the Government</t>
  </si>
  <si>
    <t>The price of electricity has gone to zero for many hours in recent weeks and confirms the suicide of renewables due to excess capacity.</t>
  </si>
  <si>
    <t>Temporary fluctuations in electricity prices do not significantly impact Repsol’s perception.</t>
  </si>
  <si>
    <t>Sector-wide, not Repsol-specific.</t>
  </si>
  <si>
    <t>Sectoriales, no específicos de Repsol.</t>
  </si>
  <si>
    <r>
      <rPr>
        <rFont val="Arial, sans-serif"/>
        <color rgb="FF1155CC"/>
        <sz val="9.0"/>
        <u/>
      </rPr>
      <t>El Independiente</t>
    </r>
    <r>
      <rPr>
        <rFont val="Arial, sans-serif"/>
        <color rgb="FF1155CC"/>
        <sz val="15.0"/>
        <u/>
      </rPr>
      <t>Varios accidentes de tráfico complican la Operación Salida de Semana Santa</t>
    </r>
    <r>
      <rPr>
        <rFont val="Arial, sans-serif"/>
        <color rgb="FF1155CC"/>
        <sz val="11.0"/>
        <u/>
      </rPr>
      <t>Se esperan 9,6 millones de viajes por carretera hasta la medianoche del lunes, festivo en siete comunidades autónomas.</t>
    </r>
    <r>
      <rPr>
        <rFont val="Arial, sans-serif"/>
        <color rgb="FF1155CC"/>
        <sz val="12.0"/>
        <u/>
      </rPr>
      <t>.</t>
    </r>
    <r>
      <rPr>
        <rFont val="Arial, sans-serif"/>
        <color rgb="FF1155CC"/>
        <sz val="11.0"/>
        <u/>
      </rPr>
      <t>28 mar 2024</t>
    </r>
  </si>
  <si>
    <t>Varios accidentes de tráfico complican la Operación Salida de Semana Santa</t>
  </si>
  <si>
    <t>Se esperan 9,6 millones de viajes por carretera hasta la medianoche del lunes, festivo en siete comunidades autónomas.</t>
  </si>
  <si>
    <t>Several traffic accidents complicate Operation Easter Exit</t>
  </si>
  <si>
    <t>9.6 million road trips are expected until midnight on Monday, a holiday in seven autonomous communities.</t>
  </si>
  <si>
    <t>Transport</t>
  </si>
  <si>
    <r>
      <rPr>
        <rFont val="Arial, sans-serif"/>
        <color rgb="FF1155CC"/>
        <sz val="9.0"/>
        <u/>
      </rPr>
      <t>El Español</t>
    </r>
    <r>
      <rPr>
        <rFont val="Arial, sans-serif"/>
        <color rgb="FF1155CC"/>
        <sz val="15.0"/>
        <u/>
      </rPr>
      <t>La guía Michelin de los camioneros: un mapa de restaurantes para comer rico, barato y abundante</t>
    </r>
    <r>
      <rPr>
        <rFont val="Arial, sans-serif"/>
        <color rgb="FF1155CC"/>
        <sz val="11.0"/>
        <u/>
      </rPr>
      <t>Un numeroso grupo de camiones aparcados a las puertas de un bar o restaurante de carretera significa una cosa, ahí se come bien. Sin ser conscientes de ello...</t>
    </r>
    <r>
      <rPr>
        <rFont val="Arial, sans-serif"/>
        <color rgb="FF1155CC"/>
        <sz val="12.0"/>
        <u/>
      </rPr>
      <t>.</t>
    </r>
    <r>
      <rPr>
        <rFont val="Arial, sans-serif"/>
        <color rgb="FF1155CC"/>
        <sz val="11.0"/>
        <u/>
      </rPr>
      <t>28 mar 2024</t>
    </r>
  </si>
  <si>
    <t>La guía Michelin de los camioneros: un mapa de restaurantes para comer rico, barato y abundante</t>
  </si>
  <si>
    <t>Un numeroso grupo de camiones aparcados a las puertas de un bar o restaurante de carretera significa una cosa, ahí se come bien. Sin ser conscientes de ello....</t>
  </si>
  <si>
    <t>The Michelin guide for truck drivers: a map of restaurants to eat delicious, cheap and abundant food</t>
  </si>
  <si>
    <t>A large group of trucks parked outside a roadside bar or restaurant means one thing, you eat well there. Without being aware of it...</t>
  </si>
  <si>
    <r>
      <rPr>
        <rFont val="Arial, sans-serif"/>
        <color rgb="FF1155CC"/>
        <sz val="9.0"/>
        <u/>
      </rPr>
      <t>Emprendedores</t>
    </r>
    <r>
      <rPr>
        <rFont val="Arial, sans-serif"/>
        <color rgb="FF1155CC"/>
        <sz val="15.0"/>
        <u/>
      </rPr>
      <t>Construcción industrializada, qué es y por qué solucionaría el problema de la vivienda</t>
    </r>
    <r>
      <rPr>
        <rFont val="Arial, sans-serif"/>
        <color rgb="FF1155CC"/>
        <sz val="11.0"/>
        <u/>
      </rPr>
      <t>La construcción industrializada permite construir con piezas fabricadas y ensambladas a pie de obra y es más barato y sostenible.</t>
    </r>
    <r>
      <rPr>
        <rFont val="Arial, sans-serif"/>
        <color rgb="FF1155CC"/>
        <sz val="12.0"/>
        <u/>
      </rPr>
      <t>.</t>
    </r>
    <r>
      <rPr>
        <rFont val="Arial, sans-serif"/>
        <color rgb="FF1155CC"/>
        <sz val="11.0"/>
        <u/>
      </rPr>
      <t>28 mar 2024</t>
    </r>
  </si>
  <si>
    <t>Construcción industrializada, qué es y por qué solucionaría el problema de la vivienda</t>
  </si>
  <si>
    <t>La construcción industrializada permite construir con piezas fabricadas y ensambladas a pie de obra y es más barato y sostenible.</t>
  </si>
  <si>
    <t>Industrialized construction, what it is and why it would solve the housing problem</t>
  </si>
  <si>
    <t>Industrialized construction allows construction with parts manufactured and assembled on site and is cheaper and more sustainable.</t>
  </si>
  <si>
    <t>Infrastructure</t>
  </si>
  <si>
    <r>
      <rPr>
        <rFont val="Arial, sans-serif"/>
        <color rgb="FF1155CC"/>
        <sz val="9.0"/>
        <u/>
      </rPr>
      <t>vemosTV</t>
    </r>
    <r>
      <rPr>
        <rFont val="Arial, sans-serif"/>
        <color rgb="FF1155CC"/>
        <sz val="15.0"/>
        <u/>
      </rPr>
      <t>“MasterChef 12”: fecha de estreno, horario y avance del primer programa</t>
    </r>
    <r>
      <rPr>
        <rFont val="Arial, sans-serif"/>
        <color rgb="FF1155CC"/>
        <sz val="11.0"/>
        <u/>
      </rPr>
      <t>Las cocinas vuelven a encenderse el lunes 1 de abril a las 22:50 horas en La 1 y RTVE Play. MasterChef 12 arranca con 50 candidatos enfrentándose a un duro...</t>
    </r>
    <r>
      <rPr>
        <rFont val="Arial, sans-serif"/>
        <color rgb="FF1155CC"/>
        <sz val="12.0"/>
        <u/>
      </rPr>
      <t>.</t>
    </r>
    <r>
      <rPr>
        <rFont val="Arial, sans-serif"/>
        <color rgb="FF1155CC"/>
        <sz val="11.0"/>
        <u/>
      </rPr>
      <t>28 mar 2024</t>
    </r>
  </si>
  <si>
    <t>vemosTV</t>
  </si>
  <si>
    <t>“MasterChef 12”: fecha de estreno, horario y avance del primer programa</t>
  </si>
  <si>
    <t>Las cocinas vuelven a encenderse el lunes 1 de abril a las 22:50 horas en La 1 y RTVE Play. MasterChef 12 arranca con 50 candidatos enfrentándose a un duro....</t>
  </si>
  <si>
    <t>“MasterChef 12”: release date, time and preview of the first program</t>
  </si>
  <si>
    <t>The kitchens turn on again on Monday, April 1 at 10:50 p.m. on La 1 and RTVE Play. MasterChef 12 starts with 50 candidates facing a tough...</t>
  </si>
  <si>
    <r>
      <rPr>
        <rFont val="Arial, sans-serif"/>
        <color rgb="FF1155CC"/>
        <sz val="9.0"/>
        <u/>
      </rPr>
      <t>Gananzia</t>
    </r>
    <r>
      <rPr>
        <rFont val="Arial, sans-serif"/>
        <color rgb="FF1155CC"/>
        <sz val="15.0"/>
        <u/>
      </rPr>
      <t>Begas cierra una nueva ronda millonaria con sus actuales socios</t>
    </r>
    <r>
      <rPr>
        <rFont val="Arial, sans-serif"/>
        <color rgb="FF1155CC"/>
        <sz val="11.0"/>
        <u/>
      </rPr>
      <t>Los socios de Begas Motor han vuelto a inyectar varios millones en la startup vasca Begas Motor para impulsar su negocio de motores de vehículos pesados...</t>
    </r>
    <r>
      <rPr>
        <rFont val="Arial, sans-serif"/>
        <color rgb="FF1155CC"/>
        <sz val="12.0"/>
        <u/>
      </rPr>
      <t>.</t>
    </r>
    <r>
      <rPr>
        <rFont val="Arial, sans-serif"/>
        <color rgb="FF1155CC"/>
        <sz val="11.0"/>
        <u/>
      </rPr>
      <t>29 mar 2024</t>
    </r>
  </si>
  <si>
    <t>Gananzia</t>
  </si>
  <si>
    <t>Begas cierra una nueva ronda millonaria con sus actuales socios</t>
  </si>
  <si>
    <t>Los socios de Begas Motor han vuelto a inyectar varios millones en la startup vasca Begas Motor para impulsar su negocio de motores de vehículos pesados....</t>
  </si>
  <si>
    <t>Begas closes a new million-dollar round with its current partners</t>
  </si>
  <si>
    <t>The partners of Begas Motor have once again injected several million into the Basque startup Begas Motor to boost its heavy vehicle engine business....</t>
  </si>
  <si>
    <r>
      <rPr>
        <rFont val="Arial, sans-serif"/>
        <color rgb="FF1155CC"/>
        <sz val="9.0"/>
        <u/>
      </rPr>
      <t>ABC</t>
    </r>
    <r>
      <rPr>
        <rFont val="Arial, sans-serif"/>
        <color rgb="FF1155CC"/>
        <sz val="15.0"/>
        <u/>
      </rPr>
      <t>El sector químico cayó un 8% en 2023 por un importante ajuste de la demanda respecto a los dos años anterio...</t>
    </r>
    <r>
      <rPr>
        <rFont val="Arial, sans-serif"/>
        <color rgb="FF1155CC"/>
        <sz val="11.0"/>
        <u/>
      </rPr>
      <t>Es el segundo mayor exportador de la industria española tras la automoción.</t>
    </r>
    <r>
      <rPr>
        <rFont val="Arial, sans-serif"/>
        <color rgb="FF1155CC"/>
        <sz val="12.0"/>
        <u/>
      </rPr>
      <t>.</t>
    </r>
    <r>
      <rPr>
        <rFont val="Arial, sans-serif"/>
        <color rgb="FF1155CC"/>
        <sz val="11.0"/>
        <u/>
      </rPr>
      <t>29 mar 2024</t>
    </r>
  </si>
  <si>
    <t>El sector químico cayó un 8% en 2023 por un importante ajuste de la demanda respecto a los dos años anteriores.</t>
  </si>
  <si>
    <t>El sector químico cayó un 8% en 2023 por un importante ajuste de la demanda respecto a los dos años anteriores. Es el segundo mayor exportador de la industria española tras la automoción.</t>
  </si>
  <si>
    <t>The chemical sector fell 8% in 2023 due to a significant adjustment in demand compared to the previous two years.</t>
  </si>
  <si>
    <t>The chemical sector fell 8% in 2023 due to a significant adjustment in demand compared to the previous two years. It is the second largest exporter in the Spanish industry after the automotive industry.</t>
  </si>
  <si>
    <r>
      <rPr>
        <rFont val="Arial, sans-serif"/>
        <color rgb="FF1155CC"/>
        <sz val="9.0"/>
        <u/>
      </rPr>
      <t>El Español</t>
    </r>
    <r>
      <rPr>
        <rFont val="Arial, sans-serif"/>
        <color rgb="FF1155CC"/>
        <sz val="15.0"/>
        <u/>
      </rPr>
      <t>El único restaurante de Betanzos recomendado por las guías es el que no tiene tortilla</t>
    </r>
    <r>
      <rPr>
        <rFont val="Arial, sans-serif"/>
        <color rgb="FF1155CC"/>
        <sz val="11.0"/>
        <u/>
      </rPr>
      <t>A unos kilómetros de A Coruña, a orillas del Río Mandeo, A Artesa da Moza Crecha fusiona vinos de Betanzos con productos kilómetro cero para ofrecer un menú...</t>
    </r>
    <r>
      <rPr>
        <rFont val="Arial, sans-serif"/>
        <color rgb="FF1155CC"/>
        <sz val="12.0"/>
        <u/>
      </rPr>
      <t>.</t>
    </r>
    <r>
      <rPr>
        <rFont val="Arial, sans-serif"/>
        <color rgb="FF1155CC"/>
        <sz val="11.0"/>
        <u/>
      </rPr>
      <t>29 mar 2024</t>
    </r>
  </si>
  <si>
    <t>El único restaurante de Betanzos recomendado por las guías es el que no tiene tortilla</t>
  </si>
  <si>
    <t>A unos kilómetros de A Coruña, a orillas del Río Mandeo, A Artesa da Moza Crecha fusiona vinos de Betanzos con productos kilómetro cero para ofrecer un menú....</t>
  </si>
  <si>
    <t>The only restaurant in Betanzos recommended by the guides is the one that does not have tortillas</t>
  </si>
  <si>
    <t>A few kilometers from A Coruña, on the banks of the Mandeo River, A Artesa da Moza Crecha fuses Betanzos wines with kilometer zero products to offer a menu....</t>
  </si>
  <si>
    <r>
      <rPr>
        <rFont val="Arial, sans-serif"/>
        <color rgb="FF1155CC"/>
        <sz val="9.0"/>
        <u/>
      </rPr>
      <t>Cinco Días</t>
    </r>
    <r>
      <rPr>
        <rFont val="Arial, sans-serif"/>
        <color rgb="FF1155CC"/>
        <sz val="15.0"/>
        <u/>
      </rPr>
      <t>PwC lidera los ingresos por las auditorías del Ibex gracias al ‘contrato de oro’ del Santander</t>
    </r>
    <r>
      <rPr>
        <rFont val="Arial, sans-serif"/>
        <color rgb="FF1155CC"/>
        <sz val="11.0"/>
        <u/>
      </rPr>
      <t>El Ibex 35 pagó en 2023 unos 366 millones de euros a las big four (PwC, Deloitte, KPMG y EY) por sus servicios prestados como auditores principales,...</t>
    </r>
    <r>
      <rPr>
        <rFont val="Arial, sans-serif"/>
        <color rgb="FF1155CC"/>
        <sz val="12.0"/>
        <u/>
      </rPr>
      <t>.</t>
    </r>
    <r>
      <rPr>
        <rFont val="Arial, sans-serif"/>
        <color rgb="FF1155CC"/>
        <sz val="11.0"/>
        <u/>
      </rPr>
      <t>29 mar 2024</t>
    </r>
  </si>
  <si>
    <t>PwC lidera los ingresos por las auditorías del Ibex gracias al ‘contrato de oro’ del Santander</t>
  </si>
  <si>
    <t>El Ibex 35 pagó en 2023 unos 366 millones de euros a las big four (PwC, Deloitte, KPMG y EY) por sus servicios prestados como auditores principales,....</t>
  </si>
  <si>
    <t>PwC leads revenue from Ibex audits thanks to Santander's 'golden contract'</t>
  </si>
  <si>
    <t>In 2023, the Ibex 35 paid some 366 million euros to the big four (PwC, Deloitte, KPMG and EY) for their services provided as main auditors....</t>
  </si>
  <si>
    <r>
      <rPr>
        <rFont val="Arial, sans-serif"/>
        <color rgb="FF1155CC"/>
        <sz val="9.0"/>
        <u/>
      </rPr>
      <t>20Minutos</t>
    </r>
    <r>
      <rPr>
        <rFont val="Arial, sans-serif"/>
        <color rgb="FF1155CC"/>
        <sz val="15.0"/>
        <u/>
      </rPr>
      <t>Uno de los restaurantes con Estrella Michelin más baratos de la Comunidad de Madrid: menú por 35 euros</t>
    </r>
    <r>
      <rPr>
        <rFont val="Arial, sans-serif"/>
        <color rgb="FF1155CC"/>
        <sz val="11.0"/>
        <u/>
      </rPr>
      <t>Se ubica en la localidad madrileña de Valdemoro y además de carta ofrece tres opciones de menú.</t>
    </r>
    <r>
      <rPr>
        <rFont val="Arial, sans-serif"/>
        <color rgb="FF1155CC"/>
        <sz val="12.0"/>
        <u/>
      </rPr>
      <t>.</t>
    </r>
    <r>
      <rPr>
        <rFont val="Arial, sans-serif"/>
        <color rgb="FF1155CC"/>
        <sz val="11.0"/>
        <u/>
      </rPr>
      <t>29 mar 2024</t>
    </r>
  </si>
  <si>
    <t>Uno de los restaurantes con Estrella Michelin más baratos de la Comunidad de Madrid: menú por 35 euros</t>
  </si>
  <si>
    <t>Uno de los restaurantes con Estrella Michelin más baratos de la Comunidad de Madrid: menú por 35 euros. Se ubica en la localidad madrileña de Valdemoro y además de carta ofrece tres opciones de menú.</t>
  </si>
  <si>
    <t>One of the cheapest Michelin Star restaurants in the Community of Madrid: menu for 35 euros</t>
  </si>
  <si>
    <t>One of the cheapest Michelin Star restaurants in the Community of Madrid: menu for 35 euros. It is located in the Madrid town of Valdemoro and in addition to the menu it offers three menu options.</t>
  </si>
  <si>
    <r>
      <rPr>
        <rFont val="Arial, sans-serif"/>
        <color rgb="FF1155CC"/>
        <sz val="9.0"/>
        <u/>
      </rPr>
      <t>Málaga Hoy</t>
    </r>
    <r>
      <rPr>
        <rFont val="Arial, sans-serif"/>
        <color rgb="FF1155CC"/>
        <sz val="15.0"/>
        <u/>
      </rPr>
      <t>Entre los mejores restaurantes de carretera de España hay cuatro de Málaga</t>
    </r>
    <r>
      <rPr>
        <rFont val="Arial, sans-serif"/>
        <color rgb="FF1155CC"/>
        <sz val="11.0"/>
        <u/>
      </rPr>
      <t>Los restaurantes de carretera de Málaga que recomiendan desde la Guía Repsol.</t>
    </r>
    <r>
      <rPr>
        <rFont val="Arial, sans-serif"/>
        <color rgb="FF1155CC"/>
        <sz val="12.0"/>
        <u/>
      </rPr>
      <t>.</t>
    </r>
    <r>
      <rPr>
        <rFont val="Arial, sans-serif"/>
        <color rgb="FF1155CC"/>
        <sz val="11.0"/>
        <u/>
      </rPr>
      <t>29 mar 2024</t>
    </r>
  </si>
  <si>
    <t>Entre los mejores restaurantes de carretera de España hay cuatro de Málaga</t>
  </si>
  <si>
    <t>Los restaurantes de carretera de Málaga que recomiendan desde la Guía Repsol.</t>
  </si>
  <si>
    <t>Among the best roadside restaurants in Spain there are four in Malaga</t>
  </si>
  <si>
    <t>The roadside restaurants in Malaga recommended by the Repsol Guide.</t>
  </si>
  <si>
    <r>
      <rPr>
        <rFont val="Arial, sans-serif"/>
        <color rgb="FF1155CC"/>
        <sz val="9.0"/>
        <u/>
      </rPr>
      <t>Perú 21</t>
    </r>
    <r>
      <rPr>
        <rFont val="Arial, sans-serif"/>
        <color rgb="FF1155CC"/>
        <sz val="15.0"/>
        <u/>
      </rPr>
      <t>Poder Judicial suspende al juez Juan Varillas Solano</t>
    </r>
    <r>
      <rPr>
        <rFont val="Arial, sans-serif"/>
        <color rgb="FF1155CC"/>
        <sz val="11.0"/>
        <u/>
      </rPr>
      <t>El 13 de marzo, el Poder Judicial suspendió preventivamente al magistrado Juan Varillas Solano, quien tenía a su cargo al Séptimo Juzgado Civil con...</t>
    </r>
    <r>
      <rPr>
        <rFont val="Arial, sans-serif"/>
        <color rgb="FF1155CC"/>
        <sz val="12.0"/>
        <u/>
      </rPr>
      <t>.</t>
    </r>
    <r>
      <rPr>
        <rFont val="Arial, sans-serif"/>
        <color rgb="FF1155CC"/>
        <sz val="11.0"/>
        <u/>
      </rPr>
      <t>29 mar 2024</t>
    </r>
  </si>
  <si>
    <t>Perú 21</t>
  </si>
  <si>
    <t>Poder Judicial suspende al juez Juan Varillas Solano</t>
  </si>
  <si>
    <t>El 13 de marzo, el Poder Judicial suspendió preventivamente al magistrado Juan Varillas Solano, quien tenía a su cargo al Séptimo Juzgado Civil con....</t>
  </si>
  <si>
    <t>Judicial Branch suspends Judge Juan Varillas Solano</t>
  </si>
  <si>
    <t>On March 13, the Judiciary preventively suspended Judge Juan Varillas Solano, who was in charge of the Seventh Civil Court with...</t>
  </si>
  <si>
    <r>
      <rPr>
        <rFont val="Arial, sans-serif"/>
        <color rgb="FF1155CC"/>
        <sz val="9.0"/>
        <u/>
      </rPr>
      <t>Guía Repsol</t>
    </r>
    <r>
      <rPr>
        <rFont val="Arial, sans-serif"/>
        <color rgb="FF1155CC"/>
        <sz val="15.0"/>
        <u/>
      </rPr>
      <t>Restaurante 'Desborre' (Madrid): la cocina más sensata y responsable de Lucía Grávalos</t>
    </r>
    <r>
      <rPr>
        <rFont val="Arial, sans-serif"/>
        <color rgb="FF1155CC"/>
        <sz val="11.0"/>
        <u/>
      </rPr>
      <t>En pleno Barrio de los Austrias nace 'Desborre', la apuesta más personal y responsable de Lucía Grávalos. Una casa de comidas con aires de bistró donde la...</t>
    </r>
    <r>
      <rPr>
        <rFont val="Arial, sans-serif"/>
        <color rgb="FF1155CC"/>
        <sz val="12.0"/>
        <u/>
      </rPr>
      <t>.</t>
    </r>
    <r>
      <rPr>
        <rFont val="Arial, sans-serif"/>
        <color rgb="FF1155CC"/>
        <sz val="11.0"/>
        <u/>
      </rPr>
      <t>30 mar 2024</t>
    </r>
  </si>
  <si>
    <t>Restaurante 'Desborre' (Madrid): la cocina más sensata y responsable de Lucía Grávalos</t>
  </si>
  <si>
    <t>Una casa de comidas con aires de bistró donde la....</t>
  </si>
  <si>
    <t>Restaurant 'Desborre' (Madrid): the most sensible and responsible cuisine of Lucía Grávalos</t>
  </si>
  <si>
    <t>A restaurant with the air of a bistro where the...</t>
  </si>
  <si>
    <r>
      <rPr>
        <rFont val="Arial, sans-serif"/>
        <color rgb="FF1155CC"/>
        <sz val="9.0"/>
        <u/>
      </rPr>
      <t>El Español</t>
    </r>
    <r>
      <rPr>
        <rFont val="Arial, sans-serif"/>
        <color rgb="FF1155CC"/>
        <sz val="15.0"/>
        <u/>
      </rPr>
      <t>Los mejores torreznos de Alicante salen de este bar con Solete Repsol: "Une personas"</t>
    </r>
    <r>
      <rPr>
        <rFont val="Arial, sans-serif"/>
        <color rgb="FF1155CC"/>
        <sz val="11.0"/>
        <u/>
      </rPr>
      <t>La especialidad de este puesto que dirige Jorge Cortés en el Mercado Central desde 2020 es esta exitosa tapa.</t>
    </r>
    <r>
      <rPr>
        <rFont val="Arial, sans-serif"/>
        <color rgb="FF1155CC"/>
        <sz val="12.0"/>
        <u/>
      </rPr>
      <t>.</t>
    </r>
    <r>
      <rPr>
        <rFont val="Arial, sans-serif"/>
        <color rgb="FF1155CC"/>
        <sz val="11.0"/>
        <u/>
      </rPr>
      <t>30 mar 2024</t>
    </r>
  </si>
  <si>
    <t>Los mejores torreznos de Alicante salen de este bar con Solete Repsol: "Une personas"</t>
  </si>
  <si>
    <t>La especialidad de este puesto que dirige Jorge Cortés en el Mercado Central desde 2020 es esta exitosa tapa.</t>
  </si>
  <si>
    <t>The best torreznos in Alicante leave this bar with Solete Repsol: "Unite people"</t>
  </si>
  <si>
    <t>The specialty of this position that Jorge Cortés has run in the Central Market since 2020 is this successful tapa.</t>
  </si>
  <si>
    <r>
      <rPr>
        <rFont val="Arial, sans-serif"/>
        <color rgb="FF1155CC"/>
        <sz val="9.0"/>
        <u/>
      </rPr>
      <t>Faro de Vigo</t>
    </r>
    <r>
      <rPr>
        <rFont val="Arial, sans-serif"/>
        <color rgb="FF1155CC"/>
        <sz val="15.0"/>
        <u/>
      </rPr>
      <t>D'Leria, la taberna marinera con vistas a la Isla de Cortegada que lucha por el premio 'Cociñeiro Galego 2024'</t>
    </r>
    <r>
      <rPr>
        <rFont val="Arial, sans-serif"/>
        <color rgb="FF1155CC"/>
        <sz val="11.0"/>
        <u/>
      </rPr>
      <t>Descubre esta pequeña tasca recomendada por la Guía Repsol en el corazón de O Salnés.</t>
    </r>
    <r>
      <rPr>
        <rFont val="Arial, sans-serif"/>
        <color rgb="FF1155CC"/>
        <sz val="12.0"/>
        <u/>
      </rPr>
      <t>.</t>
    </r>
    <r>
      <rPr>
        <rFont val="Arial, sans-serif"/>
        <color rgb="FF1155CC"/>
        <sz val="11.0"/>
        <u/>
      </rPr>
      <t>30 mar 2024</t>
    </r>
  </si>
  <si>
    <t>D'Leria, la taberna marinera con vistas a la Isla de Cortegada que lucha por el premio 'Cociñeiro Galego 2024'</t>
  </si>
  <si>
    <t>Descubre esta pequeña tasca recomendada por la Guía Repsol en el corazón de O Salnés.</t>
  </si>
  <si>
    <t>D'Leria, the seafood tavern with views of Cortegada Island that is fighting for the 'Cociñeiro Galego 2024' award</t>
  </si>
  <si>
    <t>Discover this small tavern recommended by the Repsol Guide in the heart of O Salnés.</t>
  </si>
  <si>
    <r>
      <rPr>
        <rFont val="Arial, sans-serif"/>
        <color rgb="FF1155CC"/>
        <sz val="9.0"/>
        <u/>
      </rPr>
      <t>Deia</t>
    </r>
    <r>
      <rPr>
        <rFont val="Arial, sans-serif"/>
        <color rgb="FF1155CC"/>
        <sz val="15.0"/>
        <u/>
      </rPr>
      <t>El mejor camarero del Estado está en un restaurante de Bizkaia</t>
    </r>
    <r>
      <rPr>
        <rFont val="Arial, sans-serif"/>
        <color rgb="FF1155CC"/>
        <sz val="11.0"/>
        <u/>
      </rPr>
      <t>El sumiller Miguel López, del restaurante Garena de Dima ha sido elegido el camarero del año en el concurso Alimentaria &amp; Hostelco.</t>
    </r>
    <r>
      <rPr>
        <rFont val="Arial, sans-serif"/>
        <color rgb="FF1155CC"/>
        <sz val="12.0"/>
        <u/>
      </rPr>
      <t>.</t>
    </r>
    <r>
      <rPr>
        <rFont val="Arial, sans-serif"/>
        <color rgb="FF1155CC"/>
        <sz val="11.0"/>
        <u/>
      </rPr>
      <t>30 mar 2024</t>
    </r>
  </si>
  <si>
    <t>El mejor camarero del Estado está en un restaurante de Bizkaia</t>
  </si>
  <si>
    <t>El sumiller Miguel López, del restaurante Garena de Dima ha sido elegido el camarero del año en el concurso Alimentaria &amp; Hostelco.</t>
  </si>
  <si>
    <t>The best waiter in the State is in a restaurant in Bizkaia</t>
  </si>
  <si>
    <t>The sommelier Miguel López, from the Garena de Dima restaurant, has been chosen as the waiter of the year in the Alimentaria &amp; Hostelco competition.</t>
  </si>
  <si>
    <r>
      <rPr>
        <rFont val="Arial, sans-serif"/>
        <color rgb="FF1155CC"/>
        <sz val="9.0"/>
        <u/>
      </rPr>
      <t>El Periódico de la Energía</t>
    </r>
    <r>
      <rPr>
        <rFont val="Arial, sans-serif"/>
        <color rgb="FF1155CC"/>
        <sz val="15.0"/>
        <u/>
      </rPr>
      <t>Repsol avanza en su apuesta por los combustibles sintéticos con la luz verde a su 'megaproyecto' en Bilbao</t>
    </r>
    <r>
      <rPr>
        <rFont val="Arial, sans-serif"/>
        <color rgb="FF1155CC"/>
        <sz val="11.0"/>
        <u/>
      </rPr>
      <t>Repsol avanza en su apuesta por el impulso a los combustibles sintéticos en España tras haber recibido el visto bueno al 'megaproyecto'.</t>
    </r>
    <r>
      <rPr>
        <rFont val="Arial, sans-serif"/>
        <color rgb="FF1155CC"/>
        <sz val="12.0"/>
        <u/>
      </rPr>
      <t>.</t>
    </r>
    <r>
      <rPr>
        <rFont val="Arial, sans-serif"/>
        <color rgb="FF1155CC"/>
        <sz val="11.0"/>
        <u/>
      </rPr>
      <t>31 mar 2024</t>
    </r>
  </si>
  <si>
    <t>Repsol avanza en su apuesta por los combustibles sintéticos con la luz verde a su 'megaproyecto' en Bilbao</t>
  </si>
  <si>
    <t>Repsol avanza en su apuesta por el impulso a los combustibles sintéticos en España tras haber recibido el visto bueno al 'megaproyecto'.</t>
  </si>
  <si>
    <t>Repsol advances in its commitment to synthetic fuels with the green light for its 'megaproject' in Bilbao</t>
  </si>
  <si>
    <t>Repsol advances in its commitment to promoting synthetic fuels in Spain after having received approval for the 'megaproject'.</t>
  </si>
  <si>
    <t>Repsol synthetic fuels, sustainability</t>
  </si>
  <si>
    <t>Combustibles sintéticos Repsol, sostenibilidad</t>
  </si>
  <si>
    <t>Advancing synthetic fuel technology supports Repsol’s green energy goals.</t>
  </si>
  <si>
    <t>avanza, "combustibles sintéticos"</t>
  </si>
  <si>
    <t>Positive green tech.</t>
  </si>
  <si>
    <t>Tecnología verde positiva.</t>
  </si>
  <si>
    <r>
      <rPr>
        <rFont val="Arial, sans-serif"/>
        <color rgb="FF1155CC"/>
        <sz val="9.0"/>
        <u/>
      </rPr>
      <t>elDiario.es</t>
    </r>
    <r>
      <rPr>
        <rFont val="Arial, sans-serif"/>
        <color rgb="FF1155CC"/>
        <sz val="15.0"/>
        <u/>
      </rPr>
      <t>Iberdrola guarda el hacha de guerra contra el Gobierno y se lanza a por Repsol por competencia desleal</t>
    </r>
    <r>
      <rPr>
        <rFont val="Arial, sans-serif"/>
        <color rgb="FF1155CC"/>
        <sz val="11.0"/>
        <u/>
      </rPr>
      <t>Del enfrentamiento abierto con el Gobierno a abrir una batalla contra Repsol por competencia desleal y asumir que no hay vuelta atrás al apagón nuclear...</t>
    </r>
    <r>
      <rPr>
        <rFont val="Arial, sans-serif"/>
        <color rgb="FF1155CC"/>
        <sz val="12.0"/>
        <u/>
      </rPr>
      <t>.</t>
    </r>
    <r>
      <rPr>
        <rFont val="Arial, sans-serif"/>
        <color rgb="FF1155CC"/>
        <sz val="11.0"/>
        <u/>
      </rPr>
      <t>31 mar 2024</t>
    </r>
  </si>
  <si>
    <t>Iberdrola guarda el hacha de guerra contra el Gobierno y se lanza a por Repsol por competencia desleal</t>
  </si>
  <si>
    <t>Del enfrentamiento abierto con el Gobierno a abrir una batalla contra Repsol por competencia desleal y asumir que no hay vuelta atrás al apagón nuclear.</t>
  </si>
  <si>
    <t>Iberdrola keeps the hatchet against the Government and goes after Repsol for unfair competition</t>
  </si>
  <si>
    <t>From open confrontation with the Government to opening a battle against Repsol for unfair competition and assuming that there is no going back to the nuclear blackout.</t>
  </si>
  <si>
    <t>Repsol vs. Iberdrola, energy dispute</t>
  </si>
  <si>
    <t>Repsol vs. Iberdrola, disputa energética</t>
  </si>
  <si>
    <t>Energy policy conflicts could influence Repsol’s regulatory standing.</t>
  </si>
  <si>
    <t>guerra, "competencia desleal"</t>
  </si>
  <si>
    <t>Negative legal dispute.</t>
  </si>
  <si>
    <t>Disputa jurídica negativa.</t>
  </si>
  <si>
    <r>
      <rPr>
        <rFont val="Arial, sans-serif"/>
        <color rgb="FF1155CC"/>
        <sz val="9.0"/>
        <u/>
      </rPr>
      <t>Guía Repsol</t>
    </r>
    <r>
      <rPr>
        <rFont val="Arial, sans-serif"/>
        <color rgb="FF1155CC"/>
        <sz val="15.0"/>
        <u/>
      </rPr>
      <t>Restaurante 'Ricardo Temiño' (Burgos): un cruce de caminos que conquista al paladar</t>
    </r>
    <r>
      <rPr>
        <rFont val="Arial, sans-serif"/>
        <color rgb="FF1155CC"/>
        <sz val="11.0"/>
        <u/>
      </rPr>
      <t>En Burgos, sobre el kilómetro 256 del Camino de Santiago, Ricardo Temiño propone con su menú 'Camino' una parada gastronómica donde la tradición se come a...</t>
    </r>
    <r>
      <rPr>
        <rFont val="Arial, sans-serif"/>
        <color rgb="FF1155CC"/>
        <sz val="12.0"/>
        <u/>
      </rPr>
      <t>.</t>
    </r>
    <r>
      <rPr>
        <rFont val="Arial, sans-serif"/>
        <color rgb="FF1155CC"/>
        <sz val="11.0"/>
        <u/>
      </rPr>
      <t>31 mar 2024</t>
    </r>
  </si>
  <si>
    <t>Restaurante 'Ricardo Temiño' (Burgos): un cruce de caminos que conquista al paladar</t>
  </si>
  <si>
    <t>En Burgos, sobre el kilómetro 256 del Camino de Santiago, Ricardo Temiño propone con su menú 'Camino' una parada gastronómica donde la tradición se come a....</t>
  </si>
  <si>
    <t>Restaurant 'Ricardo Temiño' (Burgos): a crossroads that conquers the palate</t>
  </si>
  <si>
    <t>In Burgos, on kilometer 256 of the Camino de Santiago, Ricardo Temiño proposes with his 'Camino' menu a gastronomic stop where tradition is eaten....</t>
  </si>
  <si>
    <r>
      <rPr>
        <rFont val="Arial, sans-serif"/>
        <color rgb="FF1155CC"/>
        <sz val="9.0"/>
        <u/>
      </rPr>
      <t>El Economista</t>
    </r>
    <r>
      <rPr>
        <rFont val="Arial, sans-serif"/>
        <color rgb="FF1155CC"/>
        <sz val="15.0"/>
        <u/>
      </rPr>
      <t>Los dueños de Lizarran superan los 142 millones en ventas y buscan crecer en el canal de viajes</t>
    </r>
    <r>
      <rPr>
        <rFont val="Arial, sans-serif"/>
        <color rgb="FF1155CC"/>
        <sz val="11.0"/>
        <u/>
      </rPr>
      <t>El grupo de restauración español, Comess Group, propietario de marcas como Lizarran, Levaduramadre o Pomodoro, cerró el año pasado con ...</t>
    </r>
    <r>
      <rPr>
        <rFont val="Arial, sans-serif"/>
        <color rgb="FF1155CC"/>
        <sz val="12.0"/>
        <u/>
      </rPr>
      <t>.</t>
    </r>
    <r>
      <rPr>
        <rFont val="Arial, sans-serif"/>
        <color rgb="FF1155CC"/>
        <sz val="11.0"/>
        <u/>
      </rPr>
      <t>31 mar 2024</t>
    </r>
  </si>
  <si>
    <t>Los dueños de Lizarran superan los 142 millones en ventas y buscan crecer en el canal de viajes</t>
  </si>
  <si>
    <t>El grupo de restauración español, Comess Group, propietario de marcas como Lizarran, Levaduramadre o Pomodoro, cerró el año pasado con ....</t>
  </si>
  <si>
    <t>The owners of Lizarran exceed 142 million in sales and seek to grow in the travel channel</t>
  </si>
  <si>
    <t>The Spanish restaurant group, Comess Group, owner of brands such as Lizarran, Levaduramadre or Pomodoro, closed last year with....</t>
  </si>
  <si>
    <r>
      <rPr>
        <rFont val="Arial, sans-serif"/>
        <color rgb="FF1155CC"/>
        <sz val="9.0"/>
        <u/>
      </rPr>
      <t>Comunidad de Madrid |</t>
    </r>
    <r>
      <rPr>
        <rFont val="Arial, sans-serif"/>
        <color rgb="FF1155CC"/>
        <sz val="15.0"/>
        <u/>
      </rPr>
      <t>La Comunidad de Madrid crea un hub de innovación tecnológica para el desarrollo de combustibles de aviación menos contaminantes</t>
    </r>
    <r>
      <rPr>
        <rFont val="Arial, sans-serif"/>
        <color rgb="FF1155CC"/>
        <sz val="11.0"/>
        <u/>
      </rPr>
      <t>La Comunidad de Madrid ha creado el hub de innovación tecnológica para el desarrollo de combustibles sostenibles y menos contaminantes destinados a la...</t>
    </r>
    <r>
      <rPr>
        <rFont val="Arial, sans-serif"/>
        <color rgb="FF1155CC"/>
        <sz val="12.0"/>
        <u/>
      </rPr>
      <t>.</t>
    </r>
    <r>
      <rPr>
        <rFont val="Arial, sans-serif"/>
        <color rgb="FF1155CC"/>
        <sz val="11.0"/>
        <u/>
      </rPr>
      <t>31 mar 2024</t>
    </r>
  </si>
  <si>
    <t>Comunidad de Madrid</t>
  </si>
  <si>
    <t>La Comunidad de Madrid crea un hub de innovación tecnológica para el desarrollo de combustibles de aviación menos contaminantes</t>
  </si>
  <si>
    <t>La Comunidad de Madrid ha creado el hub de innovación tecnológica para el desarrollo de combustibles sostenibles y menos contaminantes destinados a la....</t>
  </si>
  <si>
    <t>The Community of Madrid creates a technological innovation hub for the development of less polluting aviation fuels</t>
  </si>
  <si>
    <t>The Community of Madrid has created the technological innovation hub for the development of sustainable and less polluting fuels for...</t>
  </si>
  <si>
    <t>Regional sustainability initiatives do not directly impact Repsol’s business.</t>
  </si>
  <si>
    <t>Sector news.</t>
  </si>
  <si>
    <t>Noticias del sector.</t>
  </si>
  <si>
    <r>
      <rPr>
        <rFont val="Arial, sans-serif"/>
        <color rgb="FF1155CC"/>
        <sz val="9.0"/>
        <u/>
      </rPr>
      <t>El Correo</t>
    </r>
    <r>
      <rPr>
        <rFont val="Arial, sans-serif"/>
        <color rgb="FF1155CC"/>
        <sz val="15.0"/>
        <u/>
      </rPr>
      <t>Las 'electrolineras', nuevo campo de batalla entre las grandes energéticas</t>
    </r>
    <r>
      <rPr>
        <rFont val="Arial, sans-serif"/>
        <color rgb="FF1155CC"/>
        <sz val="11.0"/>
        <u/>
      </rPr>
      <t>Iberdrola, Endesa y Repsol lideran los puntos de recarga públicos en España. Tras ellos emerge EDP y ahora se han sumado Total Energies y Cepsa.</t>
    </r>
    <r>
      <rPr>
        <rFont val="Arial, sans-serif"/>
        <color rgb="FF1155CC"/>
        <sz val="12.0"/>
        <u/>
      </rPr>
      <t>.</t>
    </r>
    <r>
      <rPr>
        <rFont val="Arial, sans-serif"/>
        <color rgb="FF1155CC"/>
        <sz val="11.0"/>
        <u/>
      </rPr>
      <t>31 mar 2024</t>
    </r>
  </si>
  <si>
    <t>Las 'electrolineras', nuevo campo de batalla entre las grandes energéticas</t>
  </si>
  <si>
    <t>Iberdrola, Endesa y Repsol lideran los puntos de recarga públicos en España. Tras ellos emerge EDP y ahora se han sumado Total Energies y Cepsa.</t>
  </si>
  <si>
    <t>The 'electrolineras', a new battlefield between the large energy companies</t>
  </si>
  <si>
    <t>Iberdrola, Endesa and Repsol lead the public charging points in Spain. EDP ​​emerges after them and now Total Energies and Cepsa have joined.</t>
  </si>
  <si>
    <t>Competing in EV infrastructure supports Repsol’s transition to clean energy.</t>
  </si>
  <si>
    <t>Broad sector.</t>
  </si>
  <si>
    <t>Amplio sector.</t>
  </si>
  <si>
    <r>
      <rPr>
        <rFont val="Arial, sans-serif"/>
        <color rgb="FF1155CC"/>
        <sz val="9.0"/>
        <u/>
      </rPr>
      <t>El Debate</t>
    </r>
    <r>
      <rPr>
        <rFont val="Arial, sans-serif"/>
        <color rgb="FF1155CC"/>
        <sz val="15.0"/>
        <u/>
      </rPr>
      <t>Combustible premium o low cost: ¿con cuál gasta menos tu coche?</t>
    </r>
    <r>
      <rPr>
        <rFont val="Arial, sans-serif"/>
        <color rgb="FF1155CC"/>
        <sz val="11.0"/>
        <u/>
      </rPr>
      <t>Más allá del precio, las diferencias entre las estaciones de servicio de primera categoría y las baratas pueden afectar incluso al consumo de un ve...</t>
    </r>
    <r>
      <rPr>
        <rFont val="Arial, sans-serif"/>
        <color rgb="FF1155CC"/>
        <sz val="12.0"/>
        <u/>
      </rPr>
      <t>.</t>
    </r>
    <r>
      <rPr>
        <rFont val="Arial, sans-serif"/>
        <color rgb="FF1155CC"/>
        <sz val="11.0"/>
        <u/>
      </rPr>
      <t>31 mar 2024</t>
    </r>
  </si>
  <si>
    <t>Combustible premium o low cost: ¿con cuál gasta menos tu coche?</t>
  </si>
  <si>
    <t>Más allá del precio, las diferencias entre las estaciones de servicio de primera categoría y las baratas pueden afectar incluso al consumo de un ve....</t>
  </si>
  <si>
    <t>Premium or low cost fuel: which one does your car use less?</t>
  </si>
  <si>
    <t>Beyond price, the differences between premium and cheap gas stations can even affect a vehicle's consumption....</t>
  </si>
  <si>
    <r>
      <rPr>
        <rFont val="Arial, sans-serif"/>
        <color rgb="FF1155CC"/>
        <sz val="9.0"/>
        <u/>
      </rPr>
      <t>Ultima Hora</t>
    </r>
    <r>
      <rPr>
        <rFont val="Arial, sans-serif"/>
        <color rgb="FF1155CC"/>
        <sz val="15.0"/>
        <u/>
      </rPr>
      <t>Mir y Augusto: la conexión mallorquina de MotoGP</t>
    </r>
    <r>
      <rPr>
        <rFont val="Arial, sans-serif"/>
        <color rgb="FF1155CC"/>
        <sz val="11.0"/>
        <u/>
      </rPr>
      <t>Los campeones del mundo isleños se juegan en 2024 la dirección de su futuro dentro de la parrilla en la cilindrada reina. Motos. Joan Mir (Repsol Honda) y...</t>
    </r>
    <r>
      <rPr>
        <rFont val="Arial, sans-serif"/>
        <color rgb="FF1155CC"/>
        <sz val="12.0"/>
        <u/>
      </rPr>
      <t>.</t>
    </r>
    <r>
      <rPr>
        <rFont val="Arial, sans-serif"/>
        <color rgb="FF1155CC"/>
        <sz val="11.0"/>
        <u/>
      </rPr>
      <t>31 mar 2024</t>
    </r>
  </si>
  <si>
    <t>Mir y Augusto: la conexión mallorquina de MotoGP</t>
  </si>
  <si>
    <t>Los campeones del mundo isleños se juegan en 2024 la dirección de su futuro dentro de la parrilla en la cilindrada reina. Motos. Joan Mir (Repsol Honda) y....</t>
  </si>
  <si>
    <t>Mir and Augusto: the Majorcan MotoGP connection</t>
  </si>
  <si>
    <t>The island world champions are playing in 2024 for the direction of their future on the grid in the premier class. Motorcycles. Joan Mir (Repsol Honda) and....</t>
  </si>
  <si>
    <r>
      <rPr>
        <rFont val="Arial, sans-serif"/>
        <color rgb="FF1155CC"/>
        <sz val="9.0"/>
        <u/>
      </rPr>
      <t>El Periódico de la Energía</t>
    </r>
    <r>
      <rPr>
        <rFont val="Arial, sans-serif"/>
        <color rgb="FF1155CC"/>
        <sz val="15.0"/>
        <u/>
      </rPr>
      <t>3,6 millones de barriles diarios de capacidad mundial de refino están en alto riesgo de cierre</t>
    </r>
    <r>
      <rPr>
        <rFont val="Arial, sans-serif"/>
        <color rgb="FF1155CC"/>
        <sz val="11.0"/>
        <u/>
      </rPr>
      <t>Según un informe de Wood Mackenzie, casi la mitad de las refinerías más amenazadas se encuentran en Europa y la mayoría son instalaciones de craqueo...</t>
    </r>
    <r>
      <rPr>
        <rFont val="Arial, sans-serif"/>
        <color rgb="FF1155CC"/>
        <sz val="12.0"/>
        <u/>
      </rPr>
      <t>.</t>
    </r>
    <r>
      <rPr>
        <rFont val="Arial, sans-serif"/>
        <color rgb="FF1155CC"/>
        <sz val="11.0"/>
        <u/>
      </rPr>
      <t>31 mar 2024</t>
    </r>
  </si>
  <si>
    <t>3,6 millones de barriles diarios de capacidad mundial de refino están en alto riesgo de cierre</t>
  </si>
  <si>
    <t>Según un informe de Wood Mackenzie, casi la mitad de las refinerías más amenazadas se encuentran en Europa y la mayoría son instalaciones de craqueo.</t>
  </si>
  <si>
    <t>3.6 million barrels per day of global refining capacity are at high risk of closure</t>
  </si>
  <si>
    <t>According to a report by Wood Mackenzie, almost half of the most threatened refineries are in Europe and the majority are cracking facilities.</t>
  </si>
  <si>
    <t>Global refining market fluctuations do not directly impact Repsol’s perception.</t>
  </si>
  <si>
    <t>Sector-wide.</t>
  </si>
  <si>
    <t>Todo el sector.</t>
  </si>
  <si>
    <r>
      <rPr>
        <rFont val="Arial, sans-serif"/>
        <color rgb="FF1155CC"/>
        <sz val="9.0"/>
        <u/>
      </rPr>
      <t>65 y más</t>
    </r>
    <r>
      <rPr>
        <rFont val="Arial, sans-serif"/>
        <color rgb="FF1155CC"/>
        <sz val="15.0"/>
        <u/>
      </rPr>
      <t>Los soles Repsol nos llevan de ruta por los mejores restaurantes de la Comunidad de Madrid</t>
    </r>
    <r>
      <rPr>
        <rFont val="Arial, sans-serif"/>
        <color rgb="FF1155CC"/>
        <sz val="11.0"/>
        <u/>
      </rPr>
      <t>La guía 2024 ha galardonado 4 establecimientos con su segundo sol y diez restaurantes con la primera.</t>
    </r>
    <r>
      <rPr>
        <rFont val="Arial, sans-serif"/>
        <color rgb="FF1155CC"/>
        <sz val="12.0"/>
        <u/>
      </rPr>
      <t>.</t>
    </r>
    <r>
      <rPr>
        <rFont val="Arial, sans-serif"/>
        <color rgb="FF1155CC"/>
        <sz val="11.0"/>
        <u/>
      </rPr>
      <t>31 mar 2024</t>
    </r>
  </si>
  <si>
    <t>Los Soles</t>
  </si>
  <si>
    <t>Los soles Repsol nos llevan de ruta por los mejores restaurantes de la Comunidad de Madrid.</t>
  </si>
  <si>
    <t>La guía 2024 ha galardonado 4 establecimientos con su segundo sol y diez restaurantes con la primera.</t>
  </si>
  <si>
    <t>The Repsol soles take us on a tour of the best restaurants in the Community of Madrid.</t>
  </si>
  <si>
    <t>The 2024 guide has awarded 4 establishments with their second sun and ten restaurants with their first.</t>
  </si>
  <si>
    <r>
      <rPr>
        <rFont val="Arial, sans-serif"/>
        <color rgb="FF1155CC"/>
        <sz val="9.0"/>
        <u/>
      </rPr>
      <t>Expansión</t>
    </r>
    <r>
      <rPr>
        <rFont val="Arial, sans-serif"/>
        <color rgb="FF1155CC"/>
        <sz val="15.0"/>
        <u/>
      </rPr>
      <t>Repsol reabre con Ibereólica su carrera de compras de renovables</t>
    </r>
    <r>
      <rPr>
        <rFont val="Arial, sans-serif"/>
        <color rgb="FF1155CC"/>
        <sz val="11.0"/>
        <u/>
      </rPr>
      <t>Repsol ultima un acuerdo con el grupo español Ibereólica para hacerse con la totalidad de la sociedad conjunta de renovables que mantienen ambas empresas en...</t>
    </r>
    <r>
      <rPr>
        <rFont val="Arial, sans-serif"/>
        <color rgb="FF1155CC"/>
        <sz val="12.0"/>
        <u/>
      </rPr>
      <t>.</t>
    </r>
    <r>
      <rPr>
        <rFont val="Arial, sans-serif"/>
        <color rgb="FF1155CC"/>
        <sz val="11.0"/>
        <u/>
      </rPr>
      <t>1 abr 2024</t>
    </r>
  </si>
  <si>
    <t>Repsol reabre con Ibereólica su carrera de compras de renovables</t>
  </si>
  <si>
    <t>Repsol ultima un acuerdo con el grupo español Ibereólica para hacerse con la totalidad de la sociedad conjunta de renovables que mantienen ambas empresas en....</t>
  </si>
  <si>
    <t>Repsol reopens its renewable purchasing race with Ibereólica</t>
  </si>
  <si>
    <t>Repsol finalizes an agreement with the Spanish group Ibereólica to take over the entire renewables joint venture held by both companies in...</t>
  </si>
  <si>
    <t>Investing in renewables reinforces Repsol’s commitment to clean energy.</t>
  </si>
  <si>
    <t>acuerdo, "renovables"</t>
  </si>
  <si>
    <r>
      <rPr>
        <rFont val="Arial, sans-serif"/>
        <color rgb="FF1155CC"/>
        <sz val="9.0"/>
        <u/>
      </rPr>
      <t>infoLibre</t>
    </r>
    <r>
      <rPr>
        <rFont val="Arial, sans-serif"/>
        <color rgb="FF1155CC"/>
        <sz val="15.0"/>
        <u/>
      </rPr>
      <t>Por qué es Iberdrola quien denuncia a Repsol por 'greenwashing' y no los ecologistas</t>
    </r>
    <r>
      <rPr>
        <rFont val="Arial, sans-serif"/>
        <color rgb="FF1155CC"/>
        <sz val="11.0"/>
        <u/>
      </rPr>
      <t>La semana pasada se hizo pública la batalla judicial que libran desde el 21 de febrero Iberdrola y Repsol. La mayor eléctrica del país denunció a la...</t>
    </r>
    <r>
      <rPr>
        <rFont val="Arial, sans-serif"/>
        <color rgb="FF1155CC"/>
        <sz val="12.0"/>
        <u/>
      </rPr>
      <t>.</t>
    </r>
    <r>
      <rPr>
        <rFont val="Arial, sans-serif"/>
        <color rgb="FF1155CC"/>
        <sz val="11.0"/>
        <u/>
      </rPr>
      <t>1 abr 2024</t>
    </r>
  </si>
  <si>
    <t>Por qué es Iberdrola quien denuncia a Repsol por 'greenwashing' y no los ecologistas</t>
  </si>
  <si>
    <t>La semana pasada se hizo pública la batalla judicial que libran desde el 21 de febrero Iberdrola y Repsol. La mayor eléctrica del país denunció a la....</t>
  </si>
  <si>
    <t>Why is it Iberdrola that denounces Repsol for 'greenwashing' and not the environmentalists</t>
  </si>
  <si>
    <t>Last week the legal battle that Iberdrola and Repsol have been fighting since February 21 became public. The largest electricity company in the country denounced the...</t>
  </si>
  <si>
    <t>Repsol greenwashing, legal dispute</t>
  </si>
  <si>
    <t>Greenwashing de Repsol, disputa judicial</t>
  </si>
  <si>
    <t>Accusations of greenwashing could negatively affect Repsol’s credibility.</t>
  </si>
  <si>
    <t>denuncia, "greenwashing"</t>
  </si>
  <si>
    <t>Negative legal/PR issue.</t>
  </si>
  <si>
    <t>Cuestión legal/de relaciones públicas negativa.</t>
  </si>
  <si>
    <r>
      <rPr>
        <rFont val="Arial, sans-serif"/>
        <color rgb="FF1155CC"/>
        <sz val="9.0"/>
        <u/>
      </rPr>
      <t>EL PAÍS</t>
    </r>
    <r>
      <rPr>
        <rFont val="Arial, sans-serif"/>
        <color rgb="FF1155CC"/>
        <sz val="15.0"/>
        <u/>
      </rPr>
      <t>El combustible renovable, innovadora solución para reducir las emisiones del transporte</t>
    </r>
    <r>
      <rPr>
        <rFont val="Arial, sans-serif"/>
        <color rgb="FF1155CC"/>
        <sz val="11.0"/>
        <u/>
      </rPr>
      <t>Compatibles con los motores actuales y fabricados a partir de residuos orgánicos, estos carburantes crecen como alternativa para reducir la huella de...</t>
    </r>
    <r>
      <rPr>
        <rFont val="Arial, sans-serif"/>
        <color rgb="FF1155CC"/>
        <sz val="12.0"/>
        <u/>
      </rPr>
      <t>.</t>
    </r>
    <r>
      <rPr>
        <rFont val="Arial, sans-serif"/>
        <color rgb="FF1155CC"/>
        <sz val="11.0"/>
        <u/>
      </rPr>
      <t>1 abr 2024</t>
    </r>
  </si>
  <si>
    <t>El combustible renovable, innovadora solución para reducir las emisiones del transporte</t>
  </si>
  <si>
    <t>Compatibles con los motores actuales y fabricados a partir de residuos orgánicos, estos carburantes crecen como alternativa para reducir la huella de....</t>
  </si>
  <si>
    <t>Renewable fuel, an innovative solution to reduce transport emissions</t>
  </si>
  <si>
    <t>Compatible with current engines and manufactured from organic waste, these fuels grow as an alternative to reduce the carbon footprint....</t>
  </si>
  <si>
    <t>Expanding renewable fuel options supports Repsol’s sustainability efforts.</t>
  </si>
  <si>
    <t>Generic topic.</t>
  </si>
  <si>
    <t>Tema genérico.</t>
  </si>
  <si>
    <r>
      <rPr>
        <rFont val="Arial, sans-serif"/>
        <color rgb="FF1155CC"/>
        <sz val="9.0"/>
        <u/>
      </rPr>
      <t>Cadena SER</t>
    </r>
    <r>
      <rPr>
        <rFont val="Arial, sans-serif"/>
        <color rgb="FF1155CC"/>
        <sz val="15.0"/>
        <u/>
      </rPr>
      <t>Móstoles en el centro del desarrollo de combustibles sostenibles de aviación con un "hub" de Innovación Tecnológica</t>
    </r>
    <r>
      <rPr>
        <rFont val="Arial, sans-serif"/>
        <color rgb="FF1155CC"/>
        <sz val="11.0"/>
        <u/>
      </rPr>
      <t>El nuevo proyecto Madrid Vuela Sostenible estará liderado, entre otros, por Repsol desde su centro de innovación y por el centro de investigación de la...</t>
    </r>
    <r>
      <rPr>
        <rFont val="Arial, sans-serif"/>
        <color rgb="FF1155CC"/>
        <sz val="12.0"/>
        <u/>
      </rPr>
      <t>.</t>
    </r>
    <r>
      <rPr>
        <rFont val="Arial, sans-serif"/>
        <color rgb="FF1155CC"/>
        <sz val="11.0"/>
        <u/>
      </rPr>
      <t>1 abr 2024</t>
    </r>
  </si>
  <si>
    <t>Madrid Vuela Sostenible: Hub de Innovación Tecnológica para Combustibles Sostenibles de Aviación</t>
  </si>
  <si>
    <t>El nuevo proyecto Madrid Vuela Sostenible estará liderado, entre otros, por Repsol desde su centro de innovación y por el centro de investigación de la....</t>
  </si>
  <si>
    <t>Madrid Vuela Sostenible: Technological Innovation Hub for Sustainable Aviation Fuels</t>
  </si>
  <si>
    <t>The new Madrid Vuela Sostenible project will be led, among others, by Repsol from its innovation center and by the research center of the...</t>
  </si>
  <si>
    <t>Participation in sustainable projects enhances Repsol’s environmental strategy.</t>
  </si>
  <si>
    <t>Sector initiative.</t>
  </si>
  <si>
    <t>Iniciativa sectorial.</t>
  </si>
  <si>
    <r>
      <rPr>
        <rFont val="Arial, sans-serif"/>
        <color rgb="FF1155CC"/>
        <sz val="9.0"/>
        <u/>
      </rPr>
      <t>El Comercio Perú</t>
    </r>
    <r>
      <rPr>
        <rFont val="Arial, sans-serif"/>
        <color rgb="FF1155CC"/>
        <sz val="15.0"/>
        <u/>
      </rPr>
      <t>Indemnizaron a delincuentes y asesinos: criminales ocuparon el lugar de damnificados por el derrame de petróleo de Repsol</t>
    </r>
    <r>
      <rPr>
        <rFont val="Arial, sans-serif"/>
        <color rgb="FF1155CC"/>
        <sz val="11.0"/>
        <u/>
      </rPr>
      <t>A raíz del derrame de petróleo de Repsol ocurrido en la costa de Ventanilla en enero del 2022, muchos pescadores y ganaderos se vieron afectados.</t>
    </r>
    <r>
      <rPr>
        <rFont val="Arial, sans-serif"/>
        <color rgb="FF1155CC"/>
        <sz val="12.0"/>
        <u/>
      </rPr>
      <t>.</t>
    </r>
    <r>
      <rPr>
        <rFont val="Arial, sans-serif"/>
        <color rgb="FF1155CC"/>
        <sz val="11.0"/>
        <u/>
      </rPr>
      <t>1 abr 2024</t>
    </r>
  </si>
  <si>
    <t>Indemnizaron a delincuentes y asesinos: criminales ocuparon el lugar de damnificados por el derrame de petróleo de Repsol</t>
  </si>
  <si>
    <t>A raíz del derrame de petróleo de Repsol ocurrido en la costa de Ventanilla en enero del 2022, muchos pescadores y ganaderos se vieron afectados.</t>
  </si>
  <si>
    <t>They compensated criminals and murderers: criminals took the place of victims of the Repsol oil spill</t>
  </si>
  <si>
    <t>As a result of the Repsol oil spill that occurred on the coast of Ventanilla in January 2022, many fishermen and ranchers were affected.</t>
  </si>
  <si>
    <r>
      <rPr>
        <rFont val="Arial, sans-serif"/>
        <color rgb="FF1155CC"/>
        <sz val="9.0"/>
        <u/>
      </rPr>
      <t>Academia de Televisión</t>
    </r>
    <r>
      <rPr>
        <rFont val="Arial, sans-serif"/>
        <color rgb="FF1155CC"/>
        <sz val="15.0"/>
        <u/>
      </rPr>
      <t>“MasterChef 12” regresa a La 1</t>
    </r>
    <r>
      <rPr>
        <rFont val="Arial, sans-serif"/>
        <color rgb="FF1155CC"/>
        <sz val="11.0"/>
        <u/>
      </rPr>
      <t>50 candidatos se enfrentarán al cásting: una madre de seis hijos, un exlegionario, una cazatalentos o el guitarrista de Mónica Naranjo.</t>
    </r>
    <r>
      <rPr>
        <rFont val="Arial, sans-serif"/>
        <color rgb="FF1155CC"/>
        <sz val="12.0"/>
        <u/>
      </rPr>
      <t>.</t>
    </r>
    <r>
      <rPr>
        <rFont val="Arial, sans-serif"/>
        <color rgb="FF1155CC"/>
        <sz val="11.0"/>
        <u/>
      </rPr>
      <t>1 abr 2024</t>
    </r>
  </si>
  <si>
    <t>Academia de Televisión</t>
  </si>
  <si>
    <t>“MasterChef 12” regresa a La 150 candidatos se enfrentarán al cásting: una madre de seis hijos, un exlegionario, una cazatalentos o el guitarrista de Mónica Naranjo.</t>
  </si>
  <si>
    <t>150 candidatos se enfrentarán al cásting: una madre de seis hijos, un exlegionario, una cazatalentos o el guitarrista de Mónica Naranjo.</t>
  </si>
  <si>
    <t>“MasterChef 12” returns to La 150 candidates will face the casting: a mother of six children, a former legionnaire, a talent scout or Mónica Naranjo's guitarist.</t>
  </si>
  <si>
    <t>150 candidates will face the casting: a mother of six children, a former legionnaire, a talent scout or Mónica Naranjo's guitarist.</t>
  </si>
  <si>
    <r>
      <rPr>
        <rFont val="Arial, sans-serif"/>
        <color rgb="FF1155CC"/>
        <sz val="9.0"/>
        <u/>
      </rPr>
      <t>Noticiastrabajo</t>
    </r>
    <r>
      <rPr>
        <rFont val="Arial, sans-serif"/>
        <color rgb="FF1155CC"/>
        <sz val="15.0"/>
        <u/>
      </rPr>
      <t>Precio de la gasolina y diesel hoy, 1 de abril de 2024: dónde están las gasolineras más baratas</t>
    </r>
    <r>
      <rPr>
        <rFont val="Arial, sans-serif"/>
        <color rgb="FF1155CC"/>
        <sz val="11.0"/>
        <u/>
      </rPr>
      <t>Tras el puente de Semana Santa, los precios de los carburantes vuelven a bajar, pero levemente. Estas son las gasolineras más baratas en tu provincia.</t>
    </r>
    <r>
      <rPr>
        <rFont val="Arial, sans-serif"/>
        <color rgb="FF1155CC"/>
        <sz val="12.0"/>
        <u/>
      </rPr>
      <t>.</t>
    </r>
    <r>
      <rPr>
        <rFont val="Arial, sans-serif"/>
        <color rgb="FF1155CC"/>
        <sz val="11.0"/>
        <u/>
      </rPr>
      <t>1 abr 2024</t>
    </r>
  </si>
  <si>
    <t>Precio de la gasolina y diesel hoy, 1 de abril de 2024: dónde están las gasolineras más baratas</t>
  </si>
  <si>
    <t>Tras el puente de Semana Santa, los precios de los carburantes vuelven a bajar, pero levemente. Estas son las gasolineras más baratas en tu provincia.</t>
  </si>
  <si>
    <t>Price of gasoline and diesel today, April 1, 2024: where are the cheapest gas stations</t>
  </si>
  <si>
    <t>After the Easter weekend, fuel prices drop again, but slightly. These are the cheapest gas stations in your province.</t>
  </si>
  <si>
    <r>
      <rPr>
        <rFont val="Arial, sans-serif"/>
        <color rgb="FF1155CC"/>
        <sz val="9.0"/>
        <u/>
      </rPr>
      <t>Revista de Viajes</t>
    </r>
    <r>
      <rPr>
        <rFont val="Arial, sans-serif"/>
        <color rgb="FF1155CC"/>
        <sz val="15.0"/>
        <u/>
      </rPr>
      <t>7 razones culinarias para reservar mesa (y habitación) en el Royal Hideaway Corales</t>
    </r>
    <r>
      <rPr>
        <rFont val="Arial, sans-serif"/>
        <color rgb="FF1155CC"/>
        <sz val="11.0"/>
        <u/>
      </rPr>
      <t>Destino gastronómico en sí mismo, el cinco estrellas Gran Lujo presume de autenticidad, cocineros y premios.</t>
    </r>
    <r>
      <rPr>
        <rFont val="Arial, sans-serif"/>
        <color rgb="FF1155CC"/>
        <sz val="12.0"/>
        <u/>
      </rPr>
      <t>.</t>
    </r>
    <r>
      <rPr>
        <rFont val="Arial, sans-serif"/>
        <color rgb="FF1155CC"/>
        <sz val="11.0"/>
        <u/>
      </rPr>
      <t>1 abr 2024</t>
    </r>
  </si>
  <si>
    <t>7 razones culinarias para reservar mesa (y habitación) en el Royal Hideaway Corales</t>
  </si>
  <si>
    <t>Destino gastronómico en sí mismo, el cinco estrellas Gran Lujo presume de autenticidad, cocineros y premios.</t>
  </si>
  <si>
    <t>7 culinary reasons to book a table (and room) at the Royal Hideaway Corales</t>
  </si>
  <si>
    <t>A gastronomic destination in itself, the five-star Gran Lujo boasts authenticity, chefs and awards.</t>
  </si>
  <si>
    <r>
      <rPr>
        <rFont val="Arial, sans-serif"/>
        <color rgb="FF1155CC"/>
        <sz val="9.0"/>
        <u/>
      </rPr>
      <t>Emprendedores</t>
    </r>
    <r>
      <rPr>
        <rFont val="Arial, sans-serif"/>
        <color rgb="FF1155CC"/>
        <sz val="15.0"/>
        <u/>
      </rPr>
      <t>Legit.Health, la startup con mayor potencial de Euskadi en los Premios EmprendeXXI</t>
    </r>
    <r>
      <rPr>
        <rFont val="Arial, sans-serif"/>
        <color rgb="FF1155CC"/>
        <sz val="11.0"/>
        <u/>
      </rPr>
      <t>La empresa está centrada en el ámbito médico y ha sido reconocida en la 17ª edición de estos galardones cootorgados por ENISA.</t>
    </r>
    <r>
      <rPr>
        <rFont val="Arial, sans-serif"/>
        <color rgb="FF1155CC"/>
        <sz val="12.0"/>
        <u/>
      </rPr>
      <t>.</t>
    </r>
    <r>
      <rPr>
        <rFont val="Arial, sans-serif"/>
        <color rgb="FF1155CC"/>
        <sz val="11.0"/>
        <u/>
      </rPr>
      <t>1 abr 2024</t>
    </r>
  </si>
  <si>
    <t>Legit.Health, la startup con mayor potencial de Euskadi en los Premios EmprendeXXI</t>
  </si>
  <si>
    <t>La empresa está centrada en el ámbito médico y ha sido reconocida en la 17ª edición de estos galardones cootorgados por ENISA.</t>
  </si>
  <si>
    <t>Legit.Health, the startup with the greatest potential in Euskadi at the EmprendeXXI Awards</t>
  </si>
  <si>
    <t>The company is focused on the medical field and has been recognized in the 17th edition of these awards co-awarded by ENISA.</t>
  </si>
  <si>
    <r>
      <rPr>
        <rFont val="Arial, sans-serif"/>
        <color rgb="FF1155CC"/>
        <sz val="9.0"/>
        <u/>
      </rPr>
      <t>RPP</t>
    </r>
    <r>
      <rPr>
        <rFont val="Arial, sans-serif"/>
        <color rgb="FF1155CC"/>
        <sz val="15.0"/>
        <u/>
      </rPr>
      <t>Ventanilla: extorsionador, homicidas y acusado de tráfico de armas cobraron indemnización por el derrame de petróleo</t>
    </r>
    <r>
      <rPr>
        <rFont val="Arial, sans-serif"/>
        <color rgb="FF1155CC"/>
        <sz val="11.0"/>
        <u/>
      </rPr>
      <t>Investigación periodística dio cuenta que personas que no están relacionadas con la actividad pesquera y el turismo cobraron indemnizaciones que van desde...</t>
    </r>
    <r>
      <rPr>
        <rFont val="Arial, sans-serif"/>
        <color rgb="FF1155CC"/>
        <sz val="12.0"/>
        <u/>
      </rPr>
      <t>.</t>
    </r>
    <r>
      <rPr>
        <rFont val="Arial, sans-serif"/>
        <color rgb="FF1155CC"/>
        <sz val="11.0"/>
        <u/>
      </rPr>
      <t>1 abr 2024</t>
    </r>
  </si>
  <si>
    <t>Extorsionador, homicidas y acusado de tráfico de armas cobraron indemnización por el derrame de petróleo</t>
  </si>
  <si>
    <t>Investigación periodística dio cuenta que personas que no están relacionadas con la actividad pesquera y el turismo cobraron indemnizaciones que van desde....</t>
  </si>
  <si>
    <t>Extortionist, murderers and accused of arms trafficking collected compensation for the oil spill</t>
  </si>
  <si>
    <t>Journalistic investigation revealed that people who are not related to fishing activity and tourism received compensation ranging from...</t>
  </si>
  <si>
    <r>
      <rPr>
        <rFont val="Arial, sans-serif"/>
        <color rgb="FF1155CC"/>
        <sz val="9.0"/>
        <u/>
      </rPr>
      <t>Confidencial Digital</t>
    </r>
    <r>
      <rPr>
        <rFont val="Arial, sans-serif"/>
        <color rgb="FF1155CC"/>
        <sz val="15.0"/>
        <u/>
      </rPr>
      <t>La guerra entre Iberdrola y Repsol esconde una pugna por el poder en el País Vasco</t>
    </r>
    <r>
      <rPr>
        <rFont val="Arial, sans-serif"/>
        <color rgb="FF1155CC"/>
        <sz val="11.0"/>
        <u/>
      </rPr>
      <t>La batalla entre Iberdrola y Repsol lleva meses siendo comidilla en el sector energético, pero casi siempre 'sottovoce'. Pero esa guerra ha saltado en las...</t>
    </r>
    <r>
      <rPr>
        <rFont val="Arial, sans-serif"/>
        <color rgb="FF1155CC"/>
        <sz val="12.0"/>
        <u/>
      </rPr>
      <t>.</t>
    </r>
    <r>
      <rPr>
        <rFont val="Arial, sans-serif"/>
        <color rgb="FF1155CC"/>
        <sz val="11.0"/>
        <u/>
      </rPr>
      <t>2 abr 2024</t>
    </r>
  </si>
  <si>
    <t>La guerra entre Iberdrola y Repsol esconde una pugna por el poder en el País Vasco</t>
  </si>
  <si>
    <t>La batalla entre Iberdrola y Repsol lleva meses siendo comidilla en el sector energético, pero casi siempre 'sottovoce'. Pero esa guerra ha saltado en las....</t>
  </si>
  <si>
    <t>The war between Iberdrola and Repsol hides a struggle for power in the Basque Country</t>
  </si>
  <si>
    <t>The battle between Iberdrola and Repsol has been the talk of the energy sector for months, but almost always 'sottovoce'. But that war has broken out in the...</t>
  </si>
  <si>
    <t>Repsol vs. Iberdrola, green energy competition</t>
  </si>
  <si>
    <t>Repsol vs. Iberdrola, competencia de energías verdes</t>
  </si>
  <si>
    <t>Ongoing conflicts with competitors could impact Repsol’s market positioning.</t>
  </si>
  <si>
    <t>guerra, "pugna"</t>
  </si>
  <si>
    <t>Negative conflict.</t>
  </si>
  <si>
    <t>Conflicto negativo.</t>
  </si>
  <si>
    <r>
      <rPr>
        <rFont val="Arial, sans-serif"/>
        <color rgb="FF1155CC"/>
        <sz val="9.0"/>
        <u/>
      </rPr>
      <t>Universidad Pontificia Comillas</t>
    </r>
    <r>
      <rPr>
        <rFont val="Arial, sans-serif"/>
        <color rgb="FF1155CC"/>
        <sz val="15.0"/>
        <u/>
      </rPr>
      <t>El potencial de la descarbonización de la industria papelera</t>
    </r>
    <r>
      <rPr>
        <rFont val="Arial, sans-serif"/>
        <color rgb="FF1155CC"/>
        <sz val="11.0"/>
        <u/>
      </rPr>
      <t>La Cátedra Fundación Repsol de Transición Energética celebra su primer webinar del curso 2023-24 centrado en la descarbonización de la industria papelera.</t>
    </r>
    <r>
      <rPr>
        <rFont val="Arial, sans-serif"/>
        <color rgb="FF1155CC"/>
        <sz val="12.0"/>
        <u/>
      </rPr>
      <t>.</t>
    </r>
    <r>
      <rPr>
        <rFont val="Arial, sans-serif"/>
        <color rgb="FF1155CC"/>
        <sz val="11.0"/>
        <u/>
      </rPr>
      <t>2 abr 2024</t>
    </r>
  </si>
  <si>
    <t>El potencial de la descarbonización de la industria papelera</t>
  </si>
  <si>
    <t>La Cátedra Fundación Repsol de Transición Energética celebra su primer webinar del curso 2023-24 centrado en la descarbonización de la industria papelera.</t>
  </si>
  <si>
    <t>The potential of decarbonizing the paper industry</t>
  </si>
  <si>
    <t>The Repsol Foundation Chair in Energy Transition holds its first webinar of the 2023-24 academic year focused on the decarbonization of the paper industry.</t>
  </si>
  <si>
    <t>Repsol sustainability, decarbonization</t>
  </si>
  <si>
    <t>Sostenibilidad Repsol, descarbonización</t>
  </si>
  <si>
    <t>Supporting industry decarbonization aligns with Repsol’s green initiatives.</t>
  </si>
  <si>
    <r>
      <rPr>
        <rFont val="Arial, sans-serif"/>
        <color rgb="FF1155CC"/>
        <sz val="9.0"/>
        <u/>
      </rPr>
      <t>Repsol</t>
    </r>
    <r>
      <rPr>
        <rFont val="Arial, sans-serif"/>
        <color rgb="FF1155CC"/>
        <sz val="15.0"/>
        <u/>
      </rPr>
      <t>ODS 8: Trabajo decente y crecimiento económico</t>
    </r>
    <r>
      <rPr>
        <rFont val="Arial, sans-serif"/>
        <color rgb="FF1155CC"/>
        <sz val="11.0"/>
        <u/>
      </rPr>
      <t>Más de 690 millones de personas en edad laboral se encuentran en situación de pobreza extrema o con empleos precarios. El ODS 8 busca construir un futuro...</t>
    </r>
    <r>
      <rPr>
        <rFont val="Arial, sans-serif"/>
        <color rgb="FF1155CC"/>
        <sz val="12.0"/>
        <u/>
      </rPr>
      <t>.</t>
    </r>
    <r>
      <rPr>
        <rFont val="Arial, sans-serif"/>
        <color rgb="FF1155CC"/>
        <sz val="11.0"/>
        <u/>
      </rPr>
      <t>2 abr 2024</t>
    </r>
  </si>
  <si>
    <t>Trabajo decente y crecimiento económico</t>
  </si>
  <si>
    <t>Más de 690 millones de personas en edad laboral se encuentran en situación de pobreza extrema o con empleos precarios. El ODS 8 busca construir un futuro....</t>
  </si>
  <si>
    <t>Decent work and economic growth</t>
  </si>
  <si>
    <t>More than 690 million people of working age are in extreme poverty or in precarious jobs. SDG 8 seeks to build a future....</t>
  </si>
  <si>
    <r>
      <rPr>
        <rFont val="Arial, sans-serif"/>
        <color rgb="FF1155CC"/>
        <sz val="9.0"/>
        <u/>
      </rPr>
      <t>Box Repsol</t>
    </r>
    <r>
      <rPr>
        <rFont val="Arial, sans-serif"/>
        <color rgb="FF1155CC"/>
        <sz val="15.0"/>
        <u/>
      </rPr>
      <t>Isidre Esteve, Lucas Moraes y Seth Quintero, preparados para el Rally Transibérico 2024</t>
    </r>
    <r>
      <rPr>
        <rFont val="Arial, sans-serif"/>
        <color rgb="FF1155CC"/>
        <sz val="11.0"/>
        <u/>
      </rPr>
      <t>Los tres pilotos asistidos por Combustible Renovable Repsol, empiezan, en Portugal, la segunda prueba de la temporada: el Rally Transibérico.</t>
    </r>
    <r>
      <rPr>
        <rFont val="Arial, sans-serif"/>
        <color rgb="FF1155CC"/>
        <sz val="12.0"/>
        <u/>
      </rPr>
      <t>.</t>
    </r>
    <r>
      <rPr>
        <rFont val="Arial, sans-serif"/>
        <color rgb="FF1155CC"/>
        <sz val="11.0"/>
        <u/>
      </rPr>
      <t>2 abr 2024</t>
    </r>
  </si>
  <si>
    <t>Isidre Esteve, Lucas Moraes y Seth Quintero, preparados para el Rally Transibérico 2024</t>
  </si>
  <si>
    <t>Los tres pilotos asistidos por Combustible Renovable Repsol, empiezan, en Portugal, la segunda prueba de la temporada: el Rally Transibérico.</t>
  </si>
  <si>
    <t>Isidre Esteve, Lucas Moraes and Seth Quintero, prepared for the 2024 Transibérico Rally</t>
  </si>
  <si>
    <t>The three drivers assisted by Repsol Renewable Fuel, begin the second round of the season in Portugal: the Trans-Iberian Rally.</t>
  </si>
  <si>
    <t>Repsol motorsport, renewable fuels</t>
  </si>
  <si>
    <t>Repsol motorsport, combustibles renovables</t>
  </si>
  <si>
    <t>Sponsoring motorsport with renewable fuels reinforces Repsol’s sustainability efforts.</t>
  </si>
  <si>
    <t>Sports, neutral.</t>
  </si>
  <si>
    <t>Deportivo, neutral.</t>
  </si>
  <si>
    <r>
      <rPr>
        <rFont val="Arial, sans-serif"/>
        <color rgb="FF1155CC"/>
        <sz val="9.0"/>
        <u/>
      </rPr>
      <t>El Español</t>
    </r>
    <r>
      <rPr>
        <rFont val="Arial, sans-serif"/>
        <color rgb="FF1155CC"/>
        <sz val="15.0"/>
        <u/>
      </rPr>
      <t>Bosque Urbano, dos años de batalla: "Una gran zona verde no pone piedras al desarrollo de Málaga, lo favorece"</t>
    </r>
    <r>
      <rPr>
        <rFont val="Arial, sans-serif"/>
        <color rgb="FF1155CC"/>
        <sz val="11.0"/>
        <u/>
      </rPr>
      <t>La pugna del colectivo ciudadano contra la urbanización de estos terrenos, en los que el Ayuntamiento dibuja grandes torres, continúa: "Vamos a llegar hasta...</t>
    </r>
    <r>
      <rPr>
        <rFont val="Arial, sans-serif"/>
        <color rgb="FF1155CC"/>
        <sz val="12.0"/>
        <u/>
      </rPr>
      <t>.</t>
    </r>
    <r>
      <rPr>
        <rFont val="Arial, sans-serif"/>
        <color rgb="FF1155CC"/>
        <sz val="11.0"/>
        <u/>
      </rPr>
      <t>2 abr 2024</t>
    </r>
  </si>
  <si>
    <t>Bosque Urbano, dos años de batalla: "Una gran zona verde no pone piedras al desarrollo de Málaga, lo favorece"</t>
  </si>
  <si>
    <t>La pugna del colectivo ciudadano contra la urbanización de estos terrenos, en los que el Ayuntamiento dibuja grandes torres, continúa: "Vamos a llegar hasta....</t>
  </si>
  <si>
    <t>Urban Forest, two years of battle: "A large green area does not hinder the development of Malaga, it favors it"</t>
  </si>
  <si>
    <t>The struggle of the citizen group against the urbanization of these lands, on which the City Council draws large towers, continues: "We are going to go as far as...</t>
  </si>
  <si>
    <r>
      <rPr>
        <rFont val="Arial, sans-serif"/>
        <color rgb="FF1155CC"/>
        <sz val="9.0"/>
        <u/>
      </rPr>
      <t>Actualidad Ambiental</t>
    </r>
    <r>
      <rPr>
        <rFont val="Arial, sans-serif"/>
        <color rgb="FF1155CC"/>
        <sz val="15.0"/>
        <u/>
      </rPr>
      <t>Derrame de Repsol: denuncian que criminales fueron incluidos en la lista de indemnizados</t>
    </r>
    <r>
      <rPr>
        <rFont val="Arial, sans-serif"/>
        <color rgb="FF1155CC"/>
        <sz val="11.0"/>
        <u/>
      </rPr>
      <t>Foto: Diego Pérez / SPDA Dos años después del derrame de petróleo en el mar de Ventanilla, un reporte señaló que la lista de indemnizados ha beneficiado a...</t>
    </r>
    <r>
      <rPr>
        <rFont val="Arial, sans-serif"/>
        <color rgb="FF1155CC"/>
        <sz val="12.0"/>
        <u/>
      </rPr>
      <t>.</t>
    </r>
    <r>
      <rPr>
        <rFont val="Arial, sans-serif"/>
        <color rgb="FF1155CC"/>
        <sz val="11.0"/>
        <u/>
      </rPr>
      <t>2 abr 2024</t>
    </r>
  </si>
  <si>
    <t>Derrame de Repsol: denuncian que criminales fueron incluidos en la lista de indemnizados</t>
  </si>
  <si>
    <t>Dos años después del derrame de petróleo en el mar de Ventanilla, un reporte señaló que la lista de indemnizados ha beneficiado a....</t>
  </si>
  <si>
    <t>Repsol spill: they denounce that criminals were included in the list of those compensated</t>
  </si>
  <si>
    <t>Two years after the oil spill in the Ventanilla Sea, a report indicated that the list of those compensated has benefited....</t>
  </si>
  <si>
    <t>Repsol oil spill, environmental controversy</t>
  </si>
  <si>
    <t>Derrame de petróleo de Repsol, polémica medioambiental</t>
  </si>
  <si>
    <t>Legal and environmental scandals can negatively impact Repsol’s public perception.</t>
  </si>
  <si>
    <t>derrame, "criminales"</t>
  </si>
  <si>
    <t>Severe negative impact.</t>
  </si>
  <si>
    <t>Grave impacto negativo.</t>
  </si>
  <si>
    <r>
      <rPr>
        <rFont val="Arial, sans-serif"/>
        <color rgb="FF1155CC"/>
        <sz val="9.0"/>
        <u/>
      </rPr>
      <t>AutoHebdoSport</t>
    </r>
    <r>
      <rPr>
        <rFont val="Arial, sans-serif"/>
        <color rgb="FF1155CC"/>
        <sz val="15.0"/>
        <u/>
      </rPr>
      <t>Isidre Esteve vuelve a la acción con miras al Dakar</t>
    </r>
    <r>
      <rPr>
        <rFont val="Arial, sans-serif"/>
        <color rgb="FF1155CC"/>
        <sz val="11.0"/>
        <u/>
      </rPr>
      <t>El piloto ilerdense y su copiloto, Txema Villalobos, darán comienzo a su nueva temporada tres meses después del Rally Dakar. Será en la tercera cita del...</t>
    </r>
    <r>
      <rPr>
        <rFont val="Arial, sans-serif"/>
        <color rgb="FF1155CC"/>
        <sz val="12.0"/>
        <u/>
      </rPr>
      <t>.</t>
    </r>
    <r>
      <rPr>
        <rFont val="Arial, sans-serif"/>
        <color rgb="FF1155CC"/>
        <sz val="11.0"/>
        <u/>
      </rPr>
      <t>2 abr 2024</t>
    </r>
  </si>
  <si>
    <t>Isidre Esteve vuelve a la acción con miras al Dakar</t>
  </si>
  <si>
    <t>El piloto ilerdense y su copiloto, Txema Villalobos, darán comienzo a su nueva temporada tres meses después del Rally Dakar. Será en la tercera cita del....</t>
  </si>
  <si>
    <t>Isidre Esteve returns to action with a view to the Dakar</t>
  </si>
  <si>
    <t>The driver from Ilerda and his co-driver, Txema Villalobos, will begin their new season three months after the Dakar Rally. It will be on the third date of...</t>
  </si>
  <si>
    <t>Repsol motorsport, Dakar 2025</t>
  </si>
  <si>
    <t>Automovilismo Repsol, Dakar 2025</t>
  </si>
  <si>
    <t>Sponsoring high-profile motorsport events reinforces Repsol’s brand visibility.</t>
  </si>
  <si>
    <t>Sports.</t>
  </si>
  <si>
    <t>Deportes.</t>
  </si>
  <si>
    <r>
      <rPr>
        <rFont val="Arial, sans-serif"/>
        <color rgb="FF1155CC"/>
        <sz val="9.0"/>
        <u/>
      </rPr>
      <t>El Periódico de la Energía</t>
    </r>
    <r>
      <rPr>
        <rFont val="Arial, sans-serif"/>
        <color rgb="FF1155CC"/>
        <sz val="15.0"/>
        <u/>
      </rPr>
      <t>La Asociación Castellano y Leonesa de Hidrógeno (H2CYL) pide a la Junta una estrategia autonómica</t>
    </r>
    <r>
      <rPr>
        <rFont val="Arial, sans-serif"/>
        <color rgb="FF1155CC"/>
        <sz val="11.0"/>
        <u/>
      </rPr>
      <t>El H2CYL pide a la Junta de Castilla y León una estrategia conjunta para todo lo relacionado con el hidrógeno verde.</t>
    </r>
    <r>
      <rPr>
        <rFont val="Arial, sans-serif"/>
        <color rgb="FF1155CC"/>
        <sz val="12.0"/>
        <u/>
      </rPr>
      <t>.</t>
    </r>
    <r>
      <rPr>
        <rFont val="Arial, sans-serif"/>
        <color rgb="FF1155CC"/>
        <sz val="11.0"/>
        <u/>
      </rPr>
      <t>2 abr 2024</t>
    </r>
  </si>
  <si>
    <t>La Asociación Castellano y Leonesa de Hidrógeno (H2CYL) pide a la Junta una estrategia autonómica</t>
  </si>
  <si>
    <t>El H2CYL pide a la Junta de Castilla y León una estrategia conjunta para todo lo relacionado con el hidrógeno verde.</t>
  </si>
  <si>
    <t>The Castilian and Leonese Hydrogen Association (H2CYL) asks the Board for an autonomous strategy</t>
  </si>
  <si>
    <t>The H2CYL asks the Government of Castilla y León for a joint strategy for everything related to green hydrogen.</t>
  </si>
  <si>
    <r>
      <rPr>
        <rFont val="Arial, sans-serif"/>
        <color rgb="FF1155CC"/>
        <sz val="9.0"/>
        <u/>
      </rPr>
      <t>RTVE.es</t>
    </r>
    <r>
      <rPr>
        <rFont val="Arial, sans-serif"/>
        <color rgb="FF1155CC"/>
        <sz val="15.0"/>
        <u/>
      </rPr>
      <t>MasterChef 12 - Ver Programa 1 completo | Concurso de cocina</t>
    </r>
    <r>
      <rPr>
        <rFont val="Arial, sans-serif"/>
        <color rgb="FF1155CC"/>
        <sz val="11.0"/>
        <u/>
      </rPr>
      <t>Disfruta en RTVE Play del primer programa de MasterChef 12, el talent show culinario con Jordi Cruz, Samantha Vallejo-Nájera y Pepe Rodríguez.</t>
    </r>
    <r>
      <rPr>
        <rFont val="Arial, sans-serif"/>
        <color rgb="FF1155CC"/>
        <sz val="12.0"/>
        <u/>
      </rPr>
      <t>.</t>
    </r>
    <r>
      <rPr>
        <rFont val="Arial, sans-serif"/>
        <color rgb="FF1155CC"/>
        <sz val="11.0"/>
        <u/>
      </rPr>
      <t>2 abr 2024</t>
    </r>
  </si>
  <si>
    <t>MasterChef 12 - Ver Programa 1 completo | Concurso de cocina</t>
  </si>
  <si>
    <t>Disfruta en RTVE Play del primer programa de MasterChef 12, el talent show culinario con Jordi Cruz, Samantha Vallejo-Nájera y Pepe Rodríguez.</t>
  </si>
  <si>
    <t>MasterChef 12 - See full Program 1 | cooking contest</t>
  </si>
  <si>
    <t>Enjoy the first MasterChef 12 program on RTVE Play, the culinary talent show with Jordi Cruz, Samantha Vallejo-Nájera and Pepe Rodríguez.</t>
  </si>
  <si>
    <r>
      <rPr>
        <rFont val="Arial, sans-serif"/>
        <color rgb="FF1155CC"/>
        <sz val="9.0"/>
        <u/>
      </rPr>
      <t>Defensoria del Pueblo Peru</t>
    </r>
    <r>
      <rPr>
        <rFont val="Arial, sans-serif"/>
        <color rgb="FF1155CC"/>
        <sz val="15.0"/>
        <u/>
      </rPr>
      <t>en defensa de personas afectadas por derrame de petróleo en mar de Ventanilla</t>
    </r>
    <r>
      <rPr>
        <rFont val="Arial, sans-serif"/>
        <color rgb="FF1155CC"/>
        <sz val="11.0"/>
        <u/>
      </rPr>
      <t>Ante recientes versiones periodísticas que dan cuenta de errores en la identificación de afectados que realizó el Estado como paso previo a la reparación...</t>
    </r>
    <r>
      <rPr>
        <rFont val="Arial, sans-serif"/>
        <color rgb="FF1155CC"/>
        <sz val="12.0"/>
        <u/>
      </rPr>
      <t>.</t>
    </r>
    <r>
      <rPr>
        <rFont val="Arial, sans-serif"/>
        <color rgb="FF1155CC"/>
        <sz val="11.0"/>
        <u/>
      </rPr>
      <t>2 abr 2024</t>
    </r>
  </si>
  <si>
    <t>Defensoria del Pueblo Peru</t>
  </si>
  <si>
    <t>Defensoria del Pueblo en defensa de personas afectadas por derrame de petróleo en mar de Ventanilla</t>
  </si>
  <si>
    <t>Ante recientes versiones periodísticas que dan cuenta de errores en la identificación de afectados que realizó el Estado como paso previo a la reparación....</t>
  </si>
  <si>
    <t>Ombudsman in defense of people affected by oil spill in the Ventanilla Sea</t>
  </si>
  <si>
    <t>Given recent journalistic versions that report errors in the identification of affected people that the State made as a prior step to reparation...</t>
  </si>
  <si>
    <r>
      <rPr>
        <rFont val="Arial, sans-serif"/>
        <color rgb="FF1155CC"/>
        <sz val="9.0"/>
        <u/>
      </rPr>
      <t>Repsol</t>
    </r>
    <r>
      <rPr>
        <rFont val="Arial, sans-serif"/>
        <color rgb="FF1155CC"/>
        <sz val="15.0"/>
        <u/>
      </rPr>
      <t>Repsol ha comenzado la producción a gran escala de combustibles renovables en Cartagena, la primera planta de la Península Ibérica</t>
    </r>
    <r>
      <rPr>
        <rFont val="Arial, sans-serif"/>
        <color rgb="FF1155CC"/>
        <sz val="11.0"/>
        <u/>
      </rPr>
      <t>Repsol es la única compañía en España y Portugal con una planta completamente dedicada a la producción de combustibles renovables a escala industrial.</t>
    </r>
    <r>
      <rPr>
        <rFont val="Arial, sans-serif"/>
        <color rgb="FF1155CC"/>
        <sz val="12.0"/>
        <u/>
      </rPr>
      <t>.</t>
    </r>
    <r>
      <rPr>
        <rFont val="Arial, sans-serif"/>
        <color rgb="FF1155CC"/>
        <sz val="11.0"/>
        <u/>
      </rPr>
      <t>3 abr 2024</t>
    </r>
  </si>
  <si>
    <t>Repsol ha comenzado la producción a gran escala de combustibles renovables en Cartagena, la primera planta de la Península Ibérica</t>
  </si>
  <si>
    <t>Repsol ha comenzado la producción a gran escala de combustibles renovables en Cartagena, la primera planta de la Península Ibérica.</t>
  </si>
  <si>
    <t>Repsol has begun large-scale production of renewable fuels in Cartagena, the first plant on the Iberian Peninsula</t>
  </si>
  <si>
    <t>Repsol has begun large-scale production of renewable fuels in Cartagena, the first plant on the Iberian Peninsula.</t>
  </si>
  <si>
    <t>Scaling renewable fuel production supports Repsol’s environmental commitments.</t>
  </si>
  <si>
    <t>producción, "renovables"</t>
  </si>
  <si>
    <t>Major green milestone.</t>
  </si>
  <si>
    <t>Gran hito verde.</t>
  </si>
  <si>
    <r>
      <rPr>
        <rFont val="Arial, sans-serif"/>
        <color rgb="FF1155CC"/>
        <sz val="9.0"/>
        <u/>
      </rPr>
      <t>elmercantil.com</t>
    </r>
    <r>
      <rPr>
        <rFont val="Arial, sans-serif"/>
        <color rgb="FF1155CC"/>
        <sz val="15.0"/>
        <u/>
      </rPr>
      <t>Repsol inicia la producción de combustibles renovables en el puerto de Cartagena</t>
    </r>
    <r>
      <rPr>
        <rFont val="Arial, sans-serif"/>
        <color rgb="FF1155CC"/>
        <sz val="11.0"/>
        <u/>
      </rPr>
      <t>La multinacional ha invertido 250 millones de euros en esta nueva instalación con una capacidad de producción de 250.000 toneladas al año. Planta de Repsol...</t>
    </r>
    <r>
      <rPr>
        <rFont val="Arial, sans-serif"/>
        <color rgb="FF1155CC"/>
        <sz val="12.0"/>
        <u/>
      </rPr>
      <t>.</t>
    </r>
    <r>
      <rPr>
        <rFont val="Arial, sans-serif"/>
        <color rgb="FF1155CC"/>
        <sz val="11.0"/>
        <u/>
      </rPr>
      <t>3 abr 2024</t>
    </r>
  </si>
  <si>
    <t>Repsol inicia la producción de combustibles renovables en el puerto de Cartagena</t>
  </si>
  <si>
    <t>La multinacional ha invertido 250 millones de euros en esta nueva instalación con una capacidad de producción de 250.000 toneladas al año.</t>
  </si>
  <si>
    <t>Repsol begins the production of renewable fuels in the port of Cartagena</t>
  </si>
  <si>
    <t>The multinational has invested 250 million euros in this new facility with a production capacity of 250,000 tons per year.</t>
  </si>
  <si>
    <t>Repsol renewable fuel, investment</t>
  </si>
  <si>
    <t>Repsol combustibles renovables, inversión</t>
  </si>
  <si>
    <t>Investing in renewable fuel facilities reinforces Repsol’s sustainability strategy.</t>
  </si>
  <si>
    <t>inicia, "renovables"</t>
  </si>
  <si>
    <t>Positive green initiative.</t>
  </si>
  <si>
    <t>Iniciativa verde positiva.</t>
  </si>
  <si>
    <r>
      <rPr>
        <rFont val="Arial, sans-serif"/>
        <color rgb="FF1155CC"/>
        <sz val="9.0"/>
        <u/>
      </rPr>
      <t>La Razón</t>
    </r>
    <r>
      <rPr>
        <rFont val="Arial, sans-serif"/>
        <color rgb="FF1155CC"/>
        <sz val="15.0"/>
        <u/>
      </rPr>
      <t>Repsol lanza la producción a gran escala de combustibles renovables en España</t>
    </r>
    <r>
      <rPr>
        <rFont val="Arial, sans-serif"/>
        <color rgb="FF1155CC"/>
        <sz val="11.0"/>
        <u/>
      </rPr>
      <t>Los planes de Repsol para la implantación de combustibles renovables cogen ritmo. La compañía ha anunciado hoy el comienzo de la producción a gran escala de...</t>
    </r>
    <r>
      <rPr>
        <rFont val="Arial, sans-serif"/>
        <color rgb="FF1155CC"/>
        <sz val="12.0"/>
        <u/>
      </rPr>
      <t>.</t>
    </r>
    <r>
      <rPr>
        <rFont val="Arial, sans-serif"/>
        <color rgb="FF1155CC"/>
        <sz val="11.0"/>
        <u/>
      </rPr>
      <t>3 abr 2024</t>
    </r>
  </si>
  <si>
    <t>Repsol lanza la producción a gran escala de combustibles renovables en España</t>
  </si>
  <si>
    <t>Los planes de Repsol para la implantación de combustibles renovables cogen ritmo. La compañía ha anunciado hoy el comienzo de la producción a gran escala de....</t>
  </si>
  <si>
    <t>Repsol launches large-scale production of renewable fuels in Spain</t>
  </si>
  <si>
    <t>Repsol's plans for the implementation of renewable fuels are gaining pace. The company today announced the start of large-scale production of....</t>
  </si>
  <si>
    <t>Large-scale production of renewable fuels aligns with Repsol’s energy transition.</t>
  </si>
  <si>
    <t>lanza, "renovables"</t>
  </si>
  <si>
    <t>Strong positive.</t>
  </si>
  <si>
    <t>Fuertemente positivo.</t>
  </si>
  <si>
    <r>
      <rPr>
        <rFont val="Arial, sans-serif"/>
        <color rgb="FF1155CC"/>
        <sz val="9.0"/>
        <u/>
      </rPr>
      <t>El Economista</t>
    </r>
    <r>
      <rPr>
        <rFont val="Arial, sans-serif"/>
        <color rgb="FF1155CC"/>
        <sz val="15.0"/>
        <u/>
      </rPr>
      <t>Repsol lanza su primera gran planta de biocarburantes en Cartagena</t>
    </r>
    <r>
      <rPr>
        <rFont val="Arial, sans-serif"/>
        <color rgb="FF1155CC"/>
        <sz val="11.0"/>
        <u/>
      </rPr>
      <t>Repsol arranca la producción a gran escala de combustibles renovables en sus instalaciones de Cartagena, tal y como adelantó la semana ...</t>
    </r>
    <r>
      <rPr>
        <rFont val="Arial, sans-serif"/>
        <color rgb="FF1155CC"/>
        <sz val="12.0"/>
        <u/>
      </rPr>
      <t>.</t>
    </r>
    <r>
      <rPr>
        <rFont val="Arial, sans-serif"/>
        <color rgb="FF1155CC"/>
        <sz val="11.0"/>
        <u/>
      </rPr>
      <t>3 abr 2024</t>
    </r>
  </si>
  <si>
    <t>Repsol lanza su primera gran planta de biocarburantes en Cartagena</t>
  </si>
  <si>
    <t>Repsol arranca la producción a gran escala de combustibles renovables en sus instalaciones de Cartagena, tal y como adelantó la semana ....</t>
  </si>
  <si>
    <t>Repsol launches its first large biofuels plant in Cartagena</t>
  </si>
  <si>
    <t>Repsol starts large-scale production of renewable fuels at its Cartagena facilities, as announced last week....</t>
  </si>
  <si>
    <t>Repsol biofuels, clean energy</t>
  </si>
  <si>
    <t>Biocombustibles Repsol, energías limpias</t>
  </si>
  <si>
    <t>Developing biofuel infrastructure strengthens Repsol’s green energy efforts.</t>
  </si>
  <si>
    <t>lanza, "biocarburantes"</t>
  </si>
  <si>
    <r>
      <rPr>
        <rFont val="Arial, sans-serif"/>
        <color rgb="FF1155CC"/>
        <sz val="9.0"/>
        <u/>
      </rPr>
      <t>El Español</t>
    </r>
    <r>
      <rPr>
        <rFont val="Arial, sans-serif"/>
        <color rgb="FF1155CC"/>
        <sz val="15.0"/>
        <u/>
      </rPr>
      <t>Repsol impulsa apuesta por los combustibles renovables con el inicio de producción a gran escala en Cartagena</t>
    </r>
    <r>
      <rPr>
        <rFont val="Arial, sans-serif"/>
        <color rgb="FF1155CC"/>
        <sz val="11.0"/>
        <u/>
      </rPr>
      <t>Con una inversión de 250 millones, tiene capacidad para fabricar 250.000 toneladas anuales de combustibles 'verdes'.</t>
    </r>
    <r>
      <rPr>
        <rFont val="Arial, sans-serif"/>
        <color rgb="FF1155CC"/>
        <sz val="12.0"/>
        <u/>
      </rPr>
      <t>.</t>
    </r>
    <r>
      <rPr>
        <rFont val="Arial, sans-serif"/>
        <color rgb="FF1155CC"/>
        <sz val="11.0"/>
        <u/>
      </rPr>
      <t>3 abr 2024</t>
    </r>
  </si>
  <si>
    <t>Repsol impulsa apuesta por los combustibles renovables con el inicio de producción a gran escala en Cartagena</t>
  </si>
  <si>
    <t>Con una inversión de 250 millones, tiene capacidad para fabricar 250.000 toneladas anuales de combustibles 'verdes'.</t>
  </si>
  <si>
    <t>Repsol promotes its commitment to renewable fuels with the start of large-scale production in Cartagena</t>
  </si>
  <si>
    <t>With an investment of 250 million, it has the capacity to manufacture 250,000 tons of 'green' fuels per year.</t>
  </si>
  <si>
    <t>Repsol biofuels, investment</t>
  </si>
  <si>
    <t>Biocombustibles Repsol, inversión</t>
  </si>
  <si>
    <t>Expanding biofuel production supports Repsol’s sustainable energy strategy.</t>
  </si>
  <si>
    <t>impulsa, "renovables"</t>
  </si>
  <si>
    <t>Very positive.</t>
  </si>
  <si>
    <t>Muy positivo.</t>
  </si>
  <si>
    <r>
      <rPr>
        <rFont val="Arial, sans-serif"/>
        <color rgb="FF1155CC"/>
        <sz val="9.0"/>
        <u/>
      </rPr>
      <t>OkDiario</t>
    </r>
    <r>
      <rPr>
        <rFont val="Arial, sans-serif"/>
        <color rgb="FF1155CC"/>
        <sz val="15.0"/>
        <u/>
      </rPr>
      <t>Repsol da por perdidos 329 millones en Venezuela ante las nuevas sanciones de Estados Unidos a Maduro</t>
    </r>
    <r>
      <rPr>
        <rFont val="Arial, sans-serif"/>
        <color rgb="FF1155CC"/>
        <sz val="11.0"/>
        <u/>
      </rPr>
      <t>Repsol da por perdidos 329 millones de euros en Venezuela ante las nuevas sanciones de Estados Unidos a Nicolás Maduro.</t>
    </r>
    <r>
      <rPr>
        <rFont val="Arial, sans-serif"/>
        <color rgb="FF1155CC"/>
        <sz val="12.0"/>
        <u/>
      </rPr>
      <t>.</t>
    </r>
    <r>
      <rPr>
        <rFont val="Arial, sans-serif"/>
        <color rgb="FF1155CC"/>
        <sz val="11.0"/>
        <u/>
      </rPr>
      <t>3 abr 2024</t>
    </r>
  </si>
  <si>
    <t>Repsol da por perdidos 329 millones en Venezuela ante las nuevas sanciones de Estados Unidos a Maduro</t>
  </si>
  <si>
    <t>Repsol da por perdidos 329 millones de euros en Venezuela ante las nuevas sanciones de Estados Unidos a Nicolás Maduro.</t>
  </si>
  <si>
    <t>Repsol considers 329 million lost in Venezuela due to the new United States sanctions against Maduro</t>
  </si>
  <si>
    <t>Repsol considers 329 million euros lost in Venezuela due to the new United States sanctions against Nicolás Maduro.</t>
  </si>
  <si>
    <t>Repsol Venezuela losses, financial impact</t>
  </si>
  <si>
    <t>Pérdidas de Repsol Venezuela, impacto financiero</t>
  </si>
  <si>
    <t>Losses in Venezuela may negatively affect Repsol’s financial standing.</t>
  </si>
  <si>
    <t>perdidos, "sanciones"</t>
  </si>
  <si>
    <t>Financial loss.</t>
  </si>
  <si>
    <t>Pérdida financiera.</t>
  </si>
  <si>
    <r>
      <rPr>
        <rFont val="Arial, sans-serif"/>
        <color rgb="FF1155CC"/>
        <sz val="9.0"/>
        <u/>
      </rPr>
      <t>Onda Regional de Murcia | ORM</t>
    </r>
    <r>
      <rPr>
        <rFont val="Arial, sans-serif"/>
        <color rgb="FF1155CC"/>
        <sz val="15.0"/>
        <u/>
      </rPr>
      <t>Repsol en Cartagena comienza la producción a gran escala de combustibles renovables</t>
    </r>
    <r>
      <rPr>
        <rFont val="Arial, sans-serif"/>
        <color rgb="FF1155CC"/>
        <sz val="11.0"/>
        <u/>
      </rPr>
      <t>El complejo de Repsol en Cartagena ha comenzado ya la producción a escala industrial de combustibles renovables en su nueva planta de Escombreras en la que...</t>
    </r>
    <r>
      <rPr>
        <rFont val="Arial, sans-serif"/>
        <color rgb="FF1155CC"/>
        <sz val="12.0"/>
        <u/>
      </rPr>
      <t>.</t>
    </r>
    <r>
      <rPr>
        <rFont val="Arial, sans-serif"/>
        <color rgb="FF1155CC"/>
        <sz val="11.0"/>
        <u/>
      </rPr>
      <t>3 abr 2024</t>
    </r>
  </si>
  <si>
    <t>Onda Regional de Murcia | ORM</t>
  </si>
  <si>
    <t>Repsol en Cartagena comienza la producción a gran escala de combustibles renovables</t>
  </si>
  <si>
    <t>El complejo de Repsol en Cartagena ha comenzado ya la producción a escala industrial de combustibles renovables en su nueva planta de Escombreras en la que....</t>
  </si>
  <si>
    <t>Repsol in Cartagena begins large-scale production of renewable fuels</t>
  </si>
  <si>
    <t>The Repsol complex in Cartagena has already begun industrial-scale production of renewable fuels in its new Escombreras plant in which...</t>
  </si>
  <si>
    <t>Expanding renewable fuel production strengthens Repsol’s commitment to clean energy.</t>
  </si>
  <si>
    <t>comienza, "renovables"</t>
  </si>
  <si>
    <t>Positive.</t>
  </si>
  <si>
    <t>Positivo.</t>
  </si>
  <si>
    <r>
      <rPr>
        <rFont val="Arial, sans-serif"/>
        <color rgb="FF1155CC"/>
        <sz val="9.0"/>
        <u/>
      </rPr>
      <t>Spanish Revolution</t>
    </r>
    <r>
      <rPr>
        <rFont val="Arial, sans-serif"/>
        <color rgb="FF1155CC"/>
        <sz val="15.0"/>
        <u/>
      </rPr>
      <t>Repsol y su "futuro verde" que es en realidad un futuro negro</t>
    </r>
    <r>
      <rPr>
        <rFont val="Arial, sans-serif"/>
        <color rgb="FF1155CC"/>
        <sz val="11.0"/>
        <u/>
      </rPr>
      <t>Las promesas de Repsol de una "primavera verde" son, en el mejor de los casos, desorientadoras y, en el peor, un claro intento de "lavado verde".</t>
    </r>
    <r>
      <rPr>
        <rFont val="Arial, sans-serif"/>
        <color rgb="FF1155CC"/>
        <sz val="12.0"/>
        <u/>
      </rPr>
      <t>.</t>
    </r>
    <r>
      <rPr>
        <rFont val="Arial, sans-serif"/>
        <color rgb="FF1155CC"/>
        <sz val="11.0"/>
        <u/>
      </rPr>
      <t>3 abr 2024</t>
    </r>
  </si>
  <si>
    <t>Spanish Revolution</t>
  </si>
  <si>
    <t>Repsol y su "futuro verde" que es en realidad un futuro negro</t>
  </si>
  <si>
    <t>Las promesas de Repsol de una "primavera verde" son, en el mejor de los casos, desorientadoras y, en el peor, un claro intento de "lavado verde".</t>
  </si>
  <si>
    <t>Repsol and its "green future" which is actually a black future</t>
  </si>
  <si>
    <t>Repsol's promises of a "green spring" are, at best, misleading and, at worst, a clear attempt at "greenwashing."</t>
  </si>
  <si>
    <t>Repsol greenwashing, environmental scrutiny</t>
  </si>
  <si>
    <t>Greenwashing de Repsol, escrutinio ambiental</t>
  </si>
  <si>
    <t>Accusations of greenwashing may harm Repsol’s sustainability reputation.</t>
  </si>
  <si>
    <t>lavado verde</t>
  </si>
  <si>
    <t>Greenwashing accusation.</t>
  </si>
  <si>
    <t>Acusación de lavado verde.</t>
  </si>
  <si>
    <r>
      <rPr>
        <rFont val="Arial, sans-serif"/>
        <color rgb="FF1155CC"/>
        <sz val="9.0"/>
        <u/>
      </rPr>
      <t>LNE</t>
    </r>
    <r>
      <rPr>
        <rFont val="Arial, sans-serif"/>
        <color rgb="FF1155CC"/>
        <sz val="15.0"/>
        <u/>
      </rPr>
      <t>El restaurante de Llanera que se hace hueco en las guías Repsol y Tapas: estos son sus secretos</t>
    </r>
    <r>
      <rPr>
        <rFont val="Arial, sans-serif"/>
        <color rgb="FF1155CC"/>
        <sz val="11.0"/>
        <u/>
      </rPr>
      <t>El restaurante de Llanera que se hace hueco en las guías Repsol y Tapas: estos son sus secretos. Albóndiga de centollo, cebollinas rellenas de bonito,...</t>
    </r>
    <r>
      <rPr>
        <rFont val="Arial, sans-serif"/>
        <color rgb="FF1155CC"/>
        <sz val="12.0"/>
        <u/>
      </rPr>
      <t>.</t>
    </r>
    <r>
      <rPr>
        <rFont val="Arial, sans-serif"/>
        <color rgb="FF1155CC"/>
        <sz val="11.0"/>
        <u/>
      </rPr>
      <t>3 abr 2024</t>
    </r>
  </si>
  <si>
    <t>El restaurante de Llanera que se hace hueco en las guías Repsol y Tapas: estos son sus secretos</t>
  </si>
  <si>
    <t>Albóndiga de centollo, cebollinas rellenas de bonito,...</t>
  </si>
  <si>
    <t>The Llanera restaurant that finds its way into the Repsol and Tapas guides: these are its secrets</t>
  </si>
  <si>
    <t>Crab meatball, onions stuffed with bonito,...</t>
  </si>
  <si>
    <r>
      <rPr>
        <rFont val="Arial, sans-serif"/>
        <color rgb="FF1155CC"/>
        <sz val="9.0"/>
        <u/>
      </rPr>
      <t>Guía Repsol</t>
    </r>
    <r>
      <rPr>
        <rFont val="Arial, sans-serif"/>
        <color rgb="FF1155CC"/>
        <sz val="15.0"/>
        <u/>
      </rPr>
      <t>Qué hacer en el barrio de Pacífico: una perla entre Atocha y Vallecas</t>
    </r>
    <r>
      <rPr>
        <rFont val="Arial, sans-serif"/>
        <color rgb="FF1155CC"/>
        <sz val="11.0"/>
        <u/>
      </rPr>
      <t>Más de un museo, un centro cultural con pasado militar o hasta un majestuoso panteón conviven con colegios, talleres mecánicos y supermercados en los alred.</t>
    </r>
    <r>
      <rPr>
        <rFont val="Arial, sans-serif"/>
        <color rgb="FF1155CC"/>
        <sz val="12.0"/>
        <u/>
      </rPr>
      <t>.</t>
    </r>
    <r>
      <rPr>
        <rFont val="Arial, sans-serif"/>
        <color rgb="FF1155CC"/>
        <sz val="11.0"/>
        <u/>
      </rPr>
      <t>3 abr 2024</t>
    </r>
  </si>
  <si>
    <t>Qué hacer en el barrio de Pacífico: una perla entre Atocha y Vallecas</t>
  </si>
  <si>
    <t>Más de un museo, un centro cultural con pasado militar o hasta un majestuoso panteón conviven con colegios, talleres mecánicos y supermercados en los alred.</t>
  </si>
  <si>
    <t>What to do in the Pacífico neighborhood: a pearl between Atocha and Vallecas</t>
  </si>
  <si>
    <t>More than one museum, a cultural center with a military past or even a majestic pantheon coexist with schools, mechanical workshops and supermarkets in the surrounding area.</t>
  </si>
  <si>
    <r>
      <rPr>
        <rFont val="Arial, sans-serif"/>
        <color rgb="FF1155CC"/>
        <sz val="9.0"/>
        <u/>
      </rPr>
      <t>El Periódico de España</t>
    </r>
    <r>
      <rPr>
        <rFont val="Arial, sans-serif"/>
        <color rgb="FF1155CC"/>
        <sz val="15.0"/>
        <u/>
      </rPr>
      <t>La reforestación para compensar los efectos de la huella de carbono y crear empleo local e inclusivo</t>
    </r>
    <r>
      <rPr>
        <rFont val="Arial, sans-serif"/>
        <color rgb="FF1155CC"/>
        <sz val="11.0"/>
        <u/>
      </rPr>
      <t>El proyecto Motor Verde de Fundación Repsol plantará 60 millones de árboles para contrarrestar la emisión de 16 millones de toneladas de CO₂ y crear miles...</t>
    </r>
    <r>
      <rPr>
        <rFont val="Arial, sans-serif"/>
        <color rgb="FF1155CC"/>
        <sz val="12.0"/>
        <u/>
      </rPr>
      <t>.</t>
    </r>
    <r>
      <rPr>
        <rFont val="Arial, sans-serif"/>
        <color rgb="FF1155CC"/>
        <sz val="11.0"/>
        <u/>
      </rPr>
      <t>3 abr 2024</t>
    </r>
  </si>
  <si>
    <t>La reforestación para compensar los efectos de la huella de carbono y crear empleo local e inclusivo</t>
  </si>
  <si>
    <t>El proyecto Motor Verde de Fundación Repsol plantará 60 millones de árboles para contrarrestar la emisión de 16 millones de toneladas de CO₂ y crear miles....</t>
  </si>
  <si>
    <t>Reforestation to offset the effects of the carbon footprint and create local and inclusive employment</t>
  </si>
  <si>
    <t>The Repsol Green Motor project will plant 60 million trees to counteract the emission of 16 million tons of CO₂ and create thousands....</t>
  </si>
  <si>
    <t>Repsol reforestation, sustainability</t>
  </si>
  <si>
    <t>Reforestación Repsol, sostenibilidad</t>
  </si>
  <si>
    <t>Supporting reforestation aligns with Repsol’s climate action goals.</t>
  </si>
  <si>
    <t>CSR, neutral.</t>
  </si>
  <si>
    <t>RSE, neutral.</t>
  </si>
  <si>
    <r>
      <rPr>
        <rFont val="Arial, sans-serif"/>
        <color rgb="FF1155CC"/>
        <sz val="9.0"/>
        <u/>
      </rPr>
      <t>Infobae</t>
    </r>
    <r>
      <rPr>
        <rFont val="Arial, sans-serif"/>
        <color rgb="FF1155CC"/>
        <sz val="15.0"/>
        <u/>
      </rPr>
      <t>Las principales empresas contaminantes aumentaron sus emisiones tras la firma del Acuerdo de París contra el cambio climático</t>
    </r>
    <r>
      <rPr>
        <rFont val="Arial, sans-serif"/>
        <color rgb="FF1155CC"/>
        <sz val="11.0"/>
        <u/>
      </rPr>
      <t>Repsol es la compañía española que más gases contaminantes emite, responsable del 0,23% de emisiones de CO₂ que se han generado desde 2015.</t>
    </r>
    <r>
      <rPr>
        <rFont val="Arial, sans-serif"/>
        <color rgb="FF1155CC"/>
        <sz val="12.0"/>
        <u/>
      </rPr>
      <t>.</t>
    </r>
    <r>
      <rPr>
        <rFont val="Arial, sans-serif"/>
        <color rgb="FF1155CC"/>
        <sz val="11.0"/>
        <u/>
      </rPr>
      <t>3 abr 2024</t>
    </r>
  </si>
  <si>
    <t>Las principales empresas contaminantes aumentaron sus emisiones tras la firma del Acuerdo de París contra el cambio climático.</t>
  </si>
  <si>
    <t>Repsol es la compañía española que más gases contaminantes emite, responsable del 0,23% de emisiones de CO₂ que se han generado desde 2015.</t>
  </si>
  <si>
    <t>The main polluting companies increased their emissions after the signing of the Paris Agreement against climate change.</t>
  </si>
  <si>
    <t>Repsol is the Spanish company that emits the most polluting gases, responsible for 0.23% of CO₂ emissions that have been generated since 2015.</t>
  </si>
  <si>
    <t>Repsol CO₂ emissions, pollution ranking</t>
  </si>
  <si>
    <t>Emisiones de CO₂ de Repsol, ranking de contaminación</t>
  </si>
  <si>
    <t>Being labeled as a top polluter can damage Repsol’s environmental credibility.</t>
  </si>
  <si>
    <t>contaminantes</t>
  </si>
  <si>
    <t>Negative environmental impact.</t>
  </si>
  <si>
    <t>Impacto ambiental negativo.</t>
  </si>
  <si>
    <r>
      <rPr>
        <rFont val="Arial, sans-serif"/>
        <color rgb="FF1155CC"/>
        <sz val="9.0"/>
        <u/>
      </rPr>
      <t>El Confidencial</t>
    </r>
    <r>
      <rPr>
        <rFont val="Arial, sans-serif"/>
        <color rgb="FF1155CC"/>
        <sz val="15.0"/>
        <u/>
      </rPr>
      <t>Repsol, primera asesoría jurídica en España en incorporar la IA de Harvey</t>
    </r>
    <r>
      <rPr>
        <rFont val="Arial, sans-serif"/>
        <color rgb="FF1155CC"/>
        <sz val="11.0"/>
        <u/>
      </rPr>
      <t>Repsol se convierte en la primera asesoría jurídica en España en anunciar que incorpora la solución de inteligencia artificial (IA) generativa especializada...</t>
    </r>
    <r>
      <rPr>
        <rFont val="Arial, sans-serif"/>
        <color rgb="FF1155CC"/>
        <sz val="12.0"/>
        <u/>
      </rPr>
      <t>.</t>
    </r>
    <r>
      <rPr>
        <rFont val="Arial, sans-serif"/>
        <color rgb="FF1155CC"/>
        <sz val="11.0"/>
        <u/>
      </rPr>
      <t>4 abr 2024</t>
    </r>
  </si>
  <si>
    <t>Repsol, primera asesoría jurídica en España en incorporar la IA de Harvey</t>
  </si>
  <si>
    <t>Repsol se convierte en la primera asesoría jurídica en España en anunciar que incorpora la solución de inteligencia artificial (IA) generativa especializada....</t>
  </si>
  <si>
    <t>Repsol, the first legal consultancy in Spain to incorporate Harvey's AI</t>
  </si>
  <si>
    <t>Repsol becomes the first legal consultancy in Spain to announce that it incorporates the specialized generative artificial intelligence (AI) solution....</t>
  </si>
  <si>
    <t>Repsol compliance, corporate responsibility</t>
  </si>
  <si>
    <t>Repsol Compliance, responsabilidad corporativa</t>
  </si>
  <si>
    <t>Achieving compliance certifications reinforces Repsol’s commitment to ethical standards.</t>
  </si>
  <si>
    <t>IA (innovation)</t>
  </si>
  <si>
    <t>Mildly positive.</t>
  </si>
  <si>
    <t>Ligeramente positivo.</t>
  </si>
  <si>
    <r>
      <rPr>
        <rFont val="Arial, sans-serif"/>
        <color rgb="FF1155CC"/>
        <sz val="9.0"/>
        <u/>
      </rPr>
      <t>El Periódico de la Energía</t>
    </r>
    <r>
      <rPr>
        <rFont val="Arial, sans-serif"/>
        <color rgb="FF1155CC"/>
        <sz val="15.0"/>
        <u/>
      </rPr>
      <t>Repsol, la única empresa española entre las más contaminantes del planeta</t>
    </r>
    <r>
      <rPr>
        <rFont val="Arial, sans-serif"/>
        <color rgb="FF1155CC"/>
        <sz val="11.0"/>
        <u/>
      </rPr>
      <t>En medio de la polémica entre Repsol e Iberdrola por las acusaciones de 'greenwashing', un reciente informe elaborado por el centro de investigación...</t>
    </r>
    <r>
      <rPr>
        <rFont val="Arial, sans-serif"/>
        <color rgb="FF1155CC"/>
        <sz val="12.0"/>
        <u/>
      </rPr>
      <t>.</t>
    </r>
    <r>
      <rPr>
        <rFont val="Arial, sans-serif"/>
        <color rgb="FF1155CC"/>
        <sz val="11.0"/>
        <u/>
      </rPr>
      <t>4 abr 2024</t>
    </r>
  </si>
  <si>
    <t>Repsol, la única empresa española entre las más contaminantes del planeta</t>
  </si>
  <si>
    <t>En medio de la polémica entre Repsol e Iberdrola por las acusaciones de 'greenwashing', un reciente informe elaborado por el centro de investigación....</t>
  </si>
  <si>
    <t>Repsol, the only Spanish company among the most polluting on the planet</t>
  </si>
  <si>
    <t>In the midst of the controversy between Repsol and Iberdrola over accusations of 'greenwashing', a recent report prepared by the research center...</t>
  </si>
  <si>
    <t>Severe reputational damage.</t>
  </si>
  <si>
    <t>Grave daño reputacional.</t>
  </si>
  <si>
    <r>
      <rPr>
        <rFont val="Arial, sans-serif"/>
        <color rgb="FF1155CC"/>
        <sz val="9.0"/>
        <u/>
      </rPr>
      <t>EL PAÍS</t>
    </r>
    <r>
      <rPr>
        <rFont val="Arial, sans-serif"/>
        <color rgb="FF1155CC"/>
        <sz val="15.0"/>
        <u/>
      </rPr>
      <t>Un informe sitúa a Repsol entre los 50 grandes emisores mundiales de CO₂ de los últimos 170 años</t>
    </r>
    <r>
      <rPr>
        <rFont val="Arial, sans-serif"/>
        <color rgb="FF1155CC"/>
        <sz val="11.0"/>
        <u/>
      </rPr>
      <t>122 compañías y entidades son responsables del 72% de todo el dióxido de carbono emitido por el sector fósil y del cemento desde el inicio de la Revolución...</t>
    </r>
    <r>
      <rPr>
        <rFont val="Arial, sans-serif"/>
        <color rgb="FF1155CC"/>
        <sz val="12.0"/>
        <u/>
      </rPr>
      <t>.</t>
    </r>
    <r>
      <rPr>
        <rFont val="Arial, sans-serif"/>
        <color rgb="FF1155CC"/>
        <sz val="11.0"/>
        <u/>
      </rPr>
      <t>4 abr 2024</t>
    </r>
  </si>
  <si>
    <t>Un informe sitúa a Repsol entre los 50 grandes emisores mundiales de CO₂ de los últimos 170 años</t>
  </si>
  <si>
    <t>122 compañías y entidades son responsables del 72% de todo el dióxido de carbono emitido por el sector fósil y del cemento desde el inicio de la Revolución....</t>
  </si>
  <si>
    <t>A report places Repsol among the 50 largest global emitters of CO₂ in the last 170 years</t>
  </si>
  <si>
    <t>122 companies and entities are responsible for 72% of all the carbon dioxide emitted by the fossil and cement sectors since the beginning of the Revolution....</t>
  </si>
  <si>
    <t>Being named among the biggest polluters could harm Repsol’s environmental credibility.</t>
  </si>
  <si>
    <t>emisores, "contaminación"</t>
  </si>
  <si>
    <t>Very negative.</t>
  </si>
  <si>
    <t>Muy negativo.</t>
  </si>
  <si>
    <r>
      <rPr>
        <rFont val="Arial, sans-serif"/>
        <color rgb="FF1155CC"/>
        <sz val="9.0"/>
        <u/>
      </rPr>
      <t>VIA Empresa</t>
    </r>
    <r>
      <rPr>
        <rFont val="Arial, sans-serif"/>
        <color rgb="FF1155CC"/>
        <sz val="15.0"/>
        <u/>
      </rPr>
      <t>Repsol es uno de los principales responsables de la contaminación mundial, según InfluenceMap</t>
    </r>
    <r>
      <rPr>
        <rFont val="Arial, sans-serif"/>
        <color rgb="FF1155CC"/>
        <sz val="11.0"/>
        <u/>
      </rPr>
      <t>Repsol es uno de los principales responsables de la contaminación mundial, según InfluenceMap. La entidad británica dice que el 80% de las emisiones de...</t>
    </r>
    <r>
      <rPr>
        <rFont val="Arial, sans-serif"/>
        <color rgb="FF1155CC"/>
        <sz val="12.0"/>
        <u/>
      </rPr>
      <t>.</t>
    </r>
    <r>
      <rPr>
        <rFont val="Arial, sans-serif"/>
        <color rgb="FF1155CC"/>
        <sz val="11.0"/>
        <u/>
      </rPr>
      <t>4 abr 2024</t>
    </r>
  </si>
  <si>
    <t>VIA Empresa</t>
  </si>
  <si>
    <t>Repsol es uno de los principales responsables de la contaminación mundial, según InfluenceMap</t>
  </si>
  <si>
    <t>Repsol es uno de los principales responsables de la contaminación mundial, según InfluenceMap. La entidad británica dice que el 80% de las emisiones de....</t>
  </si>
  <si>
    <t>Repsol is one of the main responsible for global pollution, according to InfluenceMap</t>
  </si>
  <si>
    <t>Repsol is one of the main responsible for global pollution, according to InfluenceMap. The British entity says that 80% of emissions from...</t>
  </si>
  <si>
    <t>Repsol emissions, climate change</t>
  </si>
  <si>
    <t>Emisiones Repsol, cambio climático</t>
  </si>
  <si>
    <t>Directly linking Repsol to climate change could damage its reputation.</t>
  </si>
  <si>
    <t>contaminación, responsables</t>
  </si>
  <si>
    <t>Negative framing of Repsol's environmental impact.</t>
  </si>
  <si>
    <t>Encuadre negativo del impacto ambiental de Repsol.</t>
  </si>
  <si>
    <r>
      <rPr>
        <rFont val="Arial, sans-serif"/>
        <color rgb="FF1155CC"/>
        <sz val="9.0"/>
        <u/>
      </rPr>
      <t>La Comarca de Puertollano</t>
    </r>
    <r>
      <rPr>
        <rFont val="Arial, sans-serif"/>
        <color rgb="FF1155CC"/>
        <sz val="15.0"/>
        <u/>
      </rPr>
      <t>La parada de Repsol en Puertollano supera su ecuador con más de 400.000 horas de trabajo realizadas de las 660.000 previstas</t>
    </r>
    <r>
      <rPr>
        <rFont val="Arial, sans-serif"/>
        <color rgb="FF1155CC"/>
        <sz val="11.0"/>
        <u/>
      </rPr>
      <t>Ya se ha alcanzado el 60% de desarrollo de los trabajos planificados en las distintas áreas tras 32 días de actividad ininterrumpida.</t>
    </r>
    <r>
      <rPr>
        <rFont val="Arial, sans-serif"/>
        <color rgb="FF1155CC"/>
        <sz val="12.0"/>
        <u/>
      </rPr>
      <t>.</t>
    </r>
    <r>
      <rPr>
        <rFont val="Arial, sans-serif"/>
        <color rgb="FF1155CC"/>
        <sz val="11.0"/>
        <u/>
      </rPr>
      <t>4 abr 2024</t>
    </r>
  </si>
  <si>
    <t>La parada de Repsol en Puertollano supera su ecuador con más de 400.000 horas de trabajo realizadas de las 660.000 previstas</t>
  </si>
  <si>
    <t>Ya se ha alcanzado el 60% de desarrollo de los trabajos planificados en las distintas áreas tras 32 días de actividad ininterrumpida.</t>
  </si>
  <si>
    <t>The Repsol stop in Puertollano surpasses its halfway point with more than 400,000 hours of work carried out out of the 660,000 planned</t>
  </si>
  <si>
    <t>60% of the planned work has already been completed in the different areas after 32 days of uninterrupted activity.</t>
  </si>
  <si>
    <t>Repsol refinery maintenance, business operations</t>
  </si>
  <si>
    <t>Mantenimiento de refinerías de Repsol, operaciones empresariales</t>
  </si>
  <si>
    <t>Maintaining refineries ensures operational efficiency but has limited impact on perception.</t>
  </si>
  <si>
    <t>parada, trabajo</t>
  </si>
  <si>
    <t>Neutral operational update, slight positive for activity.</t>
  </si>
  <si>
    <t>Actualización operativa neutral, ligeramente positivo para la actividad.</t>
  </si>
  <si>
    <r>
      <rPr>
        <rFont val="Arial, sans-serif"/>
        <color rgb="FF1155CC"/>
        <sz val="9.0"/>
        <u/>
      </rPr>
      <t>El Economista</t>
    </r>
    <r>
      <rPr>
        <rFont val="Arial, sans-serif"/>
        <color rgb="FF1155CC"/>
        <sz val="15.0"/>
        <u/>
      </rPr>
      <t>Repsol alcanza los 16 euros por acción gracias al repunte del precio del petróleo</t>
    </r>
    <r>
      <rPr>
        <rFont val="Arial, sans-serif"/>
        <color rgb="FF1155CC"/>
        <sz val="11.0"/>
        <u/>
      </rPr>
      <t>El reciente repunte del precio del petróleo ha dado un nuevo impulso a la acción de Repsol. La petrolera integrada del Ibex 35 superó ...</t>
    </r>
    <r>
      <rPr>
        <rFont val="Arial, sans-serif"/>
        <color rgb="FF1155CC"/>
        <sz val="12.0"/>
        <u/>
      </rPr>
      <t>.</t>
    </r>
    <r>
      <rPr>
        <rFont val="Arial, sans-serif"/>
        <color rgb="FF1155CC"/>
        <sz val="11.0"/>
        <u/>
      </rPr>
      <t>4 abr 2024</t>
    </r>
  </si>
  <si>
    <t>Repsol alcanza los 16 euros por acción gracias al repunte del precio del petróleo</t>
  </si>
  <si>
    <t>El reciente repunte del precio del petróleo ha dado un nuevo impulso a la acción de Repsol. La petrolera integrada del Ibex 35 superó ....</t>
  </si>
  <si>
    <t>Repsol reaches 16 euros per share thanks to the rise in oil prices</t>
  </si>
  <si>
    <t>The recent rise in the price of oil has given new impetus to Repsol's stock. The integrated oil company of the Ibex 35 surpassed....</t>
  </si>
  <si>
    <t>Repsol stock price, financial performance</t>
  </si>
  <si>
    <t>Cotización de las acciones de Repsol, desempeño financiero</t>
  </si>
  <si>
    <t>repunte, petróleo</t>
  </si>
  <si>
    <t>Positive financial performance linked to oil prices.</t>
  </si>
  <si>
    <t>Desempeño financiero positivo vinculado a los precios del petróleo.</t>
  </si>
  <si>
    <r>
      <rPr>
        <rFont val="Arial, sans-serif"/>
        <color rgb="FF1155CC"/>
        <sz val="9.0"/>
        <u/>
      </rPr>
      <t>Te Verás Televisión</t>
    </r>
    <r>
      <rPr>
        <rFont val="Arial, sans-serif"/>
        <color rgb="FF1155CC"/>
        <sz val="15.0"/>
        <u/>
      </rPr>
      <t>La parada de Repsol en Puertollano supera su ecuador</t>
    </r>
    <r>
      <rPr>
        <rFont val="Arial, sans-serif"/>
        <color rgb="FF1155CC"/>
        <sz val="11.0"/>
        <u/>
      </rPr>
      <t>La parada programada del esquema de Conversión del Complejo Industrial de Repsol en Puertollano, con un desembolso de 120 millones de euros y 660.000 horas...</t>
    </r>
    <r>
      <rPr>
        <rFont val="Arial, sans-serif"/>
        <color rgb="FF1155CC"/>
        <sz val="12.0"/>
        <u/>
      </rPr>
      <t>.</t>
    </r>
    <r>
      <rPr>
        <rFont val="Arial, sans-serif"/>
        <color rgb="FF1155CC"/>
        <sz val="11.0"/>
        <u/>
      </rPr>
      <t>4 abr 2024</t>
    </r>
  </si>
  <si>
    <t>Te Verás Televisión</t>
  </si>
  <si>
    <t>La parada de Repsol en Puertollano supera su ecuador</t>
  </si>
  <si>
    <t>La parada programada del esquema de Conversión del Complejo Industrial de Repsol en Puertollano, con un desembolso de 120 millones de euros y 660.000 horas....</t>
  </si>
  <si>
    <t>Repsol's stop in Puertollano surpasses its midpoint</t>
  </si>
  <si>
    <t>The scheduled stoppage of the Conversion scheme of the Repsol Industrial Complex in Puertollano, with a disbursement of 120 million euros and 660,000 hours....</t>
  </si>
  <si>
    <t>Repsol refinery, business operations</t>
  </si>
  <si>
    <t>Refinería Repsol, operaciones empresariales</t>
  </si>
  <si>
    <t>Regular maintenance ensures continued production efficiency but does not impact public perception.</t>
  </si>
  <si>
    <t>Neutral operational update.</t>
  </si>
  <si>
    <t>Actualización operativa neutral.</t>
  </si>
  <si>
    <r>
      <rPr>
        <rFont val="Arial, sans-serif"/>
        <color rgb="FF1155CC"/>
        <sz val="9.0"/>
        <u/>
      </rPr>
      <t>Infobae</t>
    </r>
    <r>
      <rPr>
        <rFont val="Arial, sans-serif"/>
        <color rgb="FF1155CC"/>
        <sz val="15.0"/>
        <u/>
      </rPr>
      <t>El restaurante con un Sol Repsol en un pequeño pueblo riojano: cocina tradicional renovada en una bodega subterránea del siglo XVII</t>
    </r>
    <r>
      <rPr>
        <rFont val="Arial, sans-serif"/>
        <color rgb="FF1155CC"/>
        <sz val="11.0"/>
        <u/>
      </rPr>
      <t>En este restaurante, ubicado en el pueblo de Casalarreina, proponen tres menús degustación basados en el producto y el recetario riojano, aunque filtrado...</t>
    </r>
    <r>
      <rPr>
        <rFont val="Arial, sans-serif"/>
        <color rgb="FF1155CC"/>
        <sz val="12.0"/>
        <u/>
      </rPr>
      <t>.</t>
    </r>
    <r>
      <rPr>
        <rFont val="Arial, sans-serif"/>
        <color rgb="FF1155CC"/>
        <sz val="11.0"/>
        <u/>
      </rPr>
      <t>4 abr 2024</t>
    </r>
  </si>
  <si>
    <t>El restaurante con un Sol Repsol en un pequeño pueblo riojano: cocina tradicional renovada en una bodega subterránea del siglo XVII</t>
  </si>
  <si>
    <t>En este restaurante, ubicado en el pueblo de Casalarreina, proponen tres menús degustación basados en el producto y el recetario riojano, aunque filtrado....</t>
  </si>
  <si>
    <t>The restaurant with a Sol Repsol in a small Riojan town: traditional cuisine renewed in a 17th century underground winery</t>
  </si>
  <si>
    <t>In this restaurant, located in the town of Casalarreina, they offer three tasting menus based on the product and the Rioja recipe book, although filtered....</t>
  </si>
  <si>
    <r>
      <rPr>
        <rFont val="Arial, sans-serif"/>
        <color rgb="FF1155CC"/>
        <sz val="9.0"/>
        <u/>
      </rPr>
      <t>Guía Repsol</t>
    </r>
    <r>
      <rPr>
        <rFont val="Arial, sans-serif"/>
        <color rgb="FF1155CC"/>
        <sz val="15.0"/>
        <u/>
      </rPr>
      <t>'Allégorie': nuevo restaurante de cocina francesa en Madrid</t>
    </r>
    <r>
      <rPr>
        <rFont val="Arial, sans-serif"/>
        <color rgb="FF1155CC"/>
        <sz val="11.0"/>
        <u/>
      </rPr>
      <t>Una cocina francesa moderna, con las salsas como hilo conductor de sus creaciones. Esa es la propuesta del joven chef Romain Lascarides en 'Allégorie',...</t>
    </r>
    <r>
      <rPr>
        <rFont val="Arial, sans-serif"/>
        <color rgb="FF1155CC"/>
        <sz val="12.0"/>
        <u/>
      </rPr>
      <t>.</t>
    </r>
    <r>
      <rPr>
        <rFont val="Arial, sans-serif"/>
        <color rgb="FF1155CC"/>
        <sz val="11.0"/>
        <u/>
      </rPr>
      <t>4 abr 2024</t>
    </r>
  </si>
  <si>
    <t>'Allégorie': nuevo restaurante de cocina francesa en Madrid</t>
  </si>
  <si>
    <t>Una cocina francesa moderna, con las salsas como hilo conductor de sus creaciones. Esa es la propuesta del joven chef Romain Lascarides en 'Allégorie',....</t>
  </si>
  <si>
    <t>'Allégorie': new French cuisine restaurant in Madrid</t>
  </si>
  <si>
    <t>A modern French cuisine, with sauces as the common thread of its creations. That is the proposal of young chef Romain Lascarides at 'Allégorie',....</t>
  </si>
  <si>
    <r>
      <rPr>
        <rFont val="Arial, sans-serif"/>
        <color rgb="FF1155CC"/>
        <sz val="9.0"/>
        <u/>
      </rPr>
      <t>Climática</t>
    </r>
    <r>
      <rPr>
        <rFont val="Arial, sans-serif"/>
        <color rgb="FF1155CC"/>
        <sz val="15.0"/>
        <u/>
      </rPr>
      <t>Solo 57 empresas son responsables del 80% de las emisiones de CO2 tras el Acuerdo de París</t>
    </r>
    <r>
      <rPr>
        <rFont val="Arial, sans-serif"/>
        <color rgb="FF1155CC"/>
        <sz val="11.0"/>
        <u/>
      </rPr>
      <t>Pocas empresas para una gran cantidad de emisiones. Así se podría resumir una nueva investigación que afirma que tan solo 57 corporaciones y entidades...</t>
    </r>
    <r>
      <rPr>
        <rFont val="Arial, sans-serif"/>
        <color rgb="FF1155CC"/>
        <sz val="12.0"/>
        <u/>
      </rPr>
      <t>.</t>
    </r>
    <r>
      <rPr>
        <rFont val="Arial, sans-serif"/>
        <color rgb="FF1155CC"/>
        <sz val="11.0"/>
        <u/>
      </rPr>
      <t>4 abr 2024</t>
    </r>
  </si>
  <si>
    <t>Solo 57 empresas son responsables del 80% de las emisiones de CO2 tras el Acuerdo de París</t>
  </si>
  <si>
    <t>Pocas empresas para una gran cantidad de emisiones. Así se podría resumir una nueva investigación que afirma que tan solo 57 corporaciones y entidades....</t>
  </si>
  <si>
    <t>Only 57 companies are responsible for 80% of CO2 emissions after the Paris Agreement</t>
  </si>
  <si>
    <t>Few companies for a large amount of emissions. This is how new research could be summarized that states that only 57 corporations and entities...</t>
  </si>
  <si>
    <t>Being listed among top polluters could negatively affect Repsol’s sustainability efforts.</t>
  </si>
  <si>
    <t>emisiones, responsables</t>
  </si>
  <si>
    <t>Indirect negative link to Repsol's sector.</t>
  </si>
  <si>
    <t>Vínculo negativo indirecto con el sector de Repsol.</t>
  </si>
  <si>
    <r>
      <rPr>
        <rFont val="Arial, sans-serif"/>
        <color rgb="FF1155CC"/>
        <sz val="9.0"/>
        <u/>
      </rPr>
      <t>Sweetpress</t>
    </r>
    <r>
      <rPr>
        <rFont val="Arial, sans-serif"/>
        <color rgb="FF1155CC"/>
        <sz val="15.0"/>
        <u/>
      </rPr>
      <t>Gespevesa cambia su estructura societaria</t>
    </r>
    <r>
      <rPr>
        <rFont val="Arial, sans-serif"/>
        <color rgb="FF1155CC"/>
        <sz val="11.0"/>
        <u/>
      </rPr>
      <t>La compañía ha experimentado un cambio estratégico en su estructura accionarial. Hasta el momento dividida al 50% entre El Corte Inglés y Repsol,...</t>
    </r>
    <r>
      <rPr>
        <rFont val="Arial, sans-serif"/>
        <color rgb="FF1155CC"/>
        <sz val="12.0"/>
        <u/>
      </rPr>
      <t>.</t>
    </r>
    <r>
      <rPr>
        <rFont val="Arial, sans-serif"/>
        <color rgb="FF1155CC"/>
        <sz val="11.0"/>
        <u/>
      </rPr>
      <t>4 abr 2024</t>
    </r>
  </si>
  <si>
    <t>Sweetpress</t>
  </si>
  <si>
    <t>Gespevesa cambia su estructura societaria</t>
  </si>
  <si>
    <t>La compañía ha experimentado un cambio estratégico en su estructura accionarial. Hasta el momento dividida al 50% entre El Corte Inglés y Repsol,....</t>
  </si>
  <si>
    <t>Gespevesa changes its corporate structure</t>
  </si>
  <si>
    <t>The company has undergone a strategic change in its shareholder structure. Until now divided 50% between El Corte Inglés and Repsol,....</t>
  </si>
  <si>
    <t>Business restructuring of unrelated companies does not impact Repsol.</t>
  </si>
  <si>
    <t>No direct relevance to Repsol.</t>
  </si>
  <si>
    <t>Sin relevancia directa para Repsol.</t>
  </si>
  <si>
    <r>
      <rPr>
        <rFont val="Arial, sans-serif"/>
        <color rgb="FF1155CC"/>
        <sz val="9.0"/>
        <u/>
      </rPr>
      <t>Crónica Vasca</t>
    </r>
    <r>
      <rPr>
        <rFont val="Arial, sans-serif"/>
        <color rgb="FF1155CC"/>
        <sz val="15.0"/>
        <u/>
      </rPr>
      <t>Petronor fuerza a PNV y EH Bildu a posicionarse y aviva el enfrentamiento político</t>
    </r>
    <r>
      <rPr>
        <rFont val="Arial, sans-serif"/>
        <color rgb="FF1155CC"/>
        <sz val="11.0"/>
        <u/>
      </rPr>
      <t>Pese al último acuerdo en materia energética, la figura de Imaz y los ritmos a los que debe transformarse la refinería vizcaína amplían la brecha entre los...</t>
    </r>
    <r>
      <rPr>
        <rFont val="Arial, sans-serif"/>
        <color rgb="FF1155CC"/>
        <sz val="12.0"/>
        <u/>
      </rPr>
      <t>.</t>
    </r>
    <r>
      <rPr>
        <rFont val="Arial, sans-serif"/>
        <color rgb="FF1155CC"/>
        <sz val="11.0"/>
        <u/>
      </rPr>
      <t>4 abr 2024</t>
    </r>
  </si>
  <si>
    <t>Petronor fuerza a PNV y EH Bildu a posicionarse y aviva el enfrentamiento político</t>
  </si>
  <si>
    <t>Pese al último acuerdo en materia energética, la figura de Imaz y los ritmos a los que debe transformarse la refinería vizcaína amplían la brecha entre los....</t>
  </si>
  <si>
    <t>Petronor forces PNV and EH Bildu to position themselves and fuels the political confrontation</t>
  </si>
  <si>
    <t>Despite the latest agreement on energy matters, the figure of Imaz and the rates at which the Biscayan refinery must be transformed widen the gap between...</t>
  </si>
  <si>
    <t>Political disputes over energy transition do not directly impact Repsol’s business.</t>
  </si>
  <si>
    <t>enfrentamiento</t>
  </si>
  <si>
    <t>Negative political tension involving Repsol subsidiary.</t>
  </si>
  <si>
    <t>Tensión política negativa que afecta a la filial de Repsol.</t>
  </si>
  <si>
    <r>
      <rPr>
        <rFont val="Arial, sans-serif"/>
        <color rgb="FF1155CC"/>
        <sz val="9.0"/>
        <u/>
      </rPr>
      <t>LaSexta</t>
    </r>
    <r>
      <rPr>
        <rFont val="Arial, sans-serif"/>
        <color rgb="FF1155CC"/>
        <sz val="15.0"/>
        <u/>
      </rPr>
      <t>El 80% de las emisiones de CO2 globales se vinculan a 57 empresas petroleras y de cemento</t>
    </r>
    <r>
      <rPr>
        <rFont val="Arial, sans-serif"/>
        <color rgb="FF1155CC"/>
        <sz val="11.0"/>
        <u/>
      </rPr>
      <t>La mayoría de las empresas de este sector produjeron más combustibles fósiles en los siete años posteriores al Acuerdo de París que en los siete años...</t>
    </r>
    <r>
      <rPr>
        <rFont val="Arial, sans-serif"/>
        <color rgb="FF1155CC"/>
        <sz val="12.0"/>
        <u/>
      </rPr>
      <t>.</t>
    </r>
    <r>
      <rPr>
        <rFont val="Arial, sans-serif"/>
        <color rgb="FF1155CC"/>
        <sz val="11.0"/>
        <u/>
      </rPr>
      <t>4 abr 2024</t>
    </r>
  </si>
  <si>
    <t>El 80% de las emisiones de CO2 globales se vinculan a 57 empresas petroleras y de cemento</t>
  </si>
  <si>
    <t>La mayoría de las empresas de este sector produjeron más combustibles fósiles en los siete años posteriores al Acuerdo de París que en los siete años....</t>
  </si>
  <si>
    <t>80% of global CO2 emissions are linked to 57 oil and cement companies</t>
  </si>
  <si>
    <t>Most companies in this sector produced more fossil fuels in the seven years after the Paris Agreement than in the seven years....</t>
  </si>
  <si>
    <t>Reports linking Repsol to high emissions may harm its public image.</t>
  </si>
  <si>
    <t>emisiones, petroleras</t>
  </si>
  <si>
    <t>Negative for Repsol's industry.</t>
  </si>
  <si>
    <t>Negativo para la industria de Repsol.</t>
  </si>
  <si>
    <r>
      <rPr>
        <rFont val="Arial, sans-serif"/>
        <color rgb="FF1155CC"/>
        <sz val="9.0"/>
        <u/>
      </rPr>
      <t>20Minutos</t>
    </r>
    <r>
      <rPr>
        <rFont val="Arial, sans-serif"/>
        <color rgb="FF1155CC"/>
        <sz val="15.0"/>
        <u/>
      </rPr>
      <t>El Acuerdo de París no frenó las emisiones de CO2 y el 80% del total se concentra en 57 energéticas y cementeras de todo el mundo</t>
    </r>
    <r>
      <rPr>
        <rFont val="Arial, sans-serif"/>
        <color rgb="FF1155CC"/>
        <sz val="11.0"/>
        <u/>
      </rPr>
      <t>Tras el pacto para limitar el calentamiento a 1,5ºC, empresas estatales y privadas aumentaron las emisiones, más en Asia y menos en Europa.</t>
    </r>
    <r>
      <rPr>
        <rFont val="Arial, sans-serif"/>
        <color rgb="FF1155CC"/>
        <sz val="12.0"/>
        <u/>
      </rPr>
      <t>.</t>
    </r>
    <r>
      <rPr>
        <rFont val="Arial, sans-serif"/>
        <color rgb="FF1155CC"/>
        <sz val="11.0"/>
        <u/>
      </rPr>
      <t>4 abr 2024</t>
    </r>
  </si>
  <si>
    <t>El Acuerdo de París no frenó las emisiones de CO2 y el 80% del total se concentra en 57 energéticas y cementeras de todo el mundo</t>
  </si>
  <si>
    <t>El Acuerdo de París no frenó las emisiones de CO2 y el 80% del total se concentra en 57 energéticas y cementeras de todo el mundo. Tras el pacto para limitar el calentamiento a 1,5ºC, empresas estatales y privadas aumentaron las emisiones, más en Asia y menos en Europa.</t>
  </si>
  <si>
    <t>The Paris Agreement did not stop CO2 emissions and 80% of the total is concentrated in 57 energy and cement companies around the world</t>
  </si>
  <si>
    <t>The Paris Agreement did not stop CO2 emissions and 80% of the total is concentrated in 57 energy and cement companies around the world. After the pact to limit warming to 1.5ºC, state and private companies increased emissions, more in Asia and less in Europe.</t>
  </si>
  <si>
    <t>Global climate agreements do not directly impact Repsol’s corporate perception.</t>
  </si>
  <si>
    <t>emisiones, energéticas</t>
  </si>
  <si>
    <t>Reinforces Repsol's negative environmental role.</t>
  </si>
  <si>
    <t>Refuerza el papel ambiental negativo de Repsol.</t>
  </si>
  <si>
    <r>
      <rPr>
        <rFont val="Arial, sans-serif"/>
        <color rgb="FF1155CC"/>
        <sz val="9.0"/>
        <u/>
      </rPr>
      <t>INFORMACION</t>
    </r>
    <r>
      <rPr>
        <rFont val="Arial, sans-serif"/>
        <color rgb="FF1155CC"/>
        <sz val="15.0"/>
        <u/>
      </rPr>
      <t>Estas son las empresas que más CO2 emiten a la atmósfera en todo el mundo (y una es española)</t>
    </r>
    <r>
      <rPr>
        <rFont val="Arial, sans-serif"/>
        <color rgb="FF1155CC"/>
        <sz val="11.0"/>
        <u/>
      </rPr>
      <t>'Son responsables del calor letal, el clima extremo y la contaminación del aire que amenaza vidas y causa estragos en nuestros océanos y bosques'</t>
    </r>
    <r>
      <rPr>
        <rFont val="Arial, sans-serif"/>
        <color rgb="FF1155CC"/>
        <sz val="12.0"/>
        <u/>
      </rPr>
      <t>.</t>
    </r>
    <r>
      <rPr>
        <rFont val="Arial, sans-serif"/>
        <color rgb="FF1155CC"/>
        <sz val="11.0"/>
        <u/>
      </rPr>
      <t>4 abr 2024</t>
    </r>
  </si>
  <si>
    <t>Estas son las empresas que más CO2 emiten a la atmósfera en todo el mundo (y una es española)</t>
  </si>
  <si>
    <t>Son responsables del calor letal, el clima extremo y la contaminación del aire que amenaza vidas y causa estragos en nuestros océanos y bosques.</t>
  </si>
  <si>
    <t>These are the companies that emit the most CO2 into the atmosphere worldwide (and one is Spanish)</t>
  </si>
  <si>
    <t>They are responsible for deadly heat, extreme weather and air pollution that threatens lives and wreaks havoc on our oceans and forests.</t>
  </si>
  <si>
    <t>Repsol emissions, climate impact</t>
  </si>
  <si>
    <t>Emisiones Repsol, impacto climático</t>
  </si>
  <si>
    <t>Being labeled as a major polluter could damage Repsol’s environmental reputation.</t>
  </si>
  <si>
    <t>CO2, emiten</t>
  </si>
  <si>
    <t>Direct negative attribution to Repsol.</t>
  </si>
  <si>
    <t>Atribución negativa directa a Repsol.</t>
  </si>
  <si>
    <r>
      <rPr>
        <rFont val="Arial, sans-serif"/>
        <color rgb="FF1155CC"/>
        <sz val="9.0"/>
        <u/>
      </rPr>
      <t>UNMSM</t>
    </r>
    <r>
      <rPr>
        <rFont val="Arial, sans-serif"/>
        <color rgb="FF1155CC"/>
        <sz val="15.0"/>
        <u/>
      </rPr>
      <t>Empresa Repsol dona un sedimentador didáctico a la Facultad de Química e Ingeniería Química</t>
    </r>
    <r>
      <rPr>
        <rFont val="Arial, sans-serif"/>
        <color rgb="FF1155CC"/>
        <sz val="11.0"/>
        <u/>
      </rPr>
      <t>Un sedimentador didáctico, que sirve para determinar tiempos de sedimentación de cualquier partícula, fue donado por la empresa Repsol a la Facultad de...</t>
    </r>
    <r>
      <rPr>
        <rFont val="Arial, sans-serif"/>
        <color rgb="FF1155CC"/>
        <sz val="12.0"/>
        <u/>
      </rPr>
      <t>.</t>
    </r>
    <r>
      <rPr>
        <rFont val="Arial, sans-serif"/>
        <color rgb="FF1155CC"/>
        <sz val="11.0"/>
        <u/>
      </rPr>
      <t>4 abr 2024</t>
    </r>
  </si>
  <si>
    <t>Repsol dona un sedimentador didáctico a la Facultad de Química e Ingeniería Química</t>
  </si>
  <si>
    <t>Un sedimentador didáctico, que sirve para determinar tiempos de sedimentación de cualquier partícula, fue donado por la empresa Repsol a la Facultad de....</t>
  </si>
  <si>
    <t>Repsol donates a teaching settler to the Faculty of Chemistry and Chemical Engineering</t>
  </si>
  <si>
    <t>A didactic settler, which is used to determine sedimentation times of any particle, was donated by the Repsol company to the Faculty of....</t>
  </si>
  <si>
    <t>Repsol corporate social responsibility, education</t>
  </si>
  <si>
    <t>Repsol responsabilidad social corporativa, educación</t>
  </si>
  <si>
    <t>Supporting educational initiatives strengthens Repsol’s reputation.</t>
  </si>
  <si>
    <t>dona, didáctico</t>
  </si>
  <si>
    <t>Positive CSR action.</t>
  </si>
  <si>
    <t>Acción positiva de RSC.</t>
  </si>
  <si>
    <r>
      <rPr>
        <rFont val="Arial, sans-serif"/>
        <color rgb="FF1155CC"/>
        <sz val="9.0"/>
        <u/>
      </rPr>
      <t>Infobae</t>
    </r>
    <r>
      <rPr>
        <rFont val="Arial, sans-serif"/>
        <color rgb="FF1155CC"/>
        <sz val="15.0"/>
        <u/>
      </rPr>
      <t>Chef colombiano arrasa en España con un exitoso plato de raviolis de plátano con queso costeño</t>
    </r>
    <r>
      <rPr>
        <rFont val="Arial, sans-serif"/>
        <color rgb="FF1155CC"/>
        <sz val="11.0"/>
        <u/>
      </rPr>
      <t>El restaurante ha cautivado tanto el paladar de los españoles, que recientemente recibió una distinción como uno de los mejores centros gastronómicos del...</t>
    </r>
    <r>
      <rPr>
        <rFont val="Arial, sans-serif"/>
        <color rgb="FF1155CC"/>
        <sz val="12.0"/>
        <u/>
      </rPr>
      <t>.</t>
    </r>
    <r>
      <rPr>
        <rFont val="Arial, sans-serif"/>
        <color rgb="FF1155CC"/>
        <sz val="11.0"/>
        <u/>
      </rPr>
      <t>4 abr 2024</t>
    </r>
  </si>
  <si>
    <t>Chef colombiano arrasa en España con un exitoso plato de raviolis de plátano con queso costeño</t>
  </si>
  <si>
    <t>El restaurante ha cautivado tanto el paladar de los españoles, que recientemente recibió una distinción como uno de los mejores centros gastronómicos del....</t>
  </si>
  <si>
    <t>Colombian chef sweeps Spain with a successful dish of banana ravioli with coastal cheese</t>
  </si>
  <si>
    <t>The restaurant has so captivated the Spanish palate that it recently received a distinction as one of the best gastronomic centers in the...</t>
  </si>
  <si>
    <r>
      <rPr>
        <rFont val="Arial, sans-serif"/>
        <color rgb="FF1155CC"/>
        <sz val="9.0"/>
        <u/>
      </rPr>
      <t>Repsol</t>
    </r>
    <r>
      <rPr>
        <rFont val="Arial, sans-serif"/>
        <color rgb="FF1155CC"/>
        <sz val="15.0"/>
        <u/>
      </rPr>
      <t>Trabaja en la red de estaciones de servicio</t>
    </r>
    <r>
      <rPr>
        <rFont val="Arial, sans-serif"/>
        <color rgb="FF1155CC"/>
        <sz val="11.0"/>
        <u/>
      </rPr>
      <t>Forma parte del equipo de Repsol trabajando en nuestras estaciones de servicio o gasolineras. ¡No dudes en apuntarte y sumate!</t>
    </r>
    <r>
      <rPr>
        <rFont val="Arial, sans-serif"/>
        <color rgb="FF1155CC"/>
        <sz val="12.0"/>
        <u/>
      </rPr>
      <t>.</t>
    </r>
    <r>
      <rPr>
        <rFont val="Arial, sans-serif"/>
        <color rgb="FF1155CC"/>
        <sz val="11.0"/>
        <u/>
      </rPr>
      <t>5 abr 2024</t>
    </r>
  </si>
  <si>
    <t>Trabaja en la red de estaciones de servicio</t>
  </si>
  <si>
    <t>Forma parte del equipo de Repsol trabajando en nuestras estaciones de servicio o gasolineras. ¡No dudes en apuntarte y sumate!</t>
  </si>
  <si>
    <t>Work in the network of service stations</t>
  </si>
  <si>
    <t>Be part of the Repsol team working at our service stations or gas stations. Don't hesitate to sign up and join!</t>
  </si>
  <si>
    <t>Repsol hiring, employment opportunities</t>
  </si>
  <si>
    <t>Contratación Repsol, oportunidades laborales</t>
  </si>
  <si>
    <t>Employment opportunities enhance Repsol’s image as a stable employer.</t>
  </si>
  <si>
    <t>estaciones, servicio</t>
  </si>
  <si>
    <t>Neutral employment mention.</t>
  </si>
  <si>
    <t>Mención laboral neutral.</t>
  </si>
  <si>
    <r>
      <rPr>
        <rFont val="Arial, sans-serif"/>
        <color rgb="FF1155CC"/>
        <sz val="9.0"/>
        <u/>
      </rPr>
      <t>Estrategias de Inversión</t>
    </r>
    <r>
      <rPr>
        <rFont val="Arial, sans-serif"/>
        <color rgb="FF1155CC"/>
        <sz val="15.0"/>
        <u/>
      </rPr>
      <t>La petrolera Repsol goza de una tregua en bolsa por la guerra de Ucrania y Gaza</t>
    </r>
    <r>
      <rPr>
        <rFont val="Arial, sans-serif"/>
        <color rgb="FF1155CC"/>
        <sz val="11.0"/>
        <u/>
      </rPr>
      <t>Repsol está viviendo una inesperada luna de miel en bolsa gracias al aumento del precio del petróleo derivado de la guerra de Ucrania y Gaza.</t>
    </r>
    <r>
      <rPr>
        <rFont val="Arial, sans-serif"/>
        <color rgb="FF1155CC"/>
        <sz val="12.0"/>
        <u/>
      </rPr>
      <t>.</t>
    </r>
    <r>
      <rPr>
        <rFont val="Arial, sans-serif"/>
        <color rgb="FF1155CC"/>
        <sz val="11.0"/>
        <u/>
      </rPr>
      <t>5 abr 2024</t>
    </r>
  </si>
  <si>
    <t>La petrolera Repsol goza de una tregua en bolsa por la guerra de Ucrania y Gaza</t>
  </si>
  <si>
    <t>Repsol está viviendo una inesperada luna de miel en bolsa gracias al aumento del precio del petróleo derivado de la guerra de Ucrania y Gaza.</t>
  </si>
  <si>
    <t>The oil company Repsol enjoys a truce in the stock market due to the war in Ukraine and Gaza</t>
  </si>
  <si>
    <t>Repsol is experiencing an unexpected honeymoon in the stock market thanks to the increase in the price of oil derived from the war in Ukraine and Gaza.</t>
  </si>
  <si>
    <t>Repsol stock market performance, finance</t>
  </si>
  <si>
    <t>Evolución bursátil de Repsol, finanzas</t>
  </si>
  <si>
    <t>Positive market performance reinforces investor confidence.</t>
  </si>
  <si>
    <t>tregua, bolsa</t>
  </si>
  <si>
    <t>Positive market performance.</t>
  </si>
  <si>
    <t>Desempeño positivo del mercado.</t>
  </si>
  <si>
    <r>
      <rPr>
        <rFont val="Arial, sans-serif"/>
        <color rgb="FF1155CC"/>
        <sz val="9.0"/>
        <u/>
      </rPr>
      <t>Guía Repsol</t>
    </r>
    <r>
      <rPr>
        <rFont val="Arial, sans-serif"/>
        <color rgb="FF1155CC"/>
        <sz val="15.0"/>
        <u/>
      </rPr>
      <t>Dónde comer las mejores pizzas de los Soletes</t>
    </r>
    <r>
      <rPr>
        <rFont val="Arial, sans-serif"/>
        <color rgb="FF1155CC"/>
        <sz val="11.0"/>
        <u/>
      </rPr>
      <t>Masas de largas fermentaciones, estética industrial, productos del entorno. También algún que otro restaurante italiano que resiste durante décadas.</t>
    </r>
    <r>
      <rPr>
        <rFont val="Arial, sans-serif"/>
        <color rgb="FF1155CC"/>
        <sz val="12.0"/>
        <u/>
      </rPr>
      <t>.</t>
    </r>
    <r>
      <rPr>
        <rFont val="Arial, sans-serif"/>
        <color rgb="FF1155CC"/>
        <sz val="11.0"/>
        <u/>
      </rPr>
      <t>5 abr 2024</t>
    </r>
  </si>
  <si>
    <t>Dónde comer las mejores pizzas de los Soletes</t>
  </si>
  <si>
    <t>Masas de largas fermentaciones, estética industrial, productos del entorno. También algún que otro restaurante italiano que resiste durante décadas.</t>
  </si>
  <si>
    <t>Where to eat the best pizzas in Los Soletes</t>
  </si>
  <si>
    <t>Long fermentation masses, industrial aesthetics, products from the environment. Also the occasional Italian restaurant that has endured for decades.</t>
  </si>
  <si>
    <r>
      <rPr>
        <rFont val="Arial, sans-serif"/>
        <color rgb="FF1155CC"/>
        <sz val="9.0"/>
        <u/>
      </rPr>
      <t>Diario de Ferrol</t>
    </r>
    <r>
      <rPr>
        <rFont val="Arial, sans-serif"/>
        <color rgb="FF1155CC"/>
        <sz val="15.0"/>
        <u/>
      </rPr>
      <t>Repsol aborda con 100 alumnos del CIFP Ferrolterra los retos energéticos</t>
    </r>
    <r>
      <rPr>
        <rFont val="Arial, sans-serif"/>
        <color rgb="FF1155CC"/>
        <sz val="11.0"/>
        <u/>
      </rPr>
      <t>La directora del complejo industrial de Repsol en A Coruña, Natalia Barreiro, y la directora xeral de Formación Profesional de la Xunta, María Eugenia Pérez...</t>
    </r>
    <r>
      <rPr>
        <rFont val="Arial, sans-serif"/>
        <color rgb="FF1155CC"/>
        <sz val="12.0"/>
        <u/>
      </rPr>
      <t>.</t>
    </r>
    <r>
      <rPr>
        <rFont val="Arial, sans-serif"/>
        <color rgb="FF1155CC"/>
        <sz val="11.0"/>
        <u/>
      </rPr>
      <t>5 abr 2024</t>
    </r>
  </si>
  <si>
    <t>Diario de Ferrol</t>
  </si>
  <si>
    <t>Repsol aborda con 100 alumnos del CIFP Ferrolterra los retos energéticos</t>
  </si>
  <si>
    <t>La directora del complejo industrial de Repsol en A Coruña, Natalia Barreiro, y la directora xeral de Formación Profesional de la Xunta, María Eugenia Pérez....</t>
  </si>
  <si>
    <t>Repsol addresses energy challenges with 100 CIFP Ferrolterra students</t>
  </si>
  <si>
    <t>The director of the Repsol industrial complex in A Coruña, Natalia Barreiro, and the general director of Vocational Training of the Xunta, María Eugenia Pérez....</t>
  </si>
  <si>
    <t>Repsol research, energy innovation</t>
  </si>
  <si>
    <t>Investigación Repsol, innovación energética</t>
  </si>
  <si>
    <t>Investing in research strengthens Repsol’s role in energy innovation.</t>
  </si>
  <si>
    <t>alumnos, retos</t>
  </si>
  <si>
    <t>Positive educational engagement.</t>
  </si>
  <si>
    <t>Compromiso educativo positivo.</t>
  </si>
  <si>
    <r>
      <rPr>
        <rFont val="Arial, sans-serif"/>
        <color rgb="FF1155CC"/>
        <sz val="9.0"/>
        <u/>
      </rPr>
      <t>El Independiente</t>
    </r>
    <r>
      <rPr>
        <rFont val="Arial, sans-serif"/>
        <color rgb="FF1155CC"/>
        <sz val="15.0"/>
        <u/>
      </rPr>
      <t>La CNMC pone la lupa sobre la atención al cliente de Iberdrola, Endesa, Naturgy, EDP y Repsol</t>
    </r>
    <r>
      <rPr>
        <rFont val="Arial, sans-serif"/>
        <color rgb="FF1155CC"/>
        <sz val="11.0"/>
        <u/>
      </rPr>
      <t>El supervisor ha encargado un estudio que se centre en los canales online de las comercializadoras para garantizar una buena atención.</t>
    </r>
    <r>
      <rPr>
        <rFont val="Arial, sans-serif"/>
        <color rgb="FF1155CC"/>
        <sz val="12.0"/>
        <u/>
      </rPr>
      <t>.</t>
    </r>
    <r>
      <rPr>
        <rFont val="Arial, sans-serif"/>
        <color rgb="FF1155CC"/>
        <sz val="11.0"/>
        <u/>
      </rPr>
      <t>5 abr 2024</t>
    </r>
  </si>
  <si>
    <t>La CNMC pone la lupa sobre la atención al cliente de Iberdrola, Endesa, Naturgy, EDP y Repsol</t>
  </si>
  <si>
    <t>El supervisor ha encargado un estudio que se centre en los canales online de las comercializadoras para garantizar una buena atención.</t>
  </si>
  <si>
    <t>The CNMC puts the magnifying glass on the customer service of Iberdrola, Endesa, Naturgy, EDP and Repsol</t>
  </si>
  <si>
    <t>The supervisor has commissioned a study that focuses on the online channels of the marketers to guarantee good service.</t>
  </si>
  <si>
    <t>Regulatory oversight of customer service does not impact Repsol’s corporate perception.</t>
  </si>
  <si>
    <t>lupa, atención</t>
  </si>
  <si>
    <t>Regulatory scrutiny.</t>
  </si>
  <si>
    <t>Escrutinio regulatorio.</t>
  </si>
  <si>
    <r>
      <rPr>
        <rFont val="Arial, sans-serif"/>
        <color rgb="FF1155CC"/>
        <sz val="9.0"/>
        <u/>
      </rPr>
      <t>La Voz de Galicia</t>
    </r>
    <r>
      <rPr>
        <rFont val="Arial, sans-serif"/>
        <color rgb="FF1155CC"/>
        <sz val="15.0"/>
        <u/>
      </rPr>
      <t>Cómo la FP cambió la vida de Raúl a los 44 años: del paro a fichar por Repsol</t>
    </r>
    <r>
      <rPr>
        <rFont val="Arial, sans-serif"/>
        <color rgb="FF1155CC"/>
        <sz val="11.0"/>
        <u/>
      </rPr>
      <t>«Tengo 46 años, acabé FP con 44 y desde entonces estoy trabajando como operador de planta en la refinería de Repsol en A Coruña».</t>
    </r>
    <r>
      <rPr>
        <rFont val="Arial, sans-serif"/>
        <color rgb="FF1155CC"/>
        <sz val="12.0"/>
        <u/>
      </rPr>
      <t>.</t>
    </r>
    <r>
      <rPr>
        <rFont val="Arial, sans-serif"/>
        <color rgb="FF1155CC"/>
        <sz val="11.0"/>
        <u/>
      </rPr>
      <t>5 abr 2024</t>
    </r>
  </si>
  <si>
    <t>Cómo la FP cambió la vida de Raúl a los 44 años: del paro a fichar por Repsol</t>
  </si>
  <si>
    <t>«Tengo 46 años, acabé FP con 44 y desde entonces estoy trabajando como operador de planta en la refinería de Repsol en A Coruña».</t>
  </si>
  <si>
    <t>How FP changed Raúl's life at 44: from unemployment to signing for Repsol</t>
  </si>
  <si>
    <t>"I am 46 years old, I finished FP when I was 44 and since then I have been working as a plant operator at the Repsol refinery in A Coruña."</t>
  </si>
  <si>
    <t>Individual career success stories do not impact Repsol’s business.</t>
  </si>
  <si>
    <t>fichar, vida</t>
  </si>
  <si>
    <t>Positive employment story.</t>
  </si>
  <si>
    <t>Historia de empleo positiva.</t>
  </si>
  <si>
    <r>
      <rPr>
        <rFont val="Arial, sans-serif"/>
        <color rgb="FF1155CC"/>
        <sz val="9.0"/>
        <u/>
      </rPr>
      <t>La Crónica de Badajoz</t>
    </r>
    <r>
      <rPr>
        <rFont val="Arial, sans-serif"/>
        <color rgb="FF1155CC"/>
        <sz val="15.0"/>
        <u/>
      </rPr>
      <t>Cierra Dromo, restaurante de Badajoz con Sol Repsol</t>
    </r>
    <r>
      <rPr>
        <rFont val="Arial, sans-serif"/>
        <color rgb="FF1155CC"/>
        <sz val="11.0"/>
        <u/>
      </rPr>
      <t>«Es un parón para volver con más fuerza», dice el chef Juanma Salgado.</t>
    </r>
    <r>
      <rPr>
        <rFont val="Arial, sans-serif"/>
        <color rgb="FF1155CC"/>
        <sz val="12.0"/>
        <u/>
      </rPr>
      <t>.</t>
    </r>
    <r>
      <rPr>
        <rFont val="Arial, sans-serif"/>
        <color rgb="FF1155CC"/>
        <sz val="11.0"/>
        <u/>
      </rPr>
      <t>5 abr 2024</t>
    </r>
  </si>
  <si>
    <t>Cierra Dromo, restaurante de Badajoz con Sol Repsol</t>
  </si>
  <si>
    <t>«Es un parón para volver con más fuerza», dice el chef Juanma Salgado.</t>
  </si>
  <si>
    <t>Dromo, a restaurant in Badajoz with Sol Repsol, closes</t>
  </si>
  <si>
    <t>"It's a break to come back stronger," says chef Juanma Salgado.</t>
  </si>
  <si>
    <r>
      <rPr>
        <rFont val="Arial, sans-serif"/>
        <color rgb="FF1155CC"/>
        <sz val="9.0"/>
        <u/>
      </rPr>
      <t>Arquitectura y Diseño</t>
    </r>
    <r>
      <rPr>
        <rFont val="Arial, sans-serif"/>
        <color rgb="FF1155CC"/>
        <sz val="15.0"/>
        <u/>
      </rPr>
      <t>Así es el interiorismo de los nuevos restaurantes de la Guía Repsol en Madrid (y encontramos la tendencia que ARRASA en las casas este 2024)</t>
    </r>
    <r>
      <rPr>
        <rFont val="Arial, sans-serif"/>
        <color rgb="FF1155CC"/>
        <sz val="11.0"/>
        <u/>
      </rPr>
      <t>Gastronomía e interiorismo conviven en los nuevos puntos señalados por una de las guías referentes en gastronomía a nivel nacional.</t>
    </r>
    <r>
      <rPr>
        <rFont val="Arial, sans-serif"/>
        <color rgb="FF1155CC"/>
        <sz val="12.0"/>
        <u/>
      </rPr>
      <t>.</t>
    </r>
    <r>
      <rPr>
        <rFont val="Arial, sans-serif"/>
        <color rgb="FF1155CC"/>
        <sz val="11.0"/>
        <u/>
      </rPr>
      <t>5 abr 2024</t>
    </r>
  </si>
  <si>
    <t>Arquitectura y Diseño</t>
  </si>
  <si>
    <t>Así es el interiorismo de los nuevos restaurantes de la Guía Repsol en Madrid (y encontramos la tendencia que ARRASA en las casas este 2024)</t>
  </si>
  <si>
    <t>Gastronomía e interiorismo conviven en los nuevos puntos señalados por una de las guías referentes en gastronomía a nivel nacional.</t>
  </si>
  <si>
    <t>This is the interior design of the new restaurants in the Repsol Guide in Madrid (and we find the trend that is WIZARDING homes this 2024)</t>
  </si>
  <si>
    <t>Gastronomy and interior design coexist in the new points indicated by one of the leading gastronomy guides at the national level.</t>
  </si>
  <si>
    <r>
      <rPr>
        <rFont val="Arial, sans-serif"/>
        <color rgb="FF1155CC"/>
        <sz val="9.0"/>
        <u/>
      </rPr>
      <t>Diario de Pontevedra</t>
    </r>
    <r>
      <rPr>
        <rFont val="Arial, sans-serif"/>
        <color rgb="FF1155CC"/>
        <sz val="15.0"/>
        <u/>
      </rPr>
      <t>La gasolinera de O Burgo, pendiente de un recurso desde hace un año</t>
    </r>
    <r>
      <rPr>
        <rFont val="Arial, sans-serif"/>
        <color rgb="FF1155CC"/>
        <sz val="11.0"/>
        <u/>
      </rPr>
      <t>Repsol espera el pronunciamiento de Costas sobre la prórroga para la estación de servicio desde enero de 2023.</t>
    </r>
    <r>
      <rPr>
        <rFont val="Arial, sans-serif"/>
        <color rgb="FF1155CC"/>
        <sz val="12.0"/>
        <u/>
      </rPr>
      <t>.</t>
    </r>
    <r>
      <rPr>
        <rFont val="Arial, sans-serif"/>
        <color rgb="FF1155CC"/>
        <sz val="11.0"/>
        <u/>
      </rPr>
      <t>5 abr 2024</t>
    </r>
  </si>
  <si>
    <t>La gasolinera de O Burgo, pendiente de un recurso desde hace un año</t>
  </si>
  <si>
    <t>Repsol espera el pronunciamiento de Costas sobre la prórroga para la estación de servicio desde enero de 2023.</t>
  </si>
  <si>
    <t>The O Burgo gas station, pending an appeal for a year</t>
  </si>
  <si>
    <t>Repsol awaits Costas' ruling on the extension for the service station from January 2023.</t>
  </si>
  <si>
    <t>Repsol gas station, legal dispute</t>
  </si>
  <si>
    <t>Gasolinera Repsol, disputa judicial</t>
  </si>
  <si>
    <t>Uncertainty over gas station closures may impact local operations.</t>
  </si>
  <si>
    <t>pendiente, recurso</t>
  </si>
  <si>
    <t>Negative regulatory delay.</t>
  </si>
  <si>
    <t>Retraso regulatorio negativo.</t>
  </si>
  <si>
    <r>
      <rPr>
        <rFont val="Arial, sans-serif"/>
        <color rgb="FF1155CC"/>
        <sz val="9.0"/>
        <u/>
      </rPr>
      <t>MurciaEconomía.com</t>
    </r>
    <r>
      <rPr>
        <rFont val="Arial, sans-serif"/>
        <color rgb="FF1155CC"/>
        <sz val="15.0"/>
        <u/>
      </rPr>
      <t>La asturiana Duro Felguera estrena delegación en Cartagena y refuerza su compromiso con la Región</t>
    </r>
    <r>
      <rPr>
        <rFont val="Arial, sans-serif"/>
        <color rgb="FF1155CC"/>
        <sz val="11.0"/>
        <u/>
      </rPr>
      <t>Este movimiento estratégico llega en un momento crucial para Duro Felguera, que tras años dedicados casi en exclusiva a grandes proyectos EPC,...</t>
    </r>
    <r>
      <rPr>
        <rFont val="Arial, sans-serif"/>
        <color rgb="FF1155CC"/>
        <sz val="12.0"/>
        <u/>
      </rPr>
      <t>.</t>
    </r>
    <r>
      <rPr>
        <rFont val="Arial, sans-serif"/>
        <color rgb="FF1155CC"/>
        <sz val="11.0"/>
        <u/>
      </rPr>
      <t>5 abr 2024</t>
    </r>
  </si>
  <si>
    <t>La asturiana Duro Felguera estrena delegación en Cartagena y refuerza su compromiso con la Región</t>
  </si>
  <si>
    <t>Este movimiento estratégico llega en un momento crucial para Duro Felguera, que tras años dedicados casi en exclusiva a grandes proyectos EPC,....</t>
  </si>
  <si>
    <t>The Asturian Duro Felguera opens a delegation in Cartagena and reinforces its commitment to the Region</t>
  </si>
  <si>
    <t>This strategic move comes at a crucial moment for Duro Felguera, which after years dedicated almost exclusively to large EPC projects,...</t>
  </si>
  <si>
    <r>
      <rPr>
        <rFont val="Arial, sans-serif"/>
        <color rgb="FF1155CC"/>
        <sz val="9.0"/>
        <u/>
      </rPr>
      <t>El Norte de Castilla</t>
    </r>
    <r>
      <rPr>
        <rFont val="Arial, sans-serif"/>
        <color rgb="FF1155CC"/>
        <sz val="15.0"/>
        <u/>
      </rPr>
      <t>La Fiscalía investiga la contaminación de parcelas por una fuga de combustible en Pago la Barca</t>
    </r>
    <r>
      <rPr>
        <rFont val="Arial, sans-serif"/>
        <color rgb="FF1155CC"/>
        <sz val="11.0"/>
        <u/>
      </rPr>
      <t>La CHD ya ha inspeccionado el complejo residencial de lujo de Boecillo y ha abierto un expediente sancionador contra Repsol por una situación «muy grave»</t>
    </r>
    <r>
      <rPr>
        <rFont val="Arial, sans-serif"/>
        <color rgb="FF1155CC"/>
        <sz val="12.0"/>
        <u/>
      </rPr>
      <t>.</t>
    </r>
    <r>
      <rPr>
        <rFont val="Arial, sans-serif"/>
        <color rgb="FF1155CC"/>
        <sz val="11.0"/>
        <u/>
      </rPr>
      <t>5 abr 2024</t>
    </r>
  </si>
  <si>
    <t>El Norte de Castilla</t>
  </si>
  <si>
    <t>La Fiscalía investiga la contaminación de parcelas por una fuga de combustible en Pago la Barca</t>
  </si>
  <si>
    <t>La CHD ya ha inspeccionado el complejo residencial de lujo de Boecillo y ha abierto un expediente sancionador contra Repsol por una situación «muy grave».</t>
  </si>
  <si>
    <t>The Prosecutor's Office investigates the contamination of plots due to a fuel leak in Pago la Barca</t>
  </si>
  <si>
    <t>The CHD has already inspected the Boecillo luxury residential complex and has opened a disciplinary file against Repsol for a "very serious" situation.</t>
  </si>
  <si>
    <t>Local environmental cases do not impact Repsol’s corporate perception.</t>
  </si>
  <si>
    <t>contaminación, fuga</t>
  </si>
  <si>
    <t>Negative environmental incident.</t>
  </si>
  <si>
    <t>Incidente ambiental negativo.</t>
  </si>
  <si>
    <r>
      <rPr>
        <rFont val="Arial, sans-serif"/>
        <color rgb="FF1155CC"/>
        <sz val="9.0"/>
        <u/>
      </rPr>
      <t>Diario de Avisos</t>
    </r>
    <r>
      <rPr>
        <rFont val="Arial, sans-serif"/>
        <color rgb="FF1155CC"/>
        <sz val="15.0"/>
        <u/>
      </rPr>
      <t>Pedro Nel y Viviana Sarria celebran la concesión de los dos Soles Repsol</t>
    </r>
    <r>
      <rPr>
        <rFont val="Arial, sans-serif"/>
        <color rgb="FF1155CC"/>
        <sz val="11.0"/>
        <u/>
      </rPr>
      <t>Pedro Nel Restrepo y su esposa Viviana Sarria, copropietarios del Etéreo, viven emocionados tras la concesión de los Dos Soles de la Guía Repsol a su...</t>
    </r>
    <r>
      <rPr>
        <rFont val="Arial, sans-serif"/>
        <color rgb="FF1155CC"/>
        <sz val="12.0"/>
        <u/>
      </rPr>
      <t>.</t>
    </r>
    <r>
      <rPr>
        <rFont val="Arial, sans-serif"/>
        <color rgb="FF1155CC"/>
        <sz val="11.0"/>
        <u/>
      </rPr>
      <t>5 abr 2024</t>
    </r>
  </si>
  <si>
    <t>Pedro Nel y Viviana Sarria celebran la concesión de los dos Soles Repsol</t>
  </si>
  <si>
    <t>Pedro Nel Restrepo y su esposa Viviana Sarria, copropietarios del Etéreo, viven emocionados tras la concesión de los Dos Soles de la Guía Repsol a su....</t>
  </si>
  <si>
    <t>Pedro Nel and Viviana Sarria celebrate the award of the two Repsol Suns</t>
  </si>
  <si>
    <t>Pedro Nel Restrepo and his wife Viviana Sarria, co-owners of the Etéreo, are excited after the award of the Two Suns from the Repsol Guide to their...</t>
  </si>
  <si>
    <r>
      <rPr>
        <rFont val="Arial, sans-serif"/>
        <color rgb="FF1155CC"/>
        <sz val="9.0"/>
        <u/>
      </rPr>
      <t>Valencia Secreta</t>
    </r>
    <r>
      <rPr>
        <rFont val="Arial, sans-serif"/>
        <color rgb="FF1155CC"/>
        <sz val="15.0"/>
        <u/>
      </rPr>
      <t>Cuina Oberta 2024: menús desde 28 euros en los mejores restaurantes de Valencia</t>
    </r>
    <r>
      <rPr>
        <rFont val="Arial, sans-serif"/>
        <color rgb="FF1155CC"/>
        <sz val="11.0"/>
        <u/>
      </rPr>
      <t>El festival gastronómico Cuina Oberta regresa esta primavera a Valencia con menús especiales en espacios con estrellas Michelin y Soles Repsol.</t>
    </r>
    <r>
      <rPr>
        <rFont val="Arial, sans-serif"/>
        <color rgb="FF1155CC"/>
        <sz val="12.0"/>
        <u/>
      </rPr>
      <t>.</t>
    </r>
    <r>
      <rPr>
        <rFont val="Arial, sans-serif"/>
        <color rgb="FF1155CC"/>
        <sz val="11.0"/>
        <u/>
      </rPr>
      <t>5 abr 2024</t>
    </r>
  </si>
  <si>
    <t>Cuina Oberta 2024: menús desde 28 euros en los mejores restaurantes de Valencia</t>
  </si>
  <si>
    <t>El festival gastronómico Cuina Oberta regresa esta primavera a Valencia con menús especiales en espacios con estrellas Michelin y Soles Repsol.</t>
  </si>
  <si>
    <t>Cuina Oberta 2024: menus from 28 euros in the best restaurants in Valencia</t>
  </si>
  <si>
    <t>The Cuina Oberta gastronomic festival returns to Valencia this spring with special menus in spaces with Michelin stars and Soles Repsol.</t>
  </si>
  <si>
    <r>
      <rPr>
        <rFont val="Arial, sans-serif"/>
        <color rgb="FF1155CC"/>
        <sz val="9.0"/>
        <u/>
      </rPr>
      <t>MOTOSAN</t>
    </r>
    <r>
      <rPr>
        <rFont val="Arial, sans-serif"/>
        <color rgb="FF1155CC"/>
        <sz val="15.0"/>
        <u/>
      </rPr>
      <t>Oscar Haro: "Rossi y Ezpeleta han hecho un trabajo increíble"</t>
    </r>
    <r>
      <rPr>
        <rFont val="Arial, sans-serif"/>
        <color rgb="FF1155CC"/>
        <sz val="11.0"/>
        <u/>
      </rPr>
      <t>El director del equipo Honda LCR ha alabado el enfoque proactivo de Dorna y los pilotos hacia la seguridad y el crecimiento del deporte. Oscar Haro, una.</t>
    </r>
    <r>
      <rPr>
        <rFont val="Arial, sans-serif"/>
        <color rgb="FF1155CC"/>
        <sz val="12.0"/>
        <u/>
      </rPr>
      <t>.</t>
    </r>
    <r>
      <rPr>
        <rFont val="Arial, sans-serif"/>
        <color rgb="FF1155CC"/>
        <sz val="11.0"/>
        <u/>
      </rPr>
      <t>5 abr 2024</t>
    </r>
  </si>
  <si>
    <t>MOTOSA</t>
  </si>
  <si>
    <t>Oscar Haro: "Rossi y Ezpeleta han hecho un trabajo increíble"</t>
  </si>
  <si>
    <t>El director del equipo Honda LCR ha alabado el enfoque proactivo de Dorna y los pilotos hacia la seguridad y el crecimiento del deporte. Oscar Haro, una..</t>
  </si>
  <si>
    <t>Oscar Haro: "Rossi and Ezpeleta have done an incredible job"</t>
  </si>
  <si>
    <t>The Honda LCR team manager has praised Dorna and the riders' proactive approach to safety and the growth of the sport. Oscar Haro, a..</t>
  </si>
  <si>
    <r>
      <rPr>
        <rFont val="Arial, sans-serif"/>
        <color rgb="FF1155CC"/>
        <sz val="9.0"/>
        <u/>
      </rPr>
      <t>Confidencial Digital</t>
    </r>
    <r>
      <rPr>
        <rFont val="Arial, sans-serif"/>
        <color rgb="FF1155CC"/>
        <sz val="15.0"/>
        <u/>
      </rPr>
      <t>Los problemas de carga de coches eléctricos en la A-3 se repetirán en el puente de mayo</t>
    </r>
    <r>
      <rPr>
        <rFont val="Arial, sans-serif"/>
        <color rgb="FF1155CC"/>
        <sz val="11.0"/>
        <u/>
      </rPr>
      <t>Un informe asegura que el 70% de los puntos de repostaje en España son muy lentos o están en mal estado.</t>
    </r>
    <r>
      <rPr>
        <rFont val="Arial, sans-serif"/>
        <color rgb="FF1155CC"/>
        <sz val="12.0"/>
        <u/>
      </rPr>
      <t>.</t>
    </r>
    <r>
      <rPr>
        <rFont val="Arial, sans-serif"/>
        <color rgb="FF1155CC"/>
        <sz val="11.0"/>
        <u/>
      </rPr>
      <t>5 abr 2024</t>
    </r>
  </si>
  <si>
    <t>Los problemas de carga de coches eléctricos en la A-3 se repetirán en el puente de mayo</t>
  </si>
  <si>
    <t>Un informe asegura que el 70% de los puntos de repostaje en España son muy lentos o están en mal estado.</t>
  </si>
  <si>
    <t>Electric car charging problems on the A-3 will be repeated on the May long weekend</t>
  </si>
  <si>
    <t>A report claims that 70% of refueling points in Spain are very slow or in poor condition.</t>
  </si>
  <si>
    <t>Charging infrastructure issues do not impact Repsol’s corporate perception.</t>
  </si>
  <si>
    <r>
      <rPr>
        <rFont val="Arial, sans-serif"/>
        <color rgb="FF1155CC"/>
        <sz val="9.0"/>
        <u/>
      </rPr>
      <t>Guía Repsol</t>
    </r>
    <r>
      <rPr>
        <rFont val="Arial, sans-serif"/>
        <color rgb="FF1155CC"/>
        <sz val="15.0"/>
        <u/>
      </rPr>
      <t>Los mejores talleres de céramica en Madrid que atraen a los millennials</t>
    </r>
    <r>
      <rPr>
        <rFont val="Arial, sans-serif"/>
        <color rgb="FF1155CC"/>
        <sz val="11.0"/>
        <u/>
      </rPr>
      <t>Puede que tras la pandemia se haya buscado un hobby o profesión slow y que conecte más con la naturaleza pero, la verdad es que los espacios para aprender...</t>
    </r>
    <r>
      <rPr>
        <rFont val="Arial, sans-serif"/>
        <color rgb="FF1155CC"/>
        <sz val="12.0"/>
        <u/>
      </rPr>
      <t>.</t>
    </r>
    <r>
      <rPr>
        <rFont val="Arial, sans-serif"/>
        <color rgb="FF1155CC"/>
        <sz val="11.0"/>
        <u/>
      </rPr>
      <t>5 abr 2024</t>
    </r>
  </si>
  <si>
    <t>Los mejores talleres de céramica en Madrid que atraen a los millennials</t>
  </si>
  <si>
    <t>Puede que tras la pandemia se haya buscado un hobby o profesión slow y que conecte más con la naturaleza pero, la verdad es que los espacios para aprender....</t>
  </si>
  <si>
    <t>The best ceramic workshops in Madrid that attract millennials</t>
  </si>
  <si>
    <t>After the pandemic, people may have looked for a slow hobby or profession that connects more with nature, but the truth is that spaces to learn...</t>
  </si>
  <si>
    <r>
      <rPr>
        <rFont val="Arial, sans-serif"/>
        <color rgb="FF1155CC"/>
        <sz val="9.0"/>
        <u/>
      </rPr>
      <t>El Periódico de España</t>
    </r>
    <r>
      <rPr>
        <rFont val="Arial, sans-serif"/>
        <color rgb="FF1155CC"/>
        <sz val="15.0"/>
        <u/>
      </rPr>
      <t>Un frente del Atlántico llegará este domingo a la Península y provocará un descenso de las temperaturas</t>
    </r>
    <r>
      <rPr>
        <rFont val="Arial, sans-serif"/>
        <color rgb="FF1155CC"/>
        <sz val="11.0"/>
        <u/>
      </rPr>
      <t>En el área del Mediterráneo temperaturas subirán ligeramente, con Palma, Almería y Lleida rozando los 30 grados.</t>
    </r>
    <r>
      <rPr>
        <rFont val="Arial, sans-serif"/>
        <color rgb="FF1155CC"/>
        <sz val="12.0"/>
        <u/>
      </rPr>
      <t>.</t>
    </r>
    <r>
      <rPr>
        <rFont val="Arial, sans-serif"/>
        <color rgb="FF1155CC"/>
        <sz val="11.0"/>
        <u/>
      </rPr>
      <t>6 abr 2024</t>
    </r>
  </si>
  <si>
    <t>Un frente del Atlántico llegará este domingo a la Península y provocará un descenso de las temperaturas</t>
  </si>
  <si>
    <t>En el área del Mediterráneo temperaturas subirán ligeramente, con Palma, Almería y Lleida rozando los 30 grados.</t>
  </si>
  <si>
    <t>An Atlantic front will arrive on the Peninsula this Sunday and will cause a drop in temperatures</t>
  </si>
  <si>
    <t>In the Mediterranean area temperatures will rise slightly, with Palma, Almería and Lleida touching 30 degrees.</t>
  </si>
  <si>
    <t>Weather</t>
  </si>
  <si>
    <r>
      <rPr>
        <rFont val="Arial, sans-serif"/>
        <color rgb="FF1155CC"/>
        <sz val="9.0"/>
        <u/>
      </rPr>
      <t>La Opinión de Murcia</t>
    </r>
    <r>
      <rPr>
        <rFont val="Arial, sans-serif"/>
        <color rgb="FF1155CC"/>
        <sz val="15.0"/>
        <u/>
      </rPr>
      <t>Puertos Green&amp;Blue: Un mar de oportunidades en el puerto de Cartagena</t>
    </r>
    <r>
      <rPr>
        <rFont val="Arial, sans-serif"/>
        <color rgb="FF1155CC"/>
        <sz val="11.0"/>
        <u/>
      </rPr>
      <t>Empresas logísticas y energéticas analizan junto a la Autoridad Portuaria la transformación sostenible en biocombustibles y graneles sólidos.</t>
    </r>
    <r>
      <rPr>
        <rFont val="Arial, sans-serif"/>
        <color rgb="FF1155CC"/>
        <sz val="12.0"/>
        <u/>
      </rPr>
      <t>.</t>
    </r>
    <r>
      <rPr>
        <rFont val="Arial, sans-serif"/>
        <color rgb="FF1155CC"/>
        <sz val="11.0"/>
        <u/>
      </rPr>
      <t>6 abr 2024</t>
    </r>
  </si>
  <si>
    <t>Puertos Green&amp;Blue: Un mar de oportunidades en el puerto de Cartagena</t>
  </si>
  <si>
    <t>Empresas logísticas y energéticas analizan junto a la Autoridad Portuaria la transformación sostenible en biocombustibles y graneles sólidos.</t>
  </si>
  <si>
    <t>Green&amp;Blue Ports: A sea of ​​opportunities in the port of Cartagena</t>
  </si>
  <si>
    <t>Logistics and energy companies analyze, together with the Port Authority, the sustainable transformation into biofuels and solid bulk.</t>
  </si>
  <si>
    <t>General discussions on sustainability do not directly impact Repsol’s perception.</t>
  </si>
  <si>
    <r>
      <rPr>
        <rFont val="Arial, sans-serif"/>
        <color rgb="FF1155CC"/>
        <sz val="9.0"/>
        <u/>
      </rPr>
      <t>El Mundo</t>
    </r>
    <r>
      <rPr>
        <rFont val="Arial, sans-serif"/>
        <color rgb="FF1155CC"/>
        <sz val="15.0"/>
        <u/>
      </rPr>
      <t>Los sueldos de los jóvenes en las empresas del Ibex suben un 20% desde 2019, pero siguen cobrando 30.000 euros menos que los mayores de 50</t>
    </r>
    <r>
      <rPr>
        <rFont val="Arial, sans-serif"/>
        <color rgb="FF1155CC"/>
        <sz val="11.0"/>
        <u/>
      </rPr>
      <t>Los sueldos de los jóvenes que trabajan en las empresas del Ibex 35 han subido un 20% desde 2019, hasta quedar por encima de los 32.000 euros de media.</t>
    </r>
    <r>
      <rPr>
        <rFont val="Arial, sans-serif"/>
        <color rgb="FF1155CC"/>
        <sz val="12.0"/>
        <u/>
      </rPr>
      <t>.</t>
    </r>
    <r>
      <rPr>
        <rFont val="Arial, sans-serif"/>
        <color rgb="FF1155CC"/>
        <sz val="11.0"/>
        <u/>
      </rPr>
      <t>6 abr 2024</t>
    </r>
  </si>
  <si>
    <t>Los sueldos de los jóvenes en las empresas del Ibex suben un 20% desde 2019, pero siguen cobrando 30.000 euros menos que los mayores de 50</t>
  </si>
  <si>
    <t>Los sueldos de los jóvenes que trabajan en las empresas del Ibex 35 han subido un 20% desde 2019, hasta quedar por encima de los 32.000 euros de media.</t>
  </si>
  <si>
    <t>The salaries of young people in Ibex companies have risen 20% since 2019, but they continue to earn 30,000 euros less than those over 50</t>
  </si>
  <si>
    <t>The salaries of young people who work in Ibex 35 companies have risen 20% since 2019, reaching above 32,000 euros on average.</t>
  </si>
  <si>
    <t>Employment</t>
  </si>
  <si>
    <r>
      <rPr>
        <rFont val="Arial, sans-serif"/>
        <color rgb="FF1155CC"/>
        <sz val="9.0"/>
        <u/>
      </rPr>
      <t>Cinco Días</t>
    </r>
    <r>
      <rPr>
        <rFont val="Arial, sans-serif"/>
        <color rgb="FF1155CC"/>
        <sz val="15.0"/>
        <u/>
      </rPr>
      <t>Inditex, Santander y BBVA, los grandes valores que pueden tirar del Ibex</t>
    </r>
    <r>
      <rPr>
        <rFont val="Arial, sans-serif"/>
        <color rgb="FF1155CC"/>
        <sz val="11.0"/>
        <u/>
      </rPr>
      <t>El Ibex 35 de la Bolsa española avanza en lo que va de año cerca de un 8% y después del buen comportamiento del pasado ejercicio y pese al traspié de este...</t>
    </r>
    <r>
      <rPr>
        <rFont val="Arial, sans-serif"/>
        <color rgb="FF1155CC"/>
        <sz val="12.0"/>
        <u/>
      </rPr>
      <t>.</t>
    </r>
    <r>
      <rPr>
        <rFont val="Arial, sans-serif"/>
        <color rgb="FF1155CC"/>
        <sz val="11.0"/>
        <u/>
      </rPr>
      <t>6 abr 2024</t>
    </r>
  </si>
  <si>
    <t>Inditex, Santander y BBVA, los grandes valores que pueden tirar del Ibex</t>
  </si>
  <si>
    <t>El Ibex 35 de la Bolsa española avanza en lo que va de año cerca de un 8% y después del buen comportamiento del pasado ejercicio y pese al traspié de este.</t>
  </si>
  <si>
    <t>Inditex, Santander and BBVA, the great values ​​that can boost the Ibex</t>
  </si>
  <si>
    <t>The Ibex 35 of the Spanish Stock Market has advanced nearly 8% so far this year and after the good performance of last year and despite this setback.</t>
  </si>
  <si>
    <r>
      <rPr>
        <rFont val="Arial, sans-serif"/>
        <color rgb="FF1155CC"/>
        <sz val="9.0"/>
        <u/>
      </rPr>
      <t>El Independiente</t>
    </r>
    <r>
      <rPr>
        <rFont val="Arial, sans-serif"/>
        <color rgb="FF1155CC"/>
        <sz val="15.0"/>
        <u/>
      </rPr>
      <t>Estos son los siete avances que demuestran la importancia de la investigación médica para transformar la salud</t>
    </r>
    <r>
      <rPr>
        <rFont val="Arial, sans-serif"/>
        <color rgb="FF1155CC"/>
        <sz val="11.0"/>
        <u/>
      </rPr>
      <t>La cura de la hepatitis C, la terapia génica, las terapias CAR-T, los nuevos tratamiento antirretroviral para el Vih, los implantes cocleares, la.</t>
    </r>
    <r>
      <rPr>
        <rFont val="Arial, sans-serif"/>
        <color rgb="FF1155CC"/>
        <sz val="12.0"/>
        <u/>
      </rPr>
      <t>.</t>
    </r>
    <r>
      <rPr>
        <rFont val="Arial, sans-serif"/>
        <color rgb="FF1155CC"/>
        <sz val="11.0"/>
        <u/>
      </rPr>
      <t>6 abr 2024</t>
    </r>
  </si>
  <si>
    <t>Estos son los siete avances que demuestran la importancia de la investigación médica para transformar la salud</t>
  </si>
  <si>
    <t>La cura de la hepatitis C, la terapia génica, las terapias CAR-T, los nuevos tratamientos antirretroviral para el VIH, los implantes cocleares, la..</t>
  </si>
  <si>
    <t>These are the seven advances that demonstrate the importance of medical research to transform health</t>
  </si>
  <si>
    <t>The cure for hepatitis C, gene therapy, CAR-T therapies, new antiretroviral treatments for HIV, cochlear implants,...</t>
  </si>
  <si>
    <t>Science</t>
  </si>
  <si>
    <r>
      <rPr>
        <rFont val="Arial, sans-serif"/>
        <color rgb="FF1155CC"/>
        <sz val="9.0"/>
        <u/>
      </rPr>
      <t>La República</t>
    </r>
    <r>
      <rPr>
        <rFont val="Arial, sans-serif"/>
        <color rgb="FF1155CC"/>
        <sz val="15.0"/>
        <u/>
      </rPr>
      <t>Venezuela y EE. UU. juntos: PDVSA y Chevron inician plan para incrementar producción de petróleo</t>
    </r>
    <r>
      <rPr>
        <rFont val="Arial, sans-serif"/>
        <color rgb="FF1155CC"/>
        <sz val="11.0"/>
        <u/>
      </rPr>
      <t>PDVSA y la empresa estadounidense Chevron anunciaron la activación del primer pozo petrolero, de los 17 que forman parte de su sociedad estratégica,...</t>
    </r>
    <r>
      <rPr>
        <rFont val="Arial, sans-serif"/>
        <color rgb="FF1155CC"/>
        <sz val="12.0"/>
        <u/>
      </rPr>
      <t>.</t>
    </r>
    <r>
      <rPr>
        <rFont val="Arial, sans-serif"/>
        <color rgb="FF1155CC"/>
        <sz val="11.0"/>
        <u/>
      </rPr>
      <t>6 abr 2024</t>
    </r>
  </si>
  <si>
    <t>Venezuela y EE. UU. juntos: PDVSA y Chevron inician plan para incrementar producción de petróleo</t>
  </si>
  <si>
    <t>PDVSA y la empresa estadounidense Chevron anunciaron la activación del primer pozo petrolero, de los 17 que forman parte de su sociedad estratégica,....</t>
  </si>
  <si>
    <t>Venezuela and the US together: PDVSA and Chevron begin a plan to increase oil production</t>
  </si>
  <si>
    <t>PDVSA and the American company Chevron announced the activation of the first oil well, of the 17 that are part of their strategic partnership,...</t>
  </si>
  <si>
    <t>Agreements between other oil companies do not impact Repsol’s corporate perception.</t>
  </si>
  <si>
    <r>
      <rPr>
        <rFont val="Arial, sans-serif"/>
        <color rgb="FF1155CC"/>
        <sz val="9.0"/>
        <u/>
      </rPr>
      <t>Relevo</t>
    </r>
    <r>
      <rPr>
        <rFont val="Arial, sans-serif"/>
        <color rgb="FF1155CC"/>
        <sz val="15.0"/>
        <u/>
      </rPr>
      <t>Los años dorados de Honda HRC o cuando todos querían pilotar para el Real Madrid o Barça del motociclismo</t>
    </r>
    <r>
      <rPr>
        <rFont val="Arial, sans-serif"/>
        <color rgb="FF1155CC"/>
        <sz val="11.0"/>
        <u/>
      </rPr>
      <t>La estructura oficial de los japoneses, patrocinada por Repsol, ha pasado de referente a sufrir para acercarse a las fábricas europeas.</t>
    </r>
    <r>
      <rPr>
        <rFont val="Arial, sans-serif"/>
        <color rgb="FF1155CC"/>
        <sz val="12.0"/>
        <u/>
      </rPr>
      <t>.</t>
    </r>
    <r>
      <rPr>
        <rFont val="Arial, sans-serif"/>
        <color rgb="FF1155CC"/>
        <sz val="11.0"/>
        <u/>
      </rPr>
      <t>7 abr 2024</t>
    </r>
  </si>
  <si>
    <t>Los años dorados de Honda HRC o cuando todos querían pilotar para el Real Madrid o Barça del motociclismo</t>
  </si>
  <si>
    <t>La estructura oficial de los japoneses, patrocinada por Repsol, ha pasado de referente a sufrir para acercarse a las fábricas europeas.</t>
  </si>
  <si>
    <t>The golden years of Honda HRC or when everyone wanted to ride for Real Madrid or Barça in motorcycling</t>
  </si>
  <si>
    <t>The official structure of the Japanese, sponsored by Repsol, has gone from being a reference to suffering in order to get closer to European factories.</t>
  </si>
  <si>
    <r>
      <rPr>
        <rFont val="Arial, sans-serif"/>
        <color rgb="FF1155CC"/>
        <sz val="9.0"/>
        <u/>
      </rPr>
      <t>Diario de Avisos</t>
    </r>
    <r>
      <rPr>
        <rFont val="Arial, sans-serif"/>
        <color rgb="FF1155CC"/>
        <sz val="15.0"/>
        <u/>
      </rPr>
      <t>Babacar Fall: “Mi sueño es abrir una escuela de cocina en Senegal”</t>
    </r>
    <r>
      <rPr>
        <rFont val="Arial, sans-serif"/>
        <color rgb="FF1155CC"/>
        <sz val="11.0"/>
        <u/>
      </rPr>
      <t>El chef de Char Fuego y Brasas, que viene de un país donde los hombres no son bien vistos en la cocina, logra un Sol de la Guía Repsol en La Caleta de...</t>
    </r>
    <r>
      <rPr>
        <rFont val="Arial, sans-serif"/>
        <color rgb="FF1155CC"/>
        <sz val="12.0"/>
        <u/>
      </rPr>
      <t>.</t>
    </r>
    <r>
      <rPr>
        <rFont val="Arial, sans-serif"/>
        <color rgb="FF1155CC"/>
        <sz val="11.0"/>
        <u/>
      </rPr>
      <t>7 abr 2024</t>
    </r>
  </si>
  <si>
    <t>Babacar Fall: “Mi sueño es abrir una escuela de cocina en Senegal”</t>
  </si>
  <si>
    <t>El chef de Char Fuego y Brasas, que viene de un país donde los hombres no son bien vistos en la cocina, logra un Sol de la Guía Repsol en La Caleta de....</t>
  </si>
  <si>
    <t>Babacar Fall: “My dream is to open a cooking school in Senegal”</t>
  </si>
  <si>
    <t>The chef of Char Fuego y Brasas, who comes from a country where men are not well regarded in the kitchen, achieves a Sun from the Repsol Guide in La Caleta de....</t>
  </si>
  <si>
    <r>
      <rPr>
        <rFont val="Arial, sans-serif"/>
        <color rgb="FF1155CC"/>
        <sz val="9.0"/>
        <u/>
      </rPr>
      <t>Repsol</t>
    </r>
    <r>
      <rPr>
        <rFont val="Arial, sans-serif"/>
        <color rgb="FF1155CC"/>
        <sz val="15.0"/>
        <u/>
      </rPr>
      <t>5 diferencias entre híbrido e híbrido enchufable</t>
    </r>
    <r>
      <rPr>
        <rFont val="Arial, sans-serif"/>
        <color rgb="FF1155CC"/>
        <sz val="11.0"/>
        <u/>
      </rPr>
      <t>Conoce las principales diferencias entre coches híbridos y híbridos enchufables, y elige el que mejor se adapte a tus necesidades.</t>
    </r>
    <r>
      <rPr>
        <rFont val="Arial, sans-serif"/>
        <color rgb="FF1155CC"/>
        <sz val="12.0"/>
        <u/>
      </rPr>
      <t>.</t>
    </r>
    <r>
      <rPr>
        <rFont val="Arial, sans-serif"/>
        <color rgb="FF1155CC"/>
        <sz val="11.0"/>
        <u/>
      </rPr>
      <t>7 abr 2024</t>
    </r>
  </si>
  <si>
    <t>5 diferencias entre híbrido e híbrido enchufable</t>
  </si>
  <si>
    <t>Conoce las principales diferencias entre coches híbridos y híbridos enchufables, y elige el que mejor se adapte a tus necesidades.</t>
  </si>
  <si>
    <t>5 differences between hybrid and plug-in hybrid</t>
  </si>
  <si>
    <t>Learn the main differences between hybrid and plug-in hybrid cars, and choose the one that best suits your needs.</t>
  </si>
  <si>
    <r>
      <rPr>
        <rFont val="Arial, sans-serif"/>
        <color rgb="FF1155CC"/>
        <sz val="9.0"/>
        <u/>
      </rPr>
      <t>Automovilismo Canario</t>
    </r>
    <r>
      <rPr>
        <rFont val="Arial, sans-serif"/>
        <color rgb="FF1155CC"/>
        <sz val="15.0"/>
        <u/>
      </rPr>
      <t>Isidre Esteve logra un gran resultado en el inicio de su preparación para el Dakar 2025</t>
    </r>
    <r>
      <rPr>
        <rFont val="Arial, sans-serif"/>
        <color rgb="FF1155CC"/>
        <sz val="11.0"/>
        <u/>
      </rPr>
      <t>El Repsol Toyota Rally Team completa un Rally Raid de Portugal sobresaliente y concluye 9º de la categoría reina (Ultimate).</t>
    </r>
    <r>
      <rPr>
        <rFont val="Arial, sans-serif"/>
        <color rgb="FF1155CC"/>
        <sz val="12.0"/>
        <u/>
      </rPr>
      <t>.</t>
    </r>
    <r>
      <rPr>
        <rFont val="Arial, sans-serif"/>
        <color rgb="FF1155CC"/>
        <sz val="11.0"/>
        <u/>
      </rPr>
      <t>7 abr 2024</t>
    </r>
  </si>
  <si>
    <t>Isidre Esteve logra un gran resultado en el inicio de su preparación para el Dakar 2025</t>
  </si>
  <si>
    <t>El Repsol Toyota Rally Team completa un Rally Raid de Portugal sobresaliente y concluye 9º de la categoría reina (Ultimate).</t>
  </si>
  <si>
    <t>Isidre Esteve achieves a great result at the beginning of his preparation for the Dakar 2025</t>
  </si>
  <si>
    <t>The Repsol Toyota Rally Team completes an outstanding Rally Raid of Portugal and finishes 9th in the premier category (Ultimate).</t>
  </si>
  <si>
    <t>Repsol motorsport, Toyota Rally Team</t>
  </si>
  <si>
    <t>Repsol automovilismo, Toyota Rally Team</t>
  </si>
  <si>
    <t>Success in motorsports reinforces Repsol’s brand association.</t>
  </si>
  <si>
    <t>Dakar</t>
  </si>
  <si>
    <t>Neutral sports sponsorship.</t>
  </si>
  <si>
    <t>Patrocinio deportivo neutral.</t>
  </si>
  <si>
    <r>
      <rPr>
        <rFont val="Arial, sans-serif"/>
        <color rgb="FF1155CC"/>
        <sz val="9.0"/>
        <u/>
      </rPr>
      <t>El Economista</t>
    </r>
    <r>
      <rPr>
        <rFont val="Arial, sans-serif"/>
        <color rgb="FF1155CC"/>
        <sz val="15.0"/>
        <u/>
      </rPr>
      <t>Repsol lanza una ofensiva para ganar clientes de luz y gas con cien tiendas</t>
    </r>
    <r>
      <rPr>
        <rFont val="Arial, sans-serif"/>
        <color rgb="FF1155CC"/>
        <sz val="11.0"/>
        <u/>
      </rPr>
      <t>Repsol se prepara para seguir creciendo con fuerza en el sector eléctrico.</t>
    </r>
    <r>
      <rPr>
        <rFont val="Arial, sans-serif"/>
        <color rgb="FF1155CC"/>
        <sz val="12.0"/>
        <u/>
      </rPr>
      <t>.</t>
    </r>
    <r>
      <rPr>
        <rFont val="Arial, sans-serif"/>
        <color rgb="FF1155CC"/>
        <sz val="11.0"/>
        <u/>
      </rPr>
      <t>8 abr 2024</t>
    </r>
  </si>
  <si>
    <t>Repsol lanza una ofensiva para ganar clientes de luz y gas con cien tiendas</t>
  </si>
  <si>
    <t>Repsol se prepara para seguir creciendo con fuerza en el sector eléctrico.</t>
  </si>
  <si>
    <t>Repsol launches an offensive to win electricity and gas customers with one hundred stores</t>
  </si>
  <si>
    <t>Repsol is preparing to continue growing strongly in the electricity sector.</t>
  </si>
  <si>
    <t>Repsol electricity market, business expansion</t>
  </si>
  <si>
    <t>Mercado eléctrico Repsol, expansión empresarial</t>
  </si>
  <si>
    <t>Expanding into electricity enhances Repsol’s competitive positioning.</t>
  </si>
  <si>
    <t>ganar clientes</t>
  </si>
  <si>
    <t>Positive business expansion.</t>
  </si>
  <si>
    <t>Expansión empresarial positiva.</t>
  </si>
  <si>
    <r>
      <rPr>
        <rFont val="Arial, sans-serif"/>
        <color rgb="FF1155CC"/>
        <sz val="9.0"/>
        <u/>
      </rPr>
      <t>Diari de Tarragona</t>
    </r>
    <r>
      <rPr>
        <rFont val="Arial, sans-serif"/>
        <color rgb="FF1155CC"/>
        <sz val="15.0"/>
        <u/>
      </rPr>
      <t>Javier Sancho: «Estudiamos la posibilidad de alguna nueva planta en Tarragona»</t>
    </r>
    <r>
      <rPr>
        <rFont val="Arial, sans-serif"/>
        <color rgb="FF1155CC"/>
        <sz val="11.0"/>
        <u/>
      </rPr>
      <t>El complejo industrial de Repsol en Tarragona acaba de terminar la parada programada de mantenimiento de las unidades de OPSM y derivados del área de ...</t>
    </r>
    <r>
      <rPr>
        <rFont val="Arial, sans-serif"/>
        <color rgb="FF1155CC"/>
        <sz val="12.0"/>
        <u/>
      </rPr>
      <t>.</t>
    </r>
    <r>
      <rPr>
        <rFont val="Arial, sans-serif"/>
        <color rgb="FF1155CC"/>
        <sz val="11.0"/>
        <u/>
      </rPr>
      <t>8 abr 2024</t>
    </r>
  </si>
  <si>
    <t>Estudiamos la posibilidad de alguna nueva planta en Tarragona</t>
  </si>
  <si>
    <t>El complejo industrial de Repsol en Tarragona acaba de terminar la parada programada de mantenimiento de las unidades de OPSM y derivados del área de ....</t>
  </si>
  <si>
    <t>We study the possibility of a new plant in Tarragona</t>
  </si>
  <si>
    <t>The Repsol industrial complex in Tarragona has just completed the scheduled maintenance stoppage of the OPSM units and derivatives of the...</t>
  </si>
  <si>
    <t>Repsol Tarragona, energy investment</t>
  </si>
  <si>
    <t>Repsol Tarragona, inversión energética</t>
  </si>
  <si>
    <t>Expanding industrial operations reinforces Repsol’s long-term growth.</t>
  </si>
  <si>
    <t>nueva planta</t>
  </si>
  <si>
    <t>Positive investment hint.</t>
  </si>
  <si>
    <t>Insinuación de inversión positiva.</t>
  </si>
  <si>
    <r>
      <rPr>
        <rFont val="Arial, sans-serif"/>
        <color rgb="FF1155CC"/>
        <sz val="9.0"/>
        <u/>
      </rPr>
      <t>La Opinión de Málaga</t>
    </r>
    <r>
      <rPr>
        <rFont val="Arial, sans-serif"/>
        <color rgb="FF1155CC"/>
        <sz val="15.0"/>
        <u/>
      </rPr>
      <t>Bosque Urbano recurre ante la Junta el proyecto de urbanización de Repsol</t>
    </r>
    <r>
      <rPr>
        <rFont val="Arial, sans-serif"/>
        <color rgb="FF1155CC"/>
        <sz val="11.0"/>
        <u/>
      </rPr>
      <t>La plataforma ciudadana Bosque Urbano vuelve a la carga en su lucha por frenar el proyecto urbanístico en los terrenos de Repsol para impulsar la creación...</t>
    </r>
    <r>
      <rPr>
        <rFont val="Arial, sans-serif"/>
        <color rgb="FF1155CC"/>
        <sz val="12.0"/>
        <u/>
      </rPr>
      <t>.</t>
    </r>
    <r>
      <rPr>
        <rFont val="Arial, sans-serif"/>
        <color rgb="FF1155CC"/>
        <sz val="11.0"/>
        <u/>
      </rPr>
      <t>8 abr 2024</t>
    </r>
  </si>
  <si>
    <t>Bosque Urbano recurre ante la Junta el proyecto de urbanización de Repsol</t>
  </si>
  <si>
    <t>La plataforma ciudadana Bosque Urbano vuelve a la carga en su lucha por frenar el proyecto urbanístico en los terrenos de Repsol para impulsar la creación....</t>
  </si>
  <si>
    <t>Bosque Urbano appeals Repsol's urbanization project before the Board</t>
  </si>
  <si>
    <t>The Bosque Urbano citizen platform returns to the fray in its fight to stop the urban development project on Repsol land to promote creation...</t>
  </si>
  <si>
    <t>Repsol urbanization, environmental dispute</t>
  </si>
  <si>
    <t>Urbanización Repsol, disputa medioambiental</t>
  </si>
  <si>
    <t>Opposition to an urbanization project could create negative public sentiment.</t>
  </si>
  <si>
    <t>recurre, urbanización</t>
  </si>
  <si>
    <t>Negative community opposition.</t>
  </si>
  <si>
    <t>Oposición comunitaria negativa.</t>
  </si>
  <si>
    <r>
      <rPr>
        <rFont val="Arial, sans-serif"/>
        <color rgb="FF1155CC"/>
        <sz val="9.0"/>
        <u/>
      </rPr>
      <t>Merca2.es</t>
    </r>
    <r>
      <rPr>
        <rFont val="Arial, sans-serif"/>
        <color rgb="FF1155CC"/>
        <sz val="15.0"/>
        <u/>
      </rPr>
      <t>Grenergy imita a Iberdrola y Repsol y proyecta separar las figuras de presidente y CEO</t>
    </r>
    <r>
      <rPr>
        <rFont val="Arial, sans-serif"/>
        <color rgb="FF1155CC"/>
        <sz val="11.0"/>
        <u/>
      </rPr>
      <t>Grenergy imita a Iberdrola y Repsol y proyecta separar las figuras de presidente y CEO.</t>
    </r>
    <r>
      <rPr>
        <rFont val="Arial, sans-serif"/>
        <color rgb="FF1155CC"/>
        <sz val="12.0"/>
        <u/>
      </rPr>
      <t>.</t>
    </r>
    <r>
      <rPr>
        <rFont val="Arial, sans-serif"/>
        <color rgb="FF1155CC"/>
        <sz val="11.0"/>
        <u/>
      </rPr>
      <t>8 abr 2024</t>
    </r>
  </si>
  <si>
    <t>Grenergy imita a Iberdrola y Repsol y proyecta separar las figuras de presidente y CEO</t>
  </si>
  <si>
    <t>Grenergy imita a Iberdrola y Repsol y proyecta separar las figuras de presidente y CEO.</t>
  </si>
  <si>
    <t>Grenergy imitates Iberdrola and Repsol and plans to separate the figures of president and CEO</t>
  </si>
  <si>
    <t>Grenergy imitates Iberdrola and Repsol and plans to separate the figures of president and CEO.</t>
  </si>
  <si>
    <t>Repsol green hydrogen, energy competition</t>
  </si>
  <si>
    <t>Repsol hidrógeno verde, competencia energética</t>
  </si>
  <si>
    <t>Increased competition in hydrogen could challenge Repsol’s market position.</t>
  </si>
  <si>
    <t>Neutral corporate governance.</t>
  </si>
  <si>
    <t>Gobierno corporativo neutral.</t>
  </si>
  <si>
    <r>
      <rPr>
        <rFont val="Arial, sans-serif"/>
        <color rgb="FF1155CC"/>
        <sz val="9.0"/>
        <u/>
      </rPr>
      <t>El Economista</t>
    </r>
    <r>
      <rPr>
        <rFont val="Arial, sans-serif"/>
        <color rgb="FF1155CC"/>
        <sz val="15.0"/>
        <u/>
      </rPr>
      <t>Lluvia de millones para el sector energético español: Enagás, Repsol, REE y EDP triunfan en la UE</t>
    </r>
    <r>
      <rPr>
        <rFont val="Arial, sans-serif"/>
        <color rgb="FF1155CC"/>
        <sz val="11.0"/>
        <u/>
      </rPr>
      <t>La Comisión Europea ha publicado el listado definitivo de Proyectos de interés comunitario que recibirán dinero europeo para su desarrollo. Repsol, Enagás...</t>
    </r>
    <r>
      <rPr>
        <rFont val="Arial, sans-serif"/>
        <color rgb="FF1155CC"/>
        <sz val="12.0"/>
        <u/>
      </rPr>
      <t>.</t>
    </r>
    <r>
      <rPr>
        <rFont val="Arial, sans-serif"/>
        <color rgb="FF1155CC"/>
        <sz val="11.0"/>
        <u/>
      </rPr>
      <t>8 abr 2024</t>
    </r>
  </si>
  <si>
    <t>Lluvia de millones para el sector energético español: Enagás, Repsol, REE y EDP triunfan en la UE</t>
  </si>
  <si>
    <t>La Comisión Europea ha publicado el listado definitivo de Proyectos de interés comunitario que recibirán dinero europeo para su desarrollo. Repsol, Enagás....</t>
  </si>
  <si>
    <t>Rain of millions for the Spanish energy sector: Enagás, Repsol, REE and EDP triumph in the EU</t>
  </si>
  <si>
    <t>The European Commission has published the final list of Projects of Community Interest that will receive European money for their development. Repsol, Enagás....</t>
  </si>
  <si>
    <t>General investment in the energy sector does not impact Repsol’s corporate perception.</t>
  </si>
  <si>
    <t>triunfan, millones</t>
  </si>
  <si>
    <t>Positive EU funding news.</t>
  </si>
  <si>
    <t>Noticias positivas sobre financiación de la UE.</t>
  </si>
  <si>
    <r>
      <rPr>
        <rFont val="Arial, sans-serif"/>
        <color rgb="FF1155CC"/>
        <sz val="9.0"/>
        <u/>
      </rPr>
      <t>Box Repsol</t>
    </r>
    <r>
      <rPr>
        <rFont val="Arial, sans-serif"/>
        <color rgb="FF1155CC"/>
        <sz val="15.0"/>
        <u/>
      </rPr>
      <t>GP de las Américas 2024: Horarios y dónde ver por TV y online la actividad en el circuito de Austin</t>
    </r>
    <r>
      <rPr>
        <rFont val="Arial, sans-serif"/>
        <color rgb="FF1155CC"/>
        <sz val="11.0"/>
        <u/>
      </rPr>
      <t>El circuito de Austin será sede del tercer Gran Premio de la temporada 2024 para los pilotos de MotoGP. Tras un corto pero intenso periodo de vacaciones,...</t>
    </r>
    <r>
      <rPr>
        <rFont val="Arial, sans-serif"/>
        <color rgb="FF1155CC"/>
        <sz val="12.0"/>
        <u/>
      </rPr>
      <t>.</t>
    </r>
    <r>
      <rPr>
        <rFont val="Arial, sans-serif"/>
        <color rgb="FF1155CC"/>
        <sz val="11.0"/>
        <u/>
      </rPr>
      <t>8 abr 2024</t>
    </r>
  </si>
  <si>
    <t>RepsolGP de las Américas 2024: Horarios y dónde ver por TV y online la actividad en el circuito de Austin</t>
  </si>
  <si>
    <t>El circuito de Austin será sede del tercer Gran Premio de la temporada 2024 para los pilotos de MotoGP. Tras un corto pero intenso periodo de vacaciones,...</t>
  </si>
  <si>
    <t>RepsolGP of the Americas 2024: Schedules and where to watch the activity at the Austin circuit on TV and online</t>
  </si>
  <si>
    <t>The Austin circuit will host the third Grand Prix of the 2024 season for MotoGP riders. After a short but intense vacation period,...</t>
  </si>
  <si>
    <r>
      <rPr>
        <rFont val="Arial, sans-serif"/>
        <color rgb="FF1155CC"/>
        <sz val="9.0"/>
        <u/>
      </rPr>
      <t>Car and Driver</t>
    </r>
    <r>
      <rPr>
        <rFont val="Arial, sans-serif"/>
        <color rgb="FF1155CC"/>
        <sz val="15.0"/>
        <u/>
      </rPr>
      <t>El MG3 Hybrid+ tiene un precio rompedor para ser ECO y te regala más de 500 euros en combustible Repsol</t>
    </r>
    <r>
      <rPr>
        <rFont val="Arial, sans-serif"/>
        <color rgb="FF1155CC"/>
        <sz val="11.0"/>
        <u/>
      </rPr>
      <t>El nuevo MG3 Hybrid+ es un utilitario híbrido con casi 200 CV de potencia, un consumo medio de 4,4 litros a los 100 y un precio inferior al de sus rivales.</t>
    </r>
    <r>
      <rPr>
        <rFont val="Arial, sans-serif"/>
        <color rgb="FF1155CC"/>
        <sz val="12.0"/>
        <u/>
      </rPr>
      <t>.</t>
    </r>
    <r>
      <rPr>
        <rFont val="Arial, sans-serif"/>
        <color rgb="FF1155CC"/>
        <sz val="11.0"/>
        <u/>
      </rPr>
      <t>8 abr 2024</t>
    </r>
  </si>
  <si>
    <t>El MG3 Hybrid+ tiene un precio rompedor para ser ECO y te regala más de 500 euros en combustible</t>
  </si>
  <si>
    <t>El nuevo MG3 Hybrid+ es un utilitario híbrido con casi 200 CV de potencia, un consumo medio de 4,4 litros a los 100 y un precio inferior al de sus rivales.</t>
  </si>
  <si>
    <t>The MG3 Hybrid+ has a groundbreaking price for being ECO and gives you more than 500 euros in fuel</t>
  </si>
  <si>
    <t>The new MG3 Hybrid+ is a hybrid utility vehicle with almost 200 HP of power, an average consumption of 4.4 liters per 100 and a price lower than its rivals.</t>
  </si>
  <si>
    <r>
      <rPr>
        <rFont val="Arial, sans-serif"/>
        <color rgb="FF1155CC"/>
        <sz val="9.0"/>
        <u/>
      </rPr>
      <t>Cinco Días</t>
    </r>
    <r>
      <rPr>
        <rFont val="Arial, sans-serif"/>
        <color rgb="FF1155CC"/>
        <sz val="15.0"/>
        <u/>
      </rPr>
      <t>El Ibex 35 aguanta la presión y mantiene a flote los 10.900 puntos</t>
    </r>
    <r>
      <rPr>
        <rFont val="Arial, sans-serif"/>
        <color rgb="FF1155CC"/>
        <sz val="11.0"/>
        <u/>
      </rPr>
      <t>Los inversores optan por esperar y ver antes de decantarse de manera decidida por las compras o las ventas. Después de que el viernes el Ibex 35 firmara su...</t>
    </r>
    <r>
      <rPr>
        <rFont val="Arial, sans-serif"/>
        <color rgb="FF1155CC"/>
        <sz val="12.0"/>
        <u/>
      </rPr>
      <t>.</t>
    </r>
    <r>
      <rPr>
        <rFont val="Arial, sans-serif"/>
        <color rgb="FF1155CC"/>
        <sz val="11.0"/>
        <u/>
      </rPr>
      <t>8 abr 2024</t>
    </r>
  </si>
  <si>
    <t>El Ibex 35 aguanta la presión y mantiene a flote los 10.900 puntos</t>
  </si>
  <si>
    <t>Los inversores optan por esperar y ver antes de decantarse de manera decidida por las compras o las ventas. Después de que el viernes el Ibex 35 firmara su....</t>
  </si>
  <si>
    <t>The Ibex 35 withstands the pressure and keeps 10,900 points afloat</t>
  </si>
  <si>
    <t>Investors choose to wait and see before deciding decisively to buy or sell. After the Ibex 35 signed its...</t>
  </si>
  <si>
    <r>
      <rPr>
        <rFont val="Arial, sans-serif"/>
        <color rgb="FF1155CC"/>
        <sz val="9.0"/>
        <u/>
      </rPr>
      <t>Expansión</t>
    </r>
    <r>
      <rPr>
        <rFont val="Arial, sans-serif"/>
        <color rgb="FF1155CC"/>
        <sz val="15.0"/>
        <u/>
      </rPr>
      <t>Teresa Ribera: "El Gobierno espera que BlackRock y GIP expliquen su plan en Naturgy"</t>
    </r>
    <r>
      <rPr>
        <rFont val="Arial, sans-serif"/>
        <color rgb="FF1155CC"/>
        <sz val="11.0"/>
        <u/>
      </rPr>
      <t>GIP (Global Infrastructure Partners) es uno de los tres mayores accionistas de Naturgy, con el 20%, al mismo nivel que CVC y solo por detrás del grupo La...</t>
    </r>
    <r>
      <rPr>
        <rFont val="Arial, sans-serif"/>
        <color rgb="FF1155CC"/>
        <sz val="12.0"/>
        <u/>
      </rPr>
      <t>.</t>
    </r>
    <r>
      <rPr>
        <rFont val="Arial, sans-serif"/>
        <color rgb="FF1155CC"/>
        <sz val="11.0"/>
        <u/>
      </rPr>
      <t>8 abr 2024</t>
    </r>
  </si>
  <si>
    <t>Teresa Ribera: "El Gobierno espera que BlackRock y GIP expliquen su plan en Naturgy"</t>
  </si>
  <si>
    <t>El Gobierno espera que BlackRock y GIP expliquen su plan en Naturgy.</t>
  </si>
  <si>
    <t>Teresa Ribera: "The Government expects BlackRock and GIP to explain their plan in Naturgy"</t>
  </si>
  <si>
    <t>The Government expects BlackRock and GIP to explain their plan in Naturgy.</t>
  </si>
  <si>
    <r>
      <rPr>
        <rFont val="Arial, sans-serif"/>
        <color rgb="FF1155CC"/>
        <sz val="9.0"/>
        <u/>
      </rPr>
      <t>Interempresas.net</t>
    </r>
    <r>
      <rPr>
        <rFont val="Arial, sans-serif"/>
        <color rgb="FF1155CC"/>
        <sz val="15.0"/>
        <u/>
      </rPr>
      <t>‘Análisis de ciclo de vida, herramienta para la movilidad sostenible’</t>
    </r>
    <r>
      <rPr>
        <rFont val="Arial, sans-serif"/>
        <color rgb="FF1155CC"/>
        <sz val="11.0"/>
        <u/>
      </rPr>
      <t>En el contexto de la creciente preocupación por la sostenibilidad y la reducción de emisiones, el análisis del ciclo de vida de los combustibles en el...</t>
    </r>
    <r>
      <rPr>
        <rFont val="Arial, sans-serif"/>
        <color rgb="FF1155CC"/>
        <sz val="12.0"/>
        <u/>
      </rPr>
      <t>.</t>
    </r>
    <r>
      <rPr>
        <rFont val="Arial, sans-serif"/>
        <color rgb="FF1155CC"/>
        <sz val="11.0"/>
        <u/>
      </rPr>
      <t>8 abr 2024</t>
    </r>
  </si>
  <si>
    <t>‘Análisis de ciclo de vida, herramienta para la movilidad sostenible’</t>
  </si>
  <si>
    <t>En el contexto de la creciente preocupación por la sostenibilidad y la reducción de emisiones, el análisis del ciclo de vida de los combustibles en el....</t>
  </si>
  <si>
    <t>'Life cycle analysis, a tool for sustainable mobility'</t>
  </si>
  <si>
    <t>In the context of the growing concern for sustainability and emissions reduction, the analysis of the life cycle of fuels in the...</t>
  </si>
  <si>
    <t>General sustainability methodologies do not impact Repsol’s corporate perception.</t>
  </si>
  <si>
    <r>
      <rPr>
        <rFont val="Arial, sans-serif"/>
        <color rgb="FF1155CC"/>
        <sz val="9.0"/>
        <u/>
      </rPr>
      <t>Expansión</t>
    </r>
    <r>
      <rPr>
        <rFont val="Arial, sans-serif"/>
        <color rgb="FF1155CC"/>
        <sz val="15.0"/>
        <u/>
      </rPr>
      <t>Repsol, en máximos, bate al sector y aún tiene recorrido</t>
    </r>
    <r>
      <rPr>
        <rFont val="Arial, sans-serif"/>
        <color rgb="FF1155CC"/>
        <sz val="11.0"/>
        <u/>
      </rPr>
      <t>El tirón alcista que protagoniza el petróleo este año ha dado alas a las compañías del sector y Repsol compite con la portuguesa Galp (que subió ayer con...</t>
    </r>
    <r>
      <rPr>
        <rFont val="Arial, sans-serif"/>
        <color rgb="FF1155CC"/>
        <sz val="12.0"/>
        <u/>
      </rPr>
      <t>.</t>
    </r>
    <r>
      <rPr>
        <rFont val="Arial, sans-serif"/>
        <color rgb="FF1155CC"/>
        <sz val="11.0"/>
        <u/>
      </rPr>
      <t>9 abr 2024</t>
    </r>
  </si>
  <si>
    <t>Repsol, en máximos, bate al sector y aún tiene recorrido</t>
  </si>
  <si>
    <t>El tirón alcista que protagoniza el petróleo este año ha dado alas a las compañías del sector y Repsol compite con la portuguesa Galp (que subió ayer con....</t>
  </si>
  <si>
    <t>Repsol, at its highest, beats the sector and still has a way to go</t>
  </si>
  <si>
    <t>The upward trend in oil this year has given wings to companies in the sector and Repsol competes with the Portuguese Galp (which rose yesterday with...</t>
  </si>
  <si>
    <t>Repsol stock price, market growth</t>
  </si>
  <si>
    <t>Cotización de las acciones de Repsol, crecimiento del mercado</t>
  </si>
  <si>
    <t>Strong market performance reinforces investor confidence in Repsol.</t>
  </si>
  <si>
    <t>máximos, bate</t>
  </si>
  <si>
    <t>Strong positive financial performance.</t>
  </si>
  <si>
    <t>Fuerte desempeño financiero positivo.</t>
  </si>
  <si>
    <r>
      <rPr>
        <rFont val="Arial, sans-serif"/>
        <color rgb="FF1155CC"/>
        <sz val="9.0"/>
        <u/>
      </rPr>
      <t>Petronor</t>
    </r>
    <r>
      <rPr>
        <rFont val="Arial, sans-serif"/>
        <color rgb="FF1155CC"/>
        <sz val="15.0"/>
        <u/>
      </rPr>
      <t>Presentación Plan Estratégico de Repsol</t>
    </r>
    <r>
      <rPr>
        <rFont val="Arial, sans-serif"/>
        <color rgb="FF1155CC"/>
        <sz val="11.0"/>
        <u/>
      </rPr>
      <t>El plan estratégico de Repsol contempla proyectos destinados a reforzar la competitividad de las instalaciones de Petronor para mantenerlas entre las más...</t>
    </r>
    <r>
      <rPr>
        <rFont val="Arial, sans-serif"/>
        <color rgb="FF1155CC"/>
        <sz val="12.0"/>
        <u/>
      </rPr>
      <t>.</t>
    </r>
    <r>
      <rPr>
        <rFont val="Arial, sans-serif"/>
        <color rgb="FF1155CC"/>
        <sz val="11.0"/>
        <u/>
      </rPr>
      <t>9 abr 2024</t>
    </r>
  </si>
  <si>
    <t>Petronor</t>
  </si>
  <si>
    <t>Presentación Plan Estratégico de Repsol</t>
  </si>
  <si>
    <t>El plan estratégico de Repsol contempla proyectos destinados a reforzar la competitividad de las instalaciones de Petronor para mantenerlas entre las más....</t>
  </si>
  <si>
    <t>Repsol Strategic Plan Presentation</t>
  </si>
  <si>
    <t>Repsol's strategic plan includes projects aimed at strengthening the competitiveness of Petronor's facilities to keep them among the most....</t>
  </si>
  <si>
    <t>Repsol strategic plan, business growth</t>
  </si>
  <si>
    <t>Plan estratégico de Repsol, crecimiento empresarial</t>
  </si>
  <si>
    <t>Presenting long-term plans strengthens investor confidence and business outlook.</t>
  </si>
  <si>
    <t>Plan Estratégico</t>
  </si>
  <si>
    <t>Neutral corporate update.</t>
  </si>
  <si>
    <t>Actualización corporativa neutral.</t>
  </si>
  <si>
    <r>
      <rPr>
        <rFont val="Arial, sans-serif"/>
        <color rgb="FF1155CC"/>
        <sz val="9.0"/>
        <u/>
      </rPr>
      <t>elmercantil.com</t>
    </r>
    <r>
      <rPr>
        <rFont val="Arial, sans-serif"/>
        <color rgb="FF1155CC"/>
        <sz val="15.0"/>
        <u/>
      </rPr>
      <t>Petronor recibe luz verde para el desarrollo de su planta de e-fueles en el puerto de Bilbao</t>
    </r>
    <r>
      <rPr>
        <rFont val="Arial, sans-serif"/>
        <color rgb="FF1155CC"/>
        <sz val="11.0"/>
        <u/>
      </rPr>
      <t>Se establece un tráfico mínimo de 282.000 toneladas anuales durante la vigencia de 30 años establecida en la resolución aprobada.</t>
    </r>
    <r>
      <rPr>
        <rFont val="Arial, sans-serif"/>
        <color rgb="FF1155CC"/>
        <sz val="12.0"/>
        <u/>
      </rPr>
      <t>.</t>
    </r>
    <r>
      <rPr>
        <rFont val="Arial, sans-serif"/>
        <color rgb="FF1155CC"/>
        <sz val="11.0"/>
        <u/>
      </rPr>
      <t>9 abr 2024</t>
    </r>
  </si>
  <si>
    <t>Petronor recibe luz verde para el desarrollo de su planta de e-fueles en el puerto de Bilbao</t>
  </si>
  <si>
    <t>Se establece un tráfico mínimo de 282.000 toneladas anuales durante la vigencia de 30 años establecida en la resolución aprobada.</t>
  </si>
  <si>
    <t>Petronor receives the green light for the development of its e-fuels plant in the port of Bilbao</t>
  </si>
  <si>
    <t>A minimum traffic of 282,000 tons per year is established during the 30-year term established in the approved resolution.</t>
  </si>
  <si>
    <t>Petronor synthetic fuels, sustainability</t>
  </si>
  <si>
    <t>Combustibles sintéticos Petronor, sostenibilidad</t>
  </si>
  <si>
    <t>Advancing synthetic fuel production supports Repsol’s environmental commitments.</t>
  </si>
  <si>
    <t>luz verde, e-fueles</t>
  </si>
  <si>
    <t>Positive green energy project.</t>
  </si>
  <si>
    <t>Proyecto de energía verde positiva.</t>
  </si>
  <si>
    <r>
      <rPr>
        <rFont val="Arial, sans-serif"/>
        <color rgb="FF1155CC"/>
        <sz val="9.0"/>
        <u/>
      </rPr>
      <t>Guía Repsol</t>
    </r>
    <r>
      <rPr>
        <rFont val="Arial, sans-serif"/>
        <color rgb="FF1155CC"/>
        <sz val="15.0"/>
        <u/>
      </rPr>
      <t>'Restaurante Abya': el fastuoso palacio donde cocina Aurelio Morales</t>
    </r>
    <r>
      <rPr>
        <rFont val="Arial, sans-serif"/>
        <color rgb="FF1155CC"/>
        <sz val="11.0"/>
        <u/>
      </rPr>
      <t>Imagínate tomar una hamburguesa de wagyu o unas croquetas de caviar osetra iraní en un palacio neobarroco del siglo XX rodeado de más de cien obras de arte...</t>
    </r>
    <r>
      <rPr>
        <rFont val="Arial, sans-serif"/>
        <color rgb="FF1155CC"/>
        <sz val="12.0"/>
        <u/>
      </rPr>
      <t>.</t>
    </r>
    <r>
      <rPr>
        <rFont val="Arial, sans-serif"/>
        <color rgb="FF1155CC"/>
        <sz val="11.0"/>
        <u/>
      </rPr>
      <t>9 abr 2024</t>
    </r>
  </si>
  <si>
    <t>'Restaurante Abya': el fastuoso palacio donde cocina Aurelio Morales</t>
  </si>
  <si>
    <t>Imagínate tomar una hamburguesa de wagyu o unas croquetas de caviar osetra iraní en un palacio neobarroco del siglo XX rodeado de más de cien obras de arte.</t>
  </si>
  <si>
    <t>'Abya Restaurant': the lavish palace where Aurelio Morales cooks</t>
  </si>
  <si>
    <t>Imagine having a wagyu burger or some Iranian osetra caviar croquettes in a 20th century neo-baroque palace surrounded by more than a hundred works of art.</t>
  </si>
  <si>
    <r>
      <rPr>
        <rFont val="Arial, sans-serif"/>
        <color rgb="FF1155CC"/>
        <sz val="9.0"/>
        <u/>
      </rPr>
      <t>La Razón</t>
    </r>
    <r>
      <rPr>
        <rFont val="Arial, sans-serif"/>
        <color rgb="FF1155CC"/>
        <sz val="15.0"/>
        <u/>
      </rPr>
      <t>Isidre Esteve: "Estar en la misma carrera con Loeb, Al Attiyah o Carlos Sainz es muy guapo"</t>
    </r>
    <r>
      <rPr>
        <rFont val="Arial, sans-serif"/>
        <color rgb="FF1155CC"/>
        <sz val="11.0"/>
        <u/>
      </rPr>
      <t>El piloto del Repsol Rally Team acaba de terminar noveno en el Rally Transibérico (Portugal) y asegura que no se pone fecha para dejar el Dakar porque hace...</t>
    </r>
    <r>
      <rPr>
        <rFont val="Arial, sans-serif"/>
        <color rgb="FF1155CC"/>
        <sz val="12.0"/>
        <u/>
      </rPr>
      <t>.</t>
    </r>
    <r>
      <rPr>
        <rFont val="Arial, sans-serif"/>
        <color rgb="FF1155CC"/>
        <sz val="11.0"/>
        <u/>
      </rPr>
      <t>9 abr 2024</t>
    </r>
  </si>
  <si>
    <t>Isidre Esteve: "Estar en la misma carrera con Loeb, Al Attiyah o Carlos Sainz es muy guapo"</t>
  </si>
  <si>
    <t>El piloto del Repsol Rally Team acaba de terminar noveno en el Rally Transibérico (Portugal) y asegura que no se pone fecha para dejar el Dakar porque hace....</t>
  </si>
  <si>
    <t>Isidre Esteve: "Being in the same race with Loeb, Al Attiyah or Carlos Sainz is very handsome"</t>
  </si>
  <si>
    <t>The Repsol Rally Team driver has just finished ninth in the Transibérico Rally (Portugal) and assures that he has not set a date to leave the Dakar because it is...</t>
  </si>
  <si>
    <t>Participation in high-profile motorsport events reinforces Repsol’s brand.</t>
  </si>
  <si>
    <t>Neutral sports mention.</t>
  </si>
  <si>
    <t>Mención deportiva neutra.</t>
  </si>
  <si>
    <r>
      <rPr>
        <rFont val="Arial, sans-serif"/>
        <color rgb="FF1155CC"/>
        <sz val="9.0"/>
        <u/>
      </rPr>
      <t>UOC</t>
    </r>
    <r>
      <rPr>
        <rFont val="Arial, sans-serif"/>
        <color rgb="FF1155CC"/>
        <sz val="15.0"/>
        <u/>
      </rPr>
      <t>El fin del 'greenwashing'</t>
    </r>
    <r>
      <rPr>
        <rFont val="Arial, sans-serif"/>
        <color rgb="FF1155CC"/>
        <sz val="11.0"/>
        <u/>
      </rPr>
      <t>Entra en vigor una nueva normativa europea mucho más exigente sobre la información en sostenibilidad que tendrán que proporcionar las empresas, expertos de...</t>
    </r>
    <r>
      <rPr>
        <rFont val="Arial, sans-serif"/>
        <color rgb="FF1155CC"/>
        <sz val="12.0"/>
        <u/>
      </rPr>
      <t>.</t>
    </r>
    <r>
      <rPr>
        <rFont val="Arial, sans-serif"/>
        <color rgb="FF1155CC"/>
        <sz val="11.0"/>
        <u/>
      </rPr>
      <t>9 abr 2024</t>
    </r>
  </si>
  <si>
    <t>UOC</t>
  </si>
  <si>
    <t>Entra en vigor una nueva normativa europea mucho más exigente sobre la información en sostenibilidad que tendrán que proporcionar las empresas</t>
  </si>
  <si>
    <t>Entra en vigor una nueva normativa europea mucho más exigente sobre la información en sostenibilidad que tendrán que proporcionar las empresas, expertos de....</t>
  </si>
  <si>
    <t>A new, much more demanding European regulation comes into force on the sustainability information that companies will have to provide.</t>
  </si>
  <si>
    <t>A new, much more demanding European regulation comes into force on the sustainability information that companies, experts from...</t>
  </si>
  <si>
    <t>Regulatory updates on sustainability do not directly impact Repsol’s perception.</t>
  </si>
  <si>
    <t>Indirect relation.</t>
  </si>
  <si>
    <t>Relación indirecta.</t>
  </si>
  <si>
    <r>
      <rPr>
        <rFont val="Arial, sans-serif"/>
        <color rgb="FF1155CC"/>
        <sz val="9.0"/>
        <u/>
      </rPr>
      <t>RTVE.es</t>
    </r>
    <r>
      <rPr>
        <rFont val="Arial, sans-serif"/>
        <color rgb="FF1155CC"/>
        <sz val="15.0"/>
        <u/>
      </rPr>
      <t>Prueba satisfactoria para Isidre Esteve en el Rally Raid de Portugal con combustible renovable</t>
    </r>
    <r>
      <rPr>
        <rFont val="Arial, sans-serif"/>
        <color rgb="FF1155CC"/>
        <sz val="11.0"/>
        <u/>
      </rPr>
      <t>El piloto español del Repsol Toyota Rally Team Isidre Esteve completó este domingo un satisfactorio Rally Raid de Portugal, con el noveno puesto de la...</t>
    </r>
    <r>
      <rPr>
        <rFont val="Arial, sans-serif"/>
        <color rgb="FF1155CC"/>
        <sz val="12.0"/>
        <u/>
      </rPr>
      <t>.</t>
    </r>
    <r>
      <rPr>
        <rFont val="Arial, sans-serif"/>
        <color rgb="FF1155CC"/>
        <sz val="11.0"/>
        <u/>
      </rPr>
      <t>9 abr 2024</t>
    </r>
  </si>
  <si>
    <t>Prueba satisfactoria para Isidre Esteve en el Rally Raid de Portugal con combustible renovable</t>
  </si>
  <si>
    <t>El piloto español del Repsol Toyota Rally Team Isidre Esteve completó este domingo un satisfactorio Rally Raid de Portugal, con el noveno puesto de la....</t>
  </si>
  <si>
    <t>Successful test for Isidre Esteve in the Rally Raid of Portugal with renewable fuel</t>
  </si>
  <si>
    <t>The Spanish driver of the Repsol Toyota Rally Team Isidre Esteve completed a satisfactory Rally Raid of Portugal this Sunday, with ninth place in the...</t>
  </si>
  <si>
    <t>Continued presence in motorsports strengthens Repsol’s brand.</t>
  </si>
  <si>
    <t>combustible renovable</t>
  </si>
  <si>
    <t>Positive sustainability link.</t>
  </si>
  <si>
    <t>Vínculo positivo de sostenibilidad.</t>
  </si>
  <si>
    <r>
      <rPr>
        <rFont val="Arial, sans-serif"/>
        <color rgb="FF1155CC"/>
        <sz val="9.0"/>
        <u/>
      </rPr>
      <t>Hule y Mantel</t>
    </r>
    <r>
      <rPr>
        <rFont val="Arial, sans-serif"/>
        <color rgb="FF1155CC"/>
        <sz val="15.0"/>
        <u/>
      </rPr>
      <t>El chef Miguel Carretero, Desde 1911 y Madreamiga, entre los premiados por ACYRE Madrid 2024</t>
    </r>
    <r>
      <rPr>
        <rFont val="Arial, sans-serif"/>
        <color rgb="FF1155CC"/>
        <sz val="11.0"/>
        <u/>
      </rPr>
      <t>Los premios de la gastronomía madrileña también han destacado la labor de La Mallorquina, Pollería Hermanos Gómez Ortiz y la trayectoria de Adela Besteiro.</t>
    </r>
    <r>
      <rPr>
        <rFont val="Arial, sans-serif"/>
        <color rgb="FF1155CC"/>
        <sz val="12.0"/>
        <u/>
      </rPr>
      <t>.</t>
    </r>
    <r>
      <rPr>
        <rFont val="Arial, sans-serif"/>
        <color rgb="FF1155CC"/>
        <sz val="11.0"/>
        <u/>
      </rPr>
      <t>9 abr 2024</t>
    </r>
  </si>
  <si>
    <t>El chef Miguel Carretero, Desde 1911 y Madreamiga, entre los premiados por ACYRE Madrid 2024</t>
  </si>
  <si>
    <t>Los premios de la gastronomía madrileña también han destacado la labor de La Mallorquina, Pollería Hermanos Gómez Ortiz y la trayectoria de Adela Besteiro.</t>
  </si>
  <si>
    <t>Chef Miguel Carretero, Desde 1911 and Madreamiga, among those awarded by ACYRE Madrid 2024</t>
  </si>
  <si>
    <t>The Madrid gastronomy awards have also highlighted the work of La Mallorquina, Pollería Hermanos Gómez Ortiz and the career of Adela Besteiro.</t>
  </si>
  <si>
    <r>
      <rPr>
        <rFont val="Arial, sans-serif"/>
        <color rgb="FF1155CC"/>
        <sz val="9.0"/>
        <u/>
      </rPr>
      <t>Málaga Hoy</t>
    </r>
    <r>
      <rPr>
        <rFont val="Arial, sans-serif"/>
        <color rgb="FF1155CC"/>
        <sz val="15.0"/>
        <u/>
      </rPr>
      <t>Restaurantes, tabernas y chiringuitos de Málaga que debes probar en 2024 (II)</t>
    </r>
    <r>
      <rPr>
        <rFont val="Arial, sans-serif"/>
        <color rgb="FF1155CC"/>
        <sz val="11.0"/>
        <u/>
      </rPr>
      <t>Restaurantes, tabernas y chiringuitos de Málaga que estás tardando en probar en 2024 (I)</t>
    </r>
    <r>
      <rPr>
        <rFont val="Arial, sans-serif"/>
        <color rgb="FF1155CC"/>
        <sz val="12.0"/>
        <u/>
      </rPr>
      <t>.</t>
    </r>
    <r>
      <rPr>
        <rFont val="Arial, sans-serif"/>
        <color rgb="FF1155CC"/>
        <sz val="11.0"/>
        <u/>
      </rPr>
      <t>9 abr 2024</t>
    </r>
  </si>
  <si>
    <t>Restaurantes, tabernas y chiringuitos de Málaga que debes probar en 2024 (II)</t>
  </si>
  <si>
    <t>Restaurantes, tabernas y chiringuitos de Málaga que estás tardando en probar en 2024 (I).</t>
  </si>
  <si>
    <t>Restaurants, taverns and beach bars in Malaga that you should try in 2024 (II)</t>
  </si>
  <si>
    <t>Restaurants, taverns and beach bars in Malaga that you are taking a long time to try in 2024 (I).</t>
  </si>
  <si>
    <r>
      <rPr>
        <rFont val="Arial, sans-serif"/>
        <color rgb="FF1155CC"/>
        <sz val="9.0"/>
        <u/>
      </rPr>
      <t>chasiscero.com</t>
    </r>
    <r>
      <rPr>
        <rFont val="Arial, sans-serif"/>
        <color rgb="FF1155CC"/>
        <sz val="15.0"/>
        <u/>
      </rPr>
      <t>Un año de gasolina gratis si te compras este coche chino</t>
    </r>
    <r>
      <rPr>
        <rFont val="Arial, sans-serif"/>
        <color rgb="FF1155CC"/>
        <sz val="11.0"/>
        <u/>
      </rPr>
      <t>El MG3 Hybrid+ ya tiene precio para España: a partir de 19.990 euros, la marca británica de capi.</t>
    </r>
    <r>
      <rPr>
        <rFont val="Arial, sans-serif"/>
        <color rgb="FF1155CC"/>
        <sz val="12.0"/>
        <u/>
      </rPr>
      <t>.</t>
    </r>
    <r>
      <rPr>
        <rFont val="Arial, sans-serif"/>
        <color rgb="FF1155CC"/>
        <sz val="11.0"/>
        <u/>
      </rPr>
      <t>9 abr 2024</t>
    </r>
  </si>
  <si>
    <t>Un año de gasolina gratis si te compras este coche chino</t>
  </si>
  <si>
    <t>Un año de gasolina gratis si te compras este coche chino.</t>
  </si>
  <si>
    <t>One year of free gasoline if you buy this Chinese car</t>
  </si>
  <si>
    <t>One year of free gasoline if you buy this Chinese car.</t>
  </si>
  <si>
    <r>
      <rPr>
        <rFont val="Arial, sans-serif"/>
        <color rgb="FF1155CC"/>
        <sz val="9.0"/>
        <u/>
      </rPr>
      <t>El Economista</t>
    </r>
    <r>
      <rPr>
        <rFont val="Arial, sans-serif"/>
        <color rgb="FF1155CC"/>
        <sz val="15.0"/>
        <u/>
      </rPr>
      <t>Repsol compra el 40% de Genia Bioenergy para crecer en biometano</t>
    </r>
    <r>
      <rPr>
        <rFont val="Arial, sans-serif"/>
        <color rgb="FF1155CC"/>
        <sz val="11.0"/>
        <u/>
      </rPr>
      <t>Repsol entra en el mercado del biometano con un acuerdo para tomar una participación del 40% en Genia Bioenergy.</t>
    </r>
    <r>
      <rPr>
        <rFont val="Arial, sans-serif"/>
        <color rgb="FF1155CC"/>
        <sz val="12.0"/>
        <u/>
      </rPr>
      <t>.</t>
    </r>
    <r>
      <rPr>
        <rFont val="Arial, sans-serif"/>
        <color rgb="FF1155CC"/>
        <sz val="11.0"/>
        <u/>
      </rPr>
      <t>10 abr 2024</t>
    </r>
  </si>
  <si>
    <t>Repsol compra el 40% de Genia Bioenergy para crecer en biometano</t>
  </si>
  <si>
    <t>Repsol entra en el mercado del biometano con un acuerdo para tomar una participación del 40% en Genia Bioenergy.</t>
  </si>
  <si>
    <t>Repsol buys 40% of Genia Bioenergy to grow in biomethane</t>
  </si>
  <si>
    <t>Repsol enters the biomethane market with an agreement to take a 40% stake in Genia Bioenergy.</t>
  </si>
  <si>
    <t>Repsol biomethane, sustainability</t>
  </si>
  <si>
    <t>Repsol biometano, sostenibilidad</t>
  </si>
  <si>
    <t>Investing in biomethane aligns with Repsol’s renewable energy strategy.</t>
  </si>
  <si>
    <t>compra, biometano</t>
  </si>
  <si>
    <t>Positive green energy investment.</t>
  </si>
  <si>
    <t>Inversión positiva en energía verde.</t>
  </si>
  <si>
    <r>
      <rPr>
        <rFont val="Arial, sans-serif"/>
        <color rgb="FF1155CC"/>
        <sz val="9.0"/>
        <u/>
      </rPr>
      <t>Cinco Días</t>
    </r>
    <r>
      <rPr>
        <rFont val="Arial, sans-serif"/>
        <color rgb="FF1155CC"/>
        <sz val="15.0"/>
        <u/>
      </rPr>
      <t>Repsol compra el 40% de la española Genia Bioenergy e irrumpe en el negocio del biometano</t>
    </r>
    <r>
      <rPr>
        <rFont val="Arial, sans-serif"/>
        <color rgb="FF1155CC"/>
        <sz val="11.0"/>
        <u/>
      </rPr>
      <t>Repsol apuesta por el crecimiento inorgánico en un sector en el que su presencia era testimonial. La primera petrolera española ha comunicado este miércoles...</t>
    </r>
    <r>
      <rPr>
        <rFont val="Arial, sans-serif"/>
        <color rgb="FF1155CC"/>
        <sz val="12.0"/>
        <u/>
      </rPr>
      <t>.</t>
    </r>
    <r>
      <rPr>
        <rFont val="Arial, sans-serif"/>
        <color rgb="FF1155CC"/>
        <sz val="11.0"/>
        <u/>
      </rPr>
      <t>10 abr 2024</t>
    </r>
  </si>
  <si>
    <t>Repsol compra el 40% de la española Genia Bioenergy e irrumpe en el negocio del biometano.</t>
  </si>
  <si>
    <t>Repsol apuesta por el crecimiento inorgánico en un sector en el que su presencia era testimonial. La primera petrolera española ha comunicado este miércoles....</t>
  </si>
  <si>
    <t>Repsol buys 40% of the Spanish company Genia Bioenergy and enters the biomethane business.</t>
  </si>
  <si>
    <t>Repsol is committed to inorganic growth in a sector in which its presence was testimonial. The first Spanish oil company announced this Wednesday....</t>
  </si>
  <si>
    <t>Strengthening its position in renewable gas supports Repsol’s environmental goals.</t>
  </si>
  <si>
    <t>biometano, irrumpe</t>
  </si>
  <si>
    <t>Positive strategic move.</t>
  </si>
  <si>
    <t>Movimiento estratégico positivo.</t>
  </si>
  <si>
    <r>
      <rPr>
        <rFont val="Arial, sans-serif"/>
        <color rgb="FF1155CC"/>
        <sz val="9.0"/>
        <u/>
      </rPr>
      <t>Repsol</t>
    </r>
    <r>
      <rPr>
        <rFont val="Arial, sans-serif"/>
        <color rgb="FF1155CC"/>
        <sz val="15.0"/>
        <u/>
      </rPr>
      <t>Tarifa 3.0TD: Periodos, tramos horarios y precios</t>
    </r>
    <r>
      <rPr>
        <rFont val="Arial, sans-serif"/>
        <color rgb="FF1155CC"/>
        <sz val="11.0"/>
        <u/>
      </rPr>
      <t>Las tarifas 3.0TD se aplican a los puntos de suministro de baja tensión con una potencia contratada superior a los 15 kW, como pueden ser las pequeñas y...</t>
    </r>
    <r>
      <rPr>
        <rFont val="Arial, sans-serif"/>
        <color rgb="FF1155CC"/>
        <sz val="12.0"/>
        <u/>
      </rPr>
      <t>.</t>
    </r>
    <r>
      <rPr>
        <rFont val="Arial, sans-serif"/>
        <color rgb="FF1155CC"/>
        <sz val="11.0"/>
        <u/>
      </rPr>
      <t>10 abr 2024</t>
    </r>
  </si>
  <si>
    <t>Tarifa 3.0TD: Periodos, tramos horarios y precios</t>
  </si>
  <si>
    <t>Las tarifas 3.0TD se aplican a los puntos de suministro de baja tensión con una potencia contratada superior a los 15 kW, como pueden ser las pequeñas y....</t>
  </si>
  <si>
    <t>3.0TD Rate: Periods, time slots and prices</t>
  </si>
  <si>
    <t>The 3.0TD rates apply to low voltage supply points with a contracted power greater than 15 kW, such as small and...</t>
  </si>
  <si>
    <r>
      <rPr>
        <rFont val="Arial, sans-serif"/>
        <color rgb="FF1155CC"/>
        <sz val="9.0"/>
        <u/>
      </rPr>
      <t>Energética21</t>
    </r>
    <r>
      <rPr>
        <rFont val="Arial, sans-serif"/>
        <color rgb="FF1155CC"/>
        <sz val="15.0"/>
        <u/>
      </rPr>
      <t>Repsol entra en la producción de biometano con la adquisición del 40% de Genia Bioenergy - Gas y biogás</t>
    </r>
    <r>
      <rPr>
        <rFont val="Arial, sans-serif"/>
        <color rgb="FF1155CC"/>
        <sz val="11.0"/>
        <u/>
      </rPr>
      <t>Repsol entra en el mercado del biometano con un acuerdo para tomar una participación del 40% en Genia Bioenergy. Esta alianza permite a la compañía...</t>
    </r>
    <r>
      <rPr>
        <rFont val="Arial, sans-serif"/>
        <color rgb="FF1155CC"/>
        <sz val="12.0"/>
        <u/>
      </rPr>
      <t>.</t>
    </r>
    <r>
      <rPr>
        <rFont val="Arial, sans-serif"/>
        <color rgb="FF1155CC"/>
        <sz val="11.0"/>
        <u/>
      </rPr>
      <t>10 abr 2024</t>
    </r>
  </si>
  <si>
    <t>Energética21</t>
  </si>
  <si>
    <t>Repsol entra en la producción de biometano con la adquisición del 40% de Genia Bioenergy</t>
  </si>
  <si>
    <t>Repsol entra en el mercado del biometano con un acuerdo para tomar una participación del 40% en Genia Bioenergy. Esta alianza permite a la compañía....</t>
  </si>
  <si>
    <t>Repsol enters the production of biomethane with the acquisition of 40% of Genia Bioenergy</t>
  </si>
  <si>
    <t>Repsol enters the biomethane market with an agreement to take a 40% stake in Genia Bioenergy. This alliance allows the company...</t>
  </si>
  <si>
    <t>Repsol biomethane, renewable energy</t>
  </si>
  <si>
    <t>Repsol biometano, energía renovable</t>
  </si>
  <si>
    <t>Expanding into biomethane reinforces Repsol’s transition to greener energy sources.</t>
  </si>
  <si>
    <t>biometano, adquisición</t>
  </si>
  <si>
    <t>Positive sustainability effort.</t>
  </si>
  <si>
    <t>Esfuerzo positivo de sostenibilidad.</t>
  </si>
  <si>
    <r>
      <rPr>
        <rFont val="Arial, sans-serif"/>
        <color rgb="FF1155CC"/>
        <sz val="9.0"/>
        <u/>
      </rPr>
      <t>El Periódico de España</t>
    </r>
    <r>
      <rPr>
        <rFont val="Arial, sans-serif"/>
        <color rgb="FF1155CC"/>
        <sz val="15.0"/>
        <u/>
      </rPr>
      <t>Repsol entra de lleno en la carrera por el 'boom' de los gases renovables en España</t>
    </r>
    <r>
      <rPr>
        <rFont val="Arial, sans-serif"/>
        <color rgb="FF1155CC"/>
        <sz val="11.0"/>
        <u/>
      </rPr>
      <t>La petrolera desembarca en la producción de biometano con la compra de un 40% de Genia Bioenergy, con un plan para levantar hasta 30 plantas.</t>
    </r>
    <r>
      <rPr>
        <rFont val="Arial, sans-serif"/>
        <color rgb="FF1155CC"/>
        <sz val="12.0"/>
        <u/>
      </rPr>
      <t>.</t>
    </r>
    <r>
      <rPr>
        <rFont val="Arial, sans-serif"/>
        <color rgb="FF1155CC"/>
        <sz val="11.0"/>
        <u/>
      </rPr>
      <t>10 abr 2024</t>
    </r>
  </si>
  <si>
    <t>Repsol entra de lleno en la carrera por el 'boom' de los gases renovables en España</t>
  </si>
  <si>
    <t>La petrolera desembarca en la producción de biometano con la compra de un 40% de Genia Bioenergy, con un plan para levantar hasta 30 plantas.</t>
  </si>
  <si>
    <t>Repsol fully enters the race for the 'boom' of renewable gases in Spain</t>
  </si>
  <si>
    <t>The oil company enters the production of biomethane with the purchase of 40% of Genia Bioenergy, with a plan to build up to 30 plants.</t>
  </si>
  <si>
    <t>Investing in biomethane production strengthens Repsol’s environmental commitments.</t>
  </si>
  <si>
    <t>gases renovables</t>
  </si>
  <si>
    <t>Strong positive green transition.</t>
  </si>
  <si>
    <t>Fuerte transición verde positiva.</t>
  </si>
  <si>
    <r>
      <rPr>
        <rFont val="Arial, sans-serif"/>
        <color rgb="FF1155CC"/>
        <sz val="9.0"/>
        <u/>
      </rPr>
      <t>Guía Repsol</t>
    </r>
    <r>
      <rPr>
        <rFont val="Arial, sans-serif"/>
        <color rgb="FF1155CC"/>
        <sz val="15.0"/>
        <u/>
      </rPr>
      <t>Una fiesta en honor a la gamba roja de Dénia</t>
    </r>
    <r>
      <rPr>
        <rFont val="Arial, sans-serif"/>
        <color rgb="FF1155CC"/>
        <sz val="11.0"/>
        <u/>
      </rPr>
      <t>Con motivo de la duodécima edición del Concurso Internacional de Cocina Creativa de la gamba roja de Dénia, hemos viajado a la capital de la comarca...</t>
    </r>
    <r>
      <rPr>
        <rFont val="Arial, sans-serif"/>
        <color rgb="FF1155CC"/>
        <sz val="12.0"/>
        <u/>
      </rPr>
      <t>.</t>
    </r>
    <r>
      <rPr>
        <rFont val="Arial, sans-serif"/>
        <color rgb="FF1155CC"/>
        <sz val="11.0"/>
        <u/>
      </rPr>
      <t>10 abr 2024</t>
    </r>
  </si>
  <si>
    <t>Una fiesta en honor a la gamba roja de Dénia</t>
  </si>
  <si>
    <t>Con motivo de la duodécima edición del Concurso Internacional de Cocina Creativa de la gamba roja de Dénia, hemos viajado a la capital de la comarca....</t>
  </si>
  <si>
    <t>A party in honor of the red shrimp of Dénia</t>
  </si>
  <si>
    <t>On the occasion of the twelfth edition of the Dénia Red Prawn International Creative Cooking Contest, we have traveled to the capital of the region....</t>
  </si>
  <si>
    <r>
      <rPr>
        <rFont val="Arial, sans-serif"/>
        <color rgb="FF1155CC"/>
        <sz val="9.0"/>
        <u/>
      </rPr>
      <t>El Español</t>
    </r>
    <r>
      <rPr>
        <rFont val="Arial, sans-serif"/>
        <color rgb="FF1155CC"/>
        <sz val="15.0"/>
        <u/>
      </rPr>
      <t>MG tira la ‘casa por la ventana’: lanza el coche híbrido más barato y regala un año de gasolina con Repsol</t>
    </r>
    <r>
      <rPr>
        <rFont val="Arial, sans-serif"/>
        <color rgb="FF1155CC"/>
        <sz val="11.0"/>
        <u/>
      </rPr>
      <t>La firma china espera vender 3.500 coches del MG3 híbrido en este primer año de comercialización.</t>
    </r>
    <r>
      <rPr>
        <rFont val="Arial, sans-serif"/>
        <color rgb="FF1155CC"/>
        <sz val="12.0"/>
        <u/>
      </rPr>
      <t>.</t>
    </r>
    <r>
      <rPr>
        <rFont val="Arial, sans-serif"/>
        <color rgb="FF1155CC"/>
        <sz val="11.0"/>
        <u/>
      </rPr>
      <t>10 abr 2024</t>
    </r>
  </si>
  <si>
    <t>MG tira la ‘casa por la ventana’: lanza el coche híbrido más barato y regala un año de gasolina con Repsol</t>
  </si>
  <si>
    <t>La firma china espera vender 3.500 coches del MG3 híbrido en este primer año de comercialización.</t>
  </si>
  <si>
    <t>MG goes all out: launches the cheapest hybrid car and gives away a year of gasoline with Repsol</t>
  </si>
  <si>
    <t>The Chinese firm expects to sell 3,500 hybrid MG3 cars in this first year of marketing.</t>
  </si>
  <si>
    <r>
      <rPr>
        <rFont val="Arial, sans-serif"/>
        <color rgb="FF1155CC"/>
        <sz val="9.0"/>
        <u/>
      </rPr>
      <t>El Comercio</t>
    </r>
    <r>
      <rPr>
        <rFont val="Arial, sans-serif"/>
        <color rgb="FF1155CC"/>
        <sz val="15.0"/>
        <u/>
      </rPr>
      <t>Ahorra en tus suministros de luz, gas y gasóleo con VIMOIL</t>
    </r>
    <r>
      <rPr>
        <rFont val="Arial, sans-serif"/>
        <color rgb="FF1155CC"/>
        <sz val="11.0"/>
        <u/>
      </rPr>
      <t>Como distribuidor comercial de Repsol de gasóleo a domicilio y Agencia Comercializadora de luz y gas, VIMOIL ofrece servicios multienergía para el hogar,...</t>
    </r>
    <r>
      <rPr>
        <rFont val="Arial, sans-serif"/>
        <color rgb="FF1155CC"/>
        <sz val="12.0"/>
        <u/>
      </rPr>
      <t>.</t>
    </r>
    <r>
      <rPr>
        <rFont val="Arial, sans-serif"/>
        <color rgb="FF1155CC"/>
        <sz val="11.0"/>
        <u/>
      </rPr>
      <t>10 abr 2024</t>
    </r>
  </si>
  <si>
    <t>Ahorra en tus suministros de luz, gas y gasóleo con VIMOIL</t>
  </si>
  <si>
    <t>Ahorra en tus suministros de luz, gas y gasóleo con VIMOIL. Como distribuidor comercial de Repsol de gasóleo a domicilio y Agencia Comercializadora de luz y gas, VIMOIL ofrece servicios multienergía para el hogar,....</t>
  </si>
  <si>
    <t>Save on your electricity, gas and diesel supplies with VIMOIL</t>
  </si>
  <si>
    <t>Save on your electricity, gas and diesel supplies with VIMOIL. As a commercial distributor of Repsol diesel at home and a marketing agency for electricity and gas, VIMOIL offers multi-energy services for the home,...</t>
  </si>
  <si>
    <r>
      <rPr>
        <rFont val="Arial, sans-serif"/>
        <color rgb="FF1155CC"/>
        <sz val="9.0"/>
        <u/>
      </rPr>
      <t>VAVEL.com</t>
    </r>
    <r>
      <rPr>
        <rFont val="Arial, sans-serif"/>
        <color rgb="FF1155CC"/>
        <sz val="15.0"/>
        <u/>
      </rPr>
      <t>Remember del GP de las Américas 2013: cuando Marc Márquez hizo historia en MotoGP</t>
    </r>
    <r>
      <rPr>
        <rFont val="Arial, sans-serif"/>
        <color rgb="FF1155CC"/>
        <sz val="11.0"/>
        <u/>
      </rPr>
      <t>El GP de las Américas 2013 pasó a la historia del motociclismo por haber sido el escenario de la primera victoria de Marc Márquez.</t>
    </r>
    <r>
      <rPr>
        <rFont val="Arial, sans-serif"/>
        <color rgb="FF1155CC"/>
        <sz val="12.0"/>
        <u/>
      </rPr>
      <t>.</t>
    </r>
    <r>
      <rPr>
        <rFont val="Arial, sans-serif"/>
        <color rgb="FF1155CC"/>
        <sz val="11.0"/>
        <u/>
      </rPr>
      <t>10 abr 2024</t>
    </r>
  </si>
  <si>
    <t>Recuerdos del GP de las Américas 2013: cuando Marc Márquez hizo historia en MotoGP</t>
  </si>
  <si>
    <t>El GP de las Américas 2013 pasó a la historia del motociclismo por haber sido el escenario de la primera victoria de Marc Márquez.</t>
  </si>
  <si>
    <t>Memories of the 2013 GP of the Americas: when Marc Márquez made history in MotoGP</t>
  </si>
  <si>
    <t>The 2013 GP of the Americas went down in motorcycling history for having been the scene of Marc Márquez's first victory.</t>
  </si>
  <si>
    <r>
      <rPr>
        <rFont val="Arial, sans-serif"/>
        <color rgb="FF1155CC"/>
        <sz val="9.0"/>
        <u/>
      </rPr>
      <t>Guía Repsol</t>
    </r>
    <r>
      <rPr>
        <rFont val="Arial, sans-serif"/>
        <color rgb="FF1155CC"/>
        <sz val="15.0"/>
        <u/>
      </rPr>
      <t>19 pueblos con río que te harán feliz</t>
    </r>
    <r>
      <rPr>
        <rFont val="Arial, sans-serif"/>
        <color rgb="FF1155CC"/>
        <sz val="11.0"/>
        <u/>
      </rPr>
      <t>"Agua, ¿dónde vas? / Riyendo voy por el río a las orillas del mar". El inicio del breve poema de Federico García Lorca encarna la pasión que sienten por los...</t>
    </r>
    <r>
      <rPr>
        <rFont val="Arial, sans-serif"/>
        <color rgb="FF1155CC"/>
        <sz val="12.0"/>
        <u/>
      </rPr>
      <t>.</t>
    </r>
    <r>
      <rPr>
        <rFont val="Arial, sans-serif"/>
        <color rgb="FF1155CC"/>
        <sz val="11.0"/>
        <u/>
      </rPr>
      <t>10 abr 2024</t>
    </r>
  </si>
  <si>
    <t>19 pueblos con río que te harán feliz</t>
  </si>
  <si>
    <t>"Agua, ¿dónde vas? / Riyendo voy por el río a las orillas del mar". El inicio del breve poema de Federico García Lorca encarna la pasión que sienten por los....</t>
  </si>
  <si>
    <t>19 towns with a river that will make you happy</t>
  </si>
  <si>
    <t>"Water, where are you going? / Laughing I go along the river to the shores of the sea." The beginning of Federico García Lorca's short poem embodies the passion they feel for...</t>
  </si>
  <si>
    <r>
      <rPr>
        <rFont val="Arial, sans-serif"/>
        <color rgb="FF1155CC"/>
        <sz val="9.0"/>
        <u/>
      </rPr>
      <t>Guía Repsol</t>
    </r>
    <r>
      <rPr>
        <rFont val="Arial, sans-serif"/>
        <color rgb="FF1155CC"/>
        <sz val="15.0"/>
        <u/>
      </rPr>
      <t>Restaurante ‘Steakhouse Origen’: carnes maduradas en Las Palmas de Gran Canaria</t>
    </r>
    <r>
      <rPr>
        <rFont val="Arial, sans-serif"/>
        <color rgb="FF1155CC"/>
        <sz val="11.0"/>
        <u/>
      </rPr>
      <t>El objetivo que se ha marcado Yeray Bolaños en su steakhouse 'Origen', frente a la playa de Las Canteras de Las Palmas de Gran Canaria,...</t>
    </r>
    <r>
      <rPr>
        <rFont val="Arial, sans-serif"/>
        <color rgb="FF1155CC"/>
        <sz val="12.0"/>
        <u/>
      </rPr>
      <t>.</t>
    </r>
    <r>
      <rPr>
        <rFont val="Arial, sans-serif"/>
        <color rgb="FF1155CC"/>
        <sz val="11.0"/>
        <u/>
      </rPr>
      <t>10 abr 2024</t>
    </r>
  </si>
  <si>
    <t>Restaurante ‘Steakhouse Origen’: carnes maduradas en Las Palmas de Gran Canaria</t>
  </si>
  <si>
    <t>El objetivo que se ha marcado Yeray Bolaños en su steakhouse 'Origen', frente a la playa de Las Canteras de Las Palmas de Gran Canaria,....</t>
  </si>
  <si>
    <t>'Steakhouse Origen' Restaurant: meats matured in Las Palmas de Gran Canaria</t>
  </si>
  <si>
    <t>The goal that Yeray Bolaños has set for himself in his steakhouse 'Origen', in front of Las Canteras beach in Las Palmas de Gran Canaria,...</t>
  </si>
  <si>
    <r>
      <rPr>
        <rFont val="Arial, sans-serif"/>
        <color rgb="FF1155CC"/>
        <sz val="9.0"/>
        <u/>
      </rPr>
      <t>Regalos y Muestras gratis</t>
    </r>
    <r>
      <rPr>
        <rFont val="Arial, sans-serif"/>
        <color rgb="FF1155CC"/>
        <sz val="15.0"/>
        <u/>
      </rPr>
      <t>Repsol sortea 10 packs de gafas Sun Planet</t>
    </r>
    <r>
      <rPr>
        <rFont val="Arial, sans-serif"/>
        <color rgb="FF1155CC"/>
        <sz val="11.0"/>
        <u/>
      </rPr>
      <t>Repsol tiene un sorteo de primavera y va a regalar 10 packs con la gama completa de gafas Sun Planet.</t>
    </r>
    <r>
      <rPr>
        <rFont val="Arial, sans-serif"/>
        <color rgb="FF1155CC"/>
        <sz val="12.0"/>
        <u/>
      </rPr>
      <t>.</t>
    </r>
    <r>
      <rPr>
        <rFont val="Arial, sans-serif"/>
        <color rgb="FF1155CC"/>
        <sz val="11.0"/>
        <u/>
      </rPr>
      <t>10 abr 2024</t>
    </r>
  </si>
  <si>
    <t>Repsol sortea 10 packs de gafas Sun Planet</t>
  </si>
  <si>
    <t>Repsol tiene un sorteo de primavera y va a regalar 10 packs con la gama completa de gafas Sun Planet.</t>
  </si>
  <si>
    <t>Repsol is raffling off 10 packs of Sun Planet glasses</t>
  </si>
  <si>
    <t>Repsol has a spring giveaway and is giving away 10 packs with the complete range of Sun Planet glasses.</t>
  </si>
  <si>
    <r>
      <rPr>
        <rFont val="Arial, sans-serif"/>
        <color rgb="FF1155CC"/>
        <sz val="9.0"/>
        <u/>
      </rPr>
      <t>Repsol</t>
    </r>
    <r>
      <rPr>
        <rFont val="Arial, sans-serif"/>
        <color rgb="FF1155CC"/>
        <sz val="15.0"/>
        <u/>
      </rPr>
      <t>Repsol completa en Estados Unidos la construcción de Frye Solar, su mayor planta fotovoltaíca</t>
    </r>
    <r>
      <rPr>
        <rFont val="Arial, sans-serif"/>
        <color rgb="FF1155CC"/>
        <sz val="11.0"/>
        <u/>
      </rPr>
      <t>Frye Solar, situado en la ciudad de Kress (Texas), es el mayor proyecto solar construido por Repsol, con casi un millón de paneles y una capacidad instalada...</t>
    </r>
    <r>
      <rPr>
        <rFont val="Arial, sans-serif"/>
        <color rgb="FF1155CC"/>
        <sz val="12.0"/>
        <u/>
      </rPr>
      <t>.</t>
    </r>
    <r>
      <rPr>
        <rFont val="Arial, sans-serif"/>
        <color rgb="FF1155CC"/>
        <sz val="11.0"/>
        <u/>
      </rPr>
      <t>11 abr 2024</t>
    </r>
  </si>
  <si>
    <t>Repsol completa en Estados Unidos la construcción de Frye Solar, su mayor planta fotovoltaíca</t>
  </si>
  <si>
    <t>Frye Solar, situado en la ciudad de Kress (Texas), es el mayor proyecto solar construido por Repsol, con casi un millón de paneles y una capacidad instalada....</t>
  </si>
  <si>
    <t>Repsol completes the construction of Frye Solar, its largest photovoltaic plant in the United States</t>
  </si>
  <si>
    <t>Frye Solar, located in the city of Kress (Texas), is the largest solar project built by Repsol, with almost one million panels and installed capacity....</t>
  </si>
  <si>
    <t>Repsol solar energy, renewable investment</t>
  </si>
  <si>
    <t>Repsol energía solar, inversión renovable</t>
  </si>
  <si>
    <t>Expanding solar projects strengthens Repsol’s renewable energy portfolio.</t>
  </si>
  <si>
    <t>Frye Solar, fotovoltaica</t>
  </si>
  <si>
    <t>Major positive green energy milestone.</t>
  </si>
  <si>
    <t>Importante hito positivo en materia de energía verde.</t>
  </si>
  <si>
    <r>
      <rPr>
        <rFont val="Arial, sans-serif"/>
        <color rgb="FF1155CC"/>
        <sz val="9.0"/>
        <u/>
      </rPr>
      <t>ABC</t>
    </r>
    <r>
      <rPr>
        <rFont val="Arial, sans-serif"/>
        <color rgb="FF1155CC"/>
        <sz val="15.0"/>
        <u/>
      </rPr>
      <t>Repsol entra en la carrera con Naturgy por competir en gas renovable con la compra del 40% de Genia Bioener...</t>
    </r>
    <r>
      <rPr>
        <rFont val="Arial, sans-serif"/>
        <color rgb="FF1155CC"/>
        <sz val="11.0"/>
        <u/>
      </rPr>
      <t>España tiene como objetivo alcanzar la producción de 1.200 millones de metros cúbicos de biometano para 2030, un gas limpio y de origen renovable que,...</t>
    </r>
    <r>
      <rPr>
        <rFont val="Arial, sans-serif"/>
        <color rgb="FF1155CC"/>
        <sz val="12.0"/>
        <u/>
      </rPr>
      <t>.</t>
    </r>
    <r>
      <rPr>
        <rFont val="Arial, sans-serif"/>
        <color rgb="FF1155CC"/>
        <sz val="11.0"/>
        <u/>
      </rPr>
      <t>11 abr 2024</t>
    </r>
  </si>
  <si>
    <t>Repsol entra en la carrera con Naturgy por competir en gas renovable con la compra del 40% de Genia Bioener...</t>
  </si>
  <si>
    <t>España tiene como objetivo alcanzar la producción de 1.200 millones de metros cúbicos de biometano para 2030, un gas limpio y de origen renovable que,....</t>
  </si>
  <si>
    <t>Repsol enters the race with Naturgy to compete in renewable gas with the purchase of 40% of Genia Bioener...</t>
  </si>
  <si>
    <t>Spain aims to achieve the production of 1,200 million cubic meters of biomethane by 2030, a clean gas of renewable origin that,...</t>
  </si>
  <si>
    <t>Repsol hydrogen, sustainability</t>
  </si>
  <si>
    <t>Repsol hidrógeno, sostenibilidad</t>
  </si>
  <si>
    <t>Competing in hydrogen production supports Repsol’s clean energy transition.</t>
  </si>
  <si>
    <t>gas renovable</t>
  </si>
  <si>
    <t>Positive sustainability move.</t>
  </si>
  <si>
    <t>Movimiento positivo de sostenibilidad.</t>
  </si>
  <si>
    <r>
      <rPr>
        <rFont val="Arial, sans-serif"/>
        <color rgb="FF1155CC"/>
        <sz val="9.0"/>
        <u/>
      </rPr>
      <t>pv magazine España</t>
    </r>
    <r>
      <rPr>
        <rFont val="Arial, sans-serif"/>
        <color rgb="FF1155CC"/>
        <sz val="15.0"/>
        <u/>
      </rPr>
      <t>Repsol completa en Estados Unidos la construcción de su mayor planta fotovoltaica, de 637 MW</t>
    </r>
    <r>
      <rPr>
        <rFont val="Arial, sans-serif"/>
        <color rgb="FF1155CC"/>
        <sz val="11.0"/>
        <u/>
      </rPr>
      <t>Repsol ha finalizado la construcción de su proyecto Frye Solar, su mayor planta fotovoltaica hasta la fecha, con una capacidad total instalada de 637 MW y...</t>
    </r>
    <r>
      <rPr>
        <rFont val="Arial, sans-serif"/>
        <color rgb="FF1155CC"/>
        <sz val="12.0"/>
        <u/>
      </rPr>
      <t>.</t>
    </r>
    <r>
      <rPr>
        <rFont val="Arial, sans-serif"/>
        <color rgb="FF1155CC"/>
        <sz val="11.0"/>
        <u/>
      </rPr>
      <t>11 abr 2024</t>
    </r>
  </si>
  <si>
    <t>Repsol completa en Estados Unidos la construcción de su mayor planta fotovoltaica, de 637 MW</t>
  </si>
  <si>
    <t>Repsol ha finalizado la construcción de su proyecto Frye Solar, su mayor planta fotovoltaica hasta la fecha, con una capacidad total instalada de 637 MW y....</t>
  </si>
  <si>
    <t>Repsol completes the construction of its largest photovoltaic plant in the United States, with 637 MW</t>
  </si>
  <si>
    <t>Repsol has completed the construction of its Frye Solar project, its largest photovoltaic plant to date, with a total installed capacity of 637 MW and....</t>
  </si>
  <si>
    <t>Investing in large-scale solar projects supports Repsol’s sustainability strategy.</t>
  </si>
  <si>
    <t>fotovoltaica, 637 MW</t>
  </si>
  <si>
    <t>Strong positive renewable energy news.</t>
  </si>
  <si>
    <t>Fuertes noticias positivas sobre energías renovables.</t>
  </si>
  <si>
    <r>
      <rPr>
        <rFont val="Arial, sans-serif"/>
        <color rgb="FF1155CC"/>
        <sz val="9.0"/>
        <u/>
      </rPr>
      <t>El Salto</t>
    </r>
    <r>
      <rPr>
        <rFont val="Arial, sans-serif"/>
        <color rgb="FF1155CC"/>
        <sz val="15.0"/>
        <u/>
      </rPr>
      <t>Repsol repite como la empresa española que más contribuye a la crisis climática</t>
    </r>
    <r>
      <rPr>
        <rFont val="Arial, sans-serif"/>
        <color rgb="FF1155CC"/>
        <sz val="11.0"/>
        <u/>
      </rPr>
      <t>A pesar de un aumento del PIB del 2,5%, las emisiones se redujeron en España un 5,3% el año pasado, según el informe 'Descarbonización 2023' del...</t>
    </r>
    <r>
      <rPr>
        <rFont val="Arial, sans-serif"/>
        <color rgb="FF1155CC"/>
        <sz val="12.0"/>
        <u/>
      </rPr>
      <t>.</t>
    </r>
    <r>
      <rPr>
        <rFont val="Arial, sans-serif"/>
        <color rgb="FF1155CC"/>
        <sz val="11.0"/>
        <u/>
      </rPr>
      <t>11 abr 2024</t>
    </r>
  </si>
  <si>
    <t>El Salto</t>
  </si>
  <si>
    <t>Repsol repite como la empresa española que más contribuye a la crisis climática</t>
  </si>
  <si>
    <t>A pesar de un aumento del PIB del 2,5%, las emisiones se redujeron en España un 5,3% el año pasado, según el informe 'Descarbonización 2023' del....</t>
  </si>
  <si>
    <t>Repsol repeats as the Spanish company that contributes the most to the climate crisis</t>
  </si>
  <si>
    <t>Despite a 2.5% GDP increase, emissions were reduced in Spain by 5.3% last year, according to the 'Decarbonization 2023' report by...</t>
  </si>
  <si>
    <t>Repeated recognition for sustainability efforts enhances Repsol’s corporate image.</t>
  </si>
  <si>
    <t>crisis climática</t>
  </si>
  <si>
    <r>
      <rPr>
        <rFont val="Arial, sans-serif"/>
        <color rgb="FF1155CC"/>
        <sz val="9.0"/>
        <u/>
      </rPr>
      <t>Industria Química</t>
    </r>
    <r>
      <rPr>
        <rFont val="Arial, sans-serif"/>
        <color rgb="FF1155CC"/>
        <sz val="15.0"/>
        <u/>
      </rPr>
      <t>Repsol entra en la producción de biometano con la adquisición del 40% de Genia Bioenergy</t>
    </r>
    <r>
      <rPr>
        <rFont val="Arial, sans-serif"/>
        <color rgb="FF1155CC"/>
        <sz val="11.0"/>
        <u/>
      </rPr>
      <t>Repsol entra en el mercado del biometano con un acuerdo para tomar una participación del 40% en Genia Bioenergy. Esta alianza permite a la compañía...</t>
    </r>
    <r>
      <rPr>
        <rFont val="Arial, sans-serif"/>
        <color rgb="FF1155CC"/>
        <sz val="12.0"/>
        <u/>
      </rPr>
      <t>.</t>
    </r>
    <r>
      <rPr>
        <rFont val="Arial, sans-serif"/>
        <color rgb="FF1155CC"/>
        <sz val="11.0"/>
        <u/>
      </rPr>
      <t>11 abr 2024</t>
    </r>
  </si>
  <si>
    <t>Industria Química</t>
  </si>
  <si>
    <t>Expanding into biomethane strengthens Repsol’s commitment to renewable energy.</t>
  </si>
  <si>
    <t>biometano</t>
  </si>
  <si>
    <r>
      <rPr>
        <rFont val="Arial, sans-serif"/>
        <color rgb="FF1155CC"/>
        <sz val="9.0"/>
        <u/>
      </rPr>
      <t>IG</t>
    </r>
    <r>
      <rPr>
        <rFont val="Arial, sans-serif"/>
        <color rgb="FF1155CC"/>
        <sz val="15.0"/>
        <u/>
      </rPr>
      <t>Acciones Repsol en bolsa: superando obstáculos con alzas en un contexto de ajustes productivos.</t>
    </r>
    <r>
      <rPr>
        <rFont val="Arial, sans-serif"/>
        <color rgb="FF1155CC"/>
        <sz val="11.0"/>
        <u/>
      </rPr>
      <t>Repsol sube en bolsa con el crudo, pese a caída en producción y margen de refino.</t>
    </r>
    <r>
      <rPr>
        <rFont val="Arial, sans-serif"/>
        <color rgb="FF1155CC"/>
        <sz val="12.0"/>
        <u/>
      </rPr>
      <t>.</t>
    </r>
    <r>
      <rPr>
        <rFont val="Arial, sans-serif"/>
        <color rgb="FF1155CC"/>
        <sz val="11.0"/>
        <u/>
      </rPr>
      <t>11 abr 2024</t>
    </r>
  </si>
  <si>
    <t>Repsol sube en bolsa con el crudo, pese a caída en producción y margen de refino.</t>
  </si>
  <si>
    <t>Repsol rises in the stock market with crude oil, despite a drop in production and refining margin.</t>
  </si>
  <si>
    <t>Stock market gains reinforce investor confidence in Repsol.</t>
  </si>
  <si>
    <t>sube, bolsa</t>
  </si>
  <si>
    <r>
      <rPr>
        <rFont val="Arial, sans-serif"/>
        <color rgb="FF1155CC"/>
        <sz val="9.0"/>
        <u/>
      </rPr>
      <t>El Periódico de la Energía</t>
    </r>
    <r>
      <rPr>
        <rFont val="Arial, sans-serif"/>
        <color rgb="FF1155CC"/>
        <sz val="15.0"/>
        <u/>
      </rPr>
      <t>Repsol completa en Estados Unidos su mayor planta fotovoltaica con 637 MW de potencia</t>
    </r>
    <r>
      <rPr>
        <rFont val="Arial, sans-serif"/>
        <color rgb="FF1155CC"/>
        <sz val="11.0"/>
        <u/>
      </rPr>
      <t>Repsol ha completado la construcción de la que es su mayor planta fotovoltaica hasta la fecha, Frye Solar, de 637 megavatios (MW), en EEUU.</t>
    </r>
    <r>
      <rPr>
        <rFont val="Arial, sans-serif"/>
        <color rgb="FF1155CC"/>
        <sz val="12.0"/>
        <u/>
      </rPr>
      <t>.</t>
    </r>
    <r>
      <rPr>
        <rFont val="Arial, sans-serif"/>
        <color rgb="FF1155CC"/>
        <sz val="11.0"/>
        <u/>
      </rPr>
      <t>11 abr 2024</t>
    </r>
  </si>
  <si>
    <t>Repsol completa en Estados Unidos su mayor planta fotovoltaica con 637 MW de potencia</t>
  </si>
  <si>
    <t>Repsol ha completado la construcción de la que es su mayor planta fotovoltaica hasta la fecha, Frye Solar, de 637 megavatios (MW), en EEUU.</t>
  </si>
  <si>
    <t>Repsol completes its largest photovoltaic plant in the United States with 637 MW of power</t>
  </si>
  <si>
    <t>Repsol has completed the construction of what is its largest photovoltaic plant to date, Frye Solar, with 637 megawatts (MW), in the US.</t>
  </si>
  <si>
    <t>Large-scale solar energy investment enhances Repsol’s green transition.</t>
  </si>
  <si>
    <t>Major renewable energy achievement.</t>
  </si>
  <si>
    <t>Gran logro en energías renovables.</t>
  </si>
  <si>
    <r>
      <rPr>
        <rFont val="Arial, sans-serif"/>
        <color rgb="FF1155CC"/>
        <sz val="9.0"/>
        <u/>
      </rPr>
      <t>Energy News</t>
    </r>
    <r>
      <rPr>
        <rFont val="Arial, sans-serif"/>
        <color rgb="FF1155CC"/>
        <sz val="15.0"/>
        <u/>
      </rPr>
      <t>Repsol entra en la producción y el mercado del biometano</t>
    </r>
    <r>
      <rPr>
        <rFont val="Arial, sans-serif"/>
        <color rgb="FF1155CC"/>
        <sz val="11.0"/>
        <u/>
      </rPr>
      <t>Repsol ha entrado en la producción de biometano gracias a la adquisición del 40% del capital de Genia Bioenergy.</t>
    </r>
    <r>
      <rPr>
        <rFont val="Arial, sans-serif"/>
        <color rgb="FF1155CC"/>
        <sz val="12.0"/>
        <u/>
      </rPr>
      <t>.</t>
    </r>
    <r>
      <rPr>
        <rFont val="Arial, sans-serif"/>
        <color rgb="FF1155CC"/>
        <sz val="11.0"/>
        <u/>
      </rPr>
      <t>11 abr 2024</t>
    </r>
  </si>
  <si>
    <t>Repsol entra en la producción y el mercado del biometano</t>
  </si>
  <si>
    <t>Repsol ha entrado en la producción de biometano gracias a la adquisición del 40% del capital de Genia Bioenergy.</t>
  </si>
  <si>
    <t>Repsol enters the production and market of biomethane</t>
  </si>
  <si>
    <t>Repsol has entered the production of biomethane thanks to the acquisition of 40% of the capital of Genia Bioenergy.</t>
  </si>
  <si>
    <t>Strengthening biomethane production supports Repsol’s environmental goals.</t>
  </si>
  <si>
    <r>
      <rPr>
        <rFont val="Arial, sans-serif"/>
        <color rgb="FF1155CC"/>
        <sz val="9.0"/>
        <u/>
      </rPr>
      <t>Estrategias de Inversión</t>
    </r>
    <r>
      <rPr>
        <rFont val="Arial, sans-serif"/>
        <color rgb="FF1155CC"/>
        <sz val="15.0"/>
        <u/>
      </rPr>
      <t>Repsol: potencial alcista, resistencias y soportes del valor tras su trading statement</t>
    </r>
    <r>
      <rPr>
        <rFont val="Arial, sans-serif"/>
        <color rgb="FF1155CC"/>
        <sz val="11.0"/>
        <u/>
      </rPr>
      <t>Renta 4 reitera su recomendación de Repsol de sobreponderar con un precio objetivo de 19,5 euros por acción tras su trading statement.</t>
    </r>
    <r>
      <rPr>
        <rFont val="Arial, sans-serif"/>
        <color rgb="FF1155CC"/>
        <sz val="12.0"/>
        <u/>
      </rPr>
      <t>.</t>
    </r>
    <r>
      <rPr>
        <rFont val="Arial, sans-serif"/>
        <color rgb="FF1155CC"/>
        <sz val="11.0"/>
        <u/>
      </rPr>
      <t>11 abr 2024</t>
    </r>
  </si>
  <si>
    <t>Repsol: potencial alcista, resistencias y soportes del valor tras su trading statement</t>
  </si>
  <si>
    <t>Renta 4 reitera su recomendación de Repsol de sobreponderar con un precio objetivo de 19,5 euros por acción tras su trading statement.</t>
  </si>
  <si>
    <t>Repsol: bullish potential, resistances and supports of the value after its trading statement</t>
  </si>
  <si>
    <t>Renta 4 reiterates its Repsol recommendation of overweight with a target price of 19.5 euros per share after its trading statement.</t>
  </si>
  <si>
    <t>Repsol stock analysis, finance</t>
  </si>
  <si>
    <t>Análisis bursátil de Repsol, finanzas</t>
  </si>
  <si>
    <t>Positive stock market potential can enhance Repsol’s financial outlook.</t>
  </si>
  <si>
    <t>potencial alcista</t>
  </si>
  <si>
    <t>Positive financial outlook.</t>
  </si>
  <si>
    <t>Perspectivas financieras positivas.</t>
  </si>
  <si>
    <r>
      <rPr>
        <rFont val="Arial, sans-serif"/>
        <color rgb="FF1155CC"/>
        <sz val="9.0"/>
        <u/>
      </rPr>
      <t>La Comarca de Puertollano</t>
    </r>
    <r>
      <rPr>
        <rFont val="Arial, sans-serif"/>
        <color rgb="FF1155CC"/>
        <sz val="15.0"/>
        <u/>
      </rPr>
      <t>Puertollano: Un fallo eléctrico externo en Repsol provoca una aparatosa nube de humo negro</t>
    </r>
    <r>
      <rPr>
        <rFont val="Arial, sans-serif"/>
        <color rgb="FF1155CC"/>
        <sz val="11.0"/>
        <u/>
      </rPr>
      <t>Como consecuencia del corte se produjeron "diversas incidencias operativas que provocaron la parada de las unidades de petroquímica, lubricantes, y de ...</t>
    </r>
    <r>
      <rPr>
        <rFont val="Arial, sans-serif"/>
        <color rgb="FF1155CC"/>
        <sz val="12.0"/>
        <u/>
      </rPr>
      <t>.</t>
    </r>
    <r>
      <rPr>
        <rFont val="Arial, sans-serif"/>
        <color rgb="FF1155CC"/>
        <sz val="11.0"/>
        <u/>
      </rPr>
      <t>11 abr 2024</t>
    </r>
  </si>
  <si>
    <t>Puertollano: Un fallo eléctrico externo en Repsol provoca una aparatosa nube de humo negro</t>
  </si>
  <si>
    <t>Como consecuencia del corte se produjeron "diversas incidencias operativas que provocaron la parada de las unidades de petroquímica, lubricantes, y de ....</t>
  </si>
  <si>
    <t>Puertollano: An external electrical failure at Repsol causes a spectacular cloud of black smoke</t>
  </si>
  <si>
    <t>As a consequence of the outage, "various operational incidents occurred that caused the shutdown of the petrochemical, lubricants, and... units.</t>
  </si>
  <si>
    <t>Repsol refinery incident, operational disruption</t>
  </si>
  <si>
    <t>Incidente en refinería de Repsol, interrupción operativa</t>
  </si>
  <si>
    <t>Temporary operational issues could raise concerns about reliability.</t>
  </si>
  <si>
    <t>fallo, humo negro</t>
  </si>
  <si>
    <t>Negative operational incident.</t>
  </si>
  <si>
    <t>Incidente operativo negativo.</t>
  </si>
  <si>
    <r>
      <rPr>
        <rFont val="Arial, sans-serif"/>
        <color rgb="FF1155CC"/>
        <sz val="9.0"/>
        <u/>
      </rPr>
      <t>infoLibre</t>
    </r>
    <r>
      <rPr>
        <rFont val="Arial, sans-serif"/>
        <color rgb="FF1155CC"/>
        <sz val="15.0"/>
        <u/>
      </rPr>
      <t>Las empresas españolas redujeron sus emisiones un 14% en 2023 con Repsol como la más contaminante</t>
    </r>
    <r>
      <rPr>
        <rFont val="Arial, sans-serif"/>
        <color rgb="FF1155CC"/>
        <sz val="11.0"/>
        <u/>
      </rPr>
      <t>Los datos del comercio de derechos de emisiones evidencian que España y la Unión Europea reducen sus emisiones, pero crecen con fuerza en el sect.</t>
    </r>
    <r>
      <rPr>
        <rFont val="Arial, sans-serif"/>
        <color rgb="FF1155CC"/>
        <sz val="12.0"/>
        <u/>
      </rPr>
      <t>.</t>
    </r>
    <r>
      <rPr>
        <rFont val="Arial, sans-serif"/>
        <color rgb="FF1155CC"/>
        <sz val="11.0"/>
        <u/>
      </rPr>
      <t>11 abr 2024</t>
    </r>
  </si>
  <si>
    <t>Las empresas españolas redujeron sus emisiones un 14% en 2023 con Repsol como la más contaminante</t>
  </si>
  <si>
    <t>Las empresas españolas redujeron sus emisiones un 14% en 2023 con Repsol como la más contaminante.</t>
  </si>
  <si>
    <t>Spanish companies reduced their emissions by 14% in 2023 with Repsol as the most polluting</t>
  </si>
  <si>
    <t>Spanish companies reduced their emissions by 14% in 2023 with Repsol as the most polluting.</t>
  </si>
  <si>
    <t>General industry emission reductions do not directly impact Repsol’s perception.</t>
  </si>
  <si>
    <t>más contaminante</t>
  </si>
  <si>
    <t>Strong negative environmental ranking.</t>
  </si>
  <si>
    <t>Fuerte clasificación medioambiental negativa.</t>
  </si>
  <si>
    <r>
      <rPr>
        <rFont val="Arial, sans-serif"/>
        <color rgb="FF1155CC"/>
        <sz val="9.0"/>
        <u/>
      </rPr>
      <t>Guía Repsol</t>
    </r>
    <r>
      <rPr>
        <rFont val="Arial, sans-serif"/>
        <color rgb="FF1155CC"/>
        <sz val="15.0"/>
        <u/>
      </rPr>
      <t>Ruta con perro por el Parque Oeste (Madrid): el paraíso primaveral para tu mascota</t>
    </r>
    <r>
      <rPr>
        <rFont val="Arial, sans-serif"/>
        <color rgb="FF1155CC"/>
        <sz val="11.0"/>
        <u/>
      </rPr>
      <t>Ostenta el título de ser el primer parque madrileño y, para muchos madrileños, es uno de los más bonitos. Cuenta con un riachuelo, una senda botánica donde...</t>
    </r>
    <r>
      <rPr>
        <rFont val="Arial, sans-serif"/>
        <color rgb="FF1155CC"/>
        <sz val="12.0"/>
        <u/>
      </rPr>
      <t>.</t>
    </r>
    <r>
      <rPr>
        <rFont val="Arial, sans-serif"/>
        <color rgb="FF1155CC"/>
        <sz val="11.0"/>
        <u/>
      </rPr>
      <t>11 abr 2024</t>
    </r>
  </si>
  <si>
    <t>Ruta con perro por el Parque Oeste (Madrid): el paraíso primaveral para tu mascota</t>
  </si>
  <si>
    <t>Ostenta el título de ser el primer parque madrileño y, para muchos madrileños, es uno de los más bonitos. Cuenta con un riachuelo, una senda botánica donde....</t>
  </si>
  <si>
    <t>Route with a dog through Parque Oeste (Madrid): the spring paradise for your pet</t>
  </si>
  <si>
    <t>It holds the title of being Madrid's first park and, for many Madrid residents, it is one of the most beautiful. It has a stream, a botanical path where...</t>
  </si>
  <si>
    <r>
      <rPr>
        <rFont val="Arial, sans-serif"/>
        <color rgb="FF1155CC"/>
        <sz val="9.0"/>
        <u/>
      </rPr>
      <t>Cuatrecasas</t>
    </r>
    <r>
      <rPr>
        <rFont val="Arial, sans-serif"/>
        <color rgb="FF1155CC"/>
        <sz val="15.0"/>
        <u/>
      </rPr>
      <t>Venta del 40% de Genia Bioenergy a Repsol aprobada</t>
    </r>
    <r>
      <rPr>
        <rFont val="Arial, sans-serif"/>
        <color rgb="FF1155CC"/>
        <sz val="11.0"/>
        <u/>
      </rPr>
      <t>Cuatrecasas asesora a Grupo Geniadabar en su acuerdo con Repsol para la venta del 40% del capital social de Genia Bioenergy.</t>
    </r>
    <r>
      <rPr>
        <rFont val="Arial, sans-serif"/>
        <color rgb="FF1155CC"/>
        <sz val="12.0"/>
        <u/>
      </rPr>
      <t>.</t>
    </r>
    <r>
      <rPr>
        <rFont val="Arial, sans-serif"/>
        <color rgb="FF1155CC"/>
        <sz val="11.0"/>
        <u/>
      </rPr>
      <t>12 abr 2024</t>
    </r>
  </si>
  <si>
    <t>Cuatrecasas</t>
  </si>
  <si>
    <t>Venta del 40% de Genia Bioenergy a Repsol aprobada</t>
  </si>
  <si>
    <t>Cuatrecasas asesora a Grupo Geniadabar en su acuerdo con Repsol para la venta del 40% del capital social de Genia Bioenergy.</t>
  </si>
  <si>
    <t>Sale of 40% of Genia Bioenergy to Repsol approved</t>
  </si>
  <si>
    <t>Cuatrecasas advises Grupo Geniadabar in its agreement with Repsol for the sale of 40% of the share capital of Genia Bioenergy.</t>
  </si>
  <si>
    <t>Repsol biomethane acquisition, sustainability</t>
  </si>
  <si>
    <t>Adquisición de biometano de Repsol, sostenibilidad</t>
  </si>
  <si>
    <t>Expanding in biomethane supports Repsol’s renewable energy strategy.</t>
  </si>
  <si>
    <t>Genia Bioenergy</t>
  </si>
  <si>
    <t>Positive business deal.</t>
  </si>
  <si>
    <t>Trato comercial positivo.</t>
  </si>
  <si>
    <r>
      <rPr>
        <rFont val="Arial, sans-serif"/>
        <color rgb="FF1155CC"/>
        <sz val="9.0"/>
        <u/>
      </rPr>
      <t>Mundo Obrero</t>
    </r>
    <r>
      <rPr>
        <rFont val="Arial, sans-serif"/>
        <color rgb="FF1155CC"/>
        <sz val="15.0"/>
        <u/>
      </rPr>
      <t>Crisis climática: Repsol es la empresa española que más CO2 emite</t>
    </r>
    <r>
      <rPr>
        <rFont val="Arial, sans-serif"/>
        <color rgb="FF1155CC"/>
        <sz val="11.0"/>
        <u/>
      </rPr>
      <t>España redujo sus emisiones en un 2023 en el que Repsol repite como la empresa que más contribuye a agravar la emergencia climática, según el Observatorio...</t>
    </r>
    <r>
      <rPr>
        <rFont val="Arial, sans-serif"/>
        <color rgb="FF1155CC"/>
        <sz val="12.0"/>
        <u/>
      </rPr>
      <t>.</t>
    </r>
    <r>
      <rPr>
        <rFont val="Arial, sans-serif"/>
        <color rgb="FF1155CC"/>
        <sz val="11.0"/>
        <u/>
      </rPr>
      <t>12 abr 2024</t>
    </r>
  </si>
  <si>
    <t>Mundo Obrero</t>
  </si>
  <si>
    <t>Crisis climática: Repsol es la empresa española que más CO2 emite</t>
  </si>
  <si>
    <t>España redujo sus emisiones en un 2023 en el que Repsol repite como la empresa que más contribuye a agravar la emergencia climática, según el Observatorio....</t>
  </si>
  <si>
    <t>Climate crisis: Repsol is the Spanish company that emits the most CO2</t>
  </si>
  <si>
    <t>Spain reduced its emissions in 2023 in which Repsol repeats as the company that contributes the most to aggravating the climate emergency, according to the Observatory...</t>
  </si>
  <si>
    <t>Being listed as the highest emitter in Spain could harm Repsol’s sustainability reputation.</t>
  </si>
  <si>
    <t>más CO2 emite</t>
  </si>
  <si>
    <t>Strong negative environmental impact.</t>
  </si>
  <si>
    <t>Fuerte impacto ambiental negativo.</t>
  </si>
  <si>
    <r>
      <rPr>
        <rFont val="Arial, sans-serif"/>
        <color rgb="FF1155CC"/>
        <sz val="9.0"/>
        <u/>
      </rPr>
      <t>Guía Repsol</t>
    </r>
    <r>
      <rPr>
        <rFont val="Arial, sans-serif"/>
        <color rgb="FF1155CC"/>
        <sz val="15.0"/>
        <u/>
      </rPr>
      <t>Dónde se rodó 'Pared con Pared', película romántica de Netflix</t>
    </r>
    <r>
      <rPr>
        <rFont val="Arial, sans-serif"/>
        <color rgb="FF1155CC"/>
        <sz val="11.0"/>
        <u/>
      </rPr>
      <t>Hay nueva comedia romántica en Netflix: 'Pared con pared', la película que protagoniza una Aitana con problemas de convivencia vecinal. Humor, amor y músic.</t>
    </r>
    <r>
      <rPr>
        <rFont val="Arial, sans-serif"/>
        <color rgb="FF1155CC"/>
        <sz val="12.0"/>
        <u/>
      </rPr>
      <t>.</t>
    </r>
    <r>
      <rPr>
        <rFont val="Arial, sans-serif"/>
        <color rgb="FF1155CC"/>
        <sz val="11.0"/>
        <u/>
      </rPr>
      <t>12 abr 2024</t>
    </r>
  </si>
  <si>
    <t>Dónde se rodó 'Pared con Pared', película romántica de Netflix</t>
  </si>
  <si>
    <t>Hay nueva comedia romántica en Netflix: 'Pared con pared', la película que protagoniza una Aitana con problemas de convivencia vecinal. Humor, amor y músic..</t>
  </si>
  <si>
    <t>Where 'Pared con Pared', Netflix's romantic film, was filmed</t>
  </si>
  <si>
    <t>There is a new romantic comedy on Netflix: 'Wall with Wall', the film starring Aitana with neighborhood coexistence problems. Humor, love and music..</t>
  </si>
  <si>
    <r>
      <rPr>
        <rFont val="Arial, sans-serif"/>
        <color rgb="FF1155CC"/>
        <sz val="9.0"/>
        <u/>
      </rPr>
      <t>www.infoelectrico.com</t>
    </r>
    <r>
      <rPr>
        <rFont val="Arial, sans-serif"/>
        <color rgb="FF1155CC"/>
        <sz val="15.0"/>
        <u/>
      </rPr>
      <t>Repsol suministrará un millar de puntos de carga de coche eléctrico a las estaciones de tren de Adif</t>
    </r>
    <r>
      <rPr>
        <rFont val="Arial, sans-serif"/>
        <color rgb="FF1155CC"/>
        <sz val="11.0"/>
        <u/>
      </rPr>
      <t>Repsol ha llegado a un acuerdo con Adif para la instalación de más de 1.000 puntos de carga de coche eléctrico en las principales estaciones de tren.</t>
    </r>
    <r>
      <rPr>
        <rFont val="Arial, sans-serif"/>
        <color rgb="FF1155CC"/>
        <sz val="12.0"/>
        <u/>
      </rPr>
      <t>.</t>
    </r>
    <r>
      <rPr>
        <rFont val="Arial, sans-serif"/>
        <color rgb="FF1155CC"/>
        <sz val="11.0"/>
        <u/>
      </rPr>
      <t>12 abr 2024</t>
    </r>
  </si>
  <si>
    <t>www.infoelectrico.com</t>
  </si>
  <si>
    <t>Repsol suministrará un millar de puntos de carga de coche eléctrico a las estaciones de tren de Adif</t>
  </si>
  <si>
    <t>Repsol ha llegado a un acuerdo con Adif para la instalación de más de 1.000 puntos de carga de coche eléctrico en las principales estaciones de tren.</t>
  </si>
  <si>
    <t>Repsol will supply a thousand electric car charging points to Adif train stations</t>
  </si>
  <si>
    <t>Repsol has reached an agreement with Adif for the installation of more than 1,000 electric car charging points in the main train stations.</t>
  </si>
  <si>
    <t>Expanding electric vehicle charging supports Repsol’s green energy initiatives.</t>
  </si>
  <si>
    <t>puntos de carga, eléctrico</t>
  </si>
  <si>
    <t>Positive EV infrastructure expansion.</t>
  </si>
  <si>
    <t>Expansión positiva de la infraestructura de vehículos eléctricos.</t>
  </si>
  <si>
    <r>
      <rPr>
        <rFont val="Arial, sans-serif"/>
        <color rgb="FF1155CC"/>
        <sz val="9.0"/>
        <u/>
      </rPr>
      <t>Guía Repsol</t>
    </r>
    <r>
      <rPr>
        <rFont val="Arial, sans-serif"/>
        <color rgb="FF1155CC"/>
        <sz val="15.0"/>
        <u/>
      </rPr>
      <t>Camarón soldado de Gran Canaria: el bocado más dulce del Atlántico</t>
    </r>
    <r>
      <rPr>
        <rFont val="Arial, sans-serif"/>
        <color rgb="FF1155CC"/>
        <sz val="11.0"/>
        <u/>
      </rPr>
      <t>El camarón soldado es uno de los manjares más dulces que ofrece el Atlántico en las islas Canarias. De pequeño tamaño, con sus características huevas azules...</t>
    </r>
    <r>
      <rPr>
        <rFont val="Arial, sans-serif"/>
        <color rgb="FF1155CC"/>
        <sz val="12.0"/>
        <u/>
      </rPr>
      <t>.</t>
    </r>
    <r>
      <rPr>
        <rFont val="Arial, sans-serif"/>
        <color rgb="FF1155CC"/>
        <sz val="11.0"/>
        <u/>
      </rPr>
      <t>12 abr 2024</t>
    </r>
  </si>
  <si>
    <t>Camarón soldado de Gran Canaria: el bocado más dulce del Atlántico</t>
  </si>
  <si>
    <t>El camarón soldado es uno de los manjares más dulces que ofrece el Atlántico en las islas Canarias. De pequeño tamaño, con sus características huevas azules....</t>
  </si>
  <si>
    <t>Gran Canaria soldier shrimp: the sweetest bite from the Atlantic</t>
  </si>
  <si>
    <t>Soldier shrimp is one of the sweetest delicacies that the Atlantic offers in the Canary Islands. Small in size, with its characteristic blue eggs....</t>
  </si>
  <si>
    <r>
      <rPr>
        <rFont val="Arial, sans-serif"/>
        <color rgb="FF1155CC"/>
        <sz val="9.0"/>
        <u/>
      </rPr>
      <t>El Español</t>
    </r>
    <r>
      <rPr>
        <rFont val="Arial, sans-serif"/>
        <color rgb="FF1155CC"/>
        <sz val="15.0"/>
        <u/>
      </rPr>
      <t>El regalo de Ramón Freixa por su 15 aniversario: un menú de 12 platos estrellas Michelin, uno sorpresa, por 95 euros</t>
    </r>
    <r>
      <rPr>
        <rFont val="Arial, sans-serif"/>
        <color rgb="FF1155CC"/>
        <sz val="11.0"/>
        <u/>
      </rPr>
      <t>El chef catalán ha invitado a los mejores cocineros de España a que prepararán su creación más famosa cada mes dentro del menú degustación.</t>
    </r>
    <r>
      <rPr>
        <rFont val="Arial, sans-serif"/>
        <color rgb="FF1155CC"/>
        <sz val="12.0"/>
        <u/>
      </rPr>
      <t>.</t>
    </r>
    <r>
      <rPr>
        <rFont val="Arial, sans-serif"/>
        <color rgb="FF1155CC"/>
        <sz val="11.0"/>
        <u/>
      </rPr>
      <t>12 abr 2024</t>
    </r>
  </si>
  <si>
    <t>El regalo de Ramón Freixa por su 15 aniversario: un menú de 12 platos estrellas Michelin, uno sorpresa, por 95 euros</t>
  </si>
  <si>
    <t>El chef catalán ha invitado a los mejores cocineros de España a que prepararán su creación más famosa cada mes dentro del menú degustación.</t>
  </si>
  <si>
    <t>Ramón Freixa's gift for his 15th anniversary: ​​a menu of 12 Michelin star dishes, one surprise, for 95 euros</t>
  </si>
  <si>
    <t>The Catalan chef has invited the best chefs in Spain to prepare his most famous creation each month within the tasting menu.</t>
  </si>
  <si>
    <r>
      <rPr>
        <rFont val="Arial, sans-serif"/>
        <color rgb="FF1155CC"/>
        <sz val="9.0"/>
        <u/>
      </rPr>
      <t>Vanitatis</t>
    </r>
    <r>
      <rPr>
        <rFont val="Arial, sans-serif"/>
        <color rgb="FF1155CC"/>
        <sz val="15.0"/>
        <u/>
      </rPr>
      <t>Magoga (una estrella y dos soles), el faro que ilumina la alta cocina en la bahía de Cartagena</t>
    </r>
    <r>
      <rPr>
        <rFont val="Arial, sans-serif"/>
        <color rgb="FF1155CC"/>
        <sz val="11.0"/>
        <u/>
      </rPr>
      <t>María Gómez (cocina) y Adrián de Marcos (sala y bodega) han alcanzado dos sueños: crear una preciosa familia y asentar las bases de Magoga, su restaurante...</t>
    </r>
    <r>
      <rPr>
        <rFont val="Arial, sans-serif"/>
        <color rgb="FF1155CC"/>
        <sz val="12.0"/>
        <u/>
      </rPr>
      <t>.</t>
    </r>
    <r>
      <rPr>
        <rFont val="Arial, sans-serif"/>
        <color rgb="FF1155CC"/>
        <sz val="11.0"/>
        <u/>
      </rPr>
      <t>12 abr 2024</t>
    </r>
  </si>
  <si>
    <t>Magoga (una estrella y dos soles), el faro que ilumina la alta cocina en la bahía de Cartagena</t>
  </si>
  <si>
    <t>María Gómez (cocina) y Adrián de Marcos (sala y bodega) han alcanzado dos sueños: crear una preciosa familia y asentar las bases de Magoga, su restaurante....</t>
  </si>
  <si>
    <t>Magoga (one star and two suns), the lighthouse that illuminates haute cuisine in the bay of Cartagena</t>
  </si>
  <si>
    <t>María Gómez (kitchen) and Adrián de Marcos (dining room and wine cellar) have achieved two dreams: creating a beautiful family and laying the foundations for Magoga, their restaurant....</t>
  </si>
  <si>
    <r>
      <rPr>
        <rFont val="Arial, sans-serif"/>
        <color rgb="FF1155CC"/>
        <sz val="9.0"/>
        <u/>
      </rPr>
      <t>El Independiente</t>
    </r>
    <r>
      <rPr>
        <rFont val="Arial, sans-serif"/>
        <color rgb="FF1155CC"/>
        <sz val="15.0"/>
        <u/>
      </rPr>
      <t>Los Reyes visitan a la Reina Sofía en el Hospital Ruber Internacional</t>
    </r>
    <r>
      <rPr>
        <rFont val="Arial, sans-serif"/>
        <color rgb="FF1155CC"/>
        <sz val="11.0"/>
        <u/>
      </rPr>
      <t>Los Reyes han estado en el Hospital Ruber Internacional para visitar a la Reina Sofía, quien ha estado ingresada desde hace un par de días debido a una.</t>
    </r>
    <r>
      <rPr>
        <rFont val="Arial, sans-serif"/>
        <color rgb="FF1155CC"/>
        <sz val="12.0"/>
        <u/>
      </rPr>
      <t>.</t>
    </r>
    <r>
      <rPr>
        <rFont val="Arial, sans-serif"/>
        <color rgb="FF1155CC"/>
        <sz val="11.0"/>
        <u/>
      </rPr>
      <t>12 abr 2024</t>
    </r>
  </si>
  <si>
    <t>Los Reyes visitan a la Reina Sofía en el Hospital Ruber Internacional</t>
  </si>
  <si>
    <t>Los Reyes han estado en el Hospital Ruber Internacional para visitar a la Reina Sofía, quien ha estado ingresada desde hace un par de días debido a una..</t>
  </si>
  <si>
    <t>The Kings visit Queen Sofía at the Ruber Internacional Hospital</t>
  </si>
  <si>
    <t>The Kings have been at the Ruber International Hospital to visit Queen Sofía, who has been admitted for a couple of days due to a...</t>
  </si>
  <si>
    <t>Royalty</t>
  </si>
  <si>
    <r>
      <rPr>
        <rFont val="Arial, sans-serif"/>
        <color rgb="FF1155CC"/>
        <sz val="9.0"/>
        <u/>
      </rPr>
      <t>e-noticies.cat</t>
    </r>
    <r>
      <rPr>
        <rFont val="Arial, sans-serif"/>
        <color rgb="FF1155CC"/>
        <sz val="15.0"/>
        <u/>
      </rPr>
      <t>Ana Soria desvela por qué 'se le acelera el pulso' al pensar en Enrique Ponce</t>
    </r>
    <r>
      <rPr>
        <rFont val="Arial, sans-serif"/>
        <color rgb="FF1155CC"/>
        <sz val="11.0"/>
        <u/>
      </rPr>
      <t>Ana Soria y Enrique Ponce atraviesan su mejor momento, lo que demuestra una vez más que viven en una constante luna de miel.</t>
    </r>
    <r>
      <rPr>
        <rFont val="Arial, sans-serif"/>
        <color rgb="FF1155CC"/>
        <sz val="12.0"/>
        <u/>
      </rPr>
      <t>.</t>
    </r>
    <r>
      <rPr>
        <rFont val="Arial, sans-serif"/>
        <color rgb="FF1155CC"/>
        <sz val="11.0"/>
        <u/>
      </rPr>
      <t>12 abr 2024</t>
    </r>
  </si>
  <si>
    <t>Ana Soria desvela por qué 'se le acelera el pulso' al pensar en Enrique Ponce</t>
  </si>
  <si>
    <t>Ana Soria y Enrique Ponce atraviesan su mejor momento, lo que demuestra una vez más que viven en una constante luna de miel.</t>
  </si>
  <si>
    <t>Ana Soria reveals why 'her pulse accelerates' when thinking about Enrique Ponce</t>
  </si>
  <si>
    <t>Ana Soria and Enrique Ponce are going through their best moment, which shows once again that they live on a constant honeymoon.</t>
  </si>
  <si>
    <r>
      <rPr>
        <rFont val="Arial, sans-serif"/>
        <color rgb="FF1155CC"/>
        <sz val="9.0"/>
        <u/>
      </rPr>
      <t>El Periódico de España</t>
    </r>
    <r>
      <rPr>
        <rFont val="Arial, sans-serif"/>
        <color rgb="FF1155CC"/>
        <sz val="15.0"/>
        <u/>
      </rPr>
      <t>MUFACE va a peor: crecen las quejas diarias por problemas para hacerse pruebas médicas</t>
    </r>
    <r>
      <rPr>
        <rFont val="Arial, sans-serif"/>
        <color rgb="FF1155CC"/>
        <sz val="11.0"/>
        <u/>
      </rPr>
      <t>En plena negociación con las aseguradoras para el nuevo concierto, CSIF clama por más financiación: la asistencia "nunca se habían producido antes esta...</t>
    </r>
    <r>
      <rPr>
        <rFont val="Arial, sans-serif"/>
        <color rgb="FF1155CC"/>
        <sz val="12.0"/>
        <u/>
      </rPr>
      <t>.</t>
    </r>
    <r>
      <rPr>
        <rFont val="Arial, sans-serif"/>
        <color rgb="FF1155CC"/>
        <sz val="11.0"/>
        <u/>
      </rPr>
      <t>12 abr 2024</t>
    </r>
  </si>
  <si>
    <t>MUFACE va a peor: crecen las quejas diarias por problemas para hacerse pruebas médicas</t>
  </si>
  <si>
    <t>crecen las quejas diarias por problemas para hacerse pruebas médicasEn plena negociación con las aseguradoras para el nuevo concierto, CSIF clama por más financiación: la asistencia "nunca se habían producido antes esta....</t>
  </si>
  <si>
    <t>MUFACE is getting worse: daily complaints about problems getting medical tests grow</t>
  </si>
  <si>
    <t>Daily complaints grow about problems in undergoing medical tests. In the midst of negotiations with insurers for the new concert, CSIF cries out for more financing: assistance "has never happened before."</t>
  </si>
  <si>
    <t>Healthcare</t>
  </si>
  <si>
    <r>
      <rPr>
        <rFont val="Arial, sans-serif"/>
        <color rgb="FF1155CC"/>
        <sz val="9.0"/>
        <u/>
      </rPr>
      <t>La Vanguardia</t>
    </r>
    <r>
      <rPr>
        <rFont val="Arial, sans-serif"/>
        <color rgb="FF1155CC"/>
        <sz val="15.0"/>
        <u/>
      </rPr>
      <t>Repsol sigue un año más como empresa más contaminante en España</t>
    </r>
    <r>
      <rPr>
        <rFont val="Arial, sans-serif"/>
        <color rgb="FF1155CC"/>
        <sz val="11.0"/>
        <u/>
      </rPr>
      <t>MADRID, 13 (SERVIMEDIA) La petrolera Repsol encabezó el año pasado el ranking de empresas más contaminantes que operan en España, con lo que mantuvo esa...</t>
    </r>
    <r>
      <rPr>
        <rFont val="Arial, sans-serif"/>
        <color rgb="FF1155CC"/>
        <sz val="12.0"/>
        <u/>
      </rPr>
      <t>.</t>
    </r>
    <r>
      <rPr>
        <rFont val="Arial, sans-serif"/>
        <color rgb="FF1155CC"/>
        <sz val="11.0"/>
        <u/>
      </rPr>
      <t>13 abr 2024</t>
    </r>
  </si>
  <si>
    <t>Repsol sigue un año más como empresa más contaminante en España</t>
  </si>
  <si>
    <t>La petrolera Repsol encabezó el año pasado el ranking de empresas más contaminantes que operan en España, con lo que mantuvo esa....</t>
  </si>
  <si>
    <t>Repsol continues for another year as the most polluting company in Spain</t>
  </si>
  <si>
    <t>Last year, the oil company Repsol topped the ranking of the most polluting companies operating in Spain, maintaining that...</t>
  </si>
  <si>
    <t>Reiterated negative environmental impact.</t>
  </si>
  <si>
    <t>Reiterado impacto ambiental negativo.</t>
  </si>
  <si>
    <r>
      <rPr>
        <rFont val="Arial, sans-serif"/>
        <color rgb="FF1155CC"/>
        <sz val="9.0"/>
        <u/>
      </rPr>
      <t>Málaga Hoy</t>
    </r>
    <r>
      <rPr>
        <rFont val="Arial, sans-serif"/>
        <color rgb="FF1155CC"/>
        <sz val="15.0"/>
        <u/>
      </rPr>
      <t>Las dos únicas heladerías de Málaga que destacan en la Guía Repsol: entre las 100 mejores de España</t>
    </r>
    <r>
      <rPr>
        <rFont val="Arial, sans-serif"/>
        <color rgb="FF1155CC"/>
        <sz val="11.0"/>
        <u/>
      </rPr>
      <t>La Guía Repsol, dentro de su amplio espectro de recomendaciones gastronómicas, especialmente en lo referente a la alta cocina, cuenta también con un...</t>
    </r>
    <r>
      <rPr>
        <rFont val="Arial, sans-serif"/>
        <color rgb="FF1155CC"/>
        <sz val="12.0"/>
        <u/>
      </rPr>
      <t>.</t>
    </r>
    <r>
      <rPr>
        <rFont val="Arial, sans-serif"/>
        <color rgb="FF1155CC"/>
        <sz val="11.0"/>
        <u/>
      </rPr>
      <t>13 abr 2024</t>
    </r>
  </si>
  <si>
    <t>Las dos únicas heladerías de Málaga que destacan en la Guía Repsol: entre las 100 mejores de España</t>
  </si>
  <si>
    <t>Las dos únicas heladerías de Málaga que destacan en la Guía Repsol: entre las 100 mejores de España. La Guía Repsol, dentro de su amplio espectro de recomendaciones gastronómicas, especialmente en lo referente a la alta cocina, cuenta también con un....</t>
  </si>
  <si>
    <t>The only two ice cream parlors in Malaga that stand out in the Repsol Guide: among the 100 best in Spain</t>
  </si>
  <si>
    <t>The only two ice cream parlors in Malaga that stand out in the Repsol Guide: among the 100 best in Spain. The Repsol Guide, within its wide spectrum of gastronomic recommendations, especially with regard to haute cuisine, also has a...</t>
  </si>
  <si>
    <r>
      <rPr>
        <rFont val="Arial, sans-serif"/>
        <color rgb="FF1155CC"/>
        <sz val="9.0"/>
        <u/>
      </rPr>
      <t>La Razón</t>
    </r>
    <r>
      <rPr>
        <rFont val="Arial, sans-serif"/>
        <color rgb="FF1155CC"/>
        <sz val="15.0"/>
        <u/>
      </rPr>
      <t>Huesos de aceituna para hacer la gasolina de MotoGP y el Dakar</t>
    </r>
    <r>
      <rPr>
        <rFont val="Arial, sans-serif"/>
        <color rgb="FF1155CC"/>
        <sz val="11.0"/>
        <u/>
      </rPr>
      <t>La primera barrera que tuvo que superar el combustible renovable para la alta competición fue la de convencer a los pilotos de que sus motores no iban a...</t>
    </r>
    <r>
      <rPr>
        <rFont val="Arial, sans-serif"/>
        <color rgb="FF1155CC"/>
        <sz val="12.0"/>
        <u/>
      </rPr>
      <t>.</t>
    </r>
    <r>
      <rPr>
        <rFont val="Arial, sans-serif"/>
        <color rgb="FF1155CC"/>
        <sz val="11.0"/>
        <u/>
      </rPr>
      <t>13 abr 2024</t>
    </r>
  </si>
  <si>
    <t>Huesos de aceituna para hacer la gasolina de MotoGP y el Dakar</t>
  </si>
  <si>
    <t>La primera barrera que tuvo que superar el combustible renovable para la alta competición fue la de convencer a los pilotos de que sus motores no iban a....</t>
  </si>
  <si>
    <t>Olive pits to make gasoline for MotoGP and the Dakar</t>
  </si>
  <si>
    <t>The first barrier that renewable fuel had to overcome for high competition was convincing the pilots that their engines were not going to...</t>
  </si>
  <si>
    <t>Expanding renewable fuel production strengthens Repsol’s environmental strategy.</t>
  </si>
  <si>
    <r>
      <rPr>
        <rFont val="Arial, sans-serif"/>
        <color rgb="FF1155CC"/>
        <sz val="9.0"/>
        <u/>
      </rPr>
      <t>Diario Público</t>
    </r>
    <r>
      <rPr>
        <rFont val="Arial, sans-serif"/>
        <color rgb="FF1155CC"/>
        <sz val="15.0"/>
        <u/>
      </rPr>
      <t>El negocio privado a la caza de las subvenciones de la energía comunitaria</t>
    </r>
    <r>
      <rPr>
        <rFont val="Arial, sans-serif"/>
        <color rgb="FF1155CC"/>
        <sz val="11.0"/>
        <u/>
      </rPr>
      <t>El grupo Repsol gestiona más del 30% de las subvenciones europeas para comunidades de energía. En concreto, 24,3 millones de euros provenientes de los...</t>
    </r>
    <r>
      <rPr>
        <rFont val="Arial, sans-serif"/>
        <color rgb="FF1155CC"/>
        <sz val="12.0"/>
        <u/>
      </rPr>
      <t>.</t>
    </r>
    <r>
      <rPr>
        <rFont val="Arial, sans-serif"/>
        <color rgb="FF1155CC"/>
        <sz val="11.0"/>
        <u/>
      </rPr>
      <t>13 abr 2024</t>
    </r>
  </si>
  <si>
    <t>El negocio privado a la caza de las subvenciones de la energía comunitaria</t>
  </si>
  <si>
    <t>El grupo Repsol gestiona más del 30% de las subvenciones europeas para comunidades de energía. En concreto, 24,3 millones de euros provenientes de los....</t>
  </si>
  <si>
    <t>Private business on the hunt for community energy subsidies</t>
  </si>
  <si>
    <t>The Repsol group manages more than 30% of European subsidies for energy communities. Specifically, 24.3 million euros coming from the...</t>
  </si>
  <si>
    <t>Repsol community energy, sustainability</t>
  </si>
  <si>
    <t>Energía comunitaria Repsol, sostenibilidad</t>
  </si>
  <si>
    <t>Engaging in community energy initiatives aligns with Repsol’s renewable goals.</t>
  </si>
  <si>
    <t>subvenciones</t>
  </si>
  <si>
    <t>Slight negative perception of subsidies.</t>
  </si>
  <si>
    <t>Ligera percepción negativa de las subvenciones.</t>
  </si>
  <si>
    <r>
      <rPr>
        <rFont val="Arial, sans-serif"/>
        <color rgb="FF1155CC"/>
        <sz val="9.0"/>
        <u/>
      </rPr>
      <t>Híbridos y Eléctricos</t>
    </r>
    <r>
      <rPr>
        <rFont val="Arial, sans-serif"/>
        <color rgb="FF1155CC"/>
        <sz val="15.0"/>
        <u/>
      </rPr>
      <t>Por 19.990 €, el coche híbrido más barato del mercado viene con "un año" de gasolina gratis</t>
    </r>
    <r>
      <rPr>
        <rFont val="Arial, sans-serif"/>
        <color rgb="FF1155CC"/>
        <sz val="11.0"/>
        <u/>
      </rPr>
      <t>MG tira la casa por la ventana con el nuevo MG3 Hybrid+ y regala una tarjeta de combustible Repsol a aquellos que hagan una reserva de su nuevo modelo.</t>
    </r>
    <r>
      <rPr>
        <rFont val="Arial, sans-serif"/>
        <color rgb="FF1155CC"/>
        <sz val="12.0"/>
        <u/>
      </rPr>
      <t>.</t>
    </r>
    <r>
      <rPr>
        <rFont val="Arial, sans-serif"/>
        <color rgb="FF1155CC"/>
        <sz val="11.0"/>
        <u/>
      </rPr>
      <t>13 abr 2024</t>
    </r>
  </si>
  <si>
    <t>Por 19.990 €, el coche híbrido más barato del mercado viene con "un año" de gasolina gratis</t>
  </si>
  <si>
    <t>MG tira la casa por la ventana con el nuevo MG3 Hybrid+ y regala una tarjeta de combustible Repsol a aquellos que hagan una reserva de su nuevo modelo.</t>
  </si>
  <si>
    <t>For €19,990, the cheapest hybrid car on the market comes with "one year" of free gasoline</t>
  </si>
  <si>
    <t>MG is going all out with the new MG3 Hybrid+ and giving away a Repsol fuel card to those who make a reservation for its new model.</t>
  </si>
  <si>
    <r>
      <rPr>
        <rFont val="Arial, sans-serif"/>
        <color rgb="FF1155CC"/>
        <sz val="9.0"/>
        <u/>
      </rPr>
      <t>Box Repsol</t>
    </r>
    <r>
      <rPr>
        <rFont val="Arial, sans-serif"/>
        <color rgb="FF1155CC"/>
        <sz val="15.0"/>
        <u/>
      </rPr>
      <t>Resultados de la clasificación del GP de las Américas de MotoGP 2024</t>
    </r>
    <r>
      <rPr>
        <rFont val="Arial, sans-serif"/>
        <color rgb="FF1155CC"/>
        <sz val="11.0"/>
        <u/>
      </rPr>
      <t>El sábado de sprint ha arrancado en el Circuito de las Américas con una nueva pole para Maverick Viñales (Aprilia). Tras una sesión matinal de...</t>
    </r>
    <r>
      <rPr>
        <rFont val="Arial, sans-serif"/>
        <color rgb="FF1155CC"/>
        <sz val="12.0"/>
        <u/>
      </rPr>
      <t>.</t>
    </r>
    <r>
      <rPr>
        <rFont val="Arial, sans-serif"/>
        <color rgb="FF1155CC"/>
        <sz val="11.0"/>
        <u/>
      </rPr>
      <t>13 abr 2024</t>
    </r>
  </si>
  <si>
    <t>Resultados de la clasificación del GP de las Américas de MotoGP 2024</t>
  </si>
  <si>
    <t>El sábado de sprint ha arrancado en el Circuito de las Américas con una nueva pole para Maverick Viñales (Aprilia). Tras una sesión matinal de....</t>
  </si>
  <si>
    <t>MotoGP 2024 Americas GP qualifying results</t>
  </si>
  <si>
    <t>The Saturday sprint has started at the Circuit of the Americas with a new pole position for Maverick Viñales (Aprilia). After a morning session of....</t>
  </si>
  <si>
    <r>
      <rPr>
        <rFont val="Arial, sans-serif"/>
        <color rgb="FF1155CC"/>
        <sz val="9.0"/>
        <u/>
      </rPr>
      <t>Expansión</t>
    </r>
    <r>
      <rPr>
        <rFont val="Arial, sans-serif"/>
        <color rgb="FF1155CC"/>
        <sz val="15.0"/>
        <u/>
      </rPr>
      <t>Los grupos del Ibex disparan un 42% la productividad por empleado desde 2019</t>
    </r>
    <r>
      <rPr>
        <rFont val="Arial, sans-serif"/>
        <color rgb="FF1155CC"/>
        <sz val="11.0"/>
        <u/>
      </rPr>
      <t>Los ingresos por empleado bajan un 5% frente a 2022 debido al descenso de las ventas por la caída de la energía y el acero. No obstante, se mantiene en...</t>
    </r>
    <r>
      <rPr>
        <rFont val="Arial, sans-serif"/>
        <color rgb="FF1155CC"/>
        <sz val="12.0"/>
        <u/>
      </rPr>
      <t>.</t>
    </r>
    <r>
      <rPr>
        <rFont val="Arial, sans-serif"/>
        <color rgb="FF1155CC"/>
        <sz val="11.0"/>
        <u/>
      </rPr>
      <t>13 abr 2024</t>
    </r>
  </si>
  <si>
    <t>Los grupos del Ibex disparan un 42% la productividad por empleado desde 2019</t>
  </si>
  <si>
    <t>Los ingresos por empleado bajan un 5% frente a 2022 debido al descenso de las ventas por la caída de la energía y el acero. No obstante, se mantiene en....</t>
  </si>
  <si>
    <t>Ibex groups increase productivity per employee by 42% since 2019</t>
  </si>
  <si>
    <t>Income per employee drops 5% compared to 2022 due to the decline in sales due to the fall in energy and steel. However, it remains...</t>
  </si>
  <si>
    <r>
      <rPr>
        <rFont val="Arial, sans-serif"/>
        <color rgb="FF1155CC"/>
        <sz val="9.0"/>
        <u/>
      </rPr>
      <t>ABC</t>
    </r>
    <r>
      <rPr>
        <rFont val="Arial, sans-serif"/>
        <color rgb="FF1155CC"/>
        <sz val="15.0"/>
        <u/>
      </rPr>
      <t>Así se recarga un coche eléctrico de Rally</t>
    </r>
    <r>
      <rPr>
        <rFont val="Arial, sans-serif"/>
        <color rgb="FF1155CC"/>
        <sz val="11.0"/>
        <u/>
      </rPr>
      <t>Las prestaciones de Ioniq 5 N tanto dinámicas como de autonomía son idóneas para las funciones de seguridad como Coche-0 del Supercampeonato de España de...</t>
    </r>
    <r>
      <rPr>
        <rFont val="Arial, sans-serif"/>
        <color rgb="FF1155CC"/>
        <sz val="12.0"/>
        <u/>
      </rPr>
      <t>.</t>
    </r>
    <r>
      <rPr>
        <rFont val="Arial, sans-serif"/>
        <color rgb="FF1155CC"/>
        <sz val="11.0"/>
        <u/>
      </rPr>
      <t>13 abr 2024</t>
    </r>
  </si>
  <si>
    <t>Así se recarga un coche eléctrico de Rally</t>
  </si>
  <si>
    <t>Las prestaciones de Ioniq 5 N tanto dinámicas como de autonomía son idóneas para las funciones de seguridad como Coche-0 del Supercampeonato de España de....</t>
  </si>
  <si>
    <t>This is how you recharge an electric rally car</t>
  </si>
  <si>
    <t>The Ioniq 5 N's performance, both dynamic and autonomous, are ideal for safety functions as Car-0 of the Spanish Super Championship of...</t>
  </si>
  <si>
    <r>
      <rPr>
        <rFont val="Arial, sans-serif"/>
        <color rgb="FF1155CC"/>
        <sz val="9.0"/>
        <u/>
      </rPr>
      <t>Vaguada.es</t>
    </r>
    <r>
      <rPr>
        <rFont val="Arial, sans-serif"/>
        <color rgb="FF1155CC"/>
        <sz val="15.0"/>
        <u/>
      </rPr>
      <t>Valdivieso el encantador restaurante con alma de Carlos Valdivieso</t>
    </r>
    <r>
      <rPr>
        <rFont val="Arial, sans-serif"/>
        <color rgb="FF1155CC"/>
        <sz val="11.0"/>
        <u/>
      </rPr>
      <t>Un bonito proyecto gastronómico que acaba de recibir su merecido Solete Repsol. Por Ana S. Diéguez. Tras casi una década, desde que Valdivieso Cocina Con...</t>
    </r>
    <r>
      <rPr>
        <rFont val="Arial, sans-serif"/>
        <color rgb="FF1155CC"/>
        <sz val="12.0"/>
        <u/>
      </rPr>
      <t>.</t>
    </r>
    <r>
      <rPr>
        <rFont val="Arial, sans-serif"/>
        <color rgb="FF1155CC"/>
        <sz val="11.0"/>
        <u/>
      </rPr>
      <t>13 abr 2024</t>
    </r>
  </si>
  <si>
    <t>Valdivieso el encantador restaurante con alma de Carlos Valdivieso</t>
  </si>
  <si>
    <t>Un bonito proyecto gastronómico que acaba de recibir su merecido Solete Repsol.</t>
  </si>
  <si>
    <t>Valdivieso, the charming restaurant with the soul of Carlos Valdivieso</t>
  </si>
  <si>
    <t>A beautiful gastronomic project that has just received its well-deserved Solete Repsol.</t>
  </si>
  <si>
    <r>
      <rPr>
        <rFont val="Arial, sans-serif"/>
        <color rgb="FF1155CC"/>
        <sz val="9.0"/>
        <u/>
      </rPr>
      <t>El Búho.pe</t>
    </r>
    <r>
      <rPr>
        <rFont val="Arial, sans-serif"/>
        <color rgb="FF1155CC"/>
        <sz val="15.0"/>
        <u/>
      </rPr>
      <t>Sube la cifra de conflictos sociales en medio del escándalo Rolex [MAPA]</t>
    </r>
    <r>
      <rPr>
        <rFont val="Arial, sans-serif"/>
        <color rgb="FF1155CC"/>
        <sz val="11.0"/>
        <u/>
      </rPr>
      <t>Conflictividad, Rolex y desgobierno. 209 conflictos sociales presentes en las 24 regiones del Perú fueron reportados en marzo.</t>
    </r>
    <r>
      <rPr>
        <rFont val="Arial, sans-serif"/>
        <color rgb="FF1155CC"/>
        <sz val="12.0"/>
        <u/>
      </rPr>
      <t>.</t>
    </r>
    <r>
      <rPr>
        <rFont val="Arial, sans-serif"/>
        <color rgb="FF1155CC"/>
        <sz val="11.0"/>
        <u/>
      </rPr>
      <t>13 abr 2024</t>
    </r>
  </si>
  <si>
    <t>Sube la cifra de conflictos sociales en medio del escándalo Rolex [MAPA]</t>
  </si>
  <si>
    <t>Conflictividad, Rolex y desgobierno. 209 conflictos sociales presentes en las 24 regiones del Perú fueron reportados en marzo.</t>
  </si>
  <si>
    <t>The number of social conflicts rises amid the Rolex scandal [MAP]</t>
  </si>
  <si>
    <t>Conflict, Rolex and misgovernment. 209 social conflicts present in the 24 regions of Peru were reported in March.</t>
  </si>
  <si>
    <r>
      <rPr>
        <rFont val="Arial, sans-serif"/>
        <color rgb="FF1155CC"/>
        <sz val="9.0"/>
        <u/>
      </rPr>
      <t>El Economista</t>
    </r>
    <r>
      <rPr>
        <rFont val="Arial, sans-serif"/>
        <color rgb="FF1155CC"/>
        <sz val="15.0"/>
        <u/>
      </rPr>
      <t>Repsol lanza tarifas de luz para crecer en segunda residencia y teletrabajo</t>
    </r>
    <r>
      <rPr>
        <rFont val="Arial, sans-serif"/>
        <color rgb="FF1155CC"/>
        <sz val="11.0"/>
        <u/>
      </rPr>
      <t>Repsol refuerza su ofensiva para seguir creciendo en el sector eléctrico. La compañía quiere incrementar su peso en varios nichos que ha ...</t>
    </r>
    <r>
      <rPr>
        <rFont val="Arial, sans-serif"/>
        <color rgb="FF1155CC"/>
        <sz val="12.0"/>
        <u/>
      </rPr>
      <t>.</t>
    </r>
    <r>
      <rPr>
        <rFont val="Arial, sans-serif"/>
        <color rgb="FF1155CC"/>
        <sz val="11.0"/>
        <u/>
      </rPr>
      <t>14 abr 2024</t>
    </r>
  </si>
  <si>
    <t>Repsol lanza tarifas de luz para crecer en segunda residencia y teletrabajo</t>
  </si>
  <si>
    <t>Repsol refuerza su ofensiva para seguir creciendo en el sector eléctrico. La compañía quiere incrementar su peso en varios nichos que ha ....</t>
  </si>
  <si>
    <t>Repsol launches electricity rates to grow in second homes and teleworking</t>
  </si>
  <si>
    <t>Repsol reinforces its offensive to continue growing in the electricity sector. The company wants to increase its weight in several niches that it has....</t>
  </si>
  <si>
    <t>Expanding into electricity services enhances Repsol’s competitive positioning.</t>
  </si>
  <si>
    <t>lanza tarifas, crecer</t>
  </si>
  <si>
    <r>
      <rPr>
        <rFont val="Arial, sans-serif"/>
        <color rgb="FF1155CC"/>
        <sz val="9.0"/>
        <u/>
      </rPr>
      <t>La Tribuna de Ciudad Real</t>
    </r>
    <r>
      <rPr>
        <rFont val="Arial, sans-serif"/>
        <color rgb="FF1155CC"/>
        <sz val="15.0"/>
        <u/>
      </rPr>
      <t>"Una parada es un trabajo en equipo"</t>
    </r>
    <r>
      <rPr>
        <rFont val="Arial, sans-serif"/>
        <color rgb="FF1155CC"/>
        <sz val="11.0"/>
        <u/>
      </rPr>
      <t>Repsol acomete en su Complejo Industrial de Puertollano una de las paradas de mayor complejidad de cuantas se han llevado a cabo en la ciudad industrial,...</t>
    </r>
    <r>
      <rPr>
        <rFont val="Arial, sans-serif"/>
        <color rgb="FF1155CC"/>
        <sz val="12.0"/>
        <u/>
      </rPr>
      <t>.</t>
    </r>
    <r>
      <rPr>
        <rFont val="Arial, sans-serif"/>
        <color rgb="FF1155CC"/>
        <sz val="11.0"/>
        <u/>
      </rPr>
      <t>14 abr 2024</t>
    </r>
  </si>
  <si>
    <t>"Una parada es un trabajo en equipo"</t>
  </si>
  <si>
    <t>"Una parada es un trabajo en equipo" Repsol acomete en su Complejo Industrial de Puertollano una de las paradas de mayor complejidad de cuantas se han llevado a cabo en la ciudad industrial,....</t>
  </si>
  <si>
    <t>"A stop is a team effort"</t>
  </si>
  <si>
    <t>"A stoppage is a team effort" Repsol undertakes one of the most complex stops that have been carried out in the industrial city at its Puertollano Industrial Complex....</t>
  </si>
  <si>
    <t>Routine maintenance does not significantly impact Repsol’s corporate perception.</t>
  </si>
  <si>
    <r>
      <rPr>
        <rFont val="Arial, sans-serif"/>
        <color rgb="FF1155CC"/>
        <sz val="9.0"/>
        <u/>
      </rPr>
      <t>El Mundo</t>
    </r>
    <r>
      <rPr>
        <rFont val="Arial, sans-serif"/>
        <color rgb="FF1155CC"/>
        <sz val="15.0"/>
        <u/>
      </rPr>
      <t>Epílogo, la razón por la que debes viajar cuanto antes a Tomelloso si eres de buen comer</t>
    </r>
    <r>
      <rPr>
        <rFont val="Arial, sans-serif"/>
        <color rgb="FF1155CC"/>
        <sz val="11.0"/>
        <u/>
      </rPr>
      <t>Tomelloso (Ciudad Real) es la capital de La Mancha, también la del vino (se la conoce oficiosamente como "el mayor viñedo del mundo").</t>
    </r>
    <r>
      <rPr>
        <rFont val="Arial, sans-serif"/>
        <color rgb="FF1155CC"/>
        <sz val="12.0"/>
        <u/>
      </rPr>
      <t>.</t>
    </r>
    <r>
      <rPr>
        <rFont val="Arial, sans-serif"/>
        <color rgb="FF1155CC"/>
        <sz val="11.0"/>
        <u/>
      </rPr>
      <t>14 abr 2024</t>
    </r>
  </si>
  <si>
    <t>Epílogo, la razón por la que debes viajar cuanto antes a Tomelloso si eres de buen comer</t>
  </si>
  <si>
    <t>Tomelloso (Ciudad Real) es la capital de La Mancha, también la del vino (se la conoce oficiosamente como "el mayor viñedo del mundo").</t>
  </si>
  <si>
    <t>Epilogue, the reason why you should travel to Tomelloso as soon as possible if you are a good eater</t>
  </si>
  <si>
    <t>Tomelloso (Ciudad Real) is the capital of La Mancha, also the capital of wine (it is unofficially known as "the largest vineyard in the world").</t>
  </si>
  <si>
    <r>
      <rPr>
        <rFont val="Arial, sans-serif"/>
        <color rgb="FF1155CC"/>
        <sz val="9.0"/>
        <u/>
      </rPr>
      <t>Cinco Días</t>
    </r>
    <r>
      <rPr>
        <rFont val="Arial, sans-serif"/>
        <color rgb="FF1155CC"/>
        <sz val="15.0"/>
        <u/>
      </rPr>
      <t>Naturgy, la cotizada menos cotizada del Ibex</t>
    </r>
    <r>
      <rPr>
        <rFont val="Arial, sans-serif"/>
        <color rgb="FF1155CC"/>
        <sz val="11.0"/>
        <u/>
      </rPr>
      <t>La mínima liquidez penaliza el desempeño bursátil de la gasista, que se deja la quinta parte de su valor en lo que va de año. La bajada del gas también la...</t>
    </r>
    <r>
      <rPr>
        <rFont val="Arial, sans-serif"/>
        <color rgb="FF1155CC"/>
        <sz val="12.0"/>
        <u/>
      </rPr>
      <t>.</t>
    </r>
    <r>
      <rPr>
        <rFont val="Arial, sans-serif"/>
        <color rgb="FF1155CC"/>
        <sz val="11.0"/>
        <u/>
      </rPr>
      <t>14 abr 2024</t>
    </r>
  </si>
  <si>
    <t>Naturgy, la cotizada menos cotizada del Ibex</t>
  </si>
  <si>
    <t>La mínima liquidez penaliza el desempeño bursátil de la gasista, que se deja la quinta parte de su valor en lo que va de año. La bajada del gas también la....</t>
  </si>
  <si>
    <t>Naturgy, the least valued listed company on the Ibex</t>
  </si>
  <si>
    <t>The minimum liquidity penalizes the stock market performance of the gas company, which has lost a fifth of its value so far this year. The drop in gas also...</t>
  </si>
  <si>
    <r>
      <rPr>
        <rFont val="Arial, sans-serif"/>
        <color rgb="FF1155CC"/>
        <sz val="9.0"/>
        <u/>
      </rPr>
      <t>El Debate</t>
    </r>
    <r>
      <rPr>
        <rFont val="Arial, sans-serif"/>
        <color rgb="FF1155CC"/>
        <sz val="15.0"/>
        <u/>
      </rPr>
      <t>Bruselas autoriza el uso de combustibles sintéticos que permiten seguir conduciendo coches de combustión</t>
    </r>
    <r>
      <rPr>
        <rFont val="Arial, sans-serif"/>
        <color rgb="FF1155CC"/>
        <sz val="11.0"/>
        <u/>
      </rPr>
      <t>La Unión Europea oficializa en un Reglamento la vía de los combustibles sintéticos y cero emisiones que permitirá seguir usando coches gasolina y d...</t>
    </r>
    <r>
      <rPr>
        <rFont val="Arial, sans-serif"/>
        <color rgb="FF1155CC"/>
        <sz val="12.0"/>
        <u/>
      </rPr>
      <t>.</t>
    </r>
    <r>
      <rPr>
        <rFont val="Arial, sans-serif"/>
        <color rgb="FF1155CC"/>
        <sz val="11.0"/>
        <u/>
      </rPr>
      <t>14 abr 2024</t>
    </r>
  </si>
  <si>
    <t>Bruselas autoriza el uso de combustibles sintéticos que permiten seguir conduciendo coches de combustión</t>
  </si>
  <si>
    <t>La Unión Europea oficializa en un Reglamento la vía de los combustibles sintéticos y cero emisiones que permitirá seguir usando coches gasolina y d....</t>
  </si>
  <si>
    <t>Brussels authorizes the use of synthetic fuels that allow you to continue driving combustion cars</t>
  </si>
  <si>
    <t>The European Union formalizes in a Regulation the route of synthetic fuels and zero emissions that will allow the continued use of gasoline and diesel cars....</t>
  </si>
  <si>
    <t>Synthetic fuels regulation, sustainability</t>
  </si>
  <si>
    <t>Regulación de combustibles sintéticos, sostenibilidad</t>
  </si>
  <si>
    <t>Favorable regulatory changes support Repsol’s renewable fuel expansion.</t>
  </si>
  <si>
    <r>
      <rPr>
        <rFont val="Arial, sans-serif"/>
        <color rgb="FF1155CC"/>
        <sz val="9.0"/>
        <u/>
      </rPr>
      <t>OkDiario</t>
    </r>
    <r>
      <rPr>
        <rFont val="Arial, sans-serif"/>
        <color rgb="FF1155CC"/>
        <sz val="15.0"/>
        <u/>
      </rPr>
      <t>Aragón y Andalucía intercambian crías de quebrantahuesos para asegurar la diversidad genética</t>
    </r>
    <r>
      <rPr>
        <rFont val="Arial, sans-serif"/>
        <color rgb="FF1155CC"/>
        <sz val="11.0"/>
        <u/>
      </rPr>
      <t>Cuatro pollos de quebrantahuesos (Gypaetus barbatus) han viajado entre las comunidades autónomas de Aragón y Andalucía para mejorar la genética de esta...</t>
    </r>
    <r>
      <rPr>
        <rFont val="Arial, sans-serif"/>
        <color rgb="FF1155CC"/>
        <sz val="12.0"/>
        <u/>
      </rPr>
      <t>.</t>
    </r>
    <r>
      <rPr>
        <rFont val="Arial, sans-serif"/>
        <color rgb="FF1155CC"/>
        <sz val="11.0"/>
        <u/>
      </rPr>
      <t>14 abr 2024</t>
    </r>
  </si>
  <si>
    <t>Aragón y Andalucía intercambian crías de quebrantahuesos para asegurar la diversidad genética</t>
  </si>
  <si>
    <t>Cuatro pollos de quebrantahuesos (Gypaetus barbatus) han viajado entre las comunidades autónomas de Aragón y Andalucía para mejorar la genética de esta....</t>
  </si>
  <si>
    <t>Aragon and Andalusia exchange bearded vulture offspring to ensure genetic diversity</t>
  </si>
  <si>
    <t>Four bearded vulture chicks (Gypaetus barbatus) have traveled between the autonomous communities of Aragon and Andalusia to improve their genetics....</t>
  </si>
  <si>
    <r>
      <rPr>
        <rFont val="Arial, sans-serif"/>
        <color rgb="FF1155CC"/>
        <sz val="9.0"/>
        <u/>
      </rPr>
      <t>Viajes National Geographic</t>
    </r>
    <r>
      <rPr>
        <rFont val="Arial, sans-serif"/>
        <color rgb="FF1155CC"/>
        <sz val="15.0"/>
        <u/>
      </rPr>
      <t>El restaurante de un pueblo del Empordà donde comerse Girona en clave Michelin</t>
    </r>
    <r>
      <rPr>
        <rFont val="Arial, sans-serif"/>
        <color rgb="FF1155CC"/>
        <sz val="11.0"/>
        <u/>
      </rPr>
      <t>Albert Sastregener y Cristina Torrent se conocieron con menos de 20 años y más tarde se lanzaron a una aventura gastronómica que no ha dejado de darles...</t>
    </r>
    <r>
      <rPr>
        <rFont val="Arial, sans-serif"/>
        <color rgb="FF1155CC"/>
        <sz val="12.0"/>
        <u/>
      </rPr>
      <t>.</t>
    </r>
    <r>
      <rPr>
        <rFont val="Arial, sans-serif"/>
        <color rgb="FF1155CC"/>
        <sz val="11.0"/>
        <u/>
      </rPr>
      <t>14 abr 2024</t>
    </r>
  </si>
  <si>
    <t>Viajes National Geographic</t>
  </si>
  <si>
    <t>El restaurante de un pueblo del Empordà donde comerse Girona en clave Michelin</t>
  </si>
  <si>
    <t>Albert Sastregener y Cristina Torrent se conocieron con menos de 20 años y más tarde se lanzaron a una aventura gastronómica que no ha dejado de darles....</t>
  </si>
  <si>
    <t>The restaurant in a town in Empordà where you can eat Girona in a Michelin way</t>
  </si>
  <si>
    <t>Albert Sastregener and Cristina Torrent met when they were less than 20 years old and later embarked on a gastronomic adventure that has not stopped giving them...</t>
  </si>
  <si>
    <r>
      <rPr>
        <rFont val="Arial, sans-serif"/>
        <color rgb="FF1155CC"/>
        <sz val="9.0"/>
        <u/>
      </rPr>
      <t>Metropolitano.gal</t>
    </r>
    <r>
      <rPr>
        <rFont val="Arial, sans-serif"/>
        <color rgb="FF1155CC"/>
        <sz val="15.0"/>
        <u/>
      </rPr>
      <t>TakOsushi abrirá en Vigo un restaurante "único" donde los comensales elaboran sus platos</t>
    </r>
    <r>
      <rPr>
        <rFont val="Arial, sans-serif"/>
        <color rgb="FF1155CC"/>
        <sz val="11.0"/>
        <u/>
      </rPr>
      <t>Parte del equipo de PurOsushi ofrecéra en Vigo una nueva forma de disfrutar de la gastronomía japonesa en el restaurante TakOsushi.</t>
    </r>
    <r>
      <rPr>
        <rFont val="Arial, sans-serif"/>
        <color rgb="FF1155CC"/>
        <sz val="12.0"/>
        <u/>
      </rPr>
      <t>.</t>
    </r>
    <r>
      <rPr>
        <rFont val="Arial, sans-serif"/>
        <color rgb="FF1155CC"/>
        <sz val="11.0"/>
        <u/>
      </rPr>
      <t>14 abr 2024</t>
    </r>
  </si>
  <si>
    <t>TakOsushi abrirá en Vigo un restaurante "único" donde los comensales elaboran sus platos</t>
  </si>
  <si>
    <t>Parte del equipo de PurOsushi ofrecéra en Vigo una nueva forma de disfrutar de la gastronomía japonesa en el restaurante TakOsushi.</t>
  </si>
  <si>
    <t>TakOsushi will open a "unique" restaurant in Vigo where diners prepare their dishes</t>
  </si>
  <si>
    <t>Part of the PurOsushi team will offer a new way to enjoy Japanese cuisine in Vigo at the TakOsushi restaurant.</t>
  </si>
  <si>
    <r>
      <rPr>
        <rFont val="Arial, sans-serif"/>
        <color rgb="FF1155CC"/>
        <sz val="9.0"/>
        <u/>
      </rPr>
      <t>Diario de Avisos</t>
    </r>
    <r>
      <rPr>
        <rFont val="Arial, sans-serif"/>
        <color rgb="FF1155CC"/>
        <sz val="15.0"/>
        <u/>
      </rPr>
      <t>Su pan de masa madre es famoso y siempre venden nueva bollería: la panadería y pastelería de éxito en Tenerife</t>
    </r>
    <r>
      <rPr>
        <rFont val="Arial, sans-serif"/>
        <color rgb="FF1155CC"/>
        <sz val="11.0"/>
        <u/>
      </rPr>
      <t>Eladio Santos, el abuelo de esta historia, construyó un horno de leña en Fuencaliente. Corría el año 1937 y ahora, 87 años después, sus tres nietos, Rubén,...</t>
    </r>
    <r>
      <rPr>
        <rFont val="Arial, sans-serif"/>
        <color rgb="FF1155CC"/>
        <sz val="12.0"/>
        <u/>
      </rPr>
      <t>.</t>
    </r>
    <r>
      <rPr>
        <rFont val="Arial, sans-serif"/>
        <color rgb="FF1155CC"/>
        <sz val="11.0"/>
        <u/>
      </rPr>
      <t>14 abr 2024</t>
    </r>
  </si>
  <si>
    <t>Su pan de masa madre es famoso y siempre venden nueva bollería: la panadería y pastelería de éxito en Tenerife</t>
  </si>
  <si>
    <t>Eladio Santos, el abuelo de esta historia, construyó un horno de leña en Fuencaliente. Corría el año 1937 y ahora, 87 años después, sus tres nietos, Rubén,....</t>
  </si>
  <si>
    <t>Their sourdough bread is famous and they always sell new pastries: the successful bakery and pastry shop in Tenerife</t>
  </si>
  <si>
    <t>Eladio Santos, the grandfather of this story, built a wood oven in Fuencaliente. The year was 1937 and now, 87 years later, his three grandchildren, Rubén,...</t>
  </si>
  <si>
    <r>
      <rPr>
        <rFont val="Arial, sans-serif"/>
        <color rgb="FF1155CC"/>
        <sz val="9.0"/>
        <u/>
      </rPr>
      <t>Correo del Sur</t>
    </r>
    <r>
      <rPr>
        <rFont val="Arial, sans-serif"/>
        <color rgb="FF1155CC"/>
        <sz val="15.0"/>
        <u/>
      </rPr>
      <t>Dorgathen afirma que lo del “mar de gas” fue una mentira del exministro Sánchez y que Evo lo sabía</t>
    </r>
    <r>
      <rPr>
        <rFont val="Arial, sans-serif"/>
        <color rgb="FF1155CC"/>
        <sz val="11.0"/>
        <u/>
      </rPr>
      <t>El presidente de YPFB afirmó que el exministro de Hidrocarburos, José Alberto Sánchez, mintió sobre los resultados del pozo BoyuyX-2 y que Evo Morales apoyó...</t>
    </r>
    <r>
      <rPr>
        <rFont val="Arial, sans-serif"/>
        <color rgb="FF1155CC"/>
        <sz val="12.0"/>
        <u/>
      </rPr>
      <t>.</t>
    </r>
    <r>
      <rPr>
        <rFont val="Arial, sans-serif"/>
        <color rgb="FF1155CC"/>
        <sz val="11.0"/>
        <u/>
      </rPr>
      <t>14 abr 2024</t>
    </r>
  </si>
  <si>
    <t>Correo del Sur</t>
  </si>
  <si>
    <t>Dorgathen afirma que lo del “mar de gas” fue una mentira del exministro Sánchez y que Evo lo sabía</t>
  </si>
  <si>
    <t>El presidente de YPFB afirmó que el exministro de Hidrocarburos, José Alberto Sánchez, mintió sobre los resultados del pozo BoyuyX-2 y que Evo Morales apoyó....</t>
  </si>
  <si>
    <t>Dorgathen affirms that the “sea of ​​gas” was a lie by former Minister Sánchez and that Evo knew it</t>
  </si>
  <si>
    <t>The president of YPFB affirmed that the former Minister of Hydrocarbons, José Alberto Sánchez, lied about the results of the BoyuyX-2 well and that Evo Morales supported....</t>
  </si>
  <si>
    <r>
      <rPr>
        <rFont val="Arial, sans-serif"/>
        <color rgb="FF1155CC"/>
        <sz val="9.0"/>
        <u/>
      </rPr>
      <t>EL PAÍS</t>
    </r>
    <r>
      <rPr>
        <rFont val="Arial, sans-serif"/>
        <color rgb="FF1155CC"/>
        <sz val="15.0"/>
        <u/>
      </rPr>
      <t>Ecologistas y consumidores se unen para denunciar a Repsol por ecopostureo ante la CNMC y Consumo</t>
    </r>
    <r>
      <rPr>
        <rFont val="Arial, sans-serif"/>
        <color rgb="FF1155CC"/>
        <sz val="11.0"/>
        <u/>
      </rPr>
      <t>Más problemas para Repsol, la principal petrolera de España, por presuntas prácticas de greenwashing o ecopostureo. Dos de las organizaciones ecologistas de...</t>
    </r>
    <r>
      <rPr>
        <rFont val="Arial, sans-serif"/>
        <color rgb="FF1155CC"/>
        <sz val="12.0"/>
        <u/>
      </rPr>
      <t>.</t>
    </r>
    <r>
      <rPr>
        <rFont val="Arial, sans-serif"/>
        <color rgb="FF1155CC"/>
        <sz val="11.0"/>
        <u/>
      </rPr>
      <t>15 abr 2024</t>
    </r>
  </si>
  <si>
    <t>Ecologistas y consumidores se unen para denunciar a Repsol por ecopostureo ante la CNMC y Consumo</t>
  </si>
  <si>
    <t>Más problemas para Repsol, la principal petrolera de España, por presuntas prácticas de greenwashing o ecopostureo. Dos de las organizaciones ecologistas de....</t>
  </si>
  <si>
    <t>Environmentalists and consumers come together to denounce Repsol for eco-posturing before the CNMC and Consumer Affairs</t>
  </si>
  <si>
    <t>More problems for Repsol, Spain's main oil company, due to alleged greenwashing or ecoposturing practices. Two of the environmental organizations of...</t>
  </si>
  <si>
    <t>Repsol environmental controversy, public opposition</t>
  </si>
  <si>
    <t>Polémica medioambiental de Repsol, oposición pública</t>
  </si>
  <si>
    <t>Public opposition from environmental groups may damage Repsol’s sustainability reputation.</t>
  </si>
  <si>
    <t>denuncian, ecopostureo</t>
  </si>
  <si>
    <t>Negative environmental criticism.</t>
  </si>
  <si>
    <t>Crítica medioambiental negativa.</t>
  </si>
  <si>
    <r>
      <rPr>
        <rFont val="Arial, sans-serif"/>
        <color rgb="FF1155CC"/>
        <sz val="9.0"/>
        <u/>
      </rPr>
      <t>Guía Repsol</t>
    </r>
    <r>
      <rPr>
        <rFont val="Arial, sans-serif"/>
        <color rgb="FF1155CC"/>
        <sz val="15.0"/>
        <u/>
      </rPr>
      <t>Qué leer en el día del libro: los libreros recomiendan</t>
    </r>
    <r>
      <rPr>
        <rFont val="Arial, sans-serif"/>
        <color rgb="FF1155CC"/>
        <sz val="11.0"/>
        <u/>
      </rPr>
      <t>Incluso en fechas clave para la industria editorial, hay profesionales que sacan un rato para descolgar el teléfono y regalar un par de pistas.</t>
    </r>
    <r>
      <rPr>
        <rFont val="Arial, sans-serif"/>
        <color rgb="FF1155CC"/>
        <sz val="12.0"/>
        <u/>
      </rPr>
      <t>.</t>
    </r>
    <r>
      <rPr>
        <rFont val="Arial, sans-serif"/>
        <color rgb="FF1155CC"/>
        <sz val="11.0"/>
        <u/>
      </rPr>
      <t>15 abr 2024</t>
    </r>
  </si>
  <si>
    <t>Qué leer en el día del libro: los libreros recomiendan</t>
  </si>
  <si>
    <t>Incluso en fechas clave para la industria editorial, hay profesionales que sacan un rato para descolgar el teléfono y regalar un par de pistas.</t>
  </si>
  <si>
    <t>What to read on book day: booksellers recommend</t>
  </si>
  <si>
    <t>Even on key dates for the publishing industry, there are professionals who take time to pick up the phone and give away a couple of clues.</t>
  </si>
  <si>
    <r>
      <rPr>
        <rFont val="Arial, sans-serif"/>
        <color rgb="FF1155CC"/>
        <sz val="9.0"/>
        <u/>
      </rPr>
      <t>MiCiudadReal.es</t>
    </r>
    <r>
      <rPr>
        <rFont val="Arial, sans-serif"/>
        <color rgb="FF1155CC"/>
        <sz val="15.0"/>
        <u/>
      </rPr>
      <t>Repsol premia el mejor trabajo de fin de grado en el ámbito de la Energía de Ingeniería Industrial</t>
    </r>
    <r>
      <rPr>
        <rFont val="Arial, sans-serif"/>
        <color rgb="FF1155CC"/>
        <sz val="11.0"/>
        <u/>
      </rPr>
      <t>El Complejo Industrial de Repsol en Puertollano patrocina el Premio Repsol Energía al mejor trabajo fin de estudios del grado de Ingeniería Industrial,...</t>
    </r>
    <r>
      <rPr>
        <rFont val="Arial, sans-serif"/>
        <color rgb="FF1155CC"/>
        <sz val="12.0"/>
        <u/>
      </rPr>
      <t>.</t>
    </r>
    <r>
      <rPr>
        <rFont val="Arial, sans-serif"/>
        <color rgb="FF1155CC"/>
        <sz val="11.0"/>
        <u/>
      </rPr>
      <t>15 abr 2024</t>
    </r>
  </si>
  <si>
    <t>Repsol premia el mejor trabajo de fin de grado en el ámbito de la Energía de Ingeniería Industrial</t>
  </si>
  <si>
    <t>El Complejo Industrial de Repsol en Puertollano patrocina el Premio Repsol Energía al mejor trabajo fin de estudios del grado de Ingeniería Industrial,...</t>
  </si>
  <si>
    <t>Repsol awards the best final degree project in the field of Industrial Engineering Energy</t>
  </si>
  <si>
    <t>The Repsol Industrial Complex in Puertollano sponsors the Repsol Energy Award for the best final project for the degree in Industrial Engineering,...</t>
  </si>
  <si>
    <t>Repsol education initiative, corporate social responsibility</t>
  </si>
  <si>
    <t>Iniciativa Repsol de educación, responsabilidad social corporativa</t>
  </si>
  <si>
    <t>Supporting academic excellence strengthens Repsol’s reputation.</t>
  </si>
  <si>
    <t>premia, mejor trabajo</t>
  </si>
  <si>
    <t>Positive CSR initiative.</t>
  </si>
  <si>
    <t>Iniciativa positiva de RSE.</t>
  </si>
  <si>
    <r>
      <rPr>
        <rFont val="Arial, sans-serif"/>
        <color rgb="FF1155CC"/>
        <sz val="9.0"/>
        <u/>
      </rPr>
      <t>diarimes.com</t>
    </r>
    <r>
      <rPr>
        <rFont val="Arial, sans-serif"/>
        <color rgb="FF1155CC"/>
        <sz val="15.0"/>
        <u/>
      </rPr>
      <t>Javier Sancho: «La parada del 2026 en el cracker permitirá reducir 150.000 toneladas al año de CO2»</t>
    </r>
    <r>
      <rPr>
        <rFont val="Arial, sans-serif"/>
        <color rgb="FF1155CC"/>
        <sz val="11.0"/>
        <u/>
      </rPr>
      <t>El director del Complejo Industrial de Repsol en Tarragona habla con Diario Más de los retos de la descarbonización, la economía circular,...</t>
    </r>
    <r>
      <rPr>
        <rFont val="Arial, sans-serif"/>
        <color rgb="FF1155CC"/>
        <sz val="12.0"/>
        <u/>
      </rPr>
      <t>.</t>
    </r>
    <r>
      <rPr>
        <rFont val="Arial, sans-serif"/>
        <color rgb="FF1155CC"/>
        <sz val="11.0"/>
        <u/>
      </rPr>
      <t>15 abr 2024</t>
    </r>
  </si>
  <si>
    <t>La parada del 2026 en el cracker permitirá reducir 150.000 toneladas al año de CO2</t>
  </si>
  <si>
    <t>El director del Complejo Industrial de Repsol en Tarragona habla con Diario Más de los retos de la descarbonización, la economía circular,....</t>
  </si>
  <si>
    <t>The 2026 shutdown of the cracker will allow the reduction of 150,000 tons of CO2 per year</t>
  </si>
  <si>
    <t>The director of the Repsol Industrial Complex in Tarragona speaks with Diario Más about the challenges of decarbonization, the circular economy,....</t>
  </si>
  <si>
    <t>Repsol renewable hydrogen, energy transition</t>
  </si>
  <si>
    <t>Repsol hidrógeno renovable, transición energética</t>
  </si>
  <si>
    <t>Advancing hydrogen projects aligns with Repsol’s clean energy goals.</t>
  </si>
  <si>
    <t>reducir CO2</t>
  </si>
  <si>
    <t>Positive environmental impact.</t>
  </si>
  <si>
    <t>Impacto ambiental positivo.</t>
  </si>
  <si>
    <r>
      <rPr>
        <rFont val="Arial, sans-serif"/>
        <color rgb="FF1155CC"/>
        <sz val="9.0"/>
        <u/>
      </rPr>
      <t>La Voz de Puertollano</t>
    </r>
    <r>
      <rPr>
        <rFont val="Arial, sans-serif"/>
        <color rgb="FF1155CC"/>
        <sz val="15.0"/>
        <u/>
      </rPr>
      <t>Marcha a buen ritmo la mayor parada realizada hasta la fecha en el Complejo industrial de Repsol en Puertollano</t>
    </r>
    <r>
      <rPr>
        <rFont val="Arial, sans-serif"/>
        <color rgb="FF1155CC"/>
        <sz val="11.0"/>
        <u/>
      </rPr>
      <t>Marcha a buen ritmo la mayor parada realizada hasta la fecha en el Complejo industrial de Repsol en Puertollano.</t>
    </r>
    <r>
      <rPr>
        <rFont val="Arial, sans-serif"/>
        <color rgb="FF1155CC"/>
        <sz val="12.0"/>
        <u/>
      </rPr>
      <t>.</t>
    </r>
    <r>
      <rPr>
        <rFont val="Arial, sans-serif"/>
        <color rgb="FF1155CC"/>
        <sz val="11.0"/>
        <u/>
      </rPr>
      <t>15 abr 2024</t>
    </r>
  </si>
  <si>
    <t>La Voz de Puertollano</t>
  </si>
  <si>
    <t>Marcha a buen ritmo la mayor parada realizada hasta la fecha en el Complejo industrial de Repsol en Puertollano</t>
  </si>
  <si>
    <t>Marcha a buen ritmo la mayor parada realizada hasta la fecha en el Complejo industrial de Repsol en Puertollano.</t>
  </si>
  <si>
    <t>The largest stoppage to date at the Repsol Industrial Complex in Puertollano is underway at a good pace</t>
  </si>
  <si>
    <t>The largest stoppage to date at the Repsol Industrial Complex in Puertollano is underway at a good pace.</t>
  </si>
  <si>
    <t>Routine maintenance ensures long-term operational stability but has limited public impact.</t>
  </si>
  <si>
    <t>buen ritmo</t>
  </si>
  <si>
    <r>
      <rPr>
        <rFont val="Arial, sans-serif"/>
        <color rgb="FF1155CC"/>
        <sz val="9.0"/>
        <u/>
      </rPr>
      <t>20Minutos</t>
    </r>
    <r>
      <rPr>
        <rFont val="Arial, sans-serif"/>
        <color rgb="FF1155CC"/>
        <sz val="15.0"/>
        <u/>
      </rPr>
      <t>Del aceite de cocina al depósito del avión: la producción de combustible sostenible para aviación despega al nivel industrial en España</t>
    </r>
    <r>
      <rPr>
        <rFont val="Arial, sans-serif"/>
        <color rgb="FF1155CC"/>
        <sz val="11.0"/>
        <u/>
      </rPr>
      <t>España vive un boom de producción de SAF con la primera planta específica de Repsol y proyectos de Cepsa y Solarig.</t>
    </r>
    <r>
      <rPr>
        <rFont val="Arial, sans-serif"/>
        <color rgb="FF1155CC"/>
        <sz val="12.0"/>
        <u/>
      </rPr>
      <t>.</t>
    </r>
    <r>
      <rPr>
        <rFont val="Arial, sans-serif"/>
        <color rgb="FF1155CC"/>
        <sz val="11.0"/>
        <u/>
      </rPr>
      <t>15 abr 2024</t>
    </r>
  </si>
  <si>
    <t>Del aceite de cocina al depósito del avión: la producción de combustible sostenible para aviación despega al nivel industrial en España</t>
  </si>
  <si>
    <t>España vive un boom de producción de SAF con la primera planta específica de Repsol y proyectos de Cepsa y Solarig.</t>
  </si>
  <si>
    <t>From cooking oil to the airplane tank: the production of sustainable aviation fuel takes off at the industrial level in Spain</t>
  </si>
  <si>
    <t>Spain is experiencing a SAF production boom with the first specific Repsol plant and projects by Cepsa and Solarig.</t>
  </si>
  <si>
    <t>Repsol biofuels, sustainability</t>
  </si>
  <si>
    <t>Biocombustibles Repsol, sostenibilidad</t>
  </si>
  <si>
    <t>Advancing biofuels supports Repsol’s renewable energy strategy.</t>
  </si>
  <si>
    <t>combustible sostenible</t>
  </si>
  <si>
    <t>Positive green energy milestone.</t>
  </si>
  <si>
    <t>Hito positivo de energía verde.</t>
  </si>
  <si>
    <r>
      <rPr>
        <rFont val="Arial, sans-serif"/>
        <color rgb="FF1155CC"/>
        <sz val="9.0"/>
        <u/>
      </rPr>
      <t>Box Repsol</t>
    </r>
    <r>
      <rPr>
        <rFont val="Arial, sans-serif"/>
        <color rgb="FF1155CC"/>
        <sz val="15.0"/>
        <u/>
      </rPr>
      <t>XXX Concentración de Motos Lago de Sanabria</t>
    </r>
    <r>
      <rPr>
        <rFont val="Arial, sans-serif"/>
        <color rgb="FF1155CC"/>
        <sz val="11.0"/>
        <u/>
      </rPr>
      <t>Explora la emoción y la camaradería en la Concentración de motos Lago de Sanabria 2024. Descubre su programación y cómo vivir esta experiencia única.</t>
    </r>
    <r>
      <rPr>
        <rFont val="Arial, sans-serif"/>
        <color rgb="FF1155CC"/>
        <sz val="12.0"/>
        <u/>
      </rPr>
      <t>.</t>
    </r>
    <r>
      <rPr>
        <rFont val="Arial, sans-serif"/>
        <color rgb="FF1155CC"/>
        <sz val="11.0"/>
        <u/>
      </rPr>
      <t>15 abr 2024</t>
    </r>
  </si>
  <si>
    <t>Concentración de Motos Lago de Sanabria</t>
  </si>
  <si>
    <t>Explora la emoción y la camaradería en la Concentración de motos Lago de Sanabria 2024. Descubre su programación y cómo vivir esta experiencia única.</t>
  </si>
  <si>
    <t>Sanabria Lake Motorcycle Concentration</t>
  </si>
  <si>
    <t>Explore the excitement and camaraderie at the Lago de Sanabria 2024 Motorcycle Rally. Discover its programming and how to live this unique experience.</t>
  </si>
  <si>
    <r>
      <rPr>
        <rFont val="Arial, sans-serif"/>
        <color rgb="FF1155CC"/>
        <sz val="9.0"/>
        <u/>
      </rPr>
      <t>El Comercio Perú</t>
    </r>
    <r>
      <rPr>
        <rFont val="Arial, sans-serif"/>
        <color rgb="FF1155CC"/>
        <sz val="15.0"/>
        <u/>
      </rPr>
      <t>Denuncian estafa a afectados por derrame de Repsol: abogados y dirigentes ofrecen gestionar indemnización a cambio de dinero</t>
    </r>
    <r>
      <rPr>
        <rFont val="Arial, sans-serif"/>
        <color rgb="FF1155CC"/>
        <sz val="11.0"/>
        <u/>
      </rPr>
      <t>Han transcurrido ya más de dos años desde que se produjo el derrame de petróleo en el terminal multiboyas N°2 de la Refinería La Pampilla, de Repsol,...</t>
    </r>
    <r>
      <rPr>
        <rFont val="Arial, sans-serif"/>
        <color rgb="FF1155CC"/>
        <sz val="12.0"/>
        <u/>
      </rPr>
      <t>.</t>
    </r>
    <r>
      <rPr>
        <rFont val="Arial, sans-serif"/>
        <color rgb="FF1155CC"/>
        <sz val="11.0"/>
        <u/>
      </rPr>
      <t>15 abr 2024</t>
    </r>
  </si>
  <si>
    <t>Denuncian estafa a afectados por derrame de Repsol: abogados y dirigentes ofrecen gestionar indemnización a cambio de dinero</t>
  </si>
  <si>
    <t>Denuncian estafa a afectados por derrame de Repsol: abogados y dirigentes ofrecen gestionar indemnización a cambio de dinero.</t>
  </si>
  <si>
    <t>They denounce a scam against those affected by the Repsol spill: lawyers and leaders offer to arrange compensation in exchange for money</t>
  </si>
  <si>
    <t>They denounce a scam against those affected by the Repsol spill: lawyers and leaders offer to arrange compensation in exchange for money.</t>
  </si>
  <si>
    <t>Repsol oil spill, legal controversy</t>
  </si>
  <si>
    <t>Derrame de petróleo de Repsol, polémica jurídica</t>
  </si>
  <si>
    <t>Legal issues related to past oil spills may harm Repsol’s reputation.</t>
  </si>
  <si>
    <t>estafa, derrame</t>
  </si>
  <si>
    <t>Negative reputational damage.</t>
  </si>
  <si>
    <t>Daño reputacional negativo.</t>
  </si>
  <si>
    <r>
      <rPr>
        <rFont val="Arial, sans-serif"/>
        <color rgb="FF1155CC"/>
        <sz val="9.0"/>
        <u/>
      </rPr>
      <t>Diario de Valderrueda</t>
    </r>
    <r>
      <rPr>
        <rFont val="Arial, sans-serif"/>
        <color rgb="FF1155CC"/>
        <sz val="15.0"/>
        <u/>
      </rPr>
      <t>El popular restaurante La Única de Oceja de Valdellorma cerrará al no encontrar trabajadores</t>
    </r>
    <r>
      <rPr>
        <rFont val="Arial, sans-serif"/>
        <color rgb="FF1155CC"/>
        <sz val="11.0"/>
        <u/>
      </rPr>
      <t>Diario de Valderrueda - Poco más de tres años después de iniciar su proyecto de alta cocina en la Montaña Leonesa, y tras haber sido recomendado en la Guía...</t>
    </r>
    <r>
      <rPr>
        <rFont val="Arial, sans-serif"/>
        <color rgb="FF1155CC"/>
        <sz val="12.0"/>
        <u/>
      </rPr>
      <t>.</t>
    </r>
    <r>
      <rPr>
        <rFont val="Arial, sans-serif"/>
        <color rgb="FF1155CC"/>
        <sz val="11.0"/>
        <u/>
      </rPr>
      <t>15 abr 2024</t>
    </r>
  </si>
  <si>
    <t>El popular restaurante La Única de Oceja de Valdellorma cerrará al no encontrar trabajadores</t>
  </si>
  <si>
    <t>El popular restaurante La Única de Oceja de Valdellorma cerrará al no encontrar trabajadores.</t>
  </si>
  <si>
    <t>The popular restaurant La Única de Oceja de Valdellorma will close due to not finding workers</t>
  </si>
  <si>
    <t>The popular restaurant La Única de Oceja de Valdellorma will close due to not finding workers.</t>
  </si>
  <si>
    <r>
      <rPr>
        <rFont val="Arial, sans-serif"/>
        <color rgb="FF1155CC"/>
        <sz val="9.0"/>
        <u/>
      </rPr>
      <t>Agencia de Noticias Fides</t>
    </r>
    <r>
      <rPr>
        <rFont val="Arial, sans-serif"/>
        <color rgb="FF1155CC"/>
        <sz val="15.0"/>
        <u/>
      </rPr>
      <t>Capitanía guaraní de Parapitiguasu protesta contra Repsol y amenaza con cerrar válvulas de gas</t>
    </r>
    <r>
      <rPr>
        <rFont val="Arial, sans-serif"/>
        <color rgb="FF1155CC"/>
        <sz val="11.0"/>
        <u/>
      </rPr>
      <t>La capitanía pide una compensación, la empresa Repsol mediante una carta dijo que no corresponde y que tampoco amerita una consulta previa porque el...</t>
    </r>
    <r>
      <rPr>
        <rFont val="Arial, sans-serif"/>
        <color rgb="FF1155CC"/>
        <sz val="12.0"/>
        <u/>
      </rPr>
      <t>.</t>
    </r>
    <r>
      <rPr>
        <rFont val="Arial, sans-serif"/>
        <color rgb="FF1155CC"/>
        <sz val="11.0"/>
        <u/>
      </rPr>
      <t>15 abr 2024</t>
    </r>
  </si>
  <si>
    <t>Agencia de Noticias Fides</t>
  </si>
  <si>
    <t>Capitanía guaraní de Parapitiguasu protesta contra Repsol y amenaza con cerrar válvulas de gas</t>
  </si>
  <si>
    <t>La capitanía pide una compensación, la empresa Repsol mediante una carta dijo que no corresponde y que tampoco amerita una consulta previa porque el....</t>
  </si>
  <si>
    <t>Guaraní captaincy of Parapitiguasu protests against Repsol and threatens to close gas valves</t>
  </si>
  <si>
    <t>The captaincy asks for compensation, the Repsol company through a letter said that it does not correspond and that it does not merit a prior consultation because the...</t>
  </si>
  <si>
    <t>Repsol environmental controversy, legal dispute</t>
  </si>
  <si>
    <t>Polémica medioambiental de Repsol, disputa jurídica</t>
  </si>
  <si>
    <t>Disputes over environmental damages can impact Repsol’s reputation.</t>
  </si>
  <si>
    <t>protesta, amenaza</t>
  </si>
  <si>
    <t>Negative community conflict.</t>
  </si>
  <si>
    <t>Conflicto comunitario negativo.</t>
  </si>
  <si>
    <r>
      <rPr>
        <rFont val="Arial, sans-serif"/>
        <color rgb="FF1155CC"/>
        <sz val="9.0"/>
        <u/>
      </rPr>
      <t>Los Tiempos</t>
    </r>
    <r>
      <rPr>
        <rFont val="Arial, sans-serif"/>
        <color rgb="FF1155CC"/>
        <sz val="15.0"/>
        <u/>
      </rPr>
      <t>Evo Morales y su ministro de Hidrocarburos le mintieron al país sobre el “mar de gas”</t>
    </r>
    <r>
      <rPr>
        <color rgb="FF1155CC"/>
        <sz val="11.0"/>
        <u/>
      </rPr>
      <t>El 2019, Evo Morales, que fungía como presidente del Estado, y el entonces ministro de Hidrocarburos y Energías, José Alberto Sánchez, le mintieron al país...</t>
    </r>
    <r>
      <rPr>
        <color rgb="FF1155CC"/>
        <u/>
      </rPr>
      <t>.</t>
    </r>
    <r>
      <rPr>
        <color rgb="FF1155CC"/>
        <sz val="11.0"/>
        <u/>
      </rPr>
      <t>15 abr 2024</t>
    </r>
  </si>
  <si>
    <t>Los Tiempos</t>
  </si>
  <si>
    <t>Evo Morales y su ministro de Hidrocarburos le mintieron al país sobre el “mar de gas”</t>
  </si>
  <si>
    <t>Evo Morales, que fungía como presidente del Estado, y el entonces ministro de Hidrocarburos y Energías, José Alberto Sánchez, le mintieron al país.</t>
  </si>
  <si>
    <t>Evo Morales and his Minister of Hydrocarbons lied to the country about the “sea of ​​gas”</t>
  </si>
  <si>
    <t>Evo Morales, who served as president of the State, and the then Minister of Hydrocarbons and Energy, José Alberto Sánchez, lied to the country.</t>
  </si>
  <si>
    <r>
      <rPr>
        <rFont val="Arial, sans-serif"/>
        <color rgb="FF1155CC"/>
        <sz val="9.0"/>
        <u/>
      </rPr>
      <t>Climática</t>
    </r>
    <r>
      <rPr>
        <rFont val="Arial, sans-serif"/>
        <color rgb="FF1155CC"/>
        <sz val="15.0"/>
        <u/>
      </rPr>
      <t>Consumidores y ecologistas denuncian a Repsol por publicidad engañosa</t>
    </r>
    <r>
      <rPr>
        <rFont val="Arial, sans-serif"/>
        <color rgb="FF1155CC"/>
        <sz val="11.0"/>
        <u/>
      </rPr>
      <t>Las organizaciones Ecologistas en Acción, Federación de Consumidores y Usuarios (CECU) y Greenpeace han presentado sendas denuncias por «declaraciones...</t>
    </r>
    <r>
      <rPr>
        <rFont val="Arial, sans-serif"/>
        <color rgb="FF1155CC"/>
        <sz val="12.0"/>
        <u/>
      </rPr>
      <t>.</t>
    </r>
    <r>
      <rPr>
        <rFont val="Arial, sans-serif"/>
        <color rgb="FF1155CC"/>
        <sz val="11.0"/>
        <u/>
      </rPr>
      <t>16 abr 2024</t>
    </r>
  </si>
  <si>
    <t>Ecologistas en Acción, Federación de Consumidores y Usuarios (CECU), Greenpeace</t>
  </si>
  <si>
    <t>Consumidores y ecologistas denuncian a Repsol por publicidad engañosa</t>
  </si>
  <si>
    <t>Las organizaciones Ecologistas en Acción, Federación de Consumidores y Usuarios (CECU) y Greenpeace han presentado sendas denuncias por «declaraciones engañosas» en la publicidad de Repsol.</t>
  </si>
  <si>
    <t>Consumers and environmentalists denounce Repsol for misleading advertising</t>
  </si>
  <si>
    <t>The organizations Ecologists in Action, Federation of Consumers and Users (CECU) and Greenpeace have filed complaints for "misleading statements" in Repsol advertising.</t>
  </si>
  <si>
    <t>Accusations of greenwashing can damage Repsol’s sustainability reputation.</t>
  </si>
  <si>
    <t>denuncian, engañosa</t>
  </si>
  <si>
    <t>Negative legal/ethical issue.</t>
  </si>
  <si>
    <t>Cuestión legal/ética negativa.</t>
  </si>
  <si>
    <r>
      <rPr>
        <rFont val="Arial, sans-serif"/>
        <color rgb="FF1155CC"/>
        <sz val="9.0"/>
        <u/>
      </rPr>
      <t>Energías Renovables, el periodismo de las energías limpias.</t>
    </r>
    <r>
      <rPr>
        <rFont val="Arial, sans-serif"/>
        <color rgb="FF1155CC"/>
        <sz val="15.0"/>
        <u/>
      </rPr>
      <t>Consumidores y ecologistas denuncian a Repsol por ocultar los impactos ambientales de su biodiésel</t>
    </r>
    <r>
      <rPr>
        <rFont val="Arial, sans-serif"/>
        <color rgb="FF1155CC"/>
        <sz val="11.0"/>
        <u/>
      </rPr>
      <t>La CECU, Ecologistas en Acción y Greenpeace vinculan las actividades de Repsol con la deforestación en Indonesia derivada del cultivo de aceite de palma.</t>
    </r>
    <r>
      <rPr>
        <rFont val="Arial, sans-serif"/>
        <color rgb="FF1155CC"/>
        <sz val="12.0"/>
        <u/>
      </rPr>
      <t>.</t>
    </r>
    <r>
      <rPr>
        <rFont val="Arial, sans-serif"/>
        <color rgb="FF1155CC"/>
        <sz val="11.0"/>
        <u/>
      </rPr>
      <t>16 abr 2024</t>
    </r>
  </si>
  <si>
    <t>Consumidores y ecologistas denuncian a Repsol por ocultar los impactos ambientales de su biodiésel</t>
  </si>
  <si>
    <t>Consumidores y ecologistas denuncian a Repsol por ocultar los impactos ambientales de su biodiésel. La CECU, Ecologistas en Acción y Greenpeace vinculan las actividades de Repsol con la deforestación en Indonesia derivada del cultivo de aceite de palma.</t>
  </si>
  <si>
    <t>Consumers and environmentalists denounce Repsol for hiding the environmental impacts of its biodiesel</t>
  </si>
  <si>
    <t>Consumers and environmentalists denounce Repsol for hiding the environmental impacts of its biodiesel. The CECU, Ecologistas en Acción and Greenpeace link Repsol's activities with the deforestation in Indonesia derived from the cultivation of palm oil.</t>
  </si>
  <si>
    <t>Repeated allegations of misleading sustainability practices could harm Repsol’s credibility.</t>
  </si>
  <si>
    <t>impactos ambientales</t>
  </si>
  <si>
    <r>
      <rPr>
        <rFont val="Arial, sans-serif"/>
        <color rgb="FF1155CC"/>
        <sz val="9.0"/>
        <u/>
      </rPr>
      <t>elDiario.es</t>
    </r>
    <r>
      <rPr>
        <rFont val="Arial, sans-serif"/>
        <color rgb="FF1155CC"/>
        <sz val="15.0"/>
        <u/>
      </rPr>
      <t>Autocontrol desestima una reclamación de Iberdrola contra Repsol por publicidad engañosa</t>
    </r>
    <r>
      <rPr>
        <rFont val="Arial, sans-serif"/>
        <color rgb="FF1155CC"/>
        <sz val="11.0"/>
        <u/>
      </rPr>
      <t>El organismo impone a Iberdrola el pago de las tasas que eventualmente pudieran devengarse por la tramitación del procedimiento.</t>
    </r>
    <r>
      <rPr>
        <rFont val="Arial, sans-serif"/>
        <color rgb="FF1155CC"/>
        <sz val="12.0"/>
        <u/>
      </rPr>
      <t>.</t>
    </r>
    <r>
      <rPr>
        <rFont val="Arial, sans-serif"/>
        <color rgb="FF1155CC"/>
        <sz val="11.0"/>
        <u/>
      </rPr>
      <t>16 abr 2024</t>
    </r>
  </si>
  <si>
    <t>Autocontrol desestima una reclamación de Iberdrola contra Repsol por publicidad engañosa</t>
  </si>
  <si>
    <t>El organismo impone a Iberdrola el pago de las tasas que eventualmente pudieran devengarse por la tramitación del procedimiento.</t>
  </si>
  <si>
    <t>Autocontrol rejects a claim by Iberdrola against Repsol for misleading advertising</t>
  </si>
  <si>
    <t>The organization imposes on Iberdrola the payment of any fees that may eventually accrue for the processing of the procedure.</t>
  </si>
  <si>
    <t>Repsol legal dispute, advertising regulation</t>
  </si>
  <si>
    <t>Conflicto judicial Repsol, regulación publicitaria</t>
  </si>
  <si>
    <t>Winning a legal case reinforces Repsol’s credibility.</t>
  </si>
  <si>
    <t>desestima reclamación</t>
  </si>
  <si>
    <t>Positive legal outcome.</t>
  </si>
  <si>
    <t>Resultado jurídico positivo.</t>
  </si>
  <si>
    <r>
      <rPr>
        <rFont val="Arial, sans-serif"/>
        <color rgb="FF1155CC"/>
        <sz val="9.0"/>
        <u/>
      </rPr>
      <t>El Salto</t>
    </r>
    <r>
      <rPr>
        <rFont val="Arial, sans-serif"/>
        <color rgb="FF1155CC"/>
        <sz val="15.0"/>
        <u/>
      </rPr>
      <t>Repsol, denunciada ante Competencia y Consumo por publicidad engañosa</t>
    </r>
    <r>
      <rPr>
        <rFont val="Arial, sans-serif"/>
        <color rgb="FF1155CC"/>
        <sz val="11.0"/>
        <u/>
      </rPr>
      <t>Ecologistas en Acción, la Federación de Consumidores y Usuarios CECU y Greenpeace España denuncian ante la Comisión Nacional de los Mercados y de la...</t>
    </r>
    <r>
      <rPr>
        <rFont val="Arial, sans-serif"/>
        <color rgb="FF1155CC"/>
        <sz val="12.0"/>
        <u/>
      </rPr>
      <t>.</t>
    </r>
    <r>
      <rPr>
        <rFont val="Arial, sans-serif"/>
        <color rgb="FF1155CC"/>
        <sz val="11.0"/>
        <u/>
      </rPr>
      <t>16 abr 2024</t>
    </r>
  </si>
  <si>
    <t>Repsol, denunciada ante Competencia y Consumo por publicidad engañosa</t>
  </si>
  <si>
    <t>Ecologistas en Acción, la Federación de Consumidores y Usuarios CECU y Greenpeace España denuncian ante la Comisión Nacional de los Mercados y de la....</t>
  </si>
  <si>
    <t>Repsol, reported to Competition and Consumer Affairs for misleading advertising</t>
  </si>
  <si>
    <t>Ecologists in Action, the Federation of Consumers and Users CECU and Greenpeace Spain denounce before the National Commission of Markets and...</t>
  </si>
  <si>
    <t>Repsol advertising dispute, greenwashing allegations</t>
  </si>
  <si>
    <t>Disputa publicitaria de Repsol, acusaciones de greenwashing</t>
  </si>
  <si>
    <t>Legal scrutiny over advertising claims may damage Repsol’s reputation.</t>
  </si>
  <si>
    <t>denunciada</t>
  </si>
  <si>
    <t>Negative legal scrutiny.</t>
  </si>
  <si>
    <t>Control jurídico negativo.</t>
  </si>
  <si>
    <r>
      <rPr>
        <rFont val="Arial, sans-serif"/>
        <color rgb="FF1155CC"/>
        <sz val="9.0"/>
        <u/>
      </rPr>
      <t>Ecologistas en Acción</t>
    </r>
    <r>
      <rPr>
        <rFont val="Arial, sans-serif"/>
        <color rgb="FF1155CC"/>
        <sz val="15.0"/>
        <u/>
      </rPr>
      <t>CECU, Ecologistas en Acción y Greenpeace presentan una denuncia contra Repsol por publicidad engañosa</t>
    </r>
    <r>
      <rPr>
        <rFont val="Arial, sans-serif"/>
        <color rgb="FF1155CC"/>
        <sz val="11.0"/>
        <u/>
      </rPr>
      <t>Las dos denuncias presentadas, ante la Dirección General de Consumo y ante la CNMC, muestran que la comunicación de Repsol sobre sus biocombustibles está...</t>
    </r>
    <r>
      <rPr>
        <rFont val="Arial, sans-serif"/>
        <color rgb="FF1155CC"/>
        <sz val="12.0"/>
        <u/>
      </rPr>
      <t>.</t>
    </r>
    <r>
      <rPr>
        <rFont val="Arial, sans-serif"/>
        <color rgb="FF1155CC"/>
        <sz val="11.0"/>
        <u/>
      </rPr>
      <t>16 abr 2024</t>
    </r>
  </si>
  <si>
    <t>Ecologistas en Acción</t>
  </si>
  <si>
    <t>CECU, Ecologistas en Acción y Greenpeace presentan una denuncia contra Repsol por publicidad engañosa</t>
  </si>
  <si>
    <t>Las dos denuncias presentadas, ante la Dirección General de Consumo y ante la CNMC, muestran que la comunicación de Repsol sobre sus biocombustibles está....</t>
  </si>
  <si>
    <t>CECU, Ecologistas en Acción and Greenpeace file a complaint against Repsol for misleading advertising</t>
  </si>
  <si>
    <t>The two complaints filed, before the General Directorate of Consumer Affairs and before the CNMC, show that Repsol's communication about its biofuels is...</t>
  </si>
  <si>
    <t>Accusations of greenwashing may impact Repsol’s sustainability image.</t>
  </si>
  <si>
    <t>denuncia</t>
  </si>
  <si>
    <t>Negative reputational impact.</t>
  </si>
  <si>
    <t>Impacto reputacional negativo.</t>
  </si>
  <si>
    <r>
      <rPr>
        <rFont val="Arial, sans-serif"/>
        <color rgb="FF1155CC"/>
        <sz val="9.0"/>
        <u/>
      </rPr>
      <t>ABC</t>
    </r>
    <r>
      <rPr>
        <rFont val="Arial, sans-serif"/>
        <color rgb="FF1155CC"/>
        <sz val="15.0"/>
        <u/>
      </rPr>
      <t>El juicio a Villarejo y exdirectivos de Repsol y Caixabank se celebrará en enero de 2025</t>
    </r>
    <r>
      <rPr>
        <rFont val="Arial, sans-serif"/>
        <color rgb="FF1155CC"/>
        <sz val="11.0"/>
        <u/>
      </rPr>
      <t>La Audiencia Nacional pone fecha a la vista en la que las dos compañías y la Administración del Estado responden subsidiariamente.</t>
    </r>
    <r>
      <rPr>
        <rFont val="Arial, sans-serif"/>
        <color rgb="FF1155CC"/>
        <sz val="12.0"/>
        <u/>
      </rPr>
      <t>.</t>
    </r>
    <r>
      <rPr>
        <rFont val="Arial, sans-serif"/>
        <color rgb="FF1155CC"/>
        <sz val="11.0"/>
        <u/>
      </rPr>
      <t>16 abr 2024</t>
    </r>
  </si>
  <si>
    <t>El juicio a Villarejo y exdirectivos de Repsol y Caixabank se celebrará en enero de 2025</t>
  </si>
  <si>
    <t>La Audiencia Nacional pone fecha a la vista en la que las dos compañías y la Administración del Estado responden subsidiariamente.</t>
  </si>
  <si>
    <t>The trial of Villarejo and former directors of Repsol and Caixabank will be held in January 2025</t>
  </si>
  <si>
    <t>The National Court sets a date in which the two companies and the State Administration respond subsidiarily.</t>
  </si>
  <si>
    <t>Repsol espionage case, legal controversy</t>
  </si>
  <si>
    <t>Caso Repsol espionaje, polémica jurídica</t>
  </si>
  <si>
    <t>Being linked to a high-profile espionage case could severely damage Repsol’s public image.</t>
  </si>
  <si>
    <t>juicio</t>
  </si>
  <si>
    <t>Negative legal exposure.</t>
  </si>
  <si>
    <t>Exposición jurídica negativa.</t>
  </si>
  <si>
    <r>
      <rPr>
        <rFont val="Arial, sans-serif"/>
        <color rgb="FF1155CC"/>
        <sz val="9.0"/>
        <u/>
      </rPr>
      <t>EL PAÍS</t>
    </r>
    <r>
      <rPr>
        <rFont val="Arial, sans-serif"/>
        <color rgb="FF1155CC"/>
        <sz val="15.0"/>
        <u/>
      </rPr>
      <t>Autocontrol desestima una reclamación de Iberdrola contra Repsol por publicidad engañosa</t>
    </r>
    <r>
      <rPr>
        <rFont val="Arial, sans-serif"/>
        <color rgb="FF1155CC"/>
        <sz val="11.0"/>
        <u/>
      </rPr>
      <t>Repsol se anota una primera victoria en su presumiblemente larga batalla con Iberdrola a cuenta del ecopostureo. La Asociación para la Autorregulación de la...</t>
    </r>
    <r>
      <rPr>
        <rFont val="Arial, sans-serif"/>
        <color rgb="FF1155CC"/>
        <sz val="12.0"/>
        <u/>
      </rPr>
      <t>.</t>
    </r>
    <r>
      <rPr>
        <rFont val="Arial, sans-serif"/>
        <color rgb="FF1155CC"/>
        <sz val="11.0"/>
        <u/>
      </rPr>
      <t>16 abr 2024</t>
    </r>
  </si>
  <si>
    <t>Repsol se anota una primera victoria en su presumiblemente larga batalla con Iberdrola a cuenta del ecopostureo. La Asociación para la Autorregulación de la....</t>
  </si>
  <si>
    <t>Repsol scores a first victory in its presumably long battle with Iberdrola on account of ecopostureo. The Association for the Self-Regulation of...</t>
  </si>
  <si>
    <t>Legal victories can reinforce Repsol’s credibility.</t>
  </si>
  <si>
    <t>desestima</t>
  </si>
  <si>
    <t>Positive legal resolution.</t>
  </si>
  <si>
    <t>Resolución jurídica positiva.</t>
  </si>
  <si>
    <r>
      <rPr>
        <rFont val="Arial, sans-serif"/>
        <color rgb="FF1155CC"/>
        <sz val="9.0"/>
        <u/>
      </rPr>
      <t>El Economista</t>
    </r>
    <r>
      <rPr>
        <rFont val="Arial, sans-serif"/>
        <color rgb="FF1155CC"/>
        <sz val="15.0"/>
        <u/>
      </rPr>
      <t>Repsol arranca en Madrid su alianza con el rey del jamón Enrique Tomás</t>
    </r>
    <r>
      <rPr>
        <rFont val="Arial, sans-serif"/>
        <color rgb="FF1155CC"/>
        <sz val="11.0"/>
        <u/>
      </rPr>
      <t>Repsol avanza en su estrategia de mejora constante de la oferta gastronómica de su red de estaciones de servicio y acaba de lanzar un ...</t>
    </r>
    <r>
      <rPr>
        <rFont val="Arial, sans-serif"/>
        <color rgb="FF1155CC"/>
        <sz val="12.0"/>
        <u/>
      </rPr>
      <t>.</t>
    </r>
    <r>
      <rPr>
        <rFont val="Arial, sans-serif"/>
        <color rgb="FF1155CC"/>
        <sz val="11.0"/>
        <u/>
      </rPr>
      <t>16 abr 2024</t>
    </r>
  </si>
  <si>
    <t>Repsol arranca en Madrid su alianza con el rey del jamón Enrique Tomás</t>
  </si>
  <si>
    <t>Repsol avanza en su estrategia de mejora constante de la oferta gastronómica de su red de estaciones de servicio y acaba de lanzar un ....</t>
  </si>
  <si>
    <t>Repsol begins its alliance with the king of ham Enrique Tomás in Madrid</t>
  </si>
  <si>
    <t>Repsol is advancing in its strategy of constantly improving the gastronomic offering of its network of service stations and has just launched a...</t>
  </si>
  <si>
    <t>Repsol business partnership, energy strategy</t>
  </si>
  <si>
    <t>Alianza empresarial con Repsol, Estrategia energética</t>
  </si>
  <si>
    <t>Expanding partnerships supports Repsol’s brand diversification.</t>
  </si>
  <si>
    <t>alianza</t>
  </si>
  <si>
    <t>Positive business collaboration.</t>
  </si>
  <si>
    <t>Colaboración empresarial positiva.</t>
  </si>
  <si>
    <r>
      <rPr>
        <rFont val="Arial, sans-serif"/>
        <color rgb="FF1155CC"/>
        <sz val="9.0"/>
        <u/>
      </rPr>
      <t>El Periódico de la Energía</t>
    </r>
    <r>
      <rPr>
        <rFont val="Arial, sans-serif"/>
        <color rgb="FF1155CC"/>
        <sz val="15.0"/>
        <u/>
      </rPr>
      <t>Repsol crea una nueva sociedad para sus proyectos de geotérmica e hidrógeno</t>
    </r>
    <r>
      <rPr>
        <rFont val="Arial, sans-serif"/>
        <color rgb="FF1155CC"/>
        <sz val="11.0"/>
        <u/>
      </rPr>
      <t>La energía geotérmica, un recurso aún subutilizado en el panorama energético global, está ganando terreno rápidamente gracias a su potencial como fuente...</t>
    </r>
    <r>
      <rPr>
        <rFont val="Arial, sans-serif"/>
        <color rgb="FF1155CC"/>
        <sz val="12.0"/>
        <u/>
      </rPr>
      <t>.</t>
    </r>
    <r>
      <rPr>
        <rFont val="Arial, sans-serif"/>
        <color rgb="FF1155CC"/>
        <sz val="11.0"/>
        <u/>
      </rPr>
      <t>16 abr 2024</t>
    </r>
  </si>
  <si>
    <t>Repsol crea una nueva sociedad para sus proyectos de geotérmica e hidrógeno</t>
  </si>
  <si>
    <t>La energía geotérmica, un recurso aún subutilizado en el panorama energético global, está ganando terreno rápidamente gracias a su potencial como fuente....</t>
  </si>
  <si>
    <t>Repsol creates a new company for its geothermal and hydrogen projects</t>
  </si>
  <si>
    <t>Geothermal energy, a resource still underutilized in the global energy landscape, is rapidly gaining ground thanks to its potential as a source...</t>
  </si>
  <si>
    <t>Repsol geothermal energy, sustainability</t>
  </si>
  <si>
    <t>Repsol geotermia, sostenibilidad</t>
  </si>
  <si>
    <t>Investing in geothermal energy aligns with Repsol’s clean energy transition.</t>
  </si>
  <si>
    <t>geotérmica, hidrógeno</t>
  </si>
  <si>
    <r>
      <rPr>
        <rFont val="Arial, sans-serif"/>
        <color rgb="FF1155CC"/>
        <sz val="9.0"/>
        <u/>
      </rPr>
      <t>Crónica Global</t>
    </r>
    <r>
      <rPr>
        <rFont val="Arial, sans-serif"/>
        <color rgb="FF1155CC"/>
        <sz val="15.0"/>
        <u/>
      </rPr>
      <t>Repsol gana la primera batalla de la guerra con Iberdrola</t>
    </r>
    <r>
      <rPr>
        <rFont val="Arial, sans-serif"/>
        <color rgb="FF1155CC"/>
        <sz val="11.0"/>
        <u/>
      </rPr>
      <t>Autocontrol, el organismo regulador de la publicidad, da la razón a la empresa presidida por Brufau en el litigio por los combustibles renovables.</t>
    </r>
    <r>
      <rPr>
        <rFont val="Arial, sans-serif"/>
        <color rgb="FF1155CC"/>
        <sz val="12.0"/>
        <u/>
      </rPr>
      <t>.</t>
    </r>
    <r>
      <rPr>
        <rFont val="Arial, sans-serif"/>
        <color rgb="FF1155CC"/>
        <sz val="11.0"/>
        <u/>
      </rPr>
      <t>16 abr 2024</t>
    </r>
  </si>
  <si>
    <t>Repsol gana la primera batalla de la guerra con Iberdrola</t>
  </si>
  <si>
    <t>Autocontrol, el organismo regulador de la publicidad, da la razón a la empresa presidida por Brufau en el litigio por los combustibles renovables.</t>
  </si>
  <si>
    <t>Repsol wins the first battle of the war with Iberdrola</t>
  </si>
  <si>
    <t>Autocontrol, the advertising regulatory body, agrees with the company chaired by Brufau in the litigation over renewable fuels.</t>
  </si>
  <si>
    <t>Winning legal cases can reinforce Repsol’s corporate credibility.</t>
  </si>
  <si>
    <t>gana batalla</t>
  </si>
  <si>
    <r>
      <rPr>
        <rFont val="Arial, sans-serif"/>
        <color rgb="FF1155CC"/>
        <sz val="9.0"/>
        <u/>
      </rPr>
      <t>Diario de Cádiz</t>
    </r>
    <r>
      <rPr>
        <rFont val="Arial, sans-serif"/>
        <color rgb="FF1155CC"/>
        <sz val="15.0"/>
        <u/>
      </rPr>
      <t>Las heladerías con Soletes de la Guía Repsol en Cádiz</t>
    </r>
    <r>
      <rPr>
        <rFont val="Arial, sans-serif"/>
        <color rgb="FF1155CC"/>
        <sz val="11.0"/>
        <u/>
      </rPr>
      <t>Saborea los helados que cuentan con esta distinción especial de la Guía Repsol.</t>
    </r>
    <r>
      <rPr>
        <rFont val="Arial, sans-serif"/>
        <color rgb="FF1155CC"/>
        <sz val="12.0"/>
        <u/>
      </rPr>
      <t>.</t>
    </r>
    <r>
      <rPr>
        <rFont val="Arial, sans-serif"/>
        <color rgb="FF1155CC"/>
        <sz val="11.0"/>
        <u/>
      </rPr>
      <t>16 abr 2024</t>
    </r>
  </si>
  <si>
    <t>Las heladerías con Soletes de la Guía Repsol en Cádiz</t>
  </si>
  <si>
    <t>Saborea los helados que cuentan con esta distinción especial de la Guía Repsol.</t>
  </si>
  <si>
    <t>The ice cream parlors with Soletes from the Repsol Guide in Cádiz</t>
  </si>
  <si>
    <t>Savor the ice creams that have this special distinction from the Repsol Guide.</t>
  </si>
  <si>
    <r>
      <rPr>
        <rFont val="Arial, sans-serif"/>
        <color rgb="FF1155CC"/>
        <sz val="9.0"/>
        <u/>
      </rPr>
      <t>El Nacional.cat</t>
    </r>
    <r>
      <rPr>
        <rFont val="Arial, sans-serif"/>
        <color rgb="FF1155CC"/>
        <sz val="15.0"/>
        <u/>
      </rPr>
      <t>Ecologistas en Acción, CECU y Greenpeace denuncian a Repsol por "publicidad engañosa"</t>
    </r>
    <r>
      <rPr>
        <rFont val="Arial, sans-serif"/>
        <color rgb="FF1155CC"/>
        <sz val="11.0"/>
        <u/>
      </rPr>
      <t>Repsol asegura que estas demandas 'tratan de desprestigiar' una solución 'válida y alternativa' a la electrificación.</t>
    </r>
    <r>
      <rPr>
        <rFont val="Arial, sans-serif"/>
        <color rgb="FF1155CC"/>
        <sz val="12.0"/>
        <u/>
      </rPr>
      <t>.</t>
    </r>
    <r>
      <rPr>
        <rFont val="Arial, sans-serif"/>
        <color rgb="FF1155CC"/>
        <sz val="11.0"/>
        <u/>
      </rPr>
      <t>16 abr 2024</t>
    </r>
  </si>
  <si>
    <t>Ecologistas en Acción, CECU y Greenpeace denuncian a Repsol por "publicidad engañosa"</t>
  </si>
  <si>
    <t>Ecologistas en Acción, CECU y Greenpeace denuncian a Repsol por "publicidad engañosa". Repsol asegura que estas demandas 'tratan de desprestigiar' una solución 'válida y alternativa' a la electrificación.</t>
  </si>
  <si>
    <t>Ecologists in Action, CECU and Greenpeace denounce Repsol for "misleading advertising"</t>
  </si>
  <si>
    <t>Ecologists in Action, CECU and Greenpeace denounce Repsol for "misleading advertising." Repsol assures that these lawsuits 'try to discredit' a 'valid and alternative' solution to electrification.</t>
  </si>
  <si>
    <t>Repsol greenwashing, environmental controversy</t>
  </si>
  <si>
    <t>Greenwashing de Repsol, polémica medioambiental</t>
  </si>
  <si>
    <t>Ongoing legal disputes over greenwashing may harm Repsol’s sustainability credibility.</t>
  </si>
  <si>
    <t>denuncian</t>
  </si>
  <si>
    <r>
      <rPr>
        <rFont val="Arial, sans-serif"/>
        <color rgb="FF1155CC"/>
        <sz val="9.0"/>
        <u/>
      </rPr>
      <t>elDiario.es</t>
    </r>
    <r>
      <rPr>
        <rFont val="Arial, sans-serif"/>
        <color rgb="FF1155CC"/>
        <sz val="15.0"/>
        <u/>
      </rPr>
      <t>Ecologistas y consumidores denuncian a Repsol por 'greenwashing'</t>
    </r>
    <r>
      <rPr>
        <rFont val="Arial, sans-serif"/>
        <color rgb="FF1155CC"/>
        <sz val="11.0"/>
        <u/>
      </rPr>
      <t>Greenpeace, la OCU y Ecologistas en Acción señalan ante la Comisión Nacional de Mercados y la Comptencia y la Dirección General de Consumo que los anuncios...</t>
    </r>
    <r>
      <rPr>
        <rFont val="Arial, sans-serif"/>
        <color rgb="FF1155CC"/>
        <sz val="12.0"/>
        <u/>
      </rPr>
      <t>.</t>
    </r>
    <r>
      <rPr>
        <rFont val="Arial, sans-serif"/>
        <color rgb="FF1155CC"/>
        <sz val="11.0"/>
        <u/>
      </rPr>
      <t>16 abr 2024</t>
    </r>
  </si>
  <si>
    <t>Ecologistas y consumidores denuncian a Repsol por 'greenwashing'</t>
  </si>
  <si>
    <t>Ecologistas y consumidores denuncian a Repsol por 'greenwashing' Greenpeace, la OCU y Ecologistas en Acción señalan ante la Comisión Nacional de Mercados y la Comptencia y la Dirección General de Consumo que los anuncios....</t>
  </si>
  <si>
    <t>Environmentalists and consumers denounce Repsol for 'greenwashing'</t>
  </si>
  <si>
    <t>Ecologists and consumers denounce Repsol for 'greenwashing' Greenpeace, the OCU and Ecologists in Action point out to the National Commission of Markets and Competition and the General Directorate of Consumer Affairs that the advertisements...</t>
  </si>
  <si>
    <t>Repeated accusations of greenwashing could damage Repsol’s public perception.</t>
  </si>
  <si>
    <t>greenwashing</t>
  </si>
  <si>
    <r>
      <rPr>
        <rFont val="Arial, sans-serif"/>
        <color rgb="FF1155CC"/>
        <sz val="9.0"/>
        <u/>
      </rPr>
      <t>Asamblea Nacional</t>
    </r>
    <r>
      <rPr>
        <rFont val="Arial, sans-serif"/>
        <color rgb="FF1155CC"/>
        <sz val="15.0"/>
        <u/>
      </rPr>
      <t>Legislativo autoriza extensión geográfica de empresa mixta Petroquiriquire</t>
    </r>
    <r>
      <rPr>
        <rFont val="Arial, sans-serif"/>
        <color rgb="FF1155CC"/>
        <sz val="11.0"/>
        <u/>
      </rPr>
      <t>Periodista: Luis Villalta / Fotografo: Willmer Tovar. En sesión ordinaria de este martes, el Poder Legislativo autorizó la extensión del área geográfica de...</t>
    </r>
    <r>
      <rPr>
        <rFont val="Arial, sans-serif"/>
        <color rgb="FF1155CC"/>
        <sz val="12.0"/>
        <u/>
      </rPr>
      <t>.</t>
    </r>
    <r>
      <rPr>
        <rFont val="Arial, sans-serif"/>
        <color rgb="FF1155CC"/>
        <sz val="11.0"/>
        <u/>
      </rPr>
      <t>16 abr 2024</t>
    </r>
  </si>
  <si>
    <t>Asamblea Nacional</t>
  </si>
  <si>
    <t>Legislativo autoriza extensión geográfica de empresa mixta Petroquiriquire</t>
  </si>
  <si>
    <t>En sesión ordinaria de este martes, el Poder Legislativo autorizó la extensión del área geográfica de....</t>
  </si>
  <si>
    <t>Legislative authorizes geographical extension of Petroquiriquire mixed company</t>
  </si>
  <si>
    <t>In an ordinary session this Tuesday, the Legislative Branch authorized the extension of the geographical area of....</t>
  </si>
  <si>
    <t>Repsol Venezuela, energy agreement</t>
  </si>
  <si>
    <t>Repsol Venezuela, acuerdo energético</t>
  </si>
  <si>
    <t>Strengthening international partnerships supports Repsol’s energy expansion.</t>
  </si>
  <si>
    <r>
      <rPr>
        <rFont val="Arial, sans-serif"/>
        <color rgb="FF1155CC"/>
        <sz val="9.0"/>
        <u/>
      </rPr>
      <t>Reason Why</t>
    </r>
    <r>
      <rPr>
        <rFont val="Arial, sans-serif"/>
        <color rgb="FF1155CC"/>
        <sz val="15.0"/>
        <u/>
      </rPr>
      <t>Autocontrol desestima la reclamación de Iberdrola contra Repsol por publicidad engañosa</t>
    </r>
    <r>
      <rPr>
        <rFont val="Arial, sans-serif"/>
        <color rgb="FF1155CC"/>
        <sz val="11.0"/>
        <u/>
      </rPr>
      <t>Autocontrol ha desestimado una reclamación presentada en enero por Iberdrola contra Repsol por publicidad engañosa.</t>
    </r>
    <r>
      <rPr>
        <rFont val="Arial, sans-serif"/>
        <color rgb="FF1155CC"/>
        <sz val="12.0"/>
        <u/>
      </rPr>
      <t>.</t>
    </r>
    <r>
      <rPr>
        <rFont val="Arial, sans-serif"/>
        <color rgb="FF1155CC"/>
        <sz val="11.0"/>
        <u/>
      </rPr>
      <t>17 abr 2024</t>
    </r>
  </si>
  <si>
    <t>Autocontrol</t>
  </si>
  <si>
    <t>Autocontrol desestima la reclamación de Iberdrola contra Repsol por publicidad engañosa</t>
  </si>
  <si>
    <t>Autocontrol ha desestimado una reclamación presentada en enero por Iberdrola contra Repsol por publicidad engañosa.</t>
  </si>
  <si>
    <t>Autocontrol dismisses Iberdrola's claim against Repsol for misleading advertising</t>
  </si>
  <si>
    <t>Autocontrol has dismissed a claim filed in January by Iberdrola against Repsol for misleading advertising.</t>
  </si>
  <si>
    <t>Dismissing legal claims in Repsol’s favor supports its corporate credibility.</t>
  </si>
  <si>
    <r>
      <rPr>
        <rFont val="Arial, sans-serif"/>
        <color rgb="FF1155CC"/>
        <sz val="9.0"/>
        <u/>
      </rPr>
      <t>infoLibre</t>
    </r>
    <r>
      <rPr>
        <rFont val="Arial, sans-serif"/>
        <color rgb="FF1155CC"/>
        <sz val="15.0"/>
        <u/>
      </rPr>
      <t>Repsol importó 530.000 toneladas de aceite de palma para biocarburantes, según denuncian los ecologistas</t>
    </r>
    <r>
      <rPr>
        <rFont val="Arial, sans-serif"/>
        <color rgb="FF1155CC"/>
        <sz val="11.0"/>
        <u/>
      </rPr>
      <t>Greenpeace, Ecologistas en Acción y CECU denunciaron la semana pasada a Repsol por publicitar como 100% renovable su biocombustible, sin advertir.</t>
    </r>
    <r>
      <rPr>
        <rFont val="Arial, sans-serif"/>
        <color rgb="FF1155CC"/>
        <sz val="12.0"/>
        <u/>
      </rPr>
      <t>.</t>
    </r>
    <r>
      <rPr>
        <rFont val="Arial, sans-serif"/>
        <color rgb="FF1155CC"/>
        <sz val="11.0"/>
        <u/>
      </rPr>
      <t>17 abr 2024</t>
    </r>
  </si>
  <si>
    <t>Repsol importó 530.000 toneladas de aceite de palma para biocarburantes, según denuncian los ecologistas</t>
  </si>
  <si>
    <t>Repsol importó 530.000 toneladas de aceite de palma para biocarburantes, según denuncian los ecologistas. Greenpeace, Ecologistas en Acción y CECU denunciaron a Repsol por publicitar como 100% renovable su biocombustible, sin advertir.</t>
  </si>
  <si>
    <t>Repsol imported 530,000 tons of palm oil for biofuels, according to environmentalists</t>
  </si>
  <si>
    <t>Repsol imported 530,000 tons of palm oil for biofuels, according to environmentalists. Greenpeace, Ecologistas en Acción and CECU denounced Repsol for advertising its biofuel as 100% renewable, without warning.</t>
  </si>
  <si>
    <t>Investing in biofuel alternatives supports Repsol’s energy transition.</t>
  </si>
  <si>
    <t>aceite de palma</t>
  </si>
  <si>
    <r>
      <rPr>
        <rFont val="Arial, sans-serif"/>
        <color rgb="FF1155CC"/>
        <sz val="9.0"/>
        <u/>
      </rPr>
      <t>Asociación de la Prensa de Madrid</t>
    </r>
    <r>
      <rPr>
        <rFont val="Arial, sans-serif"/>
        <color rgb="FF1155CC"/>
        <sz val="15.0"/>
        <u/>
      </rPr>
      <t>El primer debate del ciclo FAPE-Repsol concluye que la IA 'supondrá un vuelco total en la forma de hacer periodismo'</t>
    </r>
    <r>
      <rPr>
        <rFont val="Arial, sans-serif"/>
        <color rgb="FF1155CC"/>
        <sz val="11.0"/>
        <u/>
      </rPr>
      <t>También se destacó que 'la fórmula para que los periodistas del futuro sobrevivan a la máquina pasa por la especialización, la ética, la cercanía y la...</t>
    </r>
    <r>
      <rPr>
        <rFont val="Arial, sans-serif"/>
        <color rgb="FF1155CC"/>
        <sz val="12.0"/>
        <u/>
      </rPr>
      <t>.</t>
    </r>
    <r>
      <rPr>
        <rFont val="Arial, sans-serif"/>
        <color rgb="FF1155CC"/>
        <sz val="11.0"/>
        <u/>
      </rPr>
      <t>17 abr 2024</t>
    </r>
  </si>
  <si>
    <t>Asociación de la Prensa de Madrid</t>
  </si>
  <si>
    <t>El primer debate del ciclo FAPE-Repsol concluye que la IA 'supondrá un vuelco total en la forma de hacer periodismo'</t>
  </si>
  <si>
    <t>La fórmula para que los periodistas del futuro sobrevivan a la máquina pasa por la especialización, la ética, la cercanía y la....</t>
  </si>
  <si>
    <t>The first debate of the FAPE-Repsol cycle concludes that AI 'will mean a total change in the way of doing journalism'</t>
  </si>
  <si>
    <t>The formula for journalists of the future to survive the machine is through specialization, ethics, closeness and...</t>
  </si>
  <si>
    <t>Repsol corporate responsibility, media literacy</t>
  </si>
  <si>
    <t>Responsabilidad corporativa Repsol, alfabetización mediática</t>
  </si>
  <si>
    <t>Supporting media literacy initiatives strengthens Repsol’s social impact.</t>
  </si>
  <si>
    <t>Neutral event sponsorship.</t>
  </si>
  <si>
    <t>Patrocinio neutral de eventos.</t>
  </si>
  <si>
    <r>
      <rPr>
        <rFont val="Arial, sans-serif"/>
        <color rgb="FF1155CC"/>
        <sz val="9.0"/>
        <u/>
      </rPr>
      <t>Marca.com</t>
    </r>
    <r>
      <rPr>
        <rFont val="Arial, sans-serif"/>
        <color rgb="FF1155CC"/>
        <sz val="15.0"/>
        <u/>
      </rPr>
      <t>Gasolina y diésel 100% renovables: qué son, qué ventajas tienen y cómo afectan a tu coche</t>
    </r>
    <r>
      <rPr>
        <rFont val="Arial, sans-serif"/>
        <color rgb="FF1155CC"/>
        <sz val="11.0"/>
        <u/>
      </rPr>
      <t>La industria del automóvil lleva varios lustros buscando su camino hacia el futuro. Una de las vías más desarrolladas para ese futuro es la de la...</t>
    </r>
    <r>
      <rPr>
        <rFont val="Arial, sans-serif"/>
        <color rgb="FF1155CC"/>
        <sz val="12.0"/>
        <u/>
      </rPr>
      <t>.</t>
    </r>
    <r>
      <rPr>
        <rFont val="Arial, sans-serif"/>
        <color rgb="FF1155CC"/>
        <sz val="11.0"/>
        <u/>
      </rPr>
      <t>17 abr 2024</t>
    </r>
  </si>
  <si>
    <t>Gasolina y diésel 100% renovables: qué son, qué ventajas tienen y cómo afectan a tu coche</t>
  </si>
  <si>
    <t>La industria del automóvil lleva varios lustros buscando su camino hacia el futuro. Una de las vías más desarrolladas para ese futuro es la de la....</t>
  </si>
  <si>
    <t>100% renewable gasoline and diesel: what they are, what advantages they have and how they affect your car</t>
  </si>
  <si>
    <t>The automobile industry has been searching for its path to the future for several decades. One of the most developed paths for this future is that of...</t>
  </si>
  <si>
    <t>Promoting renewable fuels supports Repsol’s clean energy commitments.</t>
  </si>
  <si>
    <r>
      <rPr>
        <rFont val="Arial, sans-serif"/>
        <color rgb="FF1155CC"/>
        <sz val="9.0"/>
        <u/>
      </rPr>
      <t>Guía Repsol</t>
    </r>
    <r>
      <rPr>
        <rFont val="Arial, sans-serif"/>
        <color rgb="FF1155CC"/>
        <sz val="15.0"/>
        <u/>
      </rPr>
      <t>Excursión por Fontanales y Valleseco: quesos y sidras de Gran Canaria</t>
    </r>
    <r>
      <rPr>
        <rFont val="Arial, sans-serif"/>
        <color rgb="FF1155CC"/>
        <sz val="11.0"/>
        <u/>
      </rPr>
      <t>Para muchos, la primera imagen que les viene al pensar en Gran Canaria es el sol y la playa. Sin embargo, la isla encierra en su corazón más interior un...</t>
    </r>
    <r>
      <rPr>
        <rFont val="Arial, sans-serif"/>
        <color rgb="FF1155CC"/>
        <sz val="12.0"/>
        <u/>
      </rPr>
      <t>.</t>
    </r>
    <r>
      <rPr>
        <rFont val="Arial, sans-serif"/>
        <color rgb="FF1155CC"/>
        <sz val="11.0"/>
        <u/>
      </rPr>
      <t>17 abr 2024</t>
    </r>
  </si>
  <si>
    <t>Excursión por Fontanales y Valleseco: quesos y sidras de Gran Canaria</t>
  </si>
  <si>
    <t>Para muchos, la primera imagen que les viene al pensar en Gran Canaria es el sol y la playa. Sin embargo, la isla encierra en su corazón más interior un....</t>
  </si>
  <si>
    <t>Excursion through Fontanales and Valleseco: cheeses and ciders from Gran Canaria</t>
  </si>
  <si>
    <t>For many, the first image that comes to mind when thinking about Gran Canaria is the sun and the beach. However, the island contains in its innermost heart a...</t>
  </si>
  <si>
    <r>
      <rPr>
        <rFont val="Arial, sans-serif"/>
        <color rgb="FF1155CC"/>
        <sz val="9.0"/>
        <u/>
      </rPr>
      <t>Últimas Noticias</t>
    </r>
    <r>
      <rPr>
        <rFont val="Arial, sans-serif"/>
        <color rgb="FF1155CC"/>
        <sz val="15.0"/>
        <u/>
      </rPr>
      <t>Repsol y Pdvsa firman acuerdo de extensión geográfica Petroquiriquire</t>
    </r>
    <r>
      <rPr>
        <rFont val="Arial, sans-serif"/>
        <color rgb="FF1155CC"/>
        <sz val="11.0"/>
        <u/>
      </rPr>
      <t>La empresa española de petróleo Repsol y Petróleos de Venezuela (Pdvsa) firmaron este miércoles el acuerdo que formaliza la extensión del área geográfica de...</t>
    </r>
    <r>
      <rPr>
        <rFont val="Arial, sans-serif"/>
        <color rgb="FF1155CC"/>
        <sz val="12.0"/>
        <u/>
      </rPr>
      <t>.</t>
    </r>
    <r>
      <rPr>
        <rFont val="Arial, sans-serif"/>
        <color rgb="FF1155CC"/>
        <sz val="11.0"/>
        <u/>
      </rPr>
      <t>17 abr 2024</t>
    </r>
  </si>
  <si>
    <t>Repsol y Pdvsa firman acuerdo de extensión geográfica Petroquiriquire</t>
  </si>
  <si>
    <t>La empresa española de petróleo Repsol y Petróleos de Venezuela (Pdvsa) firmaron este miércoles el acuerdo que formaliza la extensión del área geográfica de....</t>
  </si>
  <si>
    <t>Repsol and PDVSA sign geographic extension agreement Petroquiriquire</t>
  </si>
  <si>
    <t>The Spanish oil company Repsol and Petróleos de Venezuela (PDVSA) signed this Wednesday the agreement that formalizes the extension of the geographical area of...</t>
  </si>
  <si>
    <t>Repsol Venezuela, energy expansion</t>
  </si>
  <si>
    <t>Repsol Venezuela, expansión energética</t>
  </si>
  <si>
    <t>Strengthening its position in Venezuela supports Repsol’s global energy presence.</t>
  </si>
  <si>
    <t>acuerdo</t>
  </si>
  <si>
    <r>
      <rPr>
        <rFont val="Arial, sans-serif"/>
        <color rgb="FF1155CC"/>
        <sz val="9.0"/>
        <u/>
      </rPr>
      <t>El Español</t>
    </r>
    <r>
      <rPr>
        <rFont val="Arial, sans-serif"/>
        <color rgb="FF1155CC"/>
        <sz val="15.0"/>
        <u/>
      </rPr>
      <t>Mellado: "La IA traerá despidos de periodistas, pero permitirá el regreso del mejor periodismo"</t>
    </r>
    <r>
      <rPr>
        <rFont val="Arial, sans-serif"/>
        <color rgb="FF1155CC"/>
        <sz val="11.0"/>
        <u/>
      </rPr>
      <t>El director del Máster del Periodismo de EL ESPAÑOL explicó en la inauguración del ciclo Repsol 2024 cómo la Inteligencia Artificial cambiará las...</t>
    </r>
    <r>
      <rPr>
        <rFont val="Arial, sans-serif"/>
        <color rgb="FF1155CC"/>
        <sz val="12.0"/>
        <u/>
      </rPr>
      <t>.</t>
    </r>
    <r>
      <rPr>
        <rFont val="Arial, sans-serif"/>
        <color rgb="FF1155CC"/>
        <sz val="11.0"/>
        <u/>
      </rPr>
      <t>17 abr 2024</t>
    </r>
  </si>
  <si>
    <t>Mellado: "La IA traerá despidos de periodistas, pero permitirá el regreso del mejor periodismo"</t>
  </si>
  <si>
    <t>"La IA traerá despidos de periodistas, pero permitirá el regreso del mejor periodismo"</t>
  </si>
  <si>
    <t>Mellado: "AI will bring dismissals of journalists, but will allow the return of the best journalism"</t>
  </si>
  <si>
    <t>"AI will bring layoffs of journalists, but it will allow the return of the best journalism"</t>
  </si>
  <si>
    <r>
      <rPr>
        <rFont val="Arial, sans-serif"/>
        <color rgb="FF1155CC"/>
        <sz val="9.0"/>
        <u/>
      </rPr>
      <t>MotorcycleSports</t>
    </r>
    <r>
      <rPr>
        <rFont val="Arial, sans-serif"/>
        <color rgb="FF1155CC"/>
        <sz val="15.0"/>
        <u/>
      </rPr>
      <t>Luca Marini en una serie sin precedentes de resultados negativos.</t>
    </r>
    <r>
      <rPr>
        <rFont val="Arial, sans-serif"/>
        <color rgb="FF1155CC"/>
        <sz val="11.0"/>
        <u/>
      </rPr>
      <t>Luca Marini está en su cuarta temporada en el Campeonato del Mundo de MotoGP este año, y el comienzo no ha sido ideal. Honda está enfrentando muchas...</t>
    </r>
    <r>
      <rPr>
        <rFont val="Arial, sans-serif"/>
        <color rgb="FF1155CC"/>
        <sz val="12.0"/>
        <u/>
      </rPr>
      <t>.</t>
    </r>
    <r>
      <rPr>
        <rFont val="Arial, sans-serif"/>
        <color rgb="FF1155CC"/>
        <sz val="11.0"/>
        <u/>
      </rPr>
      <t>17 abr 2024</t>
    </r>
  </si>
  <si>
    <t>Luca Marini en una serie sin precedentes de resultados negativos.</t>
  </si>
  <si>
    <t>Luca Marini está en su cuarta temporada en el Campeonato del Mundo de MotoGP este año, y el comienzo no ha sido ideal. Honda está enfrentando muchas....</t>
  </si>
  <si>
    <t>Luca Marini in an unprecedented series of negative results.</t>
  </si>
  <si>
    <t>Luca Marini is in his fourth season in the MotoGP World Championship this year, and the start has not been ideal. Honda is facing many...</t>
  </si>
  <si>
    <r>
      <rPr>
        <rFont val="Arial, sans-serif"/>
        <color rgb="FF1155CC"/>
        <sz val="9.0"/>
        <u/>
      </rPr>
      <t>Regalos y Muestras gratis</t>
    </r>
    <r>
      <rPr>
        <rFont val="Arial, sans-serif"/>
        <color rgb="FF1155CC"/>
        <sz val="15.0"/>
        <u/>
      </rPr>
      <t>Consigue unas gafas Sun Planet a solo 7,95€ o 1.305 puntos en Repsol</t>
    </r>
    <r>
      <rPr>
        <rFont val="Arial, sans-serif"/>
        <color rgb="FF1155CC"/>
        <sz val="11.0"/>
        <u/>
      </rPr>
      <t>Haz una compra igual o superior a 20€ en estaciones Repsol y podrás conseguir unas gafas Sun Planet por solo 7,95€ o canjeando puntos.</t>
    </r>
    <r>
      <rPr>
        <rFont val="Arial, sans-serif"/>
        <color rgb="FF1155CC"/>
        <sz val="12.0"/>
        <u/>
      </rPr>
      <t>.</t>
    </r>
    <r>
      <rPr>
        <rFont val="Arial, sans-serif"/>
        <color rgb="FF1155CC"/>
        <sz val="11.0"/>
        <u/>
      </rPr>
      <t>17 abr 2024</t>
    </r>
  </si>
  <si>
    <t>Regalos y Muestras gratis</t>
  </si>
  <si>
    <t>Consigue unas gafas Sun Planet a solo 7,95€ o 1.305 puntos en Repsol</t>
  </si>
  <si>
    <t>Consigue unas gafas Sun Planet a solo 7,95€ o 1.305 puntos en Repsol. Haz una compra igual o superior a 20€ en estaciones Repsol y podrás conseguir unas gafas Sun Planet por solo 7,95€ o canjeando puntos.</t>
  </si>
  <si>
    <t>Get some Sun Planet glasses for only €7.95 or 1,305 points at Repsol</t>
  </si>
  <si>
    <t>Get some Sun Planet glasses for only €7.95 or 1,305 points at Repsol. Make a purchase equal to or greater than €20 at Repsol stations and you can get Sun Planet glasses for only €7.95 or by exchanging points.</t>
  </si>
  <si>
    <r>
      <rPr>
        <rFont val="Arial, sans-serif"/>
        <color rgb="FF1155CC"/>
        <sz val="9.0"/>
        <u/>
      </rPr>
      <t>Venezuela News</t>
    </r>
    <r>
      <rPr>
        <rFont val="Arial, sans-serif"/>
        <color rgb="FF1155CC"/>
        <sz val="15.0"/>
        <u/>
      </rPr>
      <t>Pdvsa firma acuerdo con Repsol para ampliar extensión de empresa mixta Petroquiriquire</t>
    </r>
    <r>
      <rPr>
        <rFont val="Arial, sans-serif"/>
        <color rgb="FF1155CC"/>
        <sz val="11.0"/>
        <u/>
      </rPr>
      <t>Pdvsa firmó un acuerdo con la petrolera española Repsol para extender el espacio geográfico en el que opera la empresa mixta Petroquiriquire.</t>
    </r>
    <r>
      <rPr>
        <rFont val="Arial, sans-serif"/>
        <color rgb="FF1155CC"/>
        <sz val="12.0"/>
        <u/>
      </rPr>
      <t>.</t>
    </r>
    <r>
      <rPr>
        <rFont val="Arial, sans-serif"/>
        <color rgb="FF1155CC"/>
        <sz val="11.0"/>
        <u/>
      </rPr>
      <t>17 abr 2024</t>
    </r>
  </si>
  <si>
    <t>Venezuela News</t>
  </si>
  <si>
    <t>Pdvsa firma acuerdo con Repsol para ampliar extensión de empresa mixta Petroquiriquire</t>
  </si>
  <si>
    <t>Pdvsa firmó un acuerdo con la petrolera española Repsol para extender el espacio geográfico en el que opera la empresa mixta Petroquiriquire.</t>
  </si>
  <si>
    <t>PDVSA signs agreement with Repsol to expand the extension of the Petroquiriquire joint venture</t>
  </si>
  <si>
    <t>PDVSA signed an agreement with the Spanish oil company Repsol to extend the geographical space in which the Petroquiriquire joint venture operates.</t>
  </si>
  <si>
    <t>Expanding oil operations in Venezuela supports Repsol’s market presence.</t>
  </si>
  <si>
    <r>
      <rPr>
        <rFont val="Arial, sans-serif"/>
        <color rgb="FF1155CC"/>
        <sz val="9.0"/>
        <u/>
      </rPr>
      <t>Repsol</t>
    </r>
    <r>
      <rPr>
        <rFont val="Arial, sans-serif"/>
        <color rgb="FF1155CC"/>
        <sz val="15.0"/>
        <u/>
      </rPr>
      <t>Repsol lleva su multienergía a los principales festivales de música de España y Portugal</t>
    </r>
    <r>
      <rPr>
        <rFont val="Arial, sans-serif"/>
        <color rgb="FF1155CC"/>
        <sz val="11.0"/>
        <u/>
      </rPr>
      <t>La compañía potencia su estrategia multienergética con un gran acuerdo y ahonda en el patrocinio de eventos de ocio. Repsol se alía con las seis promotoras...</t>
    </r>
    <r>
      <rPr>
        <rFont val="Arial, sans-serif"/>
        <color rgb="FF1155CC"/>
        <sz val="12.0"/>
        <u/>
      </rPr>
      <t>.</t>
    </r>
    <r>
      <rPr>
        <rFont val="Arial, sans-serif"/>
        <color rgb="FF1155CC"/>
        <sz val="11.0"/>
        <u/>
      </rPr>
      <t>18 abr 2024</t>
    </r>
  </si>
  <si>
    <t>Repsol lleva su multienergía a los principales festivales de música de España y Portugal</t>
  </si>
  <si>
    <t>La compañía potencia su estrategia multienergética con un gran acuerdo y ahonda en el patrocinio de eventos de ocio. Repsol se alía con las seis promotoras....</t>
  </si>
  <si>
    <t>Repsol brings its multi-energy to the main music festivals in Spain and Portugal</t>
  </si>
  <si>
    <t>The company strengthens its multi-energy strategy with a large agreement and deepens its sponsorship of leisure events. Repsol joins forces with the six promoters....</t>
  </si>
  <si>
    <t>Repsol music sponsorship, marketing strategy</t>
  </si>
  <si>
    <t>Patrocinio musical de Repsol, estrategia de marketing</t>
  </si>
  <si>
    <t>Sponsoring music festivals enhances Repsol’s brand visibility among young audiences.</t>
  </si>
  <si>
    <t>multienergía</t>
  </si>
  <si>
    <t>Positive brand expansion.</t>
  </si>
  <si>
    <t>Expansión positiva de la marca.</t>
  </si>
  <si>
    <r>
      <rPr>
        <rFont val="Arial, sans-serif"/>
        <color rgb="FF1155CC"/>
        <sz val="9.0"/>
        <u/>
      </rPr>
      <t>Interempresas.net</t>
    </r>
    <r>
      <rPr>
        <rFont val="Arial, sans-serif"/>
        <color rgb="FF1155CC"/>
        <sz val="15.0"/>
        <u/>
      </rPr>
      <t>Enrique Tomás, “Rey del Jamón”, se une a Repsol</t>
    </r>
    <r>
      <rPr>
        <rFont val="Arial, sans-serif"/>
        <color rgb="FF1155CC"/>
        <sz val="11.0"/>
        <u/>
      </rPr>
      <t>Repsol comenzó su colaboración con el especialista en jamón ibérico, Enrique Tomás, para ofrecer productos gourmet de la marca en su red de estaciones de...</t>
    </r>
    <r>
      <rPr>
        <rFont val="Arial, sans-serif"/>
        <color rgb="FF1155CC"/>
        <sz val="12.0"/>
        <u/>
      </rPr>
      <t>.</t>
    </r>
    <r>
      <rPr>
        <rFont val="Arial, sans-serif"/>
        <color rgb="FF1155CC"/>
        <sz val="11.0"/>
        <u/>
      </rPr>
      <t>18 abr 2024</t>
    </r>
  </si>
  <si>
    <t>Enrique Tomás, “Rey del Jamón”, se une a Repsol</t>
  </si>
  <si>
    <t>Repsol comenzó su colaboración con el especialista en jamón ibérico, Enrique Tomás, para ofrecer productos gourmet de la marca en su red de estaciones de....</t>
  </si>
  <si>
    <t>Enrique Tomás, “King of Ham”, joins Repsol</t>
  </si>
  <si>
    <t>Repsol began its collaboration with the Iberian ham specialist, Enrique Tomás, to offer the brand's gourmet products in its network of stations....</t>
  </si>
  <si>
    <t>Repsol partnership, business strategy</t>
  </si>
  <si>
    <t>Colaboración Repsol, estrategia empresarial</t>
  </si>
  <si>
    <t>Expanding collaborations strengthens Repsol’s presence in diverse sectors.</t>
  </si>
  <si>
    <t>se une</t>
  </si>
  <si>
    <r>
      <rPr>
        <rFont val="Arial, sans-serif"/>
        <color rgb="FF1155CC"/>
        <sz val="9.0"/>
        <u/>
      </rPr>
      <t>Radio Intereconomía</t>
    </r>
    <r>
      <rPr>
        <rFont val="Arial, sans-serif"/>
        <color rgb="FF1155CC"/>
        <sz val="15.0"/>
        <u/>
      </rPr>
      <t>Revés para Repsol en Venezuela: EE.UU. restaura las sanciones al petróleo</t>
    </r>
    <r>
      <rPr>
        <rFont val="Arial, sans-serif"/>
        <color rgb="FF1155CC"/>
        <sz val="11.0"/>
        <u/>
      </rPr>
      <t>Repsol, veía una puerta abierta a su situación en Venezuela cuando EE.UU. levantó las sanciones que vuelva a implantar.</t>
    </r>
    <r>
      <rPr>
        <rFont val="Arial, sans-serif"/>
        <color rgb="FF1155CC"/>
        <sz val="12.0"/>
        <u/>
      </rPr>
      <t>.</t>
    </r>
    <r>
      <rPr>
        <rFont val="Arial, sans-serif"/>
        <color rgb="FF1155CC"/>
        <sz val="11.0"/>
        <u/>
      </rPr>
      <t>18 abr 2024</t>
    </r>
  </si>
  <si>
    <t>Revés para Repsol en Venezuela: EE.UU. restaura las sanciones al petróleo</t>
  </si>
  <si>
    <t>Repsol, veía una puerta abierta a su situación en Venezuela cuando EE.UU. levantó las sanciones que vuelva a implantar.</t>
  </si>
  <si>
    <t>Setback for Repsol in Venezuela: US restores oil sanctions</t>
  </si>
  <si>
    <t>Repsol saw an open door to its situation in Venezuela when the US lifted the sanctions it reimposed.</t>
  </si>
  <si>
    <t>Repsol Venezuela, oil sanctions</t>
  </si>
  <si>
    <t>Repsol Venezuela, sanciones petroleras</t>
  </si>
  <si>
    <t>US sanctions on Venezuela may create financial challenges for Repsol’s investments.</t>
  </si>
  <si>
    <t>sanciones</t>
  </si>
  <si>
    <t>Negative regulatory impact.</t>
  </si>
  <si>
    <t>Impacto regulatorio negativo.</t>
  </si>
  <si>
    <r>
      <rPr>
        <rFont val="Arial, sans-serif"/>
        <color rgb="FF1155CC"/>
        <sz val="9.0"/>
        <u/>
      </rPr>
      <t>Europa Press</t>
    </r>
    <r>
      <rPr>
        <rFont val="Arial, sans-serif"/>
        <color rgb="FF1155CC"/>
        <sz val="15.0"/>
        <u/>
      </rPr>
      <t>Repsol entra en la música con un acuerdo para suministrar multienergía para descarbonizar los festivales</t>
    </r>
    <r>
      <rPr>
        <rFont val="Arial, sans-serif"/>
        <color rgb="FF1155CC"/>
        <sz val="11.0"/>
        <u/>
      </rPr>
      <t>MADRID 18 Abr. (EUROPA PRESS) -. Repsol ha desembarcado en el sector de la música con un acuerdo para el suministro de multienergía a las principales...</t>
    </r>
    <r>
      <rPr>
        <rFont val="Arial, sans-serif"/>
        <color rgb="FF1155CC"/>
        <sz val="12.0"/>
        <u/>
      </rPr>
      <t>.</t>
    </r>
    <r>
      <rPr>
        <rFont val="Arial, sans-serif"/>
        <color rgb="FF1155CC"/>
        <sz val="11.0"/>
        <u/>
      </rPr>
      <t>18 abr 2024</t>
    </r>
  </si>
  <si>
    <t>Repsol entra en la música con un acuerdo para suministrar multienergía para descarbonizar los festivales</t>
  </si>
  <si>
    <t>Repsol ha desembarcado en el sector de la música con un acuerdo para el suministro de multienergía a las principales....</t>
  </si>
  <si>
    <t>Repsol enters music with an agreement to supply multi-energy to decarbonize festivals</t>
  </si>
  <si>
    <t>Repsol has entered the music sector with an agreement to supply multi-energy to the main...</t>
  </si>
  <si>
    <t>Repsol energy sponsorship, marketing strategy</t>
  </si>
  <si>
    <t>Patrocinio energético de Repsol, estrategia de marketing</t>
  </si>
  <si>
    <t>Expanding energy services through sponsorship deals enhances Repsol’s brand presence.</t>
  </si>
  <si>
    <t>descarbonizar</t>
  </si>
  <si>
    <r>
      <rPr>
        <rFont val="Arial, sans-serif"/>
        <color rgb="FF1155CC"/>
        <sz val="9.0"/>
        <u/>
      </rPr>
      <t>El Periódico de la Energía</t>
    </r>
    <r>
      <rPr>
        <rFont val="Arial, sans-serif"/>
        <color rgb="FF1155CC"/>
        <sz val="15.0"/>
        <u/>
      </rPr>
      <t>Pdvsa y Repsol acuerdan ampliar la explotación de campos en una empresa petrolera conjunta</t>
    </r>
    <r>
      <rPr>
        <rFont val="Arial, sans-serif"/>
        <color rgb="FF1155CC"/>
        <sz val="11.0"/>
        <u/>
      </rPr>
      <t>Pdvsa y Repsol han firmado un nuevo acuerdo con el objetivo de extender la cantidad de campos petroleros a explotar.</t>
    </r>
    <r>
      <rPr>
        <rFont val="Arial, sans-serif"/>
        <color rgb="FF1155CC"/>
        <sz val="12.0"/>
        <u/>
      </rPr>
      <t>.</t>
    </r>
    <r>
      <rPr>
        <rFont val="Arial, sans-serif"/>
        <color rgb="FF1155CC"/>
        <sz val="11.0"/>
        <u/>
      </rPr>
      <t>18 abr 2024</t>
    </r>
  </si>
  <si>
    <t>Pdvsa y Repsol acuerdan ampliar la explotación de campos en una empresa petrolera conjunta</t>
  </si>
  <si>
    <t>Pdvsa y Repsol han firmado un nuevo acuerdo con el objetivo de extender la cantidad de campos petroleros a explotar.</t>
  </si>
  <si>
    <t>PDVSA and Repsol agree to expand the exploitation of fields in a joint oil company</t>
  </si>
  <si>
    <t>PDVSA and Repsol have signed a new agreement with the objective of expanding the number of oil fields to be exploited.</t>
  </si>
  <si>
    <t>Strengthening oil operations in Venezuela reinforces Repsol’s international presence.</t>
  </si>
  <si>
    <r>
      <rPr>
        <rFont val="Arial, sans-serif"/>
        <color rgb="FF1155CC"/>
        <sz val="9.0"/>
        <u/>
      </rPr>
      <t>Marketing Directo</t>
    </r>
    <r>
      <rPr>
        <rFont val="Arial, sans-serif"/>
        <color rgb="FF1155CC"/>
        <sz val="15.0"/>
        <u/>
      </rPr>
      <t>Desde elrow hasta Arenal Sound: Repsol lleva su multienergía a los principales festivales de música</t>
    </r>
    <r>
      <rPr>
        <rFont val="Arial, sans-serif"/>
        <color rgb="FF1155CC"/>
        <sz val="11.0"/>
        <u/>
      </rPr>
      <t>Repsol se alía con las seis promotoras musicales más importantes de España para impulsar las soluciones multienergéticas en festivales.</t>
    </r>
    <r>
      <rPr>
        <rFont val="Arial, sans-serif"/>
        <color rgb="FF1155CC"/>
        <sz val="12.0"/>
        <u/>
      </rPr>
      <t>.</t>
    </r>
    <r>
      <rPr>
        <rFont val="Arial, sans-serif"/>
        <color rgb="FF1155CC"/>
        <sz val="11.0"/>
        <u/>
      </rPr>
      <t>18 abr 2024</t>
    </r>
  </si>
  <si>
    <t>Marketing Directo</t>
  </si>
  <si>
    <t>Desde elrow hasta Arenal Sound: Repsol lleva su multienergía a los principales festivales de música</t>
  </si>
  <si>
    <t>Repsol se alía con las seis promotoras musicales más importantes de España para impulsar las soluciones multienergéticas en festivales.</t>
  </si>
  <si>
    <t>From elrow to Arenal Sound: Repsol brings its multi-energy to the main music festivals</t>
  </si>
  <si>
    <t>Repsol joins forces with the six most important music promoters in Spain to promote multi-energy solutions at festivals.</t>
  </si>
  <si>
    <t>Sponsorship agreements enhance Repsol’s visibility in cultural events.</t>
  </si>
  <si>
    <r>
      <rPr>
        <rFont val="Arial, sans-serif"/>
        <color rgb="FF1155CC"/>
        <sz val="9.0"/>
        <u/>
      </rPr>
      <t>Dircomfidencial</t>
    </r>
    <r>
      <rPr>
        <rFont val="Arial, sans-serif"/>
        <color rgb="FF1155CC"/>
        <sz val="15.0"/>
        <u/>
      </rPr>
      <t>Las principales promotoras de festivales de música de España se alían con Repsol para reducir su huella de carbono</t>
    </r>
    <r>
      <rPr>
        <rFont val="Arial, sans-serif"/>
        <color rgb="FF1155CC"/>
        <sz val="11.0"/>
        <u/>
      </rPr>
      <t>El objetivo de este acuerdo con Repsol es impulsar conjuntamente soluciones multienergía que ayuden a reducir la huella de CO2.</t>
    </r>
    <r>
      <rPr>
        <rFont val="Arial, sans-serif"/>
        <color rgb="FF1155CC"/>
        <sz val="12.0"/>
        <u/>
      </rPr>
      <t>.</t>
    </r>
    <r>
      <rPr>
        <rFont val="Arial, sans-serif"/>
        <color rgb="FF1155CC"/>
        <sz val="11.0"/>
        <u/>
      </rPr>
      <t>18 abr 2024</t>
    </r>
  </si>
  <si>
    <t>Dircomfidencial</t>
  </si>
  <si>
    <t>Las principales promotoras de festivales de música de España se alían con Repsol para reducir su huella de carbono</t>
  </si>
  <si>
    <t>El objetivo de este acuerdo con Repsol es impulsar conjuntamente soluciones multienergía que ayuden a reducir la huella de CO2.</t>
  </si>
  <si>
    <t>Spain's main music festival promoters join forces with Repsol to reduce their carbon footprint</t>
  </si>
  <si>
    <t>The objective of this agreement with Repsol is to jointly promote multi-energy solutions that help reduce the CO2 footprint.</t>
  </si>
  <si>
    <t>Repsol music sponsorship, sustainability strategy</t>
  </si>
  <si>
    <t>Patrocinio musical de Repsol, estrategia de sostenibilidad</t>
  </si>
  <si>
    <t>Promoting sustainable energy solutions through cultural sponsorships supports Repsol’s green initiatives.</t>
  </si>
  <si>
    <t>reducir huella</t>
  </si>
  <si>
    <t>Strong positive sustainability effort.</t>
  </si>
  <si>
    <t>Fuerte esfuerzo positivo de sostenibilidad.</t>
  </si>
  <si>
    <r>
      <rPr>
        <rFont val="Arial, sans-serif"/>
        <color rgb="FF1155CC"/>
        <sz val="9.0"/>
        <u/>
      </rPr>
      <t>EcoAvant.com</t>
    </r>
    <r>
      <rPr>
        <rFont val="Arial, sans-serif"/>
        <color rgb="FF1155CC"/>
        <sz val="15.0"/>
        <u/>
      </rPr>
      <t>Ecologistas en Acción, CECU y Greenpeace denuncian a Repsol por "publicidad engañosa"</t>
    </r>
    <r>
      <rPr>
        <rFont val="Arial, sans-serif"/>
        <color rgb="FF1155CC"/>
        <sz val="11.0"/>
        <u/>
      </rPr>
      <t>Los informes periciales consideran que la petrolera "oculta en su comunicación pública y en su publicidad la deforestación y demás impactos ambientales.</t>
    </r>
    <r>
      <rPr>
        <rFont val="Arial, sans-serif"/>
        <color rgb="FF1155CC"/>
        <sz val="12.0"/>
        <u/>
      </rPr>
      <t>.</t>
    </r>
    <r>
      <rPr>
        <rFont val="Arial, sans-serif"/>
        <color rgb="FF1155CC"/>
        <sz val="11.0"/>
        <u/>
      </rPr>
      <t>18 abr 2024</t>
    </r>
  </si>
  <si>
    <t>EcoAvant.com</t>
  </si>
  <si>
    <t>Ecologistas en Acción, CECU y Greenpeace denuncian a Repsol por "publicidad engañosa". Los informes periciales consideran que la petrolera "oculta en su comunicación pública y en su publicidad la deforestación y demás impactos ambientales".</t>
  </si>
  <si>
    <t>Ecologists in Action, CECU and Greenpeace denounce Repsol for "misleading advertising." The expert reports consider that the oil company "hides deforestation and other environmental impacts in its public communication and advertising."</t>
  </si>
  <si>
    <t>Ongoing accusations of environmental malpractice could harm Repsol’s credibility.</t>
  </si>
  <si>
    <r>
      <rPr>
        <rFont val="Arial, sans-serif"/>
        <color rgb="FF1155CC"/>
        <sz val="9.0"/>
        <u/>
      </rPr>
      <t>Guía Repsol</t>
    </r>
    <r>
      <rPr>
        <rFont val="Arial, sans-serif"/>
        <color rgb="FF1155CC"/>
        <sz val="15.0"/>
        <u/>
      </rPr>
      <t>La senda de Izarbe, arte y naturaleza camino del Pirineo</t>
    </r>
    <r>
      <rPr>
        <rFont val="Arial, sans-serif"/>
        <color rgb="FF1155CC"/>
        <sz val="11.0"/>
        <u/>
      </rPr>
      <t>Arte, naturaleza, paisaje y silencio, mucho silencio. La expresión "desconectar del mundanal ruido" adquiere todo su sentido en la cara norte del puerto de...</t>
    </r>
    <r>
      <rPr>
        <rFont val="Arial, sans-serif"/>
        <color rgb="FF1155CC"/>
        <sz val="12.0"/>
        <u/>
      </rPr>
      <t>.</t>
    </r>
    <r>
      <rPr>
        <rFont val="Arial, sans-serif"/>
        <color rgb="FF1155CC"/>
        <sz val="11.0"/>
        <u/>
      </rPr>
      <t>18 abr 2024</t>
    </r>
  </si>
  <si>
    <t>La senda de Izarbe, arte y naturaleza camino del Pirineo</t>
  </si>
  <si>
    <t>Arte, naturaleza, paisaje y silencio, mucho silencio. La expresión "desconectar del mundanal ruido" adquiere todo su sentido en la cara norte del puerto de....</t>
  </si>
  <si>
    <t>The Izarbe path, art and nature on the way to the Pyrenees</t>
  </si>
  <si>
    <t>Art, nature, landscape and silence, a lot of silence. The expression "disconnect from the madding crowd" takes on all its meaning on the north side of the port of....</t>
  </si>
  <si>
    <r>
      <rPr>
        <rFont val="Arial, sans-serif"/>
        <color rgb="FF1155CC"/>
        <sz val="9.0"/>
        <u/>
      </rPr>
      <t>Europa Press</t>
    </r>
    <r>
      <rPr>
        <rFont val="Arial, sans-serif"/>
        <color rgb="FF1155CC"/>
        <sz val="15.0"/>
        <u/>
      </rPr>
      <t>Repsol y la petrolera venezolana Pdvsa acuerdan ampliar la colaboración en su empresa mixta en Venezuela</t>
    </r>
    <r>
      <rPr>
        <rFont val="Arial, sans-serif"/>
        <color rgb="FF1155CC"/>
        <sz val="11.0"/>
        <u/>
      </rPr>
      <t>Petróleos de Venezuela (Pdvsa) y Repsol han firmado el acuerdo para la extensión del área geográfica de la...</t>
    </r>
    <r>
      <rPr>
        <rFont val="Arial, sans-serif"/>
        <color rgb="FF1155CC"/>
        <sz val="12.0"/>
        <u/>
      </rPr>
      <t>.</t>
    </r>
    <r>
      <rPr>
        <rFont val="Arial, sans-serif"/>
        <color rgb="FF1155CC"/>
        <sz val="11.0"/>
        <u/>
      </rPr>
      <t>18 abr 2024</t>
    </r>
  </si>
  <si>
    <t>Repsol y la petrolera venezolana Pdvsa acuerdan ampliar la colaboración en su empresa mixta en Venezuela</t>
  </si>
  <si>
    <t>Petróleos de Venezuela (Pdvsa) y Repsol han firmado el acuerdo para la extensión del área geográfica de la....</t>
  </si>
  <si>
    <t>Repsol and the Venezuelan oil company PDVSA agree to expand collaboration in their joint venture in Venezuela</t>
  </si>
  <si>
    <t>Petróleos de Venezuela (Pdvsa) and Repsol have signed the agreement for the extension of the geographical area of ​​the...</t>
  </si>
  <si>
    <t>Strengthening partnerships in Venezuela supports Repsol’s oil production goals.</t>
  </si>
  <si>
    <r>
      <rPr>
        <rFont val="Arial, sans-serif"/>
        <color rgb="FF1155CC"/>
        <sz val="9.0"/>
        <u/>
      </rPr>
      <t>Banca y Negocios</t>
    </r>
    <r>
      <rPr>
        <rFont val="Arial, sans-serif"/>
        <color rgb="FF1155CC"/>
        <sz val="15.0"/>
        <u/>
      </rPr>
      <t>PDVSA y Repsol firman acuerdo de ampliación geográfica de Petroquiriquire</t>
    </r>
    <r>
      <rPr>
        <rFont val="Arial, sans-serif"/>
        <color rgb="FF1155CC"/>
        <sz val="11.0"/>
        <u/>
      </rPr>
      <t>José Carlos De Vicente Bravo, apoderado de Repsol, expresó: “ratificamos el compromiso que ambas partes tenemos en la continuación de nuestros negocios en...</t>
    </r>
    <r>
      <rPr>
        <rFont val="Arial, sans-serif"/>
        <color rgb="FF1155CC"/>
        <sz val="12.0"/>
        <u/>
      </rPr>
      <t>.</t>
    </r>
    <r>
      <rPr>
        <rFont val="Arial, sans-serif"/>
        <color rgb="FF1155CC"/>
        <sz val="11.0"/>
        <u/>
      </rPr>
      <t>18 abr 2024</t>
    </r>
  </si>
  <si>
    <t>Banca y Negocios</t>
  </si>
  <si>
    <t>PDVSA y Repsol firman acuerdo de ampliación geográfica de Petroquiriquire</t>
  </si>
  <si>
    <t>ratificamos el compromiso que ambas partes tenemos en la continuación de nuestros negocios en....</t>
  </si>
  <si>
    <t>PDVSA and Repsol sign agreement for the geographical expansion of Petroquiriquire</t>
  </si>
  <si>
    <t>We ratify the commitment that both parties have in the continuation of our businesses in....</t>
  </si>
  <si>
    <t>Expanding operations in Venezuela supports Repsol’s long-term energy strategy.</t>
  </si>
  <si>
    <r>
      <rPr>
        <rFont val="Arial, sans-serif"/>
        <color rgb="FF1155CC"/>
        <sz val="9.0"/>
        <u/>
      </rPr>
      <t>Guía Repsol</t>
    </r>
    <r>
      <rPr>
        <rFont val="Arial, sans-serif"/>
        <color rgb="FF1155CC"/>
        <sz val="15.0"/>
        <u/>
      </rPr>
      <t>Restaurante 'El Duende del Fuego' (Los Llanos): la cocina que no excluye a nadie</t>
    </r>
    <r>
      <rPr>
        <rFont val="Arial, sans-serif"/>
        <color rgb="FF1155CC"/>
        <sz val="11.0"/>
        <u/>
      </rPr>
      <t>Pedro Hernández lleva diez años cocinando en 'El Duende del Fuego' recetas que no excluyen a nadie. Con una carta donde el 95% de los platos están libres de...</t>
    </r>
    <r>
      <rPr>
        <rFont val="Arial, sans-serif"/>
        <color rgb="FF1155CC"/>
        <sz val="12.0"/>
        <u/>
      </rPr>
      <t>.</t>
    </r>
    <r>
      <rPr>
        <rFont val="Arial, sans-serif"/>
        <color rgb="FF1155CC"/>
        <sz val="11.0"/>
        <u/>
      </rPr>
      <t>18 abr 2024</t>
    </r>
  </si>
  <si>
    <t>Restaurante 'El Duende del Fuego' (Los Llanos): la cocina que no excluye a nadie</t>
  </si>
  <si>
    <t>Pedro Hernández lleva diez años cocinando en 'El Duende del Fuego' recetas que no excluyen a nadie. Con una carta donde el 95% de los platos están libres de....</t>
  </si>
  <si>
    <t>Restaurant 'El Duende del Fuego' (Los Llanos): the cuisine that does not exclude anyone</t>
  </si>
  <si>
    <t>Pedro Hernández has been cooking recipes in 'El Duende del Fuego' for ten years that do not exclude anyone. With a menu where 95% of the dishes are free of....</t>
  </si>
  <si>
    <r>
      <rPr>
        <rFont val="Arial, sans-serif"/>
        <color rgb="FF1155CC"/>
        <sz val="9.0"/>
        <u/>
      </rPr>
      <t>El Economista</t>
    </r>
    <r>
      <rPr>
        <rFont val="Arial, sans-serif"/>
        <color rgb="FF1155CC"/>
        <sz val="15.0"/>
        <u/>
      </rPr>
      <t>Petronor impulsa un mercado de hidrógeno renovable europeo junto a empresas de Alemania y Holanda</t>
    </r>
    <r>
      <rPr>
        <rFont val="Arial, sans-serif"/>
        <color rgb="FF1155CC"/>
        <sz val="11.0"/>
        <u/>
      </rPr>
      <t>Petronor, filial de Repsol, ha firmado un acuerdo de colaboración con empresas holandesas y alemanas y el puerto de Ámsterdam para el ...</t>
    </r>
    <r>
      <rPr>
        <rFont val="Arial, sans-serif"/>
        <color rgb="FF1155CC"/>
        <sz val="12.0"/>
        <u/>
      </rPr>
      <t>.</t>
    </r>
    <r>
      <rPr>
        <rFont val="Arial, sans-serif"/>
        <color rgb="FF1155CC"/>
        <sz val="11.0"/>
        <u/>
      </rPr>
      <t>18 abr 2024</t>
    </r>
  </si>
  <si>
    <t>Petronor impulsa un mercado de hidrógeno renovable europeo junto a empresas de Alemania y Holanda</t>
  </si>
  <si>
    <t>Petronor, filial de Repsol, ha firmado un acuerdo de colaboración con empresas holandesas y alemanas y el puerto de Ámsterdam para el ....</t>
  </si>
  <si>
    <t>Petronor promotes a European renewable hydrogen market together with companies from Germany and the Netherlands</t>
  </si>
  <si>
    <t>Petronor, a subsidiary of Repsol, has signed a collaboration agreement with Dutch and German companies and the port of Amsterdam for the...</t>
  </si>
  <si>
    <t>Repsol hydrogen, renewable energy</t>
  </si>
  <si>
    <t>Repsol hidrógeno, energía renovable</t>
  </si>
  <si>
    <t>Investing in renewable hydrogen aligns with Repsol’s clean energy transition.</t>
  </si>
  <si>
    <t>hidrógeno renovable</t>
  </si>
  <si>
    <t>Positive green energy initiative.</t>
  </si>
  <si>
    <t>Iniciativa positiva de energía verde.</t>
  </si>
  <si>
    <r>
      <rPr>
        <rFont val="Arial, sans-serif"/>
        <color rgb="FF1155CC"/>
        <sz val="9.0"/>
        <u/>
      </rPr>
      <t>La Radio del Sur</t>
    </r>
    <r>
      <rPr>
        <rFont val="Arial, sans-serif"/>
        <color rgb="FF1155CC"/>
        <sz val="15.0"/>
        <u/>
      </rPr>
      <t>Pdvsa y Repsol acuerdan ampliar la explotación de campos</t>
    </r>
    <r>
      <rPr>
        <rFont val="Arial, sans-serif"/>
        <color rgb="FF1155CC"/>
        <sz val="11.0"/>
        <u/>
      </rPr>
      <t>PDVSA y la española Repsol concretaron la firma del acuerdo para la extensión del área geográfica de la empresa mixta Petroquiriquire,</t>
    </r>
    <r>
      <rPr>
        <rFont val="Arial, sans-serif"/>
        <color rgb="FF1155CC"/>
        <sz val="12.0"/>
        <u/>
      </rPr>
      <t>.</t>
    </r>
    <r>
      <rPr>
        <rFont val="Arial, sans-serif"/>
        <color rgb="FF1155CC"/>
        <sz val="11.0"/>
        <u/>
      </rPr>
      <t>18 abr 2024</t>
    </r>
  </si>
  <si>
    <t>La Radio del Sur</t>
  </si>
  <si>
    <t>Pdvsa y Repsol acuerdan ampliar la explotación de campos</t>
  </si>
  <si>
    <t>PDVSA y la española Repsol concretaron la firma del acuerdo para la extensión del área geográfica de la empresa mixta Petroquiriquire.</t>
  </si>
  <si>
    <t>PDVSA and Repsol agree to expand the exploitation of fields</t>
  </si>
  <si>
    <t>PDVSA and the Spanish Repsol signed the agreement to extend the geographical area of ​​the Petroquiriquire mixed company.</t>
  </si>
  <si>
    <t>Strengthening oil operations in Venezuela supports Repsol’s global strategy.</t>
  </si>
  <si>
    <r>
      <rPr>
        <rFont val="Arial, sans-serif"/>
        <color rgb="FF1155CC"/>
        <sz val="9.0"/>
        <u/>
      </rPr>
      <t>Diario Primicia</t>
    </r>
    <r>
      <rPr>
        <rFont val="Arial, sans-serif"/>
        <color rgb="FF1155CC"/>
        <sz val="15.0"/>
        <u/>
      </rPr>
      <t>Pdvsa y Repsol firman acuerdo para ampliar extensión de Petroquiriquire</t>
    </r>
    <r>
      <rPr>
        <rFont val="Arial, sans-serif"/>
        <color rgb="FF1155CC"/>
        <sz val="11.0"/>
        <u/>
      </rPr>
      <t>Representantes de Petróleos de Venezuela, S.A. (Pdvsa) y la empresa española Repsol concretaron la firma del acuerdo para la extensión del área geográfica...</t>
    </r>
    <r>
      <rPr>
        <rFont val="Arial, sans-serif"/>
        <color rgb="FF1155CC"/>
        <sz val="12.0"/>
        <u/>
      </rPr>
      <t>.</t>
    </r>
    <r>
      <rPr>
        <rFont val="Arial, sans-serif"/>
        <color rgb="FF1155CC"/>
        <sz val="11.0"/>
        <u/>
      </rPr>
      <t>18 abr 2024</t>
    </r>
  </si>
  <si>
    <t>Pdvsa y Repsol firman acuerdo para ampliar extensión de Petroquiriquire</t>
  </si>
  <si>
    <t>Representantes de Petróleos de Venezuela, S.A. (Pdvsa) y la empresa española Repsol concretaron la firma del acuerdo para la extensión del área geográfica....</t>
  </si>
  <si>
    <t>PDVSA and Repsol sign agreement to expand the extension of Petroquiriquire</t>
  </si>
  <si>
    <t>Representatives of Petróleos de Venezuela, S.A. (Pdvsa) and the Spanish company Repsol signed the agreement for the extension of the geographical area....</t>
  </si>
  <si>
    <t>Expanding exploration agreements in Venezuela supports Repsol’s market positioning.</t>
  </si>
  <si>
    <r>
      <rPr>
        <rFont val="Arial, sans-serif"/>
        <color rgb="FF1155CC"/>
        <sz val="9.0"/>
        <u/>
      </rPr>
      <t>El Economista</t>
    </r>
    <r>
      <rPr>
        <rFont val="Arial, sans-serif"/>
        <color rgb="FF1155CC"/>
        <sz val="15.0"/>
        <u/>
      </rPr>
      <t>Pese a nuevas sanciones al petróleo y al gas de Venezuela, EU deja "ventanas abiertas"</t>
    </r>
    <r>
      <rPr>
        <rFont val="Arial, sans-serif"/>
        <color rgb="FF1155CC"/>
        <sz val="11.0"/>
        <u/>
      </rPr>
      <t>El mismo día de las sanciones, PDVSA y la española Repsol firmaron un acuerdo para que la operación conjunta aumente su producción de crudo y gas,...</t>
    </r>
    <r>
      <rPr>
        <rFont val="Arial, sans-serif"/>
        <color rgb="FF1155CC"/>
        <sz val="12.0"/>
        <u/>
      </rPr>
      <t>.</t>
    </r>
    <r>
      <rPr>
        <rFont val="Arial, sans-serif"/>
        <color rgb="FF1155CC"/>
        <sz val="11.0"/>
        <u/>
      </rPr>
      <t>18 abr 2024</t>
    </r>
  </si>
  <si>
    <t>Pese a nuevas sanciones al petróleo y al gas de Venezuela, EU deja "ventanas abiertas"</t>
  </si>
  <si>
    <t>El mismo día de las sanciones, PDVSA y la española Repsol firmaron un acuerdo para que la operación conjunta aumente su producción de crudo y gas,....</t>
  </si>
  <si>
    <t>Despite new sanctions on Venezuelan oil and gas, the US leaves "windows open"</t>
  </si>
  <si>
    <t>On the same day of the sanctions, PDVSA and the Spanish company Repsol signed an agreement for the joint operation to increase its production of crude oil and gas....</t>
  </si>
  <si>
    <t>US sanctions on Venezuela could create operational challenges for Repsol.</t>
  </si>
  <si>
    <r>
      <rPr>
        <rFont val="Arial, sans-serif"/>
        <color rgb="FF1155CC"/>
        <sz val="9.0"/>
        <u/>
      </rPr>
      <t>Athletic Club</t>
    </r>
    <r>
      <rPr>
        <rFont val="Arial, sans-serif"/>
        <color rgb="FF1155CC"/>
        <sz val="15.0"/>
        <u/>
      </rPr>
      <t>Petronor y Repsol se convierten en los partners de energía del Athletic</t>
    </r>
    <r>
      <rPr>
        <rFont val="Arial, sans-serif"/>
        <color rgb="FF1155CC"/>
        <sz val="11.0"/>
        <u/>
      </rPr>
      <t>El acuerdo establece que tanto Petronor como Repsol serán los proveedores oficiales del Athletic Club de electricidad renovable y combustibles renovables.</t>
    </r>
    <r>
      <rPr>
        <rFont val="Arial, sans-serif"/>
        <color rgb="FF1155CC"/>
        <sz val="12.0"/>
        <u/>
      </rPr>
      <t>.</t>
    </r>
    <r>
      <rPr>
        <rFont val="Arial, sans-serif"/>
        <color rgb="FF1155CC"/>
        <sz val="11.0"/>
        <u/>
      </rPr>
      <t>19 abr 2024</t>
    </r>
  </si>
  <si>
    <t>Athletic Club</t>
  </si>
  <si>
    <t>Petronor y Repsol se convierten en los partners de energía del Athletic</t>
  </si>
  <si>
    <t>El acuerdo establece que tanto Petronor como Repsol serán los proveedores oficiales del Athletic Club de electricidad renovable y combustibles renovables.</t>
  </si>
  <si>
    <t>Petronor and Repsol become Athletic's energy partners</t>
  </si>
  <si>
    <t>The agreement establishes that both Petronor and Repsol will be Athletic Club's official suppliers of renewable electricity and renewable fuels.</t>
  </si>
  <si>
    <t>Repsol sponsorship, business partnership</t>
  </si>
  <si>
    <t>Patrocinio Repsol, alianza empresarial</t>
  </si>
  <si>
    <t>Sponsoring major football teams enhances Repsol’s brand visibility.</t>
  </si>
  <si>
    <t>partners</t>
  </si>
  <si>
    <t>Positive sponsorship.</t>
  </si>
  <si>
    <t>Patrocinio positivo.</t>
  </si>
  <si>
    <r>
      <rPr>
        <rFont val="Arial, sans-serif"/>
        <color rgb="FF1155CC"/>
        <sz val="9.0"/>
        <u/>
      </rPr>
      <t>Petronor</t>
    </r>
    <r>
      <rPr>
        <rFont val="Arial, sans-serif"/>
        <color rgb="FF1155CC"/>
        <sz val="15.0"/>
        <u/>
      </rPr>
      <t>Acuerdo Petronor, Athletic y Repsol</t>
    </r>
    <r>
      <rPr>
        <rFont val="Arial, sans-serif"/>
        <color rgb="FF1155CC"/>
        <sz val="11.0"/>
        <u/>
      </rPr>
      <t>El presidente del Athletic Club, Jon Uriarte, el presidente de Petronor, Emiliano López Atxurra y el director general de cliente de Repsol, Valero Marín,...</t>
    </r>
    <r>
      <rPr>
        <rFont val="Arial, sans-serif"/>
        <color rgb="FF1155CC"/>
        <sz val="12.0"/>
        <u/>
      </rPr>
      <t>.</t>
    </r>
    <r>
      <rPr>
        <rFont val="Arial, sans-serif"/>
        <color rgb="FF1155CC"/>
        <sz val="11.0"/>
        <u/>
      </rPr>
      <t>19 abr 2024</t>
    </r>
  </si>
  <si>
    <t>Acuerdo Petronor, Athletic y Repsol</t>
  </si>
  <si>
    <t>El presidente del Athletic Club, Jon Uriarte, el presidente de Petronor, Emiliano López Atxurra y el director general de cliente de Repsol, Valero Marín,...</t>
  </si>
  <si>
    <t>Petronor, Athletic and Repsol agreement</t>
  </si>
  <si>
    <t>The president of Athletic Club, Jon Uriarte, the president of Petronor, Emiliano López Atxurra and the general customer director of Repsol, Valero Marín,...</t>
  </si>
  <si>
    <t>Expanding sponsorships in football strengthens Repsol’s brand association.</t>
  </si>
  <si>
    <t>Positive collaboration.</t>
  </si>
  <si>
    <t>Colaboración positiva.</t>
  </si>
  <si>
    <r>
      <rPr>
        <rFont val="Arial, sans-serif"/>
        <color rgb="FF1155CC"/>
        <sz val="9.0"/>
        <u/>
      </rPr>
      <t>Piensa en Geotermia</t>
    </r>
    <r>
      <rPr>
        <rFont val="Arial, sans-serif"/>
        <color rgb="FF1155CC"/>
        <sz val="15.0"/>
        <u/>
      </rPr>
      <t>“Repsol Earth Solutions Holding SL” la nueva empresa de Repsol enfocada en geotermia e hidrógeno.</t>
    </r>
    <r>
      <rPr>
        <rFont val="Arial, sans-serif"/>
        <color rgb="FF1155CC"/>
        <sz val="11.0"/>
        <u/>
      </rPr>
      <t>Repsol establece 'Repsol Earth Solutions Holding SL' con el objetivo de diversificar su enfoque energético hacia la geotermia e hidrógeno,...</t>
    </r>
    <r>
      <rPr>
        <rFont val="Arial, sans-serif"/>
        <color rgb="FF1155CC"/>
        <sz val="12.0"/>
        <u/>
      </rPr>
      <t>.</t>
    </r>
    <r>
      <rPr>
        <rFont val="Arial, sans-serif"/>
        <color rgb="FF1155CC"/>
        <sz val="11.0"/>
        <u/>
      </rPr>
      <t>19 abr 2024</t>
    </r>
  </si>
  <si>
    <t>Repsol establece 'Repsol Earth Solutions Holding SL' con el objetivo de diversificar su enfoque energético hacia la geotermia e hidrógeno.</t>
  </si>
  <si>
    <t>Repsol establece 'Repsol Earth Solutions Holding SL' con el objetivo de diversificar su enfoque energético hacia la geotermia e hidrógeno,....</t>
  </si>
  <si>
    <t>Repsol establishes 'Repsol Earth Solutions Holding SL' with the aim of diversifying its energy focus towards geothermal and hydrogen.</t>
  </si>
  <si>
    <t>Repsol establishes 'Repsol Earth Solutions Holding SL' with the aim of diversifying its energy focus towards geothermal and hydrogen,....</t>
  </si>
  <si>
    <t>Repsol sustainability strategy, business expansion</t>
  </si>
  <si>
    <t>Estrategia de sostenibilidad de Repsol, expansión empresarial</t>
  </si>
  <si>
    <t>Creating a dedicated sustainability division reinforces Repsol’s environmental commitments.</t>
  </si>
  <si>
    <t>geotermia, hidrógeno</t>
  </si>
  <si>
    <r>
      <rPr>
        <rFont val="Arial, sans-serif"/>
        <color rgb="FF1155CC"/>
        <sz val="9.0"/>
        <u/>
      </rPr>
      <t>MondoSonoro</t>
    </r>
    <r>
      <rPr>
        <rFont val="Arial, sans-serif"/>
        <color rgb="FF1155CC"/>
        <sz val="15.0"/>
        <u/>
      </rPr>
      <t>Alianza entre promotores de festivales y Repsol por la huella de carbono</t>
    </r>
    <r>
      <rPr>
        <rFont val="Arial, sans-serif"/>
        <color rgb="FF1155CC"/>
        <sz val="11.0"/>
        <u/>
      </rPr>
      <t>Las principales promotoras de festivales de música de España y Portugal se alían con Repsol para reducir su huella de carbono. Tres de las seis promotoras...</t>
    </r>
    <r>
      <rPr>
        <rFont val="Arial, sans-serif"/>
        <color rgb="FF1155CC"/>
        <sz val="12.0"/>
        <u/>
      </rPr>
      <t>.</t>
    </r>
    <r>
      <rPr>
        <rFont val="Arial, sans-serif"/>
        <color rgb="FF1155CC"/>
        <sz val="11.0"/>
        <u/>
      </rPr>
      <t>19 abr 2024</t>
    </r>
  </si>
  <si>
    <t>MondoSonoro</t>
  </si>
  <si>
    <t>Alianza entre promotores de festivales y Repsol por la huella de carbono</t>
  </si>
  <si>
    <t>Las principales promotoras de festivales de música de España y Portugal se alían con Repsol para reducir su huella de carbono. Tres de las seis promotoras....</t>
  </si>
  <si>
    <t>Alliance between festival promoters and Repsol for the carbon footprint</t>
  </si>
  <si>
    <t>The main music festival promoters in Spain and Portugal join forces with Repsol to reduce their carbon footprint. Three of the six promoters....</t>
  </si>
  <si>
    <t>Repsol sustainability sponsorship, marketing strategy</t>
  </si>
  <si>
    <t>Patrocinio de sostenibilidad de Repsol, estrategia de marketing</t>
  </si>
  <si>
    <t>Sponsoring cultural events with a focus on sustainability aligns with Repsol’s green initiatives.</t>
  </si>
  <si>
    <t>alianza, huella de carbono</t>
  </si>
  <si>
    <r>
      <rPr>
        <rFont val="Arial, sans-serif"/>
        <color rgb="FF1155CC"/>
        <sz val="9.0"/>
        <u/>
      </rPr>
      <t>Guía Repsol</t>
    </r>
    <r>
      <rPr>
        <rFont val="Arial, sans-serif"/>
        <color rgb="FF1155CC"/>
        <sz val="15.0"/>
        <u/>
      </rPr>
      <t>'Via Veneto': como siempre y como nuevo</t>
    </r>
    <r>
      <rPr>
        <rFont val="Arial, sans-serif"/>
        <color rgb="FF1155CC"/>
        <sz val="11.0"/>
        <u/>
      </rPr>
      <t>Cálido e impecable son dos palabras que surgen con frecuencia cuando se habla con el equipo de 'Via Veneto' (Barcelona). La Familia Monje desgrana el recor.</t>
    </r>
    <r>
      <rPr>
        <rFont val="Arial, sans-serif"/>
        <color rgb="FF1155CC"/>
        <sz val="12.0"/>
        <u/>
      </rPr>
      <t>.</t>
    </r>
    <r>
      <rPr>
        <rFont val="Arial, sans-serif"/>
        <color rgb="FF1155CC"/>
        <sz val="11.0"/>
        <u/>
      </rPr>
      <t>19 abr 2024</t>
    </r>
  </si>
  <si>
    <t>'Via Veneto': como siempre y como nuevo</t>
  </si>
  <si>
    <t>Cálido e impecable son dos palabras que surgen con frecuencia cuando se habla con el equipo de 'Via Veneto' (Barcelona). La Familia Monje desgrana el recor..</t>
  </si>
  <si>
    <t>'Via Veneto': as always and as new</t>
  </si>
  <si>
    <t>Warm and impeccable are two words that come up frequently when talking to the team at 'Via Veneto' (Barcelona). The Monk Family breaks down the story..</t>
  </si>
  <si>
    <r>
      <rPr>
        <rFont val="Arial, sans-serif"/>
        <color rgb="FF1155CC"/>
        <sz val="9.0"/>
        <u/>
      </rPr>
      <t>EITB</t>
    </r>
    <r>
      <rPr>
        <rFont val="Arial, sans-serif"/>
        <color rgb="FF1155CC"/>
        <sz val="15.0"/>
        <u/>
      </rPr>
      <t>Jon Uriarte: ''Nos hemos puesto el reto de pelear por la Champions League''</t>
    </r>
    <r>
      <rPr>
        <rFont val="Arial, sans-serif"/>
        <color rgb="FF1155CC"/>
        <sz val="11.0"/>
        <u/>
      </rPr>
      <t>EITB MEDIA. El presidente del Athletic Club, Jon Uriarte, ha afirmado que el reto del primer equipo masculino del club es el de pelear por entrar en la Liga...</t>
    </r>
    <r>
      <rPr>
        <rFont val="Arial, sans-serif"/>
        <color rgb="FF1155CC"/>
        <sz val="12.0"/>
        <u/>
      </rPr>
      <t>.</t>
    </r>
    <r>
      <rPr>
        <rFont val="Arial, sans-serif"/>
        <color rgb="FF1155CC"/>
        <sz val="11.0"/>
        <u/>
      </rPr>
      <t>19 abr 2024</t>
    </r>
  </si>
  <si>
    <t>Jon Uriarte: ''Nos hemos puesto el reto de pelear por la Champions League''</t>
  </si>
  <si>
    <t>El presidente del Athletic Club, Jon Uriarte, ha afirmado que el reto del primer equipo masculino del club es el de pelear por entrar en la Liga....</t>
  </si>
  <si>
    <t>Jon Uriarte: ''We have set ourselves the challenge of fighting for the Champions League''</t>
  </si>
  <si>
    <t>The president of Athletic Club, Jon Uriarte, has stated that the challenge of the club's first men's team is to fight to enter the League....</t>
  </si>
  <si>
    <r>
      <rPr>
        <rFont val="Arial, sans-serif"/>
        <color rgb="FF1155CC"/>
        <sz val="9.0"/>
        <u/>
      </rPr>
      <t>Guía Repsol</t>
    </r>
    <r>
      <rPr>
        <rFont val="Arial, sans-serif"/>
        <color rgb="FF1155CC"/>
        <sz val="15.0"/>
        <u/>
      </rPr>
      <t>Hotel Olom en Cádiz: un encuentro con el arte gaditano</t>
    </r>
    <r>
      <rPr>
        <rFont val="Arial, sans-serif"/>
        <color rgb="FF1155CC"/>
        <sz val="11.0"/>
        <u/>
      </rPr>
      <t>Obras de arte que seducen en cada habitación con su propio artista; una azotea con piscina y cócteles de autor; un espacio gastronómico escondido en un jar.</t>
    </r>
    <r>
      <rPr>
        <rFont val="Arial, sans-serif"/>
        <color rgb="FF1155CC"/>
        <sz val="12.0"/>
        <u/>
      </rPr>
      <t>.</t>
    </r>
    <r>
      <rPr>
        <rFont val="Arial, sans-serif"/>
        <color rgb="FF1155CC"/>
        <sz val="11.0"/>
        <u/>
      </rPr>
      <t>19 abr 2024</t>
    </r>
  </si>
  <si>
    <t>Hotel Olom en Cádiz: un encuentro con el arte gaditano</t>
  </si>
  <si>
    <t>Obras de arte que seducen en cada habitación con su propio artista; una azotea con piscina y cócteles de autor; un espacio gastronómico escondido en un jar..</t>
  </si>
  <si>
    <t>Hotel Olom in Cádiz: an encounter with Cádiz art</t>
  </si>
  <si>
    <t>Works of art that seduce in every room with its own artist; a rooftop with pool and signature cocktails; a gastronomic space hidden in a garden.</t>
  </si>
  <si>
    <r>
      <rPr>
        <rFont val="Arial, sans-serif"/>
        <color rgb="FF1155CC"/>
        <sz val="9.0"/>
        <u/>
      </rPr>
      <t>Forbes España</t>
    </r>
    <r>
      <rPr>
        <rFont val="Arial, sans-serif"/>
        <color rgb="FF1155CC"/>
        <sz val="15.0"/>
        <u/>
      </rPr>
      <t>Las principales promotoras de festivales de música de España y Portugal se alían con Repsol para reducir su huella de carbono</t>
    </r>
    <r>
      <rPr>
        <rFont val="Arial, sans-serif"/>
        <color rgb="FF1155CC"/>
        <sz val="11.0"/>
        <u/>
      </rPr>
      <t>Las seis promotoras de festivales de música más importantes de España, Advanced Music, Bring The Noise, Centris, elrow, The Music Republic y Sharemusic!,</t>
    </r>
    <r>
      <rPr>
        <rFont val="Arial, sans-serif"/>
        <color rgb="FF1155CC"/>
        <sz val="12.0"/>
        <u/>
      </rPr>
      <t>.</t>
    </r>
    <r>
      <rPr>
        <rFont val="Arial, sans-serif"/>
        <color rgb="FF1155CC"/>
        <sz val="11.0"/>
        <u/>
      </rPr>
      <t>19 abr 2024</t>
    </r>
  </si>
  <si>
    <t>Las principales promotoras de festivales de música de España y Portugal se alían con Repsol para reducir su huella de carbono</t>
  </si>
  <si>
    <t>Las seis promotoras de festivales de música más importantes de España se alían con Repsol para reducir su huella de carbono.</t>
  </si>
  <si>
    <t>The main music festival promoters in Spain and Portugal join forces with Repsol to reduce their carbon footprint</t>
  </si>
  <si>
    <t>The six most important music festival promoters in Spain join forces with Repsol to reduce their carbon footprint.</t>
  </si>
  <si>
    <t>Partnering with cultural events to promote sustainability enhances Repsol’s brand image.</t>
  </si>
  <si>
    <r>
      <rPr>
        <rFont val="Arial, sans-serif"/>
        <color rgb="FF1155CC"/>
        <sz val="9.0"/>
        <u/>
      </rPr>
      <t>Banca y Negocios</t>
    </r>
    <r>
      <rPr>
        <rFont val="Arial, sans-serif"/>
        <color rgb="FF1155CC"/>
        <sz val="15.0"/>
        <u/>
      </rPr>
      <t>Gobernador de Trujillo: Repsol invertirá US$400 millones en el estado para aumentar producción petrolera</t>
    </r>
    <r>
      <rPr>
        <rFont val="Arial, sans-serif"/>
        <color rgb="FF1155CC"/>
        <sz val="11.0"/>
        <u/>
      </rPr>
      <t>Gerardo Márquez agregó que Repsol produce en Trujillo 28 mil barriles de petróleo y con el recién acuerdo firmado aspira llevar esta cifra a 600.</t>
    </r>
    <r>
      <rPr>
        <rFont val="Arial, sans-serif"/>
        <color rgb="FF1155CC"/>
        <sz val="12.0"/>
        <u/>
      </rPr>
      <t>.</t>
    </r>
    <r>
      <rPr>
        <rFont val="Arial, sans-serif"/>
        <color rgb="FF1155CC"/>
        <sz val="11.0"/>
        <u/>
      </rPr>
      <t>19 abr 2024</t>
    </r>
  </si>
  <si>
    <t>Repsol invertirá US$400 millones en el estado para aumentar producción petrolera</t>
  </si>
  <si>
    <t>Repsol produce en Trujillo 28 mil barriles de petróleo y con el recién acuerdo firmado aspira llevar esta cifra a 600.</t>
  </si>
  <si>
    <t>Repsol will invest US$400 million in the state to increase oil production</t>
  </si>
  <si>
    <t>Repsol produces 28 thousand barrels of oil in Trujillo and with the recently signed agreement it aims to bring this figure to 600.</t>
  </si>
  <si>
    <t>Repsol Venezuela, energy investment</t>
  </si>
  <si>
    <t>Repsol Venezuela, inversión energética</t>
  </si>
  <si>
    <t>Investing in oil production in Venezuela supports Repsol’s market expansion.</t>
  </si>
  <si>
    <t>invertirá</t>
  </si>
  <si>
    <t>Positive business investment.</t>
  </si>
  <si>
    <t>Inversión empresarial positiva.</t>
  </si>
  <si>
    <r>
      <rPr>
        <rFont val="Arial, sans-serif"/>
        <color rgb="FF1155CC"/>
        <sz val="9.0"/>
        <u/>
      </rPr>
      <t>Guía Repsol</t>
    </r>
    <r>
      <rPr>
        <rFont val="Arial, sans-serif"/>
        <color rgb="FF1155CC"/>
        <sz val="15.0"/>
        <u/>
      </rPr>
      <t>'La Era de Los Nogales': Un Sol en Sardas (Huesca), el pueblo de 30 habitantes</t>
    </r>
    <r>
      <rPr>
        <rFont val="Arial, sans-serif"/>
        <color rgb="FF1155CC"/>
        <sz val="11.0"/>
        <u/>
      </rPr>
      <t>El restaurante 'La Era de Los Nogales' es el sueño al que se aferra el chef Toño Rodríguez. Este año ha sido nombrado Cocinero del Año en Alimentaria,...</t>
    </r>
    <r>
      <rPr>
        <rFont val="Arial, sans-serif"/>
        <color rgb="FF1155CC"/>
        <sz val="12.0"/>
        <u/>
      </rPr>
      <t>.</t>
    </r>
    <r>
      <rPr>
        <rFont val="Arial, sans-serif"/>
        <color rgb="FF1155CC"/>
        <sz val="11.0"/>
        <u/>
      </rPr>
      <t>19 abr 2024</t>
    </r>
  </si>
  <si>
    <t>La Era de Los Nogales': Un Sol en Sardas (Huesca), el pueblo de 30 habitantes</t>
  </si>
  <si>
    <t>El restaurante 'La Era de Los Nogales' es el sueño al que se aferra el chef Toño Rodríguez. Este año ha sido nombrado Cocinero del Año en Alimentaria,....</t>
  </si>
  <si>
    <t>The Era of Los Nogales': A Sun in Sardas (Huesca), the town of 30 inhabitants</t>
  </si>
  <si>
    <t>The restaurant 'La Era de Los Nogales' is the dream that chef Toño Rodríguez clings to. This year he has been named Chef of the Year in Alimentaria,....</t>
  </si>
  <si>
    <r>
      <rPr>
        <rFont val="Arial, sans-serif"/>
        <color rgb="FF1155CC"/>
        <sz val="9.0"/>
        <u/>
      </rPr>
      <t>El Español</t>
    </r>
    <r>
      <rPr>
        <rFont val="Arial, sans-serif"/>
        <color rgb="FF1155CC"/>
        <sz val="15.0"/>
        <u/>
      </rPr>
      <t>El Dakar y MotoGP, piezas claves en la implantación de Repsol de los combustibles renovables</t>
    </r>
    <r>
      <rPr>
        <rFont val="Arial, sans-serif"/>
        <color rgb="FF1155CC"/>
        <sz val="11.0"/>
        <u/>
      </rPr>
      <t>EL ESPAÑOL habla con Dolores Cárdenas, Gerente Sénior de Diseño de Producto en Repsol Technology Lab, para conocer este ambicioso proyecto.</t>
    </r>
    <r>
      <rPr>
        <rFont val="Arial, sans-serif"/>
        <color rgb="FF1155CC"/>
        <sz val="12.0"/>
        <u/>
      </rPr>
      <t>.</t>
    </r>
    <r>
      <rPr>
        <rFont val="Arial, sans-serif"/>
        <color rgb="FF1155CC"/>
        <sz val="11.0"/>
        <u/>
      </rPr>
      <t>20 abr 2024</t>
    </r>
  </si>
  <si>
    <t>El Dakar y MotoGP, piezas claves en la implantación de Repsol de los combustibles renovables</t>
  </si>
  <si>
    <t>EL ESPAÑOL habla con Dolores Cárdenas, Gerente Sénior de Diseño de Producto en Repsol Technology Lab, para conocer este ambicioso proyecto.</t>
  </si>
  <si>
    <t>The Dakar and MotoGP, key pieces in Repsol's implementation of renewable fuels</t>
  </si>
  <si>
    <t>EL ESPAÑOL speaks with Dolores Cárdenas, Senior Product Design Manager at Repsol Technology Lab, to learn about this ambitious project.</t>
  </si>
  <si>
    <t>Repsol motorsport, marketing strategy</t>
  </si>
  <si>
    <t>Repsol Motorsport, estrategia de marketing</t>
  </si>
  <si>
    <t>Motorsports sponsorship enhances Repsol’s international brand positioning.</t>
  </si>
  <si>
    <r>
      <rPr>
        <rFont val="Arial, sans-serif"/>
        <color rgb="FF1155CC"/>
        <sz val="9.0"/>
        <u/>
      </rPr>
      <t>El Economista</t>
    </r>
    <r>
      <rPr>
        <rFont val="Arial, sans-serif"/>
        <color rgb="FF1155CC"/>
        <sz val="15.0"/>
        <u/>
      </rPr>
      <t>'La Cartera' incluye en el radar a Prosegur y la espera en los 1,55 euros</t>
    </r>
    <r>
      <rPr>
        <rFont val="Arial, sans-serif"/>
        <color rgb="FF1155CC"/>
        <sz val="11.0"/>
        <u/>
      </rPr>
      <t>La semana ha dejado fuertes caídas en renta variable y La Cartera Estratégica (la cual, a diferencia de la agresiva, tiene una visión ...</t>
    </r>
    <r>
      <rPr>
        <rFont val="Arial, sans-serif"/>
        <color rgb="FF1155CC"/>
        <sz val="12.0"/>
        <u/>
      </rPr>
      <t>.</t>
    </r>
    <r>
      <rPr>
        <rFont val="Arial, sans-serif"/>
        <color rgb="FF1155CC"/>
        <sz val="11.0"/>
        <u/>
      </rPr>
      <t>20 abr 2024</t>
    </r>
  </si>
  <si>
    <t>La Cartera incluye en el radar a Prosegur y la espera en los 1,55 euros</t>
  </si>
  <si>
    <t>La semana ha dejado fuertes caídas en renta variable y La Cartera Estratégica (la cual, a diferencia de la agresiva, tiene una visión ....</t>
  </si>
  <si>
    <t>The Portfolio includes Prosegur on the radar and the wait at 1.55 euros</t>
  </si>
  <si>
    <t>The week has left strong falls in equities and The Strategic Portfolio (which, unlike the aggressive one, has a vision....</t>
  </si>
  <si>
    <r>
      <rPr>
        <rFont val="Arial, sans-serif"/>
        <color rgb="FF1155CC"/>
        <sz val="9.0"/>
        <u/>
      </rPr>
      <t>Expansión</t>
    </r>
    <r>
      <rPr>
        <rFont val="Arial, sans-serif"/>
        <color rgb="FF1155CC"/>
        <sz val="15.0"/>
        <u/>
      </rPr>
      <t>Criteria, la transformación del brazo inversor de la Fundación La Caixa</t>
    </r>
    <r>
      <rPr>
        <rFont val="Arial, sans-serif"/>
        <color rgb="FF1155CC"/>
        <sz val="11.0"/>
        <u/>
      </rPr>
      <t>La actual Criteria, sociedad hólding que concentra las participaciones empresariales de la Fundación Bancaria la Caixa, ha experimentado profundos cambios a...</t>
    </r>
    <r>
      <rPr>
        <rFont val="Arial, sans-serif"/>
        <color rgb="FF1155CC"/>
        <sz val="12.0"/>
        <u/>
      </rPr>
      <t>.</t>
    </r>
    <r>
      <rPr>
        <rFont val="Arial, sans-serif"/>
        <color rgb="FF1155CC"/>
        <sz val="11.0"/>
        <u/>
      </rPr>
      <t>20 abr 2024</t>
    </r>
  </si>
  <si>
    <t>La transformación del brazo inversor de la Fundación La Caixa</t>
  </si>
  <si>
    <t>La actual Criteria, sociedad hólding que concentra las participaciones empresariales de la Fundación Bancaria la Caixa, ha experimentado profundos cambios a....</t>
  </si>
  <si>
    <t>The transformation of the investment arm of the La Caixa Foundation</t>
  </si>
  <si>
    <t>The current Criteria, the holding company that concentrates the business interests of the la Caixa Banking Foundation, has undergone profound changes to...</t>
  </si>
  <si>
    <r>
      <rPr>
        <rFont val="Arial, sans-serif"/>
        <color rgb="FF1155CC"/>
        <sz val="9.0"/>
        <u/>
      </rPr>
      <t>El Economista</t>
    </r>
    <r>
      <rPr>
        <rFont val="Arial, sans-serif"/>
        <color rgb="FF1155CC"/>
        <sz val="15.0"/>
        <u/>
      </rPr>
      <t>Emiratos gestionará el 55% del gas en España si desembarca en Naturgy</t>
    </r>
    <r>
      <rPr>
        <rFont val="Arial, sans-serif"/>
        <color rgb="FF1155CC"/>
        <sz val="11.0"/>
        <u/>
      </rPr>
      <t>Emiratos Árabes puede convertirse en un auténtico poder en la sombra en el sector energético español. Abu Dhabi, a través de su fondo soberano Mubadala,...</t>
    </r>
    <r>
      <rPr>
        <rFont val="Arial, sans-serif"/>
        <color rgb="FF1155CC"/>
        <sz val="12.0"/>
        <u/>
      </rPr>
      <t>.</t>
    </r>
    <r>
      <rPr>
        <rFont val="Arial, sans-serif"/>
        <color rgb="FF1155CC"/>
        <sz val="11.0"/>
        <u/>
      </rPr>
      <t>20 abr 2024</t>
    </r>
  </si>
  <si>
    <t>Emiratos gestionará el 55% del gas en España si desembarca en Naturgy</t>
  </si>
  <si>
    <t>Emiratos Árabes puede convertirse en un auténtico poder en la sombra en el sector energético español. Abu Dhabi, a través de su fondo soberano Mubadala,....</t>
  </si>
  <si>
    <t>Emirates will manage 55% of the gas in Spain if it lands in Naturgy</t>
  </si>
  <si>
    <t>The Arab Emirates can become a true shadow power in the Spanish energy sector. Abu Dhabi, through its Mubadala sovereign fund,....</t>
  </si>
  <si>
    <r>
      <rPr>
        <rFont val="Arial, sans-serif"/>
        <color rgb="FF1155CC"/>
        <sz val="9.0"/>
        <u/>
      </rPr>
      <t>La Vanguardia</t>
    </r>
    <r>
      <rPr>
        <rFont val="Arial, sans-serif"/>
        <color rgb="FF1155CC"/>
        <sz val="15.0"/>
        <u/>
      </rPr>
      <t>Canarias se rebela contra el turismo de masas y pide cambiar el modelo</t>
    </r>
    <r>
      <rPr>
        <rFont val="Arial, sans-serif"/>
        <color rgb="FF1155CC"/>
        <sz val="11.0"/>
        <u/>
      </rPr>
      <t>En las ocho islas canarias se reclama un giro en la política sobre el turismo.</t>
    </r>
    <r>
      <rPr>
        <rFont val="Arial, sans-serif"/>
        <color rgb="FF1155CC"/>
        <sz val="12.0"/>
        <u/>
      </rPr>
      <t>.</t>
    </r>
    <r>
      <rPr>
        <rFont val="Arial, sans-serif"/>
        <color rgb="FF1155CC"/>
        <sz val="11.0"/>
        <u/>
      </rPr>
      <t>20 abr 2024</t>
    </r>
  </si>
  <si>
    <t>Canarias se rebela contra el turismo de masas y pide cambiar el modelo</t>
  </si>
  <si>
    <t>En las ocho islas canarias se reclama un giro en la política sobre el turismo.</t>
  </si>
  <si>
    <t>The Canary Islands rebel against mass tourism and ask to change the model</t>
  </si>
  <si>
    <t>In the eight Canary Islands, a change in tourism policy is demanded.</t>
  </si>
  <si>
    <r>
      <rPr>
        <rFont val="Arial, sans-serif"/>
        <color rgb="FF1155CC"/>
        <sz val="9.0"/>
        <u/>
      </rPr>
      <t>Crónica Vasca</t>
    </r>
    <r>
      <rPr>
        <rFont val="Arial, sans-serif"/>
        <color rgb="FF1155CC"/>
        <sz val="15.0"/>
        <u/>
      </rPr>
      <t>El mejor bonito de Euskadi se come en el mejor pueblo pesquero de Bizkaia y delante del mar</t>
    </r>
    <r>
      <rPr>
        <rFont val="Arial, sans-serif"/>
        <color rgb="FF1155CC"/>
        <sz val="11.0"/>
        <u/>
      </rPr>
      <t>El acogedor local recibe al cliente con una enorme barra de pintxos y una amplia carta basada en platos del mar y de temporada. Calidad sobre la mesa.</t>
    </r>
    <r>
      <rPr>
        <rFont val="Arial, sans-serif"/>
        <color rgb="FF1155CC"/>
        <sz val="12.0"/>
        <u/>
      </rPr>
      <t>.</t>
    </r>
    <r>
      <rPr>
        <rFont val="Arial, sans-serif"/>
        <color rgb="FF1155CC"/>
        <sz val="11.0"/>
        <u/>
      </rPr>
      <t>20 abr 2024</t>
    </r>
  </si>
  <si>
    <t>El mejor bonito de Euskadi se come en el mejor pueblo pesquero de Bizkaia y delante del mar</t>
  </si>
  <si>
    <t>El acogedor local recibe al cliente con una enorme barra de pintxos y una amplia carta basada en platos del mar y de temporada. Calidad sobre la mesa.</t>
  </si>
  <si>
    <t>The best tuna in Euskadi is eaten in the best fishing town in Bizkaia and in front of the sea</t>
  </si>
  <si>
    <t>The cozy establishment welcomes customers with a huge pintxos bar and an extensive menu based on seafood and seasonal dishes. Quality on the table.</t>
  </si>
  <si>
    <r>
      <rPr>
        <rFont val="Arial, sans-serif"/>
        <color rgb="FF1155CC"/>
        <sz val="9.0"/>
        <u/>
      </rPr>
      <t>Mundo Obrero</t>
    </r>
    <r>
      <rPr>
        <rFont val="Arial, sans-serif"/>
        <color rgb="FF1155CC"/>
        <sz val="15.0"/>
        <u/>
      </rPr>
      <t>El movimiento ecologista denuncia a Repsol por «greenwashing»</t>
    </r>
    <r>
      <rPr>
        <rFont val="Arial, sans-serif"/>
        <color rgb="FF1155CC"/>
        <sz val="11.0"/>
        <u/>
      </rPr>
      <t>Varias organizaciones como Ecologistas en Acción denuncian a Repsol por "greenwashing" ante la CNMC y la Dirección General de Consumo, ya que habría...</t>
    </r>
    <r>
      <rPr>
        <rFont val="Arial, sans-serif"/>
        <color rgb="FF1155CC"/>
        <sz val="12.0"/>
        <u/>
      </rPr>
      <t>.</t>
    </r>
    <r>
      <rPr>
        <rFont val="Arial, sans-serif"/>
        <color rgb="FF1155CC"/>
        <sz val="11.0"/>
        <u/>
      </rPr>
      <t>21 abr 2024</t>
    </r>
  </si>
  <si>
    <t>El movimiento ecologista denuncia a Repsol por «greenwashing»</t>
  </si>
  <si>
    <t>Varias organizaciones como Ecologistas en Acción denuncian a Repsol por "greenwashing" ante la CNMC y la Dirección General de Consumo, ya que habría....</t>
  </si>
  <si>
    <t>The environmental movement denounces Repsol for "greenwashing"</t>
  </si>
  <si>
    <t>Several organizations such as Ecologistas en Acción denounce Repsol for "greenwashing" before the CNMC and the General Directorate of Consumer Affairs, since there would be...</t>
  </si>
  <si>
    <t>Accusations of greenwashing may negatively impact Repsol’s sustainability reputation.</t>
  </si>
  <si>
    <t>denuncia, greenwashing</t>
  </si>
  <si>
    <r>
      <rPr>
        <rFont val="Arial, sans-serif"/>
        <color rgb="FF1155CC"/>
        <sz val="9.0"/>
        <u/>
      </rPr>
      <t>El Español</t>
    </r>
    <r>
      <rPr>
        <rFont val="Arial, sans-serif"/>
        <color rgb="FF1155CC"/>
        <sz val="15.0"/>
        <u/>
      </rPr>
      <t>Los mejores bocadillos de Barcelona se comen en este bar clásico: aparece en la Guía Repsol</t>
    </r>
    <r>
      <rPr>
        <rFont val="Arial, sans-serif"/>
        <color rgb="FF1155CC"/>
        <sz val="11.0"/>
        <u/>
      </rPr>
      <t>Este local se ha convertido en una verdadera institución a la hora de elaborar sus más de 100 bocadillos. 21 abril, 2024 15:13. Horta · Bares y Restaurantes.</t>
    </r>
    <r>
      <rPr>
        <rFont val="Arial, sans-serif"/>
        <color rgb="FF1155CC"/>
        <sz val="12.0"/>
        <u/>
      </rPr>
      <t>.</t>
    </r>
    <r>
      <rPr>
        <rFont val="Arial, sans-serif"/>
        <color rgb="FF1155CC"/>
        <sz val="11.0"/>
        <u/>
      </rPr>
      <t>21 abr 2024</t>
    </r>
  </si>
  <si>
    <t>Los mejores bocadillos de Barcelona se comen en este bar clásico: aparece en la Guía Repsol</t>
  </si>
  <si>
    <t>Este local se ha convertido en una verdadera institución a la hora de elaborar sus más de 100 bocadillos.</t>
  </si>
  <si>
    <t>The best sandwiches in Barcelona are eaten in this classic bar: it appears in the Repsol Guide</t>
  </si>
  <si>
    <t>This place has become a true institution when it comes to making its more than 100 sandwiches.</t>
  </si>
  <si>
    <r>
      <rPr>
        <rFont val="Arial, sans-serif"/>
        <color rgb="FF1155CC"/>
        <sz val="9.0"/>
        <u/>
      </rPr>
      <t>EL PAÍS</t>
    </r>
    <r>
      <rPr>
        <rFont val="Arial, sans-serif"/>
        <color rgb="FF1155CC"/>
        <sz val="15.0"/>
        <u/>
      </rPr>
      <t>Fainé quiere deshacer el nudo gordiano de Naturgy</t>
    </r>
    <r>
      <rPr>
        <rFont val="Arial, sans-serif"/>
        <color rgb="FF1155CC"/>
        <sz val="11.0"/>
        <u/>
      </rPr>
      <t>CriteriaCaixa busca en el dinero de Abu Dabi una salida para desbloquear la situación en el capital de la gasista. Al tratarse de una empresa estratégica,...</t>
    </r>
    <r>
      <rPr>
        <rFont val="Arial, sans-serif"/>
        <color rgb="FF1155CC"/>
        <sz val="12.0"/>
        <u/>
      </rPr>
      <t>.</t>
    </r>
    <r>
      <rPr>
        <rFont val="Arial, sans-serif"/>
        <color rgb="FF1155CC"/>
        <sz val="11.0"/>
        <u/>
      </rPr>
      <t>21 abr 2024</t>
    </r>
  </si>
  <si>
    <t>Fainé quiere deshacer el nudo gordiano de Naturgy</t>
  </si>
  <si>
    <t>CriteriaCaixa busca en el dinero de Abu Dabi una salida para desbloquear la situación en el capital de la gasista. Al tratarse de una empresa estratégica,....</t>
  </si>
  <si>
    <t>Fainé wants to undo Naturgy's Gordian knot</t>
  </si>
  <si>
    <t>CriteriaCaixa is looking for a way out in Abu Dhabi's money to unblock the situation in the gas company's capital. Being a strategic company,...</t>
  </si>
  <si>
    <r>
      <rPr>
        <rFont val="Arial, sans-serif"/>
        <color rgb="FF1155CC"/>
        <sz val="9.0"/>
        <u/>
      </rPr>
      <t>El Periódico de España</t>
    </r>
    <r>
      <rPr>
        <rFont val="Arial, sans-serif"/>
        <color rgb="FF1155CC"/>
        <sz val="15.0"/>
        <u/>
      </rPr>
      <t>¿Cuáles han sido los clásicos con más goles de la historia en LaLiga?</t>
    </r>
    <r>
      <rPr>
        <rFont val="Arial, sans-serif"/>
        <color rgb="FF1155CC"/>
        <sz val="11.0"/>
        <u/>
      </rPr>
      <t>Te contamos cuáles han sido los enfrentamientos entre el Real Madrid y el Barcelona que más goles han registrado.</t>
    </r>
    <r>
      <rPr>
        <rFont val="Arial, sans-serif"/>
        <color rgb="FF1155CC"/>
        <sz val="12.0"/>
        <u/>
      </rPr>
      <t>.</t>
    </r>
    <r>
      <rPr>
        <rFont val="Arial, sans-serif"/>
        <color rgb="FF1155CC"/>
        <sz val="11.0"/>
        <u/>
      </rPr>
      <t>21 abr 2024</t>
    </r>
  </si>
  <si>
    <t>¿Cuáles han sido los clásicos con más goles de la historia en LaLiga?</t>
  </si>
  <si>
    <t>Te contamos cuáles han sido los enfrentamientos entre el Real Madrid y el Barcelona que más goles han registrado.</t>
  </si>
  <si>
    <t>What have been the classics with the most goals in LaLiga history?</t>
  </si>
  <si>
    <t>We tell you which have been the confrontations between Real Madrid and Barcelona that have recorded the most goals.</t>
  </si>
  <si>
    <r>
      <rPr>
        <rFont val="Arial, sans-serif"/>
        <color rgb="FF1155CC"/>
        <sz val="9.0"/>
        <u/>
      </rPr>
      <t>La Verdad</t>
    </r>
    <r>
      <rPr>
        <rFont val="Arial, sans-serif"/>
        <color rgb="FF1155CC"/>
        <sz val="15.0"/>
        <u/>
      </rPr>
      <t>La empresa auxiliar se carga de trabajo en Cartagena</t>
    </r>
    <r>
      <rPr>
        <rFont val="Arial, sans-serif"/>
        <color rgb="FF1155CC"/>
        <sz val="11.0"/>
        <u/>
      </rPr>
      <t>Las empresas auxiliares del sector industrial tienen por delante uno de los años con más carga de trabajo del último lustro. Las paradas de mantenimiento...</t>
    </r>
    <r>
      <rPr>
        <rFont val="Arial, sans-serif"/>
        <color rgb="FF1155CC"/>
        <sz val="12.0"/>
        <u/>
      </rPr>
      <t>.</t>
    </r>
    <r>
      <rPr>
        <rFont val="Arial, sans-serif"/>
        <color rgb="FF1155CC"/>
        <sz val="11.0"/>
        <u/>
      </rPr>
      <t>21 abr 2024</t>
    </r>
  </si>
  <si>
    <t>La empresa auxiliar se carga de trabajo en Cartagena</t>
  </si>
  <si>
    <t>Las empresas auxiliares del sector industrial tienen por delante uno de los años con más carga de trabajo del último lustro. Las paradas de mantenimiento....</t>
  </si>
  <si>
    <t>The auxiliary company is loaded with work in Cartagena</t>
  </si>
  <si>
    <t>Auxiliary companies in the industrial sector have ahead of them one of the busiest years of the last five years. Maintenance stops....</t>
  </si>
  <si>
    <t>Industrial activity does not impact Repsol’s corporate perception.</t>
  </si>
  <si>
    <r>
      <rPr>
        <rFont val="Arial, sans-serif"/>
        <color rgb="FF1155CC"/>
        <sz val="9.0"/>
        <u/>
      </rPr>
      <t>Cinco Días</t>
    </r>
    <r>
      <rPr>
        <rFont val="Arial, sans-serif"/>
        <color rgb="FF1155CC"/>
        <sz val="15.0"/>
        <u/>
      </rPr>
      <t>La entrada de Emiratos en Naturgy agiganta la huella de los petrodólares en el Ibex</t>
    </r>
    <r>
      <rPr>
        <rFont val="Arial, sans-serif"/>
        <color rgb="FF1155CC"/>
        <sz val="11.0"/>
        <u/>
      </rPr>
      <t>De hacerse finalmente con el 40% de la energética en manos de CVC y GIP, las monarquías del Golfo superarán los 21.000 millones en el selectivo español.</t>
    </r>
    <r>
      <rPr>
        <rFont val="Arial, sans-serif"/>
        <color rgb="FF1155CC"/>
        <sz val="12.0"/>
        <u/>
      </rPr>
      <t>.</t>
    </r>
    <r>
      <rPr>
        <rFont val="Arial, sans-serif"/>
        <color rgb="FF1155CC"/>
        <sz val="11.0"/>
        <u/>
      </rPr>
      <t>21 abr 2024</t>
    </r>
  </si>
  <si>
    <t>La entrada de Emiratos en Naturgy agiganta la huella de los petrodólares en el Ibex</t>
  </si>
  <si>
    <t>De hacerse finalmente con el 40% de la energética en manos de CVC y GIP, las monarquías del Golfo superarán los 21.000 millones en el selectivo español.</t>
  </si>
  <si>
    <t>The entry of Emirates into Naturgy increases the footprint of petrodollars on the Ibex</t>
  </si>
  <si>
    <t>If they finally take over 40% of the energy company in the hands of CVC and GIP, the Gulf monarchies will exceed 21,000 million in the Spanish selective.</t>
  </si>
  <si>
    <t>Foreign investment in energy does not directly impact Repsol’s perception.</t>
  </si>
  <si>
    <r>
      <rPr>
        <rFont val="Arial, sans-serif"/>
        <color rgb="FF1155CC"/>
        <sz val="9.0"/>
        <u/>
      </rPr>
      <t>El Periódico de España</t>
    </r>
    <r>
      <rPr>
        <rFont val="Arial, sans-serif"/>
        <color rgb="FF1155CC"/>
        <sz val="15.0"/>
        <u/>
      </rPr>
      <t>Acuerdos con descuartizadores, realidad ficcionada... Lo que esconde la fiebre del 'true crime' en España</t>
    </r>
    <r>
      <rPr>
        <rFont val="Arial, sans-serif"/>
        <color rgb="FF1155CC"/>
        <sz val="11.0"/>
        <u/>
      </rPr>
      <t>¿Hasta qué punto se usan elementos de la ficción para hacer más atractivos hechos reales? ¿Quién cobra y en concepto de qué? Al Rey del Cachopo,...</t>
    </r>
    <r>
      <rPr>
        <rFont val="Arial, sans-serif"/>
        <color rgb="FF1155CC"/>
        <sz val="12.0"/>
        <u/>
      </rPr>
      <t>.</t>
    </r>
    <r>
      <rPr>
        <rFont val="Arial, sans-serif"/>
        <color rgb="FF1155CC"/>
        <sz val="11.0"/>
        <u/>
      </rPr>
      <t>21 abr 2024</t>
    </r>
  </si>
  <si>
    <t>Acuerdos con descuartizadores, realidad ficcionada... Lo que esconde la fiebre del 'true crime' en España</t>
  </si>
  <si>
    <t>¿Hasta qué punto se usan elementos de la ficción para hacer más atractivos hechos reales? ¿Quién cobra y en concepto de qué? Al Rey del Cachopo,....</t>
  </si>
  <si>
    <t>Agreements with dismemberers, fictional reality... What the 'true crime' fever hides in Spain</t>
  </si>
  <si>
    <t>To what extent are elements of fiction used to make real events more attractive? Who gets paid and for what? To the King of Cachopo,....</t>
  </si>
  <si>
    <t>Society</t>
  </si>
  <si>
    <r>
      <rPr>
        <rFont val="Arial, sans-serif"/>
        <color rgb="FF1155CC"/>
        <sz val="9.0"/>
        <u/>
      </rPr>
      <t>El Economista</t>
    </r>
    <r>
      <rPr>
        <rFont val="Arial, sans-serif"/>
        <color rgb="FF1155CC"/>
        <sz val="15.0"/>
        <u/>
      </rPr>
      <t>Repsol y El Corte Inglés pactan la apertura de 350 tiendas Stop &amp; Go hasta 2028</t>
    </r>
    <r>
      <rPr>
        <rFont val="Arial, sans-serif"/>
        <color rgb="FF1155CC"/>
        <sz val="11.0"/>
        <u/>
      </rPr>
      <t>Repsol y El Corte Inglés han llegado a un acuerdo para ampliar su colaboración en la red de estaciones de servicio de la petrolera hasta ...</t>
    </r>
    <r>
      <rPr>
        <rFont val="Arial, sans-serif"/>
        <color rgb="FF1155CC"/>
        <sz val="12.0"/>
        <u/>
      </rPr>
      <t>.</t>
    </r>
    <r>
      <rPr>
        <rFont val="Arial, sans-serif"/>
        <color rgb="FF1155CC"/>
        <sz val="11.0"/>
        <u/>
      </rPr>
      <t>22 abr 2024</t>
    </r>
  </si>
  <si>
    <t>Repsol y El Corte Inglés pactan la apertura de 350 tiendas Stop &amp; Go hasta 2028</t>
  </si>
  <si>
    <t>Repsol y El Corte Inglés han llegado a un acuerdo para ampliar su colaboración en la red de estaciones de servicio de la petrolera hasta ....</t>
  </si>
  <si>
    <t>Repsol and El Corte Inglés agree to open 350 Stop &amp; Go stores until 2028</t>
  </si>
  <si>
    <t>Repsol and El Corte Inglés have reached an agreement to expand their collaboration in the oil company's network of service stations until...</t>
  </si>
  <si>
    <t>Repsol retail expansion, business strategy</t>
  </si>
  <si>
    <t>Expansión minorista de Repsol, estrategia empresarial</t>
  </si>
  <si>
    <t>Expanding partnerships strengthens Repsol’s market presence.</t>
  </si>
  <si>
    <t>apertura tiendas</t>
  </si>
  <si>
    <r>
      <rPr>
        <rFont val="Arial, sans-serif"/>
        <color rgb="FF1155CC"/>
        <sz val="9.0"/>
        <u/>
      </rPr>
      <t>La Vanguardia</t>
    </r>
    <r>
      <rPr>
        <rFont val="Arial, sans-serif"/>
        <color rgb="FF1155CC"/>
        <sz val="15.0"/>
        <u/>
      </rPr>
      <t>Las promotoras más importantes de España se alían con Repsol para descarbonizar 77 festivales de música</t>
    </r>
    <r>
      <rPr>
        <rFont val="Arial, sans-serif"/>
        <color rgb="FF1155CC"/>
        <sz val="11.0"/>
        <u/>
      </rPr>
      <t>Reducir la huella de CO2 para ser más sostenibles: es uno de los objetivos de la industria de los grandes eventos musicales. Este 2024, este plan del sector...</t>
    </r>
    <r>
      <rPr>
        <rFont val="Arial, sans-serif"/>
        <color rgb="FF1155CC"/>
        <sz val="12.0"/>
        <u/>
      </rPr>
      <t>.</t>
    </r>
    <r>
      <rPr>
        <rFont val="Arial, sans-serif"/>
        <color rgb="FF1155CC"/>
        <sz val="11.0"/>
        <u/>
      </rPr>
      <t>22 abr 2024</t>
    </r>
  </si>
  <si>
    <t>Las promotoras más importantes de España se alían con Repsol para descarbonizar 77 festivales de música</t>
  </si>
  <si>
    <t>Reducir la huella de CO2 para ser más sostenibles: es uno de los objetivos de la industria de los grandes eventos musicales. Este 2024, este plan del sector....</t>
  </si>
  <si>
    <t>The most important promoters in Spain join forces with Repsol to decarbonize 77 music festivals</t>
  </si>
  <si>
    <t>Reducing the CO2 footprint to be more sustainable: it is one of the objectives of the large music events industry. This 2024, this sector plan....</t>
  </si>
  <si>
    <t>Repsol sustainability, energy strategy</t>
  </si>
  <si>
    <t>Sostenibilidad Repsol, estrategia energética</t>
  </si>
  <si>
    <t>Supporting sustainable energy initiatives aligns with Repsol’s green commitments.</t>
  </si>
  <si>
    <r>
      <rPr>
        <rFont val="Arial, sans-serif"/>
        <color rgb="FF1155CC"/>
        <sz val="9.0"/>
        <u/>
      </rPr>
      <t>Guía Repsol</t>
    </r>
    <r>
      <rPr>
        <rFont val="Arial, sans-serif"/>
        <color rgb="FF1155CC"/>
        <sz val="15.0"/>
        <u/>
      </rPr>
      <t>Los Soles del sol naciente</t>
    </r>
    <r>
      <rPr>
        <rFont val="Arial, sans-serif"/>
        <color rgb="FF1155CC"/>
        <sz val="11.0"/>
        <u/>
      </rPr>
      <t>Si el presupuesto no te da para regalar a tus padres, tu pareja o tu socio de negocio un viaje a Japón, no te apures. Apúntante estos restaurantes con Soles...</t>
    </r>
    <r>
      <rPr>
        <rFont val="Arial, sans-serif"/>
        <color rgb="FF1155CC"/>
        <sz val="12.0"/>
        <u/>
      </rPr>
      <t>.</t>
    </r>
    <r>
      <rPr>
        <rFont val="Arial, sans-serif"/>
        <color rgb="FF1155CC"/>
        <sz val="11.0"/>
        <u/>
      </rPr>
      <t>22 abr 2024</t>
    </r>
  </si>
  <si>
    <t>Los Soles del sol naciente</t>
  </si>
  <si>
    <t>Si el presupuesto no te da para regalar a tus padres, tu pareja o tu socio de negocio un viaje a Japón, no te apures. Apúntante estos restaurantes con Soles....</t>
  </si>
  <si>
    <t>The Suns of the rising sun</t>
  </si>
  <si>
    <t>If your budget doesn't allow you to give your parents, your partner or your business partner a trip to Japan, don't worry. Sign up these restaurants with Soles....</t>
  </si>
  <si>
    <r>
      <rPr>
        <rFont val="Arial, sans-serif"/>
        <color rgb="FF1155CC"/>
        <sz val="9.0"/>
        <u/>
      </rPr>
      <t>Interempresas.net</t>
    </r>
    <r>
      <rPr>
        <rFont val="Arial, sans-serif"/>
        <color rgb="FF1155CC"/>
        <sz val="15.0"/>
        <u/>
      </rPr>
      <t>Petronor y Repsol, nuevos socios energéticos del Athletic Club</t>
    </r>
    <r>
      <rPr>
        <rFont val="Arial, sans-serif"/>
        <color rgb="FF1155CC"/>
        <sz val="11.0"/>
        <u/>
      </rPr>
      <t>Con el propósito de avanzar hacia la sostenibilidad, el Athletic Club de Bilbao firmó un acuerdo con Petronor y Repsol... - Actualidad.</t>
    </r>
    <r>
      <rPr>
        <rFont val="Arial, sans-serif"/>
        <color rgb="FF1155CC"/>
        <sz val="12.0"/>
        <u/>
      </rPr>
      <t>.</t>
    </r>
    <r>
      <rPr>
        <rFont val="Arial, sans-serif"/>
        <color rgb="FF1155CC"/>
        <sz val="11.0"/>
        <u/>
      </rPr>
      <t>22 abr 2024</t>
    </r>
  </si>
  <si>
    <t>Petronor y Repsol, nuevos socios energéticos del Athletic Club</t>
  </si>
  <si>
    <t>Con el propósito de avanzar hacia la sostenibilidad, el Athletic Club de Bilbao firmó un acuerdo con Petronor y Repsol...</t>
  </si>
  <si>
    <t>Petronor and Repsol, new energy partners of Athletic Club</t>
  </si>
  <si>
    <t>With the purpose of moving towards sustainability, Athletic Club de Bilbao signed an agreement with Petronor and Repsol...</t>
  </si>
  <si>
    <t>Repsol sponsorship, marketing strategy</t>
  </si>
  <si>
    <t>Patrocinio Repsol, estrategia de marketing</t>
  </si>
  <si>
    <t>Partnering with football clubs enhances Repsol’s brand visibility.</t>
  </si>
  <si>
    <t>nuevos socios</t>
  </si>
  <si>
    <r>
      <rPr>
        <rFont val="Arial, sans-serif"/>
        <color rgb="FF1155CC"/>
        <sz val="9.0"/>
        <u/>
      </rPr>
      <t>Gobierno de Castilla-La Mancha</t>
    </r>
    <r>
      <rPr>
        <rFont val="Arial, sans-serif"/>
        <color rgb="FF1155CC"/>
        <sz val="15.0"/>
        <u/>
      </rPr>
      <t>Castilla-La Mancha bate su récord de producción de energía renovable y se convierte en la Comunidad que más megavatios renovables instala en España</t>
    </r>
    <r>
      <rPr>
        <rFont val="Arial, sans-serif"/>
        <color rgb="FF1155CC"/>
        <sz val="11.0"/>
        <u/>
      </rPr>
      <t>La consejera de Desarrollo Sostenible, Mercedes Gómez, ha informado que el 66,5 por ciento de la electricidad producida durante el año pasado en la región...</t>
    </r>
    <r>
      <rPr>
        <rFont val="Arial, sans-serif"/>
        <color rgb="FF1155CC"/>
        <sz val="12.0"/>
        <u/>
      </rPr>
      <t>.</t>
    </r>
    <r>
      <rPr>
        <rFont val="Arial, sans-serif"/>
        <color rgb="FF1155CC"/>
        <sz val="11.0"/>
        <u/>
      </rPr>
      <t>22 abr 2024</t>
    </r>
  </si>
  <si>
    <t>Gobierno de Castilla-La Mancha</t>
  </si>
  <si>
    <t>Castilla-La Mancha bate su récord de producción de energía renovable y se convierte en la Comunidad que más megavatios renovables instala en España</t>
  </si>
  <si>
    <t>El 66,5 por ciento de la electricidad producida durante el año pasado en la región.</t>
  </si>
  <si>
    <t>Castilla-La Mancha breaks its record for renewable energy production and becomes the Community that installs the most renewable megawatts in Spain</t>
  </si>
  <si>
    <t>66.5 percent of the electricity produced last year in the region.</t>
  </si>
  <si>
    <t>Regional energy production does not impact Repsol’s perception.</t>
  </si>
  <si>
    <r>
      <rPr>
        <rFont val="Arial, sans-serif"/>
        <color rgb="FF1155CC"/>
        <sz val="9.0"/>
        <u/>
      </rPr>
      <t>Guía Repsol</t>
    </r>
    <r>
      <rPr>
        <rFont val="Arial, sans-serif"/>
        <color rgb="FF1155CC"/>
        <sz val="15.0"/>
        <u/>
      </rPr>
      <t>Restaurante 'La Gaviota': atún rojo canario y vistas de infarto en La Palma</t>
    </r>
    <r>
      <rPr>
        <rFont val="Arial, sans-serif"/>
        <color rgb="FF1155CC"/>
        <sz val="11.0"/>
        <u/>
      </rPr>
      <t>Hay lugares como la terraza de 'La Gaviota' que podrían entrar perfectamente dentro de la definición de "Paraíso". Sus vistas sobre las piscinas naturales...</t>
    </r>
    <r>
      <rPr>
        <rFont val="Arial, sans-serif"/>
        <color rgb="FF1155CC"/>
        <sz val="12.0"/>
        <u/>
      </rPr>
      <t>.</t>
    </r>
    <r>
      <rPr>
        <rFont val="Arial, sans-serif"/>
        <color rgb="FF1155CC"/>
        <sz val="11.0"/>
        <u/>
      </rPr>
      <t>22 abr 2024</t>
    </r>
  </si>
  <si>
    <t>Restaurante 'La Gaviota': atún rojo canario y vistas de infarto en La Palma</t>
  </si>
  <si>
    <t>Hay lugares como la terraza de 'La Gaviota' que podrían entrar perfectamente dentro de la definición de "Paraíso". Sus vistas sobre las piscinas naturales....</t>
  </si>
  <si>
    <t>'La Gaviota' Restaurant: Canarian bluefin tuna and breathtaking views in La Palma</t>
  </si>
  <si>
    <t>There are places like the terrace of 'La Gaviota' that could fit perfectly within the definition of "Paradise". Its views over the natural pools....</t>
  </si>
  <si>
    <r>
      <rPr>
        <rFont val="Arial, sans-serif"/>
        <color rgb="FF1155CC"/>
        <sz val="9.0"/>
        <u/>
      </rPr>
      <t>La Verdad</t>
    </r>
    <r>
      <rPr>
        <rFont val="Arial, sans-serif"/>
        <color rgb="FF1155CC"/>
        <sz val="15.0"/>
        <u/>
      </rPr>
      <t>Así abre paso Cartagena a los combustibles limpios en España</t>
    </r>
    <r>
      <rPr>
        <rFont val="Arial, sans-serif"/>
        <color rgb="FF1155CC"/>
        <sz val="11.0"/>
        <u/>
      </rPr>
      <t>Repsol vende ya en 37 estaciones de servicio de la Región, 140 en la Península, este carburante renovable a precio del diésel premium, que pueden usar...</t>
    </r>
    <r>
      <rPr>
        <rFont val="Arial, sans-serif"/>
        <color rgb="FF1155CC"/>
        <sz val="12.0"/>
        <u/>
      </rPr>
      <t>.</t>
    </r>
    <r>
      <rPr>
        <rFont val="Arial, sans-serif"/>
        <color rgb="FF1155CC"/>
        <sz val="11.0"/>
        <u/>
      </rPr>
      <t>22 abr 2024</t>
    </r>
  </si>
  <si>
    <t>Así abre paso Cartagena a los combustibles limpios en España</t>
  </si>
  <si>
    <t>Repsol vende ya en 37 estaciones de servicio de la Región, 140 en la Península, este carburante renovable a precio del diésel premium, que pueden usar....</t>
  </si>
  <si>
    <t>This is how Cartagena makes way for clean fuels in Spain</t>
  </si>
  <si>
    <t>Repsol already sells this renewable fuel at 37 service stations in the Region, 140 on the Peninsula, at the price of premium diesel, which they can use...</t>
  </si>
  <si>
    <t>Repsol renewable fuel, clean energy</t>
  </si>
  <si>
    <t>Repsol combustible renovable, energía limpia</t>
  </si>
  <si>
    <t>Expanding clean fuel distribution supports Repsol’s green energy transition.</t>
  </si>
  <si>
    <t>combustibles limpios</t>
  </si>
  <si>
    <r>
      <rPr>
        <rFont val="Arial, sans-serif"/>
        <color rgb="FF1155CC"/>
        <sz val="9.0"/>
        <u/>
      </rPr>
      <t>Asociación de la Prensa de Málaga</t>
    </r>
    <r>
      <rPr>
        <rFont val="Arial, sans-serif"/>
        <color rgb="FF1155CC"/>
        <sz val="15.0"/>
        <u/>
      </rPr>
      <t>Expertos auguran que la IA supondrá un vuelco total en la forma de hacer periodismo</t>
    </r>
    <r>
      <rPr>
        <rFont val="Arial, sans-serif"/>
        <color rgb="FF1155CC"/>
        <sz val="11.0"/>
        <u/>
      </rPr>
      <t>Pie de foto: Todos los ponentes de la jornada. De izquierda a derecha: Miguel Ángel Mellado, Aída Bao, Susana Moreno, Antonio Rubio, Felisa Martín y Miguel...</t>
    </r>
    <r>
      <rPr>
        <rFont val="Arial, sans-serif"/>
        <color rgb="FF1155CC"/>
        <sz val="12.0"/>
        <u/>
      </rPr>
      <t>.</t>
    </r>
    <r>
      <rPr>
        <rFont val="Arial, sans-serif"/>
        <color rgb="FF1155CC"/>
        <sz val="11.0"/>
        <u/>
      </rPr>
      <t>22 abr 2024</t>
    </r>
  </si>
  <si>
    <t>Asociación de la Prensa de Málaga</t>
  </si>
  <si>
    <t>Expertos auguran que la IA supondrá un vuelco total en la forma de hacer periodismo</t>
  </si>
  <si>
    <t>Expertos auguran que la IA supondrá un vuelco total en la forma de hacer periodismo.</t>
  </si>
  <si>
    <t>Experts predict that AI will mean a complete change in the way we do journalism</t>
  </si>
  <si>
    <t>Experts predict that AI will mean a complete change in the way journalism is done.</t>
  </si>
  <si>
    <t>AI advancements do not impact Repsol’s corporate perception.</t>
  </si>
  <si>
    <r>
      <rPr>
        <rFont val="Arial, sans-serif"/>
        <color rgb="FF1155CC"/>
        <sz val="9.0"/>
        <u/>
      </rPr>
      <t>Infobae</t>
    </r>
    <r>
      <rPr>
        <rFont val="Arial, sans-serif"/>
        <color rgb="FF1155CC"/>
        <sz val="15.0"/>
        <u/>
      </rPr>
      <t>El restaurante en un pueblo de Cuenca que lleva en manos de la misma familia tres generaciones y que está recomendado por la Guía Michelin</t>
    </r>
    <r>
      <rPr>
        <rFont val="Arial, sans-serif"/>
        <color rgb="FF1155CC"/>
        <sz val="11.0"/>
        <u/>
      </rPr>
      <t>El privilegiado entorno en el que se encuentra, a orillas del río Júcar, y su excelente relación calidad-precio hacen de este restaurante un destino...</t>
    </r>
    <r>
      <rPr>
        <rFont val="Arial, sans-serif"/>
        <color rgb="FF1155CC"/>
        <sz val="12.0"/>
        <u/>
      </rPr>
      <t>.</t>
    </r>
    <r>
      <rPr>
        <rFont val="Arial, sans-serif"/>
        <color rgb="FF1155CC"/>
        <sz val="11.0"/>
        <u/>
      </rPr>
      <t>22 abr 2024</t>
    </r>
  </si>
  <si>
    <t>El restaurante en un pueblo de Cuenca que lleva en manos de la misma familia tres generaciones y que está recomendado por la Guía Michelin</t>
  </si>
  <si>
    <t>El privilegiado entorno en el que se encuentra, a orillas del río Júcar, y su excelente relación calidad-precio hacen de este restaurante un destino....</t>
  </si>
  <si>
    <t>The restaurant in a town in Cuenca that has been in the hands of the same family for three generations and is recommended by the Michelin Guide</t>
  </si>
  <si>
    <t>The privileged environment in which it is located, on the banks of the Júcar River, and its excellent quality-price ratio make this restaurant a destination....</t>
  </si>
  <si>
    <r>
      <rPr>
        <rFont val="Arial, sans-serif"/>
        <color rgb="FF1155CC"/>
        <sz val="9.0"/>
        <u/>
      </rPr>
      <t>Los Replicantes</t>
    </r>
    <r>
      <rPr>
        <rFont val="Arial, sans-serif"/>
        <color rgb="FF1155CC"/>
        <sz val="15.0"/>
        <u/>
      </rPr>
      <t>El Corte Inglés se reinventa: la nueva marca con la que abre 350 tiendas en España</t>
    </r>
    <r>
      <rPr>
        <rFont val="Arial, sans-serif"/>
        <color rgb="FF1155CC"/>
        <sz val="11.0"/>
        <u/>
      </rPr>
      <t>La enseña de grandes almacenes impulsa una división de tiendas en un contexto de cierres de centros comerciales.</t>
    </r>
    <r>
      <rPr>
        <rFont val="Arial, sans-serif"/>
        <color rgb="FF1155CC"/>
        <sz val="12.0"/>
        <u/>
      </rPr>
      <t>.</t>
    </r>
    <r>
      <rPr>
        <rFont val="Arial, sans-serif"/>
        <color rgb="FF1155CC"/>
        <sz val="11.0"/>
        <u/>
      </rPr>
      <t>22 abr 2024</t>
    </r>
  </si>
  <si>
    <t>Los Replicantes</t>
  </si>
  <si>
    <t>El Corte Inglés se reinventa: la nueva marca con la que abre 350 tiendas en España</t>
  </si>
  <si>
    <t>La enseña de grandes almacenes impulsa una división de tiendas en un contexto de cierres de centros comerciales.</t>
  </si>
  <si>
    <t>El Corte Inglés reinvents itself: the new brand with which it opens 350 stores in Spain</t>
  </si>
  <si>
    <t>The department store brand promotes a store division in a context of shopping center closures.</t>
  </si>
  <si>
    <t>Business strategy changes at El Corte Inglés do not impact Repsol’s perception.</t>
  </si>
  <si>
    <r>
      <rPr>
        <rFont val="Arial, sans-serif"/>
        <color rgb="FF1155CC"/>
        <sz val="9.0"/>
        <u/>
      </rPr>
      <t>El Economista</t>
    </r>
    <r>
      <rPr>
        <rFont val="Arial, sans-serif"/>
        <color rgb="FF1155CC"/>
        <sz val="15.0"/>
        <u/>
      </rPr>
      <t>Repsol atacará este año los márgenes de beneficio récord del 2022</t>
    </r>
    <r>
      <rPr>
        <rFont val="Arial, sans-serif"/>
        <color rgb="FF1155CC"/>
        <sz val="11.0"/>
        <u/>
      </rPr>
      <t>Las petroleras están expuestas al precio del petróleo. Y esta realidad no pasa inadvertida para Repsol, cuya sensibilidad al margen de ...</t>
    </r>
    <r>
      <rPr>
        <rFont val="Arial, sans-serif"/>
        <color rgb="FF1155CC"/>
        <sz val="12.0"/>
        <u/>
      </rPr>
      <t>.</t>
    </r>
    <r>
      <rPr>
        <rFont val="Arial, sans-serif"/>
        <color rgb="FF1155CC"/>
        <sz val="11.0"/>
        <u/>
      </rPr>
      <t>23 abr 2024</t>
    </r>
  </si>
  <si>
    <t>Repsol atacará este año los márgenes de beneficio récord del 2022</t>
  </si>
  <si>
    <t>Las petroleras están expuestas al precio del petróleo. Y esta realidad no pasa inadvertida para Repsol, cuya sensibilidad al margen de ....</t>
  </si>
  <si>
    <t>Repsol will attack the record profit margins of 2022 this year</t>
  </si>
  <si>
    <t>Oil companies are exposed to the price of oil. And this reality does not go unnoticed by Repsol, whose sensitivity apart from...</t>
  </si>
  <si>
    <t>Repsol business strategy, competition</t>
  </si>
  <si>
    <t>Estrategia de negocio de Repsol, competencia</t>
  </si>
  <si>
    <t>Competing aggressively in the market may strengthen Repsol’s positioning.</t>
  </si>
  <si>
    <t>márgenes récord</t>
  </si>
  <si>
    <r>
      <rPr>
        <rFont val="Arial, sans-serif"/>
        <color rgb="FF1155CC"/>
        <sz val="9.0"/>
        <u/>
      </rPr>
      <t>Marca.com</t>
    </r>
    <r>
      <rPr>
        <rFont val="Arial, sans-serif"/>
        <color rgb="FF1155CC"/>
        <sz val="15.0"/>
        <u/>
      </rPr>
      <t>Marc Márquez: "Quedarme en el Repsol Honda habría afectado a mi salud mental"</t>
    </r>
    <r>
      <rPr>
        <rFont val="Arial, sans-serif"/>
        <color rgb="FF1155CC"/>
        <sz val="11.0"/>
        <u/>
      </rPr>
      <t>Marc Márquez afronta el cuarto gran premio del curso 2024 de MotoGP con ganas de resarcirse de las dos caídas sufridas en las carreras largas disputadas en...</t>
    </r>
    <r>
      <rPr>
        <rFont val="Arial, sans-serif"/>
        <color rgb="FF1155CC"/>
        <sz val="12.0"/>
        <u/>
      </rPr>
      <t>.</t>
    </r>
    <r>
      <rPr>
        <rFont val="Arial, sans-serif"/>
        <color rgb="FF1155CC"/>
        <sz val="11.0"/>
        <u/>
      </rPr>
      <t>23 abr 2024</t>
    </r>
  </si>
  <si>
    <t>"Marc Márquez: 'Quedarme en el Repsol Honda habría afectado a mi salud mental'"</t>
  </si>
  <si>
    <t>Marc Márquez afronta el cuarto gran premio del curso 2024 de MotoGP con ganas de resarcirse de las dos caídas sufridas en las carreras largas disputadas en....</t>
  </si>
  <si>
    <t>"Marc Márquez: 'Staying at Repsol Honda would have affected my mental health'"</t>
  </si>
  <si>
    <t>Marc Márquez faces the fourth grand prix of the 2024 MotoGP season wanting to make up for the two falls suffered in the long races held in....</t>
  </si>
  <si>
    <r>
      <rPr>
        <rFont val="Arial, sans-serif"/>
        <color rgb="FF1155CC"/>
        <sz val="9.0"/>
        <u/>
      </rPr>
      <t>Radio Intereconomía</t>
    </r>
    <r>
      <rPr>
        <rFont val="Arial, sans-serif"/>
        <color rgb="FF1155CC"/>
        <sz val="15.0"/>
        <u/>
      </rPr>
      <t>Repsol lleva su multienergía a los principales festivales de música de España y Portugal</t>
    </r>
    <r>
      <rPr>
        <rFont val="Arial, sans-serif"/>
        <color rgb="FF1155CC"/>
        <sz val="11.0"/>
        <u/>
      </rPr>
      <t>Repsol ha firmado acuerdos de patrocinio estratégico con seis de las promotoras musicales más importantes del país.</t>
    </r>
    <r>
      <rPr>
        <rFont val="Arial, sans-serif"/>
        <color rgb="FF1155CC"/>
        <sz val="12.0"/>
        <u/>
      </rPr>
      <t>.</t>
    </r>
    <r>
      <rPr>
        <rFont val="Arial, sans-serif"/>
        <color rgb="FF1155CC"/>
        <sz val="11.0"/>
        <u/>
      </rPr>
      <t>23 abr 2024</t>
    </r>
  </si>
  <si>
    <t>Repsol ha firmado acuerdos de patrocinio estratégico con seis de las promotoras musicales más importantes del país.</t>
  </si>
  <si>
    <t>Repsol has signed strategic sponsorship agreements with six of the most important music promoters in the country.</t>
  </si>
  <si>
    <t>Partnering with music festivals expands Repsol’s brand engagement.</t>
  </si>
  <si>
    <r>
      <rPr>
        <rFont val="Arial, sans-serif"/>
        <color rgb="FF1155CC"/>
        <sz val="9.0"/>
        <u/>
      </rPr>
      <t>Faro de Vigo</t>
    </r>
    <r>
      <rPr>
        <rFont val="Arial, sans-serif"/>
        <color rgb="FF1155CC"/>
        <sz val="15.0"/>
        <u/>
      </rPr>
      <t>El restaurante “Taberna A de Lino”, en la guía Repsol</t>
    </r>
    <r>
      <rPr>
        <rFont val="Arial, sans-serif"/>
        <color rgb="FF1155CC"/>
        <sz val="11.0"/>
        <u/>
      </rPr>
      <t>Lino Fervenza, ese hombre que “pasea las carnes” por A Fraga de Moaña, y su mujer Lorena Durán, posan sonrientes ante el logro conseguido de que su local...</t>
    </r>
    <r>
      <rPr>
        <rFont val="Arial, sans-serif"/>
        <color rgb="FF1155CC"/>
        <sz val="12.0"/>
        <u/>
      </rPr>
      <t>.</t>
    </r>
    <r>
      <rPr>
        <rFont val="Arial, sans-serif"/>
        <color rgb="FF1155CC"/>
        <sz val="11.0"/>
        <u/>
      </rPr>
      <t>23 abr 2024</t>
    </r>
  </si>
  <si>
    <t>El restaurante “Taberna A de Lino”, en la guía Repsol</t>
  </si>
  <si>
    <t>Lino Fervenza, ese hombre que “pasea las carnes” por A Fraga de Moaña, y su mujer Lorena Durán, posan sonrientes ante el logro conseguido de que su local....</t>
  </si>
  <si>
    <t>The restaurant “Taberna A de Lino”, in the Repsol guide</t>
  </si>
  <si>
    <t>Lino Fervenza, that man who “walks the meat” through A Fraga de Moaña, and his wife Lorena Durán, pose smiling at the achievement that their establishment...</t>
  </si>
  <si>
    <r>
      <rPr>
        <rFont val="Arial, sans-serif"/>
        <color rgb="FF1155CC"/>
        <sz val="9.0"/>
        <u/>
      </rPr>
      <t>Guía Repsol</t>
    </r>
    <r>
      <rPr>
        <rFont val="Arial, sans-serif"/>
        <color rgb="FF1155CC"/>
        <sz val="15.0"/>
        <u/>
      </rPr>
      <t>Ecofinca Nogales (Puntallana, La Palma): las vacas palmeras que viven entre plataneras y café ecológico</t>
    </r>
    <r>
      <rPr>
        <rFont val="Arial, sans-serif"/>
        <color rgb="FF1155CC"/>
        <sz val="11.0"/>
        <u/>
      </rPr>
      <t>Cuesta fijar la vista en un solo punto cuando pisas la Ecofinca Nogales. La mirada juega entre la paleta de colores que ofrecen el océano, las plataneras y...</t>
    </r>
    <r>
      <rPr>
        <rFont val="Arial, sans-serif"/>
        <color rgb="FF1155CC"/>
        <sz val="12.0"/>
        <u/>
      </rPr>
      <t>.</t>
    </r>
    <r>
      <rPr>
        <rFont val="Arial, sans-serif"/>
        <color rgb="FF1155CC"/>
        <sz val="11.0"/>
        <u/>
      </rPr>
      <t>23 abr 2024</t>
    </r>
  </si>
  <si>
    <t>Ecofinca Nogales (Puntallana, La Palma): las vacas palmeras que viven entre plataneras y café ecológico</t>
  </si>
  <si>
    <t>Cuesta fijar la vista en un solo punto cuando pisas la Ecofinca Nogales. La mirada juega entre la paleta de colores que ofrecen el océano, las plataneras y....</t>
  </si>
  <si>
    <t>Ecofinca Nogales (Puntallana, La Palma): the palm cows that live among banana trees and organic coffee</t>
  </si>
  <si>
    <t>It's hard to focus on a single point when you step into Ecofinca Nogales. The look plays between the color palette offered by the ocean, the banana trees and....</t>
  </si>
  <si>
    <r>
      <rPr>
        <rFont val="Arial, sans-serif"/>
        <color rgb="FF1155CC"/>
        <sz val="9.0"/>
        <u/>
      </rPr>
      <t>El Correo</t>
    </r>
    <r>
      <rPr>
        <rFont val="Arial, sans-serif"/>
        <color rgb="FF1155CC"/>
        <sz val="15.0"/>
        <u/>
      </rPr>
      <t>Detienen a un hombre de 38 años por el incendio de una gasolinera de La Avanzada esta madrugada</t>
    </r>
    <r>
      <rPr>
        <rFont val="Arial, sans-serif"/>
        <color rgb="FF1155CC"/>
        <sz val="11.0"/>
        <u/>
      </rPr>
      <t>En la estación de Repsol ubicada en la carretera sentido Bilbao solo se encontraba un empleado, que resultó ileso.</t>
    </r>
    <r>
      <rPr>
        <rFont val="Arial, sans-serif"/>
        <color rgb="FF1155CC"/>
        <sz val="12.0"/>
        <u/>
      </rPr>
      <t>.</t>
    </r>
    <r>
      <rPr>
        <rFont val="Arial, sans-serif"/>
        <color rgb="FF1155CC"/>
        <sz val="11.0"/>
        <u/>
      </rPr>
      <t>23 abr 2024</t>
    </r>
  </si>
  <si>
    <t>Detienen a un hombre de 38 años por el incendio de una gasolinera de La Avanzada esta madrugada</t>
  </si>
  <si>
    <t>Detienen a un hombre de 38 años por el incendio de una gasolinera de La Avanzada esta madrugada. En la estación de Repsol ubicada en la carretera sentido Bilbao solo se encontraba un empleado, que resultó ileso.</t>
  </si>
  <si>
    <t>A 38-year-old man is arrested for the fire at a La Avanzada gas station this morning</t>
  </si>
  <si>
    <t>A 38-year-old man is arrested for the fire at a gas station in La Avanzada this morning. At the Repsol station located on the road towards Bilbao, there was only one employee, who was unharmed.</t>
  </si>
  <si>
    <t>Repsol gas station incident, business operations</t>
  </si>
  <si>
    <t>Incidente gasolinera Repsol, operaciones empresariales</t>
  </si>
  <si>
    <t>Negative incidents at service stations may raise minor safety concerns.</t>
  </si>
  <si>
    <t>incendio gasolinera</t>
  </si>
  <si>
    <t>Negative incident at Repsol station</t>
  </si>
  <si>
    <t>Incidente negativo en la estación Repsol</t>
  </si>
  <si>
    <r>
      <rPr>
        <rFont val="Arial, sans-serif"/>
        <color rgb="FF1155CC"/>
        <sz val="9.0"/>
        <u/>
      </rPr>
      <t>El Independiente</t>
    </r>
    <r>
      <rPr>
        <rFont val="Arial, sans-serif"/>
        <color rgb="FF1155CC"/>
        <sz val="15.0"/>
        <u/>
      </rPr>
      <t>La 'tómbola' de Galán en la junta de Iberdrola: sorteo de bicis, dinero por ir y la polémica con Repsol de fondo</t>
    </r>
    <r>
      <rPr>
        <rFont val="Arial, sans-serif"/>
        <color rgb="FF1155CC"/>
        <sz val="11.0"/>
        <u/>
      </rPr>
      <t>Ignacio Galán prepara toda su artillería en la próxima junta general de accionistas que se celebrará a mediados del próximo mes. El día 17 de mayo los.</t>
    </r>
    <r>
      <rPr>
        <rFont val="Arial, sans-serif"/>
        <color rgb="FF1155CC"/>
        <sz val="12.0"/>
        <u/>
      </rPr>
      <t>.</t>
    </r>
    <r>
      <rPr>
        <rFont val="Arial, sans-serif"/>
        <color rgb="FF1155CC"/>
        <sz val="11.0"/>
        <u/>
      </rPr>
      <t>23 abr 2024</t>
    </r>
  </si>
  <si>
    <t>La 'tómbola' de Galán en la junta de Iberdrola: sorteo de bicis, dinero por ir y la polémica con Repsol de fondo</t>
  </si>
  <si>
    <t>Ignacio Galán prepara toda su artillería en la próxima junta general de accionistas que se celebrará a mediados del próximo mes. El día 17 de mayo los..</t>
  </si>
  <si>
    <t>Galán's 'raffle' at the Iberdrola board: bike raffle, money to go and the controversy with Repsol in the background</t>
  </si>
  <si>
    <t>Ignacio Galán prepares all his artillery at the next general meeting of shareholders to be held in the middle of next month. On May 17, the...</t>
  </si>
  <si>
    <t>Iberdrola’s board decisions do not impact Repsol’s perception.</t>
  </si>
  <si>
    <t>polémica</t>
  </si>
  <si>
    <t>Negative association</t>
  </si>
  <si>
    <t>asociación negativa</t>
  </si>
  <si>
    <r>
      <rPr>
        <rFont val="Arial, sans-serif"/>
        <color rgb="FF1155CC"/>
        <sz val="9.0"/>
        <u/>
      </rPr>
      <t>LaSexta</t>
    </r>
    <r>
      <rPr>
        <rFont val="Arial, sans-serif"/>
        <color rgb="FF1155CC"/>
        <sz val="15.0"/>
        <u/>
      </rPr>
      <t>Marc Márquez desvela el verdadero motivo de su salida de Honda: "Mi salud mental estaría en juego"</t>
    </r>
    <r>
      <rPr>
        <rFont val="Arial, sans-serif"/>
        <color rgb="FF1155CC"/>
        <sz val="11.0"/>
        <u/>
      </rPr>
      <t>El octocampeón del mundo ha hablado sobre la "difícil" decisión de dejar Honda con el único objetivo de saber "si todavía era suficientemente competitivo".</t>
    </r>
    <r>
      <rPr>
        <rFont val="Arial, sans-serif"/>
        <color rgb="FF1155CC"/>
        <sz val="12.0"/>
        <u/>
      </rPr>
      <t>.</t>
    </r>
    <r>
      <rPr>
        <rFont val="Arial, sans-serif"/>
        <color rgb="FF1155CC"/>
        <sz val="11.0"/>
        <u/>
      </rPr>
      <t>23 abr 2024</t>
    </r>
  </si>
  <si>
    <t>Marc Márquez desvela el verdadero motivo de su salida de Honda: "Mi salud mental estaría en juego"</t>
  </si>
  <si>
    <t>"Mi salud mental estaría en juego"</t>
  </si>
  <si>
    <t>Marc Márquez reveals the real reason for his departure from Honda: "My mental health would be at stake"</t>
  </si>
  <si>
    <t>"My mental health would be at stake"</t>
  </si>
  <si>
    <r>
      <rPr>
        <rFont val="Arial, sans-serif"/>
        <color rgb="FF1155CC"/>
        <sz val="9.0"/>
        <u/>
      </rPr>
      <t>PETROGUIA</t>
    </r>
    <r>
      <rPr>
        <rFont val="Arial, sans-serif"/>
        <color rgb="FF1155CC"/>
        <sz val="15.0"/>
        <u/>
      </rPr>
      <t>PDVSA y Repsol prevén inversión por $ 400 millones con ampliación de Petroquiriquire</t>
    </r>
    <r>
      <rPr>
        <rFont val="Arial, sans-serif"/>
        <color rgb="FF1155CC"/>
        <sz val="11.0"/>
        <u/>
      </rPr>
      <t>El primer vicepresidente de la Comisión Permanente de Energía y Petróleo, Rodolfo Sanz, informo que la autorización que otorgo la Asamblea Nacional a la...</t>
    </r>
    <r>
      <rPr>
        <rFont val="Arial, sans-serif"/>
        <color rgb="FF1155CC"/>
        <sz val="12.0"/>
        <u/>
      </rPr>
      <t>.</t>
    </r>
    <r>
      <rPr>
        <rFont val="Arial, sans-serif"/>
        <color rgb="FF1155CC"/>
        <sz val="11.0"/>
        <u/>
      </rPr>
      <t>23 abr 2024</t>
    </r>
  </si>
  <si>
    <t>PETROGUIAPDVSA y Repsol prevén inversión por $ 400 millones con ampliación de Petroquiriquire</t>
  </si>
  <si>
    <t>La autorización que otorgo la Asamblea Nacional a la...</t>
  </si>
  <si>
    <t>PETROGUIAPDVSA and Repsol plan an investment of $400 million with the expansion of Petroquiriquire</t>
  </si>
  <si>
    <t>The authorization granted by the National Assembly to the...</t>
  </si>
  <si>
    <t>Expanding investments in Venezuela reinforces Repsol’s market strategy.</t>
  </si>
  <si>
    <t>inversión</t>
  </si>
  <si>
    <t>Positive business expansion</t>
  </si>
  <si>
    <t>Expansión empresarial positiva</t>
  </si>
  <si>
    <r>
      <rPr>
        <rFont val="Arial, sans-serif"/>
        <color rgb="FF1155CC"/>
        <sz val="9.0"/>
        <u/>
      </rPr>
      <t>Libre Mercado</t>
    </r>
    <r>
      <rPr>
        <rFont val="Arial, sans-serif"/>
        <color rgb="FF1155CC"/>
        <sz val="15.0"/>
        <u/>
      </rPr>
      <t>La estrategia de Málaga para reducir su déficit de vivienda</t>
    </r>
    <r>
      <rPr>
        <rFont val="Arial, sans-serif"/>
        <color rgb="FF1155CC"/>
        <sz val="11.0"/>
        <u/>
      </rPr>
      <t>Reduce un 50% su déficit de vivienda desbloqueando operaciones urbanísticas y quitando burocracia. El ayuntamiento ha autorizado 23.000 nuevos pisos.</t>
    </r>
    <r>
      <rPr>
        <rFont val="Arial, sans-serif"/>
        <color rgb="FF1155CC"/>
        <sz val="12.0"/>
        <u/>
      </rPr>
      <t>.</t>
    </r>
    <r>
      <rPr>
        <rFont val="Arial, sans-serif"/>
        <color rgb="FF1155CC"/>
        <sz val="11.0"/>
        <u/>
      </rPr>
      <t>23 abr 2024</t>
    </r>
  </si>
  <si>
    <t>La estrategia de Málaga para reducir su déficit de vivienda</t>
  </si>
  <si>
    <t>Reduce un 50% su déficit de vivienda desbloqueando operaciones urbanísticas y quitando burocracia. El ayuntamiento ha autorizado 23.000 nuevos pisos.</t>
  </si>
  <si>
    <t>Malaga's strategy to reduce its housing deficit</t>
  </si>
  <si>
    <t>Reduce your housing deficit by 50% by unblocking urban planning operations and eliminating bureaucracy. The city council has authorized 23,000 new apartments.</t>
  </si>
  <si>
    <r>
      <rPr>
        <rFont val="Arial, sans-serif"/>
        <color rgb="FF1155CC"/>
        <sz val="9.0"/>
        <u/>
      </rPr>
      <t>Monte Real Club de Yates Baiona</t>
    </r>
    <r>
      <rPr>
        <rFont val="Arial, sans-serif"/>
        <color rgb="FF1155CC"/>
        <sz val="15.0"/>
        <u/>
      </rPr>
      <t>El Trofeo Repsol recupera el clásico recorrido entre Baiona y Sanxenxo</t>
    </r>
    <r>
      <rPr>
        <rFont val="Arial, sans-serif"/>
        <color rgb="FF1155CC"/>
        <sz val="11.0"/>
        <u/>
      </rPr>
      <t>La histórica Regata de Primavera del Monte Real Club de Yates cumple su 46ª edición en este 2024 y recupera el clásico recorrido entre Baiona y Sanxenxo que...</t>
    </r>
    <r>
      <rPr>
        <rFont val="Arial, sans-serif"/>
        <color rgb="FF1155CC"/>
        <sz val="12.0"/>
        <u/>
      </rPr>
      <t>.</t>
    </r>
    <r>
      <rPr>
        <rFont val="Arial, sans-serif"/>
        <color rgb="FF1155CC"/>
        <sz val="11.0"/>
        <u/>
      </rPr>
      <t>24 abr 2024</t>
    </r>
  </si>
  <si>
    <t>Monte Real Club de Yates Baiona</t>
  </si>
  <si>
    <t>El Trofeo Repsol recupera el clásico recorrido entre Baiona y Sanxenxo</t>
  </si>
  <si>
    <t>La histórica Regata de Primavera del Monte Real Club de Yates cumple su 46ª edición en este 2024 y recupera el clásico recorrido entre Baiona y Sanxenxo que....</t>
  </si>
  <si>
    <t>The Repsol Trophy recovers the classic route between Baiona and Sanxenxo</t>
  </si>
  <si>
    <t>The historic Spring Regatta of the Monte Real Yacht Club celebrates its 46th edition in 2024 and recovers the classic route between Baiona and Sanxenxo that...</t>
  </si>
  <si>
    <r>
      <rPr>
        <rFont val="Arial, sans-serif"/>
        <color rgb="FF1155CC"/>
        <sz val="9.0"/>
        <u/>
      </rPr>
      <t>El Economista</t>
    </r>
    <r>
      <rPr>
        <rFont val="Arial, sans-serif"/>
        <color rgb="FF1155CC"/>
        <sz val="15.0"/>
        <u/>
      </rPr>
      <t>Acteco amplía horizontes con Repsol: compra el 35% de Ecoaqua para reciclar colchones</t>
    </r>
    <r>
      <rPr>
        <rFont val="Arial, sans-serif"/>
        <color rgb="FF1155CC"/>
        <sz val="11.0"/>
        <u/>
      </rPr>
      <t>El grupo alicantino Acteco, dedicado a la gestión, recuperación y reciclaje de residuos industriales, fundamentalmente plásticos, quiere ...</t>
    </r>
    <r>
      <rPr>
        <rFont val="Arial, sans-serif"/>
        <color rgb="FF1155CC"/>
        <sz val="12.0"/>
        <u/>
      </rPr>
      <t>.</t>
    </r>
    <r>
      <rPr>
        <rFont val="Arial, sans-serif"/>
        <color rgb="FF1155CC"/>
        <sz val="11.0"/>
        <u/>
      </rPr>
      <t>24 abr 2024</t>
    </r>
  </si>
  <si>
    <t>Acteco amplía horizontes con Repsol: compra el 35% de Ecoaqua para reciclar colchones</t>
  </si>
  <si>
    <t>El grupo alicantino Acteco, dedicado a la gestión, recuperación y reciclaje de residuos industriales, fundamentalmente plásticos, quiere ....</t>
  </si>
  <si>
    <t>Acteco expands horizons with Repsol: buys 35% of Ecoaqua to recycle mattresses</t>
  </si>
  <si>
    <t>The Alicante group Acteco, dedicated to the management, recovery and recycling of industrial waste, mainly plastic, wants....</t>
  </si>
  <si>
    <t>Repsol business expansion, recycling industry</t>
  </si>
  <si>
    <t>Expansión del negocio de Repsol, industria del reciclaje</t>
  </si>
  <si>
    <t>Expanding partnerships in recycling supports Repsol’s sustainability goals.</t>
  </si>
  <si>
    <t>reciclar</t>
  </si>
  <si>
    <t>Positive sustainability effort</t>
  </si>
  <si>
    <t>Esfuerzo positivo de sostenibilidad</t>
  </si>
  <si>
    <r>
      <rPr>
        <rFont val="Arial, sans-serif"/>
        <color rgb="FF1155CC"/>
        <sz val="9.0"/>
        <u/>
      </rPr>
      <t>El Español</t>
    </r>
    <r>
      <rPr>
        <rFont val="Arial, sans-serif"/>
        <color rgb="FF1155CC"/>
        <sz val="15.0"/>
        <u/>
      </rPr>
      <t>Puertollano se queda sin hoteles ni casas para alquilar ante la parada de la planta de Repsol en la ciudad</t>
    </r>
    <r>
      <rPr>
        <rFont val="Arial, sans-serif"/>
        <color rgb="FF1155CC"/>
        <sz val="11.0"/>
        <u/>
      </rPr>
      <t>La compañía energética ha realizado su parada plurianual que ha contado con más de 1.000 empleados adicionales que los que normalmente trabajan en el...</t>
    </r>
    <r>
      <rPr>
        <rFont val="Arial, sans-serif"/>
        <color rgb="FF1155CC"/>
        <sz val="12.0"/>
        <u/>
      </rPr>
      <t>.</t>
    </r>
    <r>
      <rPr>
        <rFont val="Arial, sans-serif"/>
        <color rgb="FF1155CC"/>
        <sz val="11.0"/>
        <u/>
      </rPr>
      <t>24 abr 2024</t>
    </r>
  </si>
  <si>
    <t>Puertollano se queda sin hoteles ni casas para alquilar ante la parada de la planta de Repsol en la ciudad</t>
  </si>
  <si>
    <t>La compañía energética ha realizado su parada plurianual que ha contado con más de 1.000 empleados adicionales que los que normalmente trabajan en el....</t>
  </si>
  <si>
    <t>Puertollano runs out of hotels or houses to rent due to the shutdown of the Repsol plant in the city</t>
  </si>
  <si>
    <t>The energy company has carried out its multi-year shutdown that has included more than 1,000 additional employees than those who normally work in the...</t>
  </si>
  <si>
    <t>Large-scale maintenance ensures operational efficiency but has limited public impact.</t>
  </si>
  <si>
    <t>parada planta</t>
  </si>
  <si>
    <t>Negative local impact</t>
  </si>
  <si>
    <t>Impacto local negativo</t>
  </si>
  <si>
    <r>
      <rPr>
        <rFont val="Arial, sans-serif"/>
        <color rgb="FF1155CC"/>
        <sz val="9.0"/>
        <u/>
      </rPr>
      <t>Faro de Vigo</t>
    </r>
    <r>
      <rPr>
        <rFont val="Arial, sans-serif"/>
        <color rgb="FF1155CC"/>
        <sz val="15.0"/>
        <u/>
      </rPr>
      <t>“Queremos recuperar la fama de la chuleta de Moaña”</t>
    </r>
    <r>
      <rPr>
        <rFont val="Arial, sans-serif"/>
        <color rgb="FF1155CC"/>
        <sz val="11.0"/>
        <u/>
      </rPr>
      <t>Lino Fervenza considera “una responsabilidad” que su taberna entrase en la guía Repsol.</t>
    </r>
    <r>
      <rPr>
        <rFont val="Arial, sans-serif"/>
        <color rgb="FF1155CC"/>
        <sz val="12.0"/>
        <u/>
      </rPr>
      <t>.</t>
    </r>
    <r>
      <rPr>
        <rFont val="Arial, sans-serif"/>
        <color rgb="FF1155CC"/>
        <sz val="11.0"/>
        <u/>
      </rPr>
      <t>24 abr 2024</t>
    </r>
  </si>
  <si>
    <t>“Queremos recuperar la fama de la chuleta de Moaña”</t>
  </si>
  <si>
    <t>“Queremos recuperar la fama de la chuleta de Moaña” Lino Fervenza considera “una responsabilidad” que su taberna entrase en la guía Repsol.</t>
  </si>
  <si>
    <t>“We want to recover the fame of the Moaña chop”</t>
  </si>
  <si>
    <t>“We want to recover the fame of the Moaña chop” Lino Fervenza considers it “a responsibility” that his tavern was included in the Repsol guide.</t>
  </si>
  <si>
    <r>
      <rPr>
        <rFont val="Arial, sans-serif"/>
        <color rgb="FF1155CC"/>
        <sz val="9.0"/>
        <u/>
      </rPr>
      <t>Guía Repsol</t>
    </r>
    <r>
      <rPr>
        <rFont val="Arial, sans-serif"/>
        <color rgb="FF1155CC"/>
        <sz val="15.0"/>
        <u/>
      </rPr>
      <t>Cafetería y pastelería 'By Torreblanca' (Madrid): la saga de pasteleros más ilustre llega a la capital</t>
    </r>
    <r>
      <rPr>
        <rFont val="Arial, sans-serif"/>
        <color rgb="FF1155CC"/>
        <sz val="11.0"/>
        <u/>
      </rPr>
      <t>Su padre, David Torreblanca, ha puesto en marcha esta cafetería y pastelería en el barrio de Salamanca, y María está cada mañana detrás del mostrador.</t>
    </r>
    <r>
      <rPr>
        <rFont val="Arial, sans-serif"/>
        <color rgb="FF1155CC"/>
        <sz val="12.0"/>
        <u/>
      </rPr>
      <t>.</t>
    </r>
    <r>
      <rPr>
        <rFont val="Arial, sans-serif"/>
        <color rgb="FF1155CC"/>
        <sz val="11.0"/>
        <u/>
      </rPr>
      <t>24 abr 2024</t>
    </r>
  </si>
  <si>
    <t>Cafetería y pastelería 'By Torreblanca' (Madrid): la saga de pasteleros más ilustre llega a la capital</t>
  </si>
  <si>
    <t>Su padre, David Torreblanca, ha puesto en marcha esta cafetería y pastelería en el barrio de Salamanca, y María está cada mañana detrás del mostrador.</t>
  </si>
  <si>
    <t>Cafe and pastry shop 'By Torreblanca' (Madrid): the most illustrious saga of pastry chefs arrives in the capital</t>
  </si>
  <si>
    <t>Her father, David Torreblanca, has started this cafeteria and pastry shop in the Salamanca neighborhood, and María is behind the counter every morning.</t>
  </si>
  <si>
    <r>
      <rPr>
        <rFont val="Arial, sans-serif"/>
        <color rgb="FF1155CC"/>
        <sz val="9.0"/>
        <u/>
      </rPr>
      <t>El Economista</t>
    </r>
    <r>
      <rPr>
        <rFont val="Arial, sans-serif"/>
        <color rgb="FF1155CC"/>
        <sz val="15.0"/>
        <u/>
      </rPr>
      <t>Estrategia para la Captura de Carbono y CO2</t>
    </r>
    <r>
      <rPr>
        <rFont val="Arial, sans-serif"/>
        <color rgb="FF1155CC"/>
        <sz val="11.0"/>
        <u/>
      </rPr>
      <t>'elEconomista.es' celebra la jornada 'Estrategia para la Captura de Carbono y CO2' para analizar, entre otras cuestiones, la revisión de la Comisión de los...</t>
    </r>
    <r>
      <rPr>
        <rFont val="Arial, sans-serif"/>
        <color rgb="FF1155CC"/>
        <sz val="12.0"/>
        <u/>
      </rPr>
      <t>.</t>
    </r>
    <r>
      <rPr>
        <rFont val="Arial, sans-serif"/>
        <color rgb="FF1155CC"/>
        <sz val="11.0"/>
        <u/>
      </rPr>
      <t>24 abr 2024</t>
    </r>
  </si>
  <si>
    <t>Estrategia para la Captura de Carbono y CO2</t>
  </si>
  <si>
    <t>'elEconomista.es' celebra la jornada 'Estrategia para la Captura de Carbono y CO2' para analizar, entre otras cuestiones, la revisión de la Comisión de los....</t>
  </si>
  <si>
    <t>Strategy for Carbon and CO2 Capture</t>
  </si>
  <si>
    <t>'elEconomista.es' celebrates the 'Strategy for Carbon and CO2 Capture' conference to analyze, among other issues, the Commission's review of the...</t>
  </si>
  <si>
    <t>General carbon capture discussions do not directly impact Repsol’s perception.</t>
  </si>
  <si>
    <t>Indirect relation</t>
  </si>
  <si>
    <t>Relación indirecta</t>
  </si>
  <si>
    <r>
      <rPr>
        <rFont val="Arial, sans-serif"/>
        <color rgb="FF1155CC"/>
        <sz val="9.0"/>
        <u/>
      </rPr>
      <t>El Norte de Castilla</t>
    </r>
    <r>
      <rPr>
        <rFont val="Arial, sans-serif"/>
        <color rgb="FF1155CC"/>
        <sz val="15.0"/>
        <u/>
      </rPr>
      <t>Adiós a las últimas gasolineras del centro de Valladolid cien años después</t>
    </r>
    <r>
      <rPr>
        <rFont val="Arial, sans-serif"/>
        <color rgb="FF1155CC"/>
        <sz val="11.0"/>
        <u/>
      </rPr>
      <t>Las obras para desmantelar las estaciones de servicio de Poniente, Circular y Vallsur, cerradas desde hace casi ocho meses, han comenzado este miércoles.</t>
    </r>
    <r>
      <rPr>
        <rFont val="Arial, sans-serif"/>
        <color rgb="FF1155CC"/>
        <sz val="12.0"/>
        <u/>
      </rPr>
      <t>.</t>
    </r>
    <r>
      <rPr>
        <rFont val="Arial, sans-serif"/>
        <color rgb="FF1155CC"/>
        <sz val="11.0"/>
        <u/>
      </rPr>
      <t>24 abr 2024</t>
    </r>
  </si>
  <si>
    <t>Adiós a las últimas gasolineras del centro de Valladolid cien años después</t>
  </si>
  <si>
    <t>Las obras para desmantelar las estaciones de servicio de Poniente, Circular y Vallsur, cerradas desde hace casi ocho meses, han comenzado este miércoles.</t>
  </si>
  <si>
    <t>Goodbye to the last gas stations in the center of Valladolid one hundred years later</t>
  </si>
  <si>
    <t>The works to dismantle the Poniente, Circular and Vallsur service stations, closed for almost eight months, began this Wednesday.</t>
  </si>
  <si>
    <r>
      <rPr>
        <rFont val="Arial, sans-serif"/>
        <color rgb="FF1155CC"/>
        <sz val="9.0"/>
        <u/>
      </rPr>
      <t>Cadena SER</t>
    </r>
    <r>
      <rPr>
        <rFont val="Arial, sans-serif"/>
        <color rgb="FF1155CC"/>
        <sz val="15.0"/>
        <u/>
      </rPr>
      <t>José María González Muñoz, un abulense ciudadano del mundo</t>
    </r>
    <r>
      <rPr>
        <rFont val="Arial, sans-serif"/>
        <color rgb="FF1155CC"/>
        <sz val="11.0"/>
        <u/>
      </rPr>
      <t>Originario de Mijares y Casavieja, su trabajo de geólogo le tiene viviendo en Bolivia actualmente.</t>
    </r>
    <r>
      <rPr>
        <rFont val="Arial, sans-serif"/>
        <color rgb="FF1155CC"/>
        <sz val="12.0"/>
        <u/>
      </rPr>
      <t>.</t>
    </r>
    <r>
      <rPr>
        <rFont val="Arial, sans-serif"/>
        <color rgb="FF1155CC"/>
        <sz val="11.0"/>
        <u/>
      </rPr>
      <t>24 abr 2024</t>
    </r>
  </si>
  <si>
    <t>José María González Muñoz, un abulense ciudadano del mundo</t>
  </si>
  <si>
    <t>Originario de Mijares y Casavieja, su trabajo de geólogo le tiene viviendo en Bolivia actualmente.</t>
  </si>
  <si>
    <t>José María González Muñoz, a citizen of the world from Avila</t>
  </si>
  <si>
    <t>Originally from Mijares and Casavieja, his work as a geologist currently has him living in Bolivia.</t>
  </si>
  <si>
    <t>Obituary</t>
  </si>
  <si>
    <r>
      <rPr>
        <rFont val="Arial, sans-serif"/>
        <color rgb="FF1155CC"/>
        <sz val="9.0"/>
        <u/>
      </rPr>
      <t>El Periódico de la Energía</t>
    </r>
    <r>
      <rPr>
        <rFont val="Arial, sans-serif"/>
        <color rgb="FF1155CC"/>
        <sz val="15.0"/>
        <u/>
      </rPr>
      <t>Todos los grandes proyectos que se verán beneficiados con la nueva planificación eléctrica: fábricas de coches eléctricos, baterías, centros de datos, bombeos,...</t>
    </r>
    <r>
      <rPr>
        <rFont val="Arial, sans-serif"/>
        <color rgb="FF1155CC"/>
        <sz val="11.0"/>
        <u/>
      </rPr>
      <t>El Gobierno ha publicado este miércoles en el BOE la nueva ampliación de la Planificación Eléctrica a 2026 en el que están previstas.</t>
    </r>
    <r>
      <rPr>
        <rFont val="Arial, sans-serif"/>
        <color rgb="FF1155CC"/>
        <sz val="12.0"/>
        <u/>
      </rPr>
      <t>.</t>
    </r>
    <r>
      <rPr>
        <rFont val="Arial, sans-serif"/>
        <color rgb="FF1155CC"/>
        <sz val="11.0"/>
        <u/>
      </rPr>
      <t>24 abr 2024</t>
    </r>
  </si>
  <si>
    <t>Todos los grandes proyectos que se verán beneficiados con la nueva planificación eléctrica: fábricas de coches eléctricos, baterías, centros de datos, bombeos,...</t>
  </si>
  <si>
    <t>All the large projects that will benefit from the new electrical planning: electric car factories, batteries, data centers, pumps,...</t>
  </si>
  <si>
    <t>General EU funding decisions do not impact Repsol’s business.</t>
  </si>
  <si>
    <r>
      <rPr>
        <rFont val="Arial, sans-serif"/>
        <color rgb="FF1155CC"/>
        <sz val="9.0"/>
        <u/>
      </rPr>
      <t>El Ideal Gallego</t>
    </r>
    <r>
      <rPr>
        <rFont val="Arial, sans-serif"/>
        <color rgb="FF1155CC"/>
        <sz val="15.0"/>
        <u/>
      </rPr>
      <t>El traslado de la actividad industrial del puerto se iniciará a mitad de 2026 y durará seis meses</t>
    </r>
    <r>
      <rPr>
        <rFont val="Arial, sans-serif"/>
        <color rgb="FF1155CC"/>
        <sz val="11.0"/>
        <u/>
      </rPr>
      <t>El Ayuntamiento y la Autoridad Portuaria informarán de forma pactada de los avances en las negociaciones. La alcaldesa afirma que no hay novedades que...</t>
    </r>
    <r>
      <rPr>
        <rFont val="Arial, sans-serif"/>
        <color rgb="FF1155CC"/>
        <sz val="12.0"/>
        <u/>
      </rPr>
      <t>.</t>
    </r>
    <r>
      <rPr>
        <rFont val="Arial, sans-serif"/>
        <color rgb="FF1155CC"/>
        <sz val="11.0"/>
        <u/>
      </rPr>
      <t>24 abr 2024</t>
    </r>
  </si>
  <si>
    <t>El traslado de la actividad industrial del puerto se iniciará a mitad de 2026 y durará seis meses</t>
  </si>
  <si>
    <t>El Ayuntamiento y la Autoridad Portuaria informarán de forma pactada de los avances en las negociaciones. La alcaldesa afirma que no hay novedades que....</t>
  </si>
  <si>
    <t>The transfer of the port's industrial activity will begin in mid-2026 and will last six months</t>
  </si>
  <si>
    <t>The City Council and the Port Authority will report in an agreed manner on the progress in the negotiations. The mayor affirms that there is no news that...</t>
  </si>
  <si>
    <r>
      <rPr>
        <rFont val="Arial, sans-serif"/>
        <color rgb="FF1155CC"/>
        <sz val="9.0"/>
        <u/>
      </rPr>
      <t>Cinco Días</t>
    </r>
    <r>
      <rPr>
        <rFont val="Arial, sans-serif"/>
        <color rgb="FF1155CC"/>
        <sz val="15.0"/>
        <u/>
      </rPr>
      <t>Repsol gana un 13% menos hasta marzo por la bajada del gas y de los márgenes de refino</t>
    </r>
    <r>
      <rPr>
        <rFont val="Arial, sans-serif"/>
        <color rgb="FF1155CC"/>
        <sz val="11.0"/>
        <u/>
      </rPr>
      <t>La mayor petrolera española, Repsol, se anotó un beneficio neto de 969 millones de euros en el primer trimestre del año, un 12,9% menos que en el mismo...</t>
    </r>
    <r>
      <rPr>
        <rFont val="Arial, sans-serif"/>
        <color rgb="FF1155CC"/>
        <sz val="12.0"/>
        <u/>
      </rPr>
      <t>.</t>
    </r>
    <r>
      <rPr>
        <rFont val="Arial, sans-serif"/>
        <color rgb="FF1155CC"/>
        <sz val="11.0"/>
        <u/>
      </rPr>
      <t>25 abr 2024</t>
    </r>
  </si>
  <si>
    <t>Repsol gana un 13% menos hasta marzo por la bajada del gas y de los márgenes de refino</t>
  </si>
  <si>
    <t>La mayor petrolera española, Repsol, se anotó un beneficio neto de 969 millones de euros en el primer trimestre del año, un 12,9% menos que en el mismo....</t>
  </si>
  <si>
    <t>Repsol earns 13% less until March due to the drop in gas and refining margins</t>
  </si>
  <si>
    <t>The largest Spanish oil company, Repsol, posted a net profit of 969 million euros in the first quarter of the year, 12.9% less than in the same period....</t>
  </si>
  <si>
    <t>Repsol financial performance, market impact</t>
  </si>
  <si>
    <t>Desempeño financiero de Repsol, impacto en el mercado</t>
  </si>
  <si>
    <t>Declining profits could slightly impact investor confidence.</t>
  </si>
  <si>
    <t>gana menos</t>
  </si>
  <si>
    <t>Negative financial performance</t>
  </si>
  <si>
    <t>Desempeño financiero negativo</t>
  </si>
  <si>
    <r>
      <rPr>
        <rFont val="Arial, sans-serif"/>
        <color rgb="FF1155CC"/>
        <sz val="9.0"/>
        <u/>
      </rPr>
      <t>Estrategias de Inversión</t>
    </r>
    <r>
      <rPr>
        <rFont val="Arial, sans-serif"/>
        <color rgb="FF1155CC"/>
        <sz val="15.0"/>
        <u/>
      </rPr>
      <t>Repsol gana un 13% menos, por la caída del precio del gas y el "impuestazo"</t>
    </r>
    <r>
      <rPr>
        <rFont val="Arial, sans-serif"/>
        <color rgb="FF1155CC"/>
        <sz val="11.0"/>
        <u/>
      </rPr>
      <t>Repsol registró un beneficio neto de 969 millones de euros entre enero y marzo, un 13% menos, en un contexto marcado por la fuerte caída de la cotización...</t>
    </r>
    <r>
      <rPr>
        <rFont val="Arial, sans-serif"/>
        <color rgb="FF1155CC"/>
        <sz val="12.0"/>
        <u/>
      </rPr>
      <t>.</t>
    </r>
    <r>
      <rPr>
        <rFont val="Arial, sans-serif"/>
        <color rgb="FF1155CC"/>
        <sz val="11.0"/>
        <u/>
      </rPr>
      <t>25 abr 2024</t>
    </r>
  </si>
  <si>
    <t>Repsol gana un 13% menos, por la caída del precio del gas y el "impuestazo"</t>
  </si>
  <si>
    <t>Repsol registró un beneficio neto de 969 millones de euros entre enero y marzo, un 13% menos, en un contexto marcado por la fuerte caída de la cotización....</t>
  </si>
  <si>
    <t>Repsol earns 13% less, due to the drop in the price of gas and the "tax"</t>
  </si>
  <si>
    <t>Repsol recorded a net profit of 969 million euros between January and March, 13% less, in a context marked by the sharp drop in the price....</t>
  </si>
  <si>
    <t>Repsol financial performance, oil price impact</t>
  </si>
  <si>
    <t>Evolución financiera de Repsol, Impacto precio del petróleo</t>
  </si>
  <si>
    <t>Lower hydrocarbon prices may affect Repsol’s financial standing.</t>
  </si>
  <si>
    <t>impuestazo</t>
  </si>
  <si>
    <t>Negative financial/tax impact</t>
  </si>
  <si>
    <t>Impacto financiero/fiscal negativo</t>
  </si>
  <si>
    <r>
      <rPr>
        <rFont val="Arial, sans-serif"/>
        <color rgb="FF1155CC"/>
        <sz val="9.0"/>
        <u/>
      </rPr>
      <t>El Economista</t>
    </r>
    <r>
      <rPr>
        <rFont val="Arial, sans-serif"/>
        <color rgb="FF1155CC"/>
        <sz val="15.0"/>
        <u/>
      </rPr>
      <t>Alberto Mendoza (Repsol): "La seguridad es el mayor reto que afrontan los medios de pago"</t>
    </r>
    <r>
      <rPr>
        <rFont val="Arial, sans-serif"/>
        <color rgb="FF1155CC"/>
        <sz val="11.0"/>
        <u/>
      </rPr>
      <t>elEconomista.es celebró ayer en III Foro de Neobancos: "La adaptación al cliente del siglo XXI". Alberto Mendoza Peral, gestor senior de ...</t>
    </r>
    <r>
      <rPr>
        <rFont val="Arial, sans-serif"/>
        <color rgb="FF1155CC"/>
        <sz val="12.0"/>
        <u/>
      </rPr>
      <t>.</t>
    </r>
    <r>
      <rPr>
        <rFont val="Arial, sans-serif"/>
        <color rgb="FF1155CC"/>
        <sz val="11.0"/>
        <u/>
      </rPr>
      <t>25 abr 2024</t>
    </r>
  </si>
  <si>
    <t>"La seguridad es el mayor reto que afrontan los medios de pago"</t>
  </si>
  <si>
    <t>"Security is the biggest challenge facing payment methods"</t>
  </si>
  <si>
    <r>
      <rPr>
        <rFont val="Arial, sans-serif"/>
        <color rgb="FF1155CC"/>
        <sz val="9.0"/>
        <u/>
      </rPr>
      <t>Periodico PublicidAD</t>
    </r>
    <r>
      <rPr>
        <rFont val="Arial, sans-serif"/>
        <color rgb="FF1155CC"/>
        <sz val="15.0"/>
        <u/>
      </rPr>
      <t>Repsol obtiene un resultado neto de 969 millones de euros en el primer trimestre</t>
    </r>
    <r>
      <rPr>
        <rFont val="Arial, sans-serif"/>
        <color rgb="FF1155CC"/>
        <sz val="11.0"/>
        <u/>
      </rPr>
      <t>A finales de marzo Repsol alcanzó una alianza estratégica con Bunge para incrementar el suministro de materias primas para producir combustibles renovables.</t>
    </r>
    <r>
      <rPr>
        <rFont val="Arial, sans-serif"/>
        <color rgb="FF1155CC"/>
        <sz val="12.0"/>
        <u/>
      </rPr>
      <t>.</t>
    </r>
    <r>
      <rPr>
        <rFont val="Arial, sans-serif"/>
        <color rgb="FF1155CC"/>
        <sz val="11.0"/>
        <u/>
      </rPr>
      <t>25 abr 2024</t>
    </r>
  </si>
  <si>
    <t>Repsol obtiene un resultado neto de 969 millones de euros en el primer trimestre</t>
  </si>
  <si>
    <t>A finales de marzo Repsol alcanzó una alianza estratégica con Bunge para incrementar el suministro de materias primas para producir combustibles renovables.</t>
  </si>
  <si>
    <t>Repsol obtains a net result of 969 million euros in the first quarter</t>
  </si>
  <si>
    <t>At the end of March, Repsol reached a strategic alliance with Bunge to increase the supply of raw materials to produce renewable fuels.</t>
  </si>
  <si>
    <t>Repsol financial performance, investor report</t>
  </si>
  <si>
    <t>Desempeño financiero de Repsol, informe para inversores</t>
  </si>
  <si>
    <t>Profitability remains stable but lower earnings may impact investor sentiment.</t>
  </si>
  <si>
    <t>resultado neto</t>
  </si>
  <si>
    <t>Positive earnings</t>
  </si>
  <si>
    <t>Ganancias positivas</t>
  </si>
  <si>
    <r>
      <rPr>
        <rFont val="Arial, sans-serif"/>
        <color rgb="FF1155CC"/>
        <sz val="9.0"/>
        <u/>
      </rPr>
      <t>Expansión</t>
    </r>
    <r>
      <rPr>
        <rFont val="Arial, sans-serif"/>
        <color rgb="FF1155CC"/>
        <sz val="15.0"/>
        <u/>
      </rPr>
      <t>La caída del gas y el impuestazo minan el resultado de Repsol</t>
    </r>
    <r>
      <rPr>
        <rFont val="Arial, sans-serif"/>
        <color rgb="FF1155CC"/>
        <sz val="11.0"/>
        <u/>
      </rPr>
      <t>Repsol, la primera petrolera española, ha alcanzado un beneficio neto de 969 millones de euros en el primer trimestre de este año, lo que supone un 12%...</t>
    </r>
    <r>
      <rPr>
        <rFont val="Arial, sans-serif"/>
        <color rgb="FF1155CC"/>
        <sz val="12.0"/>
        <u/>
      </rPr>
      <t>.</t>
    </r>
    <r>
      <rPr>
        <rFont val="Arial, sans-serif"/>
        <color rgb="FF1155CC"/>
        <sz val="11.0"/>
        <u/>
      </rPr>
      <t>25 abr 2024</t>
    </r>
  </si>
  <si>
    <t>La caída del gas y el impuestazo minan el resultado de Repsol</t>
  </si>
  <si>
    <t>Repsol, la primera petrolera española, ha alcanzado un beneficio neto de 969 millones de euros en el primer trimestre de este año, lo que supone un 12%....</t>
  </si>
  <si>
    <t>The drop in gas and the tax undermine Repsol's results</t>
  </si>
  <si>
    <t>Repsol, the leading Spanish oil company, has achieved a net profit of 969 million euros in the first quarter of this year, which represents 12%....</t>
  </si>
  <si>
    <t>External factors such as taxation and gas prices affect Repsol’s profits.</t>
  </si>
  <si>
    <t>Negative financial impact</t>
  </si>
  <si>
    <t>Impacto financiero negativo</t>
  </si>
  <si>
    <r>
      <rPr>
        <rFont val="Arial, sans-serif"/>
        <color rgb="FF1155CC"/>
        <sz val="9.0"/>
        <u/>
      </rPr>
      <t>La Razón</t>
    </r>
    <r>
      <rPr>
        <rFont val="Arial, sans-serif"/>
        <color rgb="FF1155CC"/>
        <sz val="15.0"/>
        <u/>
      </rPr>
      <t>Repsol gana 969 millones hasta marzo</t>
    </r>
    <r>
      <rPr>
        <rFont val="Arial, sans-serif"/>
        <color rgb="FF1155CC"/>
        <sz val="11.0"/>
        <u/>
      </rPr>
      <t>Repsol registró un beneficio neto de 969 millones de euros entre enero y marzo, un 13% menos que en el mismo periodo del ejercicio anterior, en un contexto...</t>
    </r>
    <r>
      <rPr>
        <rFont val="Arial, sans-serif"/>
        <color rgb="FF1155CC"/>
        <sz val="12.0"/>
        <u/>
      </rPr>
      <t>.</t>
    </r>
    <r>
      <rPr>
        <rFont val="Arial, sans-serif"/>
        <color rgb="FF1155CC"/>
        <sz val="11.0"/>
        <u/>
      </rPr>
      <t>25 abr 2024</t>
    </r>
  </si>
  <si>
    <t>Repsol gana 969 millones hasta marzo</t>
  </si>
  <si>
    <t>Repsol registró un beneficio neto de 969 millones de euros entre enero y marzo, un 13% menos que en el mismo periodo del ejercicio anterior, en un contexto....</t>
  </si>
  <si>
    <t>Repsol earns 969 million until March</t>
  </si>
  <si>
    <t>Repsol recorded a net profit of 969 million euros between January and March, 13% less than in the same period of the previous year, in a context...</t>
  </si>
  <si>
    <t>Despite profitability, declining earnings may impact market confidence.</t>
  </si>
  <si>
    <t>gana</t>
  </si>
  <si>
    <r>
      <rPr>
        <rFont val="Arial, sans-serif"/>
        <color rgb="FF1155CC"/>
        <sz val="9.0"/>
        <u/>
      </rPr>
      <t>elDiario.es</t>
    </r>
    <r>
      <rPr>
        <rFont val="Arial, sans-serif"/>
        <color rgb="FF1155CC"/>
        <sz val="15.0"/>
        <u/>
      </rPr>
      <t>Un conato de incendio en la planta de lubricantes de Repsol en Puertollano obliga a activar el plan de emergencia</t>
    </r>
    <r>
      <rPr>
        <rFont val="Arial, sans-serif"/>
        <color rgb="FF1155CC"/>
        <sz val="11.0"/>
        <u/>
      </rPr>
      <t>La planta de Lubricantes del Complejo Industrial de Repsol en Puertollano (Ciudad Real) ha registrado a las 17.10 horas de este jueves un conato de incendio...</t>
    </r>
    <r>
      <rPr>
        <rFont val="Arial, sans-serif"/>
        <color rgb="FF1155CC"/>
        <sz val="12.0"/>
        <u/>
      </rPr>
      <t>.</t>
    </r>
    <r>
      <rPr>
        <rFont val="Arial, sans-serif"/>
        <color rgb="FF1155CC"/>
        <sz val="11.0"/>
        <u/>
      </rPr>
      <t>25 abr 2024</t>
    </r>
  </si>
  <si>
    <t>Un conato de incendio en la planta de lubricantes de Repsol en Puertollano obliga a activar el plan de emergencia</t>
  </si>
  <si>
    <t>Un conato de incendio en la planta de lubricantes de Repsol en Puertollano obliga a activar el plan de emergencia.</t>
  </si>
  <si>
    <t>An outbreak of fire at the Repsol lubricants plant in Puertollano forces the emergency plan to be activated</t>
  </si>
  <si>
    <t>An outbreak of fire at the Repsol lubricants plant in Puertollano forces the emergency plan to be activated.</t>
  </si>
  <si>
    <t>Repsol industrial incident, safety concerns</t>
  </si>
  <si>
    <t>Incidente industrial Repsol, preocupaciones de seguridad</t>
  </si>
  <si>
    <t>Safety incidents at Repsol’s facilities may raise concerns about operational risks.</t>
  </si>
  <si>
    <t>incendio</t>
  </si>
  <si>
    <t>Negative safety incident</t>
  </si>
  <si>
    <t>Incidente de seguridad negativo</t>
  </si>
  <si>
    <r>
      <rPr>
        <rFont val="Arial, sans-serif"/>
        <color rgb="FF1155CC"/>
        <sz val="9.0"/>
        <u/>
      </rPr>
      <t>Guía Repsol</t>
    </r>
    <r>
      <rPr>
        <rFont val="Arial, sans-serif"/>
        <color rgb="FF1155CC"/>
        <sz val="15.0"/>
        <u/>
      </rPr>
      <t>Conoce los manjares del Restaurante La Libreta</t>
    </r>
    <r>
      <rPr>
        <rFont val="Arial, sans-serif"/>
        <color rgb="FF1155CC"/>
        <sz val="11.0"/>
        <u/>
      </rPr>
      <t>Saborea la oferta gastronómica del Restaurante La Libreta, una apuesta por poner en valor el producto de calidad y artesano de la Sierra Norte madrileña.</t>
    </r>
    <r>
      <rPr>
        <rFont val="Arial, sans-serif"/>
        <color rgb="FF1155CC"/>
        <sz val="12.0"/>
        <u/>
      </rPr>
      <t>.</t>
    </r>
    <r>
      <rPr>
        <rFont val="Arial, sans-serif"/>
        <color rgb="FF1155CC"/>
        <sz val="11.0"/>
        <u/>
      </rPr>
      <t>25 abr 2024</t>
    </r>
  </si>
  <si>
    <t>Conoce los manjares del Restaurante La Libreta</t>
  </si>
  <si>
    <t>Saborea la oferta gastronómica del Restaurante La Libreta, una apuesta por poner en valor el producto de calidad y artesano de la Sierra Norte madrileña.</t>
  </si>
  <si>
    <t>Get to know the delicacies of La Libreta Restaurant</t>
  </si>
  <si>
    <t>Savor the gastronomic offer of the La Libreta Restaurant, a commitment to highlight the quality and artisan product of Madrid's Sierra Norte.</t>
  </si>
  <si>
    <r>
      <rPr>
        <rFont val="Arial, sans-serif"/>
        <color rgb="FF1155CC"/>
        <sz val="9.0"/>
        <u/>
      </rPr>
      <t>Repsol</t>
    </r>
    <r>
      <rPr>
        <rFont val="Arial, sans-serif"/>
        <color rgb="FF1155CC"/>
        <sz val="15.0"/>
        <u/>
      </rPr>
      <t>Nuestras soluciones sostenibles en poliolefinas, finalistas en los premios PRSE 2024</t>
    </r>
    <r>
      <rPr>
        <rFont val="Arial, sans-serif"/>
        <color rgb="FF1155CC"/>
        <sz val="11.0"/>
        <u/>
      </rPr>
      <t>Hemos sido seleccionados como finalistas en los premios Plastics Recycling Awards Europe 2024, que reconocen y celebran los logros en todos los ámbitos de...</t>
    </r>
    <r>
      <rPr>
        <rFont val="Arial, sans-serif"/>
        <color rgb="FF1155CC"/>
        <sz val="12.0"/>
        <u/>
      </rPr>
      <t>.</t>
    </r>
    <r>
      <rPr>
        <rFont val="Arial, sans-serif"/>
        <color rgb="FF1155CC"/>
        <sz val="11.0"/>
        <u/>
      </rPr>
      <t>25 abr 2024</t>
    </r>
  </si>
  <si>
    <t>Nuestras soluciones sostenibles en poliolefinas, finalistas en los premios PRSE 2024</t>
  </si>
  <si>
    <t>Hemos sido seleccionados como finalistas en los premios Plastics Recycling Awards Europe 2024, que reconocen y celebran los logros en todos los ámbitos de....</t>
  </si>
  <si>
    <t>Our sustainable solutions in polyolefins, finalists in the PRSE 2024 awards</t>
  </si>
  <si>
    <t>We have been selected as finalists in the Plastics Recycling Awards Europe 2024, which recognize and celebrate achievements in all areas of...</t>
  </si>
  <si>
    <r>
      <rPr>
        <rFont val="Arial, sans-serif"/>
        <color rgb="FF1155CC"/>
        <sz val="9.0"/>
        <u/>
      </rPr>
      <t>La Tribuna de Ciudad Real</t>
    </r>
    <r>
      <rPr>
        <rFont val="Arial, sans-serif"/>
        <color rgb="FF1155CC"/>
        <sz val="15.0"/>
        <u/>
      </rPr>
      <t>Puertollano: Conato de incendio en la zona de lubricantes de Repsol</t>
    </r>
    <r>
      <rPr>
        <rFont val="Arial, sans-serif"/>
        <color rgb="FF1155CC"/>
        <sz val="11.0"/>
        <u/>
      </rPr>
      <t>La empresa abre una investigación para aclarar las causas del incidente que se ha producido a las 17.10 y se ha extinguido con medios propios. Repsol...</t>
    </r>
    <r>
      <rPr>
        <rFont val="Arial, sans-serif"/>
        <color rgb="FF1155CC"/>
        <sz val="12.0"/>
        <u/>
      </rPr>
      <t>.</t>
    </r>
    <r>
      <rPr>
        <rFont val="Arial, sans-serif"/>
        <color rgb="FF1155CC"/>
        <sz val="11.0"/>
        <u/>
      </rPr>
      <t>25 abr 2024</t>
    </r>
  </si>
  <si>
    <t>Conato de incendio en la zona de lubricantes de Repsol</t>
  </si>
  <si>
    <t>La empresa abre una investigación para aclarar las causas del incidente que se ha producido a las 17.10 y se ha extinguido con medios propios. Repsol.</t>
  </si>
  <si>
    <t>Fire outbreak in the Repsol lubricants area</t>
  </si>
  <si>
    <t>The company opens an investigation to clarify the causes of the incident that occurred at 5:10 p.m. and was extinguished with its own resources. Repsol.</t>
  </si>
  <si>
    <t>Fire incidents may raise concerns about Repsol’s safety standards.</t>
  </si>
  <si>
    <r>
      <rPr>
        <rFont val="Arial, sans-serif"/>
        <color rgb="FF1155CC"/>
        <sz val="9.0"/>
        <u/>
      </rPr>
      <t>ENCLM</t>
    </r>
    <r>
      <rPr>
        <rFont val="Arial, sans-serif"/>
        <color rgb="FF1155CC"/>
        <sz val="15.0"/>
        <u/>
      </rPr>
      <t>Susto en Puertollano al producirse un conato de incendio en el Complejo de Repsol</t>
    </r>
    <r>
      <rPr>
        <rFont val="Arial, sans-serif"/>
        <color rgb="FF1155CC"/>
        <sz val="11.0"/>
        <u/>
      </rPr>
      <t>La planta de lubricantes del complejo industrial de Repsol ha registrado un conato de incendio, que ha sido controlado, y por el que no ha habido que...</t>
    </r>
    <r>
      <rPr>
        <rFont val="Arial, sans-serif"/>
        <color rgb="FF1155CC"/>
        <sz val="12.0"/>
        <u/>
      </rPr>
      <t>.</t>
    </r>
    <r>
      <rPr>
        <rFont val="Arial, sans-serif"/>
        <color rgb="FF1155CC"/>
        <sz val="11.0"/>
        <u/>
      </rPr>
      <t>25 abr 2024</t>
    </r>
  </si>
  <si>
    <t>ENCLM</t>
  </si>
  <si>
    <t>Conato de incendio en el Complejo de Repsol en Puertollano</t>
  </si>
  <si>
    <t>La planta de lubricantes del complejo industrial de Repsol ha registrado un conato de incendio, que ha sido controlado, y por el que no ha habido que....</t>
  </si>
  <si>
    <t>Fire outbreak at the Repsol Complex in Puertollano</t>
  </si>
  <si>
    <t>The lubricants plant at the Repsol industrial complex has registered a fire outbreak, which has been controlled, and for which there has been no...</t>
  </si>
  <si>
    <t>Fire incidents may lead to reputational concerns regarding safety.</t>
  </si>
  <si>
    <r>
      <rPr>
        <rFont val="Arial, sans-serif"/>
        <color rgb="FF1155CC"/>
        <sz val="9.0"/>
        <u/>
      </rPr>
      <t>fusionasturias.com</t>
    </r>
    <r>
      <rPr>
        <rFont val="Arial, sans-serif"/>
        <color rgb="FF1155CC"/>
        <sz val="15.0"/>
        <u/>
      </rPr>
      <t>Bruno Lombán. Un nuevo Sol Repsol brilla en Asturias</t>
    </r>
    <r>
      <rPr>
        <rFont val="Arial, sans-serif"/>
        <color rgb="FF1155CC"/>
        <sz val="11.0"/>
        <u/>
      </rPr>
      <t>El pasado mes de marzo, Bruno Lombán conseguía su primer Sol Repsol. En 2012 abrió en Ribadesella las puertas del Restaurante Quince Nudos y ese fue el...</t>
    </r>
    <r>
      <rPr>
        <rFont val="Arial, sans-serif"/>
        <color rgb="FF1155CC"/>
        <sz val="12.0"/>
        <u/>
      </rPr>
      <t>.</t>
    </r>
    <r>
      <rPr>
        <rFont val="Arial, sans-serif"/>
        <color rgb="FF1155CC"/>
        <sz val="11.0"/>
        <u/>
      </rPr>
      <t>25 abr 2024</t>
    </r>
  </si>
  <si>
    <t>fusionasturias.com</t>
  </si>
  <si>
    <t>Un nuevo Sol Repsol brilla en Asturias</t>
  </si>
  <si>
    <t>El pasado mes de marzo, Bruno Lombán conseguía su primer Sol Repsol. En 2012 abrió en Ribadesella las puertas del Restaurante Quince Nudos y ese fue el....</t>
  </si>
  <si>
    <t>A new Repsol Sun shines in Asturias</t>
  </si>
  <si>
    <t>Last March, Bruno Lombán won his first Repsol Sun. In 2012 the doors of the Quince Nudos Restaurant opened in Ribadesella and that was the...</t>
  </si>
  <si>
    <r>
      <rPr>
        <rFont val="Arial, sans-serif"/>
        <color rgb="FF1155CC"/>
        <sz val="9.0"/>
        <u/>
      </rPr>
      <t>La Opinión de Málaga</t>
    </r>
    <r>
      <rPr>
        <rFont val="Arial, sans-serif"/>
        <color rgb="FF1155CC"/>
        <sz val="15.0"/>
        <u/>
      </rPr>
      <t>Estas son las dos únicas heladerías de Málaga que aparecen en la Guía Repsol</t>
    </r>
    <r>
      <rPr>
        <rFont val="Arial, sans-serif"/>
        <color rgb="FF1155CC"/>
        <sz val="11.0"/>
        <u/>
      </rPr>
      <t>La Guía otorga su distintivo de Solete Repsol a estos dos establecimientos por 'el cuidado en la elaboración, variedad de sabores y trato cercano'.</t>
    </r>
    <r>
      <rPr>
        <rFont val="Arial, sans-serif"/>
        <color rgb="FF1155CC"/>
        <sz val="12.0"/>
        <u/>
      </rPr>
      <t>.</t>
    </r>
    <r>
      <rPr>
        <rFont val="Arial, sans-serif"/>
        <color rgb="FF1155CC"/>
        <sz val="11.0"/>
        <u/>
      </rPr>
      <t>25 abr 2024</t>
    </r>
  </si>
  <si>
    <t>Estas son las dos únicas heladerías de Málaga que aparecen en la Guía Repsol</t>
  </si>
  <si>
    <t>La Guía otorga su distintivo de Solete Repsol a estos dos establecimientos por 'el cuidado en la elaboración, variedad de sabores y trato cercano'.</t>
  </si>
  <si>
    <t>These are the only two ice cream parlors in Malaga that appear in the Repsol Guide</t>
  </si>
  <si>
    <t>The Guide grants its Solete Repsol distinction to these two establishments for 'the care in preparation, variety of flavors and friendly service'.</t>
  </si>
  <si>
    <r>
      <rPr>
        <rFont val="Arial, sans-serif"/>
        <color rgb="FF1155CC"/>
        <sz val="9.0"/>
        <u/>
      </rPr>
      <t>Valencia Plaza</t>
    </r>
    <r>
      <rPr>
        <rFont val="Arial, sans-serif"/>
        <color rgb="FF1155CC"/>
        <sz val="15.0"/>
        <u/>
      </rPr>
      <t>Acteco toma el 35% de la valenciana Ecoaqua para reciclar colchones</t>
    </r>
    <r>
      <rPr>
        <rFont val="Arial, sans-serif"/>
        <color rgb="FF1155CC"/>
        <sz val="11.0"/>
        <u/>
      </rPr>
      <t>VALÈNCIA. La empresa alicantina Acteco, participada por Repsol y orientada a la búsqueda de soluciones medioambientales para la transformación de las...</t>
    </r>
    <r>
      <rPr>
        <rFont val="Arial, sans-serif"/>
        <color rgb="FF1155CC"/>
        <sz val="12.0"/>
        <u/>
      </rPr>
      <t>.</t>
    </r>
    <r>
      <rPr>
        <rFont val="Arial, sans-serif"/>
        <color rgb="FF1155CC"/>
        <sz val="11.0"/>
        <u/>
      </rPr>
      <t>25 abr 2024</t>
    </r>
  </si>
  <si>
    <t>Acteco toma el 35% de la valenciana Ecoaqua para reciclar colchones</t>
  </si>
  <si>
    <t>La empresa alicantina Acteco, participada por Repsol y orientada a la búsqueda de soluciones medioambientales para la transformación de las....</t>
  </si>
  <si>
    <t>Acteco takes 35% of the Valencian company Ecoaqua to recycle mattresses</t>
  </si>
  <si>
    <t>The Alicante company Acteco, owned by Repsol and focused on finding environmental solutions for the transformation of...</t>
  </si>
  <si>
    <t>Repsol recycling investment, sustainability</t>
  </si>
  <si>
    <t>Repsol invierte en reciclaje, sostenibilidad</t>
  </si>
  <si>
    <t>Strengthening recycling investments supports Repsol’s environmental goals.</t>
  </si>
  <si>
    <t>Positive sustainability</t>
  </si>
  <si>
    <t>Sostenibilidad positiva</t>
  </si>
  <si>
    <r>
      <rPr>
        <rFont val="Arial, sans-serif"/>
        <color rgb="FF1155CC"/>
        <sz val="9.0"/>
        <u/>
      </rPr>
      <t>El Periódico de la Energía</t>
    </r>
    <r>
      <rPr>
        <rFont val="Arial, sans-serif"/>
        <color rgb="FF1155CC"/>
        <sz val="15.0"/>
        <u/>
      </rPr>
      <t>Genia Bioenergy anuncia la construcción de una planta de biometano en Tortosa y Campredó</t>
    </r>
    <r>
      <rPr>
        <rFont val="Arial, sans-serif"/>
        <color rgb="FF1155CC"/>
        <sz val="11.0"/>
        <u/>
      </rPr>
      <t>Genia Bioenergy ha anunciado en el inicio de los trámites administrativos para la implantación de una planta de biometano.</t>
    </r>
    <r>
      <rPr>
        <rFont val="Arial, sans-serif"/>
        <color rgb="FF1155CC"/>
        <sz val="12.0"/>
        <u/>
      </rPr>
      <t>.</t>
    </r>
    <r>
      <rPr>
        <rFont val="Arial, sans-serif"/>
        <color rgb="FF1155CC"/>
        <sz val="11.0"/>
        <u/>
      </rPr>
      <t>25 abr 2024</t>
    </r>
  </si>
  <si>
    <t>Genia Bioenergy anuncia la construcción de una planta de biometano en Tortosa y Campredó</t>
  </si>
  <si>
    <t>Genia Bioenergy ha anunciado en el inicio de los trámites administrativos para la implantación de una planta de biometano.</t>
  </si>
  <si>
    <t>Genia Bioenergy announces the construction of a biomethane plant in Tortosa and Campredó</t>
  </si>
  <si>
    <t>Genia Bioenergy has announced the start of the administrative procedures for the implementation of a biomethane plant.</t>
  </si>
  <si>
    <t>Repsol biomethane investment, renewable energy</t>
  </si>
  <si>
    <t>Inversión Repsol en biometano, energías renovables</t>
  </si>
  <si>
    <t>Investing in biomethane supports Repsol’s clean energy transition.</t>
  </si>
  <si>
    <r>
      <rPr>
        <rFont val="Arial, sans-serif"/>
        <color rgb="FF1155CC"/>
        <sz val="9.0"/>
        <u/>
      </rPr>
      <t>LMNeuquen | Energía</t>
    </r>
    <r>
      <rPr>
        <rFont val="Arial, sans-serif"/>
        <color rgb="FF1155CC"/>
        <sz val="15.0"/>
        <u/>
      </rPr>
      <t>Repsol espera duplicar su producción en Venezuela</t>
    </r>
    <r>
      <rPr>
        <rFont val="Arial, sans-serif"/>
        <color rgb="FF1155CC"/>
        <sz val="11.0"/>
        <u/>
      </rPr>
      <t>La española Repsol espera que la producción de petróleo de sus empresas mixtas con la estatal PDVSA crezca tras la firma de un acuerdo.</t>
    </r>
    <r>
      <rPr>
        <rFont val="Arial, sans-serif"/>
        <color rgb="FF1155CC"/>
        <sz val="12.0"/>
        <u/>
      </rPr>
      <t>.</t>
    </r>
    <r>
      <rPr>
        <rFont val="Arial, sans-serif"/>
        <color rgb="FF1155CC"/>
        <sz val="11.0"/>
        <u/>
      </rPr>
      <t>25 abr 2024</t>
    </r>
  </si>
  <si>
    <t>LMNeuquen</t>
  </si>
  <si>
    <t>Repsol espera duplicar su producción en Venezuela</t>
  </si>
  <si>
    <t>La española Repsol espera que la producción de petróleo de sus empresas mixtas con la estatal PDVSA crezca tras la firma de un acuerdo.</t>
  </si>
  <si>
    <t>Repsol hopes to double its production in Venezuela</t>
  </si>
  <si>
    <t>The Spanish Repsol expects that the oil production of its joint ventures with the state-owned PDVSA will grow after the signing of an agreement.</t>
  </si>
  <si>
    <t>Expanding oil production in Venezuela strengthens Repsol’s global presence.</t>
  </si>
  <si>
    <t>duplicar producción</t>
  </si>
  <si>
    <r>
      <rPr>
        <rFont val="Arial, sans-serif"/>
        <color rgb="FF1155CC"/>
        <sz val="9.0"/>
        <u/>
      </rPr>
      <t>Guía Repsol</t>
    </r>
    <r>
      <rPr>
        <rFont val="Arial, sans-serif"/>
        <color rgb="FF1155CC"/>
        <sz val="15.0"/>
        <u/>
      </rPr>
      <t>Ron Aldea, pura esencia palmera en una copa de ron</t>
    </r>
    <r>
      <rPr>
        <rFont val="Arial, sans-serif"/>
        <color rgb="FF1155CC"/>
        <sz val="11.0"/>
        <u/>
      </rPr>
      <t>La familia Quevedo lleva casi un siglo elaborando ron siguiendo la receta tradicional del bisabuelo. A través de la destilación directa de la caña de azúcar...</t>
    </r>
    <r>
      <rPr>
        <rFont val="Arial, sans-serif"/>
        <color rgb="FF1155CC"/>
        <sz val="12.0"/>
        <u/>
      </rPr>
      <t>.</t>
    </r>
    <r>
      <rPr>
        <rFont val="Arial, sans-serif"/>
        <color rgb="FF1155CC"/>
        <sz val="11.0"/>
        <u/>
      </rPr>
      <t>25 abr 2024</t>
    </r>
  </si>
  <si>
    <t>Ron Aldea, pura esencia palmera en una copa de ron</t>
  </si>
  <si>
    <t>La familia Quevedo lleva casi un siglo elaborando ron siguiendo la receta tradicional del bisabuelo. A través de la destilación directa de la caña de azúcar....</t>
  </si>
  <si>
    <t>Aldea Rum, pure palm essence in a glass of rum</t>
  </si>
  <si>
    <t>The Quevedo family has been making rum for almost a century following the great-grandfather's traditional recipe. Through the direct distillation of sugar cane....</t>
  </si>
  <si>
    <r>
      <rPr>
        <rFont val="Arial, sans-serif"/>
        <color rgb="FF1155CC"/>
        <sz val="9.0"/>
        <u/>
      </rPr>
      <t>Ayuntamiento de Cartagena</t>
    </r>
    <r>
      <rPr>
        <rFont val="Arial, sans-serif"/>
        <color rgb="FF1155CC"/>
        <sz val="15.0"/>
        <u/>
      </rPr>
      <t>Cartagena alberga la primera planta de Repsol que produce combustible 100% renovable a toda España</t>
    </r>
    <r>
      <rPr>
        <rFont val="Arial, sans-serif"/>
        <color rgb="FF1155CC"/>
        <sz val="11.0"/>
        <u/>
      </rPr>
      <t>La alcaldesa Noelia Arroyo destaca que Cartagena es punta de lanza para la energía del futuro gracias a la inversión de Repsol en el Valle de Escombreras.</t>
    </r>
    <r>
      <rPr>
        <rFont val="Arial, sans-serif"/>
        <color rgb="FF1155CC"/>
        <sz val="12.0"/>
        <u/>
      </rPr>
      <t>.</t>
    </r>
    <r>
      <rPr>
        <rFont val="Arial, sans-serif"/>
        <color rgb="FF1155CC"/>
        <sz val="11.0"/>
        <u/>
      </rPr>
      <t>26 abr 2024</t>
    </r>
  </si>
  <si>
    <t>Cartagena alberga la primera planta de Repsol que produce combustible 100% renovable a toda España</t>
  </si>
  <si>
    <t>Cartagena alberga la primera planta de Repsol que produce combustible 100% renovable a toda España. La alcaldesa Noelia Arroyo destaca que Cartagena es punta de lanza para la energía del futuro gracias a la inversión de Repsol en el Valle de Escombreras.</t>
  </si>
  <si>
    <t>Cartagena is home to the first Repsol plant that produces 100% renewable fuel for all of Spain</t>
  </si>
  <si>
    <t>Cartagena is home to the first Repsol plant that produces 100% renewable fuel for all of Spain. Mayor Noelia Arroyo highlights that Cartagena is the spearhead for the energy of the future thanks to Repsol's investment in the Escombreras Valley.</t>
  </si>
  <si>
    <t>Expanding clean fuel production reinforces Repsol’s sustainability strategy.</t>
  </si>
  <si>
    <t>Strong positive sustainability</t>
  </si>
  <si>
    <t>Fuerte sostenibilidad positiva</t>
  </si>
  <si>
    <r>
      <rPr>
        <rFont val="Arial, sans-serif"/>
        <color rgb="FF1155CC"/>
        <sz val="9.0"/>
        <u/>
      </rPr>
      <t>Dentons</t>
    </r>
    <r>
      <rPr>
        <rFont val="Arial, sans-serif"/>
        <color rgb="FF1155CC"/>
        <sz val="15.0"/>
        <u/>
      </rPr>
      <t>PDVSA y Repsol firman un acuerdo para la explotación de los campos petrolíferos de La Ceiba y Tomoporro en Venezuela</t>
    </r>
    <r>
      <rPr>
        <rFont val="Arial, sans-serif"/>
        <color rgb="FF1155CC"/>
        <sz val="11.0"/>
        <u/>
      </rPr>
      <t>Dentons Europe LLP ha asesorado a Petróleos de Venezuela S.A. (PDVSA) en una transacción con Repsol Exploración, S.A. en relación con la expansión de las...</t>
    </r>
    <r>
      <rPr>
        <rFont val="Arial, sans-serif"/>
        <color rgb="FF1155CC"/>
        <sz val="12.0"/>
        <u/>
      </rPr>
      <t>.</t>
    </r>
    <r>
      <rPr>
        <rFont val="Arial, sans-serif"/>
        <color rgb="FF1155CC"/>
        <sz val="11.0"/>
        <u/>
      </rPr>
      <t>26 abr 2024</t>
    </r>
  </si>
  <si>
    <t>Dentons Europe LLP</t>
  </si>
  <si>
    <t>PDVSA y Repsol firman un acuerdo para la explotación de los campos petrolíferos de La Ceiba y Tomoporro en Venezuela</t>
  </si>
  <si>
    <t>Dentons Europe LLP ha asesorado a Petróleos de Venezuela S.A. (PDVSA) en una transacción con Repsol Exploración, S.A. en relación con la expansión de las....</t>
  </si>
  <si>
    <t>PDVSA and Repsol sign an agreement for the exploitation of the La Ceiba and Tomoporro oil fields in Venezuela</t>
  </si>
  <si>
    <t>Dentons Europe LLP has advised Petróleos de Venezuela S.A. (PDVSA) in a transaction with Repsol Exploración, S.A. in relation to the expansion of...</t>
  </si>
  <si>
    <t>Strengthening partnerships in Venezuela supports Repsol’s energy strategy.</t>
  </si>
  <si>
    <t>Positive business deal</t>
  </si>
  <si>
    <t>Acuerdo comercial positivo</t>
  </si>
  <si>
    <r>
      <rPr>
        <rFont val="Arial, sans-serif"/>
        <color rgb="FF1155CC"/>
        <sz val="9.0"/>
        <u/>
      </rPr>
      <t>Cartagena Actualidad</t>
    </r>
    <r>
      <rPr>
        <rFont val="Arial, sans-serif"/>
        <color rgb="FF1155CC"/>
        <sz val="15.0"/>
        <u/>
      </rPr>
      <t>Repsol supera las 150 estaciones de servicio con combustible 100% renovable</t>
    </r>
    <r>
      <rPr>
        <rFont val="Arial, sans-serif"/>
        <color rgb="FF1155CC"/>
        <sz val="11.0"/>
        <u/>
      </rPr>
      <t>Repsol supera las 150 estaciones de servicio con combustible 100% renovable. - La compañía multienergética avanza en su apuesta por los combustibles 100%...</t>
    </r>
    <r>
      <rPr>
        <rFont val="Arial, sans-serif"/>
        <color rgb="FF1155CC"/>
        <sz val="12.0"/>
        <u/>
      </rPr>
      <t>.</t>
    </r>
    <r>
      <rPr>
        <rFont val="Arial, sans-serif"/>
        <color rgb="FF1155CC"/>
        <sz val="11.0"/>
        <u/>
      </rPr>
      <t>26 abr 2024</t>
    </r>
  </si>
  <si>
    <t>Cartagena Actualidad</t>
  </si>
  <si>
    <t>Repsol supera las 150 estaciones de servicio con combustible 100% renovable</t>
  </si>
  <si>
    <t>Repsol supera las 150 estaciones de servicio con combustible 100% renovable. - La compañía multienergética avanza en su apuesta por los combustibles 100%....</t>
  </si>
  <si>
    <t>Repsol exceeds 150 service stations with 100% renewable fuel</t>
  </si>
  <si>
    <t>Repsol exceeds 150 service stations with 100% renewable fuel. - The multi-energy company advances in its commitment to 100% fuels....</t>
  </si>
  <si>
    <t>Expanding renewable fuel distribution reinforces Repsol’s commitment to clean energy.</t>
  </si>
  <si>
    <r>
      <rPr>
        <rFont val="Arial, sans-serif"/>
        <color rgb="FF1155CC"/>
        <sz val="9.0"/>
        <u/>
      </rPr>
      <t>MurciaEconomía.com</t>
    </r>
    <r>
      <rPr>
        <rFont val="Arial, sans-serif"/>
        <color rgb="FF1155CC"/>
        <sz val="15.0"/>
        <u/>
      </rPr>
      <t>Repsol presenta la expansión de los combustibles 100% renovables en Cartagena</t>
    </r>
    <r>
      <rPr>
        <rFont val="Arial, sans-serif"/>
        <color rgb="FF1155CC"/>
        <sz val="11.0"/>
        <u/>
      </rPr>
      <t>Repsol ha dado un paso adelante en el desarrollo de nuevas tecnologías para conseguir nuevos combustibles 100% renovables. Para demostrar este hito,...</t>
    </r>
    <r>
      <rPr>
        <rFont val="Arial, sans-serif"/>
        <color rgb="FF1155CC"/>
        <sz val="12.0"/>
        <u/>
      </rPr>
      <t>.</t>
    </r>
    <r>
      <rPr>
        <rFont val="Arial, sans-serif"/>
        <color rgb="FF1155CC"/>
        <sz val="11.0"/>
        <u/>
      </rPr>
      <t>26 abr 2024</t>
    </r>
  </si>
  <si>
    <t>Repsol presenta la expansión de los combustibles 100% renovables en Cartagena</t>
  </si>
  <si>
    <t>Repsol ha dado un paso adelante en el desarrollo de nuevas tecnologías para conseguir nuevos combustibles 100% renovables. Para demostrar este hito,....</t>
  </si>
  <si>
    <t>Repsol presents the expansion of 100% renewable fuels in Cartagena</t>
  </si>
  <si>
    <t>Repsol has taken a step forward in the development of new technologies to achieve new 100% renewable fuels. To demonstrate this milestone,....</t>
  </si>
  <si>
    <t>Expanding renewable fuel production strengthens Repsol’s clean energy initiatives.</t>
  </si>
  <si>
    <r>
      <rPr>
        <rFont val="Arial, sans-serif"/>
        <color rgb="FF1155CC"/>
        <sz val="9.0"/>
        <u/>
      </rPr>
      <t>Expansión</t>
    </r>
    <r>
      <rPr>
        <rFont val="Arial, sans-serif"/>
        <color rgb="FF1155CC"/>
        <sz val="15.0"/>
        <u/>
      </rPr>
      <t>Repsol: "Queremos liderar la IA generativa para garantizar sus beneficios y evitar riesgos"</t>
    </r>
    <r>
      <rPr>
        <rFont val="Arial, sans-serif"/>
        <color rgb="FF1155CC"/>
        <sz val="11.0"/>
        <u/>
      </rPr>
      <t>En 2022, Repsol finalizó su primera ola de digitalización. En cinco años, la compañía energética española había realizado más de 500 iniciativas con un...</t>
    </r>
    <r>
      <rPr>
        <rFont val="Arial, sans-serif"/>
        <color rgb="FF1155CC"/>
        <sz val="12.0"/>
        <u/>
      </rPr>
      <t>.</t>
    </r>
    <r>
      <rPr>
        <rFont val="Arial, sans-serif"/>
        <color rgb="FF1155CC"/>
        <sz val="11.0"/>
        <u/>
      </rPr>
      <t>26 abr 2024</t>
    </r>
  </si>
  <si>
    <t>Repsol: "Queremos liderar la IA generativa para garantizar sus beneficios y evitar riesgos"</t>
  </si>
  <si>
    <t>En 2022, Repsol finalizó su primera ola de digitalización. En cinco años, la compañía energética española había realizado más de 500 iniciativas con un....</t>
  </si>
  <si>
    <t>Repsol: "We want to lead generative AI to guarantee its benefits and avoid risks"</t>
  </si>
  <si>
    <t>In 2022, Repsol completed its first wave of digitalization. In five years, the Spanish energy company had carried out more than 500 initiatives with a...</t>
  </si>
  <si>
    <t>Repsol AI strategy, technology</t>
  </si>
  <si>
    <t>Estrategia de IA de Repsol, tecnología</t>
  </si>
  <si>
    <t>Investing in AI for operational efficiency reinforces Repsol’s technological leadership.</t>
  </si>
  <si>
    <t>-</t>
  </si>
  <si>
    <t>Neutral tech initiative</t>
  </si>
  <si>
    <t>Iniciativa tecnológica neutral</t>
  </si>
  <si>
    <r>
      <rPr>
        <rFont val="Arial, sans-serif"/>
        <color rgb="FF1155CC"/>
        <sz val="9.0"/>
        <u/>
      </rPr>
      <t>El Independiente</t>
    </r>
    <r>
      <rPr>
        <rFont val="Arial, sans-serif"/>
        <color rgb="FF1155CC"/>
        <sz val="15.0"/>
        <u/>
      </rPr>
      <t>Repsol desafía a Iberdrola tras ganar 100.000 clientes en un trimestre y anticipa nuevas ofertas en electricidad</t>
    </r>
    <r>
      <rPr>
        <rFont val="Arial, sans-serif"/>
        <color rgb="FF1155CC"/>
        <sz val="11.0"/>
        <u/>
      </rPr>
      <t>La batalla de Repsol e Iberdrola por el cliente no ha hecho más que empezar. Esta semana han presentado los resultados empresariales pertenecientes al.</t>
    </r>
    <r>
      <rPr>
        <rFont val="Arial, sans-serif"/>
        <color rgb="FF1155CC"/>
        <sz val="12.0"/>
        <u/>
      </rPr>
      <t>.</t>
    </r>
    <r>
      <rPr>
        <rFont val="Arial, sans-serif"/>
        <color rgb="FF1155CC"/>
        <sz val="11.0"/>
        <u/>
      </rPr>
      <t>26 abr 2024</t>
    </r>
  </si>
  <si>
    <t>Repsol desafía a Iberdrola tras ganar 100.000 clientes en un trimestre y anticipa nuevas ofertas en electricidad</t>
  </si>
  <si>
    <t>La batalla de Repsol e Iberdrola por el cliente no ha hecho más que empezar. Esta semana han presentado los resultados empresariales pertenecientes al..</t>
  </si>
  <si>
    <t>Repsol challenges Iberdrola after gaining 100,000 customers in one quarter and anticipates new offers in electricity</t>
  </si>
  <si>
    <t>Repsol and Iberdrola's battle for the customer has only just begun. This week they presented the business results belonging to the...</t>
  </si>
  <si>
    <t>Repsol energy market, competition</t>
  </si>
  <si>
    <t>Mercado energético de Repsol, competencia</t>
  </si>
  <si>
    <t>Gaining market share in electricity enhances Repsol’s competitive positioning.</t>
  </si>
  <si>
    <t>Positive business performance</t>
  </si>
  <si>
    <t>Desempeño empresarial positivo</t>
  </si>
  <si>
    <r>
      <rPr>
        <rFont val="Arial, sans-serif"/>
        <color rgb="FF1155CC"/>
        <sz val="9.0"/>
        <u/>
      </rPr>
      <t>Box Repsol</t>
    </r>
    <r>
      <rPr>
        <rFont val="Arial, sans-serif"/>
        <color rgb="FF1155CC"/>
        <sz val="15.0"/>
        <u/>
      </rPr>
      <t>¿En qué competiciones de motor está presente Repsol con sus combustibles renovables?</t>
    </r>
    <r>
      <rPr>
        <rFont val="Arial, sans-serif"/>
        <color rgb="FF1155CC"/>
        <sz val="11.0"/>
        <u/>
      </rPr>
      <t>Dakar y la F4 son el mejor banco de pruebas para Repsol en los que desarrollar el combustible renovable que ya puedes encontrar en las estaciones de...</t>
    </r>
    <r>
      <rPr>
        <rFont val="Arial, sans-serif"/>
        <color rgb="FF1155CC"/>
        <sz val="12.0"/>
        <u/>
      </rPr>
      <t>.</t>
    </r>
    <r>
      <rPr>
        <rFont val="Arial, sans-serif"/>
        <color rgb="FF1155CC"/>
        <sz val="11.0"/>
        <u/>
      </rPr>
      <t>26 abr 2024</t>
    </r>
  </si>
  <si>
    <t>¿En qué competiciones de motor está presente Repsol con sus combustibles renovables?</t>
  </si>
  <si>
    <t>Dakar y la F4 son el mejor banco de pruebas para Repsol en los que desarrollar el combustible renovable que ya puedes encontrar en las estaciones de....</t>
  </si>
  <si>
    <t>In which motor competitions is Repsol present with its renewable fuels?</t>
  </si>
  <si>
    <t>Dakar and F4 are the best test bed for Repsol in which to develop the renewable fuel that you can already find in the stations....</t>
  </si>
  <si>
    <t>Repsol motorsport, brand sponsorship</t>
  </si>
  <si>
    <t>Repsol motorsport, patrocinio de marca</t>
  </si>
  <si>
    <t>Sponsoring motorsports strengthens Repsol’s brand visibility.</t>
  </si>
  <si>
    <t>Positive brand association</t>
  </si>
  <si>
    <t>Asociación de marca positiva</t>
  </si>
  <si>
    <r>
      <rPr>
        <rFont val="Arial, sans-serif"/>
        <color rgb="FF1155CC"/>
        <sz val="9.0"/>
        <u/>
      </rPr>
      <t>World Energy Trade -</t>
    </r>
    <r>
      <rPr>
        <rFont val="Arial, sans-serif"/>
        <color rgb="FF1155CC"/>
        <sz val="15.0"/>
        <u/>
      </rPr>
      <t>Repsol aumentará la producción de petróleo en Venezuela añadiendo dos nuevos yacimientos</t>
    </r>
    <r>
      <rPr>
        <rFont val="Arial, sans-serif"/>
        <color rgb="FF1155CC"/>
        <sz val="11.0"/>
        <u/>
      </rPr>
      <t>La petrolera Repsol espera aumentar su producción con la incorporación de dos campos petrolíferos en una empresa conjunta con Venezuela.</t>
    </r>
    <r>
      <rPr>
        <rFont val="Arial, sans-serif"/>
        <color rgb="FF1155CC"/>
        <sz val="12.0"/>
        <u/>
      </rPr>
      <t>.</t>
    </r>
    <r>
      <rPr>
        <rFont val="Arial, sans-serif"/>
        <color rgb="FF1155CC"/>
        <sz val="11.0"/>
        <u/>
      </rPr>
      <t>26 abr 2024</t>
    </r>
  </si>
  <si>
    <t>World Energy Trade</t>
  </si>
  <si>
    <t>Repsol aumentará la producción de petróleo en Venezuela añadiendo dos nuevos yacimientos</t>
  </si>
  <si>
    <t>La petrolera Repsol espera aumentar su producción con la incorporación de dos campos petrolíferos en una empresa conjunta con Venezuela.</t>
  </si>
  <si>
    <t>Repsol will increase oil production in Venezuela by adding two new fields</t>
  </si>
  <si>
    <t>The oil company Repsol hopes to increase its production with the incorporation of two oil fields in a joint venture with Venezuela.</t>
  </si>
  <si>
    <t>Expanding oil production strengthens Repsol’s presence in global markets.</t>
  </si>
  <si>
    <t>aumentar producción</t>
  </si>
  <si>
    <r>
      <rPr>
        <rFont val="Arial, sans-serif"/>
        <color rgb="FF1155CC"/>
        <sz val="9.0"/>
        <u/>
      </rPr>
      <t>Murcia Plaza</t>
    </r>
    <r>
      <rPr>
        <rFont val="Arial, sans-serif"/>
        <color rgb="FF1155CC"/>
        <sz val="15.0"/>
        <u/>
      </rPr>
      <t>La Región suma ya 38 gasolineras que venden biocombustible avanzado de Repsol, el mayor número de establecimientos en toda España</t>
    </r>
    <r>
      <rPr>
        <rFont val="Arial, sans-serif"/>
        <color rgb="FF1155CC"/>
        <sz val="11.0"/>
        <u/>
      </rPr>
      <t>CARTAGENA. La Región de Murcia suma un total de 38 gasolineras en las que Repsol vende combustible 100% sostenible. Ocho de ellas están en Cartagena.</t>
    </r>
    <r>
      <rPr>
        <rFont val="Arial, sans-serif"/>
        <color rgb="FF1155CC"/>
        <sz val="12.0"/>
        <u/>
      </rPr>
      <t>.</t>
    </r>
    <r>
      <rPr>
        <rFont val="Arial, sans-serif"/>
        <color rgb="FF1155CC"/>
        <sz val="11.0"/>
        <u/>
      </rPr>
      <t>26 abr 2024</t>
    </r>
  </si>
  <si>
    <t>La Región suma ya 38 gasolineras que venden biocombustible avanzado de Repsol, el mayor número de establecimientos en toda España</t>
  </si>
  <si>
    <t>La Región de Murcia suma un total de 38 gasolineras en las que Repsol vende combustible 100% sostenible. Ocho de ellas están en Cartagena.</t>
  </si>
  <si>
    <t>The Region now has 38 gas stations that sell Repsol advanced biofuel, the largest number of establishments in all of Spain</t>
  </si>
  <si>
    <t>The Region of Murcia has a total of 38 gas stations where Repsol sells 100% sustainable fuel. Eight of them are in Cartagena.</t>
  </si>
  <si>
    <t>Expanding renewable fuel distribution supports Repsol’s green energy commitments.</t>
  </si>
  <si>
    <t>biocombustible</t>
  </si>
  <si>
    <r>
      <rPr>
        <rFont val="Arial, sans-serif"/>
        <color rgb="FF1155CC"/>
        <sz val="9.0"/>
        <u/>
      </rPr>
      <t>OkDiario</t>
    </r>
    <r>
      <rPr>
        <rFont val="Arial, sans-serif"/>
        <color rgb="FF1155CC"/>
        <sz val="15.0"/>
        <u/>
      </rPr>
      <t>Problemas para Naturgy y Repsol: Alemania se une a España y Suecia y apoya vetar las compras de gas ruso</t>
    </r>
    <r>
      <rPr>
        <rFont val="Arial, sans-serif"/>
        <color rgb="FF1155CC"/>
        <sz val="11.0"/>
        <u/>
      </rPr>
      <t>Problemas para Naturgy y Repsol: Alemania se une a España y Suecia y apoya que la UE vete ya las compras de gas ruso.</t>
    </r>
    <r>
      <rPr>
        <rFont val="Arial, sans-serif"/>
        <color rgb="FF1155CC"/>
        <sz val="12.0"/>
        <u/>
      </rPr>
      <t>.</t>
    </r>
    <r>
      <rPr>
        <rFont val="Arial, sans-serif"/>
        <color rgb="FF1155CC"/>
        <sz val="11.0"/>
        <u/>
      </rPr>
      <t>26 abr 2024</t>
    </r>
  </si>
  <si>
    <t>Problemas para Naturgy y Repsol: Alemania se une a España y Suecia y apoya vetar las compras de gas ruso</t>
  </si>
  <si>
    <t>Problemas para Naturgy y Repsol: Alemania se une a España y Suecia y apoya que la UE vete ya las compras de gas ruso.</t>
  </si>
  <si>
    <t>Problems for Naturgy and Repsol: Germany joins Spain and Sweden and supports vetoing purchases of Russian gas</t>
  </si>
  <si>
    <t>Problems for Naturgy and Repsol: Germany joins Spain and Sweden and supports the EU vetoing purchases of Russian gas.</t>
  </si>
  <si>
    <t>Repsol electricity market, competition</t>
  </si>
  <si>
    <t>Mercado eléctrico Repsol, competencia</t>
  </si>
  <si>
    <t>Price competition in the energy market may affect Repsol’s profitability.</t>
  </si>
  <si>
    <t>vetar gas ruso</t>
  </si>
  <si>
    <t>Negative regulatory impact</t>
  </si>
  <si>
    <t>Impacto regulatorio negativo</t>
  </si>
  <si>
    <r>
      <rPr>
        <rFont val="Arial, sans-serif"/>
        <color rgb="FF1155CC"/>
        <sz val="9.0"/>
        <u/>
      </rPr>
      <t>Ideal</t>
    </r>
    <r>
      <rPr>
        <rFont val="Arial, sans-serif"/>
        <color rgb="FF1155CC"/>
        <sz val="15.0"/>
        <u/>
      </rPr>
      <t>Las nuevas tiendas de El Corte Inglés con Repsol que llegan a tu ciudad</t>
    </r>
    <r>
      <rPr>
        <rFont val="Arial, sans-serif"/>
        <color rgb="FF1155CC"/>
        <sz val="11.0"/>
        <u/>
      </rPr>
      <t>Dos de las mayores empresas que operan en España, El Corte Inglés y Repsol, han renovado su acuerdo de colaboración con el que abrirán más de 350 tiendas de...</t>
    </r>
    <r>
      <rPr>
        <rFont val="Arial, sans-serif"/>
        <color rgb="FF1155CC"/>
        <sz val="12.0"/>
        <u/>
      </rPr>
      <t>.</t>
    </r>
    <r>
      <rPr>
        <rFont val="Arial, sans-serif"/>
        <color rgb="FF1155CC"/>
        <sz val="11.0"/>
        <u/>
      </rPr>
      <t>26 abr 2024</t>
    </r>
  </si>
  <si>
    <t>Las nuevas tiendas de El Corte Inglés con Repsol que llegan a tu ciudad</t>
  </si>
  <si>
    <t>Dos de las mayores empresas que operan en España, El Corte Inglés y Repsol, han renovado su acuerdo de colaboración con el que abrirán más de 350 tiendas de....</t>
  </si>
  <si>
    <t>The new El Corte Inglés stores with Repsol coming to your city</t>
  </si>
  <si>
    <t>Two of the largest companies operating in Spain, El Corte Inglés and Repsol, have renewed their collaboration agreement with which they will open more than 350 stores....</t>
  </si>
  <si>
    <t>Expanding retail partnerships strengthens Repsol’s presence in consumer markets.</t>
  </si>
  <si>
    <t>nuevas tiendas</t>
  </si>
  <si>
    <r>
      <rPr>
        <rFont val="Arial, sans-serif"/>
        <color rgb="FF1155CC"/>
        <sz val="9.0"/>
        <u/>
      </rPr>
      <t>Guía Repsol</t>
    </r>
    <r>
      <rPr>
        <rFont val="Arial, sans-serif"/>
        <color rgb="FF1155CC"/>
        <sz val="15.0"/>
        <u/>
      </rPr>
      <t>Alójate en las Cabañas de Xarás en Marín</t>
    </r>
    <r>
      <rPr>
        <rFont val="Arial, sans-serif"/>
        <color rgb="FF1155CC"/>
        <sz val="11.0"/>
        <u/>
      </rPr>
      <t>Si tienes una cuenta en cualquiera de ellas, tienes una cuenta única de Repsol. Así, podrás acceder a todas con el mismo correo electrónico y contraseña.</t>
    </r>
    <r>
      <rPr>
        <rFont val="Arial, sans-serif"/>
        <color rgb="FF1155CC"/>
        <sz val="12.0"/>
        <u/>
      </rPr>
      <t>.</t>
    </r>
    <r>
      <rPr>
        <rFont val="Arial, sans-serif"/>
        <color rgb="FF1155CC"/>
        <sz val="11.0"/>
        <u/>
      </rPr>
      <t>26 abr 2024</t>
    </r>
  </si>
  <si>
    <t>Alójate en las Cabañas de Xarás en Marín</t>
  </si>
  <si>
    <t>Stay at the Xarás Cabins in Marín</t>
  </si>
  <si>
    <r>
      <rPr>
        <rFont val="Arial, sans-serif"/>
        <color rgb="FF1155CC"/>
        <sz val="9.0"/>
        <u/>
      </rPr>
      <t>La Verdad</t>
    </r>
    <r>
      <rPr>
        <rFont val="Arial, sans-serif"/>
        <color rgb="FF1155CC"/>
        <sz val="15.0"/>
        <u/>
      </rPr>
      <t>La refinería de Cartagena prevé tener este año el sí de la dirección de Repsol para construir la planta de hidrógeno verde</t>
    </r>
    <r>
      <rPr>
        <rFont val="Arial, sans-serif"/>
        <color rgb="FF1155CC"/>
        <sz val="11.0"/>
        <u/>
      </rPr>
      <t>La inversión prevista supera los 200 millones de euros y la intención es que durante la fase de construcción trabajen alrededor de un millar de obreros.</t>
    </r>
    <r>
      <rPr>
        <rFont val="Arial, sans-serif"/>
        <color rgb="FF1155CC"/>
        <sz val="12.0"/>
        <u/>
      </rPr>
      <t>.</t>
    </r>
    <r>
      <rPr>
        <rFont val="Arial, sans-serif"/>
        <color rgb="FF1155CC"/>
        <sz val="11.0"/>
        <u/>
      </rPr>
      <t>26 abr 2024</t>
    </r>
  </si>
  <si>
    <t>La refinería de Cartagena prevé tener este año el sí de la dirección de Repsol para construir la planta de hidrógeno verde</t>
  </si>
  <si>
    <t>La inversión prevista supera los 200 millones de euros y la intención es que durante la fase de construcción trabajen alrededor de un millar de obreros.</t>
  </si>
  <si>
    <t>The Cartagena refinery plans to have the yes from Repsol management this year to build the green hydrogen plant</t>
  </si>
  <si>
    <t>The planned investment exceeds 200 million euros and the intention is that around a thousand workers will work during the construction phase.</t>
  </si>
  <si>
    <t>Repsol refinery investment, business expansion</t>
  </si>
  <si>
    <t>Inversión en refinería de Repsol, expansión empresarial</t>
  </si>
  <si>
    <t>Investing in refinery projects supports Repsol’s long-term energy strategy.</t>
  </si>
  <si>
    <t>hidrógeno verde</t>
  </si>
  <si>
    <r>
      <rPr>
        <rFont val="Arial, sans-serif"/>
        <color rgb="FF1155CC"/>
        <sz val="9.0"/>
        <u/>
      </rPr>
      <t>Estrategias de Inversión</t>
    </r>
    <r>
      <rPr>
        <rFont val="Arial, sans-serif"/>
        <color rgb="FF1155CC"/>
        <sz val="15.0"/>
        <u/>
      </rPr>
      <t>Tesla da un aviso y la petrolera Repsol empieza a temblar</t>
    </r>
    <r>
      <rPr>
        <rFont val="Arial, sans-serif"/>
        <color rgb="FF1155CC"/>
        <sz val="11.0"/>
        <u/>
      </rPr>
      <t>Los malos resultados de Tesla, han traído unas declaraciones de su presidente Elon Musk que no han gustado a las petroleras, a Repsol entre ellas, y es que...</t>
    </r>
    <r>
      <rPr>
        <rFont val="Arial, sans-serif"/>
        <color rgb="FF1155CC"/>
        <sz val="12.0"/>
        <u/>
      </rPr>
      <t>.</t>
    </r>
    <r>
      <rPr>
        <rFont val="Arial, sans-serif"/>
        <color rgb="FF1155CC"/>
        <sz val="11.0"/>
        <u/>
      </rPr>
      <t>26 abr 2024</t>
    </r>
  </si>
  <si>
    <t>Tesla da un aviso y la petrolera Repsol empieza a temblar</t>
  </si>
  <si>
    <t>Los malos resultados de Tesla, han traído unas declaraciones de su presidente Elon Musk que no han gustado a las petroleras, a Repsol entre ellas, y es que....</t>
  </si>
  <si>
    <t>Tesla gives a warning and the oil company Repsol begins to tremble</t>
  </si>
  <si>
    <t>Tesla's poor results have brought some statements from its president Elon Musk that the oil companies, Repsol among them, have not liked, and that is...</t>
  </si>
  <si>
    <t>Repsol vs. Tesla, market dynamics</t>
  </si>
  <si>
    <t>Repsol vs. Tesla, dinámica del mercado</t>
  </si>
  <si>
    <t>Competitive shifts in the energy and EV markets may impact Repsol’s strategy.</t>
  </si>
  <si>
    <t>Negative competitive threat</t>
  </si>
  <si>
    <t>Amenaza competitiva negativa</t>
  </si>
  <si>
    <r>
      <rPr>
        <rFont val="Arial, sans-serif"/>
        <color rgb="FF1155CC"/>
        <sz val="9.0"/>
        <u/>
      </rPr>
      <t>El Confidencial</t>
    </r>
    <r>
      <rPr>
        <rFont val="Arial, sans-serif"/>
        <color rgb="FF1155CC"/>
        <sz val="15.0"/>
        <u/>
      </rPr>
      <t>Elrow Town Madrid arranca este sábado su edición más sostenible</t>
    </r>
    <r>
      <rPr>
        <rFont val="Arial, sans-serif"/>
        <color rgb="FF1155CC"/>
        <sz val="11.0"/>
        <u/>
      </rPr>
      <t>Gracias a un reciente acuerdo con Repsol, el evento dispondrá de soluciones multienergía que la compañía energética proporciona para poder reducir la huella...</t>
    </r>
    <r>
      <rPr>
        <rFont val="Arial, sans-serif"/>
        <color rgb="FF1155CC"/>
        <sz val="12.0"/>
        <u/>
      </rPr>
      <t>.</t>
    </r>
    <r>
      <rPr>
        <rFont val="Arial, sans-serif"/>
        <color rgb="FF1155CC"/>
        <sz val="11.0"/>
        <u/>
      </rPr>
      <t>26 abr 2024</t>
    </r>
  </si>
  <si>
    <t>Elrow Town Madrid arranca este sábado su edición más sostenible</t>
  </si>
  <si>
    <t>Gracias a un reciente acuerdo con Repsol, el evento dispondrá de soluciones multienergía que la compañía energética proporciona para poder reducir la huella....</t>
  </si>
  <si>
    <t>Elrow Town Madrid starts its most sustainable edition this Saturday</t>
  </si>
  <si>
    <t>Thanks to a recent agreement with Repsol, the event will have multi-energy solutions that the energy company provides to reduce the footprint....</t>
  </si>
  <si>
    <r>
      <rPr>
        <rFont val="Arial, sans-serif"/>
        <color rgb="FF1155CC"/>
        <sz val="9.0"/>
        <u/>
      </rPr>
      <t>Box Repsol</t>
    </r>
    <r>
      <rPr>
        <rFont val="Arial, sans-serif"/>
        <color rgb="FF1155CC"/>
        <sz val="15.0"/>
        <u/>
      </rPr>
      <t>Resultados de los entrenamientos del GP España de MotoGP</t>
    </r>
    <r>
      <rPr>
        <rFont val="Arial, sans-serif"/>
        <color rgb="FF1155CC"/>
        <sz val="11.0"/>
        <u/>
      </rPr>
      <t>Crónica y resultados de los entrenamientos del GP de España de MotoGP, disputado en el Circuito de Jerez-Ángel Nieto.</t>
    </r>
    <r>
      <rPr>
        <rFont val="Arial, sans-serif"/>
        <color rgb="FF1155CC"/>
        <sz val="12.0"/>
        <u/>
      </rPr>
      <t>.</t>
    </r>
    <r>
      <rPr>
        <rFont val="Arial, sans-serif"/>
        <color rgb="FF1155CC"/>
        <sz val="11.0"/>
        <u/>
      </rPr>
      <t>26 abr 2024</t>
    </r>
  </si>
  <si>
    <t>Resultados de los entrenamientos del GP España de MotoGP</t>
  </si>
  <si>
    <t>Crónica y resultados de los entrenamientos del GP de España de MotoGP, disputado en el Circuito de Jerez-Ángel Nieto.</t>
  </si>
  <si>
    <t>Results of the MotoGP Spanish GP training sessions</t>
  </si>
  <si>
    <t>Chronicle and results of the training sessions of the Spanish MotoGP GP, held at the Jerez-Ángel Nieto Circuit.</t>
  </si>
  <si>
    <r>
      <rPr>
        <rFont val="Arial, sans-serif"/>
        <color rgb="FF1155CC"/>
        <sz val="9.0"/>
        <u/>
      </rPr>
      <t>Diario Primicia</t>
    </r>
    <r>
      <rPr>
        <rFont val="Arial, sans-serif"/>
        <color rgb="FF1155CC"/>
        <sz val="15.0"/>
        <u/>
      </rPr>
      <t>Repsol quiere duplicar su producción petrolera en Venezuela</t>
    </r>
    <r>
      <rPr>
        <rFont val="Arial, sans-serif"/>
        <color rgb="FF1155CC"/>
        <sz val="11.0"/>
        <u/>
      </rPr>
      <t>La petrolera española Repsol espera aumentar la producción de petróleo con la incorporación de dos campos de crudo.</t>
    </r>
    <r>
      <rPr>
        <rFont val="Arial, sans-serif"/>
        <color rgb="FF1155CC"/>
        <sz val="12.0"/>
        <u/>
      </rPr>
      <t>.</t>
    </r>
    <r>
      <rPr>
        <rFont val="Arial, sans-serif"/>
        <color rgb="FF1155CC"/>
        <sz val="11.0"/>
        <u/>
      </rPr>
      <t>26 abr 2024</t>
    </r>
  </si>
  <si>
    <t>Repsol quiere duplicar su producción petrolera en Venezuela</t>
  </si>
  <si>
    <t>La petrolera española Repsol espera aumentar la producción de petróleo con la incorporación de dos campos de crudo.</t>
  </si>
  <si>
    <t>Repsol wants to double its oil production in Venezuela</t>
  </si>
  <si>
    <t>The Spanish oil company Repsol hopes to increase oil production with the incorporation of two crude oil fields.</t>
  </si>
  <si>
    <t>Increasing oil production in Venezuela strengthens Repsol’s market strategy.</t>
  </si>
  <si>
    <r>
      <rPr>
        <rFont val="Arial, sans-serif"/>
        <color rgb="FF1155CC"/>
        <sz val="9.0"/>
        <u/>
      </rPr>
      <t>El Economista</t>
    </r>
    <r>
      <rPr>
        <rFont val="Arial, sans-serif"/>
        <color rgb="FF1155CC"/>
        <sz val="15.0"/>
        <u/>
      </rPr>
      <t>Repsol se refuerza en Venezuela con una nueva alianza de 1.590 millones</t>
    </r>
    <r>
      <rPr>
        <rFont val="Arial, sans-serif"/>
        <color rgb="FF1155CC"/>
        <sz val="11.0"/>
        <u/>
      </rPr>
      <t>Repsol ha llegado a un acuerdo con Petróleos de Venezuela para tomar un 40% de los campos petrolíferos de La Ceiba y Tomoporro. La ...</t>
    </r>
    <r>
      <rPr>
        <rFont val="Arial, sans-serif"/>
        <color rgb="FF1155CC"/>
        <sz val="12.0"/>
        <u/>
      </rPr>
      <t>.</t>
    </r>
    <r>
      <rPr>
        <rFont val="Arial, sans-serif"/>
        <color rgb="FF1155CC"/>
        <sz val="11.0"/>
        <u/>
      </rPr>
      <t>27 abr 2024</t>
    </r>
  </si>
  <si>
    <t>Repsol se refuerza en Venezuela con una nueva alianza de 1.590 millones</t>
  </si>
  <si>
    <t>Repsol ha llegado a un acuerdo con Petróleos de Venezuela para tomar un 40% de los campos petrolíferos de La Ceiba y Tomoporro. La ....</t>
  </si>
  <si>
    <t>Repsol is reinforced in Venezuela with a new alliance of 1,590 million</t>
  </si>
  <si>
    <t>Repsol has reached an agreement with Petróleos de Venezuela to take 40% of the La Ceiba and Tomoporro oil fields. The ....</t>
  </si>
  <si>
    <t>nueva alianza</t>
  </si>
  <si>
    <r>
      <rPr>
        <rFont val="Arial, sans-serif"/>
        <color rgb="FF1155CC"/>
        <sz val="9.0"/>
        <u/>
      </rPr>
      <t>Expansión</t>
    </r>
    <r>
      <rPr>
        <rFont val="Arial, sans-serif"/>
        <color rgb="FF1155CC"/>
        <sz val="15.0"/>
        <u/>
      </rPr>
      <t>Repsol: "Nuestros profesionales pueden pasar por muchas vidas laborales en la compañía"</t>
    </r>
    <r>
      <rPr>
        <rFont val="Arial, sans-serif"/>
        <color rgb="FF1155CC"/>
        <sz val="11.0"/>
        <u/>
      </rPr>
      <t>El desarrollo, la movilidad interna y el reclutamiento son las señas de identidad de Repsol. El año pasado el 13% de su plantilla cambio de puesto y 800...</t>
    </r>
    <r>
      <rPr>
        <rFont val="Arial, sans-serif"/>
        <color rgb="FF1155CC"/>
        <sz val="12.0"/>
        <u/>
      </rPr>
      <t>.</t>
    </r>
    <r>
      <rPr>
        <rFont val="Arial, sans-serif"/>
        <color rgb="FF1155CC"/>
        <sz val="11.0"/>
        <u/>
      </rPr>
      <t>27 abr 2024</t>
    </r>
  </si>
  <si>
    <t>Repsol: "Nuestros profesionales pueden pasar por muchas vidas laborales en la compañía"</t>
  </si>
  <si>
    <t>El desarrollo, la movilidad interna y el reclutamiento son las señas de identidad de Repsol. El año pasado el 13% de su plantilla cambio de puesto y 800....</t>
  </si>
  <si>
    <t>Repsol: "Our professionals can go through many working lives in the company"</t>
  </si>
  <si>
    <t>Development, internal mobility and recruitment are the hallmarks of Repsol. Last year 13% of its staff changed positions and 800....</t>
  </si>
  <si>
    <t>Repsol employment, human resources</t>
  </si>
  <si>
    <t>Empleo Repsol, recursos humanos</t>
  </si>
  <si>
    <t>Highlighting employee development enhances Repsol’s employer brand.</t>
  </si>
  <si>
    <t>Neutral HR policy</t>
  </si>
  <si>
    <t>Política neutral de recursos humanos</t>
  </si>
  <si>
    <r>
      <rPr>
        <rFont val="Arial, sans-serif"/>
        <color rgb="FF1155CC"/>
        <sz val="9.0"/>
        <u/>
      </rPr>
      <t>Lanza Digital</t>
    </r>
    <r>
      <rPr>
        <rFont val="Arial, sans-serif"/>
        <color rgb="FF1155CC"/>
        <sz val="15.0"/>
        <u/>
      </rPr>
      <t>Repsol mueve pieza en el puzzle de la transformación industrial</t>
    </r>
    <r>
      <rPr>
        <rFont val="Arial, sans-serif"/>
        <color rgb="FF1155CC"/>
        <sz val="11.0"/>
        <u/>
      </rPr>
      <t>Tener el complejo con un esquema más seguro en sus instalaciones, más eficiente y con una importante reducción de emisiones de CO2 y un avance relevante en...</t>
    </r>
    <r>
      <rPr>
        <rFont val="Arial, sans-serif"/>
        <color rgb="FF1155CC"/>
        <sz val="12.0"/>
        <u/>
      </rPr>
      <t>.</t>
    </r>
    <r>
      <rPr>
        <rFont val="Arial, sans-serif"/>
        <color rgb="FF1155CC"/>
        <sz val="11.0"/>
        <u/>
      </rPr>
      <t>27 abr 2024</t>
    </r>
  </si>
  <si>
    <t>Repsol mueve pieza en el puzzle de la transformación industrial</t>
  </si>
  <si>
    <t>Tener el complejo con un esquema más seguro en sus instalaciones, más eficiente y con una importante reducción de emisiones de CO2 y un avance relevante en....</t>
  </si>
  <si>
    <t>Repsol moves a piece in the puzzle of industrial transformation</t>
  </si>
  <si>
    <t>Have the complex with a safer scheme in its facilities, more efficient and with a significant reduction in CO2 emissions and a relevant advance in...</t>
  </si>
  <si>
    <t>Repsol decarbonization, clean energy</t>
  </si>
  <si>
    <t>Descarbonización de Repsol, energías limpias</t>
  </si>
  <si>
    <t>Advancing decarbonization supports Repsol’s long-term sustainability strategy.</t>
  </si>
  <si>
    <t>transformación industrial</t>
  </si>
  <si>
    <t>Positive business strategy</t>
  </si>
  <si>
    <t>Estrategia empresarial positiva</t>
  </si>
  <si>
    <r>
      <rPr>
        <rFont val="Arial, sans-serif"/>
        <color rgb="FF1155CC"/>
        <sz val="9.0"/>
        <u/>
      </rPr>
      <t>El Economista</t>
    </r>
    <r>
      <rPr>
        <rFont val="Arial, sans-serif"/>
        <color rgb="FF1155CC"/>
        <sz val="15.0"/>
        <u/>
      </rPr>
      <t>Ester Moya (Repsol): "La descarbonización puede y debe ser una palanca para potenciar la competitividad de España"</t>
    </r>
    <r>
      <rPr>
        <rFont val="Arial, sans-serif"/>
        <color rgb="FF1155CC"/>
        <sz val="11.0"/>
        <u/>
      </rPr>
      <t>Ester Moya, directora de Relaciones Institucionales España y Coordinación Regulatoria de Repsol, planteó la oportunidad que supone para ...</t>
    </r>
    <r>
      <rPr>
        <rFont val="Arial, sans-serif"/>
        <color rgb="FF1155CC"/>
        <sz val="12.0"/>
        <u/>
      </rPr>
      <t>.</t>
    </r>
    <r>
      <rPr>
        <rFont val="Arial, sans-serif"/>
        <color rgb="FF1155CC"/>
        <sz val="11.0"/>
        <u/>
      </rPr>
      <t>27 abr 2024</t>
    </r>
  </si>
  <si>
    <t>La descarbonización puede y debe ser una palanca para potenciar la competitividad de España</t>
  </si>
  <si>
    <t>"La descarbonización puede y debe ser una palanca para potenciar la competitividad de España"</t>
  </si>
  <si>
    <t>Decarbonization can and should be a lever to enhance Spain's competitiveness</t>
  </si>
  <si>
    <t>"Decarbonization can and should be a lever to enhance Spain's competitiveness"</t>
  </si>
  <si>
    <t>Supporting decarbonization aligns with Repsol’s clean energy goals.</t>
  </si>
  <si>
    <r>
      <rPr>
        <rFont val="Arial, sans-serif"/>
        <color rgb="FF1155CC"/>
        <sz val="9.0"/>
        <u/>
      </rPr>
      <t>Radio Miraflores</t>
    </r>
    <r>
      <rPr>
        <rFont val="Arial, sans-serif"/>
        <color rgb="FF1155CC"/>
        <sz val="15.0"/>
        <u/>
      </rPr>
      <t>PDVSA y Repsol aumentarán producción petrolera pese a sanciones de EEUU</t>
    </r>
    <r>
      <rPr>
        <rFont val="Arial, sans-serif"/>
        <color rgb="FF1155CC"/>
        <sz val="11.0"/>
        <u/>
      </rPr>
      <t>Caracas, 27 de abril de 2024. Petróleos de Venezuela S.A. (PDVSA ) y la petrolera española Repsol S.A. ampliarán los convenios en producción de crudo,...</t>
    </r>
    <r>
      <rPr>
        <rFont val="Arial, sans-serif"/>
        <color rgb="FF1155CC"/>
        <sz val="12.0"/>
        <u/>
      </rPr>
      <t>.</t>
    </r>
    <r>
      <rPr>
        <rFont val="Arial, sans-serif"/>
        <color rgb="FF1155CC"/>
        <sz val="11.0"/>
        <u/>
      </rPr>
      <t>27 abr 2024</t>
    </r>
  </si>
  <si>
    <t>Radio Miraflores</t>
  </si>
  <si>
    <t>PDVSA y Repsol aumentarán producción petrolera pese a sanciones de EEUU</t>
  </si>
  <si>
    <t>Petróleos de Venezuela S.A. (PDVSA) y la petrolera española Repsol S.A. ampliarán los convenios en producción de crudo,....</t>
  </si>
  <si>
    <t>PDVSA and Repsol will increase oil production despite US sanctions</t>
  </si>
  <si>
    <t>Petróleos de Venezuela S.A. (PDVSA) and the Spanish oil company Repsol S.A. They will expand the agreements on crude oil production,....</t>
  </si>
  <si>
    <t>Strengthening oil production partnerships supports Repsol’s energy expansion.</t>
  </si>
  <si>
    <r>
      <rPr>
        <rFont val="Arial, sans-serif"/>
        <color rgb="FF1155CC"/>
        <sz val="9.0"/>
        <u/>
      </rPr>
      <t>Menorca - Es diari</t>
    </r>
    <r>
      <rPr>
        <rFont val="Arial, sans-serif"/>
        <color rgb="FF1155CC"/>
        <sz val="15.0"/>
        <u/>
      </rPr>
      <t>Marc Márquez regresa a la pole en Jerez</t>
    </r>
    <r>
      <rPr>
        <rFont val="Arial, sans-serif"/>
        <color rgb="FF1155CC"/>
        <sz val="11.0"/>
        <u/>
      </rPr>
      <t>Augusto Fernández (KTM) partirá decimoctavo y el también mallorquín Joan Mir (Repsol Honda) vigésimo. Marc Márquez (Ducati) ha conseguido la pole para las...</t>
    </r>
    <r>
      <rPr>
        <rFont val="Arial, sans-serif"/>
        <color rgb="FF1155CC"/>
        <sz val="12.0"/>
        <u/>
      </rPr>
      <t>.</t>
    </r>
    <r>
      <rPr>
        <rFont val="Arial, sans-serif"/>
        <color rgb="FF1155CC"/>
        <sz val="11.0"/>
        <u/>
      </rPr>
      <t>27 abr 2024</t>
    </r>
  </si>
  <si>
    <t>Marc Márquez regresa a la pole en Jerez</t>
  </si>
  <si>
    <t>Augusto Fernández (KTM) partirá decimoctavo y el también mallorquín Joan Mir (Repsol Honda) vigésimo. Marc Márquez (Ducati) ha conseguido la pole para las....</t>
  </si>
  <si>
    <t>Marc Márquez returns to pole in Jerez</t>
  </si>
  <si>
    <t>Augusto Fernández (KTM) will start eighteenth and fellow Majorcan Joan Mir (Repsol Honda) will start twentieth. Marc Márquez (Ducati) has taken pole for the...</t>
  </si>
  <si>
    <r>
      <rPr>
        <rFont val="Arial, sans-serif"/>
        <color rgb="FF1155CC"/>
        <sz val="9.0"/>
        <u/>
      </rPr>
      <t>Diario Sur</t>
    </r>
    <r>
      <rPr>
        <rFont val="Arial, sans-serif"/>
        <color rgb="FF1155CC"/>
        <sz val="15.0"/>
        <u/>
      </rPr>
      <t>Cuenta atrás para el derribo de las antiguas cocheras Portillo y dar paso a 158 pisos en Málaga</t>
    </r>
    <r>
      <rPr>
        <rFont val="Arial, sans-serif"/>
        <color rgb="FF1155CC"/>
        <sz val="11.0"/>
        <u/>
      </rPr>
      <t>El proyecto ha sido adquirido por una sociedad tras la que se encuentra el promotor que dio origen a la operación de las torres de Repsol hace 18 años.</t>
    </r>
    <r>
      <rPr>
        <rFont val="Arial, sans-serif"/>
        <color rgb="FF1155CC"/>
        <sz val="12.0"/>
        <u/>
      </rPr>
      <t>.</t>
    </r>
    <r>
      <rPr>
        <rFont val="Arial, sans-serif"/>
        <color rgb="FF1155CC"/>
        <sz val="11.0"/>
        <u/>
      </rPr>
      <t>27 abr 2024</t>
    </r>
  </si>
  <si>
    <t>Cuenta atrás para el derribo de las antiguas cocheras Portillo y dar paso a 158 pisos en Málaga</t>
  </si>
  <si>
    <t>El proyecto ha sido adquirido por una sociedad tras la que se encuentra el promotor que dio origen a la operación de las torres de Repsol hace 18 años.</t>
  </si>
  <si>
    <t>Countdown to the demolition of the old Portillo garages and make way for 158 apartments in Malaga</t>
  </si>
  <si>
    <t>The project has been acquired by a company behind which is the promoter who gave rise to the operation of the Repsol towers 18 years ago.</t>
  </si>
  <si>
    <r>
      <rPr>
        <rFont val="Arial, sans-serif"/>
        <color rgb="FF1155CC"/>
        <sz val="9.0"/>
        <u/>
      </rPr>
      <t>Box Repsol</t>
    </r>
    <r>
      <rPr>
        <rFont val="Arial, sans-serif"/>
        <color rgb="FF1155CC"/>
        <sz val="15.0"/>
        <u/>
      </rPr>
      <t>Resultados de la carrera sprint del GP de España de MotoGP</t>
    </r>
    <r>
      <rPr>
        <rFont val="Arial, sans-serif"/>
        <color rgb="FF1155CC"/>
        <sz val="11.0"/>
        <u/>
      </rPr>
      <t>Jorge Martín (Ducati) se alza con la victoria de la carrera al sprint del Gran Premio de España. Tras 12 vueltas de infarto en el icónico trazado de Jerez,...</t>
    </r>
    <r>
      <rPr>
        <rFont val="Arial, sans-serif"/>
        <color rgb="FF1155CC"/>
        <sz val="12.0"/>
        <u/>
      </rPr>
      <t>.</t>
    </r>
    <r>
      <rPr>
        <rFont val="Arial, sans-serif"/>
        <color rgb="FF1155CC"/>
        <sz val="11.0"/>
        <u/>
      </rPr>
      <t>27 abr 2024</t>
    </r>
  </si>
  <si>
    <t>Resultados de la carrera sprint del GP de España de MotoGP</t>
  </si>
  <si>
    <t>Jorge Martín (Ducati) se alza con la victoria de la carrera al sprint del Gran Premio de España. Tras 12 vueltas de infarto en el icónico trazado de Jerez,....</t>
  </si>
  <si>
    <t>MotoGP Spanish GP sprint race results</t>
  </si>
  <si>
    <t>Jorge Martín (Ducati) wins the sprint race of the Spanish Grand Prix. After 12 heart-stopping laps on the iconic Jerez track,...</t>
  </si>
  <si>
    <r>
      <rPr>
        <rFont val="Arial, sans-serif"/>
        <color rgb="FF1155CC"/>
        <sz val="9.0"/>
        <u/>
      </rPr>
      <t>www.motogp.com</t>
    </r>
    <r>
      <rPr>
        <rFont val="Arial, sans-serif"/>
        <color rgb="FF1155CC"/>
        <sz val="15.0"/>
        <u/>
      </rPr>
      <t>AL MINUTO: Así vivimos todas las novedades del Test de Jerez</t>
    </r>
    <r>
      <rPr>
        <rFont val="Arial, sans-serif"/>
        <color rgb="FF1155CC"/>
        <sz val="11.0"/>
        <u/>
      </rPr>
      <t>Repasa toda la acción vista en el Circuito de Jerez-Ángel Nieto durante la jornada de pruebas post-GP.</t>
    </r>
    <r>
      <rPr>
        <rFont val="Arial, sans-serif"/>
        <color rgb="FF1155CC"/>
        <sz val="12.0"/>
        <u/>
      </rPr>
      <t>.</t>
    </r>
    <r>
      <rPr>
        <rFont val="Arial, sans-serif"/>
        <color rgb="FF1155CC"/>
        <sz val="11.0"/>
        <u/>
      </rPr>
      <t>27 abr 2024</t>
    </r>
  </si>
  <si>
    <t>AL MINUTO: Así vivimos todas las novedades del Test de Jerez</t>
  </si>
  <si>
    <t>Repasa toda la acción vista en el Circuito de Jerez-Ángel Nieto durante la jornada de pruebas post-GP.</t>
  </si>
  <si>
    <t>TO THE MINUTE: This is how we experience all the news of the Jerez Test</t>
  </si>
  <si>
    <t>Review all the action seen at the Jerez-Ángel Nieto Circuit during the post-GP test day.</t>
  </si>
  <si>
    <r>
      <rPr>
        <rFont val="Arial, sans-serif"/>
        <color rgb="FF1155CC"/>
        <sz val="9.0"/>
        <u/>
      </rPr>
      <t>El Día de Valladolid</t>
    </r>
    <r>
      <rPr>
        <rFont val="Arial, sans-serif"/>
        <color rgb="FF1155CC"/>
        <sz val="15.0"/>
        <u/>
      </rPr>
      <t>Una bodega familiar donde manda la parrilla</t>
    </r>
    <r>
      <rPr>
        <rFont val="Arial, sans-serif"/>
        <color rgb="FF1155CC"/>
        <sz val="11.0"/>
        <u/>
      </rPr>
      <t>Pedro del Guayo, y sus hijos, Miguel y Javier, nos abren las puertas de Las Brasas de Boecillo, ubicado en la localidad vallisoletana, donde triunfa el...</t>
    </r>
    <r>
      <rPr>
        <rFont val="Arial, sans-serif"/>
        <color rgb="FF1155CC"/>
        <sz val="12.0"/>
        <u/>
      </rPr>
      <t>.</t>
    </r>
    <r>
      <rPr>
        <rFont val="Arial, sans-serif"/>
        <color rgb="FF1155CC"/>
        <sz val="11.0"/>
        <u/>
      </rPr>
      <t>27 abr 2024</t>
    </r>
  </si>
  <si>
    <t>El Día de Valladolid</t>
  </si>
  <si>
    <t>Una bodega familiar donde manda la parrilla</t>
  </si>
  <si>
    <t>Pedro del Guayo, y sus hijos, Miguel y Javier, nos abren las puertas de Las Brasas de Boecillo, ubicado en la localidad vallisoletana, donde triunfa el....</t>
  </si>
  <si>
    <t>A family winery where the grill rules</t>
  </si>
  <si>
    <t>Pedro del Guayo, and his sons, Miguel and Javier, open the doors of Las Brasas de Boecillo, located in the town of Valladolid, where the...</t>
  </si>
  <si>
    <r>
      <rPr>
        <rFont val="Arial, sans-serif"/>
        <color rgb="FF1155CC"/>
        <sz val="9.0"/>
        <u/>
      </rPr>
      <t>Box Repsol</t>
    </r>
    <r>
      <rPr>
        <rFont val="Arial, sans-serif"/>
        <color rgb="FF1155CC"/>
        <sz val="15.0"/>
        <u/>
      </rPr>
      <t>Resultados del GP de España de MotoGP 2024</t>
    </r>
    <r>
      <rPr>
        <rFont val="Arial, sans-serif"/>
        <color rgb="FF1155CC"/>
        <sz val="11.0"/>
        <u/>
      </rPr>
      <t>Crónica y resultados del GP de España 2024 de MotoGP, disputado en el Circuito de Jerez-Ángel Nieto.</t>
    </r>
    <r>
      <rPr>
        <rFont val="Arial, sans-serif"/>
        <color rgb="FF1155CC"/>
        <sz val="12.0"/>
        <u/>
      </rPr>
      <t>.</t>
    </r>
    <r>
      <rPr>
        <rFont val="Arial, sans-serif"/>
        <color rgb="FF1155CC"/>
        <sz val="11.0"/>
        <u/>
      </rPr>
      <t>28 abr 2024</t>
    </r>
  </si>
  <si>
    <t>Resultados del GP de España de MotoGP 2024</t>
  </si>
  <si>
    <t>Crónica y resultados del GP de España 2024 de MotoGP, disputado en el Circuito de Jerez-Ángel Nieto.</t>
  </si>
  <si>
    <t>Results of the 2024 MotoGP Spanish GP</t>
  </si>
  <si>
    <t>Chronicle and results of the 2024 MotoGP Spanish GP, held at the Jerez-Ángel Nieto Circuit.</t>
  </si>
  <si>
    <r>
      <rPr>
        <rFont val="Arial, sans-serif"/>
        <color rgb="FF1155CC"/>
        <sz val="9.0"/>
        <u/>
      </rPr>
      <t>El Periódico de la Energía</t>
    </r>
    <r>
      <rPr>
        <rFont val="Arial, sans-serif"/>
        <color rgb="FF1155CC"/>
        <sz val="15.0"/>
        <u/>
      </rPr>
      <t>¿Impuesto a las energéticas? Las cuatro grandes ya pagan 11.000 millones al año a la Hacienda española</t>
    </r>
    <r>
      <rPr>
        <rFont val="Arial, sans-serif"/>
        <color rgb="FF1155CC"/>
        <sz val="11.0"/>
        <u/>
      </rPr>
      <t>El impuesto extraordinario, con el que el Gobierno recaudó más de 1.000 millones de euros el año pasado por parte del sector energético, está en proceso de...</t>
    </r>
    <r>
      <rPr>
        <rFont val="Arial, sans-serif"/>
        <color rgb="FF1155CC"/>
        <sz val="12.0"/>
        <u/>
      </rPr>
      <t>.</t>
    </r>
    <r>
      <rPr>
        <rFont val="Arial, sans-serif"/>
        <color rgb="FF1155CC"/>
        <sz val="11.0"/>
        <u/>
      </rPr>
      <t>28 abr 2024</t>
    </r>
  </si>
  <si>
    <t>¿Impuesto a las energéticas? Las cuatro grandes ya pagan 11.000 millones al año a la Hacienda española</t>
  </si>
  <si>
    <t>El impuesto extraordinario, con el que el Gobierno recaudó más de 1.000 millones de euros el año pasado por parte del sector energético, está en proceso de....</t>
  </si>
  <si>
    <t>Tax on energy companies? The big four already pay 11,000 million a year to the Spanish Treasury</t>
  </si>
  <si>
    <t>The extraordinary tax, with which the Government collected more than 1,000 million euros last year from the energy sector, is in the process of...</t>
  </si>
  <si>
    <t>Repsol energy tax, finance</t>
  </si>
  <si>
    <t>Impuesto energético Repsol, Hacienda</t>
  </si>
  <si>
    <t>Taxation on energy companies may impact Repsol’s financial performance.</t>
  </si>
  <si>
    <t>impuesto</t>
  </si>
  <si>
    <t>Negative tax impact</t>
  </si>
  <si>
    <t>Impacto fiscal negativo</t>
  </si>
  <si>
    <r>
      <rPr>
        <rFont val="Arial, sans-serif"/>
        <color rgb="FF1155CC"/>
        <sz val="9.0"/>
        <u/>
      </rPr>
      <t>La Radio del Sur</t>
    </r>
    <r>
      <rPr>
        <rFont val="Arial, sans-serif"/>
        <color rgb="FF1155CC"/>
        <sz val="15.0"/>
        <u/>
      </rPr>
      <t>Repsol tacha de positivo acuerdos sostenidos con Pdvsa</t>
    </r>
    <r>
      <rPr>
        <rFont val="Arial, sans-serif"/>
        <color rgb="FF1155CC"/>
        <sz val="11.0"/>
        <u/>
      </rPr>
      <t>El presidente ejecutivo de la empresa Repsol, Josu Jon Imaz, valoró como positiva los acuerdos suscritos con Petróleos de Venezuela (PDVSA).</t>
    </r>
    <r>
      <rPr>
        <rFont val="Arial, sans-serif"/>
        <color rgb="FF1155CC"/>
        <sz val="12.0"/>
        <u/>
      </rPr>
      <t>.</t>
    </r>
    <r>
      <rPr>
        <rFont val="Arial, sans-serif"/>
        <color rgb="FF1155CC"/>
        <sz val="11.0"/>
        <u/>
      </rPr>
      <t>28 abr 2024</t>
    </r>
  </si>
  <si>
    <t>Repsol tacha de positivo acuerdos sostenidos con Pdvsa</t>
  </si>
  <si>
    <t>El presidente ejecutivo de la empresa Repsol, Josu Jon Imaz, valoró como positiva los acuerdos suscritos con Petróleos de Venezuela (PDVSA).</t>
  </si>
  <si>
    <t>Repsol calls agreements with PDVSA positive</t>
  </si>
  <si>
    <t>The executive president of the Repsol company, Josu Jon Imaz, valued the agreements signed with Petróleos de Venezuela (PDVSA) as positive.</t>
  </si>
  <si>
    <t>Strengthening ties with PDVSA supports Repsol’s market expansion.</t>
  </si>
  <si>
    <t>acuerdos positivos</t>
  </si>
  <si>
    <t>Positive business relations</t>
  </si>
  <si>
    <t>Relaciones comerciales positivas</t>
  </si>
  <si>
    <r>
      <rPr>
        <rFont val="Arial, sans-serif"/>
        <color rgb="FF1155CC"/>
        <sz val="9.0"/>
        <u/>
      </rPr>
      <t>El Economista</t>
    </r>
    <r>
      <rPr>
        <rFont val="Arial, sans-serif"/>
        <color rgb="FF1155CC"/>
        <sz val="15.0"/>
        <u/>
      </rPr>
      <t>Cambios en la publicidad eco: lo que debes saber sobre las leyes anti-greenwashing</t>
    </r>
    <r>
      <rPr>
        <rFont val="Arial, sans-serif"/>
        <color rgb="FF1155CC"/>
        <sz val="11.0"/>
        <u/>
      </rPr>
      <t>Estamos viviendo un año clave en la lucha contra el greenwashing o postureo verde. Cada vez va a ser más difícil que las empresas se ...</t>
    </r>
    <r>
      <rPr>
        <rFont val="Arial, sans-serif"/>
        <color rgb="FF1155CC"/>
        <sz val="12.0"/>
        <u/>
      </rPr>
      <t>.</t>
    </r>
    <r>
      <rPr>
        <rFont val="Arial, sans-serif"/>
        <color rgb="FF1155CC"/>
        <sz val="11.0"/>
        <u/>
      </rPr>
      <t>28 abr 2024</t>
    </r>
  </si>
  <si>
    <t>Cambios en la publicidad eco: lo que debes saber sobre las leyes anti-greenwashing</t>
  </si>
  <si>
    <t>Estamos viviendo un año clave en la lucha contra el greenwashing o postureo verde. Cada vez va a ser más difícil que las empresas se ....</t>
  </si>
  <si>
    <t>Changes in eco advertising: what you should know about anti-greenwashing laws</t>
  </si>
  <si>
    <t>We are experiencing a key year in the fight against greenwashing or green posturing. It is going to be increasingly difficult for companies to...</t>
  </si>
  <si>
    <t>Repsol greenwashing, advertising regulation</t>
  </si>
  <si>
    <t>Repsol greenwashing, regulación publicitaria</t>
  </si>
  <si>
    <t>Increasing scrutiny over sustainability claims may impact Repsol’s reputation.</t>
  </si>
  <si>
    <r>
      <rPr>
        <rFont val="Arial, sans-serif"/>
        <color rgb="FF1155CC"/>
        <sz val="9.0"/>
        <u/>
      </rPr>
      <t>El Periódico de España</t>
    </r>
    <r>
      <rPr>
        <rFont val="Arial, sans-serif"/>
        <color rgb="FF1155CC"/>
        <sz val="15.0"/>
        <u/>
      </rPr>
      <t>Pinos centenarios del Pirineo alojan un ecosistema único</t>
    </r>
    <r>
      <rPr>
        <rFont val="Arial, sans-serif"/>
        <color rgb="FF1155CC"/>
        <sz val="11.0"/>
        <u/>
      </rPr>
      <t>Pinos negros que han sobrevivido durante siglos en la línea de frontera entre la vegetación y la roca, en lo alto del Pirineo Catalán, alojan en sus...</t>
    </r>
    <r>
      <rPr>
        <rFont val="Arial, sans-serif"/>
        <color rgb="FF1155CC"/>
        <sz val="12.0"/>
        <u/>
      </rPr>
      <t>.</t>
    </r>
    <r>
      <rPr>
        <rFont val="Arial, sans-serif"/>
        <color rgb="FF1155CC"/>
        <sz val="11.0"/>
        <u/>
      </rPr>
      <t>28 abr 2024</t>
    </r>
  </si>
  <si>
    <t>Pinos centenarios del Pirineo alojan un ecosistema único</t>
  </si>
  <si>
    <t>Pinos negros que han sobrevivido durante siglos en la línea de frontera entre la vegetación y la roca, en lo alto del Pirineo Catalán, alojan en sus....</t>
  </si>
  <si>
    <t>Centennial pines of the Pyrenees host a unique ecosystem</t>
  </si>
  <si>
    <t>Black pines that have survived for centuries on the border line between vegetation and rock, high in the Catalan Pyrenees, house in their...</t>
  </si>
  <si>
    <r>
      <rPr>
        <rFont val="Arial, sans-serif"/>
        <color rgb="FF1155CC"/>
        <sz val="9.0"/>
        <u/>
      </rPr>
      <t>Diario AS</t>
    </r>
    <r>
      <rPr>
        <rFont val="Arial, sans-serif"/>
        <color rgb="FF1155CC"/>
        <sz val="15.0"/>
        <u/>
      </rPr>
      <t>Vuelta a España femenina 2024: participantes, dorsales y favoritas</t>
    </r>
    <r>
      <rPr>
        <rFont val="Arial, sans-serif"/>
        <color rgb="FF1155CC"/>
        <sz val="11.0"/>
        <u/>
      </rPr>
      <t>Un total de 21 equipos, con tres españoles (Movistar, Laboral Kutxa y Eneicat) se dan cita en la segunda edición de La Vuelta Femenina.</t>
    </r>
    <r>
      <rPr>
        <rFont val="Arial, sans-serif"/>
        <color rgb="FF1155CC"/>
        <sz val="12.0"/>
        <u/>
      </rPr>
      <t>.</t>
    </r>
    <r>
      <rPr>
        <rFont val="Arial, sans-serif"/>
        <color rgb="FF1155CC"/>
        <sz val="11.0"/>
        <u/>
      </rPr>
      <t>28 abr 2024</t>
    </r>
  </si>
  <si>
    <t>Vuelta a España femenina 2024: participantes, dorsales y favoritas</t>
  </si>
  <si>
    <t>Un total de 21 equipos, con tres españoles (Movistar, Laboral Kutxa y Eneicat) se dan cita en la segunda edición de La Vuelta Femenina.</t>
  </si>
  <si>
    <t>Women's Tour of Spain 2024: participants, numbers and favorites</t>
  </si>
  <si>
    <t>A total of 21 teams, with three Spanish (Movistar, Laboral Kutxa and Eneicat) meet in the second edition of La Vuelta Femenina.</t>
  </si>
  <si>
    <r>
      <rPr>
        <rFont val="Arial, sans-serif"/>
        <color rgb="FF1155CC"/>
        <sz val="9.0"/>
        <u/>
      </rPr>
      <t>DAZN</t>
    </r>
    <r>
      <rPr>
        <rFont val="Arial, sans-serif"/>
        <color rgb="FF1155CC"/>
        <sz val="15.0"/>
        <u/>
      </rPr>
      <t>GP España MotoGP 2024 en Jerez: fecha, hora, canal, TV, dónde ver online gratis el Gran Premio del Mundial de motociclismo</t>
    </r>
    <r>
      <rPr>
        <rFont val="Arial, sans-serif"/>
        <color rgb="FF1155CC"/>
        <sz val="11.0"/>
        <u/>
      </rPr>
      <t>Descubre en DAZN todo lo que tienes que saber sobre el Mundial de MotoGP 2024 y su cuarta prueba en el GP de España.</t>
    </r>
    <r>
      <rPr>
        <rFont val="Arial, sans-serif"/>
        <color rgb="FF1155CC"/>
        <sz val="12.0"/>
        <u/>
      </rPr>
      <t>.</t>
    </r>
    <r>
      <rPr>
        <rFont val="Arial, sans-serif"/>
        <color rgb="FF1155CC"/>
        <sz val="11.0"/>
        <u/>
      </rPr>
      <t>28 abr 2024</t>
    </r>
  </si>
  <si>
    <t>DAZNGP</t>
  </si>
  <si>
    <t>MotoGP 2024 en Jerez: fecha, hora, canal, TV, dónde ver online gratis el Gran Premio del Mundial de motociclismo</t>
  </si>
  <si>
    <t>Descubre en DAZN todo lo que tienes que saber sobre el Mundial de MotoGP 2024 y su cuarta prueba en el GP de España.</t>
  </si>
  <si>
    <t>MotoGP 2024 in Jerez: date, time, channel, TV, where to watch the World Motorcycle Grand Prix online for free</t>
  </si>
  <si>
    <t>Discover on DAZN everything you need to know about the 2024 MotoGP World Championship and its fourth test in the Spanish GP.</t>
  </si>
  <si>
    <r>
      <rPr>
        <rFont val="Arial, sans-serif"/>
        <color rgb="FF1155CC"/>
        <sz val="9.0"/>
        <u/>
      </rPr>
      <t>El Generacional</t>
    </r>
    <r>
      <rPr>
        <rFont val="Arial, sans-serif"/>
        <color rgb="FF1155CC"/>
        <sz val="15.0"/>
        <u/>
      </rPr>
      <t>Así se ha vivido el inicio de la gira de ‘OT’ en Bibao</t>
    </r>
    <r>
      <rPr>
        <rFont val="Arial, sans-serif"/>
        <color rgb="FF1155CC"/>
        <sz val="11.0"/>
        <u/>
      </rPr>
      <t>Después de varios meses de espera, por fin los triunfitos iniciaron este pasado sábado en Bilbao su gira por España. Los fans del programa estuvieron todo...</t>
    </r>
    <r>
      <rPr>
        <rFont val="Arial, sans-serif"/>
        <color rgb="FF1155CC"/>
        <sz val="12.0"/>
        <u/>
      </rPr>
      <t>.</t>
    </r>
    <r>
      <rPr>
        <rFont val="Arial, sans-serif"/>
        <color rgb="FF1155CC"/>
        <sz val="11.0"/>
        <u/>
      </rPr>
      <t>28 abr 2024</t>
    </r>
  </si>
  <si>
    <t>Así se ha vivido el inicio de la gira de ‘OT’ en Bilbao</t>
  </si>
  <si>
    <t>Después de varios meses de espera, por fin los triunfitos iniciaron este pasado sábado en Bilbao su gira por España. Los fans del programa estuvieron todo....</t>
  </si>
  <si>
    <t>This is how the start of the 'OT' tour in Bilbao was experienced</t>
  </si>
  <si>
    <t>After several months of waiting, the triumphs finally began their tour of Spain this past Saturday in Bilbao. The fans of the program were all...</t>
  </si>
  <si>
    <r>
      <rPr>
        <rFont val="Arial, sans-serif"/>
        <color rgb="FF1155CC"/>
        <sz val="9.0"/>
        <u/>
      </rPr>
      <t>20Minutos</t>
    </r>
    <r>
      <rPr>
        <rFont val="Arial, sans-serif"/>
        <color rgb="FF1155CC"/>
        <sz val="15.0"/>
        <u/>
      </rPr>
      <t>La panadería en la que sirven croissants a lo grande: pesan 4 kilos y son de varios sabores</t>
    </r>
    <r>
      <rPr>
        <rFont val="Arial, sans-serif"/>
        <color rgb="FF1155CC"/>
        <sz val="11.0"/>
        <u/>
      </rPr>
      <t>El Horno de la Beata Inés”, en Mareny de Sant Llorenç (Valencia), se ha hecho viral en redes sociales gracias a su elaboración estrella: los croissants...</t>
    </r>
    <r>
      <rPr>
        <rFont val="Arial, sans-serif"/>
        <color rgb="FF1155CC"/>
        <sz val="12.0"/>
        <u/>
      </rPr>
      <t>.</t>
    </r>
    <r>
      <rPr>
        <rFont val="Arial, sans-serif"/>
        <color rgb="FF1155CC"/>
        <sz val="11.0"/>
        <u/>
      </rPr>
      <t>28 abr 2024</t>
    </r>
  </si>
  <si>
    <t>La panadería en la que sirven croissants a lo grande: pesan 4 kilos y son de varios sabores</t>
  </si>
  <si>
    <t>El Horno de la Beata Inés”, en Mareny de Sant Llorenç (Valencia), se ha hecho viral en redes sociales gracias a su elaboración estrella: los croissants....</t>
  </si>
  <si>
    <t>The bakery where they serve big croissants: they weigh 4 kilos and come in various flavors</t>
  </si>
  <si>
    <t>El Horno de la Beata Inés”, in Mareny de Sant Llorenç (Valencia), has gone viral on social networks thanks to its star preparation: croissants....</t>
  </si>
  <si>
    <r>
      <rPr>
        <rFont val="Arial, sans-serif"/>
        <color rgb="FF1155CC"/>
        <sz val="9.0"/>
        <u/>
      </rPr>
      <t>Infobae</t>
    </r>
    <r>
      <rPr>
        <rFont val="Arial, sans-serif"/>
        <color rgb="FF1155CC"/>
        <sz val="15.0"/>
        <u/>
      </rPr>
      <t>Megapuerto de Chancay: estos son los impactos silenciados del proyecto que preocupan al distrito norteño</t>
    </r>
    <r>
      <rPr>
        <rFont val="Arial, sans-serif"/>
        <color rgb="FF1155CC"/>
        <sz val="11.0"/>
        <u/>
      </rPr>
      <t>El estudio de impacto ambiental del proyecto es cuestionado por considerarse incompleto. A pesar de los intentos de diálogo con el Gobierno y la empresa...</t>
    </r>
    <r>
      <rPr>
        <rFont val="Arial, sans-serif"/>
        <color rgb="FF1155CC"/>
        <sz val="12.0"/>
        <u/>
      </rPr>
      <t>.</t>
    </r>
    <r>
      <rPr>
        <rFont val="Arial, sans-serif"/>
        <color rgb="FF1155CC"/>
        <sz val="11.0"/>
        <u/>
      </rPr>
      <t>28 abr 2024</t>
    </r>
  </si>
  <si>
    <t>Megapuerto de Chancay: estos son los impactos silenciados del proyecto que preocupan al distrito norteño</t>
  </si>
  <si>
    <t>El estudio de impacto ambiental del proyecto es cuestionado por considerarse incompleto. A pesar de los intentos de diálogo con el Gobierno y la empresa....</t>
  </si>
  <si>
    <t>Chancay megaport: these are the silenced impacts of the project that worry the northern district</t>
  </si>
  <si>
    <t>The environmental impact study of the project is questioned as it is considered incomplete. Despite attempts at dialogue with the Government and the company...</t>
  </si>
  <si>
    <r>
      <rPr>
        <rFont val="Arial, sans-serif"/>
        <color rgb="FF1155CC"/>
        <sz val="9.0"/>
        <u/>
      </rPr>
      <t>Feria del Libro de Madrid</t>
    </r>
    <r>
      <rPr>
        <rFont val="Arial, sans-serif"/>
        <color rgb="FF1155CC"/>
        <sz val="15.0"/>
        <u/>
      </rPr>
      <t>La Feria del Libro de Madrid se alía con Repsol para reducir su huella de carbono</t>
    </r>
    <r>
      <rPr>
        <rFont val="Arial, sans-serif"/>
        <color rgb="FF1155CC"/>
        <sz val="11.0"/>
        <u/>
      </rPr>
      <t>Eva Orúe, directora de la Feria del Libro de Madrid: «Buscamos fórmulas para avanzar en la senda de la descarbonización y aliados que sepan más y nos puedan...</t>
    </r>
    <r>
      <rPr>
        <rFont val="Arial, sans-serif"/>
        <color rgb="FF1155CC"/>
        <sz val="12.0"/>
        <u/>
      </rPr>
      <t>.</t>
    </r>
    <r>
      <rPr>
        <rFont val="Arial, sans-serif"/>
        <color rgb="FF1155CC"/>
        <sz val="11.0"/>
        <u/>
      </rPr>
      <t>29 abr 2024</t>
    </r>
  </si>
  <si>
    <t>Feria del Libro de Madrid</t>
  </si>
  <si>
    <t>Feria del Libro de Madrid se alía con Repsol para reducir su huella de carbono</t>
  </si>
  <si>
    <t>La Feria del Libro de Madrid se alía con Repsol para reducir su huella de carbono.</t>
  </si>
  <si>
    <t>Madrid Book Fair partners with Repsol to reduce its carbon footprint</t>
  </si>
  <si>
    <t>The Madrid Book Fair partners with Repsol to reduce its carbon footprint.</t>
  </si>
  <si>
    <t>Repsol sustainability sponsorship, corporate responsibility</t>
  </si>
  <si>
    <t>Patrocinio de la sostenibilidad de Repsol, responsabilidad corporativa</t>
  </si>
  <si>
    <t>Sponsoring sustainability-focused events enhances Repsol’s environmental reputation.</t>
  </si>
  <si>
    <r>
      <rPr>
        <rFont val="Arial, sans-serif"/>
        <color rgb="FF1155CC"/>
        <sz val="9.0"/>
        <u/>
      </rPr>
      <t>Guía Repsol</t>
    </r>
    <r>
      <rPr>
        <rFont val="Arial, sans-serif"/>
        <color rgb="FF1155CC"/>
        <sz val="15.0"/>
        <u/>
      </rPr>
      <t>Restaurante Magoga: exaltando el Campo de Cartagena</t>
    </r>
    <r>
      <rPr>
        <rFont val="Arial, sans-serif"/>
        <color rgb="FF1155CC"/>
        <sz val="11.0"/>
        <u/>
      </rPr>
      <t>Descubre el sabor del Campo de Cartagena en el Restaurante Magoga. Disfruta platos exquisitos de temporada elaborados con ingredientes frescos y locales.</t>
    </r>
    <r>
      <rPr>
        <rFont val="Arial, sans-serif"/>
        <color rgb="FF1155CC"/>
        <sz val="12.0"/>
        <u/>
      </rPr>
      <t>.</t>
    </r>
    <r>
      <rPr>
        <rFont val="Arial, sans-serif"/>
        <color rgb="FF1155CC"/>
        <sz val="11.0"/>
        <u/>
      </rPr>
      <t>29 abr 2024</t>
    </r>
  </si>
  <si>
    <t>Restaurante Magoga: exaltando el Campo de Cartagena</t>
  </si>
  <si>
    <t>Descubre el sabor del Campo de Cartagena en el Restaurante Magoga. Disfruta platos exquisitos de temporada elaborados con ingredientes frescos y locales.</t>
  </si>
  <si>
    <t>Magoga Restaurant: exalting the Campo de Cartagena</t>
  </si>
  <si>
    <t>Discover the flavor of the Campo de Cartagena at the Magoga Restaurant. Enjoy exquisite seasonal dishes made with fresh and local ingredients.</t>
  </si>
  <si>
    <r>
      <rPr>
        <rFont val="Arial, sans-serif"/>
        <color rgb="FF1155CC"/>
        <sz val="9.0"/>
        <u/>
      </rPr>
      <t>Faro de Vigo</t>
    </r>
    <r>
      <rPr>
        <rFont val="Arial, sans-serif"/>
        <color rgb="FF1155CC"/>
        <sz val="15.0"/>
        <u/>
      </rPr>
      <t>El Trofeo Repsol, a tiro fijo</t>
    </r>
    <r>
      <rPr>
        <rFont val="Arial, sans-serif"/>
        <color rgb="FF1155CC"/>
        <sz val="11.0"/>
        <u/>
      </rPr>
      <t>Los barcos navegan por la bahía de Baiona con los 'spis' desplegados. | // ROSANA CALVO / REDACCIÓN. REDACCIÓN. VIGO 29 ABR 2024 21:39.</t>
    </r>
    <r>
      <rPr>
        <rFont val="Arial, sans-serif"/>
        <color rgb="FF1155CC"/>
        <sz val="12.0"/>
        <u/>
      </rPr>
      <t>.</t>
    </r>
    <r>
      <rPr>
        <rFont val="Arial, sans-serif"/>
        <color rgb="FF1155CC"/>
        <sz val="11.0"/>
        <u/>
      </rPr>
      <t>29 abr 2024</t>
    </r>
  </si>
  <si>
    <t>El Trofeo Repsol, a tiro fijo</t>
  </si>
  <si>
    <t>Los barcos navegan por la bahía de Baiona con los 'spis' desplegados.</t>
  </si>
  <si>
    <t>The Repsol Trophy, at a fixed shot</t>
  </si>
  <si>
    <t>The boats sail through the bay of Baiona with the 'spis' deployed.</t>
  </si>
  <si>
    <r>
      <rPr>
        <rFont val="Arial, sans-serif"/>
        <color rgb="FF1155CC"/>
        <sz val="9.0"/>
        <u/>
      </rPr>
      <t>Revista Inversiones y Negocios</t>
    </r>
    <r>
      <rPr>
        <rFont val="Arial, sans-serif"/>
        <color rgb="FF1155CC"/>
        <sz val="15.0"/>
        <u/>
      </rPr>
      <t>McDonald’s, Glovo, Meliá, Repsol, Saba o Vueling las empresas en las que más gastan los trabajadores</t>
    </r>
    <r>
      <rPr>
        <rFont val="Arial, sans-serif"/>
        <color rgb="FF1155CC"/>
        <sz val="11.0"/>
        <u/>
      </rPr>
      <t>Los gastos de empleados aumentaron un 6% en el úlr más timo año siendo restaurantes y apps para pedir comida, gasolineras, hoteles, transporte para...</t>
    </r>
    <r>
      <rPr>
        <rFont val="Arial, sans-serif"/>
        <color rgb="FF1155CC"/>
        <sz val="12.0"/>
        <u/>
      </rPr>
      <t>.</t>
    </r>
    <r>
      <rPr>
        <rFont val="Arial, sans-serif"/>
        <color rgb="FF1155CC"/>
        <sz val="11.0"/>
        <u/>
      </rPr>
      <t>29 abr 2024</t>
    </r>
  </si>
  <si>
    <t>Revista Inversiones y Negocios</t>
  </si>
  <si>
    <t>McDonald’s, Glovo, Meliá, Repsol, Saba o Vueling las empresas en las que más gastan los trabajadores</t>
  </si>
  <si>
    <t>Los gastos de empleados aumentaron un 6% en el último año siendo restaurantes y apps para pedir comida, gasolineras, hoteles, transporte para....</t>
  </si>
  <si>
    <t>McDonald's, Glovo, Meliá, Repsol, Saba or Vueling are the companies where workers spend the most</t>
  </si>
  <si>
    <t>Employee expenses increased by 6% in the last year, being restaurants and apps to order food, gas stations, hotels, transportation for...</t>
  </si>
  <si>
    <r>
      <rPr>
        <rFont val="Arial, sans-serif"/>
        <color rgb="FF1155CC"/>
        <sz val="9.0"/>
        <u/>
      </rPr>
      <t>El Español</t>
    </r>
    <r>
      <rPr>
        <rFont val="Arial, sans-serif"/>
        <color rgb="FF1155CC"/>
        <sz val="15.0"/>
        <u/>
      </rPr>
      <t>El despliegue en Europa de electrolizadores acelera: España y los nórdicos ofrecen el hidrógeno más rentable</t>
    </r>
    <r>
      <rPr>
        <rFont val="Arial, sans-serif"/>
        <color rgb="FF1155CC"/>
        <sz val="11.0"/>
        <u/>
      </rPr>
      <t>Alemania encabeza el desarrollo de estos proyectos en Europa, seguida de cerca por los Países Bajos y el Reino Unido.</t>
    </r>
    <r>
      <rPr>
        <rFont val="Arial, sans-serif"/>
        <color rgb="FF1155CC"/>
        <sz val="12.0"/>
        <u/>
      </rPr>
      <t>.</t>
    </r>
    <r>
      <rPr>
        <rFont val="Arial, sans-serif"/>
        <color rgb="FF1155CC"/>
        <sz val="11.0"/>
        <u/>
      </rPr>
      <t>29 abr 2024</t>
    </r>
  </si>
  <si>
    <t>El despliegue en Europa de electrolizadores acelera: España y los nórdicos ofrecen el hidrógeno más rentable</t>
  </si>
  <si>
    <t>Alemania encabeza el desarrollo de estos proyectos en Europa, seguida de cerca por los Países Bajos y el Reino Unido.</t>
  </si>
  <si>
    <t>The deployment of electrolyzers in Europe accelerates: Spain and the Nordics offer the most profitable hydrogen</t>
  </si>
  <si>
    <t>Germany leads the development of these projects in Europe, closely followed by the Netherlands and the United Kingdom.</t>
  </si>
  <si>
    <t>General hydrogen technology developments do not directly impact Repsol’s business.</t>
  </si>
  <si>
    <r>
      <rPr>
        <rFont val="Arial, sans-serif"/>
        <color rgb="FF1155CC"/>
        <sz val="9.0"/>
        <u/>
      </rPr>
      <t>Emprendedores</t>
    </r>
    <r>
      <rPr>
        <rFont val="Arial, sans-serif"/>
        <color rgb="FF1155CC"/>
        <sz val="15.0"/>
        <u/>
      </rPr>
      <t>Cropi, la startup con mayor potencial de Aragón en los Premios EmprendeXXI</t>
    </r>
    <r>
      <rPr>
        <rFont val="Arial, sans-serif"/>
        <color rgb="FF1155CC"/>
        <sz val="11.0"/>
        <u/>
      </rPr>
      <t>La startup, reconocida en la 17 edición de los premios cootorgados por ENISA, ofrece un SaaS que permite a los agricultores gestionar sus campos en tiempo...</t>
    </r>
    <r>
      <rPr>
        <rFont val="Arial, sans-serif"/>
        <color rgb="FF1155CC"/>
        <sz val="12.0"/>
        <u/>
      </rPr>
      <t>.</t>
    </r>
    <r>
      <rPr>
        <rFont val="Arial, sans-serif"/>
        <color rgb="FF1155CC"/>
        <sz val="11.0"/>
        <u/>
      </rPr>
      <t>29 abr 2024</t>
    </r>
  </si>
  <si>
    <t>Cropi, la startup con mayor potencial de Aragón en los Premios EmprendeXXI</t>
  </si>
  <si>
    <t>la startup, reconocida en la 17 edición de los premios cootorgados por ENISA, ofrece un SaaS que permite a los agricultores gestionar sus campos en tiempo....</t>
  </si>
  <si>
    <t>Cropi, the startup with the greatest potential in Aragon at the EmprendeXXI Awards</t>
  </si>
  <si>
    <t>The startup, recognized in the 17th edition of the awards co-awarded by ENISA, offers a SaaS that allows farmers to manage their fields in time....</t>
  </si>
  <si>
    <r>
      <rPr>
        <rFont val="Arial, sans-serif"/>
        <color rgb="FF1155CC"/>
        <sz val="9.0"/>
        <u/>
      </rPr>
      <t>El Periódico de la Energía</t>
    </r>
    <r>
      <rPr>
        <rFont val="Arial, sans-serif"/>
        <color rgb="FF1155CC"/>
        <sz val="15.0"/>
        <u/>
      </rPr>
      <t>La industria rusa del GNL se tambalea por el impacto de las sanciones de la UE</t>
    </r>
    <r>
      <rPr>
        <rFont val="Arial, sans-serif"/>
        <color rgb="FF1155CC"/>
        <sz val="11.0"/>
        <u/>
      </rPr>
      <t>Las industrias del gas y del GNL de Rusia se han resentido por la limitada infraestructura de gasoductos y la dependencia de las empresas.</t>
    </r>
    <r>
      <rPr>
        <rFont val="Arial, sans-serif"/>
        <color rgb="FF1155CC"/>
        <sz val="12.0"/>
        <u/>
      </rPr>
      <t>.</t>
    </r>
    <r>
      <rPr>
        <rFont val="Arial, sans-serif"/>
        <color rgb="FF1155CC"/>
        <sz val="11.0"/>
        <u/>
      </rPr>
      <t>29 abr 2024</t>
    </r>
  </si>
  <si>
    <t>La industria rusa del GNL se tambalea por el impacto de las sanciones de la UE</t>
  </si>
  <si>
    <t>Las industrias del gas y del GNL de Rusia se han resentido por la limitada infraestructura de gasoductos y la dependencia de las empresas.</t>
  </si>
  <si>
    <t>Russian LNG industry reels from impact of EU sanctions</t>
  </si>
  <si>
    <t>Russia's gas and LNG industries have suffered from limited pipeline infrastructure and dependence on companies.</t>
  </si>
  <si>
    <t>Foreign energy industry shifts do not directly impact Repsol.</t>
  </si>
  <si>
    <r>
      <rPr>
        <rFont val="Arial, sans-serif"/>
        <color rgb="FF1155CC"/>
        <sz val="9.0"/>
        <u/>
      </rPr>
      <t>Cadena SER</t>
    </r>
    <r>
      <rPr>
        <rFont val="Arial, sans-serif"/>
        <color rgb="FF1155CC"/>
        <sz val="15.0"/>
        <u/>
      </rPr>
      <t>Xanty Elías y Luismi López, referentes de la alta cocina en Huelva: "El secreto está en el sacrificio o el compromiso, la disciplina y la constancia"</t>
    </r>
    <r>
      <rPr>
        <rFont val="Arial, sans-serif"/>
        <color rgb="FF1155CC"/>
        <sz val="11.0"/>
        <u/>
      </rPr>
      <t>La cita ha servido para conectar a los productores onubenses con ambos chefs.</t>
    </r>
    <r>
      <rPr>
        <rFont val="Arial, sans-serif"/>
        <color rgb="FF1155CC"/>
        <sz val="12.0"/>
        <u/>
      </rPr>
      <t>.</t>
    </r>
    <r>
      <rPr>
        <rFont val="Arial, sans-serif"/>
        <color rgb="FF1155CC"/>
        <sz val="11.0"/>
        <u/>
      </rPr>
      <t>29 abr 2024</t>
    </r>
  </si>
  <si>
    <t>Xanty Elías y Luismi López, referentes de la alta cocina en Huelva: "El secreto está en el sacrificio o el compromiso, la disciplina y la constancia"</t>
  </si>
  <si>
    <t>La cita ha servido para conectar a los productores onubenses con ambos chefs.</t>
  </si>
  <si>
    <t>Xanty Elías and Luismi López, leaders of haute cuisine in Huelva: "The secret is in sacrifice or commitment, discipline and perseverance"</t>
  </si>
  <si>
    <t>The event has served to connect the Huelva producers with both chefs.</t>
  </si>
  <si>
    <r>
      <rPr>
        <rFont val="Arial, sans-serif"/>
        <color rgb="FF1155CC"/>
        <sz val="9.0"/>
        <u/>
      </rPr>
      <t>Desde Adentro</t>
    </r>
    <r>
      <rPr>
        <rFont val="Arial, sans-serif"/>
        <color rgb="FF1155CC"/>
        <sz val="15.0"/>
        <u/>
      </rPr>
      <t>Refinería La Pampilla redujo sus emisiones de CO2 en un equivalente a lo que generan 100 mil autos al año</t>
    </r>
    <r>
      <rPr>
        <rFont val="Arial, sans-serif"/>
        <color rgb="FF1155CC"/>
        <sz val="11.0"/>
        <u/>
      </rPr>
      <t>Este avance se da en el marco del proyecto 25/25 que implementó la empresa en el 2017, el cual tiene como objetivo reducir en un 25% sus emisiones para el...</t>
    </r>
    <r>
      <rPr>
        <rFont val="Arial, sans-serif"/>
        <color rgb="FF1155CC"/>
        <sz val="12.0"/>
        <u/>
      </rPr>
      <t>.</t>
    </r>
    <r>
      <rPr>
        <rFont val="Arial, sans-serif"/>
        <color rgb="FF1155CC"/>
        <sz val="11.0"/>
        <u/>
      </rPr>
      <t>29 abr 2024</t>
    </r>
  </si>
  <si>
    <t>Desde Adentro</t>
  </si>
  <si>
    <t>Refinería La Pampilla redujo sus emisiones de CO2 en un equivalente a lo que generan 100 mil autos al año</t>
  </si>
  <si>
    <t>Este avance se da en el marco del proyecto 25/25 que implementó la empresa en el 2017, el cual tiene como objetivo reducir en un 25% sus emisiones para el....</t>
  </si>
  <si>
    <t>La Pampilla Refinery reduced its CO2 emissions by an equivalent to what 100 thousand cars generate per year</t>
  </si>
  <si>
    <t>This advance occurs within the framework of the 25/25 project that the company implemented in 2017, which aims to reduce its emissions by 25% for the...</t>
  </si>
  <si>
    <t>Repsol CO₂ reduction, clean energy</t>
  </si>
  <si>
    <t>Repsol reducción de CO₂, energías limpias</t>
  </si>
  <si>
    <t>Reducing emissions aligns with Repsol’s sustainability goals.</t>
  </si>
  <si>
    <r>
      <rPr>
        <rFont val="Arial, sans-serif"/>
        <color rgb="FF1155CC"/>
        <sz val="9.0"/>
        <u/>
      </rPr>
      <t>Valora Analitik</t>
    </r>
    <r>
      <rPr>
        <rFont val="Arial, sans-serif"/>
        <color rgb="FF1155CC"/>
        <sz val="15.0"/>
        <u/>
      </rPr>
      <t>Producción de petróleo de GeoPark, afectada por bloqueos en Colombia</t>
    </r>
    <r>
      <rPr>
        <rFont val="Arial, sans-serif"/>
        <color rgb="FF1155CC"/>
        <sz val="11.0"/>
        <u/>
      </rPr>
      <t>GeoPark anunció su actualización operativa (producción de petróleo) del primer trimestre de 2024. ¿Cómo le fue a la compañía en Colombia?</t>
    </r>
    <r>
      <rPr>
        <rFont val="Arial, sans-serif"/>
        <color rgb="FF1155CC"/>
        <sz val="12.0"/>
        <u/>
      </rPr>
      <t>.</t>
    </r>
    <r>
      <rPr>
        <rFont val="Arial, sans-serif"/>
        <color rgb="FF1155CC"/>
        <sz val="11.0"/>
        <u/>
      </rPr>
      <t>29 abr 2024</t>
    </r>
  </si>
  <si>
    <t>Valora Analitik</t>
  </si>
  <si>
    <t>Producción de petróleo de GeoPark, afectada por bloqueos en Colombia</t>
  </si>
  <si>
    <t>GeoPark anunció su actualización operativa (producción de petróleo) del primer trimestre de 2024. ¿Cómo le fue a la compañía en Colombia?</t>
  </si>
  <si>
    <t>GeoPark oil production affected by blockades in Colombia</t>
  </si>
  <si>
    <t>GeoPark announced its Q1 2024 operational update (oil production). How did the company do in Colombia?</t>
  </si>
  <si>
    <t>Other companies' operational challenges do not impact Repsol’s corporate perception.</t>
  </si>
  <si>
    <t>Unrelated to Repsol</t>
  </si>
  <si>
    <t>Sin relación con Repsol</t>
  </si>
  <si>
    <r>
      <rPr>
        <rFont val="Arial, sans-serif"/>
        <color rgb="FF1155CC"/>
        <sz val="9.0"/>
        <u/>
      </rPr>
      <t>MurciaEconomía.com</t>
    </r>
    <r>
      <rPr>
        <rFont val="Arial, sans-serif"/>
        <color rgb="FF1155CC"/>
        <sz val="15.0"/>
        <u/>
      </rPr>
      <t>Repsol y el Corte Inglés proyectan abrir nuevos locales Supercor en gasolineras de la Región</t>
    </r>
    <r>
      <rPr>
        <rFont val="Arial, sans-serif"/>
        <color rgb="FF1155CC"/>
        <sz val="11.0"/>
        <u/>
      </rPr>
      <t>Repsol y El Corte Inglés han extendido su colaboración hasta 2030 para impulsar las tiendas Supercor en las estaciones de servicio, lo que significará la...</t>
    </r>
    <r>
      <rPr>
        <rFont val="Arial, sans-serif"/>
        <color rgb="FF1155CC"/>
        <sz val="12.0"/>
        <u/>
      </rPr>
      <t>.</t>
    </r>
    <r>
      <rPr>
        <rFont val="Arial, sans-serif"/>
        <color rgb="FF1155CC"/>
        <sz val="11.0"/>
        <u/>
      </rPr>
      <t>30 abr 2024</t>
    </r>
  </si>
  <si>
    <t>Repsol y el Corte Inglés proyectan abrir nuevos locales Supercor en gasolineras de la Región</t>
  </si>
  <si>
    <t>Repsol y El Corte Inglés han extendido su colaboración hasta 2030 para impulsar las tiendas Supercor en las estaciones de servicio, lo que significará la....</t>
  </si>
  <si>
    <t>Repsol and El Corte Inglés plan to open new Supercor stores at gas stations in the Region</t>
  </si>
  <si>
    <t>Repsol and El Corte Inglés have extended their collaboration until 2030 to promote Supercor stores in service stations, which will mean...</t>
  </si>
  <si>
    <t>Expanding retail partnerships strengthens Repsol’s business model.</t>
  </si>
  <si>
    <t>nuevos locales</t>
  </si>
  <si>
    <r>
      <rPr>
        <rFont val="Arial, sans-serif"/>
        <color rgb="FF1155CC"/>
        <sz val="9.0"/>
        <u/>
      </rPr>
      <t>Expansión</t>
    </r>
    <r>
      <rPr>
        <rFont val="Arial, sans-serif"/>
        <color rgb="FF1155CC"/>
        <sz val="15.0"/>
        <u/>
      </rPr>
      <t>ISS y Glass defienden a Repsol en la guerra del 'ecopostureo'</t>
    </r>
    <r>
      <rPr>
        <rFont val="Arial, sans-serif"/>
        <color rgb="FF1155CC"/>
        <sz val="11.0"/>
        <u/>
      </rPr>
      <t>ISS y Glass Lewis, los dos mayores proxy advisors internacionales (asesores de voto en las juntas de accionistas), proponen el voto a favor de todos y cada...</t>
    </r>
    <r>
      <rPr>
        <rFont val="Arial, sans-serif"/>
        <color rgb="FF1155CC"/>
        <sz val="12.0"/>
        <u/>
      </rPr>
      <t>.</t>
    </r>
    <r>
      <rPr>
        <rFont val="Arial, sans-serif"/>
        <color rgb="FF1155CC"/>
        <sz val="11.0"/>
        <u/>
      </rPr>
      <t>30 abr 2024</t>
    </r>
  </si>
  <si>
    <t>ISS y Glass defienden a Repsol en la guerra del 'ecopostureo'</t>
  </si>
  <si>
    <t>ISS y Glass Lewis, los dos mayores proxy advisors internacionales, proponen el voto a favor de todos y cada....</t>
  </si>
  <si>
    <t>ISS and Glass defend Repsol in the 'ecopostureo' war</t>
  </si>
  <si>
    <t>ISS and Glass Lewis, the two largest international proxy advisors, propose voting in favor of each and every...</t>
  </si>
  <si>
    <t>Repsol greenwashing defense, legal dispute</t>
  </si>
  <si>
    <t>Defensa del greenwashing de Repsol, disputa judicial</t>
  </si>
  <si>
    <t>Support from external auditors strengthens Repsol’s defense in greenwashing accusations.</t>
  </si>
  <si>
    <t>defienden</t>
  </si>
  <si>
    <t>Positive legal support</t>
  </si>
  <si>
    <t>Apoyo legal positivo</t>
  </si>
  <si>
    <r>
      <rPr>
        <rFont val="Arial, sans-serif"/>
        <color rgb="FF1155CC"/>
        <sz val="9.0"/>
        <u/>
      </rPr>
      <t>El Correo</t>
    </r>
    <r>
      <rPr>
        <rFont val="Arial, sans-serif"/>
        <color rgb="FF1155CC"/>
        <sz val="15.0"/>
        <u/>
      </rPr>
      <t>El restaurante vitoriano con 48 años y recomendado en la guía Repsol</t>
    </r>
    <r>
      <rPr>
        <rFont val="Arial, sans-serif"/>
        <color rgb="FF1155CC"/>
        <sz val="11.0"/>
        <u/>
      </rPr>
      <t>El restaurante de la familia Tobalina es un referente de la gastronomía vasca de la capital alavesa y destaca por tener una cocina creativa basada en la...</t>
    </r>
    <r>
      <rPr>
        <rFont val="Arial, sans-serif"/>
        <color rgb="FF1155CC"/>
        <sz val="12.0"/>
        <u/>
      </rPr>
      <t>.</t>
    </r>
    <r>
      <rPr>
        <rFont val="Arial, sans-serif"/>
        <color rgb="FF1155CC"/>
        <sz val="11.0"/>
        <u/>
      </rPr>
      <t>30 abr 2024</t>
    </r>
  </si>
  <si>
    <t>El restaurante vitoriano con 48 años y recomendado en la guía Repsol</t>
  </si>
  <si>
    <t>El restaurante de la familia Tobalina es un referente de la gastronomía vasca de la capital alavesa y destaca por tener una cocina creativa basada en la....</t>
  </si>
  <si>
    <t>The Vitorian restaurant with 48 years and recommended in the Repsol guide</t>
  </si>
  <si>
    <t>The Tobalina family restaurant is a benchmark for Basque gastronomy in the capital of Alava and stands out for having creative cuisine based on...</t>
  </si>
  <si>
    <r>
      <rPr>
        <rFont val="Arial, sans-serif"/>
        <color rgb="FF1155CC"/>
        <sz val="9.0"/>
        <u/>
      </rPr>
      <t>Guía Repsol</t>
    </r>
    <r>
      <rPr>
        <rFont val="Arial, sans-serif"/>
        <color rgb="FF1155CC"/>
        <sz val="15.0"/>
        <u/>
      </rPr>
      <t>Dónde comer pollo en Soletes</t>
    </r>
    <r>
      <rPr>
        <rFont val="Arial, sans-serif"/>
        <color rgb="FF1155CC"/>
        <sz val="11.0"/>
        <u/>
      </rPr>
      <t>Descubre los mejores restaurantes con Soletes en los que comer pollo. Si buscas un buen sitio donde comer pollo, ¡esta selección es para ti!</t>
    </r>
    <r>
      <rPr>
        <rFont val="Arial, sans-serif"/>
        <color rgb="FF1155CC"/>
        <sz val="12.0"/>
        <u/>
      </rPr>
      <t>.</t>
    </r>
    <r>
      <rPr>
        <rFont val="Arial, sans-serif"/>
        <color rgb="FF1155CC"/>
        <sz val="11.0"/>
        <u/>
      </rPr>
      <t>30 abr 2024</t>
    </r>
  </si>
  <si>
    <t>Dónde comer pollo en Soletes</t>
  </si>
  <si>
    <t>Descubre los mejores restaurantes con Soletes en los que comer pollo. Si buscas un buen sitio donde comer pollo, ¡esta selección es para ti!.</t>
  </si>
  <si>
    <t>Where to eat chicken in Soletes</t>
  </si>
  <si>
    <t>Discover the best restaurants with Soletes where you can eat chicken. If you are looking for a good place to eat chicken, this selection is for you!</t>
  </si>
  <si>
    <r>
      <rPr>
        <rFont val="Arial, sans-serif"/>
        <color rgb="FF1155CC"/>
        <sz val="9.0"/>
        <u/>
      </rPr>
      <t>Atlántico Hoy</t>
    </r>
    <r>
      <rPr>
        <rFont val="Arial, sans-serif"/>
        <color rgb="FF1155CC"/>
        <sz val="15.0"/>
        <u/>
      </rPr>
      <t>Sacyr, Acerinox, Fluidra, Repsol y Amadeus lideran la reducción de su deuda en el IBEX</t>
    </r>
    <r>
      <rPr>
        <rFont val="Arial, sans-serif"/>
        <color rgb="FF1155CC"/>
        <sz val="11.0"/>
        <u/>
      </rPr>
      <t>La compañía que más ha logrado reducir su endeudamiento en términos porcentuales es Sacyr, con un recorte del 51%</t>
    </r>
    <r>
      <rPr>
        <rFont val="Arial, sans-serif"/>
        <color rgb="FF1155CC"/>
        <sz val="12.0"/>
        <u/>
      </rPr>
      <t>.</t>
    </r>
    <r>
      <rPr>
        <rFont val="Arial, sans-serif"/>
        <color rgb="FF1155CC"/>
        <sz val="11.0"/>
        <u/>
      </rPr>
      <t>30 abr 2024</t>
    </r>
  </si>
  <si>
    <t>Sacyr, Acerinox, Fluidra, Repsol y Amadeus lideran la reducción de su deuda en el IBEX</t>
  </si>
  <si>
    <t>La compañía que más ha logrado reducir su endeudamiento en términos porcentuales es Sacyr, con un recorte del 51%.</t>
  </si>
  <si>
    <t>Sacyr, Acerinox, Fluidra, Repsol and Amadeus lead the reduction of their debt on the IBEX</t>
  </si>
  <si>
    <t>The company that has managed to reduce its debt the most in percentage terms is Sacyr, with a cut of 51%.</t>
  </si>
  <si>
    <t>Repsol investment ranking, financial performance</t>
  </si>
  <si>
    <t>Ranking de inversión de Repsol, desempeño financiero</t>
  </si>
  <si>
    <t>Positive investment outlook strengthens Repsol’s financial standing.</t>
  </si>
  <si>
    <t>reducir deuda</t>
  </si>
  <si>
    <t>Positive financial health</t>
  </si>
  <si>
    <t>Salud financiera positiva</t>
  </si>
  <si>
    <r>
      <rPr>
        <rFont val="Arial, sans-serif"/>
        <color rgb="FF1155CC"/>
        <sz val="9.0"/>
        <u/>
      </rPr>
      <t>Murciadiario</t>
    </r>
    <r>
      <rPr>
        <rFont val="Arial, sans-serif"/>
        <color rgb="FF1155CC"/>
        <sz val="15.0"/>
        <u/>
      </rPr>
      <t>Antonio Mestre: "Sin innovación tecnológica y con el actual tamaño empresarial estamos lejos de la transición energética"</t>
    </r>
    <r>
      <rPr>
        <rFont val="Arial, sans-serif"/>
        <color rgb="FF1155CC"/>
        <sz val="11.0"/>
        <u/>
      </rPr>
      <t>El director del Complejo Industrial Repsol Cartagena ha sido el protagonista de la séptima edición de los 'Desayunos de Murcia Diario', e...</t>
    </r>
    <r>
      <rPr>
        <rFont val="Arial, sans-serif"/>
        <color rgb="FF1155CC"/>
        <sz val="12.0"/>
        <u/>
      </rPr>
      <t>.</t>
    </r>
    <r>
      <rPr>
        <rFont val="Arial, sans-serif"/>
        <color rgb="FF1155CC"/>
        <sz val="11.0"/>
        <u/>
      </rPr>
      <t>30 abr 2024</t>
    </r>
  </si>
  <si>
    <t>Antonio Mestre: "Sin innovación tecnológica y con el actual tamaño empresarial estamos lejos de la transición energética"</t>
  </si>
  <si>
    <t>"Sin innovación tecnológica y con el actual tamaño empresarial estamos lejos de la transición energética"</t>
  </si>
  <si>
    <t>Antonio Mestre: "Without technological innovation and with the current business size we are far from the energy transition"</t>
  </si>
  <si>
    <t>"Without technological innovation and with the current business size we are far from the energy transition"</t>
  </si>
  <si>
    <t>Repsol energy transition, clean energy</t>
  </si>
  <si>
    <t>Transición energética Repsol, energías limpias</t>
  </si>
  <si>
    <t>Supporting energy transition initiatives aligns with Repsol’s green strategy.</t>
  </si>
  <si>
    <r>
      <rPr>
        <rFont val="Arial, sans-serif"/>
        <color rgb="FF1155CC"/>
        <sz val="9.0"/>
        <u/>
      </rPr>
      <t>Cinco Días</t>
    </r>
    <r>
      <rPr>
        <rFont val="Arial, sans-serif"/>
        <color rgb="FF1155CC"/>
        <sz val="15.0"/>
        <u/>
      </rPr>
      <t>Tres proyectos españoles captan 263 millones en la primera subasta comunitaria del hidrógeno</t>
    </r>
    <r>
      <rPr>
        <rFont val="Arial, sans-serif"/>
        <color rgb="FF1155CC"/>
        <sz val="11.0"/>
        <u/>
      </rPr>
      <t>España se lleva más de la tercera parte de las ayudas adjudicadas. El objetivo de estas primas, para un periodo de 10 años, es hacer viable este sector.</t>
    </r>
    <r>
      <rPr>
        <rFont val="Arial, sans-serif"/>
        <color rgb="FF1155CC"/>
        <sz val="12.0"/>
        <u/>
      </rPr>
      <t>.</t>
    </r>
    <r>
      <rPr>
        <rFont val="Arial, sans-serif"/>
        <color rgb="FF1155CC"/>
        <sz val="11.0"/>
        <u/>
      </rPr>
      <t>30 abr 2024</t>
    </r>
  </si>
  <si>
    <t>Tres proyectos españoles captan 263 millones en la primera subasta comunitaria del hidrógeno</t>
  </si>
  <si>
    <t>España se lleva más de la tercera parte de las ayudas adjudicadas. El objetivo de estas primas, para un periodo de 10 años, es hacer viable este sector.</t>
  </si>
  <si>
    <t>Three Spanish projects raise 263 million in the first community hydrogen auction</t>
  </si>
  <si>
    <t>Spain receives more than a third of the aid awarded. The objective of these premiums, for a period of 10 years, is to make this sector viable.</t>
  </si>
  <si>
    <t>General innovation funding does not impact Repsol’s business.</t>
  </si>
  <si>
    <r>
      <rPr>
        <rFont val="Arial, sans-serif"/>
        <color rgb="FF1155CC"/>
        <sz val="9.0"/>
        <u/>
      </rPr>
      <t>Aragón Digital</t>
    </r>
    <r>
      <rPr>
        <rFont val="Arial, sans-serif"/>
        <color rgb="FF1155CC"/>
        <sz val="15.0"/>
        <u/>
      </rPr>
      <t>La coctelería zaragozana Moonlight Experimental Bar se hace con dos estrellas en los soles Repsol</t>
    </r>
    <r>
      <rPr>
        <rFont val="Arial, sans-serif"/>
        <color rgb="FF1155CC"/>
        <sz val="11.0"/>
        <u/>
      </rPr>
      <t>Moonlight Experimental Bar es el proyecto de Borja Insa y el rapero Kase.O y está ubicado en pleno centro de Zaragoza.</t>
    </r>
    <r>
      <rPr>
        <rFont val="Arial, sans-serif"/>
        <color rgb="FF1155CC"/>
        <sz val="12.0"/>
        <u/>
      </rPr>
      <t>.</t>
    </r>
    <r>
      <rPr>
        <rFont val="Arial, sans-serif"/>
        <color rgb="FF1155CC"/>
        <sz val="11.0"/>
        <u/>
      </rPr>
      <t>30 abr 2024</t>
    </r>
  </si>
  <si>
    <t>La coctelería zaragozana Moonlight Experimental Bar se hace con dos estrellas en los soles Repsol</t>
  </si>
  <si>
    <t>Moonlight Experimental Bar es el proyecto de Borja Insa y el rapero Kase.O y está ubicado en pleno centro de Zaragoza.</t>
  </si>
  <si>
    <t>The Zaragoza cocktail bar Moonlight Experimental Bar gets two stars in the Repsol suns</t>
  </si>
  <si>
    <t>Moonlight Experimental Bar is the project of Borja Insa and the rapper Kase.O and is located in the heart of Zaragoza.</t>
  </si>
  <si>
    <r>
      <rPr>
        <rFont val="Arial, sans-serif"/>
        <color rgb="FF1155CC"/>
        <sz val="9.0"/>
        <u/>
      </rPr>
      <t>Guía Repsol</t>
    </r>
    <r>
      <rPr>
        <rFont val="Arial, sans-serif"/>
        <color rgb="FF1155CC"/>
        <sz val="15.0"/>
        <u/>
      </rPr>
      <t>Visita al nuevo volcán Cumbre Vieja en La Palma</t>
    </r>
    <r>
      <rPr>
        <rFont val="Arial, sans-serif"/>
        <color rgb="FF1155CC"/>
        <sz val="11.0"/>
        <u/>
      </rPr>
      <t>Embárcate en una aventura única y descubre los secretos del volcán Cumbre Vieja en La Palma. Adéntrate en paisajes volcánicos impresionantes en este viaje.</t>
    </r>
    <r>
      <rPr>
        <rFont val="Arial, sans-serif"/>
        <color rgb="FF1155CC"/>
        <sz val="12.0"/>
        <u/>
      </rPr>
      <t>.</t>
    </r>
    <r>
      <rPr>
        <rFont val="Arial, sans-serif"/>
        <color rgb="FF1155CC"/>
        <sz val="11.0"/>
        <u/>
      </rPr>
      <t>30 abr 2024</t>
    </r>
  </si>
  <si>
    <t>Visita al nuevo volcán Cumbre Vieja en La Palma</t>
  </si>
  <si>
    <t>Embárcate en una aventura única y descubre los secretos del volcán Cumbre Vieja en La Palma. Adéntrate en paisajes volcánicos impresionantes en este viaje.</t>
  </si>
  <si>
    <t>Visit to the new Cumbre Vieja volcano in La Palma</t>
  </si>
  <si>
    <t>Embark on a unique adventure and discover the secrets of the Cumbre Vieja volcano on La Palma. Delve into impressive volcanic landscapes on this trip.</t>
  </si>
  <si>
    <r>
      <rPr>
        <rFont val="Arial, sans-serif"/>
        <color rgb="FF1155CC"/>
        <sz val="9.0"/>
        <u/>
      </rPr>
      <t>Hablando en vidrio</t>
    </r>
    <r>
      <rPr>
        <rFont val="Arial, sans-serif"/>
        <color rgb="FF1155CC"/>
        <sz val="15.0"/>
        <u/>
      </rPr>
      <t>Reciclaje en hostelería: los chefs estrella Michelin que están cocinando el cambio</t>
    </r>
    <r>
      <rPr>
        <rFont val="Arial, sans-serif"/>
        <color rgb="FF1155CC"/>
        <sz val="11.0"/>
        <u/>
      </rPr>
      <t>Adéntrate en las cocinas de algunos de los chefs más reconocidos del país y conoce cómo están impulsando la sostenibilidad y el reciclaje en la hostelería.</t>
    </r>
    <r>
      <rPr>
        <rFont val="Arial, sans-serif"/>
        <color rgb="FF1155CC"/>
        <sz val="12.0"/>
        <u/>
      </rPr>
      <t>.</t>
    </r>
    <r>
      <rPr>
        <rFont val="Arial, sans-serif"/>
        <color rgb="FF1155CC"/>
        <sz val="11.0"/>
        <u/>
      </rPr>
      <t>30 abr 2024</t>
    </r>
  </si>
  <si>
    <t>Hablando en vidrio</t>
  </si>
  <si>
    <t>Reciclaje en hostelería: los chefs estrella Michelin que están cocinando el cambio</t>
  </si>
  <si>
    <t>Adéntrate en las cocinas de algunos de los chefs más reconocidos del país y conoce cómo están impulsando la sostenibilidad y el reciclaje en la hostelería.</t>
  </si>
  <si>
    <t>Recycling in hospitality: the Michelin star chefs who are cooking up the change</t>
  </si>
  <si>
    <t>Enter the kitchens of some of the most renowned chefs in the country and learn how they are promoting sustainability and recycling in the hospitality industry.</t>
  </si>
  <si>
    <r>
      <rPr>
        <rFont val="Arial, sans-serif"/>
        <color rgb="FF1155CC"/>
        <sz val="9.0"/>
        <u/>
      </rPr>
      <t>ondafuerteventura.es</t>
    </r>
    <r>
      <rPr>
        <rFont val="Arial, sans-serif"/>
        <color rgb="FF1155CC"/>
        <sz val="15.0"/>
        <u/>
      </rPr>
      <t>IR Maxoinversiones inaugura en Morro Jable la primera estación de servicio con combustible 100 % renovable en Canarias</t>
    </r>
    <r>
      <rPr>
        <rFont val="Arial, sans-serif"/>
        <color rgb="FF1155CC"/>
        <sz val="11.0"/>
        <u/>
      </rPr>
      <t>Repsol pone en marcha un nuevo proyecto piloto en la novedosa y modernísima gasolinera del Muelle de Morro Jable con gasolina 100% renovable.</t>
    </r>
    <r>
      <rPr>
        <rFont val="Arial, sans-serif"/>
        <color rgb="FF1155CC"/>
        <sz val="12.0"/>
        <u/>
      </rPr>
      <t>.</t>
    </r>
    <r>
      <rPr>
        <rFont val="Arial, sans-serif"/>
        <color rgb="FF1155CC"/>
        <sz val="11.0"/>
        <u/>
      </rPr>
      <t>1 may 2024</t>
    </r>
  </si>
  <si>
    <t>ondafuerteventura.es</t>
  </si>
  <si>
    <t>Maxoinversiones inaugura en Morro Jable la primera estación de servicio con combustible 100 % renovable en Canarias</t>
  </si>
  <si>
    <t>Repsol pone en marcha un nuevo proyecto piloto en la novedosa y modernísima gasolinera del Muelle de Morro Jable con gasolina 100% renovable.</t>
  </si>
  <si>
    <t>Maxoinversiones inaugurates the first service station with 100% renewable fuel in the Canary Islands in Morro Jable</t>
  </si>
  <si>
    <t>Repsol is launching a new pilot project at the new and very modern gas station at the Morro Jable Pier with 100% renewable gasoline.</t>
  </si>
  <si>
    <t>Repsol renewable energy, sustainability</t>
  </si>
  <si>
    <t>Repsol energías renovables, sostenibilidad</t>
  </si>
  <si>
    <t>Expanding renewable energy service stations strengthens Repsol’s clean energy transition.</t>
  </si>
  <si>
    <r>
      <rPr>
        <rFont val="Arial, sans-serif"/>
        <color rgb="FF1155CC"/>
        <sz val="9.0"/>
        <u/>
      </rPr>
      <t>El Español</t>
    </r>
    <r>
      <rPr>
        <rFont val="Arial, sans-serif"/>
        <color rgb="FF1155CC"/>
        <sz val="15.0"/>
        <u/>
      </rPr>
      <t>La vida de Raúl Cabarcos: fichado por Repsol después de estudiar un FP con más de 40 años</t>
    </r>
    <r>
      <rPr>
        <rFont val="Arial, sans-serif"/>
        <color rgb="FF1155CC"/>
        <sz val="11.0"/>
        <u/>
      </rPr>
      <t>Tardó once años en terminar la universidad, echó currículos y no obtenía respuesta. Optó por una formación de dos años que le cambió la vida.</t>
    </r>
    <r>
      <rPr>
        <rFont val="Arial, sans-serif"/>
        <color rgb="FF1155CC"/>
        <sz val="12.0"/>
        <u/>
      </rPr>
      <t>.</t>
    </r>
    <r>
      <rPr>
        <rFont val="Arial, sans-serif"/>
        <color rgb="FF1155CC"/>
        <sz val="11.0"/>
        <u/>
      </rPr>
      <t>1 may 2024</t>
    </r>
  </si>
  <si>
    <t>La vida de Raúl Cabarcos: fichado por Repsol después de estudiar un FP con más de 40 años</t>
  </si>
  <si>
    <t>Tardó once años en terminar la universidad, echó currículos y no obtenía respuesta. Optó por una formación de dos años que le cambió la vida.</t>
  </si>
  <si>
    <t>The life of Raúl Cabarcos: signed by Repsol after studying vocational training at more than 40 years old</t>
  </si>
  <si>
    <t>It took him eleven years to finish university, he put out resumes and got no response. He opted for a two-year training that changed his life.</t>
  </si>
  <si>
    <t>Repsol employment, career opportunities</t>
  </si>
  <si>
    <t>Empleo Repsol, salidas profesionales</t>
  </si>
  <si>
    <t>Highlighting career opportunities enhances Repsol’s employer brand.</t>
  </si>
  <si>
    <t>fichado</t>
  </si>
  <si>
    <t>Positive HR story</t>
  </si>
  <si>
    <t>Historia positiva de RR.HH.</t>
  </si>
  <si>
    <r>
      <rPr>
        <rFont val="Arial, sans-serif"/>
        <color rgb="FF1155CC"/>
        <sz val="9.0"/>
        <u/>
      </rPr>
      <t>El Debate</t>
    </r>
    <r>
      <rPr>
        <rFont val="Arial, sans-serif"/>
        <color rgb="FF1155CC"/>
        <sz val="15.0"/>
        <u/>
      </rPr>
      <t>Los beneficios desconocidos de llenar tu coche con los nuevos combustibles renovables</t>
    </r>
    <r>
      <rPr>
        <rFont val="Arial, sans-serif"/>
        <color rgb="FF1155CC"/>
        <sz val="11.0"/>
        <u/>
      </rPr>
      <t>Hace unos meses que tanto Cepsa como Repsol ya comercializan una línea de combustibles renovables. Estos carburantes llevan menos de un año en el mercado,...</t>
    </r>
    <r>
      <rPr>
        <rFont val="Arial, sans-serif"/>
        <color rgb="FF1155CC"/>
        <sz val="12.0"/>
        <u/>
      </rPr>
      <t>.</t>
    </r>
    <r>
      <rPr>
        <rFont val="Arial, sans-serif"/>
        <color rgb="FF1155CC"/>
        <sz val="11.0"/>
        <u/>
      </rPr>
      <t>1 may 2024</t>
    </r>
  </si>
  <si>
    <t>Los beneficios desconocidos de llenar tu coche con los nuevos combustibles renovables</t>
  </si>
  <si>
    <t>Los beneficios desconocidos de llenar tu coche con los nuevos combustibles renovables. Estos carburantes llevan menos de un año en el mercado,....</t>
  </si>
  <si>
    <t>The unknown benefits of filling your car with new renewable fuels</t>
  </si>
  <si>
    <t>The unknown benefits of filling your car with new renewable fuels. These fuels have been on the market for less than a year,....</t>
  </si>
  <si>
    <t>General fuel comparisons do not impact Repsol’s corporate perception.</t>
  </si>
  <si>
    <r>
      <rPr>
        <rFont val="Arial, sans-serif"/>
        <color rgb="FF1155CC"/>
        <sz val="9.0"/>
        <u/>
      </rPr>
      <t>Billboard</t>
    </r>
    <r>
      <rPr>
        <rFont val="Arial, sans-serif"/>
        <color rgb="FF1155CC"/>
        <sz val="15.0"/>
        <u/>
      </rPr>
      <t>11 festivales de música en España que apuestan por la sostenibilidad energética</t>
    </r>
    <r>
      <rPr>
        <rFont val="Arial, sans-serif"/>
        <color rgb="FF1155CC"/>
        <sz val="11.0"/>
        <u/>
      </rPr>
      <t>En España, cada año, se celebran más de 900 festivales. De ahí el dicho popular de que se puede recorrer el país de festival en festival.</t>
    </r>
    <r>
      <rPr>
        <rFont val="Arial, sans-serif"/>
        <color rgb="FF1155CC"/>
        <sz val="12.0"/>
        <u/>
      </rPr>
      <t>.</t>
    </r>
    <r>
      <rPr>
        <rFont val="Arial, sans-serif"/>
        <color rgb="FF1155CC"/>
        <sz val="11.0"/>
        <u/>
      </rPr>
      <t>1 may 2024</t>
    </r>
  </si>
  <si>
    <t>Billboard</t>
  </si>
  <si>
    <t>11 festivales de música en España que apuestan por la sostenibilidad energética</t>
  </si>
  <si>
    <t>En España, cada año, se celebran más de 900 festivales. De ahí el dicho popular de que se puede recorrer el país de festival en festival.</t>
  </si>
  <si>
    <t>11 music festivals in Spain that are committed to energy sustainability</t>
  </si>
  <si>
    <t>In Spain, more than 900 festivals are celebrated every year. Hence the popular saying that you can tour the country from festival to festival.</t>
  </si>
  <si>
    <r>
      <rPr>
        <rFont val="Arial, sans-serif"/>
        <color rgb="FF1155CC"/>
        <sz val="9.0"/>
        <u/>
      </rPr>
      <t>OkDiario</t>
    </r>
    <r>
      <rPr>
        <rFont val="Arial, sans-serif"/>
        <color rgb="FF1155CC"/>
        <sz val="15.0"/>
        <u/>
      </rPr>
      <t>La reconstrucción de Notre-Dame, un milagro que ha sido posible gracias a la madera certificada</t>
    </r>
    <r>
      <rPr>
        <rFont val="Arial, sans-serif"/>
        <color rgb="FF1155CC"/>
        <sz val="11.0"/>
        <u/>
      </rPr>
      <t>Un catastrófico incendio provocó que la cubierta de Notre-Dame de París se volatilizara en pocas horas, una estructura enteramente realizada en madera que...</t>
    </r>
    <r>
      <rPr>
        <rFont val="Arial, sans-serif"/>
        <color rgb="FF1155CC"/>
        <sz val="12.0"/>
        <u/>
      </rPr>
      <t>.</t>
    </r>
    <r>
      <rPr>
        <rFont val="Arial, sans-serif"/>
        <color rgb="FF1155CC"/>
        <sz val="11.0"/>
        <u/>
      </rPr>
      <t>1 may 2024</t>
    </r>
  </si>
  <si>
    <t>La reconstrucción de Notre-Dame, un milagro que ha sido posible gracias a la madera certificada</t>
  </si>
  <si>
    <t>Un catastrófico incendio provocó que la cubierta de Notre-Dame de París se volatilizara en pocas horas, una estructura enteramente realizada en madera que....</t>
  </si>
  <si>
    <t>The reconstruction of Notre-Dame, a miracle made possible thanks to certified wood</t>
  </si>
  <si>
    <t>A catastrophic fire caused the roof of Notre-Dame de Paris to volatilize in a few hours, a structure entirely made of wood that...</t>
  </si>
  <si>
    <r>
      <rPr>
        <rFont val="Arial, sans-serif"/>
        <color rgb="FF1155CC"/>
        <sz val="9.0"/>
        <u/>
      </rPr>
      <t>20Minutos</t>
    </r>
    <r>
      <rPr>
        <rFont val="Arial, sans-serif"/>
        <color rgb="FF1155CC"/>
        <sz val="15.0"/>
        <u/>
      </rPr>
      <t>Los empleos mejor pagados sin tener carrera: el top 10 de España</t>
    </r>
    <r>
      <rPr>
        <rFont val="Arial, sans-serif"/>
        <color rgb="FF1155CC"/>
        <sz val="11.0"/>
        <u/>
      </rPr>
      <t>Existen profesiones y trabajos con elevados sueldos que no tienen como requisito el título de un grado o máster universitarios. Así puedes acceder a estos...</t>
    </r>
    <r>
      <rPr>
        <rFont val="Arial, sans-serif"/>
        <color rgb="FF1155CC"/>
        <sz val="12.0"/>
        <u/>
      </rPr>
      <t>.</t>
    </r>
    <r>
      <rPr>
        <rFont val="Arial, sans-serif"/>
        <color rgb="FF1155CC"/>
        <sz val="11.0"/>
        <u/>
      </rPr>
      <t>1 may 2024</t>
    </r>
  </si>
  <si>
    <t>Los empleos mejor pagados sin tener carrera: el top 10 de España</t>
  </si>
  <si>
    <t>Existen profesiones y trabajos con elevados sueldos que no tienen como requisito el título de un grado o máster universitarios. Así puedes acceder a estos....</t>
  </si>
  <si>
    <t>The best paying jobs without having a career: the top 10 in Spain</t>
  </si>
  <si>
    <t>There are professions and jobs with high salaries that do not require a university degree or master's degree. So you can access these....</t>
  </si>
  <si>
    <r>
      <rPr>
        <rFont val="Arial, sans-serif"/>
        <color rgb="FF1155CC"/>
        <sz val="9.0"/>
        <u/>
      </rPr>
      <t>Casa Real</t>
    </r>
    <r>
      <rPr>
        <rFont val="Arial, sans-serif"/>
        <color rgb="FF1155CC"/>
        <sz val="15.0"/>
        <u/>
      </rPr>
      <t>Reunión del Patronato de la Fundación CODESPA y entrega de la XXII edición de los Premios CODESPA</t>
    </r>
    <r>
      <rPr>
        <rFont val="Arial, sans-serif"/>
        <color rgb="FF1155CC"/>
        <sz val="11.0"/>
        <u/>
      </rPr>
      <t>Su Majestad el Rey, Presidente de Honor de la Fundación CODESPA, ha presidido la reunión de su patronato y ha entregado los galardones, que reconocen el...</t>
    </r>
    <r>
      <rPr>
        <rFont val="Arial, sans-serif"/>
        <color rgb="FF1155CC"/>
        <sz val="12.0"/>
        <u/>
      </rPr>
      <t>.</t>
    </r>
    <r>
      <rPr>
        <rFont val="Arial, sans-serif"/>
        <color rgb="FF1155CC"/>
        <sz val="11.0"/>
        <u/>
      </rPr>
      <t>2 may 2024</t>
    </r>
  </si>
  <si>
    <t>Casa Real</t>
  </si>
  <si>
    <t>Reunión del Patronato de la Fundación CODESPA y entrega de la XXII edición de los Premios CODESPA</t>
  </si>
  <si>
    <t>Su Majestad el Rey, Presidente de Honor de la Fundación CODESPA, ha presidido la reunión de su patronato y ha entregado los galardones, que reconocen el....</t>
  </si>
  <si>
    <t>Meeting of the Board of Trustees of the CODESPA Foundation and delivery of the XXII edition of the CODESPA Awards</t>
  </si>
  <si>
    <t>His Majesty the King, Honorary President of the CODESPA Foundation, presided over the meeting of its board of trustees and presented the awards, which recognize the...</t>
  </si>
  <si>
    <r>
      <rPr>
        <rFont val="Arial, sans-serif"/>
        <color rgb="FF1155CC"/>
        <sz val="9.0"/>
        <u/>
      </rPr>
      <t>El Economista</t>
    </r>
    <r>
      <rPr>
        <rFont val="Arial, sans-serif"/>
        <color rgb="FF1155CC"/>
        <sz val="15.0"/>
        <u/>
      </rPr>
      <t>Hecate desembarca en el desarrollo de renovables e hidrógeno en Argelia con Sonatrach</t>
    </r>
    <r>
      <rPr>
        <rFont val="Arial, sans-serif"/>
        <color rgb="FF1155CC"/>
        <sz val="11.0"/>
        <u/>
      </rPr>
      <t>Hecate Global Renewable Energy ha llegado a un acuerdo con la compañía estatal argelina Sonatrach para impulsar el desarrollo de ...</t>
    </r>
    <r>
      <rPr>
        <rFont val="Arial, sans-serif"/>
        <color rgb="FF1155CC"/>
        <sz val="12.0"/>
        <u/>
      </rPr>
      <t>.</t>
    </r>
    <r>
      <rPr>
        <rFont val="Arial, sans-serif"/>
        <color rgb="FF1155CC"/>
        <sz val="11.0"/>
        <u/>
      </rPr>
      <t>2 may 2024</t>
    </r>
  </si>
  <si>
    <t>Hecate desembarca en el desarrollo de renovables e hidrógeno en Argelia con Sonatrach</t>
  </si>
  <si>
    <t>Hecate Global Renewable Energy ha llegado a un acuerdo con la compañía estatal argelina Sonatrach para impulsar el desarrollo de ....</t>
  </si>
  <si>
    <t>Hecate lands in the development of renewables and hydrogen in Algeria with Sonatrach</t>
  </si>
  <si>
    <t>Hecate Global Renewable Energy has reached an agreement with the Algerian state company Sonatrach to promote the development of....</t>
  </si>
  <si>
    <t>Other companies’ renewable energy initiatives do not impact Repsol’s business.</t>
  </si>
  <si>
    <r>
      <rPr>
        <rFont val="Arial, sans-serif"/>
        <color rgb="FF1155CC"/>
        <sz val="9.0"/>
        <u/>
      </rPr>
      <t>Expansión</t>
    </r>
    <r>
      <rPr>
        <rFont val="Arial, sans-serif"/>
        <color rgb="FF1155CC"/>
        <sz val="15.0"/>
        <u/>
      </rPr>
      <t>El Ibex no puede con los 10.900 puntos lastrado por BBVA, Repsol e Inditex</t>
    </r>
    <r>
      <rPr>
        <rFont val="Arial, sans-serif"/>
        <color rgb="FF1155CC"/>
        <sz val="11.0"/>
        <u/>
      </rPr>
      <t>Después de registrar el martes la peor sesión desde marzo de 2023, el Ibex ha logrado rebotar, aunque sin demasiada convicción, arrastrado por los avances...</t>
    </r>
    <r>
      <rPr>
        <rFont val="Arial, sans-serif"/>
        <color rgb="FF1155CC"/>
        <sz val="12.0"/>
        <u/>
      </rPr>
      <t>.</t>
    </r>
    <r>
      <rPr>
        <rFont val="Arial, sans-serif"/>
        <color rgb="FF1155CC"/>
        <sz val="11.0"/>
        <u/>
      </rPr>
      <t>2 may 2024</t>
    </r>
  </si>
  <si>
    <t>El Ibex no puede con los 10.900 puntos lastrado por BBVA, Repsol e Inditex</t>
  </si>
  <si>
    <t>Después de registrar el martes la peor sesión desde marzo de 2023, el Ibex ha logrado rebotar, aunque sin demasiada convicción, arrastrado por los avances...</t>
  </si>
  <si>
    <t>The Ibex cannot with the 10,900 points weighed down by BBVA, Repsol and Inditex</t>
  </si>
  <si>
    <t>After recording the worst session since March 2023 on Tuesday, the Ibex has managed to rebound, although without much conviction, dragged by the advances...</t>
  </si>
  <si>
    <t>Repsol stock decline, market impact</t>
  </si>
  <si>
    <t>Caída de las acciones de Repsol, impacto en el mercado</t>
  </si>
  <si>
    <t>Declining stock performance may slightly affect investor confidence in Repsol.</t>
  </si>
  <si>
    <t>lastrado (drag)</t>
  </si>
  <si>
    <t>Negative market impact.</t>
  </si>
  <si>
    <t>Impacto negativo en el mercado.</t>
  </si>
  <si>
    <r>
      <rPr>
        <rFont val="Arial, sans-serif"/>
        <color rgb="FF1155CC"/>
        <sz val="9.0"/>
        <u/>
      </rPr>
      <t>Emprendedores</t>
    </r>
    <r>
      <rPr>
        <rFont val="Arial, sans-serif"/>
        <color rgb="FF1155CC"/>
        <sz val="15.0"/>
        <u/>
      </rPr>
      <t>¡Cuidado con el ‘greenwashing’! Te puede salir caro</t>
    </r>
    <r>
      <rPr>
        <rFont val="Arial, sans-serif"/>
        <color rgb="FF1155CC"/>
        <sz val="11.0"/>
        <u/>
      </rPr>
      <t>El pasado mes de marzo saltó a los medios la noticia de que Iberdrola había denunciado a Repsol por greenwashing. La eléctrica acusa a la petrolera de...</t>
    </r>
    <r>
      <rPr>
        <rFont val="Arial, sans-serif"/>
        <color rgb="FF1155CC"/>
        <sz val="12.0"/>
        <u/>
      </rPr>
      <t>.</t>
    </r>
    <r>
      <rPr>
        <rFont val="Arial, sans-serif"/>
        <color rgb="FF1155CC"/>
        <sz val="11.0"/>
        <u/>
      </rPr>
      <t>2 may 2024</t>
    </r>
  </si>
  <si>
    <t>¡Cuidado con el ‘greenwashing’! Te puede salir caro</t>
  </si>
  <si>
    <t>El pasado mes de marzo saltó a los medios la noticia de que Iberdrola había denunciado a Repsol por greenwashing. La eléctrica acusa a la petrolera de....</t>
  </si>
  <si>
    <t>Beware of 'greenwashing'! It can be expensive</t>
  </si>
  <si>
    <t>Last March the news hit the media that Iberdrola had denounced Repsol for greenwashing. The electricity company accuses the oil company of....</t>
  </si>
  <si>
    <t>Repsol greenwashing scrutiny, legal dispute</t>
  </si>
  <si>
    <t>Escrutinio del greenwashing de Repsol, disputa judicial</t>
  </si>
  <si>
    <t>Increasing scrutiny on greenwashing may affect Repsol’s sustainability reputation.</t>
  </si>
  <si>
    <t>greenwashing (reputational risk)</t>
  </si>
  <si>
    <t>Warning about Repsol’s practices.</t>
  </si>
  <si>
    <t>Advertencia sobre las prácticas de Repsol.</t>
  </si>
  <si>
    <r>
      <rPr>
        <rFont val="Arial, sans-serif"/>
        <color rgb="FF1155CC"/>
        <sz val="9.0"/>
        <u/>
      </rPr>
      <t>Box Repsol</t>
    </r>
    <r>
      <rPr>
        <rFont val="Arial, sans-serif"/>
        <color rgb="FF1155CC"/>
        <sz val="15.0"/>
        <u/>
      </rPr>
      <t>Descubre el récord de velocidad punta en MotoGP</t>
    </r>
    <r>
      <rPr>
        <rFont val="Arial, sans-serif"/>
        <color rgb="FF1155CC"/>
        <sz val="11.0"/>
        <u/>
      </rPr>
      <t>Explora uno de los récords más increíbles de toda la competición en MotoGP. ¿Cuál es el récord de velocidad en MotoGP? Descúbrelo todo aquí.</t>
    </r>
    <r>
      <rPr>
        <rFont val="Arial, sans-serif"/>
        <color rgb="FF1155CC"/>
        <sz val="12.0"/>
        <u/>
      </rPr>
      <t>.</t>
    </r>
    <r>
      <rPr>
        <rFont val="Arial, sans-serif"/>
        <color rgb="FF1155CC"/>
        <sz val="11.0"/>
        <u/>
      </rPr>
      <t>2 may 2024</t>
    </r>
  </si>
  <si>
    <t>Descubre el récord de velocidad punta en MotoGP</t>
  </si>
  <si>
    <t>Explora uno de los récords más increíbles de toda la competición en MotoGP. ¿Cuál es el récord de velocidad en MotoGP? Descúbrelo todo aquí.</t>
  </si>
  <si>
    <t>Discover the top speed record in MotoGP</t>
  </si>
  <si>
    <t>Explore one of the most incredible records in all of MotoGP competition. What is the speed record in MotoGP? Find out everything here.</t>
  </si>
  <si>
    <r>
      <rPr>
        <rFont val="Arial, sans-serif"/>
        <color rgb="FF1155CC"/>
        <sz val="9.0"/>
        <u/>
      </rPr>
      <t>Crónica Global</t>
    </r>
    <r>
      <rPr>
        <rFont val="Arial, sans-serif"/>
        <color rgb="FF1155CC"/>
        <sz val="15.0"/>
        <u/>
      </rPr>
      <t>Esta es la mejor plaza para irse de tapas en Tarragona: recomendada por la Guía Repsol</t>
    </r>
    <r>
      <rPr>
        <rFont val="Arial, sans-serif"/>
        <color rgb="FF1155CC"/>
        <sz val="11.0"/>
        <u/>
      </rPr>
      <t>Uno de los lugares más conocidos del centro de este municipio catalán en el que podrás degustar una gran variedad de tapas en diferentes restaurantes.</t>
    </r>
    <r>
      <rPr>
        <rFont val="Arial, sans-serif"/>
        <color rgb="FF1155CC"/>
        <sz val="12.0"/>
        <u/>
      </rPr>
      <t>.</t>
    </r>
    <r>
      <rPr>
        <rFont val="Arial, sans-serif"/>
        <color rgb="FF1155CC"/>
        <sz val="11.0"/>
        <u/>
      </rPr>
      <t>2 may 2024</t>
    </r>
  </si>
  <si>
    <t>Esta es la mejor plaza para irse de tapas en Tarragona: recomendada por la Guía Repsol</t>
  </si>
  <si>
    <t>Uno de los lugares más conocidos del centro de este municipio catalán en el que podrás degustar una gran variedad de tapas en diferentes restaurantes.</t>
  </si>
  <si>
    <t>This is the best place to go for tapas in Tarragona: recommended by the Repsol Guide</t>
  </si>
  <si>
    <t>One of the best-known places in the center of this Catalan municipality where you can taste a wide variety of tapas in different restaurants.</t>
  </si>
  <si>
    <r>
      <rPr>
        <rFont val="Arial, sans-serif"/>
        <color rgb="FF1155CC"/>
        <sz val="9.0"/>
        <u/>
      </rPr>
      <t>Convoca</t>
    </r>
    <r>
      <rPr>
        <rFont val="Arial, sans-serif"/>
        <color rgb="FF1155CC"/>
        <sz val="15.0"/>
        <u/>
      </rPr>
      <t>Congresista que favoreció a Repsol busca evitar que se apruebe norma que sanciona a empresas que incumplen con medidas correctivas ambientales</t>
    </r>
    <r>
      <rPr>
        <rFont val="Arial, sans-serif"/>
        <color rgb="FF1155CC"/>
        <sz val="11.0"/>
        <u/>
      </rPr>
      <t>Desde hace más de seis meses, se encuentra estancado en la Mesa Directiva del Congreso un dictamen que busca sancionar con la suspensión de actividades a...</t>
    </r>
    <r>
      <rPr>
        <rFont val="Arial, sans-serif"/>
        <color rgb="FF1155CC"/>
        <sz val="12.0"/>
        <u/>
      </rPr>
      <t>.</t>
    </r>
    <r>
      <rPr>
        <rFont val="Arial, sans-serif"/>
        <color rgb="FF1155CC"/>
        <sz val="11.0"/>
        <u/>
      </rPr>
      <t>2 may 2024</t>
    </r>
  </si>
  <si>
    <t>Convoca Congresista que favoreció a Repsol busca evitar que se apruebe norma que sanciona a empresas que incumplen con medidas correctivas ambientales</t>
  </si>
  <si>
    <t>Desde hace más de seis meses, se encuentra estancado en la Mesa Directiva del Congreso un dictamen que busca sancionar con la suspensión de actividades a....</t>
  </si>
  <si>
    <t>Congressman who favored Repsol summons seeks to prevent the approval of a rule that sanctions companies that fail to comply with environmental corrective measures</t>
  </si>
  <si>
    <t>For more than six months, a ruling that seeks to sanction the suspension of activities of... has been stalled in the Board of Directors of Congress.</t>
  </si>
  <si>
    <t>Repsol political controversy, legal dispute</t>
  </si>
  <si>
    <t>Polémica política de Repsol, disputa jurídica</t>
  </si>
  <si>
    <t>Political scandals linked to Repsol could negatively impact its public image.</t>
  </si>
  <si>
    <t>favoreció (political bias)</t>
  </si>
  <si>
    <t>Negative political link.</t>
  </si>
  <si>
    <t>Vínculo político negativo.</t>
  </si>
  <si>
    <r>
      <rPr>
        <rFont val="Arial, sans-serif"/>
        <color rgb="FF1155CC"/>
        <sz val="9.0"/>
        <u/>
      </rPr>
      <t>Hispanidad</t>
    </r>
    <r>
      <rPr>
        <rFont val="Arial, sans-serif"/>
        <color rgb="FF1155CC"/>
        <sz val="15.0"/>
        <u/>
      </rPr>
      <t>Galp, una excepción entre las petroleras al aumentar su beneficio un 35%, pero al mercado no le gustan las cifras</t>
    </r>
    <r>
      <rPr>
        <rFont val="Arial, sans-serif"/>
        <color rgb="FF1155CC"/>
        <sz val="11.0"/>
        <u/>
      </rPr>
      <t>Galp supone una excepción entre las petroleras en la tanda de resultados trimestrales, pues no le ha afectado tanto la caída del precio del gas y ha logrado...</t>
    </r>
    <r>
      <rPr>
        <rFont val="Arial, sans-serif"/>
        <color rgb="FF1155CC"/>
        <sz val="12.0"/>
        <u/>
      </rPr>
      <t>.</t>
    </r>
    <r>
      <rPr>
        <rFont val="Arial, sans-serif"/>
        <color rgb="FF1155CC"/>
        <sz val="11.0"/>
        <u/>
      </rPr>
      <t>2 may 2024</t>
    </r>
  </si>
  <si>
    <t>Galp, una excepción entre las petroleras al aumentar su beneficio un 35%, pero al mercado no le gustan las cifras</t>
  </si>
  <si>
    <t>Galp supone una excepción entre las petroleras en la tanda de resultados trimestrales, pues no le ha afectado tanto la caída del precio del gas y ha logrado....</t>
  </si>
  <si>
    <t>Galp, an exception among oil companies by increasing its profit by 35%, but the market does not like the figures</t>
  </si>
  <si>
    <t>Galp is an exception among the oil companies in the batch of quarterly results, as it has not been affected as much by the drop in the price of gas and has achieved...</t>
  </si>
  <si>
    <r>
      <rPr>
        <rFont val="Arial, sans-serif"/>
        <color rgb="FF1155CC"/>
        <sz val="9.0"/>
        <u/>
      </rPr>
      <t>Faro de Vigo</t>
    </r>
    <r>
      <rPr>
        <rFont val="Arial, sans-serif"/>
        <color rgb="FF1155CC"/>
        <sz val="15.0"/>
        <u/>
      </rPr>
      <t>El Balea Dous vence en la Clase ORC 5</t>
    </r>
    <r>
      <rPr>
        <rFont val="Arial, sans-serif"/>
        <color rgb="FF1155CC"/>
        <sz val="11.0"/>
        <u/>
      </rPr>
      <t>El Balea Dous de Luis Pérez se llevó el triunfo en el Trofeo Repsol, regata del Monte Real Club de Yates de Baiona que disputó el pasado fin de semana su...</t>
    </r>
    <r>
      <rPr>
        <rFont val="Arial, sans-serif"/>
        <color rgb="FF1155CC"/>
        <sz val="12.0"/>
        <u/>
      </rPr>
      <t>.</t>
    </r>
    <r>
      <rPr>
        <rFont val="Arial, sans-serif"/>
        <color rgb="FF1155CC"/>
        <sz val="11.0"/>
        <u/>
      </rPr>
      <t>2 may 2024</t>
    </r>
  </si>
  <si>
    <t>El Balea Dous vence en la Clase ORC 5</t>
  </si>
  <si>
    <t>El Balea Dous de Luis Pérez se llevó el triunfo en el Trofeo Repsol, regata del Monte Real Club de Yates de Baiona que disputó el pasado fin de semana su....</t>
  </si>
  <si>
    <t>Balea Dous wins in Class ORC 5</t>
  </si>
  <si>
    <t>Luis Pérez's Balea Dous took the victory in the Repsol Trophy, a regatta of the Monte Real Yacht Club of Baiona that took place last weekend....</t>
  </si>
  <si>
    <r>
      <rPr>
        <rFont val="Arial, sans-serif"/>
        <color rgb="FF1155CC"/>
        <sz val="9.0"/>
        <u/>
      </rPr>
      <t>Diari de Tarragona</t>
    </r>
    <r>
      <rPr>
        <rFont val="Arial, sans-serif"/>
        <color rgb="FF1155CC"/>
        <sz val="15.0"/>
        <u/>
      </rPr>
      <t>Cambrils suma un nuevo restaurante en la Guia Michelin</t>
    </r>
    <r>
      <rPr>
        <rFont val="Arial, sans-serif"/>
        <color rgb="FF1155CC"/>
        <sz val="11.0"/>
        <u/>
      </rPr>
      <t>Poco más de un año después de su apertura, el restaurante Hiu de Cambrils, del chef Sergi Palacín, ha sido seleccionado por la Guía Michelin 2024 en l...</t>
    </r>
    <r>
      <rPr>
        <rFont val="Arial, sans-serif"/>
        <color rgb="FF1155CC"/>
        <sz val="12.0"/>
        <u/>
      </rPr>
      <t>.</t>
    </r>
    <r>
      <rPr>
        <rFont val="Arial, sans-serif"/>
        <color rgb="FF1155CC"/>
        <sz val="11.0"/>
        <u/>
      </rPr>
      <t>2 may 2024</t>
    </r>
  </si>
  <si>
    <t>Cambrils suma un nuevo restaurante en la Guia Michelin</t>
  </si>
  <si>
    <t>Poco más de un año después de su apertura, el restaurante Hiu de Cambrils, del chef Sergi Palacín, ha sido seleccionado por la Guía Michelin 2024 en l....</t>
  </si>
  <si>
    <t>Cambrils adds a new restaurant to the Michelin Guide</t>
  </si>
  <si>
    <t>Just over a year after its opening, the Hiu restaurant in Cambrils, by chef Sergi Palacín, has been selected by the Michelin Guide 2024 in the....</t>
  </si>
  <si>
    <r>
      <rPr>
        <rFont val="Arial, sans-serif"/>
        <color rgb="FF1155CC"/>
        <sz val="9.0"/>
        <u/>
      </rPr>
      <t>La Razón</t>
    </r>
    <r>
      <rPr>
        <rFont val="Arial, sans-serif"/>
        <color rgb="FF1155CC"/>
        <sz val="15.0"/>
        <u/>
      </rPr>
      <t>La resurrección de las papeleras de la oficina: ahora son «agarracucharas» para personas con discapacidad</t>
    </r>
    <r>
      <rPr>
        <rFont val="Arial, sans-serif"/>
        <color rgb="FF1155CC"/>
        <sz val="11.0"/>
        <u/>
      </rPr>
      <t>Hay personas que tienen la capacidad de ver una oportunidad donde otras solo vemos residuos. Es el caso de Manuela, que con estas papeleras ha creado una...</t>
    </r>
    <r>
      <rPr>
        <rFont val="Arial, sans-serif"/>
        <color rgb="FF1155CC"/>
        <sz val="12.0"/>
        <u/>
      </rPr>
      <t>.</t>
    </r>
    <r>
      <rPr>
        <rFont val="Arial, sans-serif"/>
        <color rgb="FF1155CC"/>
        <sz val="11.0"/>
        <u/>
      </rPr>
      <t>3 may 2024</t>
    </r>
  </si>
  <si>
    <t>La resurrección de las papeleras de la oficina: ahora son «agarracucharas» para personas con discapacidad</t>
  </si>
  <si>
    <t>Hay personas que tienen la capacidad de ver una oportunidad donde otras solo vemos residuos. Es el caso de Manuela, que con estas papeleras ha creado una....</t>
  </si>
  <si>
    <t>The resurrection of office wastebaskets: now they are "spoon grabbers" for people with disabilities</t>
  </si>
  <si>
    <t>There are people who have the ability to see an opportunity where others only see waste. This is the case of Manuela, who with these bins has created a...</t>
  </si>
  <si>
    <r>
      <rPr>
        <rFont val="Arial, sans-serif"/>
        <color rgb="FF1155CC"/>
        <sz val="9.0"/>
        <u/>
      </rPr>
      <t>MOTOSAN</t>
    </r>
    <r>
      <rPr>
        <rFont val="Arial, sans-serif"/>
        <color rgb="FF1155CC"/>
        <sz val="15.0"/>
        <u/>
      </rPr>
      <t>Dani Pedrosa, habla de su mejor compañero de equipo ¿Hayden, Stoner, Márquez?</t>
    </r>
    <r>
      <rPr>
        <rFont val="Arial, sans-serif"/>
        <color rgb="FF1155CC"/>
        <sz val="11.0"/>
        <u/>
      </rPr>
      <t>El expiloto habla de su trayectoria con los compañeros de equipo en Repsol Honda. En el vertiginoso mundo del motociclismo de élite, donde la velocidad y.</t>
    </r>
    <r>
      <rPr>
        <rFont val="Arial, sans-serif"/>
        <color rgb="FF1155CC"/>
        <sz val="12.0"/>
        <u/>
      </rPr>
      <t>.</t>
    </r>
    <r>
      <rPr>
        <rFont val="Arial, sans-serif"/>
        <color rgb="FF1155CC"/>
        <sz val="11.0"/>
        <u/>
      </rPr>
      <t>3 may 2024</t>
    </r>
  </si>
  <si>
    <t>MOTOSAND</t>
  </si>
  <si>
    <t>¿Hayden, Stoner, Márquez?</t>
  </si>
  <si>
    <t>El expiloto habla de su trayectoria con los compañeros de equipo en Repsol Honda. En el vertiginoso mundo del motociclismo de élite, donde la velocidad y..</t>
  </si>
  <si>
    <t>Hayden, Stoner, Marquez?</t>
  </si>
  <si>
    <t>The former driver talks about his career with his teammates at Repsol Honda. In the dizzying world of elite motorcycling, where speed and...</t>
  </si>
  <si>
    <r>
      <rPr>
        <rFont val="Arial, sans-serif"/>
        <color rgb="FF1155CC"/>
        <sz val="9.0"/>
        <u/>
      </rPr>
      <t>Infobae</t>
    </r>
    <r>
      <rPr>
        <rFont val="Arial, sans-serif"/>
        <color rgb="FF1155CC"/>
        <sz val="15.0"/>
        <u/>
      </rPr>
      <t>El único dos estrellas Michelin de Murcia: así es su menú degustación, el más caro de la región</t>
    </r>
    <r>
      <rPr>
        <rFont val="Arial, sans-serif"/>
        <color rgb="FF1155CC"/>
        <sz val="11.0"/>
        <u/>
      </rPr>
      <t>Reconocido con tres Soles Repsol, el restaurante se encuentra en una cabaña de estilo africano, desde la que ofrece una travesía gastronómica alrededor de...</t>
    </r>
    <r>
      <rPr>
        <rFont val="Arial, sans-serif"/>
        <color rgb="FF1155CC"/>
        <sz val="12.0"/>
        <u/>
      </rPr>
      <t>.</t>
    </r>
    <r>
      <rPr>
        <rFont val="Arial, sans-serif"/>
        <color rgb="FF1155CC"/>
        <sz val="11.0"/>
        <u/>
      </rPr>
      <t>3 may 2024</t>
    </r>
  </si>
  <si>
    <t>El único dos estrellas Michelin de Murcia: así es su menú degustación, el más caro de la región</t>
  </si>
  <si>
    <t>Reconocido con tres Soles Repsol, el restaurante se encuentra en una cabaña de estilo africano, desde la que ofrece una travesía gastronómica alrededor de....</t>
  </si>
  <si>
    <t>The only two Michelin stars in Murcia: this is its tasting menu, the most expensive in the region</t>
  </si>
  <si>
    <t>Recognized with three Repsol Suns, the restaurant is located in an African-style cabin, from which it offers a gastronomic journey around...</t>
  </si>
  <si>
    <r>
      <rPr>
        <rFont val="Arial, sans-serif"/>
        <color rgb="FF1155CC"/>
        <sz val="9.0"/>
        <u/>
      </rPr>
      <t>El Español</t>
    </r>
    <r>
      <rPr>
        <rFont val="Arial, sans-serif"/>
        <color rgb="FF1155CC"/>
        <sz val="15.0"/>
        <u/>
      </rPr>
      <t>El mejor restaurante de carretera para comer de tapas en Aragón: perfecto en escapadas de primavera</t>
    </r>
    <r>
      <rPr>
        <rFont val="Arial, sans-serif"/>
        <color rgb="FF1155CC"/>
        <sz val="11.0"/>
        <u/>
      </rPr>
      <t>El local es uno de los preferidos por los expertos para degustar productos de temporada y marisco fresco en Aragón.</t>
    </r>
    <r>
      <rPr>
        <rFont val="Arial, sans-serif"/>
        <color rgb="FF1155CC"/>
        <sz val="12.0"/>
        <u/>
      </rPr>
      <t>.</t>
    </r>
    <r>
      <rPr>
        <rFont val="Arial, sans-serif"/>
        <color rgb="FF1155CC"/>
        <sz val="11.0"/>
        <u/>
      </rPr>
      <t>3 may 2024</t>
    </r>
  </si>
  <si>
    <t>El mejor restaurante de carretera para comer de tapas en Aragón: perfecto en escapadas de primavera</t>
  </si>
  <si>
    <t>El local es uno de los preferidos por los expertos para degustar productos de temporada y marisco fresco en Aragón.</t>
  </si>
  <si>
    <t>The best roadside restaurant to eat tapas in Aragón: perfect for spring getaways</t>
  </si>
  <si>
    <t>The place is one of the favorites by experts to taste seasonal products and fresh seafood in Aragon.</t>
  </si>
  <si>
    <r>
      <rPr>
        <rFont val="Arial, sans-serif"/>
        <color rgb="FF1155CC"/>
        <sz val="9.0"/>
        <u/>
      </rPr>
      <t>Excmo. Ayuntamiento de Baza</t>
    </r>
    <r>
      <rPr>
        <rFont val="Arial, sans-serif"/>
        <color rgb="FF1155CC"/>
        <sz val="15.0"/>
        <u/>
      </rPr>
      <t>Llega a Baza, del 9 al 12 de mayo, el Circo Berlín</t>
    </r>
    <r>
      <rPr>
        <rFont val="Arial, sans-serif"/>
        <color rgb="FF1155CC"/>
        <sz val="11.0"/>
        <u/>
      </rPr>
      <t>Del 9 a l 12 de mayo llega a nuestra ciudad el nuevo espectáculo de Berlín Zirkus, SU MAJESTAD EL CIRCO, una producción en la que reluce la esencia del...</t>
    </r>
    <r>
      <rPr>
        <rFont val="Arial, sans-serif"/>
        <color rgb="FF1155CC"/>
        <sz val="12.0"/>
        <u/>
      </rPr>
      <t>.</t>
    </r>
    <r>
      <rPr>
        <rFont val="Arial, sans-serif"/>
        <color rgb="FF1155CC"/>
        <sz val="11.0"/>
        <u/>
      </rPr>
      <t>3 may 2024</t>
    </r>
  </si>
  <si>
    <t>Excmo. Ayuntamiento de Baza</t>
  </si>
  <si>
    <t>Llega a Baza, del 9 al 12 de mayo, el Circo Berlín</t>
  </si>
  <si>
    <t>Del 9 a l 12 de mayo llega a nuestra ciudad el nuevo espectáculo de Berlín Zirkus, SU MAJESTAD EL CIRCO, una producción en la que reluce la esencia del....</t>
  </si>
  <si>
    <t>The Berlin Circus arrives in Baza, from May 9 to 12</t>
  </si>
  <si>
    <t>From May 9 to 12, the new show from Berlin Zirkus, HIS MAJESTY THE CIRCUS, arrives in our city, a production in which the essence of...</t>
  </si>
  <si>
    <r>
      <rPr>
        <rFont val="Arial, sans-serif"/>
        <color rgb="FF1155CC"/>
        <sz val="9.0"/>
        <u/>
      </rPr>
      <t>La Razón</t>
    </r>
    <r>
      <rPr>
        <rFont val="Arial, sans-serif"/>
        <color rgb="FF1155CC"/>
        <sz val="15.0"/>
        <u/>
      </rPr>
      <t>Sube el precio de la botella de butano a partir de este mes de mayo: este será el día exacto</t>
    </r>
    <r>
      <rPr>
        <rFont val="Arial, sans-serif"/>
        <color rgb="FF1155CC"/>
        <sz val="11.0"/>
        <u/>
      </rPr>
      <t>El Ejecutivo revisa cada dos meses el precio del gas butano y establece uno nuevo en función de diversos factores. La normativa vigente establece que la...</t>
    </r>
    <r>
      <rPr>
        <rFont val="Arial, sans-serif"/>
        <color rgb="FF1155CC"/>
        <sz val="12.0"/>
        <u/>
      </rPr>
      <t>.</t>
    </r>
    <r>
      <rPr>
        <rFont val="Arial, sans-serif"/>
        <color rgb="FF1155CC"/>
        <sz val="11.0"/>
        <u/>
      </rPr>
      <t>3 may 2024</t>
    </r>
  </si>
  <si>
    <t>Sube el precio de la botella de butano a partir de este mes de mayo: este será el día exacto</t>
  </si>
  <si>
    <t>El Ejecutivo revisa cada dos meses el precio del gas butano y establece uno nuevo en función de diversos factores. La normativa vigente establece que la....</t>
  </si>
  <si>
    <t>The price of the butane bottle increases starting this month of May: this will be the exact day</t>
  </si>
  <si>
    <t>The Executive reviews the price of butane gas every two months and establishes a new one based on various factors. The current regulations establish that...</t>
  </si>
  <si>
    <r>
      <rPr>
        <rFont val="Arial, sans-serif"/>
        <color rgb="FF1155CC"/>
        <sz val="9.0"/>
        <u/>
      </rPr>
      <t>El Periódico de España</t>
    </r>
    <r>
      <rPr>
        <rFont val="Arial, sans-serif"/>
        <color rgb="FF1155CC"/>
        <sz val="15.0"/>
        <u/>
      </rPr>
      <t>La Francisco de Vitoria reconoce a sus alumnos más brillantes</t>
    </r>
    <r>
      <rPr>
        <rFont val="Arial, sans-serif"/>
        <color rgb="FF1155CC"/>
        <sz val="11.0"/>
        <u/>
      </rPr>
      <t>Los Premios Optimus 2024 son un reconocimiento a los méritos del mejor alumno de cada generación de la universidad de Pozuelo.</t>
    </r>
    <r>
      <rPr>
        <rFont val="Arial, sans-serif"/>
        <color rgb="FF1155CC"/>
        <sz val="12.0"/>
        <u/>
      </rPr>
      <t>.</t>
    </r>
    <r>
      <rPr>
        <rFont val="Arial, sans-serif"/>
        <color rgb="FF1155CC"/>
        <sz val="11.0"/>
        <u/>
      </rPr>
      <t>3 may 2024</t>
    </r>
  </si>
  <si>
    <t>La Francisco de Vitoria reconoce a sus alumnos más brillantes</t>
  </si>
  <si>
    <t>Los Premios Optimus 2024 son un reconocimiento a los méritos del mejor alumno de cada generación de la universidad de Pozuelo.</t>
  </si>
  <si>
    <t>Francisco de Vitoria recognizes its most brilliant students</t>
  </si>
  <si>
    <t>The Optimus 2024 Awards are a recognition of the merits of the best student of each generation at the University of Pozuelo.</t>
  </si>
  <si>
    <r>
      <rPr>
        <rFont val="Arial, sans-serif"/>
        <color rgb="FF1155CC"/>
        <sz val="9.0"/>
        <u/>
      </rPr>
      <t>El Independiente</t>
    </r>
    <r>
      <rPr>
        <rFont val="Arial, sans-serif"/>
        <color rgb="FF1155CC"/>
        <sz val="15.0"/>
        <u/>
      </rPr>
      <t>Estos trabajadores tendrán una nómina extra en mayo</t>
    </r>
    <r>
      <rPr>
        <rFont val="Arial, sans-serif"/>
        <color rgb="FF1155CC"/>
        <sz val="11.0"/>
        <u/>
      </rPr>
      <t>Una serie de trabajadores en España contarán en mayo con una gran ventaja, en forma de nómina extra. Te contamos qué grupo es y por qué.</t>
    </r>
    <r>
      <rPr>
        <rFont val="Arial, sans-serif"/>
        <color rgb="FF1155CC"/>
        <sz val="12.0"/>
        <u/>
      </rPr>
      <t>.</t>
    </r>
    <r>
      <rPr>
        <rFont val="Arial, sans-serif"/>
        <color rgb="FF1155CC"/>
        <sz val="11.0"/>
        <u/>
      </rPr>
      <t>3 may 2024</t>
    </r>
  </si>
  <si>
    <t>Estos trabajadores tendrán una nómina extra en mayo</t>
  </si>
  <si>
    <t>Una serie de trabajadores en España contarán en mayo con una gran ventaja, en forma de nómina extra. Te contamos qué grupo es y por qué.</t>
  </si>
  <si>
    <t>These workers will have an extra payroll in May</t>
  </si>
  <si>
    <t>A series of workers in Spain will have a great advantage in May, in the form of extra payroll. We tell you what group it is and why.</t>
  </si>
  <si>
    <r>
      <rPr>
        <rFont val="Arial, sans-serif"/>
        <color rgb="FF1155CC"/>
        <sz val="9.0"/>
        <u/>
      </rPr>
      <t>Todocircuito.com</t>
    </r>
    <r>
      <rPr>
        <rFont val="Arial, sans-serif"/>
        <color rgb="FF1155CC"/>
        <sz val="15.0"/>
        <u/>
      </rPr>
      <t>Davide Brivio quiere llevarse a Joan Mir al Trackhouse para pilotar una moto satélite</t>
    </r>
    <r>
      <rPr>
        <rFont val="Arial, sans-serif"/>
        <color rgb="FF1155CC"/>
        <sz val="11.0"/>
        <u/>
      </rPr>
      <t>Joan Mir está hastiado de la situación en Honda. Desde su llegada a la fábrica tokiota, y forzado por la repentina marcha de Suzuki de MotoGP,...</t>
    </r>
    <r>
      <rPr>
        <rFont val="Arial, sans-serif"/>
        <color rgb="FF1155CC"/>
        <sz val="12.0"/>
        <u/>
      </rPr>
      <t>.</t>
    </r>
    <r>
      <rPr>
        <rFont val="Arial, sans-serif"/>
        <color rgb="FF1155CC"/>
        <sz val="11.0"/>
        <u/>
      </rPr>
      <t>3 may 2024</t>
    </r>
  </si>
  <si>
    <t>Davide Brivio quiere llevarse a Joan Mir al Trackhouse para pilotar una moto satélite</t>
  </si>
  <si>
    <t>Joan Mir está hastiado de la situación en Honda. Desde su llegada a la fábrica tokiota, y forzado por la repentina marcha de Suzuki de MotoGP,....</t>
  </si>
  <si>
    <t>Davide Brivio wants to take Joan Mir to the Trackhouse to ride a satellite motorcycle</t>
  </si>
  <si>
    <t>Joan Mir is fed up with the situation at Honda. Since its arrival at the Tokyo factory, and forced by Suzuki's sudden departure from MotoGP,...</t>
  </si>
  <si>
    <r>
      <rPr>
        <rFont val="Arial, sans-serif"/>
        <color rgb="FF1155CC"/>
        <sz val="9.0"/>
        <u/>
      </rPr>
      <t>Excmo. Ayuntamiento de Baza</t>
    </r>
    <r>
      <rPr>
        <rFont val="Arial, sans-serif"/>
        <color rgb="FF1155CC"/>
        <sz val="15.0"/>
        <u/>
      </rPr>
      <t>circo Berlín en Baza</t>
    </r>
    <r>
      <rPr>
        <rFont val="Arial, sans-serif"/>
        <color rgb="FF1155CC"/>
        <sz val="11.0"/>
        <u/>
      </rPr>
      <t>Del 9 a l 12 de mayo llega a nuestra ciudad el nuevo espectáculo de Berlín Zirkus, SU MAJESTAD EL CIRCO, una producción en la que reluce la esencia del...</t>
    </r>
    <r>
      <rPr>
        <rFont val="Arial, sans-serif"/>
        <color rgb="FF1155CC"/>
        <sz val="12.0"/>
        <u/>
      </rPr>
      <t>.</t>
    </r>
    <r>
      <rPr>
        <rFont val="Arial, sans-serif"/>
        <color rgb="FF1155CC"/>
        <sz val="11.0"/>
        <u/>
      </rPr>
      <t>3 may 2024</t>
    </r>
  </si>
  <si>
    <t>Excmo. Ayuntamiento de Bazacirco</t>
  </si>
  <si>
    <t>SU MAJESTAD EL CIRCO</t>
  </si>
  <si>
    <t>HIS MAJESTY THE CIRCUS</t>
  </si>
  <si>
    <r>
      <rPr>
        <rFont val="Arial, sans-serif"/>
        <color rgb="FF1155CC"/>
        <sz val="9.0"/>
        <u/>
      </rPr>
      <t>El Correo</t>
    </r>
    <r>
      <rPr>
        <rFont val="Arial, sans-serif"/>
        <color rgb="FF1155CC"/>
        <sz val="15.0"/>
        <u/>
      </rPr>
      <t>Repsol obtiene el permiso ambiental para sellar un viejo pozo de gas frente a Bermeo</t>
    </r>
    <r>
      <rPr>
        <rFont val="Arial, sans-serif"/>
        <color rgb="FF1155CC"/>
        <sz val="11.0"/>
        <u/>
      </rPr>
      <t>Repsol acaba de conseguir el permiso del Ministerio de Medio Ambiente para proceder al sellado de un viejo pozo de gas ubicado frente a las ... costas de...</t>
    </r>
    <r>
      <rPr>
        <rFont val="Arial, sans-serif"/>
        <color rgb="FF1155CC"/>
        <sz val="12.0"/>
        <u/>
      </rPr>
      <t>.</t>
    </r>
    <r>
      <rPr>
        <rFont val="Arial, sans-serif"/>
        <color rgb="FF1155CC"/>
        <sz val="11.0"/>
        <u/>
      </rPr>
      <t>4 may 2024</t>
    </r>
  </si>
  <si>
    <t>Repsol obtiene el permiso ambiental para sellar un viejo pozo de gas frente a Bermeo</t>
  </si>
  <si>
    <t>Repsol acaba de conseguir el permiso del Ministerio de Medio Ambiente para proceder al sellado de un viejo pozo de gas ubicado frente a las ... costas de....</t>
  </si>
  <si>
    <t>Repsol obtains environmental permit to seal an old gas well off Bermeo</t>
  </si>
  <si>
    <t>Repsol has just obtained permission from the Ministry of the Environment to proceed with the sealing of an old gas well located off the... coast of....</t>
  </si>
  <si>
    <t>Repsol environmental compliance, legal approval</t>
  </si>
  <si>
    <t>Cumplimiento ambiental de Repsol, homologación legal</t>
  </si>
  <si>
    <t>Compliance with environmental regulations strengthens Repsol’s corporate responsibility.</t>
  </si>
  <si>
    <t>permiso ambiental (compliance)</t>
  </si>
  <si>
    <t>Neutral/positive.</t>
  </si>
  <si>
    <t>Neutro/positivo.</t>
  </si>
  <si>
    <r>
      <rPr>
        <rFont val="Arial, sans-serif"/>
        <color rgb="FF1155CC"/>
        <sz val="9.0"/>
        <u/>
      </rPr>
      <t>heraldo.es</t>
    </r>
    <r>
      <rPr>
        <rFont val="Arial, sans-serif"/>
        <color rgb="FF1155CC"/>
        <sz val="15.0"/>
        <u/>
      </rPr>
      <t>El delicado postre para el Día de la Madre de una pastelería de Zaragoza con solete Repsol</t>
    </r>
    <r>
      <rPr>
        <rFont val="Arial, sans-serif"/>
        <color rgb="FF1155CC"/>
        <sz val="11.0"/>
        <u/>
      </rPr>
      <t>Un pastel con forma de rosa o un ponche rectangular fueron algunos intentos de hacer un postre común en esta celebración.</t>
    </r>
    <r>
      <rPr>
        <rFont val="Arial, sans-serif"/>
        <color rgb="FF1155CC"/>
        <sz val="12.0"/>
        <u/>
      </rPr>
      <t>.</t>
    </r>
    <r>
      <rPr>
        <rFont val="Arial, sans-serif"/>
        <color rgb="FF1155CC"/>
        <sz val="11.0"/>
        <u/>
      </rPr>
      <t>4 may 2024</t>
    </r>
  </si>
  <si>
    <t>El delicado postre para el Día de la Madre de una pastelería de Zaragoza con solete Repsol</t>
  </si>
  <si>
    <t>Un pastel con forma de rosa o un ponche rectangular fueron algunos intentos de hacer un postre común en esta celebración.</t>
  </si>
  <si>
    <t>The delicate dessert for Mother's Day from a pastry shop in Zaragoza with Repsol solete</t>
  </si>
  <si>
    <t>A rose-shaped cake or a rectangular punch were some attempts to make a common dessert at this celebration.</t>
  </si>
  <si>
    <r>
      <rPr>
        <rFont val="Arial, sans-serif"/>
        <color rgb="FF1155CC"/>
        <sz val="9.0"/>
        <u/>
      </rPr>
      <t>Box Repsol</t>
    </r>
    <r>
      <rPr>
        <rFont val="Arial, sans-serif"/>
        <color rgb="FF1155CC"/>
        <sz val="15.0"/>
        <u/>
      </rPr>
      <t>Resultados y resumen del X-Trial de Geneva 2024</t>
    </r>
    <r>
      <rPr>
        <rFont val="Arial, sans-serif"/>
        <color rgb="FF1155CC"/>
        <sz val="11.0"/>
        <u/>
      </rPr>
      <t>Nuevo doblete en el podio para el equipo Repsol Honda de Trial, que salió victorioso de Suiza, donde no se competía desde hace 12 años, para sumar ya 4...</t>
    </r>
    <r>
      <rPr>
        <rFont val="Arial, sans-serif"/>
        <color rgb="FF1155CC"/>
        <sz val="12.0"/>
        <u/>
      </rPr>
      <t>.</t>
    </r>
    <r>
      <rPr>
        <rFont val="Arial, sans-serif"/>
        <color rgb="FF1155CC"/>
        <sz val="11.0"/>
        <u/>
      </rPr>
      <t>4 may 2024</t>
    </r>
  </si>
  <si>
    <t>Nuevo doblete en el podio para el equipo Repsol Honda de Trial en el X-Trial de Geneva 2024.</t>
  </si>
  <si>
    <t>Nuevo doblete en el podio para el equipo Repsol Honda de Trial, que salió victorioso de Suiza, donde no se competía desde hace 12 años, para sumar ya 4.</t>
  </si>
  <si>
    <t>New double on the podium for the Repsol Honda Trial team at the 2024 Geneva X-Trial.</t>
  </si>
  <si>
    <t>New double on the podium for the Repsol Honda Trial team, which emerged victorious from Switzerland, where it had not competed for 12 years, to now add 4.</t>
  </si>
  <si>
    <t>Repsol MotoGP, motorsport performance</t>
  </si>
  <si>
    <t>Repsol MotoGP, rendimiento en el deporte del motor</t>
  </si>
  <si>
    <t>Strong performances in MotoGP reinforce Repsol’s motorsport sponsorship.</t>
  </si>
  <si>
    <t>doblete (success)</t>
  </si>
  <si>
    <t>Positive sports achievement.</t>
  </si>
  <si>
    <t>Logro deportivo positivo.</t>
  </si>
  <si>
    <r>
      <rPr>
        <rFont val="Arial, sans-serif"/>
        <color rgb="FF1155CC"/>
        <sz val="9.0"/>
        <u/>
      </rPr>
      <t>El Español</t>
    </r>
    <r>
      <rPr>
        <rFont val="Arial, sans-serif"/>
        <color rgb="FF1155CC"/>
        <sz val="15.0"/>
        <u/>
      </rPr>
      <t>Muere Ignacio Bayón, ministro de Industria y Energía con Adolfo Suárez y Calvo Sotelo</t>
    </r>
    <r>
      <rPr>
        <rFont val="Arial, sans-serif"/>
        <color rgb="FF1155CC"/>
        <sz val="11.0"/>
        <u/>
      </rPr>
      <t>Durante su etapa profesional, también formó parte de los consejos de Nestlé, Canal Plus, Repsol, Telefónica y Naturhouse, entre otros.</t>
    </r>
    <r>
      <rPr>
        <rFont val="Arial, sans-serif"/>
        <color rgb="FF1155CC"/>
        <sz val="12.0"/>
        <u/>
      </rPr>
      <t>.</t>
    </r>
    <r>
      <rPr>
        <rFont val="Arial, sans-serif"/>
        <color rgb="FF1155CC"/>
        <sz val="11.0"/>
        <u/>
      </rPr>
      <t>4 may 2024</t>
    </r>
  </si>
  <si>
    <t>Muere Ignacio Bayón, ministro de Industria y Energía con Adolfo Suárez y Calvo Sotelo</t>
  </si>
  <si>
    <t>Durante su etapa profesional, también formó parte de los consejos de Nestlé, Canal Plus, Repsol, Telefónica y Naturhouse, entre otros.</t>
  </si>
  <si>
    <t>Ignacio Bayón, Minister of Industry and Energy, dies with Adolfo Suárez and Calvo Sotelo</t>
  </si>
  <si>
    <t>During his professional career, he also served on the boards of Nestlé, Canal Plus, Repsol, Telefónica and Naturhouse, among others.</t>
  </si>
  <si>
    <r>
      <rPr>
        <rFont val="Arial, sans-serif"/>
        <color rgb="FF1155CC"/>
        <sz val="9.0"/>
        <u/>
      </rPr>
      <t>Ultima Hora</t>
    </r>
    <r>
      <rPr>
        <rFont val="Arial, sans-serif"/>
        <color rgb="FF1155CC"/>
        <sz val="15.0"/>
        <u/>
      </rPr>
      <t>Fallece Ignacio Bayón, exministro de Industria y Energía con Suárez y Calvo-Sotelo</t>
    </r>
    <r>
      <rPr>
        <rFont val="Arial, sans-serif"/>
        <color rgb="FF1155CC"/>
        <sz val="11.0"/>
        <u/>
      </rPr>
      <t>Su trayectoria profesional le llevó a los consejos de administración de compañías como Nestlé, Canal Plus, Repsol o Telefónica. El que fuera ministro de...</t>
    </r>
    <r>
      <rPr>
        <rFont val="Arial, sans-serif"/>
        <color rgb="FF1155CC"/>
        <sz val="12.0"/>
        <u/>
      </rPr>
      <t>.</t>
    </r>
    <r>
      <rPr>
        <rFont val="Arial, sans-serif"/>
        <color rgb="FF1155CC"/>
        <sz val="11.0"/>
        <u/>
      </rPr>
      <t>4 may 2024</t>
    </r>
  </si>
  <si>
    <t>Fallece Ignacio Bayón, exministro de Industria y Energía con Suárez y Calvo-Sotelo</t>
  </si>
  <si>
    <t>Fallece Ignacio Bayón, exministro de Industria y Energía con Suárez y Calvo-Sotelo. Su trayectoria profesional le llevó a los consejos de administración de compañías como Nestlé, Canal Plus, Repsol o Telefónica. El que fuera ministro de....</t>
  </si>
  <si>
    <t>Ignacio Bayón, former Minister of Industry and Energy with Suárez and Calvo-Sotelo, dies</t>
  </si>
  <si>
    <t>Ignacio Bayón, former Minister of Industry and Energy with Suárez and Calvo-Sotelo, dies. His professional career took him to the boards of directors of companies such as Nestlé, Canal Plus, Repsol and Telefónica. The one who was minister of...</t>
  </si>
  <si>
    <r>
      <rPr>
        <rFont val="Arial, sans-serif"/>
        <color rgb="FF1155CC"/>
        <sz val="9.0"/>
        <u/>
      </rPr>
      <t>El Día de Valladolid</t>
    </r>
    <r>
      <rPr>
        <rFont val="Arial, sans-serif"/>
        <color rgb="FF1155CC"/>
        <sz val="15.0"/>
        <u/>
      </rPr>
      <t>Un herido al explotar una bombona de butano en una vivienda de Cigales</t>
    </r>
    <r>
      <rPr>
        <rFont val="Arial, sans-serif"/>
        <color rgb="FF1155CC"/>
        <sz val="11.0"/>
        <u/>
      </rPr>
      <t>El hombre, de 79 años, ha sido trasladado al hospital.</t>
    </r>
    <r>
      <rPr>
        <rFont val="Arial, sans-serif"/>
        <color rgb="FF1155CC"/>
        <sz val="12.0"/>
        <u/>
      </rPr>
      <t>.</t>
    </r>
    <r>
      <rPr>
        <rFont val="Arial, sans-serif"/>
        <color rgb="FF1155CC"/>
        <sz val="11.0"/>
        <u/>
      </rPr>
      <t>4 may 2024</t>
    </r>
  </si>
  <si>
    <t>Un herido al explotar una bombona de butano en una vivienda de Cigales</t>
  </si>
  <si>
    <t>El hombre, de 79 años, ha sido trasladado al hospital.</t>
  </si>
  <si>
    <t>One injured when a butane cylinder explodes in a home in Cigales</t>
  </si>
  <si>
    <t>The 79-year-old man has been taken to hospital.</t>
  </si>
  <si>
    <r>
      <rPr>
        <rFont val="Arial, sans-serif"/>
        <color rgb="FF1155CC"/>
        <sz val="9.0"/>
        <u/>
      </rPr>
      <t>MOTOSAN</t>
    </r>
    <r>
      <rPr>
        <rFont val="Arial, sans-serif"/>
        <color rgb="FF1155CC"/>
        <sz val="15.0"/>
        <u/>
      </rPr>
      <t>Johann Zarco sobre la nueva Honda: "Creo que no trabajaremos más en esta moto"</t>
    </r>
    <r>
      <rPr>
        <rFont val="Arial, sans-serif"/>
        <color rgb="FF1155CC"/>
        <sz val="11.0"/>
        <u/>
      </rPr>
      <t>Johann Zarco no ve nada positivo en la nueva Honda que debutó en Jerez. Mucha gente afirma que en Jerez comienza verdaderamente el mundial de MotoGP y.</t>
    </r>
    <r>
      <rPr>
        <rFont val="Arial, sans-serif"/>
        <color rgb="FF1155CC"/>
        <sz val="12.0"/>
        <u/>
      </rPr>
      <t>.</t>
    </r>
    <r>
      <rPr>
        <rFont val="Arial, sans-serif"/>
        <color rgb="FF1155CC"/>
        <sz val="11.0"/>
        <u/>
      </rPr>
      <t>4 may 2024</t>
    </r>
  </si>
  <si>
    <t>"Creo que no trabajaremos más en esta moto"</t>
  </si>
  <si>
    <t>Johann Zarco no ve nada positivo en la nueva Honda que debutó en Jerez. Mucha gente afirma que en Jerez comienza verdaderamente el mundial de MotoGP y..</t>
  </si>
  <si>
    <t>"I think we won't work on this bike anymore"</t>
  </si>
  <si>
    <t>Johann Zarco does not see anything positive in the new Honda that debuted in Jerez. Many people claim that the MotoGP World Championship truly begins in Jerez and...</t>
  </si>
  <si>
    <r>
      <rPr>
        <rFont val="Arial, sans-serif"/>
        <color rgb="FF1155CC"/>
        <sz val="9.0"/>
        <u/>
      </rPr>
      <t>El Nacional.cat</t>
    </r>
    <r>
      <rPr>
        <rFont val="Arial, sans-serif"/>
        <color rgb="FF1155CC"/>
        <sz val="15.0"/>
        <u/>
      </rPr>
      <t>Muere Ignacio Bayón, ministro de Industria durante el Gobierno de Adolfo Suárez</t>
    </r>
    <r>
      <rPr>
        <rFont val="Arial, sans-serif"/>
        <color rgb="FF1155CC"/>
        <sz val="11.0"/>
        <u/>
      </rPr>
      <t>Bayón fue ministro de Industria entre 1980 y 1982 en los Ejecutivos de Suárez y Calvo Sotelo.</t>
    </r>
    <r>
      <rPr>
        <rFont val="Arial, sans-serif"/>
        <color rgb="FF1155CC"/>
        <sz val="12.0"/>
        <u/>
      </rPr>
      <t>.</t>
    </r>
    <r>
      <rPr>
        <rFont val="Arial, sans-serif"/>
        <color rgb="FF1155CC"/>
        <sz val="11.0"/>
        <u/>
      </rPr>
      <t>4 may 2024</t>
    </r>
  </si>
  <si>
    <t>Muere Ignacio Bayón, ministro de Industria durante el Gobierno de Adolfo Suárez</t>
  </si>
  <si>
    <t>Bayón fue ministro de Industria entre 1980 y 1982 en los Ejecutivos de Suárez y Calvo Sotelo.</t>
  </si>
  <si>
    <t>Ignacio Bayón, Minister of Industry during the Government of Adolfo Suárez, dies</t>
  </si>
  <si>
    <t>Bayón was Minister of Industry between 1980 and 1982 in the Executives of Suárez and Calvo Sotelo.</t>
  </si>
  <si>
    <r>
      <rPr>
        <rFont val="Arial, sans-serif"/>
        <color rgb="FF1155CC"/>
        <sz val="9.0"/>
        <u/>
      </rPr>
      <t>El Periódico Extremadura</t>
    </r>
    <r>
      <rPr>
        <rFont val="Arial, sans-serif"/>
        <color rgb="FF1155CC"/>
        <sz val="15.0"/>
        <u/>
      </rPr>
      <t>Muere Ignacio Bayón, ministro de Industria y Energía con Adolfo Suárez</t>
    </r>
    <r>
      <rPr>
        <rFont val="Arial, sans-serif"/>
        <color rgb="FF1155CC"/>
        <sz val="11.0"/>
        <u/>
      </rPr>
      <t>Durante su etapa profesional, tuvo una amplia carrera en el sector empresarial y formó parte de los consejos de Nestlé, Canal Plus, Repsol, Telefónica y...</t>
    </r>
    <r>
      <rPr>
        <rFont val="Arial, sans-serif"/>
        <color rgb="FF1155CC"/>
        <sz val="12.0"/>
        <u/>
      </rPr>
      <t>.</t>
    </r>
    <r>
      <rPr>
        <rFont val="Arial, sans-serif"/>
        <color rgb="FF1155CC"/>
        <sz val="11.0"/>
        <u/>
      </rPr>
      <t>4 may 2024</t>
    </r>
  </si>
  <si>
    <t>Muere Ignacio Bayón, ministro de Industria y Energía con Adolfo Suárez</t>
  </si>
  <si>
    <t>Durante su etapa profesional, tuvo una amplia carrera en el sector empresarial y formó parte de los consejos de Nestlé, Canal Plus, Repsol, Telefónica y....</t>
  </si>
  <si>
    <t>Ignacio Bayón, Minister of Industry and Energy, dies with Adolfo Suárez</t>
  </si>
  <si>
    <t>During his professional career, he had an extensive career in the business sector and was part of the boards of Nestlé, Canal Plus, Repsol, Telefónica and....</t>
  </si>
  <si>
    <r>
      <rPr>
        <rFont val="Arial, sans-serif"/>
        <color rgb="FF1155CC"/>
        <sz val="9.0"/>
        <u/>
      </rPr>
      <t>OkDiario</t>
    </r>
    <r>
      <rPr>
        <rFont val="Arial, sans-serif"/>
        <color rgb="FF1155CC"/>
        <sz val="15.0"/>
        <u/>
      </rPr>
      <t>La Comunidad de Madrid declara la cetrería como Bien de Interés Cultural del Patrimonio Inmaterial</t>
    </r>
    <r>
      <rPr>
        <rFont val="Arial, sans-serif"/>
        <color rgb="FF1155CC"/>
        <sz val="11.0"/>
        <u/>
      </rPr>
      <t>El Consejo de Gobierno de la Comunidad de Madrid ha declarado a la cetrería Bien de Interés Cultural (BIC) del Patrimonio Cultural, «un arte de caza...</t>
    </r>
    <r>
      <rPr>
        <rFont val="Arial, sans-serif"/>
        <color rgb="FF1155CC"/>
        <sz val="12.0"/>
        <u/>
      </rPr>
      <t>.</t>
    </r>
    <r>
      <rPr>
        <rFont val="Arial, sans-serif"/>
        <color rgb="FF1155CC"/>
        <sz val="11.0"/>
        <u/>
      </rPr>
      <t>4 may 2024</t>
    </r>
  </si>
  <si>
    <t>La Comunidad de Madrid declara la cetrería como Bien de Interés Cultural del Patrimonio Inmaterial</t>
  </si>
  <si>
    <t>El Consejo de Gobierno de la Comunidad de Madrid ha declarado a la cetrería Bien de Interés Cultural (BIC) del Patrimonio Cultural, «un arte de caza....</t>
  </si>
  <si>
    <t>The Community of Madrid declares falconry as an Asset of Cultural Interest of Intangible Heritage</t>
  </si>
  <si>
    <t>The Governing Council of the Community of Madrid has declared falconry an Asset of Cultural Interest (BIC) of Cultural Heritage, "an art of hunting....</t>
  </si>
  <si>
    <r>
      <rPr>
        <rFont val="Arial, sans-serif"/>
        <color rgb="FF1155CC"/>
        <sz val="9.0"/>
        <u/>
      </rPr>
      <t>El Economista</t>
    </r>
    <r>
      <rPr>
        <rFont val="Arial, sans-serif"/>
        <color rgb="FF1155CC"/>
        <sz val="15.0"/>
        <u/>
      </rPr>
      <t>Repsol propondrá a su junta el pago de un dividendo de 0,45 euros por acción en enero de 2025</t>
    </r>
    <r>
      <rPr>
        <rFont val="Arial, sans-serif"/>
        <color rgb="FF1155CC"/>
        <sz val="11.0"/>
        <u/>
      </rPr>
      <t>Repsol celebrará el viernes 10 de mayo su junta general de accionistas, en la que propondrá la distribución de un dividendo de 0,45 ...</t>
    </r>
    <r>
      <rPr>
        <rFont val="Arial, sans-serif"/>
        <color rgb="FF1155CC"/>
        <sz val="12.0"/>
        <u/>
      </rPr>
      <t>.</t>
    </r>
    <r>
      <rPr>
        <rFont val="Arial, sans-serif"/>
        <color rgb="FF1155CC"/>
        <sz val="11.0"/>
        <u/>
      </rPr>
      <t>5 may 2024</t>
    </r>
  </si>
  <si>
    <t>Repsol propondrá a su junta el pago de un dividendo de 0,45 euros por acción en enero de 2025</t>
  </si>
  <si>
    <t>Repsol celebrará el viernes 10 de mayo su junta general de accionistas, en la que propondrá la distribución de un dividendo de 0,45 ....</t>
  </si>
  <si>
    <t>Repsol will propose to its board the payment of a dividend of 0.45 euros per share in January 2025</t>
  </si>
  <si>
    <t>Repsol will hold its general shareholders meeting on Friday, May 10, at which it will propose the distribution of a dividend of 0.45...</t>
  </si>
  <si>
    <t>Repsol dividend, financial performance</t>
  </si>
  <si>
    <t>Dividendo Repsol, desempeño financiero</t>
  </si>
  <si>
    <t>Dividend payments reinforce Repsol’s financial stability and shareholder confidence.</t>
  </si>
  <si>
    <t>dividendo (shareholder value)</t>
  </si>
  <si>
    <t>Positive financial move.</t>
  </si>
  <si>
    <t>Movimiento financiero positivo.</t>
  </si>
  <si>
    <r>
      <rPr>
        <rFont val="Arial, sans-serif"/>
        <color rgb="FF1155CC"/>
        <sz val="9.0"/>
        <u/>
      </rPr>
      <t>Guía Repsol</t>
    </r>
    <r>
      <rPr>
        <rFont val="Arial, sans-serif"/>
        <color rgb="FF1155CC"/>
        <sz val="15.0"/>
        <u/>
      </rPr>
      <t>Dónde comer en Isla Cristina e Islantilla (Huelva)</t>
    </r>
    <r>
      <rPr>
        <rFont val="Arial, sans-serif"/>
        <color rgb="FF1155CC"/>
        <sz val="11.0"/>
        <u/>
      </rPr>
      <t>Descubre dónde comer en Isla Cristina e Islantilla, en Huelva. Preparamos una selección de los mejores chiringuitos, churerrerías, heladerías y parrillas...</t>
    </r>
    <r>
      <rPr>
        <rFont val="Arial, sans-serif"/>
        <color rgb="FF1155CC"/>
        <sz val="12.0"/>
        <u/>
      </rPr>
      <t>.</t>
    </r>
    <r>
      <rPr>
        <rFont val="Arial, sans-serif"/>
        <color rgb="FF1155CC"/>
        <sz val="11.0"/>
        <u/>
      </rPr>
      <t>5 may 2024</t>
    </r>
  </si>
  <si>
    <t>Dónde comer en Isla Cristina e Islantilla (Huelva)</t>
  </si>
  <si>
    <t>Descubre dónde comer en Isla Cristina e Islantilla, en Huelva. Preparamos una selección de los mejores chiringuitos, churerrerías, heladerías y parrillas....</t>
  </si>
  <si>
    <t>Where to eat on Isla Cristina and Islantilla (Huelva)</t>
  </si>
  <si>
    <t>Discover where to eat on Isla Cristina and Islantilla, in Huelva. We prepare a selection of the best beach bars, churerrerías, ice cream parlors and grills....</t>
  </si>
  <si>
    <r>
      <rPr>
        <rFont val="Arial, sans-serif"/>
        <color rgb="FF1155CC"/>
        <sz val="9.0"/>
        <u/>
      </rPr>
      <t>Automovilismo Canario</t>
    </r>
    <r>
      <rPr>
        <rFont val="Arial, sans-serif"/>
        <color rgb="FF1155CC"/>
        <sz val="15.0"/>
        <u/>
      </rPr>
      <t>Fallece Ignacio Bayón, presidente del Consejo de Administración Stellantis España S.L.</t>
    </r>
    <r>
      <rPr>
        <rFont val="Arial, sans-serif"/>
        <color rgb="FF1155CC"/>
        <sz val="11.0"/>
        <u/>
      </rPr>
      <t>Stellantis España S.L. lamenta profundamente el fallecimiento de Ignacio Bayón Mariné, presidente de su Consejo de Administración, que nos dejó el día 4 de...</t>
    </r>
    <r>
      <rPr>
        <rFont val="Arial, sans-serif"/>
        <color rgb="FF1155CC"/>
        <sz val="12.0"/>
        <u/>
      </rPr>
      <t>.</t>
    </r>
    <r>
      <rPr>
        <rFont val="Arial, sans-serif"/>
        <color rgb="FF1155CC"/>
        <sz val="11.0"/>
        <u/>
      </rPr>
      <t>5 may 2024</t>
    </r>
  </si>
  <si>
    <t>Fallece Ignacio Bayón, presidente del Consejo de Administración Stellantis España S.L.</t>
  </si>
  <si>
    <t>Stellantis España S.L. lamenta profundamente el fallecimiento de Ignacio Bayón Mariné, presidente de su Consejo de Administración, que nos dejó el día 4 de....</t>
  </si>
  <si>
    <t>Ignacio Bayón, president of the Board of Directors of Stellantis España S.L., passes away.</t>
  </si>
  <si>
    <t>Stellantis Spain S.L. deeply regrets the death of Ignacio Bayón Mariné, president of its Board of Directors, who left us on the 4th of...</t>
  </si>
  <si>
    <r>
      <rPr>
        <rFont val="Arial, sans-serif"/>
        <color rgb="FF1155CC"/>
        <sz val="9.0"/>
        <u/>
      </rPr>
      <t>La Crónica de Badajoz</t>
    </r>
    <r>
      <rPr>
        <rFont val="Arial, sans-serif"/>
        <color rgb="FF1155CC"/>
        <sz val="15.0"/>
        <u/>
      </rPr>
      <t>«Los mejores ingredientes para cocinar están en Badajoz»</t>
    </r>
    <r>
      <rPr>
        <rFont val="Arial, sans-serif"/>
        <color rgb="FF1155CC"/>
        <sz val="11.0"/>
        <u/>
      </rPr>
      <t>Arkaitz Herrera nació en 1998 en San Sebastián. Con cuatro años cambió el rumbo de su vida y se mudó a Badajoz junto a su madre. Ya desde pequeño vio en la...</t>
    </r>
    <r>
      <rPr>
        <rFont val="Arial, sans-serif"/>
        <color rgb="FF1155CC"/>
        <sz val="12.0"/>
        <u/>
      </rPr>
      <t>.</t>
    </r>
    <r>
      <rPr>
        <rFont val="Arial, sans-serif"/>
        <color rgb="FF1155CC"/>
        <sz val="11.0"/>
        <u/>
      </rPr>
      <t>5 may 2024</t>
    </r>
  </si>
  <si>
    <t>«Los mejores ingredientes para cocinar están en Badajoz»</t>
  </si>
  <si>
    <t>Arkaitz Herrera nació en 1998 en San Sebastián. Con cuatro años cambió el rumbo de su vida y se mudó a Badajoz junto a su madre. Ya desde pequeño vio en la....</t>
  </si>
  <si>
    <t>«The best ingredients for cooking are in Badajoz»</t>
  </si>
  <si>
    <t>Arkaitz Herrera was born in 1998 in San Sebastián. At the age of four, he changed the direction of his life and moved to Badajoz with his mother. Since he was little he saw in the...</t>
  </si>
  <si>
    <r>
      <rPr>
        <rFont val="Arial, sans-serif"/>
        <color rgb="FF1155CC"/>
        <sz val="9.0"/>
        <u/>
      </rPr>
      <t>EL PAÍS</t>
    </r>
    <r>
      <rPr>
        <rFont val="Arial, sans-serif"/>
        <color rgb="FF1155CC"/>
        <sz val="15.0"/>
        <u/>
      </rPr>
      <t>Dónde comer en Álava, según Edorta Lamo (Arrea!)</t>
    </r>
    <r>
      <rPr>
        <rFont val="Arial, sans-serif"/>
        <color rgb="FF1155CC"/>
        <sz val="11.0"/>
        <u/>
      </rPr>
      <t>El cocinero aconseja viajar hasta su pueblo para tomar la mejor tortilla de patatas, tomar un marianito en una tienda-bar, probar el licor de patata y comer...</t>
    </r>
    <r>
      <rPr>
        <rFont val="Arial, sans-serif"/>
        <color rgb="FF1155CC"/>
        <sz val="12.0"/>
        <u/>
      </rPr>
      <t>.</t>
    </r>
    <r>
      <rPr>
        <rFont val="Arial, sans-serif"/>
        <color rgb="FF1155CC"/>
        <sz val="11.0"/>
        <u/>
      </rPr>
      <t>5 may 2024</t>
    </r>
  </si>
  <si>
    <t>Dónde comer en Álava, según Edorta Lamo (Arrea!)</t>
  </si>
  <si>
    <t>El cocinero aconseja viajar hasta su pueblo para tomar la mejor tortilla de patatas, tomar un marianito en una tienda-bar, probar el licor de patata y comer....</t>
  </si>
  <si>
    <t>Where to eat in Álava, according to Edorta Lamo (Arrea!)</t>
  </si>
  <si>
    <t>The cook advises traveling to his town to have the best potato omelette, have a marianito in a store-bar, try the potato liquor and eat...</t>
  </si>
  <si>
    <r>
      <rPr>
        <rFont val="Arial, sans-serif"/>
        <color rgb="FF1155CC"/>
        <sz val="9.0"/>
        <u/>
      </rPr>
      <t>Esciclismo</t>
    </r>
    <r>
      <rPr>
        <rFont val="Arial, sans-serif"/>
        <color rgb="FF1155CC"/>
        <sz val="15.0"/>
        <u/>
      </rPr>
      <t>La Vuelta Femenina 2024: Clasificaciones completas de la 8ª etapa (última)</t>
    </r>
    <r>
      <rPr>
        <rFont val="Arial, sans-serif"/>
        <color rgb="FF1155CC"/>
        <sz val="11.0"/>
        <u/>
      </rPr>
      <t>Éstas son las clasificaciones completas tras la octava y última etapa de La Vuelta Ciclista a España Femenina 2024, de 89,5 kilómetros y disputada este...</t>
    </r>
    <r>
      <rPr>
        <rFont val="Arial, sans-serif"/>
        <color rgb="FF1155CC"/>
        <sz val="12.0"/>
        <u/>
      </rPr>
      <t>.</t>
    </r>
    <r>
      <rPr>
        <rFont val="Arial, sans-serif"/>
        <color rgb="FF1155CC"/>
        <sz val="11.0"/>
        <u/>
      </rPr>
      <t>5 may 2024</t>
    </r>
  </si>
  <si>
    <t>La Vuelta Femenina 2024: Clasificaciones completas de la 8ª etapa (última)</t>
  </si>
  <si>
    <t>Éstas son las clasificaciones completas tras la octava y última etapa de La Vuelta Ciclista a España Femenina 2024, de 89,5 kilómetros y disputada este....</t>
  </si>
  <si>
    <t>La Vuelta Femenina 2024: Complete classifications of the 8th stage (last)</t>
  </si>
  <si>
    <t>These are the complete classifications after the eighth and final stage of La Vuelta Ciclista a España Femenina 2024, of 89.5 kilometers and held this...</t>
  </si>
  <si>
    <r>
      <rPr>
        <rFont val="Arial, sans-serif"/>
        <color rgb="FF1155CC"/>
        <sz val="9.0"/>
        <u/>
      </rPr>
      <t>El Español</t>
    </r>
    <r>
      <rPr>
        <rFont val="Arial, sans-serif"/>
        <color rgb="FF1155CC"/>
        <sz val="15.0"/>
        <u/>
      </rPr>
      <t>Repsol concluye su parada técnica en Puertollano después de invertir 120 millones de euros</t>
    </r>
    <r>
      <rPr>
        <rFont val="Arial, sans-serif"/>
        <color rgb="FF1155CC"/>
        <sz val="11.0"/>
        <u/>
      </rPr>
      <t>El complejo industrial de Repsol en Puertollano ha iniciado un nuevo ciclo productivo tras la actualización tecnológica que se ha llevado a cabo durante la...</t>
    </r>
    <r>
      <rPr>
        <rFont val="Arial, sans-serif"/>
        <color rgb="FF1155CC"/>
        <sz val="12.0"/>
        <u/>
      </rPr>
      <t>.</t>
    </r>
    <r>
      <rPr>
        <rFont val="Arial, sans-serif"/>
        <color rgb="FF1155CC"/>
        <sz val="11.0"/>
        <u/>
      </rPr>
      <t>6 may 2024</t>
    </r>
  </si>
  <si>
    <t>Repsol concluye su parada técnica en Puertollano después de invertir 120 millones de euros</t>
  </si>
  <si>
    <t>El complejo industrial de Repsol en Puertollano ha iniciado un nuevo ciclo productivo tras la actualización tecnológica que se ha llevado a cabo durante la....</t>
  </si>
  <si>
    <t>Repsol concludes its technical stoppage in Puertollano after investing 120 million euros</t>
  </si>
  <si>
    <t>The Repsol industrial complex in Puertollano has started a new production cycle after the technological update that has been carried out during the...</t>
  </si>
  <si>
    <t>Routine maintenance ensures operational efficiency but has limited public impact.</t>
  </si>
  <si>
    <t>invierte 120 millones (investment)</t>
  </si>
  <si>
    <t>Positive operational update.</t>
  </si>
  <si>
    <t>Actualización operativa positiva.</t>
  </si>
  <si>
    <r>
      <rPr>
        <rFont val="Arial, sans-serif"/>
        <color rgb="FF1155CC"/>
        <sz val="9.0"/>
        <u/>
      </rPr>
      <t>Expansión</t>
    </r>
    <r>
      <rPr>
        <rFont val="Arial, sans-serif"/>
        <color rgb="FF1155CC"/>
        <sz val="15.0"/>
        <u/>
      </rPr>
      <t>Las gasolineras 'low cost' logran cuotas récord y sacuden a Repsol, Cepsa y BP</t>
    </r>
    <r>
      <rPr>
        <rFont val="Arial, sans-serif"/>
        <color rgb="FF1155CC"/>
        <sz val="11.0"/>
        <u/>
      </rPr>
      <t>Repsol, Cepsa y otras grandes petroleras sucumben ante el fulgurante empuje del 'low cost' y abren la veda a la compra de redes como Ballenoil y Plenoil...</t>
    </r>
    <r>
      <rPr>
        <rFont val="Arial, sans-serif"/>
        <color rgb="FF1155CC"/>
        <sz val="12.0"/>
        <u/>
      </rPr>
      <t>.</t>
    </r>
    <r>
      <rPr>
        <rFont val="Arial, sans-serif"/>
        <color rgb="FF1155CC"/>
        <sz val="11.0"/>
        <u/>
      </rPr>
      <t>6 may 2024</t>
    </r>
  </si>
  <si>
    <t>Las gasolineras 'low cost' logran cuotas récord y sacuden a Repsol, Cepsa y BP</t>
  </si>
  <si>
    <t>Repsol, Cepsa y otras grandes petroleras sucumben ante el fulgurante empuje del 'low cost' y abren la veda a la compra de redes como Ballenoil y Plenoil.</t>
  </si>
  <si>
    <t>'Low cost' gas stations achieve record quotas and shake Repsol, Cepsa and BP</t>
  </si>
  <si>
    <t>Repsol, Cepsa and other large oil companies succumb to the dazzling push of 'low cost' and open the ban on the purchase of networks such as Ballenoil and Plenoil.</t>
  </si>
  <si>
    <t>Repsol market competition, energy sector</t>
  </si>
  <si>
    <t>Competencia en el mercado de Repsol, sector energético</t>
  </si>
  <si>
    <t>Increased competition from low-cost stations may impact Repsol’s market share.</t>
  </si>
  <si>
    <t>sacuden (competition threat)</t>
  </si>
  <si>
    <t>Negative market pressure.</t>
  </si>
  <si>
    <t>Presión negativa del mercado.</t>
  </si>
  <si>
    <r>
      <rPr>
        <rFont val="Arial, sans-serif"/>
        <color rgb="FF1155CC"/>
        <sz val="9.0"/>
        <u/>
      </rPr>
      <t>Estrategias de Inversión</t>
    </r>
    <r>
      <rPr>
        <rFont val="Arial, sans-serif"/>
        <color rgb="FF1155CC"/>
        <sz val="15.0"/>
        <u/>
      </rPr>
      <t>Repsol: dividendo de 0,45 euros para enero de 2025 y otro complementario de 0,5 euros para julio</t>
    </r>
    <r>
      <rPr>
        <rFont val="Arial, sans-serif"/>
        <color rgb="FF1155CC"/>
        <sz val="11.0"/>
        <u/>
      </rPr>
      <t>Repsol se prepara para su junta general de accionistas, programada para el 10 de mayo, donde propondrá la distribución de un dividendo de 0,45 euros brutos...</t>
    </r>
    <r>
      <rPr>
        <rFont val="Arial, sans-serif"/>
        <color rgb="FF1155CC"/>
        <sz val="12.0"/>
        <u/>
      </rPr>
      <t>.</t>
    </r>
    <r>
      <rPr>
        <rFont val="Arial, sans-serif"/>
        <color rgb="FF1155CC"/>
        <sz val="11.0"/>
        <u/>
      </rPr>
      <t>6 may 2024</t>
    </r>
  </si>
  <si>
    <t>Repsol: dividendo de 0,45 euros para enero de 2025 y otro complementario de 0,5 euros para julio</t>
  </si>
  <si>
    <t>Repsol se prepara para su junta general de accionistas, programada para el 10 de mayo, donde propondrá la distribución de un dividendo de 0,45 euros brutos.</t>
  </si>
  <si>
    <t>Repsol: dividend of 0.45 euros for January 2025 and another complementary dividend of 0.5 euros for July</t>
  </si>
  <si>
    <t>Repsol is preparing for its general meeting of shareholders, scheduled for May 10, where it will propose the distribution of a dividend of 0.45 euros gross.</t>
  </si>
  <si>
    <t>Announcing dividends strengthens investor confidence in Repsol.</t>
  </si>
  <si>
    <t>dividendo (shareholder return)</t>
  </si>
  <si>
    <t>Positive financial news.</t>
  </si>
  <si>
    <t>Noticias financieras positivas.</t>
  </si>
  <si>
    <r>
      <rPr>
        <rFont val="Arial, sans-serif"/>
        <color rgb="FF1155CC"/>
        <sz val="9.0"/>
        <u/>
      </rPr>
      <t>Valencia Plaza</t>
    </r>
    <r>
      <rPr>
        <rFont val="Arial, sans-serif"/>
        <color rgb="FF1155CC"/>
        <sz val="15.0"/>
        <u/>
      </rPr>
      <t>Genia Bionergy acelera al calor de Repsol: nueva planta de biometano en Salamanca por 25 millones</t>
    </r>
    <r>
      <rPr>
        <rFont val="Arial, sans-serif"/>
        <color rgb="FF1155CC"/>
        <sz val="11.0"/>
        <u/>
      </rPr>
      <t>VALÈNCIA. La valenciana Genia Bioenergy, filial de gases renovables del grupo Genia Global Energy, sigue adelante con su hoja de ruta para generar una...</t>
    </r>
    <r>
      <rPr>
        <rFont val="Arial, sans-serif"/>
        <color rgb="FF1155CC"/>
        <sz val="12.0"/>
        <u/>
      </rPr>
      <t>.</t>
    </r>
    <r>
      <rPr>
        <rFont val="Arial, sans-serif"/>
        <color rgb="FF1155CC"/>
        <sz val="11.0"/>
        <u/>
      </rPr>
      <t>6 may 2024</t>
    </r>
  </si>
  <si>
    <t>Genia Bionergy acelera al calor de Repsol: nueva planta de biometano en Salamanca por 25 millones</t>
  </si>
  <si>
    <t>Genia Bioenergy, filial de gases renovables del grupo Genia Global Energy, sigue adelante con su hoja de ruta para generar una....</t>
  </si>
  <si>
    <t>Genia Bionergy accelerates the heat of Repsol: new biomethane plant in Salamanca for 25 million</t>
  </si>
  <si>
    <t>Genia Bioenergy, renewable gases subsidiary of the Genia Global Energy group, continues with its roadmap to generate a...</t>
  </si>
  <si>
    <t>Expanding biomethane production reinforces Repsol’s renewable energy strategy.</t>
  </si>
  <si>
    <t>nueva planta de biometano (green initiative)</t>
  </si>
  <si>
    <t>Positive sustainability.</t>
  </si>
  <si>
    <t>Sostenibilidad positiva.</t>
  </si>
  <si>
    <r>
      <rPr>
        <rFont val="Arial, sans-serif"/>
        <color rgb="FF1155CC"/>
        <sz val="9.0"/>
        <u/>
      </rPr>
      <t>Cadena SER</t>
    </r>
    <r>
      <rPr>
        <rFont val="Arial, sans-serif"/>
        <color rgb="FF1155CC"/>
        <sz val="15.0"/>
        <u/>
      </rPr>
      <t>Finaliza con éxito la parada más grande de la historia del Complejo Industrial de Repsol en Puertollano</t>
    </r>
    <r>
      <rPr>
        <rFont val="Arial, sans-serif"/>
        <color rgb="FF1155CC"/>
        <sz val="11.0"/>
        <u/>
      </rPr>
      <t>Puertollano. El Complejo Industrial de Repsol en Puertollano inicia un nuevo ciclo productivo tras la profunda actualización tecnológica que se ha llevado a...</t>
    </r>
    <r>
      <rPr>
        <rFont val="Arial, sans-serif"/>
        <color rgb="FF1155CC"/>
        <sz val="12.0"/>
        <u/>
      </rPr>
      <t>.</t>
    </r>
    <r>
      <rPr>
        <rFont val="Arial, sans-serif"/>
        <color rgb="FF1155CC"/>
        <sz val="11.0"/>
        <u/>
      </rPr>
      <t>6 may 2024</t>
    </r>
  </si>
  <si>
    <t>Finaliza con éxito la parada más grande de la historia del Complejo Industrial de Repsol en Puertollano</t>
  </si>
  <si>
    <t>El Complejo Industrial de Repsol en Puertollano inicia un nuevo ciclo productivo tras la profunda actualización tecnológica que se ha llevado a cabo.</t>
  </si>
  <si>
    <t>The largest stoppage in the history of the Repsol Industrial Complex in Puertollano successfully concludes</t>
  </si>
  <si>
    <t>The Repsol Industrial Complex in Puertollano begins a new production cycle after the profound technological update that has been carried out.</t>
  </si>
  <si>
    <t>Large-scale maintenance ensures operational stability but has limited public impact.</t>
  </si>
  <si>
    <t>éxito (operational efficiency)</t>
  </si>
  <si>
    <r>
      <rPr>
        <rFont val="Arial, sans-serif"/>
        <color rgb="FF1155CC"/>
        <sz val="9.0"/>
        <u/>
      </rPr>
      <t>Diari de Tarragona</t>
    </r>
    <r>
      <rPr>
        <rFont val="Arial, sans-serif"/>
        <color rgb="FF1155CC"/>
        <sz val="15.0"/>
        <u/>
      </rPr>
      <t>Una caída de tensión genera una columna de humo en las chimeneas de Repsol Tarragona</t>
    </r>
    <r>
      <rPr>
        <rFont val="Arial, sans-serif"/>
        <color rgb="FF1155CC"/>
        <sz val="11.0"/>
        <u/>
      </rPr>
      <t>El complejo industrial del polígono norte de Tarragona ha vivido esta mañana un episodio de llamas y humo visible en las chimeneas de seguridad de Repsol,...</t>
    </r>
    <r>
      <rPr>
        <rFont val="Arial, sans-serif"/>
        <color rgb="FF1155CC"/>
        <sz val="12.0"/>
        <u/>
      </rPr>
      <t>.</t>
    </r>
    <r>
      <rPr>
        <rFont val="Arial, sans-serif"/>
        <color rgb="FF1155CC"/>
        <sz val="11.0"/>
        <u/>
      </rPr>
      <t>6 may 2024</t>
    </r>
  </si>
  <si>
    <t>Una caída de tensión genera una columna de humo en las chimeneas de Repsol Tarragona</t>
  </si>
  <si>
    <t>El complejo industrial del polígono norte de Tarragona ha vivido esta mañana un episodio de llamas y humo visible en las chimeneas de seguridad de Repsol,....</t>
  </si>
  <si>
    <t>A voltage drop generates a column of smoke in the chimneys of Repsol Tarragona</t>
  </si>
  <si>
    <t>This morning, the industrial complex in the northern industrial estate of Tarragona experienced an episode of flames and smoke visible in the Repsol security chimneys....</t>
  </si>
  <si>
    <t>Repsol operational incident, safety concerns</t>
  </si>
  <si>
    <t>Incidente operativo de Repsol, preocupaciones de seguridad</t>
  </si>
  <si>
    <t>Minor operational disruptions may raise short-term safety concerns.</t>
  </si>
  <si>
    <t>humo (incident)</t>
  </si>
  <si>
    <t>Mildly negative.</t>
  </si>
  <si>
    <r>
      <rPr>
        <rFont val="Arial, sans-serif"/>
        <color rgb="FF1155CC"/>
        <sz val="9.0"/>
        <u/>
      </rPr>
      <t>Yahoo Finanzas</t>
    </r>
    <r>
      <rPr>
        <rFont val="Arial, sans-serif"/>
        <color rgb="FF1155CC"/>
        <sz val="15.0"/>
        <u/>
      </rPr>
      <t>Repsol: dividendo de 0,45 euros para enero de 2025 y otro complementario de 0,5 euros para julio</t>
    </r>
    <r>
      <rPr>
        <rFont val="Arial, sans-serif"/>
        <color rgb="FF1155CC"/>
        <sz val="11.0"/>
        <u/>
      </rPr>
      <t>Repsol celebrará su junta general de accionistas proponiendo un dividendo de 0,45 euros brutos por acción con cargo a reservas libres y un dividendo...</t>
    </r>
    <r>
      <rPr>
        <rFont val="Arial, sans-serif"/>
        <color rgb="FF1155CC"/>
        <sz val="12.0"/>
        <u/>
      </rPr>
      <t>.</t>
    </r>
    <r>
      <rPr>
        <rFont val="Arial, sans-serif"/>
        <color rgb="FF1155CC"/>
        <sz val="11.0"/>
        <u/>
      </rPr>
      <t>6 may 2024</t>
    </r>
  </si>
  <si>
    <t>Repsol celebrará su junta general de accionistas proponiendo un dividendo de 0,45 euros brutos por acción con cargo a reservas libres y un dividendo....</t>
  </si>
  <si>
    <t>Repsol will hold its general meeting of shareholders proposing a dividend of 0.45 euros gross per share charged to free reserves and a dividend....</t>
  </si>
  <si>
    <t>Repsol dividend, financial strategy</t>
  </si>
  <si>
    <t>Dividendo Repsol, estrategia financiera</t>
  </si>
  <si>
    <t>Announcing strong dividend payments reinforces investor confidence in Repsol.</t>
  </si>
  <si>
    <t>dividendo</t>
  </si>
  <si>
    <r>
      <rPr>
        <rFont val="Arial, sans-serif"/>
        <color rgb="FF1155CC"/>
        <sz val="9.0"/>
        <u/>
      </rPr>
      <t>Economía Digital</t>
    </r>
    <r>
      <rPr>
        <rFont val="Arial, sans-serif"/>
        <color rgb="FF1155CC"/>
        <sz val="15.0"/>
        <u/>
      </rPr>
      <t>Repsol impulsa al Puerto de A Coruña, que cierra el mejor mes de su historia</t>
    </r>
    <r>
      <rPr>
        <rFont val="Arial, sans-serif"/>
        <color rgb="FF1155CC"/>
        <sz val="11.0"/>
        <u/>
      </rPr>
      <t>El mayor crecimiento con respecto al mismo mes de 2023 se produjo en graneles líquidos debido a la actividad en los tráficos vinculados al complejo...</t>
    </r>
    <r>
      <rPr>
        <rFont val="Arial, sans-serif"/>
        <color rgb="FF1155CC"/>
        <sz val="12.0"/>
        <u/>
      </rPr>
      <t>.</t>
    </r>
    <r>
      <rPr>
        <rFont val="Arial, sans-serif"/>
        <color rgb="FF1155CC"/>
        <sz val="11.0"/>
        <u/>
      </rPr>
      <t>6 may 2024</t>
    </r>
  </si>
  <si>
    <t>Repsol impulsa al Puerto de A Coruña, que cierra el mejor mes de su historia</t>
  </si>
  <si>
    <t>El mayor crecimiento con respecto al mismo mes de 2023 se produjo en graneles líquidos debido a la actividad en los tráficos vinculados al complejo....</t>
  </si>
  <si>
    <t>Repsol promotes the Port of A Coruña, which closes the best month in its history</t>
  </si>
  <si>
    <t>The greatest growth compared to the same month in 2023 occurred in liquid bulk due to the activity in traffic linked to the complex....</t>
  </si>
  <si>
    <t>Repsol port logistics, business expansion</t>
  </si>
  <si>
    <t>Repsol logística portuaria, expansión empresarial</t>
  </si>
  <si>
    <t>Supporting logistics infrastructure reinforces Repsol’s expansion strategy.</t>
  </si>
  <si>
    <t>impulsa (economic contribution)</t>
  </si>
  <si>
    <r>
      <rPr>
        <rFont val="Arial, sans-serif"/>
        <color rgb="FF1155CC"/>
        <sz val="9.0"/>
        <u/>
      </rPr>
      <t>Levante-EMV</t>
    </r>
    <r>
      <rPr>
        <rFont val="Arial, sans-serif"/>
        <color rgb="FF1155CC"/>
        <sz val="15.0"/>
        <u/>
      </rPr>
      <t>La valenciana Genia y Repsol invierten 25 millones en una planta de biogás en Salamanca</t>
    </r>
    <r>
      <rPr>
        <rFont val="Arial, sans-serif"/>
        <color rgb="FF1155CC"/>
        <sz val="11.0"/>
        <u/>
      </rPr>
      <t>Joan Batalla. València 06 MAY 2024 13:57 Actualizada 06 MAY 2024 16:32. La valenciana Genia Bioenergy y Repsol van a invertir 25 millones de euros en una...</t>
    </r>
    <r>
      <rPr>
        <rFont val="Arial, sans-serif"/>
        <color rgb="FF1155CC"/>
        <sz val="12.0"/>
        <u/>
      </rPr>
      <t>.</t>
    </r>
    <r>
      <rPr>
        <rFont val="Arial, sans-serif"/>
        <color rgb="FF1155CC"/>
        <sz val="11.0"/>
        <u/>
      </rPr>
      <t>6 may 2024</t>
    </r>
  </si>
  <si>
    <t>La valenciana Genia y Repsol invierten 25 millones en una planta de biogás en Salamanca</t>
  </si>
  <si>
    <t>La valenciana Genia Bioenergy y Repsol van a invertir 25 millones de euros en una planta de biogás en Salamanca.</t>
  </si>
  <si>
    <t>The Valencian Genia and Repsol invest 25 million in a biogas plant in Salamanca</t>
  </si>
  <si>
    <t>The Valencian Genia Bioenergy and Repsol are going to invest 25 million euros in a biogas plant in Salamanca.</t>
  </si>
  <si>
    <t>invierten (green investment)</t>
  </si>
  <si>
    <r>
      <rPr>
        <rFont val="Arial, sans-serif"/>
        <color rgb="FF1155CC"/>
        <sz val="9.0"/>
        <u/>
      </rPr>
      <t>Infobae</t>
    </r>
    <r>
      <rPr>
        <rFont val="Arial, sans-serif"/>
        <color rgb="FF1155CC"/>
        <sz val="15.0"/>
        <u/>
      </rPr>
      <t>El espectacular restaurante especializado en lechazo y tortilla guisada que está dentro de una cueva</t>
    </r>
    <r>
      <rPr>
        <rFont val="Arial, sans-serif"/>
        <color rgb="FF1155CC"/>
        <sz val="11.0"/>
        <u/>
      </rPr>
      <t>Esta bodega-restaurante, recomendada por la Guía Repsol, lleva abierta más de 40 años y sirve especialidades como la morcilla de León, las mollejas de...</t>
    </r>
    <r>
      <rPr>
        <rFont val="Arial, sans-serif"/>
        <color rgb="FF1155CC"/>
        <sz val="12.0"/>
        <u/>
      </rPr>
      <t>.</t>
    </r>
    <r>
      <rPr>
        <rFont val="Arial, sans-serif"/>
        <color rgb="FF1155CC"/>
        <sz val="11.0"/>
        <u/>
      </rPr>
      <t>6 may 2024</t>
    </r>
  </si>
  <si>
    <t>El espectacular restaurante especializado en lechazo y tortilla guisada que está dentro de una cueva</t>
  </si>
  <si>
    <t>Esta bodega-restaurante, recomendada por la Guía Repsol, lleva abierta más de 40 años y sirve especialidades como la morcilla de León, las mollejas de....</t>
  </si>
  <si>
    <t>The spectacular restaurant specializing in suckling lamb and stewed tortilla that is inside a cave</t>
  </si>
  <si>
    <t>This winery-restaurant, recommended by the Repsol Guide, has been open for more than 40 years and serves specialties such as León blood sausage, sweetbreads....</t>
  </si>
  <si>
    <r>
      <rPr>
        <rFont val="Arial, sans-serif"/>
        <color rgb="FF1155CC"/>
        <sz val="9.0"/>
        <u/>
      </rPr>
      <t>PubliMotos</t>
    </r>
    <r>
      <rPr>
        <rFont val="Arial, sans-serif"/>
        <color rgb="FF1155CC"/>
        <sz val="15.0"/>
        <u/>
      </rPr>
      <t>Repsol y la presentación de sus nuevos lubricantes</t>
    </r>
    <r>
      <rPr>
        <color rgb="FF1155CC"/>
        <sz val="11.0"/>
        <u/>
      </rPr>
      <t>Repsol es una de las marcas de lubricantes que tiene todo el control absoluto desde el proceso de extraer el crudo, hasta el desarrollo de todos sus...</t>
    </r>
    <r>
      <rPr>
        <color rgb="FF1155CC"/>
        <u/>
      </rPr>
      <t>.</t>
    </r>
    <r>
      <rPr>
        <color rgb="FF1155CC"/>
        <sz val="11.0"/>
        <u/>
      </rPr>
      <t>6 may 2024</t>
    </r>
  </si>
  <si>
    <t>PubliMotos</t>
  </si>
  <si>
    <t>Repsol y la presentación de sus nuevos lubricantes</t>
  </si>
  <si>
    <t>Repsol es una de las marcas de lubricantes que tiene todo el control absoluto desde el proceso de extraer el crudo, hasta el desarrollo de todos sus....</t>
  </si>
  <si>
    <t>Repsol and the presentation of its new lubricants</t>
  </si>
  <si>
    <t>Repsol is one of the lubricant brands that has absolute control from the process of extracting crude oil to the development of all its...</t>
  </si>
  <si>
    <t>Repsol lubricants, product innovation</t>
  </si>
  <si>
    <t>Lubricantes Repsol, innovación de producto</t>
  </si>
  <si>
    <t>Launching new lubricant products strengthens Repsol’s market offerings.</t>
  </si>
  <si>
    <t>nuevos lubricantes (innovation)</t>
  </si>
  <si>
    <r>
      <rPr>
        <rFont val="Arial, sans-serif"/>
        <color rgb="FF1155CC"/>
        <sz val="9.0"/>
        <u/>
      </rPr>
      <t>Transporte 3</t>
    </r>
    <r>
      <rPr>
        <rFont val="Arial, sans-serif"/>
        <color rgb="FF1155CC"/>
        <sz val="15.0"/>
        <u/>
      </rPr>
      <t>Sesé y Repsol alcanzan el mayor acuerdo de suministro de combustible renovable en España</t>
    </r>
    <r>
      <rPr>
        <rFont val="Arial, sans-serif"/>
        <color rgb="FF1155CC"/>
        <sz val="11.0"/>
        <u/>
      </rPr>
      <t>Tras la realización en 2022 de las primeras pruebas piloto en España con este tipo de combustible en transporte de mercancías, Sesé y Repsol.</t>
    </r>
    <r>
      <rPr>
        <rFont val="Arial, sans-serif"/>
        <color rgb="FF1155CC"/>
        <sz val="12.0"/>
        <u/>
      </rPr>
      <t>.</t>
    </r>
    <r>
      <rPr>
        <rFont val="Arial, sans-serif"/>
        <color rgb="FF1155CC"/>
        <sz val="11.0"/>
        <u/>
      </rPr>
      <t>7 may 2024</t>
    </r>
  </si>
  <si>
    <t>Transporte 3</t>
  </si>
  <si>
    <t>Sesé y Repsol alcanzan el mayor acuerdo de suministro de combustible renovable en España</t>
  </si>
  <si>
    <t>Tras la realización en 2022 de las primeras pruebas piloto en España con este tipo de combustible en transporte de mercancías, Sesé y Repsol han alcanzado un acuerdo significativo para el suministro de combustible renovable.</t>
  </si>
  <si>
    <t>Sesé and Repsol reach the largest renewable fuel supply agreement in Spain</t>
  </si>
  <si>
    <t>After carrying out the first pilot tests in Spain with this type of fuel in freight transport in 2022, Sesé and Repsol have reached a significant agreement for the supply of renewable fuel.</t>
  </si>
  <si>
    <t>Repsol renewable fuel, business partnership</t>
  </si>
  <si>
    <t>Repsol combustibles renovables, alianza empresarial</t>
  </si>
  <si>
    <t>Expanding renewable fuel supply agreements supports Repsol’s sustainability goals.</t>
  </si>
  <si>
    <t>mayor acuerdo (partnership)</t>
  </si>
  <si>
    <t>Positive deal.</t>
  </si>
  <si>
    <t>Trato positivo.</t>
  </si>
  <si>
    <r>
      <rPr>
        <rFont val="Arial, sans-serif"/>
        <color rgb="FF1155CC"/>
        <sz val="9.0"/>
        <u/>
      </rPr>
      <t>elmercantil.com</t>
    </r>
    <r>
      <rPr>
        <rFont val="Arial, sans-serif"/>
        <color rgb="FF1155CC"/>
        <sz val="15.0"/>
        <u/>
      </rPr>
      <t>Sesé sella una alianza con Repsol para suministrar combustible renovable a su flota</t>
    </r>
    <r>
      <rPr>
        <rFont val="Arial, sans-serif"/>
        <color rgb="FF1155CC"/>
        <sz val="11.0"/>
        <u/>
      </rPr>
      <t>El acuerdo entre ambas compañías contempla el suministro de ocho millones de litros de HVO en los próximos dos años.</t>
    </r>
    <r>
      <rPr>
        <rFont val="Arial, sans-serif"/>
        <color rgb="FF1155CC"/>
        <sz val="12.0"/>
        <u/>
      </rPr>
      <t>.</t>
    </r>
    <r>
      <rPr>
        <rFont val="Arial, sans-serif"/>
        <color rgb="FF1155CC"/>
        <sz val="11.0"/>
        <u/>
      </rPr>
      <t>7 may 2024</t>
    </r>
  </si>
  <si>
    <t>Sesé sella una alianza con Repsol para suministrar combustible renovable a su flota</t>
  </si>
  <si>
    <t>El acuerdo entre ambas compañías contempla el suministro de ocho millones de litros de HVO en los próximos dos años.</t>
  </si>
  <si>
    <t>Sesé seals an alliance with Repsol to supply renewable fuel to its fleet</t>
  </si>
  <si>
    <t>The agreement between both companies contemplates the supply of eight million liters of HVO in the next two years.</t>
  </si>
  <si>
    <t>Repsol renewable fuel, sustainability initiative</t>
  </si>
  <si>
    <t>Repsol combustibles renovables, iniciativa de sostenibilidad</t>
  </si>
  <si>
    <t>Partnering with logistics companies for renewable fuel supports Repsol’s sustainability efforts.</t>
  </si>
  <si>
    <t>alianza (collaboration)</t>
  </si>
  <si>
    <r>
      <rPr>
        <rFont val="Arial, sans-serif"/>
        <color rgb="FF1155CC"/>
        <sz val="9.0"/>
        <u/>
      </rPr>
      <t>Cadena de Suministro</t>
    </r>
    <r>
      <rPr>
        <rFont val="Arial, sans-serif"/>
        <color rgb="FF1155CC"/>
        <sz val="15.0"/>
        <u/>
      </rPr>
      <t>Repsol suministrará ocho millones de litros de HVO a Sesé en los próximos dos años</t>
    </r>
    <r>
      <rPr>
        <rFont val="Arial, sans-serif"/>
        <color rgb="FF1155CC"/>
        <sz val="11.0"/>
        <u/>
      </rPr>
      <t>Tras la realización en 2022 de las primeras pruebas piloto en España con combustible renovable en el transporte de mercancías, Sesé y Repsol han llegado a...</t>
    </r>
    <r>
      <rPr>
        <rFont val="Arial, sans-serif"/>
        <color rgb="FF1155CC"/>
        <sz val="12.0"/>
        <u/>
      </rPr>
      <t>.</t>
    </r>
    <r>
      <rPr>
        <rFont val="Arial, sans-serif"/>
        <color rgb="FF1155CC"/>
        <sz val="11.0"/>
        <u/>
      </rPr>
      <t>7 may 2024</t>
    </r>
  </si>
  <si>
    <t>Repsol suministrará ocho millones de litros de HVO a Sesé en los próximos dos años</t>
  </si>
  <si>
    <t>Repsol suministrará ocho millones de litros de HVO a Sesé en los próximos dos años. Tras la realización en 2022 de las primeras pruebas piloto en España con combustible renovable en el transporte de mercancías, Sesé y Repsol han llegado a....</t>
  </si>
  <si>
    <t>Repsol will supply eight million liters of HVO to Sesé in the next two years</t>
  </si>
  <si>
    <t>Repsol will supply eight million liters of HVO to Sesé over the next two years. After carrying out the first pilot tests in Spain with renewable fuel in freight transport in 2022, Sesé and Repsol have reached...</t>
  </si>
  <si>
    <t>Expanding biofuel distribution reinforces Repsol’s transition to cleaner energy sources.</t>
  </si>
  <si>
    <t>suministrará (green fuel)</t>
  </si>
  <si>
    <r>
      <rPr>
        <rFont val="Arial, sans-serif"/>
        <color rgb="FF1155CC"/>
        <sz val="9.0"/>
        <u/>
      </rPr>
      <t>El Confidencial</t>
    </r>
    <r>
      <rPr>
        <rFont val="Arial, sans-serif"/>
        <color rgb="FF1155CC"/>
        <sz val="15.0"/>
        <u/>
      </rPr>
      <t>BlackRock y el fondo soberano de Noruega apoyan el plan verde de Repsol tras la demanda de Iberdrola</t>
    </r>
    <r>
      <rPr>
        <rFont val="Arial, sans-serif"/>
        <color rgb="FF1155CC"/>
        <sz val="11.0"/>
        <u/>
      </rPr>
      <t>Los dos máximos accionistas respaldarán todos los puntos en la junta de accionistas, incluida su estrategia de descarbonización. Norges y BlackRock también...</t>
    </r>
    <r>
      <rPr>
        <rFont val="Arial, sans-serif"/>
        <color rgb="FF1155CC"/>
        <sz val="12.0"/>
        <u/>
      </rPr>
      <t>.</t>
    </r>
    <r>
      <rPr>
        <rFont val="Arial, sans-serif"/>
        <color rgb="FF1155CC"/>
        <sz val="11.0"/>
        <u/>
      </rPr>
      <t>7 may 2024</t>
    </r>
  </si>
  <si>
    <t>BlackRock y el fondo soberano de Noruega apoyan el plan verde de Repsol tras la demanda de Iberdrola</t>
  </si>
  <si>
    <t>Los dos máximos accionistas respaldarán todos los puntos en la junta de accionistas, incluida su estrategia de descarbonización. Norges y BlackRock también....</t>
  </si>
  <si>
    <t>BlackRock and Norway's sovereign wealth fund support Repsol's green plan after Iberdrola's lawsuit</t>
  </si>
  <si>
    <t>The two largest shareholders will support all points at the shareholders meeting, including its decarbonization strategy. Norges and BlackRock too....</t>
  </si>
  <si>
    <t>Repsol investor backing, financial stability</t>
  </si>
  <si>
    <t>Apoyo de los inversores de Repsol, estabilidad financiera</t>
  </si>
  <si>
    <t>Strong shareholder backing enhances Repsol’s market confidence.</t>
  </si>
  <si>
    <t>apoyan (investor confidence)</t>
  </si>
  <si>
    <r>
      <rPr>
        <rFont val="Arial, sans-serif"/>
        <color rgb="FF1155CC"/>
        <sz val="9.0"/>
        <u/>
      </rPr>
      <t>The Objective</t>
    </r>
    <r>
      <rPr>
        <rFont val="Arial, sans-serif"/>
        <color rgb="FF1155CC"/>
        <sz val="15.0"/>
        <u/>
      </rPr>
      <t>Repsol abre el programa Talent Energy para incorporar a 600 estudiantes en prácticas</t>
    </r>
    <r>
      <rPr>
        <rFont val="Arial, sans-serif"/>
        <color rgb="FF1155CC"/>
        <sz val="11.0"/>
        <u/>
      </rPr>
      <t>La multienergética Repsol vuelve a reactivar una nueva edición de esta iniciativa y elevará la tasa de incorporación de talento joven a su plantilla. Los.</t>
    </r>
    <r>
      <rPr>
        <rFont val="Arial, sans-serif"/>
        <color rgb="FF1155CC"/>
        <sz val="12.0"/>
        <u/>
      </rPr>
      <t>.</t>
    </r>
    <r>
      <rPr>
        <rFont val="Arial, sans-serif"/>
        <color rgb="FF1155CC"/>
        <sz val="11.0"/>
        <u/>
      </rPr>
      <t>7 may 2024</t>
    </r>
  </si>
  <si>
    <t>Repsol abre el programa Talent Energy para incorporar a 600 estudiantes en prácticas</t>
  </si>
  <si>
    <t>La multienergética Repsol vuelve a reactivar una nueva edición de esta iniciativa y elevará la tasa de incorporación de talento joven a su plantilla.</t>
  </si>
  <si>
    <t>Repsol opens the Talent Energy program to incorporate 600 students in internships</t>
  </si>
  <si>
    <t>The multi-energy company Repsol is once again reactivating a new edition of this initiative and will increase the rate of incorporation of young talent into its workforce.</t>
  </si>
  <si>
    <t>Repsol recruitment, human resources</t>
  </si>
  <si>
    <t>Contratación Repsol, recursos humanos</t>
  </si>
  <si>
    <t>Promoting young talent development enhances Repsol’s employer brand.</t>
  </si>
  <si>
    <t>talento joven (CSR)</t>
  </si>
  <si>
    <r>
      <rPr>
        <rFont val="Arial, sans-serif"/>
        <color rgb="FF1155CC"/>
        <sz val="9.0"/>
        <u/>
      </rPr>
      <t>Diario de Transporte</t>
    </r>
    <r>
      <rPr>
        <rFont val="Arial, sans-serif"/>
        <color rgb="FF1155CC"/>
        <sz val="15.0"/>
        <u/>
      </rPr>
      <t>Repsol y Sesé firman un acuerdo para el mayor suministro de HVO100 de España</t>
    </r>
    <r>
      <rPr>
        <rFont val="Arial, sans-serif"/>
        <color rgb="FF1155CC"/>
        <sz val="11.0"/>
        <u/>
      </rPr>
      <t>Sesé se ha marcado el objetivo de eliminar los combustibles fósiles de su flota en Europa en 2030. Repsol Grupo Sesé Empresas Biocombustibles HVO.</t>
    </r>
    <r>
      <rPr>
        <rFont val="Arial, sans-serif"/>
        <color rgb="FF1155CC"/>
        <sz val="12.0"/>
        <u/>
      </rPr>
      <t>.</t>
    </r>
    <r>
      <rPr>
        <rFont val="Arial, sans-serif"/>
        <color rgb="FF1155CC"/>
        <sz val="11.0"/>
        <u/>
      </rPr>
      <t>7 may 2024</t>
    </r>
  </si>
  <si>
    <t>Repsol y Sesé firman un acuerdo para el mayor suministro de HVO100 de España</t>
  </si>
  <si>
    <t>Sesé se ha marcado el objetivo de eliminar los combustibles fósiles de su flota en Europa en 2030.</t>
  </si>
  <si>
    <t>Repsol and Sesé sign an agreement for the largest supply of HVO100 in Spain</t>
  </si>
  <si>
    <t>Sesé has set the goal of eliminating fossil fuels from its fleet in Europe by 2030.</t>
  </si>
  <si>
    <t>Large-scale renewable fuel agreements align with Repsol’s clean energy strategy.</t>
  </si>
  <si>
    <t>acuerdo (partnership)</t>
  </si>
  <si>
    <r>
      <rPr>
        <rFont val="Arial, sans-serif"/>
        <color rgb="FF1155CC"/>
        <sz val="9.0"/>
        <u/>
      </rPr>
      <t>diarimes.com</t>
    </r>
    <r>
      <rPr>
        <rFont val="Arial, sans-serif"/>
        <color rgb="FF1155CC"/>
        <sz val="15.0"/>
        <u/>
      </rPr>
      <t>El futuro del embalse del Gaià en el Catllar tema central del último debate del Port de Tarragona</t>
    </r>
    <r>
      <rPr>
        <rFont val="Arial, sans-serif"/>
        <color rgb="FF1155CC"/>
        <sz val="11.0"/>
        <u/>
      </rPr>
      <t>El futuro del embalse del Catllar y la necesidad de planificar con tiempo el final de la concesión que tiene Repsol (2054) centró parte del debate.</t>
    </r>
    <r>
      <rPr>
        <rFont val="Arial, sans-serif"/>
        <color rgb="FF1155CC"/>
        <sz val="12.0"/>
        <u/>
      </rPr>
      <t>.</t>
    </r>
    <r>
      <rPr>
        <rFont val="Arial, sans-serif"/>
        <color rgb="FF1155CC"/>
        <sz val="11.0"/>
        <u/>
      </rPr>
      <t>7 may 2024</t>
    </r>
  </si>
  <si>
    <t>El futuro del embalse del Gaià en el Catllar tema central del último debate del Port de Tarragona</t>
  </si>
  <si>
    <t>El futuro del embalse del Catllar y la necesidad de planificar con tiempo el final de la concesión que tiene Repsol (2054) centró parte del debate.</t>
  </si>
  <si>
    <t>The future of the Gaià reservoir in Catllar is the central topic of the latest debate in the Port of Tarragona</t>
  </si>
  <si>
    <t>The future of the Catllar reservoir and the need to plan ahead of time for the end of Repsol's concession (2054) focused part of the debate.</t>
  </si>
  <si>
    <t>Regional water management discussions do not impact Repsol’s business.</t>
  </si>
  <si>
    <t>Unrelated.</t>
  </si>
  <si>
    <t>No relacionado.</t>
  </si>
  <si>
    <r>
      <rPr>
        <rFont val="Arial, sans-serif"/>
        <color rgb="FF1155CC"/>
        <sz val="9.0"/>
        <u/>
      </rPr>
      <t>20Minutos</t>
    </r>
    <r>
      <rPr>
        <rFont val="Arial, sans-serif"/>
        <color rgb="FF1155CC"/>
        <sz val="15.0"/>
        <u/>
      </rPr>
      <t>Cepsa notifica la compra de Ballenoil, el gigante de las gasolineras 'low cost'</t>
    </r>
    <r>
      <rPr>
        <rFont val="Arial, sans-serif"/>
        <color rgb="FF1155CC"/>
        <sz val="11.0"/>
        <u/>
      </rPr>
      <t>Con esta adquisición, sujeta a la aprobación de las autoridades competentes, la energética controlada por Mubadala y Carlyle amplía su negocio de estaciones...</t>
    </r>
    <r>
      <rPr>
        <rFont val="Arial, sans-serif"/>
        <color rgb="FF1155CC"/>
        <sz val="12.0"/>
        <u/>
      </rPr>
      <t>.</t>
    </r>
    <r>
      <rPr>
        <rFont val="Arial, sans-serif"/>
        <color rgb="FF1155CC"/>
        <sz val="11.0"/>
        <u/>
      </rPr>
      <t>7 may 2024</t>
    </r>
  </si>
  <si>
    <t>Cepsa notifica la compra de Ballenoil, el gigante de las gasolineras 'low cost'</t>
  </si>
  <si>
    <t>Con esta adquisición, sujeta a la aprobación de las autoridades competentes, la energética controlada por Mubadala y Carlyle amplía su negocio de estaciones....</t>
  </si>
  <si>
    <t>Cepsa notifies the purchase of Ballenoil, the 'low cost' gas station giant</t>
  </si>
  <si>
    <t>With this acquisition, subject to the approval of the competent authorities, the energy company controlled by Mubadala and Carlyle expands its stations business....</t>
  </si>
  <si>
    <t>Competitor market expansions do not impact Repsol’s perception.</t>
  </si>
  <si>
    <t>Competitor news.</t>
  </si>
  <si>
    <t>Noticias de la competencia.</t>
  </si>
  <si>
    <r>
      <rPr>
        <rFont val="Arial, sans-serif"/>
        <color rgb="FF1155CC"/>
        <sz val="9.0"/>
        <u/>
      </rPr>
      <t>Ruta del Transporte</t>
    </r>
    <r>
      <rPr>
        <rFont val="Arial, sans-serif"/>
        <color rgb="FF1155CC"/>
        <sz val="15.0"/>
        <u/>
      </rPr>
      <t>Sesé reducirá 18.000 toneladas de CO2 con ocho millones de litros de combustible renovable</t>
    </r>
    <r>
      <rPr>
        <rFont val="Arial, sans-serif"/>
        <color rgb="FF1155CC"/>
        <sz val="11.0"/>
        <u/>
      </rPr>
      <t>Ha sellado un acuerdo con Repsol para los próximos dos años. La compañía logística prevé eliminar el 100% de los combustibles fósiles de su flota en Europa...</t>
    </r>
    <r>
      <rPr>
        <rFont val="Arial, sans-serif"/>
        <color rgb="FF1155CC"/>
        <sz val="12.0"/>
        <u/>
      </rPr>
      <t>.</t>
    </r>
    <r>
      <rPr>
        <rFont val="Arial, sans-serif"/>
        <color rgb="FF1155CC"/>
        <sz val="11.0"/>
        <u/>
      </rPr>
      <t>7 may 2024</t>
    </r>
  </si>
  <si>
    <t>Ruta del Transporte</t>
  </si>
  <si>
    <t>Sesé reducirá 18.000 toneladas de CO2 con ocho millones de litros de combustible renovable</t>
  </si>
  <si>
    <t>La compañía logística prevé eliminar el 100% de los combustibles fósiles de su flota en Europa.</t>
  </si>
  <si>
    <t>Sesé will reduce 18,000 tons of CO2 with eight million liters of renewable fuel</t>
  </si>
  <si>
    <t>The logistics company plans to eliminate 100% of fossil fuels from its fleet in Europe.</t>
  </si>
  <si>
    <t>Expanding clean fuel use reinforces Repsol’s commitment to sustainability.</t>
  </si>
  <si>
    <t>reducirá CO2 (sustainability)</t>
  </si>
  <si>
    <r>
      <rPr>
        <rFont val="Arial, sans-serif"/>
        <color rgb="FF1155CC"/>
        <sz val="9.0"/>
        <u/>
      </rPr>
      <t>Box Repsol</t>
    </r>
    <r>
      <rPr>
        <rFont val="Arial, sans-serif"/>
        <color rgb="FF1155CC"/>
        <sz val="15.0"/>
        <u/>
      </rPr>
      <t>MotoGP Le Mans 2024: Horarios, fechas y dónde ver el GP de Francia</t>
    </r>
    <r>
      <rPr>
        <rFont val="Arial, sans-serif"/>
        <color rgb="FF1155CC"/>
        <sz val="11.0"/>
        <u/>
      </rPr>
      <t>Descubre los horarios y canales para disfrutar del Gran Premio de Le Mans en directo. No te pierdas la emoción del Mundial de MotoGP gracias a Box Repsol.</t>
    </r>
    <r>
      <rPr>
        <rFont val="Arial, sans-serif"/>
        <color rgb="FF1155CC"/>
        <sz val="12.0"/>
        <u/>
      </rPr>
      <t>.</t>
    </r>
    <r>
      <rPr>
        <rFont val="Arial, sans-serif"/>
        <color rgb="FF1155CC"/>
        <sz val="11.0"/>
        <u/>
      </rPr>
      <t>7 may 2024</t>
    </r>
  </si>
  <si>
    <t>MotoGP Le Mans 2024: Horarios, fechas y dónde ver el GP de Francia</t>
  </si>
  <si>
    <t>Descubre los horarios y canales para disfrutar del Gran Premio de Le Mans en directo. No te pierdas la emoción del Mundial de MotoGP gracias a Box Repsol.</t>
  </si>
  <si>
    <t>MotoGP Le Mans 2024: Schedules, dates and where to watch the French GP</t>
  </si>
  <si>
    <t>Discover the schedules and channels to enjoy the Le Mans Grand Prix live. Don't miss the excitement of the MotoGP World Championship thanks to Box Repsol.</t>
  </si>
  <si>
    <r>
      <rPr>
        <rFont val="Arial, sans-serif"/>
        <color rgb="FF1155CC"/>
        <sz val="9.0"/>
        <u/>
      </rPr>
      <t>El Norte de Castilla</t>
    </r>
    <r>
      <rPr>
        <rFont val="Arial, sans-serif"/>
        <color rgb="FF1155CC"/>
        <sz val="15.0"/>
        <u/>
      </rPr>
      <t>Los afectados por la fuga de combustible en Pago la Barca se constituyen como asociación</t>
    </r>
    <r>
      <rPr>
        <color rgb="FF1155CC"/>
        <sz val="11.0"/>
        <u/>
      </rPr>
      <t>Los vecinos de la urbanización se reúnen de urgencia para valorar las medidas a tomar después de aumentar el número de perjudicados.</t>
    </r>
    <r>
      <rPr>
        <color rgb="FF1155CC"/>
        <u/>
      </rPr>
      <t>.</t>
    </r>
    <r>
      <rPr>
        <color rgb="FF1155CC"/>
        <sz val="11.0"/>
        <u/>
      </rPr>
      <t>7 may 2024</t>
    </r>
  </si>
  <si>
    <t>Los afectados por la fuga de combustible en Pago la Barca se constituyen como asociación</t>
  </si>
  <si>
    <t>Los vecinos de la urbanización se reúnen de urgencia para valorar las medidas a tomar después de aumentar el número de perjudicados.</t>
  </si>
  <si>
    <t>Those affected by the fuel leak in Pago la Barca are formed as an association</t>
  </si>
  <si>
    <t>The residents of the urbanization are meeting urgently to assess the measures to be taken after the number of victims increases.</t>
  </si>
  <si>
    <t>Repsol fuel leak, legal dispute</t>
  </si>
  <si>
    <t>Fuga de combustible Repsol, disputa judicial</t>
  </si>
  <si>
    <t>Legal claims related to fuel leaks may negatively impact Repsol’s public image.</t>
  </si>
  <si>
    <t>fuga de combustible (incident)</t>
  </si>
  <si>
    <t>Negative.</t>
  </si>
  <si>
    <t>Negativo.</t>
  </si>
  <si>
    <r>
      <rPr>
        <rFont val="Arial, sans-serif"/>
        <color rgb="FF1155CC"/>
        <sz val="9.0"/>
        <u/>
      </rPr>
      <t>elDiario.es</t>
    </r>
    <r>
      <rPr>
        <rFont val="Arial, sans-serif"/>
        <color rgb="FF1155CC"/>
        <sz val="15.0"/>
        <u/>
      </rPr>
      <t>Autocontrol vuelve a respaldar a Repsol en una reclamación contra Iberdrola por publicidad engañosa</t>
    </r>
    <r>
      <rPr>
        <rFont val="Arial, sans-serif"/>
        <color rgb="FF1155CC"/>
        <sz val="11.0"/>
        <u/>
      </rPr>
      <t>La Asociación para la Autorregulación de la Comunicación Comercial (Autocontrol) ha vuelto a dar la razón a Repsol en el enfrentamiento que la petrolera...</t>
    </r>
    <r>
      <rPr>
        <rFont val="Arial, sans-serif"/>
        <color rgb="FF1155CC"/>
        <sz val="12.0"/>
        <u/>
      </rPr>
      <t>.</t>
    </r>
    <r>
      <rPr>
        <rFont val="Arial, sans-serif"/>
        <color rgb="FF1155CC"/>
        <sz val="11.0"/>
        <u/>
      </rPr>
      <t>8 may 2024</t>
    </r>
  </si>
  <si>
    <t>Autocontrol vuelve a respaldar a Repsol en una reclamación contra Iberdrola por publicidad engañosa</t>
  </si>
  <si>
    <t>La Asociación para la Autorregulación de la Comunicación Comercial (Autocontrol) ha vuelto a dar la razón a Repsol en el enfrentamiento que la petrolera...</t>
  </si>
  <si>
    <t>Autocontrol once again supports Repsol in a claim against Iberdrola for misleading advertising</t>
  </si>
  <si>
    <t>The Association for the Self-Regulation of Commercial Communication (Autocontrol) has once again agreed with Repsol in the confrontation that the oil company...</t>
  </si>
  <si>
    <t>Repsol advertising dispute, legal approval</t>
  </si>
  <si>
    <t>Disputa publicitaria de Repsol, aprobación legal</t>
  </si>
  <si>
    <t>Winning legal disputes strengthens Repsol’s credibility.</t>
  </si>
  <si>
    <t>respaldar (legal win)</t>
  </si>
  <si>
    <r>
      <rPr>
        <rFont val="Arial, sans-serif"/>
        <color rgb="FF1155CC"/>
        <sz val="9.0"/>
        <u/>
      </rPr>
      <t>Libre Mercado</t>
    </r>
    <r>
      <rPr>
        <rFont val="Arial, sans-serif"/>
        <color rgb="FF1155CC"/>
        <sz val="15.0"/>
        <u/>
      </rPr>
      <t>Repsol contraataca y gana a Iberdrola por alertar del fin de las calderas de gas</t>
    </r>
    <r>
      <rPr>
        <rFont val="Arial, sans-serif"/>
        <color rgb="FF1155CC"/>
        <sz val="11.0"/>
        <u/>
      </rPr>
      <t>Autocontrol tacha de engañosa una campaña de Iberdrola tras una reclamación de Repsol, señalada por la eléctrica por greenwashing.</t>
    </r>
    <r>
      <rPr>
        <rFont val="Arial, sans-serif"/>
        <color rgb="FF1155CC"/>
        <sz val="12.0"/>
        <u/>
      </rPr>
      <t>.</t>
    </r>
    <r>
      <rPr>
        <rFont val="Arial, sans-serif"/>
        <color rgb="FF1155CC"/>
        <sz val="11.0"/>
        <u/>
      </rPr>
      <t>8 may 2024</t>
    </r>
  </si>
  <si>
    <t>Repsol contraataca y gana a Iberdrola por alertar del fin de las calderas de gas</t>
  </si>
  <si>
    <t>Autocontrol tacha de engañosa una campaña de Iberdrola tras una reclamación de Repsol, señalada por la eléctrica por greenwashing.</t>
  </si>
  <si>
    <t>Repsol counterattacks and beats Iberdrola for warning of the end of gas boilers</t>
  </si>
  <si>
    <t>Autocontrol calls an Iberdrola campaign misleading after a claim from Repsol, accused by the electricity company of greenwashing.</t>
  </si>
  <si>
    <t>Repsol legal dispute, competition</t>
  </si>
  <si>
    <t>Controversia jurídica Repsol, competencia</t>
  </si>
  <si>
    <t>Successfully challenging competitors enhances Repsol’s corporate standing.</t>
  </si>
  <si>
    <t>gana (legal victory)</t>
  </si>
  <si>
    <r>
      <rPr>
        <rFont val="Arial, sans-serif"/>
        <color rgb="FF1155CC"/>
        <sz val="9.0"/>
        <u/>
      </rPr>
      <t>Cinco Días</t>
    </r>
    <r>
      <rPr>
        <rFont val="Arial, sans-serif"/>
        <color rgb="FF1155CC"/>
        <sz val="15.0"/>
        <u/>
      </rPr>
      <t>Autocontrol da la razón a Repsol en otra batalla con Iberdrola por publicidad engañosa</t>
    </r>
    <r>
      <rPr>
        <rFont val="Arial, sans-serif"/>
        <color rgb="FF1155CC"/>
        <sz val="11.0"/>
        <u/>
      </rPr>
      <t>El organismo de autorregulación del mercado publicitario admite una reclamación contra una campaña de la eléctrica en la que se promocionaba la aerotermia.</t>
    </r>
    <r>
      <rPr>
        <rFont val="Arial, sans-serif"/>
        <color rgb="FF1155CC"/>
        <sz val="12.0"/>
        <u/>
      </rPr>
      <t>.</t>
    </r>
    <r>
      <rPr>
        <rFont val="Arial, sans-serif"/>
        <color rgb="FF1155CC"/>
        <sz val="11.0"/>
        <u/>
      </rPr>
      <t>8 may 2024</t>
    </r>
  </si>
  <si>
    <t>Autocontrol da la razón a Repsol en otra batalla con Iberdrola por publicidad engañosa</t>
  </si>
  <si>
    <t>El organismo de autorregulación del mercado publicitario admite una reclamación contra una campaña de la eléctrica en la que se promocionaba la aerotermia.</t>
  </si>
  <si>
    <t>Autocontrol agrees with Repsol in another battle with Iberdrola for misleading advertising</t>
  </si>
  <si>
    <t>The self-regulatory body of the advertising market admits a complaint against a campaign by the electricity company in which aerothermal energy was promoted.</t>
  </si>
  <si>
    <t>Winning legal battles enhances Repsol’s corporate credibility.</t>
  </si>
  <si>
    <t>da la razón (PR win)</t>
  </si>
  <si>
    <r>
      <rPr>
        <rFont val="Arial, sans-serif"/>
        <color rgb="FF1155CC"/>
        <sz val="9.0"/>
        <u/>
      </rPr>
      <t>Equipos y Talento</t>
    </r>
    <r>
      <rPr>
        <rFont val="Arial, sans-serif"/>
        <color rgb="FF1155CC"/>
        <sz val="15.0"/>
        <u/>
      </rPr>
      <t>:: Repsol lanza el programa Talent Energy ::</t>
    </r>
    <r>
      <rPr>
        <rFont val="Arial, sans-serif"/>
        <color rgb="FF1155CC"/>
        <sz val="11.0"/>
        <u/>
      </rPr>
      <t>Para Repsol, el objetivo para este “curso” es contar con más talento joven y elevar su tasa de incorporación a la compañía, mientras que fomenta su...</t>
    </r>
    <r>
      <rPr>
        <rFont val="Arial, sans-serif"/>
        <color rgb="FF1155CC"/>
        <sz val="12.0"/>
        <u/>
      </rPr>
      <t>.</t>
    </r>
    <r>
      <rPr>
        <rFont val="Arial, sans-serif"/>
        <color rgb="FF1155CC"/>
        <sz val="11.0"/>
        <u/>
      </rPr>
      <t>8 may 2024</t>
    </r>
  </si>
  <si>
    <t>Repsol lanza el programa Talent Energy</t>
  </si>
  <si>
    <t>Para Repsol, el objetivo para este “curso” es contar con más talento joven y elevar su tasa de incorporación a la compañía, mientras que fomenta su....</t>
  </si>
  <si>
    <t>Repsol launches the Talent Energy program</t>
  </si>
  <si>
    <t>For Repsol, the objective for this “course” is to have more young talent and increase their incorporation rate into the company, while promoting their...</t>
  </si>
  <si>
    <t>Repsol recruitment, corporate social responsibility</t>
  </si>
  <si>
    <t>Contratación Repsol, responsabilidad social corporativa</t>
  </si>
  <si>
    <t>Investing in young talent development strengthens Repsol’s employer brand.</t>
  </si>
  <si>
    <t>lanza (CSR)</t>
  </si>
  <si>
    <r>
      <rPr>
        <rFont val="Arial, sans-serif"/>
        <color rgb="FF1155CC"/>
        <sz val="9.0"/>
        <u/>
      </rPr>
      <t>El Mundo</t>
    </r>
    <r>
      <rPr>
        <rFont val="Arial, sans-serif"/>
        <color rgb="FF1155CC"/>
        <sz val="15.0"/>
        <u/>
      </rPr>
      <t>Repsol gana una batalla a Iberdrola: Autocontrol declara "engañosa" la publicidad de la eléctrica que instaba a cambiar las calderas de gas en España</t>
    </r>
    <r>
      <rPr>
        <rFont val="Arial, sans-serif"/>
        <color rgb="FF1155CC"/>
        <sz val="11.0"/>
        <u/>
      </rPr>
      <t>Repsol se acaba de anotar un tanto en la batalla del márketing contra Iberdrola. Autocontrol, el organismo independiente de autorregulación de la industria...</t>
    </r>
    <r>
      <rPr>
        <rFont val="Arial, sans-serif"/>
        <color rgb="FF1155CC"/>
        <sz val="12.0"/>
        <u/>
      </rPr>
      <t>.</t>
    </r>
    <r>
      <rPr>
        <rFont val="Arial, sans-serif"/>
        <color rgb="FF1155CC"/>
        <sz val="11.0"/>
        <u/>
      </rPr>
      <t>8 may 2024</t>
    </r>
  </si>
  <si>
    <t>Repsol gana una batalla a Iberdrola: Autocontrol declara "engañosa" la publicidad de la eléctrica que instaba a cambiar las calderas de gas en España</t>
  </si>
  <si>
    <t>Repsol se acaba de anotar un tanto en la batalla del márketing contra Iberdrola. Autocontrol, el organismo independiente de autorregulación de la industria....</t>
  </si>
  <si>
    <t>Repsol wins a battle against Iberdrola: Autocontrol declares "misleading" the electricity company's advertising that urged changing gas boilers in Spain</t>
  </si>
  <si>
    <t>Repsol has just scored a goal in the marketing battle against Iberdrola. Autocontrol, the independent self-regulatory body of the industry....</t>
  </si>
  <si>
    <t>Successfully challenging competitors strengthens Repsol’s corporate standing.</t>
  </si>
  <si>
    <t>gana (legal/PR win)</t>
  </si>
  <si>
    <r>
      <rPr>
        <rFont val="Arial, sans-serif"/>
        <color rgb="FF1155CC"/>
        <sz val="9.0"/>
        <u/>
      </rPr>
      <t>El Independiente</t>
    </r>
    <r>
      <rPr>
        <rFont val="Arial, sans-serif"/>
        <color rgb="FF1155CC"/>
        <sz val="15.0"/>
        <u/>
      </rPr>
      <t>Repsol vuelve a marcar un gol a Iberdrola: la eléctrica, condenada por publicidad engañosa para cambiar calderas de gas</t>
    </r>
    <r>
      <rPr>
        <rFont val="Arial, sans-serif"/>
        <color rgb="FF1155CC"/>
        <sz val="11.0"/>
        <u/>
      </rPr>
      <t>Nuevo tanto para Repsol. La compañía multienergética lleva librando desde hace meses con Iberdrola un dura batalla a cuenta de la publicidad engañosa y.</t>
    </r>
    <r>
      <rPr>
        <rFont val="Arial, sans-serif"/>
        <color rgb="FF1155CC"/>
        <sz val="12.0"/>
        <u/>
      </rPr>
      <t>.</t>
    </r>
    <r>
      <rPr>
        <rFont val="Arial, sans-serif"/>
        <color rgb="FF1155CC"/>
        <sz val="11.0"/>
        <u/>
      </rPr>
      <t>8 may 2024</t>
    </r>
  </si>
  <si>
    <t>Repsol vuelve a marcar un gol a Iberdrola: la eléctrica, condenada por publicidad engañosa para cambiar calderas de gas</t>
  </si>
  <si>
    <t>Nuevo tanto para Repsol. La compañía multienergética lleva librando desde hace meses con Iberdrola un dura batalla a cuenta de la publicidad engañosa y..</t>
  </si>
  <si>
    <t>Repsol scores a goal again for Iberdrola: the electricity company, condemned for misleading advertising to change gas boilers</t>
  </si>
  <si>
    <t>New both for Repsol. The multi-energy company has been fighting a tough battle with Iberdrola for months over misleading advertising and...</t>
  </si>
  <si>
    <t>Legal victories reinforce Repsol’s reputation.</t>
  </si>
  <si>
    <t>marca un gol (PR win)</t>
  </si>
  <si>
    <r>
      <rPr>
        <rFont val="Arial, sans-serif"/>
        <color rgb="FF1155CC"/>
        <sz val="9.0"/>
        <u/>
      </rPr>
      <t>ElPlural.com</t>
    </r>
    <r>
      <rPr>
        <rFont val="Arial, sans-serif"/>
        <color rgb="FF1155CC"/>
        <sz val="15.0"/>
        <u/>
      </rPr>
      <t>Repsol e Iberdrola, en guerra por acusaciones de publicidad engañosa</t>
    </r>
    <r>
      <rPr>
        <rFont val="Arial, sans-serif"/>
        <color rgb="FF1155CC"/>
        <sz val="11.0"/>
        <u/>
      </rPr>
      <t>Repsol ha acusado a Iberdrola de "publicidad engañosa" en sus comunicaciones sobre la aerotermia.</t>
    </r>
    <r>
      <rPr>
        <rFont val="Arial, sans-serif"/>
        <color rgb="FF1155CC"/>
        <sz val="12.0"/>
        <u/>
      </rPr>
      <t>.</t>
    </r>
    <r>
      <rPr>
        <rFont val="Arial, sans-serif"/>
        <color rgb="FF1155CC"/>
        <sz val="11.0"/>
        <u/>
      </rPr>
      <t>8 may 2024</t>
    </r>
  </si>
  <si>
    <t>Repsol e Iberdrola, en guerra por acusaciones de publicidad engañosa</t>
  </si>
  <si>
    <t>Repsol ha acusado a Iberdrola de "publicidad engañosa" en sus comunicaciones sobre la aerotermia.</t>
  </si>
  <si>
    <t>Repsol and Iberdrola, at war over accusations of misleading advertising</t>
  </si>
  <si>
    <t>Repsol has accused Iberdrola of "misleading advertising" in its communications about aerothermal energy.</t>
  </si>
  <si>
    <t>Engaging in legal battles with competitors can shape market perception.</t>
  </si>
  <si>
    <t>guerra (conflict)</t>
  </si>
  <si>
    <t>Negative dispute.</t>
  </si>
  <si>
    <t>Disputa negativa.</t>
  </si>
  <si>
    <r>
      <rPr>
        <rFont val="Arial, sans-serif"/>
        <color rgb="FF1155CC"/>
        <sz val="9.0"/>
        <u/>
      </rPr>
      <t>FeSMC - UGT</t>
    </r>
    <r>
      <rPr>
        <rFont val="Arial, sans-serif"/>
        <color rgb="FF1155CC"/>
        <sz val="15.0"/>
        <u/>
      </rPr>
      <t>El personal de vigilancia estalla tras el desleal cambio de postura de Repsol y el abandono de Prosegur</t>
    </r>
    <r>
      <rPr>
        <rFont val="Arial, sans-serif"/>
        <color rgb="FF1155CC"/>
        <sz val="11.0"/>
        <u/>
      </rPr>
      <t>La refinería de Repsol de A Coruña se desmarca del preacuerdo alcanzado con la representación laboral del personal de vigilancia en el complejo petroquímico...</t>
    </r>
    <r>
      <rPr>
        <rFont val="Arial, sans-serif"/>
        <color rgb="FF1155CC"/>
        <sz val="12.0"/>
        <u/>
      </rPr>
      <t>.</t>
    </r>
    <r>
      <rPr>
        <rFont val="Arial, sans-serif"/>
        <color rgb="FF1155CC"/>
        <sz val="11.0"/>
        <u/>
      </rPr>
      <t>8 may 2024</t>
    </r>
  </si>
  <si>
    <t>FeSMC - UGT</t>
  </si>
  <si>
    <t>El personal de vigilancia estalla tras el desleal cambio de postura de Repsol y el abandono de Prosegur</t>
  </si>
  <si>
    <t>El personal de vigilancia estalla tras el desleal cambio de postura de Repsol y el abandono de Prosegur. La refinería de Repsol de A Coruña se desmarca del preacuerdo alcanzado con la representación laboral del personal de vigilancia en el complejo petroquímico.</t>
  </si>
  <si>
    <t>Surveillance personnel explode after Repsol's disloyal change of position and Prosegur's abandonment</t>
  </si>
  <si>
    <t>The surveillance personnel explode after Repsol's disloyal change of position and the abandonment of Prosegur. The Repsol refinery in A Coruña distances itself from the pre-agreement reached with the labor representation of the surveillance personnel at the petrochemical complex.</t>
  </si>
  <si>
    <t>Repsol employment dispute, business operations</t>
  </si>
  <si>
    <t>Conflicto laboral de Repsol, operaciones empresariales</t>
  </si>
  <si>
    <t>Employment-related disputes may slightly affect Repsol’s image.</t>
  </si>
  <si>
    <t>estalla (labor conflict)</t>
  </si>
  <si>
    <r>
      <rPr>
        <rFont val="Arial, sans-serif"/>
        <color rgb="FF1155CC"/>
        <sz val="9.0"/>
        <u/>
      </rPr>
      <t>Expansión</t>
    </r>
    <r>
      <rPr>
        <rFont val="Arial, sans-serif"/>
        <color rgb="FF1155CC"/>
        <sz val="15.0"/>
        <u/>
      </rPr>
      <t>Brufau: "En 2100, el petróleo y el gas continuarán estando en la matriz energética"</t>
    </r>
    <r>
      <rPr>
        <rFont val="Arial, sans-serif"/>
        <color rgb="FF1155CC"/>
        <sz val="11.0"/>
        <u/>
      </rPr>
      <t>El presidente de Repsol, Antonio Brufau, auguró hoy una "larga vida" a los hidrocarburos, frente al mensaje que se intenta transmitir de que la...</t>
    </r>
    <r>
      <rPr>
        <rFont val="Arial, sans-serif"/>
        <color rgb="FF1155CC"/>
        <sz val="12.0"/>
        <u/>
      </rPr>
      <t>.</t>
    </r>
    <r>
      <rPr>
        <rFont val="Arial, sans-serif"/>
        <color rgb="FF1155CC"/>
        <sz val="11.0"/>
        <u/>
      </rPr>
      <t>8 may 2024</t>
    </r>
  </si>
  <si>
    <t>Brufau: "En 2100, el petróleo y el gas continuarán estando en la matriz energética"</t>
  </si>
  <si>
    <t>El presidente de Repsol, Antonio Brufau, auguró hoy una "larga vida" a los hidrocarburos, frente al mensaje que se intenta transmitir de que la....</t>
  </si>
  <si>
    <t>Brufau: "In 2100, oil and gas will continue to be in the energy matrix"</t>
  </si>
  <si>
    <t>The president of Repsol, Antonio Brufau, today predicted a "long life" for hydrocarbons, given the message they are trying to convey that...</t>
  </si>
  <si>
    <t>Repsol energy transition, sustainability</t>
  </si>
  <si>
    <t>Transición energética de Repsol, sostenibilidad</t>
  </si>
  <si>
    <t>Positioning Repsol as a long-term energy player supports its strategy.</t>
  </si>
  <si>
    <t>petróleo y gas (controversial stance)</t>
  </si>
  <si>
    <t>Mixed.</t>
  </si>
  <si>
    <t>Mezclado.</t>
  </si>
  <si>
    <r>
      <rPr>
        <rFont val="Arial, sans-serif"/>
        <color rgb="FF1155CC"/>
        <sz val="9.0"/>
        <u/>
      </rPr>
      <t>Radio Intereconomía</t>
    </r>
    <r>
      <rPr>
        <rFont val="Arial, sans-serif"/>
        <color rgb="FF1155CC"/>
        <sz val="15.0"/>
        <u/>
      </rPr>
      <t>Autocontrol ve un ‘engaño’ la campaña de cambio de caldera de Iberdrola denunciada por Repsol</t>
    </r>
    <r>
      <rPr>
        <rFont val="Arial, sans-serif"/>
        <color rgb="FF1155CC"/>
        <sz val="11.0"/>
        <u/>
      </rPr>
      <t>Autocontrol ve un 'engaño' la campaña de cambios de calderas de Iberdrola a aerotermia denunciada por Repsol.</t>
    </r>
    <r>
      <rPr>
        <rFont val="Arial, sans-serif"/>
        <color rgb="FF1155CC"/>
        <sz val="12.0"/>
        <u/>
      </rPr>
      <t>.</t>
    </r>
    <r>
      <rPr>
        <rFont val="Arial, sans-serif"/>
        <color rgb="FF1155CC"/>
        <sz val="11.0"/>
        <u/>
      </rPr>
      <t>8 may 2024</t>
    </r>
  </si>
  <si>
    <t>Autocontrol ve un ‘engaño’ la campaña de cambio de caldera de Iberdrola denunciada por Repsol</t>
  </si>
  <si>
    <t>Autocontrol ve un 'engaño' la campaña de cambios de calderas de Iberdrola a aerotermia denunciada por Repsol.</t>
  </si>
  <si>
    <t>Autocontrol sees Iberdrola's boiler change campaign denounced by Repsol as a 'hoax'</t>
  </si>
  <si>
    <t>Autocontrol sees the campaign to change Iberdrola's boilers to aerothermal energy as denounced by Repsol as a 'hoax'.</t>
  </si>
  <si>
    <t>Favorable legal rulings reinforce Repsol’s credibility.</t>
  </si>
  <si>
    <t>engaño (PR win)</t>
  </si>
  <si>
    <r>
      <rPr>
        <rFont val="Arial, sans-serif"/>
        <color rgb="FF1155CC"/>
        <sz val="9.0"/>
        <u/>
      </rPr>
      <t>MurciaEconomía.com</t>
    </r>
    <r>
      <rPr>
        <rFont val="Arial, sans-serif"/>
        <color rgb="FF1155CC"/>
        <sz val="15.0"/>
        <u/>
      </rPr>
      <t>La producción industrial regional se derrumba en marzo y cae un 13,1%</t>
    </r>
    <r>
      <rPr>
        <rFont val="Arial, sans-serif"/>
        <color rgb="FF1155CC"/>
        <sz val="11.0"/>
        <u/>
      </rPr>
      <t>La industria de la Región de Murcia ha caído un 13,1% durante marzo, cifra que supera en 1,8 puntos la media nacional, según los datos del Instituto...</t>
    </r>
    <r>
      <rPr>
        <rFont val="Arial, sans-serif"/>
        <color rgb="FF1155CC"/>
        <sz val="12.0"/>
        <u/>
      </rPr>
      <t>.</t>
    </r>
    <r>
      <rPr>
        <rFont val="Arial, sans-serif"/>
        <color rgb="FF1155CC"/>
        <sz val="11.0"/>
        <u/>
      </rPr>
      <t>8 may 2024</t>
    </r>
  </si>
  <si>
    <t>La producción industrial regional se derrumba en marzo y cae un 13,1%</t>
  </si>
  <si>
    <t>La industria de la Región de Murcia ha caído un 13,1% durante marzo, cifra que supera en 1,8 puntos la media nacional, según los datos del Instituto....</t>
  </si>
  <si>
    <t>Regional industrial production collapses in March and falls 13.1%</t>
  </si>
  <si>
    <t>The industry in the Region of Murcia has fallen by 13.1% during March, a figure that exceeds the national average by 1.8 points, according to data from the Institute....</t>
  </si>
  <si>
    <r>
      <rPr>
        <rFont val="Arial, sans-serif"/>
        <color rgb="FF1155CC"/>
        <sz val="9.0"/>
        <u/>
      </rPr>
      <t>Box Repsol</t>
    </r>
    <r>
      <rPr>
        <rFont val="Arial, sans-serif"/>
        <color rgb="FF1155CC"/>
        <sz val="15.0"/>
        <u/>
      </rPr>
      <t>MotoGP anuncia su nuevo reglamento para 2027</t>
    </r>
    <r>
      <rPr>
        <rFont val="Arial, sans-serif"/>
        <color rgb="FF1155CC"/>
        <sz val="11.0"/>
        <u/>
      </rPr>
      <t>MotoGP prepara una revolución para 2027. Consulta los cambios de la categoría reina para aumentar la seguridad de los pilotos y la igualdad entre fábricas.</t>
    </r>
    <r>
      <rPr>
        <rFont val="Arial, sans-serif"/>
        <color rgb="FF1155CC"/>
        <sz val="12.0"/>
        <u/>
      </rPr>
      <t>.</t>
    </r>
    <r>
      <rPr>
        <rFont val="Arial, sans-serif"/>
        <color rgb="FF1155CC"/>
        <sz val="11.0"/>
        <u/>
      </rPr>
      <t>8 may 2024</t>
    </r>
  </si>
  <si>
    <t>MotoGP anuncia su nuevo reglamento para 2027</t>
  </si>
  <si>
    <t>MotoGP prepara una revolución para 2027. Consulta los cambios de la categoría reina para aumentar la seguridad de los pilotos y la igualdad entre fábricas.</t>
  </si>
  <si>
    <t>MotoGP announces its new regulations for 2027</t>
  </si>
  <si>
    <t>MotoGP is preparing a revolution for 2027. Check out the changes to the premier class to increase rider safety and equality between factories.</t>
  </si>
  <si>
    <r>
      <rPr>
        <rFont val="Arial, sans-serif"/>
        <color rgb="FF1155CC"/>
        <sz val="9.0"/>
        <u/>
      </rPr>
      <t>Cinco Días</t>
    </r>
    <r>
      <rPr>
        <rFont val="Arial, sans-serif"/>
        <color rgb="FF1155CC"/>
        <sz val="15.0"/>
        <u/>
      </rPr>
      <t>Naturgy, Merlin o Repsol: el BCE mantiene 28.000 millones de deuda de más de 20 empresas españolas</t>
    </r>
    <r>
      <rPr>
        <rFont val="Arial, sans-serif"/>
        <color rgb="FF1155CC"/>
        <sz val="11.0"/>
        <u/>
      </rPr>
      <t>El banco invierte los vencimientos en bonos verdes, pero dejará de hacerlo cuando concluya 2024.</t>
    </r>
    <r>
      <rPr>
        <rFont val="Arial, sans-serif"/>
        <color rgb="FF1155CC"/>
        <sz val="12.0"/>
        <u/>
      </rPr>
      <t>.</t>
    </r>
    <r>
      <rPr>
        <rFont val="Arial, sans-serif"/>
        <color rgb="FF1155CC"/>
        <sz val="11.0"/>
        <u/>
      </rPr>
      <t>8 may 2024</t>
    </r>
  </si>
  <si>
    <t>Naturgy, Merlin o Repsol: el BCE mantiene 28.000 millones de deuda de más de 20 empresas españolas</t>
  </si>
  <si>
    <t>El banco invierte los vencimientos en bonos verdes, pero dejará de hacerlo cuando concluya 2024.</t>
  </si>
  <si>
    <t>Naturgy, Merlin or Repsol: the ECB maintains 28 billion in debt from more than 20 Spanish companies</t>
  </si>
  <si>
    <t>The bank invests maturities in green bonds, but will stop doing so at the end of 2024.</t>
  </si>
  <si>
    <t>Repsol market impact, finance</t>
  </si>
  <si>
    <t>Impacto de mercado de Repsol, finanzas</t>
  </si>
  <si>
    <t>Interest rate policies may influence Repsol’s financial strategy.</t>
  </si>
  <si>
    <t>Financial, neutral.</t>
  </si>
  <si>
    <t>Financiero, neutral.</t>
  </si>
  <si>
    <r>
      <rPr>
        <rFont val="Arial, sans-serif"/>
        <color rgb="FF1155CC"/>
        <sz val="9.0"/>
        <u/>
      </rPr>
      <t>El Economista</t>
    </r>
    <r>
      <rPr>
        <rFont val="Arial, sans-serif"/>
        <color rgb="FF1155CC"/>
        <sz val="15.0"/>
        <u/>
      </rPr>
      <t>Repsol pone a la venta el mayor pozo descubierto en EEUU en 30 años</t>
    </r>
    <r>
      <rPr>
        <rFont val="Arial, sans-serif"/>
        <color rgb="FF1155CC"/>
        <sz val="11.0"/>
        <u/>
      </rPr>
      <t>Repsol y su socio australiano Santos buscan un socio para impulsar tres de los mayores yacimientos descubiertos en Estados Unidos en los ...</t>
    </r>
    <r>
      <rPr>
        <rFont val="Arial, sans-serif"/>
        <color rgb="FF1155CC"/>
        <sz val="12.0"/>
        <u/>
      </rPr>
      <t>.</t>
    </r>
    <r>
      <rPr>
        <rFont val="Arial, sans-serif"/>
        <color rgb="FF1155CC"/>
        <sz val="11.0"/>
        <u/>
      </rPr>
      <t>9 may 2024</t>
    </r>
  </si>
  <si>
    <t>Repsol pone a la venta el mayor pozo descubierto en EEUU en 30 años</t>
  </si>
  <si>
    <t>Repsol y su socio australiano Santos buscan un socio para impulsar tres de los mayores yacimientos descubiertos en Estados Unidos en los ....</t>
  </si>
  <si>
    <t>Repsol puts up for sale the largest well discovered in the US in 30 years</t>
  </si>
  <si>
    <t>Repsol and its Australian partner Santos are looking for a partner to promote three of the largest deposits discovered in the United States in the...</t>
  </si>
  <si>
    <t>Repsol asset sale, energy sector</t>
  </si>
  <si>
    <t>Venta de activos de Repsol, sector energético</t>
  </si>
  <si>
    <t>Selling assets can impact Repsol’s long-term investment strategy.</t>
  </si>
  <si>
    <t>venta (strategic move)</t>
  </si>
  <si>
    <t>Neutral.</t>
  </si>
  <si>
    <r>
      <rPr>
        <rFont val="Arial, sans-serif"/>
        <color rgb="FF1155CC"/>
        <sz val="9.0"/>
        <u/>
      </rPr>
      <t>El Español</t>
    </r>
    <r>
      <rPr>
        <rFont val="Arial, sans-serif"/>
        <color rgb="FF1155CC"/>
        <sz val="15.0"/>
        <u/>
      </rPr>
      <t>Endesa e Iberdrola pierden 100.000 clientes de luz en sólo tres meses ante las “feroces” campañas de Repsol</t>
    </r>
    <r>
      <rPr>
        <rFont val="Arial, sans-serif"/>
        <color rgb="FF1155CC"/>
        <sz val="11.0"/>
        <u/>
      </rPr>
      <t>La petrolera prevé duplicar su cartera de usuarios de electricidad y gas para alcanzar los cuatro millones en 2027.</t>
    </r>
    <r>
      <rPr>
        <rFont val="Arial, sans-serif"/>
        <color rgb="FF1155CC"/>
        <sz val="12.0"/>
        <u/>
      </rPr>
      <t>.</t>
    </r>
    <r>
      <rPr>
        <rFont val="Arial, sans-serif"/>
        <color rgb="FF1155CC"/>
        <sz val="11.0"/>
        <u/>
      </rPr>
      <t>9 may 2024</t>
    </r>
  </si>
  <si>
    <t>Endesa e Iberdrola pierden 100.000 clientes de luz en sólo tres meses ante las “feroces” campañas de Repsol</t>
  </si>
  <si>
    <t>Endesa e Iberdrola pierden 100.000 clientes de luz en sólo tres meses ante las “feroces” campañas de Repsol. La petrolera prevé duplicar su cartera de usuarios de electricidad y gas para alcanzar los cuatro millones en 2027.</t>
  </si>
  <si>
    <t>Endesa and Iberdrola lose 100,000 electricity customers in just three months due to Repsol's "fierce" campaigns</t>
  </si>
  <si>
    <t>Endesa and Iberdrola lose 100,000 electricity customers in just three months due to Repsol's "fierce" campaigns. The oil company plans to double its portfolio of electricity and gas users to reach four million in 2027.</t>
  </si>
  <si>
    <t>Repsol energy market, business expansion</t>
  </si>
  <si>
    <t>Mercado energético Repsol, expansión empresarial</t>
  </si>
  <si>
    <t>Gaining customers in electricity enhances Repsol’s competitive positioning.</t>
  </si>
  <si>
    <t>pierden clientes (competitive win)</t>
  </si>
  <si>
    <r>
      <rPr>
        <rFont val="Arial, sans-serif"/>
        <color rgb="FF1155CC"/>
        <sz val="9.0"/>
        <u/>
      </rPr>
      <t>Guía Repsol</t>
    </r>
    <r>
      <rPr>
        <rFont val="Arial, sans-serif"/>
        <color rgb="FF1155CC"/>
        <sz val="15.0"/>
        <u/>
      </rPr>
      <t>Dónde se rodó la serie ‘Las Largas sombras’ (Disney+)</t>
    </r>
    <r>
      <rPr>
        <rFont val="Arial, sans-serif"/>
        <color rgb="FF1155CC"/>
        <sz val="11.0"/>
        <u/>
      </rPr>
      <t>Sumérgete en el cautivador mundo de 'Las Largas Sombras' descubriendo las localizaciones que dieron vida a la serie. Visita los mejores escenarios de la...</t>
    </r>
    <r>
      <rPr>
        <rFont val="Arial, sans-serif"/>
        <color rgb="FF1155CC"/>
        <sz val="12.0"/>
        <u/>
      </rPr>
      <t>.</t>
    </r>
    <r>
      <rPr>
        <rFont val="Arial, sans-serif"/>
        <color rgb="FF1155CC"/>
        <sz val="11.0"/>
        <u/>
      </rPr>
      <t>9 may 2024</t>
    </r>
  </si>
  <si>
    <t>Dónde se rodó la serie ‘Las Largas sombras’ (Disney+)</t>
  </si>
  <si>
    <t>Sumérgete en el cautivador mundo de 'Las Largas Sombras' descubriendo las localizaciones que dieron vida a la serie. Visita los mejores escenarios de la....</t>
  </si>
  <si>
    <t>Where was the series 'The Long Shadows' filmed (Disney+)</t>
  </si>
  <si>
    <t>Immerse yourself in the captivating world of 'The Long Shadows' by discovering the locations that gave life to the series. Visit the best settings of the....</t>
  </si>
  <si>
    <r>
      <rPr>
        <rFont val="Arial, sans-serif"/>
        <color rgb="FF1155CC"/>
        <sz val="9.0"/>
        <u/>
      </rPr>
      <t>El Mundo</t>
    </r>
    <r>
      <rPr>
        <rFont val="Arial, sans-serif"/>
        <color rgb="FF1155CC"/>
        <sz val="15.0"/>
        <u/>
      </rPr>
      <t>Iberdrola acusa ahora a Autocontrol de "falta de objetividad" en la pelea con Repsol pese a formar parte del organismo desde hace más de 20 años</t>
    </r>
    <r>
      <rPr>
        <rFont val="Arial, sans-serif"/>
        <color rgb="FF1155CC"/>
        <sz val="11.0"/>
        <u/>
      </rPr>
      <t>Iberdrola recibió ayer de manos de Autocontrol, el jurado de la publicidad en España, un nuevo varapalo en su batalla contra Repsol.</t>
    </r>
    <r>
      <rPr>
        <rFont val="Arial, sans-serif"/>
        <color rgb="FF1155CC"/>
        <sz val="12.0"/>
        <u/>
      </rPr>
      <t>.</t>
    </r>
    <r>
      <rPr>
        <rFont val="Arial, sans-serif"/>
        <color rgb="FF1155CC"/>
        <sz val="11.0"/>
        <u/>
      </rPr>
      <t>9 may 2024</t>
    </r>
  </si>
  <si>
    <t>Iberdrola acusa ahora a Autocontrol de "falta de objetividad" en la pelea con Repsol pese a formar parte del organismo desde hace más de 20 años</t>
  </si>
  <si>
    <t>Iberdrola recibió ayer de manos de Autocontrol, el jurado de la publicidad en España, un nuevo varapalo en su batalla contra Repsol.</t>
  </si>
  <si>
    <t>Iberdrola now accuses Autocontrol of "lack of objectivity" in the fight with Repsol despite being part of the organization for more than 20 years</t>
  </si>
  <si>
    <t>Yesterday Iberdrola received a new setback from Autocontrol, the advertising jury in Spain, in its battle against Repsol.</t>
  </si>
  <si>
    <t>Competitor accusations highlight Repsol’s legal strength.</t>
  </si>
  <si>
    <t>acusa (conflict)</t>
  </si>
  <si>
    <r>
      <rPr>
        <rFont val="Arial, sans-serif"/>
        <color rgb="FF1155CC"/>
        <sz val="9.0"/>
        <u/>
      </rPr>
      <t>Guía Repsol</t>
    </r>
    <r>
      <rPr>
        <rFont val="Arial, sans-serif"/>
        <color rgb="FF1155CC"/>
        <sz val="15.0"/>
        <u/>
      </rPr>
      <t>4 Manos de Alberto Chicote y Albert Boronat en 'Omeraki' (Madrid)</t>
    </r>
    <r>
      <rPr>
        <rFont val="Arial, sans-serif"/>
        <color rgb="FF1155CC"/>
        <sz val="11.0"/>
        <u/>
      </rPr>
      <t>¡Qué banquete! El famoso pâté en croûte de Boronat y la exitosa crisanchofa de Chicote han triunfado en la memorable Cena de los Albertos, como ha bautizado...</t>
    </r>
    <r>
      <rPr>
        <rFont val="Arial, sans-serif"/>
        <color rgb="FF1155CC"/>
        <sz val="12.0"/>
        <u/>
      </rPr>
      <t>.</t>
    </r>
    <r>
      <rPr>
        <rFont val="Arial, sans-serif"/>
        <color rgb="FF1155CC"/>
        <sz val="11.0"/>
        <u/>
      </rPr>
      <t>9 may 2024</t>
    </r>
  </si>
  <si>
    <t>¡Qué banquete! El famoso pâté en croûte de Boronat y la exitosa crisanchofa de Chicote han triunfado en la memorable Cena de los Albertos, como ha bautizado....</t>
  </si>
  <si>
    <t>What a banquet! The famous pâté en croûte from Boronat and the successful chrysanchofa from Chicote have triumphed at the memorable Dinner of the Alberts, as it has been named....</t>
  </si>
  <si>
    <r>
      <rPr>
        <rFont val="Arial, sans-serif"/>
        <color rgb="FF1155CC"/>
        <sz val="9.0"/>
        <u/>
      </rPr>
      <t>El Periódico de la Energía</t>
    </r>
    <r>
      <rPr>
        <rFont val="Arial, sans-serif"/>
        <color rgb="FF1155CC"/>
        <sz val="15.0"/>
        <u/>
      </rPr>
      <t>Nace la primera Asociación Española de Geotermia, GEOENERGÍA</t>
    </r>
    <r>
      <rPr>
        <rFont val="Arial, sans-serif"/>
        <color rgb="FF1155CC"/>
        <sz val="11.0"/>
        <u/>
      </rPr>
      <t>GEOPLAT ha presentado la Asociación Española de Geotermia, GEOENERGÍA, que nace con la misión de ser la voz del sector geotérmico en España.</t>
    </r>
    <r>
      <rPr>
        <rFont val="Arial, sans-serif"/>
        <color rgb="FF1155CC"/>
        <sz val="12.0"/>
        <u/>
      </rPr>
      <t>.</t>
    </r>
    <r>
      <rPr>
        <rFont val="Arial, sans-serif"/>
        <color rgb="FF1155CC"/>
        <sz val="11.0"/>
        <u/>
      </rPr>
      <t>9 may 2024</t>
    </r>
  </si>
  <si>
    <t>Nace la primera Asociación Española de Geotermia, GEOENERGÍA</t>
  </si>
  <si>
    <t>GEOPLAT ha presentado la Asociación Española de Geotermia, GEOENERGÍA, que nace con la misión de ser la voz del sector geotérmico en España.</t>
  </si>
  <si>
    <t>The first Spanish Geothermal Association, GEOENERGY, is born</t>
  </si>
  <si>
    <t>GEOPLAT has presented the Spanish Geothermal Association, GEOENERGÍA, which was born with the mission of being the voice of the geothermal sector in Spain.</t>
  </si>
  <si>
    <t>General industry associations do not impact Repsol’s business.</t>
  </si>
  <si>
    <r>
      <rPr>
        <rFont val="Arial, sans-serif"/>
        <color rgb="FF1155CC"/>
        <sz val="9.0"/>
        <u/>
      </rPr>
      <t>Expansión</t>
    </r>
    <r>
      <rPr>
        <rFont val="Arial, sans-serif"/>
        <color rgb="FF1155CC"/>
        <sz val="15.0"/>
        <u/>
      </rPr>
      <t>Valores del Ibex que suben más del 10% y tienen margen para otro 10%</t>
    </r>
    <r>
      <rPr>
        <rFont val="Arial, sans-serif"/>
        <color rgb="FF1155CC"/>
        <sz val="11.0"/>
        <u/>
      </rPr>
      <t>De las 19 empresas del Ibex que acumulan subidas en lo que va de año superiores al 10% solo cinco cuentan con el respaldo de los analistas para superar de...</t>
    </r>
    <r>
      <rPr>
        <rFont val="Arial, sans-serif"/>
        <color rgb="FF1155CC"/>
        <sz val="12.0"/>
        <u/>
      </rPr>
      <t>.</t>
    </r>
    <r>
      <rPr>
        <rFont val="Arial, sans-serif"/>
        <color rgb="FF1155CC"/>
        <sz val="11.0"/>
        <u/>
      </rPr>
      <t>9 may 2024</t>
    </r>
  </si>
  <si>
    <t>Valores del Ibex que suben más del 10% y tienen margen para otro 10%</t>
  </si>
  <si>
    <t>De las 19 empresas del Ibex que acumulan subidas en lo que va de año superiores al 10% solo cinco cuentan con el respaldo de los analistas para superar de....</t>
  </si>
  <si>
    <t>Ibex values ​​that rise more than 10% and have room for another 10%</t>
  </si>
  <si>
    <t>Of the 19 Ibex companies that have accumulated increases so far this year of more than 10%, only five have the support of analysts to exceed...</t>
  </si>
  <si>
    <r>
      <rPr>
        <rFont val="Arial, sans-serif"/>
        <color rgb="FF1155CC"/>
        <sz val="9.0"/>
        <u/>
      </rPr>
      <t>Vanitatis</t>
    </r>
    <r>
      <rPr>
        <rFont val="Arial, sans-serif"/>
        <color rgb="FF1155CC"/>
        <sz val="15.0"/>
        <u/>
      </rPr>
      <t>Sanz y Sahuquillo (Cañitas Maite, Oba, Cebo): “Peleamos por restaurantes sostenibles para crecer y ser felices”</t>
    </r>
    <r>
      <rPr>
        <rFont val="Arial, sans-serif"/>
        <color rgb="FF1155CC"/>
        <sz val="11.0"/>
        <u/>
      </rPr>
      <t>Con solo 26 años, estos dos jóvenes —con tres estrellas Michelin repartidas entre Oba y Cebo— dirigen un pequeño imperio gastronómico que, aunque tiene su...</t>
    </r>
    <r>
      <rPr>
        <rFont val="Arial, sans-serif"/>
        <color rgb="FF1155CC"/>
        <sz val="12.0"/>
        <u/>
      </rPr>
      <t>.</t>
    </r>
    <r>
      <rPr>
        <rFont val="Arial, sans-serif"/>
        <color rgb="FF1155CC"/>
        <sz val="11.0"/>
        <u/>
      </rPr>
      <t>9 may 2024</t>
    </r>
  </si>
  <si>
    <t>Sanz y Sahuquillo (Cañitas Maite, Oba, Cebo): “Peleamos por restaurantes sostenibles para crecer y ser felices”</t>
  </si>
  <si>
    <t>“Peleamos por restaurantes sostenibles para crecer y ser felices” Con solo 26 años, estos dos jóvenes —con tres estrellas Michelin repartidas entre Oba y Cebo— dirigen un pequeño imperio gastronómico que, aunque tiene su....</t>
  </si>
  <si>
    <t>Sanz and Sahuquillo (Cañitas Maite, Oba, Cebo): “We fight for sustainable restaurants to grow and be happy”</t>
  </si>
  <si>
    <t>“We fight for sustainable restaurants to grow and be happy” At only 26 years old, these two young people – with three Michelin stars distributed between Oba and Cebo – run a small gastronomic empire that, although it has its...</t>
  </si>
  <si>
    <r>
      <rPr>
        <rFont val="Arial, sans-serif"/>
        <color rgb="FF1155CC"/>
        <sz val="9.0"/>
        <u/>
      </rPr>
      <t>El Economista</t>
    </r>
    <r>
      <rPr>
        <rFont val="Arial, sans-serif"/>
        <color rgb="FF1155CC"/>
        <sz val="15.0"/>
        <u/>
      </rPr>
      <t>El 'greenwashing' se castigará en Europa con multas millonarias</t>
    </r>
    <r>
      <rPr>
        <rFont val="Arial, sans-serif"/>
        <color rgb="FF1155CC"/>
        <sz val="11.0"/>
        <u/>
      </rPr>
      <t>Reciclaje, aprovechamiento, responsabilidad... Los usos y costumbres de las sociedades del siglo XXI poco tienen que ver con los que ...</t>
    </r>
    <r>
      <rPr>
        <rFont val="Arial, sans-serif"/>
        <color rgb="FF1155CC"/>
        <sz val="12.0"/>
        <u/>
      </rPr>
      <t>.</t>
    </r>
    <r>
      <rPr>
        <rFont val="Arial, sans-serif"/>
        <color rgb="FF1155CC"/>
        <sz val="11.0"/>
        <u/>
      </rPr>
      <t>9 may 2024</t>
    </r>
  </si>
  <si>
    <t>El 'greenwashing' se castigará en Europa con multas millonarias</t>
  </si>
  <si>
    <t>Reciclaje, aprovechamiento, responsabilidad... Los usos y costumbres de las sociedades del siglo XXI poco tienen que ver con los que ....</t>
  </si>
  <si>
    <t>'Greenwashing' will be punished in Europe with million-dollar fines</t>
  </si>
  <si>
    <t>Recycling, use, responsibility... The uses and customs of 21st century societies have little to do with those that...</t>
  </si>
  <si>
    <t>Repsol greenwashing scrutiny, legal regulation</t>
  </si>
  <si>
    <t>Escrutinio del greenwashing de Repsol, regulación legal</t>
  </si>
  <si>
    <t>Stricter regulations on greenwashing may impact Repsol’s sustainability messaging.</t>
  </si>
  <si>
    <r>
      <rPr>
        <rFont val="Arial, sans-serif"/>
        <color rgb="FF1155CC"/>
        <sz val="9.0"/>
        <u/>
      </rPr>
      <t>El Periódico de la Energía</t>
    </r>
    <r>
      <rPr>
        <rFont val="Arial, sans-serif"/>
        <color rgb="FF1155CC"/>
        <sz val="15.0"/>
        <u/>
      </rPr>
      <t>La central nuclear 'José Cabrera' no notificó ningún suceso en 2023 durante sus labores de desmantelamiento</t>
    </r>
    <r>
      <rPr>
        <rFont val="Arial, sans-serif"/>
        <color rgb="FF1155CC"/>
        <sz val="11.0"/>
        <u/>
      </rPr>
      <t>El CSN ha participado en la XXIV reunión del Comité Local de Información de la central nuclear 'José Cabrera' (Guadalajara).</t>
    </r>
    <r>
      <rPr>
        <rFont val="Arial, sans-serif"/>
        <color rgb="FF1155CC"/>
        <sz val="12.0"/>
        <u/>
      </rPr>
      <t>.</t>
    </r>
    <r>
      <rPr>
        <rFont val="Arial, sans-serif"/>
        <color rgb="FF1155CC"/>
        <sz val="11.0"/>
        <u/>
      </rPr>
      <t>9 may 2024</t>
    </r>
  </si>
  <si>
    <t>La central nuclear 'José Cabrera' no notificó ningún suceso en 2023 durante sus labores de desmantelamiento</t>
  </si>
  <si>
    <t>El CSN ha participado en la XXIV reunión del Comité Local de Información de la central nuclear 'José Cabrera' (Guadalajara).</t>
  </si>
  <si>
    <t>The 'José Cabrera' nuclear power plant did not report any events in 2023 during its dismantling work</t>
  </si>
  <si>
    <t>The CSN has participated in the XXIV meeting of the Local Information Committee of the 'José Cabrera' nuclear power plant (Guadalajara).</t>
  </si>
  <si>
    <r>
      <rPr>
        <rFont val="Arial, sans-serif"/>
        <color rgb="FF1155CC"/>
        <sz val="9.0"/>
        <u/>
      </rPr>
      <t>Greenpeace España</t>
    </r>
    <r>
      <rPr>
        <rFont val="Arial, sans-serif"/>
        <color rgb="FF1155CC"/>
        <sz val="15.0"/>
        <u/>
      </rPr>
      <t>Acción: Repsol culpable de la crisis climática - ES</t>
    </r>
    <r>
      <rPr>
        <rFont val="Arial, sans-serif"/>
        <color rgb="FF1155CC"/>
        <sz val="11.0"/>
        <u/>
      </rPr>
      <t>Activistas de Greenpeace se plantan en la Junta General de Accionistas de Repsol para recordar el daño que provoca, en la salud, el medioambiente y la...</t>
    </r>
    <r>
      <rPr>
        <rFont val="Arial, sans-serif"/>
        <color rgb="FF1155CC"/>
        <sz val="12.0"/>
        <u/>
      </rPr>
      <t>.</t>
    </r>
    <r>
      <rPr>
        <rFont val="Arial, sans-serif"/>
        <color rgb="FF1155CC"/>
        <sz val="11.0"/>
        <u/>
      </rPr>
      <t>10 may 2024</t>
    </r>
  </si>
  <si>
    <t>Acción: Repsol culpable de la crisis climática - ES</t>
  </si>
  <si>
    <t>Activistas de Greenpeace se plantan en la Junta General de Accionistas de Repsol para recordar el daño que provoca, en la salud, el medioambiente y la....</t>
  </si>
  <si>
    <t>Action: Repsol guilty of the climate crisis - ES</t>
  </si>
  <si>
    <t>Greenpeace activists stand at the Repsol General Shareholders' Meeting to remember the damage it causes to health, the environment and...</t>
  </si>
  <si>
    <t>Repsol climate controversy, environmental activism</t>
  </si>
  <si>
    <t>La polémica climática de Repsol, activismo medioambiental</t>
  </si>
  <si>
    <t>Accusations from Greenpeace may negatively impact Repsol’s sustainability reputation.</t>
  </si>
  <si>
    <t>culpable (activist criticism)</t>
  </si>
  <si>
    <t>Severe negative.</t>
  </si>
  <si>
    <t>Negativo severo.</t>
  </si>
  <si>
    <r>
      <rPr>
        <rFont val="Arial, sans-serif"/>
        <color rgb="FF1155CC"/>
        <sz val="9.0"/>
        <u/>
      </rPr>
      <t>Climática</t>
    </r>
    <r>
      <rPr>
        <rFont val="Arial, sans-serif"/>
        <color rgb="FF1155CC"/>
        <sz val="15.0"/>
        <u/>
      </rPr>
      <t>El CEO de Repsol acusa a Greenpeace y los ecologistas del aumento de las emisiones</t>
    </r>
    <r>
      <rPr>
        <rFont val="Arial, sans-serif"/>
        <color rgb="FF1155CC"/>
        <sz val="11.0"/>
        <u/>
      </rPr>
      <t>El consejero delegado de Repsol, Josu Jon Imaz, acusa a las organizaciones en defensa del clima de ser responsables del calentamiento global.</t>
    </r>
    <r>
      <rPr>
        <rFont val="Arial, sans-serif"/>
        <color rgb="FF1155CC"/>
        <sz val="12.0"/>
        <u/>
      </rPr>
      <t>.</t>
    </r>
    <r>
      <rPr>
        <rFont val="Arial, sans-serif"/>
        <color rgb="FF1155CC"/>
        <sz val="11.0"/>
        <u/>
      </rPr>
      <t>10 may 2024</t>
    </r>
  </si>
  <si>
    <t>El CEO de Repsol acusa a Greenpeace y los ecologistas del aumento de las emisiones</t>
  </si>
  <si>
    <t>El consejero delegado de Repsol, Josu Jon Imaz, acusa a las organizaciones en defensa del clima de ser responsables del calentamiento global.</t>
  </si>
  <si>
    <t>The CEO of Repsol accuses Greenpeace and environmentalists of the increase in emissions</t>
  </si>
  <si>
    <t>The CEO of Repsol, Josu Jon Imaz, accuses climate defense organizations of being responsible for global warming.</t>
  </si>
  <si>
    <t>Repsol environmental dispute, corporate defense</t>
  </si>
  <si>
    <t>Disputa medioambiental Repsol, defensa empresarial</t>
  </si>
  <si>
    <t>Defending against environmental accusations supports Repsol’s corporate stance.</t>
  </si>
  <si>
    <r>
      <rPr>
        <rFont val="Arial, sans-serif"/>
        <color rgb="FF1155CC"/>
        <sz val="9.0"/>
        <u/>
      </rPr>
      <t>La Vanguardia</t>
    </r>
    <r>
      <rPr>
        <rFont val="Arial, sans-serif"/>
        <color rgb="FF1155CC"/>
        <sz val="15.0"/>
        <u/>
      </rPr>
      <t>Brufau defiende que en Repsol “no son ni retardistas ni negacionistas”</t>
    </r>
    <r>
      <rPr>
        <rFont val="Arial, sans-serif"/>
        <color rgb="FF1155CC"/>
        <sz val="11.0"/>
        <u/>
      </rPr>
      <t>MADRID, 10 (EUROPA PRESS TELEVISIÓN) El presidente de Repsol, Antonio Brufau, ha defendido que en la compañía “no son ni retardistas ni negacionistas”,...</t>
    </r>
    <r>
      <rPr>
        <rFont val="Arial, sans-serif"/>
        <color rgb="FF1155CC"/>
        <sz val="12.0"/>
        <u/>
      </rPr>
      <t>.</t>
    </r>
    <r>
      <rPr>
        <rFont val="Arial, sans-serif"/>
        <color rgb="FF1155CC"/>
        <sz val="11.0"/>
        <u/>
      </rPr>
      <t>10 may 2024</t>
    </r>
  </si>
  <si>
    <t>Brufau defiende que en Repsol “no son ni retardistas ni negacionistas”</t>
  </si>
  <si>
    <t>El presidente de Repsol, Antonio Brufau, ha defendido que en la compañía “no son ni retardistas ni negacionistas”,....</t>
  </si>
  <si>
    <t>Brufau defends that at Repsol “they are neither retardants nor denialists”</t>
  </si>
  <si>
    <t>The president of Repsol, Antonio Brufau, has defended that in the company "they are neither retardants nor denialists",....</t>
  </si>
  <si>
    <t>Repsol energy transition, corporate responsibility</t>
  </si>
  <si>
    <t>Transición energética de Repsol, responsabilidad corporativa</t>
  </si>
  <si>
    <t>Positioning as a responsible energy company supports Repsol’s public image.</t>
  </si>
  <si>
    <t>defiende (PR stance)</t>
  </si>
  <si>
    <r>
      <rPr>
        <rFont val="Arial, sans-serif"/>
        <color rgb="FF1155CC"/>
        <sz val="9.0"/>
        <u/>
      </rPr>
      <t>La Voz de Galicia</t>
    </r>
    <r>
      <rPr>
        <rFont val="Arial, sans-serif"/>
        <color rgb="FF1155CC"/>
        <sz val="15.0"/>
        <u/>
      </rPr>
      <t>El presidente de Repsol: «No somos retardistas, sino activistas contra el cambio climático»</t>
    </r>
    <r>
      <rPr>
        <rFont val="Arial, sans-serif"/>
        <color rgb="FF1155CC"/>
        <sz val="11.0"/>
        <u/>
      </rPr>
      <t>El presidente de Repsol, Antonio Brufau, defendió este viernes que en la compañía «no son ni retardistas ni negacionistas», y aseguró que la energética se...</t>
    </r>
    <r>
      <rPr>
        <rFont val="Arial, sans-serif"/>
        <color rgb="FF1155CC"/>
        <sz val="12.0"/>
        <u/>
      </rPr>
      <t>.</t>
    </r>
    <r>
      <rPr>
        <rFont val="Arial, sans-serif"/>
        <color rgb="FF1155CC"/>
        <sz val="11.0"/>
        <u/>
      </rPr>
      <t>10 may 2024</t>
    </r>
  </si>
  <si>
    <t>El presidente de Repsol: «No somos retardistas, sino activistas contra el cambio climático»</t>
  </si>
  <si>
    <t>El presidente de Repsol, Antonio Brufau, defendió este viernes que en la compañía «no son ni retardistas ni negacionistas», y aseguró que la energética se....</t>
  </si>
  <si>
    <t>The president of Repsol: "We are not retardants, but activists against climate change"</t>
  </si>
  <si>
    <t>The president of Repsol, Antonio Brufau, defended this Friday that the company "is neither retarded nor deniers," and assured that the energy company is...</t>
  </si>
  <si>
    <t>Repsol energy transition, sustainability strategy</t>
  </si>
  <si>
    <t>Transición energética de Repsol, estrategia de sostenibilidad</t>
  </si>
  <si>
    <t>Promoting an active role in the energy transition enhances Repsol’s reputation.</t>
  </si>
  <si>
    <t>activistas contra el cambio climático</t>
  </si>
  <si>
    <t>Positive PR.</t>
  </si>
  <si>
    <t>Relaciones públicas positivas.</t>
  </si>
  <si>
    <r>
      <rPr>
        <rFont val="Arial, sans-serif"/>
        <color rgb="FF1155CC"/>
        <sz val="9.0"/>
        <u/>
      </rPr>
      <t>El Español</t>
    </r>
    <r>
      <rPr>
        <rFont val="Arial, sans-serif"/>
        <color rgb="FF1155CC"/>
        <sz val="15.0"/>
        <u/>
      </rPr>
      <t>Repsol aprueba una mejora de la retribución al accionista del 30% en 2024 hasta alcanzar 4.600 millones en dividendos</t>
    </r>
    <r>
      <rPr>
        <rFont val="Arial, sans-serif"/>
        <color rgb="FF1155CC"/>
        <sz val="11.0"/>
        <u/>
      </rPr>
      <t>El presidente de Repsol, Antonio Brufau, ha defendido que en la compañía "no son ni retardistas ni negacionistas".</t>
    </r>
    <r>
      <rPr>
        <rFont val="Arial, sans-serif"/>
        <color rgb="FF1155CC"/>
        <sz val="12.0"/>
        <u/>
      </rPr>
      <t>.</t>
    </r>
    <r>
      <rPr>
        <rFont val="Arial, sans-serif"/>
        <color rgb="FF1155CC"/>
        <sz val="11.0"/>
        <u/>
      </rPr>
      <t>10 may 2024</t>
    </r>
  </si>
  <si>
    <t>Repsol aprueba una mejora de la retribución al accionista del 30% en 2024 hasta alcanzar 4.600 millones en dividendos</t>
  </si>
  <si>
    <t>Repsol aprueba una mejora de la retribución al accionista del 30% en 2024 hasta alcanzar 4.600 millones en dividendos. El presidente de Repsol, Antonio Brufau, ha defendido que en la compañía "no son ni retardistas ni negacionistas".</t>
  </si>
  <si>
    <t>Repsol approves a 30% improvement in shareholder remuneration in 2024 to reach 4.6 billion in dividends</t>
  </si>
  <si>
    <t>Repsol approves a 30% improvement in shareholder remuneration in 2024 to reach 4.6 billion in dividends. The president of Repsol, Antonio Brufau, has defended that the company "is neither retarded nor deniers."</t>
  </si>
  <si>
    <t>Repsol shareholder return, financial performance</t>
  </si>
  <si>
    <t>Retorno al accionista Repsol, desempeño financiero</t>
  </si>
  <si>
    <t>Improving shareholder compensation strengthens Repsol’s investment appeal.</t>
  </si>
  <si>
    <t>dividendos (shareholder value)</t>
  </si>
  <si>
    <r>
      <rPr>
        <rFont val="Arial, sans-serif"/>
        <color rgb="FF1155CC"/>
        <sz val="9.0"/>
        <u/>
      </rPr>
      <t>Cinco Días</t>
    </r>
    <r>
      <rPr>
        <rFont val="Arial, sans-serif"/>
        <color rgb="FF1155CC"/>
        <sz val="15.0"/>
        <u/>
      </rPr>
      <t>Brufau (Repsol): “No somos negacionistas, somos activistas de la lucha contra el cambio climático”</t>
    </r>
    <r>
      <rPr>
        <rFont val="Arial, sans-serif"/>
        <color rgb="FF1155CC"/>
        <sz val="11.0"/>
        <u/>
      </rPr>
      <t>El presidente de Repsol, Antonio Brufau, ha asegurado en la junta general celebrada este viernes en Madrid, que “no somos ni retardistas ni negacionistas de...</t>
    </r>
    <r>
      <rPr>
        <rFont val="Arial, sans-serif"/>
        <color rgb="FF1155CC"/>
        <sz val="12.0"/>
        <u/>
      </rPr>
      <t>.</t>
    </r>
    <r>
      <rPr>
        <rFont val="Arial, sans-serif"/>
        <color rgb="FF1155CC"/>
        <sz val="11.0"/>
        <u/>
      </rPr>
      <t>10 may 2024</t>
    </r>
  </si>
  <si>
    <t>Brufau (Repsol): “No somos negacionistas, somos activistas de la lucha contra el cambio climático”</t>
  </si>
  <si>
    <t>El presidente de Repsol, Antonio Brufau, ha asegurado en la junta general celebrada este viernes en Madrid, que “no somos ni retardistas ni negacionistas de....</t>
  </si>
  <si>
    <t>Brufau (Repsol): “We are not deniers, we are activists in the fight against climate change”</t>
  </si>
  <si>
    <t>The president of Repsol, Antonio Brufau, assured at the general meeting held this Friday in Madrid, that “we are neither retardants nor deniers of....</t>
  </si>
  <si>
    <t>Repsol sustainability strategy, corporate defense</t>
  </si>
  <si>
    <t>Estrategia de sostenibilidad de Repsol, defensa corporativa</t>
  </si>
  <si>
    <t>Publicly reaffirming sustainability commitments strengthens Repsol’s green credentials.</t>
  </si>
  <si>
    <t>activistas de la lucha (PR)</t>
  </si>
  <si>
    <r>
      <rPr>
        <rFont val="Arial, sans-serif"/>
        <color rgb="FF1155CC"/>
        <sz val="9.0"/>
        <u/>
      </rPr>
      <t>El Periódico</t>
    </r>
    <r>
      <rPr>
        <rFont val="Arial, sans-serif"/>
        <color rgb="FF1155CC"/>
        <sz val="15.0"/>
        <u/>
      </rPr>
      <t>Brufau a Ribera: "Repsol no es retardista ni negacionista, sino activista contra el cambio climático"</t>
    </r>
    <r>
      <rPr>
        <rFont val="Arial, sans-serif"/>
        <color rgb="FF1155CC"/>
        <sz val="11.0"/>
        <u/>
      </rPr>
      <t>Los accionistas han avalado con sus votos la estrategia de transición energética que apuesta por los combustibles renovables.</t>
    </r>
    <r>
      <rPr>
        <rFont val="Arial, sans-serif"/>
        <color rgb="FF1155CC"/>
        <sz val="12.0"/>
        <u/>
      </rPr>
      <t>.</t>
    </r>
    <r>
      <rPr>
        <rFont val="Arial, sans-serif"/>
        <color rgb="FF1155CC"/>
        <sz val="11.0"/>
        <u/>
      </rPr>
      <t>10 may 2024</t>
    </r>
  </si>
  <si>
    <t>Brufau a Ribera: "Repsol no es retardista ni negacionista, sino activista contra el cambio climático"</t>
  </si>
  <si>
    <t>Los accionistas han avalado con sus votos la estrategia de transición energética que apuesta por los combustibles renovables.</t>
  </si>
  <si>
    <t>Brufau to Ribera: "Repsol is neither a retarder nor a denier, but rather an activist against climate change"</t>
  </si>
  <si>
    <t>The shareholders have endorsed with their votes the energy transition strategy that relies on renewable fuels.</t>
  </si>
  <si>
    <t>Defending its sustainability approach strengthens Repsol’s public image.</t>
  </si>
  <si>
    <t>activista contra el cambio climático</t>
  </si>
  <si>
    <r>
      <rPr>
        <rFont val="Arial, sans-serif"/>
        <color rgb="FF1155CC"/>
        <sz val="9.0"/>
        <u/>
      </rPr>
      <t>Economía Digital</t>
    </r>
    <r>
      <rPr>
        <rFont val="Arial, sans-serif"/>
        <color rgb="FF1155CC"/>
        <sz val="15.0"/>
        <u/>
      </rPr>
      <t>Brufau responde a Ribera: «En Repsol no somos ni negacionistas ni retardistas»</t>
    </r>
    <r>
      <rPr>
        <rFont val="Arial, sans-serif"/>
        <color rgb="FF1155CC"/>
        <sz val="11.0"/>
        <u/>
      </rPr>
      <t>Repsol va cerrando frentes poco a poco. En estos momentos mantiene una disputa abierta con Iberdrola a cuenta del 'ecopostureo' y la publicidad engañosa;...</t>
    </r>
    <r>
      <rPr>
        <rFont val="Arial, sans-serif"/>
        <color rgb="FF1155CC"/>
        <sz val="12.0"/>
        <u/>
      </rPr>
      <t>.</t>
    </r>
    <r>
      <rPr>
        <rFont val="Arial, sans-serif"/>
        <color rgb="FF1155CC"/>
        <sz val="11.0"/>
        <u/>
      </rPr>
      <t>10 may 2024</t>
    </r>
  </si>
  <si>
    <t>Brufau responde a Ribera: «En Repsol no somos ni negacionistas ni retardistas»</t>
  </si>
  <si>
    <t>Repsol va cerrando frentes poco a poco. En estos momentos mantiene una disputa abierta con Iberdrola a cuenta del 'ecopostureo' y la publicidad engañosa;....</t>
  </si>
  <si>
    <t>Brufau responds to Ribera: "At Repsol we are neither denialists nor retardists"</t>
  </si>
  <si>
    <t>Repsol is closing fronts little by little. At the moment it maintains an open dispute with Iberdrola on account of 'ecopostureo' and misleading advertising;....</t>
  </si>
  <si>
    <t>Repsol sustainability dispute, legal controversy</t>
  </si>
  <si>
    <t>Disputa de sostenibilidad de Repsol, polémica jurídica</t>
  </si>
  <si>
    <t>Ongoing public disputes over sustainability claims may impact Repsol’s reputation.</t>
  </si>
  <si>
    <t>Neutral update.</t>
  </si>
  <si>
    <t>Actualización neutral.</t>
  </si>
  <si>
    <r>
      <rPr>
        <rFont val="Arial, sans-serif"/>
        <color rgb="FF1155CC"/>
        <sz val="9.0"/>
        <u/>
      </rPr>
      <t>EFEverde</t>
    </r>
    <r>
      <rPr>
        <rFont val="Arial, sans-serif"/>
        <color rgb="FF1155CC"/>
        <sz val="15.0"/>
        <u/>
      </rPr>
      <t>Imaz (Repsol) a Greenpeace: ustedes son los mayores responsables del aumento de emisiones</t>
    </r>
    <r>
      <rPr>
        <rFont val="Arial, sans-serif"/>
        <color rgb="FF1155CC"/>
        <sz val="11.0"/>
        <u/>
      </rPr>
      <t>El consejero delegado de Repsol, Josu Jon Imaz, ha acusado a Greenpeace y otras organizaciones ecologistas de ser los mayores responsables del actual...</t>
    </r>
    <r>
      <rPr>
        <rFont val="Arial, sans-serif"/>
        <color rgb="FF1155CC"/>
        <sz val="12.0"/>
        <u/>
      </rPr>
      <t>.</t>
    </r>
    <r>
      <rPr>
        <rFont val="Arial, sans-serif"/>
        <color rgb="FF1155CC"/>
        <sz val="11.0"/>
        <u/>
      </rPr>
      <t>10 may 2024</t>
    </r>
  </si>
  <si>
    <t>EFEverde</t>
  </si>
  <si>
    <t>Repsol acusa a Greenpeace de ser los mayores responsables del aumento de emisiones</t>
  </si>
  <si>
    <t>Ustedes son los mayores responsables del aumento de emisiones.</t>
  </si>
  <si>
    <t>Repsol accuses Greenpeace of being most responsible for the increase in emissions</t>
  </si>
  <si>
    <t>You are the most responsible for the increase in emissions.</t>
  </si>
  <si>
    <t>Disputa medioambiental de Repsol, defensa corporativa</t>
  </si>
  <si>
    <t>Countering environmental accusations supports Repsol’s credibility.</t>
  </si>
  <si>
    <t>no somos negacionistas (PR)</t>
  </si>
  <si>
    <r>
      <rPr>
        <rFont val="Arial, sans-serif"/>
        <color rgb="FF1155CC"/>
        <sz val="9.0"/>
        <u/>
      </rPr>
      <t>ABC</t>
    </r>
    <r>
      <rPr>
        <rFont val="Arial, sans-serif"/>
        <color rgb="FF1155CC"/>
        <sz val="15.0"/>
        <u/>
      </rPr>
      <t>Repsol celebra su junta anual de accionistas</t>
    </r>
    <r>
      <rPr>
        <rFont val="Arial, sans-serif"/>
        <color rgb="FF1155CC"/>
        <sz val="11.0"/>
        <u/>
      </rPr>
      <t>Madrid, 10 may (EFE).- Repsol, cuyos resultados se están viendo muy afectados por la caída del preci...</t>
    </r>
    <r>
      <rPr>
        <rFont val="Arial, sans-serif"/>
        <color rgb="FF1155CC"/>
        <sz val="12.0"/>
        <u/>
      </rPr>
      <t>.</t>
    </r>
    <r>
      <rPr>
        <rFont val="Arial, sans-serif"/>
        <color rgb="FF1155CC"/>
        <sz val="11.0"/>
        <u/>
      </rPr>
      <t>10 may 2024</t>
    </r>
  </si>
  <si>
    <t>EFE</t>
  </si>
  <si>
    <t>Repsol celebra su junta anual de accionistas</t>
  </si>
  <si>
    <t>Repsol, cuyos resultados se están viendo muy afectados por la caída del precio.</t>
  </si>
  <si>
    <t>Repsol holds its annual shareholders meeting</t>
  </si>
  <si>
    <t>Repsol, whose results are being greatly affected by the fall in price.</t>
  </si>
  <si>
    <t>Repsol shareholder meeting, financial strategy</t>
  </si>
  <si>
    <t>Junta de accionistas de Repsol, estrategia financiera</t>
  </si>
  <si>
    <t>Discussing financial strategies reinforces investor confidence.</t>
  </si>
  <si>
    <r>
      <rPr>
        <rFont val="Arial, sans-serif"/>
        <color rgb="FF1155CC"/>
        <sz val="9.0"/>
        <u/>
      </rPr>
      <t>Libre Mercado</t>
    </r>
    <r>
      <rPr>
        <rFont val="Arial, sans-serif"/>
        <color rgb="FF1155CC"/>
        <sz val="15.0"/>
        <u/>
      </rPr>
      <t>Demoledora respuesta de Imaz a una activista de Greenpeace en plena junta de accionistas de Repsol</t>
    </r>
    <r>
      <rPr>
        <rFont val="Arial, sans-serif"/>
        <color rgb="FF1155CC"/>
        <sz val="11.0"/>
        <u/>
      </rPr>
      <t>"En 2100 seguiremos usando petróleo", ha dicho el CEO de Repsol a una ecologista que exigía a la empresa abandonar su actividad.</t>
    </r>
    <r>
      <rPr>
        <rFont val="Arial, sans-serif"/>
        <color rgb="FF1155CC"/>
        <sz val="12.0"/>
        <u/>
      </rPr>
      <t>.</t>
    </r>
    <r>
      <rPr>
        <rFont val="Arial, sans-serif"/>
        <color rgb="FF1155CC"/>
        <sz val="11.0"/>
        <u/>
      </rPr>
      <t>10 may 2024</t>
    </r>
  </si>
  <si>
    <t>Demoledora respuesta de Imaz a una activista de Greenpeace en plena junta de accionistas de Repsol</t>
  </si>
  <si>
    <t>"En 2100 seguiremos usando petróleo", ha dicho el CEO de Repsol a una ecologista que exigía a la empresa abandonar su actividad.</t>
  </si>
  <si>
    <t>Imaz's devastating response to a Greenpeace activist at the Repsol shareholder meeting</t>
  </si>
  <si>
    <t>"In 2100 we will continue using oil," Repsol's CEO told an environmentalist who demanded the company abandon its activity.</t>
  </si>
  <si>
    <t>Repsol vs. Greenpeace, environmental dispute</t>
  </si>
  <si>
    <t>Repsol vs. Greenpeace, disputa medioambiental</t>
  </si>
  <si>
    <t>Clashes with environmental activists may negatively affect Repsol’s reputation.</t>
  </si>
  <si>
    <t>Neutral event.</t>
  </si>
  <si>
    <t>Evento neutro.</t>
  </si>
  <si>
    <r>
      <rPr>
        <rFont val="Arial, sans-serif"/>
        <color rgb="FF1155CC"/>
        <sz val="9.0"/>
        <u/>
      </rPr>
      <t>EFE - Agencia de noticias</t>
    </r>
    <r>
      <rPr>
        <rFont val="Arial, sans-serif"/>
        <color rgb="FF1155CC"/>
        <sz val="15.0"/>
        <u/>
      </rPr>
      <t>Repsol carga contra el gravamen a las energéticas por castigar al que crea valor y no a importadores</t>
    </r>
    <r>
      <rPr>
        <rFont val="Arial, sans-serif"/>
        <color rgb="FF1155CC"/>
        <sz val="11.0"/>
        <u/>
      </rPr>
      <t>Madrid (EFE).- El consejero delegado de Repsol, Josu Jon Imaz, ha criticado este viernes el gravamen, todavía temporal y extraordinario, a las grandes...</t>
    </r>
    <r>
      <rPr>
        <rFont val="Arial, sans-serif"/>
        <color rgb="FF1155CC"/>
        <sz val="12.0"/>
        <u/>
      </rPr>
      <t>.</t>
    </r>
    <r>
      <rPr>
        <rFont val="Arial, sans-serif"/>
        <color rgb="FF1155CC"/>
        <sz val="11.0"/>
        <u/>
      </rPr>
      <t>10 may 2024</t>
    </r>
  </si>
  <si>
    <t>Repsol carga contra el gravamen a las energéticas por castigar al que crea valor y no a importadores</t>
  </si>
  <si>
    <t>Repsol carga contra el gravamen a las energéticas por castigar al que crea valor y no a importadores.</t>
  </si>
  <si>
    <t>Repsol charges against the tax on energy companies for punishing those who create value and not importers</t>
  </si>
  <si>
    <t>Repsol charges against the tax on energy companies for punishing those who create value and not importers.</t>
  </si>
  <si>
    <t>Repsol taxation, financial dispute</t>
  </si>
  <si>
    <t>Fiscalidad de Repsol, disputa financiera</t>
  </si>
  <si>
    <t>Public disputes over taxation may impact Repsol’s financial planning.</t>
  </si>
  <si>
    <t>demoledora (conflict)</t>
  </si>
  <si>
    <r>
      <rPr>
        <rFont val="Arial, sans-serif"/>
        <color rgb="FF1155CC"/>
        <sz val="9.0"/>
        <u/>
      </rPr>
      <t>El Independiente</t>
    </r>
    <r>
      <rPr>
        <rFont val="Arial, sans-serif"/>
        <color rgb="FF1155CC"/>
        <sz val="15.0"/>
        <u/>
      </rPr>
      <t>Josu Jon Imaz (Repsol) se enzarza con Greenpeace: "Ustedes son los culpables del aumento de las emisiones"</t>
    </r>
    <r>
      <rPr>
        <rFont val="Arial, sans-serif"/>
        <color rgb="FF1155CC"/>
        <sz val="11.0"/>
        <u/>
      </rPr>
      <t>Josu Jon Imaz se ha despachado este viernes en la junta general de accionistas anual contra aquellos que critican a Repsol por ser una empresa que no.</t>
    </r>
    <r>
      <rPr>
        <rFont val="Arial, sans-serif"/>
        <color rgb="FF1155CC"/>
        <sz val="12.0"/>
        <u/>
      </rPr>
      <t>.</t>
    </r>
    <r>
      <rPr>
        <rFont val="Arial, sans-serif"/>
        <color rgb="FF1155CC"/>
        <sz val="11.0"/>
        <u/>
      </rPr>
      <t>10 may 2024</t>
    </r>
  </si>
  <si>
    <t>"Josu Jon Imaz (Repsol) se enzarza con Greenpeace: 'Ustedes son los culpables del aumento de las emisiones'"</t>
  </si>
  <si>
    <t>Ustedes son los culpables del aumento de las emisiones.</t>
  </si>
  <si>
    <t>"Josu Jon Imaz (Repsol) clashes with Greenpeace: 'You are to blame for the increase in emissions'"</t>
  </si>
  <si>
    <t>You are to blame for the increase in emissions.</t>
  </si>
  <si>
    <t>Repsol vs. Greenpeace, climate controversy</t>
  </si>
  <si>
    <t>Repsol vs. Greenpeace, polémica climática</t>
  </si>
  <si>
    <t>Accusations from environmental organizations may harm Repsol’s sustainability perception.</t>
  </si>
  <si>
    <t>carga contra (policy dispute)</t>
  </si>
  <si>
    <r>
      <rPr>
        <rFont val="Arial, sans-serif"/>
        <color rgb="FF1155CC"/>
        <sz val="9.0"/>
        <u/>
      </rPr>
      <t>Bolsamania</t>
    </r>
    <r>
      <rPr>
        <rFont val="Arial, sans-serif"/>
        <color rgb="FF1155CC"/>
        <sz val="15.0"/>
        <u/>
      </rPr>
      <t>Repsol aprueba abonar el 8 de julio un dividendo complementario de 0,5 euros</t>
    </r>
    <r>
      <rPr>
        <rFont val="Arial, sans-serif"/>
        <color rgb="FF1155CC"/>
        <sz val="11.0"/>
        <u/>
      </rPr>
      <t>La Junta General de Accionistas de Repsol ha aprobado este viernes un dividendo complementario de 0,5 euros brutos por acción -con cargo a los beneficios...</t>
    </r>
    <r>
      <rPr>
        <rFont val="Arial, sans-serif"/>
        <color rgb="FF1155CC"/>
        <sz val="12.0"/>
        <u/>
      </rPr>
      <t>.</t>
    </r>
    <r>
      <rPr>
        <rFont val="Arial, sans-serif"/>
        <color rgb="FF1155CC"/>
        <sz val="11.0"/>
        <u/>
      </rPr>
      <t>10 may 2024</t>
    </r>
  </si>
  <si>
    <t>Repsol aprueba abonar el 8 de julio un dividendo complementario de 0,5 euros</t>
  </si>
  <si>
    <t>La Junta General de Accionistas de Repsol ha aprobado este viernes un dividendo complementario de 0,5 euros brutos por acción -con cargo a los beneficios....</t>
  </si>
  <si>
    <t>Repsol approves paying a complementary dividend of 0.5 euros on July 8</t>
  </si>
  <si>
    <t>This Friday, Repsol's General Shareholders' Meeting approved a complementary dividend of 0.5 euros gross per share - charged to profits....</t>
  </si>
  <si>
    <t>Repsol shareholder remuneration, financial strategy</t>
  </si>
  <si>
    <t>Retribución al accionista de Repsol, estrategia financiera</t>
  </si>
  <si>
    <t>Dividend payments enhance investor confidence in Repsol.</t>
  </si>
  <si>
    <t>se enzarza (conflict)</t>
  </si>
  <si>
    <t>Strong negative.</t>
  </si>
  <si>
    <t>Fuerte negativo.</t>
  </si>
  <si>
    <r>
      <rPr>
        <rFont val="Arial, sans-serif"/>
        <color rgb="FF1155CC"/>
        <sz val="9.0"/>
        <u/>
      </rPr>
      <t>20Minutos</t>
    </r>
    <r>
      <rPr>
        <rFont val="Arial, sans-serif"/>
        <color rgb="FF1155CC"/>
        <sz val="15.0"/>
        <u/>
      </rPr>
      <t>Brufau (Repsol): "No somos retardistas ni negacionistas en la lucha contra el cambio climático"</t>
    </r>
    <r>
      <rPr>
        <rFont val="Arial, sans-serif"/>
        <color rgb="FF1155CC"/>
        <sz val="11.0"/>
        <u/>
      </rPr>
      <t>El presidente de Repsol, Antonio Brufau, se ha dirigido este viernes a los accionistas. La compañía ha celebrado en Madrid su junta general y ha mandado un...</t>
    </r>
    <r>
      <rPr>
        <rFont val="Arial, sans-serif"/>
        <color rgb="FF1155CC"/>
        <sz val="12.0"/>
        <u/>
      </rPr>
      <t>.</t>
    </r>
    <r>
      <rPr>
        <rFont val="Arial, sans-serif"/>
        <color rgb="FF1155CC"/>
        <sz val="11.0"/>
        <u/>
      </rPr>
      <t>10 may 2024</t>
    </r>
  </si>
  <si>
    <t>"No somos retardistas ni negacionistas en la lucha contra el cambio climático"</t>
  </si>
  <si>
    <t>El presidente de Repsol, Antonio Brufau, se ha dirigido este viernes a los accionistas. La compañía ha celebrado en Madrid su junta general y ha mandado un....</t>
  </si>
  <si>
    <t>"We are not retardists or deniers in the fight against climate change"</t>
  </si>
  <si>
    <t>The president of Repsol, Antonio Brufau, addressed shareholders this Friday. The company held its general meeting in Madrid and sent a...</t>
  </si>
  <si>
    <t>Repsol sustainability strategy, corporate responsibility</t>
  </si>
  <si>
    <t>Estrategia de sostenibilidad de Repsol, responsabilidad corporativa</t>
  </si>
  <si>
    <t>Publicly reinforcing sustainability commitments strengthens Repsol’s reputation.</t>
  </si>
  <si>
    <t>dividendo (financial)</t>
  </si>
  <si>
    <r>
      <rPr>
        <rFont val="Arial, sans-serif"/>
        <color rgb="FF1155CC"/>
        <sz val="9.0"/>
        <u/>
      </rPr>
      <t>Greenpeace España</t>
    </r>
    <r>
      <rPr>
        <rFont val="Arial, sans-serif"/>
        <color rgb="FF1155CC"/>
        <sz val="15.0"/>
        <u/>
      </rPr>
      <t>🔴ACCIÓN🔴 REPSOL: Culpable de la crisis climática</t>
    </r>
    <r>
      <rPr>
        <rFont val="Arial, sans-serif"/>
        <color rgb="FF1155CC"/>
        <sz val="11.0"/>
        <u/>
      </rPr>
      <t>Se abre el telón. Palacio Municipal de Congresos de Madrid Junta General de Accionistas (JGA) de Repsol. En la entrada principal un mensaje claro y...</t>
    </r>
    <r>
      <rPr>
        <rFont val="Arial, sans-serif"/>
        <color rgb="FF1155CC"/>
        <sz val="12.0"/>
        <u/>
      </rPr>
      <t>.</t>
    </r>
    <r>
      <rPr>
        <rFont val="Arial, sans-serif"/>
        <color rgb="FF1155CC"/>
        <sz val="11.0"/>
        <u/>
      </rPr>
      <t>10 may 2024</t>
    </r>
  </si>
  <si>
    <t>REPSOL: Culpable de la crisis climática</t>
  </si>
  <si>
    <t>Culpable de la crisis climática Se abre el telón. Palacio Municipal de Congresos de Madrid Junta General de Accionistas (JGA) de Repsol. En la entrada principal un mensaje claro y....</t>
  </si>
  <si>
    <t>REPSOL: Guilty of the climate crisis</t>
  </si>
  <si>
    <t>Guilty of the climate crisis The curtain opens. Madrid Municipal Congress Palace General Shareholders' Meeting (AGM) of Repsol. At the main entrance a clear message and...</t>
  </si>
  <si>
    <t>Accusations of environmental harm may damage Repsol’s public image.</t>
  </si>
  <si>
    <t>lucha contra el cambio climático</t>
  </si>
  <si>
    <r>
      <rPr>
        <rFont val="Arial, sans-serif"/>
        <color rgb="FF1155CC"/>
        <sz val="9.0"/>
        <u/>
      </rPr>
      <t>Box Repsol</t>
    </r>
    <r>
      <rPr>
        <rFont val="Arial, sans-serif"/>
        <color rgb="FF1155CC"/>
        <sz val="15.0"/>
        <u/>
      </rPr>
      <t>Los mejores guantes de verano para usar en moto</t>
    </r>
    <r>
      <rPr>
        <rFont val="Arial, sans-serif"/>
        <color rgb="FF1155CC"/>
        <sz val="11.0"/>
        <u/>
      </rPr>
      <t>Descubre los mejores guantes de moto para mantenerte fresco y protegido durante los meses de verano. Encuentra el par perfecto para tu próxima aventura.</t>
    </r>
    <r>
      <rPr>
        <rFont val="Arial, sans-serif"/>
        <color rgb="FF1155CC"/>
        <sz val="12.0"/>
        <u/>
      </rPr>
      <t>.</t>
    </r>
    <r>
      <rPr>
        <rFont val="Arial, sans-serif"/>
        <color rgb="FF1155CC"/>
        <sz val="11.0"/>
        <u/>
      </rPr>
      <t>10 may 2024</t>
    </r>
  </si>
  <si>
    <t>Los mejores guantes de verano para usar en moto</t>
  </si>
  <si>
    <t>Descubre los mejores guantes de moto para mantenerte fresco y protegido durante los meses de verano. Encuentra el par perfecto para tu próxima aventura.</t>
  </si>
  <si>
    <t>The best summer gloves to use on a motorcycle</t>
  </si>
  <si>
    <t>Discover the best motorcycle gloves to keep you cool and protected during the summer months. Find the perfect pair for your next adventure.</t>
  </si>
  <si>
    <r>
      <rPr>
        <rFont val="Arial, sans-serif"/>
        <color rgb="FF1155CC"/>
        <sz val="9.0"/>
        <u/>
      </rPr>
      <t>La Vanguardia</t>
    </r>
    <r>
      <rPr>
        <rFont val="Arial, sans-serif"/>
        <color rgb="FF1155CC"/>
        <sz val="15.0"/>
        <u/>
      </rPr>
      <t>Choque inusitado entre Repsol y Greenpeace</t>
    </r>
    <r>
      <rPr>
        <rFont val="Arial, sans-serif"/>
        <color rgb="FF1155CC"/>
        <sz val="11.0"/>
        <u/>
      </rPr>
      <t>Choque entre Repsol y Greenpeace. El consejero delegado de Repsol, Josu Jon Imaz, ha acusado a esta organización ecologista de ser “responsable” del...</t>
    </r>
    <r>
      <rPr>
        <rFont val="Arial, sans-serif"/>
        <color rgb="FF1155CC"/>
        <sz val="12.0"/>
        <u/>
      </rPr>
      <t>.</t>
    </r>
    <r>
      <rPr>
        <rFont val="Arial, sans-serif"/>
        <color rgb="FF1155CC"/>
        <sz val="11.0"/>
        <u/>
      </rPr>
      <t>10 may 2024</t>
    </r>
  </si>
  <si>
    <t>Choque inusitado entre Repsol y Greenpeace</t>
  </si>
  <si>
    <t>Choque entre Repsol y Greenpeace. El consejero delegado de Repsol, Josu Jon Imaz, ha acusado a esta organización ecologista de ser “responsable” del....</t>
  </si>
  <si>
    <t>Unusual clash between Repsol and Greenpeace</t>
  </si>
  <si>
    <t>Clash between Repsol and Greenpeace. The CEO of Repsol, Josu Jon Imaz, has accused this environmental organization of being “responsible” for...</t>
  </si>
  <si>
    <t>Repsol vs. Greenpeace, climate dispute</t>
  </si>
  <si>
    <t>Repsol vs. Greenpeace, disputa climática</t>
  </si>
  <si>
    <t>Public disputes with Greenpeace may impact Repsol’s sustainability image.</t>
  </si>
  <si>
    <r>
      <rPr>
        <rFont val="Arial, sans-serif"/>
        <color rgb="FF1155CC"/>
        <sz val="9.0"/>
        <u/>
      </rPr>
      <t>La Vanguardia</t>
    </r>
    <r>
      <rPr>
        <rFont val="Arial, sans-serif"/>
        <color rgb="FF1155CC"/>
        <sz val="15.0"/>
        <u/>
      </rPr>
      <t>Brufau: “No somos retardistas, ni negacionistas”</t>
    </r>
    <r>
      <rPr>
        <rFont val="Arial, sans-serif"/>
        <color rgb="FF1155CC"/>
        <sz val="11.0"/>
        <u/>
      </rPr>
      <t>El consejero delegado de Repsol, Josu Jon Imaz, ha presentado este viernes a la junta de accionistas de la compañía una actualización del plan de negocio de...</t>
    </r>
    <r>
      <rPr>
        <rFont val="Arial, sans-serif"/>
        <color rgb="FF1155CC"/>
        <sz val="12.0"/>
        <u/>
      </rPr>
      <t>.</t>
    </r>
    <r>
      <rPr>
        <rFont val="Arial, sans-serif"/>
        <color rgb="FF1155CC"/>
        <sz val="11.0"/>
        <u/>
      </rPr>
      <t>10 may 2024</t>
    </r>
  </si>
  <si>
    <t>Brufau: “No somos retardistas, ni negacionistas”</t>
  </si>
  <si>
    <t>El consejero delegado de Repsol, Josu Jon Imaz, ha presentado este viernes a la junta de accionistas de la compañía una actualización del plan de negocio de....</t>
  </si>
  <si>
    <t>Brufau: “We are neither retardists nor deniers”</t>
  </si>
  <si>
    <t>The CEO of Repsol, Josu Jon Imaz, presented this Friday to the company's shareholders' meeting an update of the business plan of...</t>
  </si>
  <si>
    <t>Reinforcing sustainability commitments enhances Repsol’s corporate image.</t>
  </si>
  <si>
    <t>choque (conflict)</t>
  </si>
  <si>
    <r>
      <rPr>
        <rFont val="Arial, sans-serif"/>
        <color rgb="FF1155CC"/>
        <sz val="9.0"/>
        <u/>
      </rPr>
      <t>Vozpópuli</t>
    </r>
    <r>
      <rPr>
        <rFont val="Arial, sans-serif"/>
        <color rgb="FF1155CC"/>
        <sz val="15.0"/>
        <u/>
      </rPr>
      <t>Imaz acusa a los ecologistas de ser responsables del aumento de emisiones en el mundo con su "ideología"</t>
    </r>
    <r>
      <rPr>
        <rFont val="Arial, sans-serif"/>
        <color rgb="FF1155CC"/>
        <sz val="11.0"/>
        <u/>
      </rPr>
      <t>Les ha acusado del incremento del precio del gas por "presionar a las instituciones financieras, a los inversores para que no inviertan en petróleo y gas,...</t>
    </r>
    <r>
      <rPr>
        <rFont val="Arial, sans-serif"/>
        <color rgb="FF1155CC"/>
        <sz val="12.0"/>
        <u/>
      </rPr>
      <t>.</t>
    </r>
    <r>
      <rPr>
        <rFont val="Arial, sans-serif"/>
        <color rgb="FF1155CC"/>
        <sz val="11.0"/>
        <u/>
      </rPr>
      <t>10 may 2024</t>
    </r>
  </si>
  <si>
    <t>Imaz acusa a los ecologistas de ser responsables del aumento de emisiones en el mundo con su "ideología"</t>
  </si>
  <si>
    <t>Les ha acusado del incremento del precio del gas por "presionar a las instituciones financieras, a los inversores para que no inviertan en petróleo y gas,....</t>
  </si>
  <si>
    <t>Imaz accuses environmentalists of being responsible for the increase in emissions in the world with their "ideology"</t>
  </si>
  <si>
    <t>He has accused them of the increase in the price of gas for "putting pressure on financial institutions, on investors so that they do not invest in oil and gas,...</t>
  </si>
  <si>
    <t>Repsol vs. Greenpeace, energy market</t>
  </si>
  <si>
    <t>Repsol vs. Greenpeace, mercado energético</t>
  </si>
  <si>
    <t>Public confrontations over energy policies may impact Repsol’s market perception.</t>
  </si>
  <si>
    <t>PR statement.</t>
  </si>
  <si>
    <t>Declaración de relaciones públicas.</t>
  </si>
  <si>
    <r>
      <rPr>
        <rFont val="Arial, sans-serif"/>
        <color rgb="FF1155CC"/>
        <sz val="9.0"/>
        <u/>
      </rPr>
      <t>Málaga Hoy</t>
    </r>
    <r>
      <rPr>
        <rFont val="Arial, sans-serif"/>
        <color rgb="FF1155CC"/>
        <sz val="15.0"/>
        <u/>
      </rPr>
      <t>Estos son los 20 mejores bares de la provincia de Málaga según los expertos</t>
    </r>
    <r>
      <rPr>
        <rFont val="Arial, sans-serif"/>
        <color rgb="FF1155CC"/>
        <sz val="11.0"/>
        <u/>
      </rPr>
      <t>Los 25 Soles Repsol que tienen los restaurantes de Málaga.</t>
    </r>
    <r>
      <rPr>
        <rFont val="Arial, sans-serif"/>
        <color rgb="FF1155CC"/>
        <sz val="12.0"/>
        <u/>
      </rPr>
      <t>.</t>
    </r>
    <r>
      <rPr>
        <rFont val="Arial, sans-serif"/>
        <color rgb="FF1155CC"/>
        <sz val="11.0"/>
        <u/>
      </rPr>
      <t>10 may 2024</t>
    </r>
  </si>
  <si>
    <t>Estos son los 20 mejores bares de la provincia de Málaga según los expertos</t>
  </si>
  <si>
    <t>Los 25 Soles Repsol que tienen los restaurantes de Málaga.</t>
  </si>
  <si>
    <t>These are the 20 best bars in the province of Malaga according to experts</t>
  </si>
  <si>
    <t>The 25 Repsol Suns that the restaurants in Malaga have.</t>
  </si>
  <si>
    <r>
      <rPr>
        <rFont val="Arial, sans-serif"/>
        <color rgb="FF1155CC"/>
        <sz val="9.0"/>
        <u/>
      </rPr>
      <t>Convoca</t>
    </r>
    <r>
      <rPr>
        <rFont val="Arial, sans-serif"/>
        <color rgb="FF1155CC"/>
        <sz val="15.0"/>
        <u/>
      </rPr>
      <t>Repsol sigue negando responsabilidad en derrame de petróleo del 2022</t>
    </r>
    <r>
      <rPr>
        <rFont val="Arial, sans-serif"/>
        <color rgb="FF1155CC"/>
        <sz val="11.0"/>
        <u/>
      </rPr>
      <t>Aunque la Junta de Accionistas de Repsol, realizada en Madrid (España), accedió a recibir a organizaciones ambientalistas, no perdieron la oportunidad para...</t>
    </r>
    <r>
      <rPr>
        <rFont val="Arial, sans-serif"/>
        <color rgb="FF1155CC"/>
        <sz val="12.0"/>
        <u/>
      </rPr>
      <t>.</t>
    </r>
    <r>
      <rPr>
        <rFont val="Arial, sans-serif"/>
        <color rgb="FF1155CC"/>
        <sz val="11.0"/>
        <u/>
      </rPr>
      <t>10 may 2024</t>
    </r>
  </si>
  <si>
    <t>Convoca Repsol sigue negando responsabilidad en derrame de petróleo del 2022</t>
  </si>
  <si>
    <t>Aunque la Junta de Accionistas de Repsol, realizada en Madrid (España), accedió a recibir a organizaciones ambientalistas, no perdieron la oportunidad para....</t>
  </si>
  <si>
    <t>Calls Repsol continues to deny responsibility for the 2022 oil spill</t>
  </si>
  <si>
    <t>Although the Repsol Shareholders' Meeting, held in Madrid (Spain), agreed to receive environmental organizations, they did not miss the opportunity to...</t>
  </si>
  <si>
    <t>Repsol oil spill, legal dispute</t>
  </si>
  <si>
    <t>Derrame de petróleo de Repsol, disputa judicial</t>
  </si>
  <si>
    <t>Ongoing environmental litigation may harm Repsol’s reputation.</t>
  </si>
  <si>
    <t>negando responsabilidad, derrame</t>
  </si>
  <si>
    <t>Extreme negative for environmental damage and lack of accountability</t>
  </si>
  <si>
    <t>Extremadamente negativo por daño ambiental y falta de rendición de cuentas</t>
  </si>
  <si>
    <r>
      <rPr>
        <rFont val="Arial, sans-serif"/>
        <color rgb="FF1155CC"/>
        <sz val="9.0"/>
        <u/>
      </rPr>
      <t>CooperAcción</t>
    </r>
    <r>
      <rPr>
        <rFont val="Arial, sans-serif"/>
        <color rgb="FF1155CC"/>
        <sz val="15.0"/>
        <u/>
      </rPr>
      <t>Las sombras del derrame de crudo de Repsol en Perú en 2022</t>
    </r>
    <r>
      <rPr>
        <rFont val="Arial, sans-serif"/>
        <color rgb="FF1155CC"/>
        <sz val="11.0"/>
        <u/>
      </rPr>
      <t>Con motivo de la Junta de Accionistas de Repsol, celebrada hoy viernes 10 de mayo, Oxfam Intermón junto a Greenpeace, CooperAcción y Alianza por la...</t>
    </r>
    <r>
      <rPr>
        <rFont val="Arial, sans-serif"/>
        <color rgb="FF1155CC"/>
        <sz val="12.0"/>
        <u/>
      </rPr>
      <t>.</t>
    </r>
    <r>
      <rPr>
        <rFont val="Arial, sans-serif"/>
        <color rgb="FF1155CC"/>
        <sz val="11.0"/>
        <u/>
      </rPr>
      <t>10 may 2024</t>
    </r>
  </si>
  <si>
    <t>Las sombras del derrame de crudo de Repsol en Perú en 2022</t>
  </si>
  <si>
    <t>Las sombras del derrame de crudo de Repsol en Perú en 2022 Con motivo de la Junta de Accionistas de Repsol, celebrada hoy viernes 10 de mayo, Oxfam Intermón junto a Greenpeace, CooperAcción y Alianza por la....</t>
  </si>
  <si>
    <t>The shadows of the Repsol crude oil spill in Peru in 2022</t>
  </si>
  <si>
    <t>The shadows of the Repsol crude oil spill in Peru in 2022 On the occasion of the Repsol Shareholders' Meeting, held today, Friday, May 10, Oxfam Intermón together with Greenpeace, CooperAcción and Alianza por la....</t>
  </si>
  <si>
    <t>Environmental incidents can significantly impact Repsol’s reputation.</t>
  </si>
  <si>
    <t>derrame crudo</t>
  </si>
  <si>
    <t>Continued negative impact from oil spill</t>
  </si>
  <si>
    <t>Impacto negativo continuo del derrame de petróleo</t>
  </si>
  <si>
    <r>
      <rPr>
        <rFont val="Arial, sans-serif"/>
        <color rgb="FF1155CC"/>
        <sz val="9.0"/>
        <u/>
      </rPr>
      <t>Guía Repsol</t>
    </r>
    <r>
      <rPr>
        <rFont val="Arial, sans-serif"/>
        <color rgb="FF1155CC"/>
        <sz val="15.0"/>
        <u/>
      </rPr>
      <t>El carajillo, el cóctel que promete ser la bebida del verano</t>
    </r>
    <r>
      <rPr>
        <rFont val="Arial, sans-serif"/>
        <color rgb="FF1155CC"/>
        <sz val="11.0"/>
        <u/>
      </rPr>
      <t>Únete a la moda del carajillo y eleva tus reuniones de verano con este cóctel cautivador. Deja que el aroma del café recién hecho se mezcle con tu licor...</t>
    </r>
    <r>
      <rPr>
        <rFont val="Arial, sans-serif"/>
        <color rgb="FF1155CC"/>
        <sz val="12.0"/>
        <u/>
      </rPr>
      <t>.</t>
    </r>
    <r>
      <rPr>
        <rFont val="Arial, sans-serif"/>
        <color rgb="FF1155CC"/>
        <sz val="11.0"/>
        <u/>
      </rPr>
      <t>11 may 2024</t>
    </r>
  </si>
  <si>
    <t>El carajillo, el cóctel que promete ser la bebida del verano</t>
  </si>
  <si>
    <t>Únete a la moda del carajillo y eleva tus reuniones de verano con este cóctel cautivador. Deja que el aroma del café recién hecho se mezcle con tu licor....</t>
  </si>
  <si>
    <t>Carajillo, the cocktail that promises to be the drink of the summer</t>
  </si>
  <si>
    <t>Join the carajillo trend and elevate your summer gatherings with this captivating cocktail. Let the aroma of freshly brewed coffee mix with your liquor....</t>
  </si>
  <si>
    <r>
      <rPr>
        <rFont val="Arial, sans-serif"/>
        <color rgb="FF1155CC"/>
        <sz val="9.0"/>
        <u/>
      </rPr>
      <t>La Opinión de Málaga</t>
    </r>
    <r>
      <rPr>
        <rFont val="Arial, sans-serif"/>
        <color rgb="FF1155CC"/>
        <sz val="15.0"/>
        <u/>
      </rPr>
      <t>Las mejores heladerías de Málaga según la Guía Repsol y los malagueños</t>
    </r>
    <r>
      <rPr>
        <rFont val="Arial, sans-serif"/>
        <color rgb="FF1155CC"/>
        <sz val="11.0"/>
        <u/>
      </rPr>
      <t>De las 15 heladerías andaluzas que aparecen en la Guía Repsol, son la Heladería Inma y Santa Gema las únicas malagueñas. Ambas cuentan con el Solete,...</t>
    </r>
    <r>
      <rPr>
        <rFont val="Arial, sans-serif"/>
        <color rgb="FF1155CC"/>
        <sz val="12.0"/>
        <u/>
      </rPr>
      <t>.</t>
    </r>
    <r>
      <rPr>
        <rFont val="Arial, sans-serif"/>
        <color rgb="FF1155CC"/>
        <sz val="11.0"/>
        <u/>
      </rPr>
      <t>11 may 2024</t>
    </r>
  </si>
  <si>
    <t>Las mejores heladerías de Málaga según la Guía Repsol y los malagueños</t>
  </si>
  <si>
    <t>De las 15 heladerías andaluzas que aparecen en la Guía Repsol, son la Heladería Inma y Santa Gema las únicas malagueñas. Ambas cuentan con el Solete,....</t>
  </si>
  <si>
    <t>The best ice cream parlors in Malaga according to the Repsol Guide and the people of Malaga</t>
  </si>
  <si>
    <t>Of the 15 Andalusian ice cream parlors that appear in the Repsol Guide, Heladería Inma and Santa Gema are the only ones from Malaga. Both have the Solete,....</t>
  </si>
  <si>
    <r>
      <rPr>
        <rFont val="Arial, sans-serif"/>
        <color rgb="FF1155CC"/>
        <sz val="9.0"/>
        <u/>
      </rPr>
      <t>El Español</t>
    </r>
    <r>
      <rPr>
        <rFont val="Arial, sans-serif"/>
        <color rgb="FF1155CC"/>
        <sz val="15.0"/>
        <u/>
      </rPr>
      <t>El rol estratégico de las áreas de TI en la revolución digital</t>
    </r>
    <r>
      <rPr>
        <rFont val="Arial, sans-serif"/>
        <color rgb="FF1155CC"/>
        <sz val="11.0"/>
        <u/>
      </rPr>
      <t>El impacto que las tecnologías digitales están teniendo actualmente es innegable; están transformando diversos aspectos de nuestra vida diaria y...</t>
    </r>
    <r>
      <rPr>
        <rFont val="Arial, sans-serif"/>
        <color rgb="FF1155CC"/>
        <sz val="12.0"/>
        <u/>
      </rPr>
      <t>.</t>
    </r>
    <r>
      <rPr>
        <rFont val="Arial, sans-serif"/>
        <color rgb="FF1155CC"/>
        <sz val="11.0"/>
        <u/>
      </rPr>
      <t>11 may 2024</t>
    </r>
  </si>
  <si>
    <t>El rol estratégico de las áreas de TI en la revolución digital</t>
  </si>
  <si>
    <t>El impacto que las tecnologías digitales están teniendo actualmente es innegable; están transformando diversos aspectos de nuestra vida diaria y....</t>
  </si>
  <si>
    <t>The strategic role of IT areas in the digital revolution</t>
  </si>
  <si>
    <t>The impact that digital technologies are currently having is undeniable; They are transforming various aspects of our daily lives and....</t>
  </si>
  <si>
    <r>
      <rPr>
        <rFont val="Arial, sans-serif"/>
        <color rgb="FF1155CC"/>
        <sz val="9.0"/>
        <u/>
      </rPr>
      <t>Car and Driver</t>
    </r>
    <r>
      <rPr>
        <rFont val="Arial, sans-serif"/>
        <color rgb="FF1155CC"/>
        <sz val="15.0"/>
        <u/>
      </rPr>
      <t>Bosch confirma la fabricación de un motor de hidrógeno con tecnología de inyección propia</t>
    </r>
    <r>
      <rPr>
        <rFont val="Arial, sans-serif"/>
        <color rgb="FF1155CC"/>
        <sz val="11.0"/>
        <u/>
      </rPr>
      <t>El hidrógeno es una de las apuestas de Bosch para 2024 y de hecho han confirmado que ultiman el desarrollo de un motor alimentado con este combustible.</t>
    </r>
    <r>
      <rPr>
        <rFont val="Arial, sans-serif"/>
        <color rgb="FF1155CC"/>
        <sz val="12.0"/>
        <u/>
      </rPr>
      <t>.</t>
    </r>
    <r>
      <rPr>
        <rFont val="Arial, sans-serif"/>
        <color rgb="FF1155CC"/>
        <sz val="11.0"/>
        <u/>
      </rPr>
      <t>11 may 2024</t>
    </r>
  </si>
  <si>
    <t>Bosch confirma la fabricación de un motor de hidrógeno con tecnología de inyección propia</t>
  </si>
  <si>
    <t>El hidrógeno es una de las apuestas de Bosch para 2024 y de hecho han confirmado que ultiman el desarrollo de un motor alimentado con este combustible.</t>
  </si>
  <si>
    <t>Bosch confirms the manufacture of a hydrogen engine with its own injection technology</t>
  </si>
  <si>
    <t>Hydrogen is one of Bosch's bets for 2024 and in fact they have confirmed that they are finalizing the development of an engine powered by this fuel.</t>
  </si>
  <si>
    <t>Other companies' hydrogen advancements do not impact Repsol’s business.</t>
  </si>
  <si>
    <r>
      <rPr>
        <rFont val="Arial, sans-serif"/>
        <color rgb="FF1155CC"/>
        <sz val="9.0"/>
        <u/>
      </rPr>
      <t>Vanitatis</t>
    </r>
    <r>
      <rPr>
        <rFont val="Arial, sans-serif"/>
        <color rgb="FF1155CC"/>
        <sz val="15.0"/>
        <u/>
      </rPr>
      <t>Cenador de Amós, Les Cols, Pepe Vieira y Oba: alta gastronomía y sostenibilidad real</t>
    </r>
    <r>
      <rPr>
        <rFont val="Arial, sans-serif"/>
        <color rgb="FF1155CC"/>
        <sz val="11.0"/>
        <u/>
      </rPr>
      <t>¿Qué hacen juntos en una misma cocina los superchefs Jesús Sánchez de Cenador de Amós (tres estrellas Michelin, una estrella verde y tres soles Repsol),...</t>
    </r>
    <r>
      <rPr>
        <rFont val="Arial, sans-serif"/>
        <color rgb="FF1155CC"/>
        <sz val="12.0"/>
        <u/>
      </rPr>
      <t>.</t>
    </r>
    <r>
      <rPr>
        <rFont val="Arial, sans-serif"/>
        <color rgb="FF1155CC"/>
        <sz val="11.0"/>
        <u/>
      </rPr>
      <t>11 may 2024</t>
    </r>
  </si>
  <si>
    <t>Cenador de Amós, Les Cols, Pepe Vieira y Oba: alta gastronomía y sostenibilidad real</t>
  </si>
  <si>
    <t>¿Qué hacen juntos en una misma cocina los superchefs Jesús Sánchez de Cenador de Amós (tres estrellas Michelin, una estrella verde y tres soles Repsol),....</t>
  </si>
  <si>
    <t>Cenador de Amós, Les Cols, Pepe Vieira and Oba: haute cuisine and real sustainability</t>
  </si>
  <si>
    <t>What do the superchefs Jesús Sánchez from Cenador de Amós (three Michelin stars, one green star and three Repsol suns) do together in the same kitchen?...</t>
  </si>
  <si>
    <r>
      <rPr>
        <rFont val="Arial, sans-serif"/>
        <color rgb="FF1155CC"/>
        <sz val="9.0"/>
        <u/>
      </rPr>
      <t>La Razón</t>
    </r>
    <r>
      <rPr>
        <rFont val="Arial, sans-serif"/>
        <color rgb="FF1155CC"/>
        <sz val="15.0"/>
        <u/>
      </rPr>
      <t>Este es el pueblo más pequeño de Cuenca, con 11 habitantes, bar, Iglesia y un pintor de renombre</t>
    </r>
    <r>
      <rPr>
        <rFont val="Arial, sans-serif"/>
        <color rgb="FF1155CC"/>
        <sz val="11.0"/>
        <u/>
      </rPr>
      <t>A tan solo 74 kilómetros de la capital se encuentra este municipio que es un claro ejemplo de las consecuencias de la España Vaciada.</t>
    </r>
    <r>
      <rPr>
        <rFont val="Arial, sans-serif"/>
        <color rgb="FF1155CC"/>
        <sz val="12.0"/>
        <u/>
      </rPr>
      <t>.</t>
    </r>
    <r>
      <rPr>
        <rFont val="Arial, sans-serif"/>
        <color rgb="FF1155CC"/>
        <sz val="11.0"/>
        <u/>
      </rPr>
      <t>11 may 2024</t>
    </r>
  </si>
  <si>
    <t>Este es el pueblo más pequeño de Cuenca, con 11 habitantes, bar, Iglesia y un pintor de renombre</t>
  </si>
  <si>
    <t>Este es el pueblo más pequeño de Cuenca, con 11 habitantes, bar, Iglesia y un pintor de renombre. A tan solo 74 kilómetros de la capital se encuentra este municipio que es un claro ejemplo de las consecuencias de la España Vaciada.</t>
  </si>
  <si>
    <t>This is the smallest town in Cuenca, with 11 inhabitants, a bar, a Church and a renowned painter</t>
  </si>
  <si>
    <t>This is the smallest town in Cuenca, with 11 inhabitants, a bar, a Church and a renowned painter. Just 74 kilometers from the capital is this municipality that is a clear example of the consequences of Empty Spain.</t>
  </si>
  <si>
    <r>
      <rPr>
        <rFont val="Arial, sans-serif"/>
        <color rgb="FF1155CC"/>
        <sz val="9.0"/>
        <u/>
      </rPr>
      <t>Ciclo21</t>
    </r>
    <r>
      <rPr>
        <rFont val="Arial, sans-serif"/>
        <color rgb="FF1155CC"/>
        <sz val="15.0"/>
        <u/>
      </rPr>
      <t>2ª Vuelta País Vasco (F): Mischa Bredewold sigue imparable</t>
    </r>
    <r>
      <rPr>
        <rFont val="Arial, sans-serif"/>
        <color rgb="FF1155CC"/>
        <sz val="11.0"/>
        <u/>
      </rPr>
      <t>2: Sábado 11 mayo. BASAURI – BASAURI 104.0 km. Redacción / Ciclo 21 · Segundo triunfo consecutivo de Mischa Bredewold en la Vuelta País Vasco tras ser la...</t>
    </r>
    <r>
      <rPr>
        <rFont val="Arial, sans-serif"/>
        <color rgb="FF1155CC"/>
        <sz val="12.0"/>
        <u/>
      </rPr>
      <t>.</t>
    </r>
    <r>
      <rPr>
        <rFont val="Arial, sans-serif"/>
        <color rgb="FF1155CC"/>
        <sz val="11.0"/>
        <u/>
      </rPr>
      <t>11 may 2024</t>
    </r>
  </si>
  <si>
    <t>Ciclo 21</t>
  </si>
  <si>
    <t>Mischa Bredewold sigue imparable en la 2ª Vuelta País Vasco</t>
  </si>
  <si>
    <t>Segundo triunfo consecutivo de Mischa Bredewold en la Vuelta País Vasco tras ser la....</t>
  </si>
  <si>
    <t>Mischa Bredewold remains unstoppable in the 2nd Tour of the Basque Country</t>
  </si>
  <si>
    <t>Mischa Bredewold's second consecutive victory in the Vuelta País Vasco after being the...</t>
  </si>
  <si>
    <r>
      <rPr>
        <rFont val="Arial, sans-serif"/>
        <color rgb="FF1155CC"/>
        <sz val="9.0"/>
        <u/>
      </rPr>
      <t>La Opinión de Málaga</t>
    </r>
    <r>
      <rPr>
        <rFont val="Arial, sans-serif"/>
        <color rgb="FF1155CC"/>
        <sz val="15.0"/>
        <u/>
      </rPr>
      <t>Heladería Inma</t>
    </r>
    <r>
      <rPr>
        <rFont val="Arial, sans-serif"/>
        <color rgb="FF1155CC"/>
        <sz val="11.0"/>
        <u/>
      </rPr>
      <t>La Heladería Inma, con un Solete de la Guía Repsol, es además una de las preferidas de nuestros lectores.</t>
    </r>
    <r>
      <rPr>
        <rFont val="Arial, sans-serif"/>
        <color rgb="FF1155CC"/>
        <sz val="12.0"/>
        <u/>
      </rPr>
      <t>.</t>
    </r>
    <r>
      <rPr>
        <rFont val="Arial, sans-serif"/>
        <color rgb="FF1155CC"/>
        <sz val="11.0"/>
        <u/>
      </rPr>
      <t>11 may 2024</t>
    </r>
  </si>
  <si>
    <t>Heladería Inma, con un Solete de la Guía Repsol, es además una de las preferidas de nuestros lectores.</t>
  </si>
  <si>
    <t>La Heladería Inma, con un Solete de la Guía Repsol, es además una de las preferidas de nuestros lectores.</t>
  </si>
  <si>
    <t>Heladería Inma, with a Solete from the Repsol Guide, is also one of our readers' favorites.</t>
  </si>
  <si>
    <t>The Inma Ice Cream Shop, with a Solete from the Repsol Guide, is also one of our readers' favorites.</t>
  </si>
  <si>
    <r>
      <rPr>
        <rFont val="Arial, sans-serif"/>
        <color rgb="FF1155CC"/>
        <sz val="9.0"/>
        <u/>
      </rPr>
      <t>Guía Repsol</t>
    </r>
    <r>
      <rPr>
        <rFont val="Arial, sans-serif"/>
        <color rgb="FF1155CC"/>
        <sz val="15.0"/>
        <u/>
      </rPr>
      <t>Disfruta en familia del Hotel Puerto Antilla en Islantilla</t>
    </r>
    <r>
      <rPr>
        <rFont val="Arial, sans-serif"/>
        <color rgb="FF1155CC"/>
        <sz val="11.0"/>
        <u/>
      </rPr>
      <t>El resort Puerto Antilla Grand Hotel ofrece una combinación perfecta de ocio y relax para toda la familia en uno de los rincones más turísticos de la Costa...</t>
    </r>
    <r>
      <rPr>
        <rFont val="Arial, sans-serif"/>
        <color rgb="FF1155CC"/>
        <sz val="12.0"/>
        <u/>
      </rPr>
      <t>.</t>
    </r>
    <r>
      <rPr>
        <rFont val="Arial, sans-serif"/>
        <color rgb="FF1155CC"/>
        <sz val="11.0"/>
        <u/>
      </rPr>
      <t>12 may 2024</t>
    </r>
  </si>
  <si>
    <t>Disfruta en familia del Hotel Puerto Antilla en Islantilla</t>
  </si>
  <si>
    <t>El resort Puerto Antilla Grand Hotel ofrece una combinación perfecta de ocio y relax para toda la familia en uno de los rincones más turísticos de la Costa....</t>
  </si>
  <si>
    <t>Enjoy the Puerto Antilla Hotel in Islantilla with your family</t>
  </si>
  <si>
    <t>The Puerto Antilla Grand Hotel resort offers a perfect combination of leisure and relaxation for the whole family in one of the most touristic corners of the Coast....</t>
  </si>
  <si>
    <r>
      <rPr>
        <rFont val="Arial, sans-serif"/>
        <color rgb="FF1155CC"/>
        <sz val="9.0"/>
        <u/>
      </rPr>
      <t>Ojo Público</t>
    </r>
    <r>
      <rPr>
        <rFont val="Arial, sans-serif"/>
        <color rgb="FF1155CC"/>
        <sz val="15.0"/>
        <u/>
      </rPr>
      <t>Derrame Repsol: organizaciones enfrentan a la junta de accionistas de la petrolera</t>
    </r>
    <r>
      <rPr>
        <rFont val="Arial, sans-serif"/>
        <color rgb="FF1155CC"/>
        <sz val="11.0"/>
        <u/>
      </rPr>
      <t>A casi dos años y medio del desastre ecológico en el mar peruano por el derrame de petróleo, un grupo de organizaciones de la sociedad civil participó en la...</t>
    </r>
    <r>
      <rPr>
        <rFont val="Arial, sans-serif"/>
        <color rgb="FF1155CC"/>
        <sz val="12.0"/>
        <u/>
      </rPr>
      <t>.</t>
    </r>
    <r>
      <rPr>
        <rFont val="Arial, sans-serif"/>
        <color rgb="FF1155CC"/>
        <sz val="11.0"/>
        <u/>
      </rPr>
      <t>12 may 2024</t>
    </r>
  </si>
  <si>
    <t>Derrame Repsol: organizaciones enfrentan a la junta de accionistas de la petrolera</t>
  </si>
  <si>
    <t>A casi dos años y medio del desastre ecológico en el mar peruano por el derrame de petróleo, un grupo de organizaciones de la sociedad civil participó en la....</t>
  </si>
  <si>
    <t>Repsol spill: organizations confront the oil company's shareholders meeting</t>
  </si>
  <si>
    <t>Almost two and a half years after the ecological disaster in the Peruvian sea due to the oil spill, a group of civil society organizations participated in the...</t>
  </si>
  <si>
    <t>Legal battles over environmental damage may harm Repsol’s reputation.</t>
  </si>
  <si>
    <t>derrame, enfrentan</t>
  </si>
  <si>
    <t>Negative environmental activism</t>
  </si>
  <si>
    <t>Activismo ambiental negativo</t>
  </si>
  <si>
    <r>
      <rPr>
        <rFont val="Arial, sans-serif"/>
        <color rgb="FF1155CC"/>
        <sz val="9.0"/>
        <u/>
      </rPr>
      <t>Diario de Almería</t>
    </r>
    <r>
      <rPr>
        <rFont val="Arial, sans-serif"/>
        <color rgb="FF1155CC"/>
        <sz val="15.0"/>
        <u/>
      </rPr>
      <t>Las gasolineras ‘low cost’ ponen una pica en Almería</t>
    </r>
    <r>
      <rPr>
        <rFont val="Arial, sans-serif"/>
        <color rgb="FF1155CC"/>
        <sz val="11.0"/>
        <u/>
      </rPr>
      <t>Las estaciones de bajo coste se instalan en la provincia y en tiempo récord, logran una gran cuota de mercado.</t>
    </r>
    <r>
      <rPr>
        <rFont val="Arial, sans-serif"/>
        <color rgb="FF1155CC"/>
        <sz val="12.0"/>
        <u/>
      </rPr>
      <t>.</t>
    </r>
    <r>
      <rPr>
        <rFont val="Arial, sans-serif"/>
        <color rgb="FF1155CC"/>
        <sz val="11.0"/>
        <u/>
      </rPr>
      <t>12 may 2024</t>
    </r>
  </si>
  <si>
    <t>Las gasolineras ‘low cost’ ponen una pica en Almería</t>
  </si>
  <si>
    <t>Las estaciones de bajo coste se instalan en la provincia y en tiempo récord, logran una gran cuota de mercado.</t>
  </si>
  <si>
    <t>'Low cost' gas stations put a hit in Almería</t>
  </si>
  <si>
    <t>Low-cost stations are installed in the province and in record time, they achieve a large market share.</t>
  </si>
  <si>
    <t>Repsol market competition, fuel sector</t>
  </si>
  <si>
    <t>Competencia en el mercado de Repsol, sector de los combustibles</t>
  </si>
  <si>
    <t>Increasing competition from low-cost fuel providers may impact Repsol’s market share.</t>
  </si>
  <si>
    <t>Indirect competition</t>
  </si>
  <si>
    <t>Competencia indirecta</t>
  </si>
  <si>
    <r>
      <rPr>
        <rFont val="Arial, sans-serif"/>
        <color rgb="FF1155CC"/>
        <sz val="9.0"/>
        <u/>
      </rPr>
      <t>elDiario.es</t>
    </r>
    <r>
      <rPr>
        <rFont val="Arial, sans-serif"/>
        <color rgb="FF1155CC"/>
        <sz val="15.0"/>
        <u/>
      </rPr>
      <t>La Gremial del Taxi vende su sede de Santa Engracia a un grupo inmobiliario que construirá allí 30 pisos turísticos</t>
    </r>
    <r>
      <rPr>
        <rFont val="Arial, sans-serif"/>
        <color rgb="FF1155CC"/>
        <sz val="11.0"/>
        <u/>
      </rPr>
      <t>El edificio, situado al inicio de la calle Ponzano, ha sido adquirido por Impar, que también ha comprado en Chamberí un bloque en la glorieta de Quevedo...</t>
    </r>
    <r>
      <rPr>
        <rFont val="Arial, sans-serif"/>
        <color rgb="FF1155CC"/>
        <sz val="12.0"/>
        <u/>
      </rPr>
      <t>.</t>
    </r>
    <r>
      <rPr>
        <rFont val="Arial, sans-serif"/>
        <color rgb="FF1155CC"/>
        <sz val="11.0"/>
        <u/>
      </rPr>
      <t>12 may 2024</t>
    </r>
  </si>
  <si>
    <t>La Gremial del Taxi vende su sede de Santa Engracia a un grupo inmobiliario que construirá allí 30 pisos turísticos</t>
  </si>
  <si>
    <t>El edificio, situado al inicio de la calle Ponzano, ha sido adquirido por Impar, que también ha comprado en Chamberí un bloque en la glorieta de Quevedo.</t>
  </si>
  <si>
    <t>The Taxi Guild sells its headquarters in Santa Engracia to a real estate group that will build 30 tourist apartments there</t>
  </si>
  <si>
    <t>The building, located at the beginning of Ponzano Street, has been acquired by Impar, which has also purchased a block in Chamberí on the Quevedo roundabout.</t>
  </si>
  <si>
    <r>
      <rPr>
        <rFont val="Arial, sans-serif"/>
        <color rgb="FF1155CC"/>
        <sz val="9.0"/>
        <u/>
      </rPr>
      <t>El Español</t>
    </r>
    <r>
      <rPr>
        <rFont val="Arial, sans-serif"/>
        <color rgb="FF1155CC"/>
        <sz val="15.0"/>
        <u/>
      </rPr>
      <t>La navarra que 'pesca' plástico para salvar mares: conquista al Betis y hasta a los Gasol con muebles de redes recicladas</t>
    </r>
    <r>
      <rPr>
        <rFont val="Arial, sans-serif"/>
        <color rgb="FF1155CC"/>
        <sz val="11.0"/>
        <u/>
      </rPr>
      <t>Amaia Rodríguez es la promesa emprendedora de esta década y está en el radar de marcas de renombre como ISDIN, Cartier o la Fundación Repsol.</t>
    </r>
    <r>
      <rPr>
        <rFont val="Arial, sans-serif"/>
        <color rgb="FF1155CC"/>
        <sz val="12.0"/>
        <u/>
      </rPr>
      <t>.</t>
    </r>
    <r>
      <rPr>
        <rFont val="Arial, sans-serif"/>
        <color rgb="FF1155CC"/>
        <sz val="11.0"/>
        <u/>
      </rPr>
      <t>12 may 2024</t>
    </r>
  </si>
  <si>
    <t>La navarra que 'pesca' plástico para salvar mares: conquista al Betis y hasta a los Gasol con muebles de redes recicladas</t>
  </si>
  <si>
    <t>Amaia Rodríguez es la promesa emprendedora de esta década y está en el radar de marcas de renombre como ISDIN, Cartier o la Fundación Repsol.</t>
  </si>
  <si>
    <t>The Navarrese that 'fishes' for plastic to save seas: conquers Betis and even the Gasols with furniture made of recycled nets</t>
  </si>
  <si>
    <t>Amaia Rodríguez is the promising entrepreneur of this decade and is on the radar of renowned brands such as ISDIN, Cartier or the Repsol Foundation.</t>
  </si>
  <si>
    <r>
      <rPr>
        <rFont val="Arial, sans-serif"/>
        <color rgb="FF1155CC"/>
        <sz val="9.0"/>
        <u/>
      </rPr>
      <t>DAZN</t>
    </r>
    <r>
      <rPr>
        <rFont val="Arial, sans-serif"/>
        <color rgb="FF1155CC"/>
        <sz val="15.0"/>
        <u/>
      </rPr>
      <t>GP Francia MotoGP 2024 en Le Mans: fecha, hora, canal, TV, dónde ver online el Gran Premio del Mundial de motociclismo</t>
    </r>
    <r>
      <rPr>
        <rFont val="Arial, sans-serif"/>
        <color rgb="FF1155CC"/>
        <sz val="11.0"/>
        <u/>
      </rPr>
      <t>Descubre en DAZN todo lo que tienes que saber sobre el Mundial de MotoGP 2024 y su quinta prueba en el GP de Francia!</t>
    </r>
    <r>
      <rPr>
        <rFont val="Arial, sans-serif"/>
        <color rgb="FF1155CC"/>
        <sz val="12.0"/>
        <u/>
      </rPr>
      <t>.</t>
    </r>
    <r>
      <rPr>
        <rFont val="Arial, sans-serif"/>
        <color rgb="FF1155CC"/>
        <sz val="11.0"/>
        <u/>
      </rPr>
      <t>12 may 2024</t>
    </r>
  </si>
  <si>
    <t>Francia MotoGP 2024 en Le Mans: fecha, hora, canal, TV, dónde ver online el Gran Premio del Mundial de motociclismo</t>
  </si>
  <si>
    <t>Descubre en DAZN todo lo que tienes que saber sobre el Mundial de MotoGP 2024 y su quinta prueba en el GP de Francia!</t>
  </si>
  <si>
    <t>France MotoGP 2024 in Le Mans: date, time, channel, TV, where to watch the World Motorcycle Grand Prix online</t>
  </si>
  <si>
    <t>Discover on DAZN everything you need to know about the 2024 MotoGP World Championship and its fifth round in the French GP!</t>
  </si>
  <si>
    <r>
      <rPr>
        <rFont val="Arial, sans-serif"/>
        <color rgb="FF1155CC"/>
        <sz val="9.0"/>
        <u/>
      </rPr>
      <t>El Diario Vasco</t>
    </r>
    <r>
      <rPr>
        <rFont val="Arial, sans-serif"/>
        <color rgb="FF1155CC"/>
        <sz val="15.0"/>
        <u/>
      </rPr>
      <t>Ese banco que hay en Bilbao</t>
    </r>
    <r>
      <rPr>
        <rFont val="Arial, sans-serif"/>
        <color rgb="FF1155CC"/>
        <sz val="11.0"/>
        <u/>
      </rPr>
      <t>Las Haciendas vascas no se han inmutado por la OPA contra el Sabadell; el BBVA tiene su sede en Euskadi pero paga sus impuestos a la Agencia Tributaria.</t>
    </r>
    <r>
      <rPr>
        <rFont val="Arial, sans-serif"/>
        <color rgb="FF1155CC"/>
        <sz val="12.0"/>
        <u/>
      </rPr>
      <t>.</t>
    </r>
    <r>
      <rPr>
        <rFont val="Arial, sans-serif"/>
        <color rgb="FF1155CC"/>
        <sz val="11.0"/>
        <u/>
      </rPr>
      <t>12 may 2024</t>
    </r>
  </si>
  <si>
    <t>Ese banco que hay en Bilbao</t>
  </si>
  <si>
    <t>Las Haciendas vascas no se han inmutado por la OPA contra el Sabadell; el BBVA tiene su sede en Euskadi pero paga sus impuestos a la Agencia Tributaria.</t>
  </si>
  <si>
    <t>That bank in Bilbao</t>
  </si>
  <si>
    <t>The Basque Treasury has not been fazed by the takeover bid against Sabadell; BBVA has its headquarters in Euskadi but pays its taxes to the Tax Agency.</t>
  </si>
  <si>
    <r>
      <rPr>
        <rFont val="Arial, sans-serif"/>
        <color rgb="FF1155CC"/>
        <sz val="9.0"/>
        <u/>
      </rPr>
      <t>El Español</t>
    </r>
    <r>
      <rPr>
        <rFont val="Arial, sans-serif"/>
        <color rgb="FF1155CC"/>
        <sz val="15.0"/>
        <u/>
      </rPr>
      <t>El chef madrileño que eleva a lo alto la casquería y nunca se ha vestido de chulapo: "Voy poco a la Pradera"</t>
    </r>
    <r>
      <rPr>
        <rFont val="Arial, sans-serif"/>
        <color rgb="FF1155CC"/>
        <sz val="11.0"/>
        <u/>
      </rPr>
      <t>La Tasquería de Javi Estévez, cerca de cumplir su 10º aniversario, cambia su ubicación a Nuevos Ministerios, justo a tiempo para celebrar San Isidro.</t>
    </r>
    <r>
      <rPr>
        <rFont val="Arial, sans-serif"/>
        <color rgb="FF1155CC"/>
        <sz val="12.0"/>
        <u/>
      </rPr>
      <t>.</t>
    </r>
    <r>
      <rPr>
        <rFont val="Arial, sans-serif"/>
        <color rgb="FF1155CC"/>
        <sz val="11.0"/>
        <u/>
      </rPr>
      <t>12 may 2024</t>
    </r>
  </si>
  <si>
    <t>El chef madrileño que eleva a lo alto la casquería y nunca se ha vestido de chulapo: "Voy poco a la Pradera"</t>
  </si>
  <si>
    <t>La Tasquería de Javi Estévez, cerca de cumplir su 10º aniversario, cambia su ubicación a Nuevos Ministerios, justo a tiempo para celebrar San Isidro.</t>
  </si>
  <si>
    <t>The Madrid chef who elevates offal to the top and has never dressed as a chulapo: "I rarely go to the Pradera"</t>
  </si>
  <si>
    <t>La Tasquería de Javi Estévez, close to celebrating its 10th anniversary, changes its location to Nuevos Ministerios, just in time to celebrate San Isidro.</t>
  </si>
  <si>
    <r>
      <rPr>
        <rFont val="Arial, sans-serif"/>
        <color rgb="FF1155CC"/>
        <sz val="9.0"/>
        <u/>
      </rPr>
      <t>El Español</t>
    </r>
    <r>
      <rPr>
        <rFont val="Arial, sans-serif"/>
        <color rgb="FF1155CC"/>
        <sz val="15.0"/>
        <u/>
      </rPr>
      <t>Estos son los restaurantes de Alicante que reivindican el carajillo y lo convierten en un atrevido cóctel</t>
    </r>
    <r>
      <rPr>
        <rFont val="Arial, sans-serif"/>
        <color rgb="FF1155CC"/>
        <sz val="11.0"/>
        <u/>
      </rPr>
      <t>Estrellas Michelin y Soles Repsol se unen para relanzar la combinación de café con licor con una propuesta más atrevida.</t>
    </r>
    <r>
      <rPr>
        <rFont val="Arial, sans-serif"/>
        <color rgb="FF1155CC"/>
        <sz val="12.0"/>
        <u/>
      </rPr>
      <t>.</t>
    </r>
    <r>
      <rPr>
        <rFont val="Arial, sans-serif"/>
        <color rgb="FF1155CC"/>
        <sz val="11.0"/>
        <u/>
      </rPr>
      <t>12 may 2024</t>
    </r>
  </si>
  <si>
    <t>Estos son los restaurantes de Alicante que reivindican el carajillo y lo convierten en un atrevido cóctel</t>
  </si>
  <si>
    <t>Estrellas Michelin y Soles Repsol se unen para relanzar la combinación de café con licor con una propuesta más atrevida.</t>
  </si>
  <si>
    <t>These are the restaurants in Alicante that reclaim carajillo and turn it into a daring cocktail</t>
  </si>
  <si>
    <t>Michelin Stars and Repsol Soles come together to relaunch the combination of coffee and liqueur with a more daring proposal.</t>
  </si>
  <si>
    <r>
      <rPr>
        <rFont val="Arial, sans-serif"/>
        <color rgb="FF1155CC"/>
        <sz val="9.0"/>
        <u/>
      </rPr>
      <t>Todocircuito.com</t>
    </r>
    <r>
      <rPr>
        <rFont val="Arial, sans-serif"/>
        <color rgb="FF1155CC"/>
        <sz val="15.0"/>
        <u/>
      </rPr>
      <t>Tras su segundo cero del año, el Repsol Honda confía su suerte al test de Mugello</t>
    </r>
    <r>
      <rPr>
        <rFont val="Arial, sans-serif"/>
        <color rgb="FF1155CC"/>
        <sz val="11.0"/>
        <u/>
      </rPr>
      <t>El Repsol Honda Team completó otro fatídico fin de semana en Francia. Tras el rosco sumado por Joan Mir y Luca Marini en la cita de Las Américas,...</t>
    </r>
    <r>
      <rPr>
        <rFont val="Arial, sans-serif"/>
        <color rgb="FF1155CC"/>
        <sz val="12.0"/>
        <u/>
      </rPr>
      <t>.</t>
    </r>
    <r>
      <rPr>
        <rFont val="Arial, sans-serif"/>
        <color rgb="FF1155CC"/>
        <sz val="11.0"/>
        <u/>
      </rPr>
      <t>13 may 2024</t>
    </r>
  </si>
  <si>
    <t>Tras su segundo cero del año, el Repsol Honda confía su suerte al test de Mugello</t>
  </si>
  <si>
    <t>El Repsol Honda Team completó otro fatídico fin de semana en Francia. Tras el rosco sumado por Joan Mir y Luca Marini en la cita de Las Américas,....</t>
  </si>
  <si>
    <t>After its second zero of the year, Repsol Honda trusts its luck to the Mugello test</t>
  </si>
  <si>
    <t>The Repsol Honda Team completed another fateful weekend in France. After the success added by Joan Mir and Luca Marini in the Las Américas event,....</t>
  </si>
  <si>
    <r>
      <rPr>
        <rFont val="Arial, sans-serif"/>
        <color rgb="FF1155CC"/>
        <sz val="9.0"/>
        <u/>
      </rPr>
      <t>Onda Cero</t>
    </r>
    <r>
      <rPr>
        <rFont val="Arial, sans-serif"/>
        <color rgb="FF1155CC"/>
        <sz val="15.0"/>
        <u/>
      </rPr>
      <t>La Semana del Carajillo 43 se disfrutará en los mejores restaurantes de España</t>
    </r>
    <r>
      <rPr>
        <rFont val="Arial, sans-serif"/>
        <color rgb="FF1155CC"/>
        <sz val="11.0"/>
        <u/>
      </rPr>
      <t>El Día Internacional del Cóctel da el pistoletazo de salida a la Semana del Carajillo en los mejores restaurantes de nuestro país.</t>
    </r>
    <r>
      <rPr>
        <rFont val="Arial, sans-serif"/>
        <color rgb="FF1155CC"/>
        <sz val="12.0"/>
        <u/>
      </rPr>
      <t>.</t>
    </r>
    <r>
      <rPr>
        <rFont val="Arial, sans-serif"/>
        <color rgb="FF1155CC"/>
        <sz val="11.0"/>
        <u/>
      </rPr>
      <t>13 may 2024</t>
    </r>
  </si>
  <si>
    <t>La Semana del Carajillo 43 se disfrutará en los mejores restaurantes de España</t>
  </si>
  <si>
    <t>El Día Internacional del Cóctel da el pistoletazo de salida a la Semana del Carajillo en los mejores restaurantes de nuestro país.</t>
  </si>
  <si>
    <t>Carajillo Week 43 will be enjoyed in the best restaurants in Spain</t>
  </si>
  <si>
    <t>International Cocktail Day kicks off Carajillo Week in the best restaurants in our country.</t>
  </si>
  <si>
    <r>
      <rPr>
        <rFont val="Arial, sans-serif"/>
        <color rgb="FF1155CC"/>
        <sz val="9.0"/>
        <u/>
      </rPr>
      <t>Mongabay</t>
    </r>
    <r>
      <rPr>
        <rFont val="Arial, sans-serif"/>
        <color rgb="FF1155CC"/>
        <sz val="15.0"/>
        <u/>
      </rPr>
      <t>Cuentas pendientes: más de 47 millones de dólares en multas continúan impagas por Repsol a dos años del derrame de petróleo en mar peruano</t>
    </r>
    <r>
      <rPr>
        <rFont val="Arial, sans-serif"/>
        <color rgb="FF1155CC"/>
        <sz val="11.0"/>
        <u/>
      </rPr>
      <t>Según información solicitada por Mongabay Latam, solo han concluido cinco de los 15 Procesos Administrativos Sancionatorios abiertos en contra de Repsol por...</t>
    </r>
    <r>
      <rPr>
        <rFont val="Arial, sans-serif"/>
        <color rgb="FF1155CC"/>
        <sz val="12.0"/>
        <u/>
      </rPr>
      <t>.</t>
    </r>
    <r>
      <rPr>
        <rFont val="Arial, sans-serif"/>
        <color rgb="FF1155CC"/>
        <sz val="11.0"/>
        <u/>
      </rPr>
      <t>13 may 2024</t>
    </r>
  </si>
  <si>
    <t>Cuentas pendientes: más de 47 millones de dólares en multas continúan impagas por Repsol a dos años del derrame de petróleo en mar peruano</t>
  </si>
  <si>
    <t>Cuentas pendientes: más de 47 millones de dólares en multas continúan impagas por Repsol a dos años del derrame de petróleo en mar peruano Según información solicitada por Mongabay Latam, solo han concluido cinco de los 15 Procesos Administrativos Sancionatorios abiertos en contra de Repsol por....</t>
  </si>
  <si>
    <t>Pending accounts: more than 47 million dollars in fines remain unpaid by Repsol two years after the oil spill in the Peruvian sea</t>
  </si>
  <si>
    <t>Pending accounts: more than 47 million dollars in fines remain unpaid by Repsol two years after the oil spill in the Peruvian sea According to information requested by Mongabay Latam, only five of the 15 Sanctionary Administrative Processes opened against Repsol for...</t>
  </si>
  <si>
    <t>Repsol financial dispute, market impact</t>
  </si>
  <si>
    <t>Disputa financiera de Repsol, impacto en el mercado</t>
  </si>
  <si>
    <t>Unresolved financial claims may impact Repsol’s financial standing.</t>
  </si>
  <si>
    <t>multas impagas, derrame</t>
  </si>
  <si>
    <t>Extreme negative for unpaid fines</t>
  </si>
  <si>
    <t>Negativo extremo por las multas impagas</t>
  </si>
  <si>
    <r>
      <rPr>
        <rFont val="Arial, sans-serif"/>
        <color rgb="FF1155CC"/>
        <sz val="9.0"/>
        <u/>
      </rPr>
      <t>Revista Sobremesa</t>
    </r>
    <r>
      <rPr>
        <rFont val="Arial, sans-serif"/>
        <color rgb="FF1155CC"/>
        <sz val="15.0"/>
        <u/>
      </rPr>
      <t>Carajillo: de espuela mañanera a salas Michelin y barras de Nueva York</t>
    </r>
    <r>
      <rPr>
        <rFont val="Arial, sans-serif"/>
        <color rgb="FF1155CC"/>
        <sz val="11.0"/>
        <u/>
      </rPr>
      <t>Más de moda que nunca, un total de 32 restaurantes de España, algunos muy laureados, honran esta semana a nuestra popular bebida de café y chispazo de licor...</t>
    </r>
    <r>
      <rPr>
        <rFont val="Arial, sans-serif"/>
        <color rgb="FF1155CC"/>
        <sz val="12.0"/>
        <u/>
      </rPr>
      <t>.</t>
    </r>
    <r>
      <rPr>
        <rFont val="Arial, sans-serif"/>
        <color rgb="FF1155CC"/>
        <sz val="11.0"/>
        <u/>
      </rPr>
      <t>13 may 2024</t>
    </r>
  </si>
  <si>
    <t>Carajillo: de espuela mañanera a salas Michelin y barras de Nueva York</t>
  </si>
  <si>
    <t>Más de moda que nunca, un total de 32 restaurantes de España, algunos muy laureados, honran esta semana a nuestra popular bebida de café y chispazo de licor....</t>
  </si>
  <si>
    <t>Carajillo: from morning spurt to Michelin rooms and New York bars</t>
  </si>
  <si>
    <t>More fashionable than ever, a total of 32 restaurants in Spain, some highly awarded, this week honor our popular coffee drink and spark of liquor....</t>
  </si>
  <si>
    <r>
      <rPr>
        <rFont val="Arial, sans-serif"/>
        <color rgb="FF1155CC"/>
        <sz val="9.0"/>
        <u/>
      </rPr>
      <t>ABC</t>
    </r>
    <r>
      <rPr>
        <rFont val="Arial, sans-serif"/>
        <color rgb="FF1155CC"/>
        <sz val="15.0"/>
        <u/>
      </rPr>
      <t>Seis restaurantes sevillanos participan en la 'Semana del Carajillo 43'</t>
    </r>
    <r>
      <rPr>
        <rFont val="Arial, sans-serif"/>
        <color rgb="FF1155CC"/>
        <sz val="11.0"/>
        <u/>
      </rPr>
      <t>Desde el 13 al 19 de mayo, cuatro versiones de este cóctel de café se podrán disfutar en restaurantes como Lalola, Torres y García, Tradevo, Cal Viva,...</t>
    </r>
    <r>
      <rPr>
        <rFont val="Arial, sans-serif"/>
        <color rgb="FF1155CC"/>
        <sz val="12.0"/>
        <u/>
      </rPr>
      <t>.</t>
    </r>
    <r>
      <rPr>
        <rFont val="Arial, sans-serif"/>
        <color rgb="FF1155CC"/>
        <sz val="11.0"/>
        <u/>
      </rPr>
      <t>13 may 2024</t>
    </r>
  </si>
  <si>
    <t>Seis restaurantes sevillanos participan en la 'Semana del Carajillo 43'</t>
  </si>
  <si>
    <t>Desde el 13 al 19 de mayo, cuatro versiones de este cóctel de café se podrán disfrutar en restaurantes como Lalola, Torres y García, Tradevo, Cal Viva.</t>
  </si>
  <si>
    <t>Six Sevillian restaurants participate in the 'Semana del Carajillo 43'</t>
  </si>
  <si>
    <t>From May 13 to 19, four versions of this coffee cocktail can be enjoyed in restaurants such as Lalola, Torres y García, Tradevo, Cal Viva.</t>
  </si>
  <si>
    <r>
      <rPr>
        <rFont val="Arial, sans-serif"/>
        <color rgb="FF1155CC"/>
        <sz val="9.0"/>
        <u/>
      </rPr>
      <t>Box Repsol</t>
    </r>
    <r>
      <rPr>
        <rFont val="Arial, sans-serif"/>
        <color rgb="FF1155CC"/>
        <sz val="15.0"/>
        <u/>
      </rPr>
      <t>Las mejores series para moteros de la historia</t>
    </r>
    <r>
      <rPr>
        <rFont val="Arial, sans-serif"/>
        <color rgb="FF1155CC"/>
        <sz val="11.0"/>
        <u/>
      </rPr>
      <t>Sumérgete en el mundo de las series y vive la emoción de la carretera desde la comodidad de tu hogar. Descubre las mejores series moteras de la historia.</t>
    </r>
    <r>
      <rPr>
        <rFont val="Arial, sans-serif"/>
        <color rgb="FF1155CC"/>
        <sz val="12.0"/>
        <u/>
      </rPr>
      <t>.</t>
    </r>
    <r>
      <rPr>
        <rFont val="Arial, sans-serif"/>
        <color rgb="FF1155CC"/>
        <sz val="11.0"/>
        <u/>
      </rPr>
      <t>13 may 2024</t>
    </r>
  </si>
  <si>
    <t>Las mejores series para moteros de la historia</t>
  </si>
  <si>
    <t>Sumérgete en el mundo de las series y vive la emoción de la carretera desde la comodidad de tu hogar. Descubre las mejores series moteras de la historia.</t>
  </si>
  <si>
    <t>The best biker series in history</t>
  </si>
  <si>
    <t>Immerse yourself in the world of the series and experience the excitement of the road from the comfort of your home. Discover the best biker series in history.</t>
  </si>
  <si>
    <r>
      <rPr>
        <rFont val="Arial, sans-serif"/>
        <color rgb="FF1155CC"/>
        <sz val="9.0"/>
        <u/>
      </rPr>
      <t>El Periódico Mediterráneo</t>
    </r>
    <r>
      <rPr>
        <rFont val="Arial, sans-serif"/>
        <color rgb="FF1155CC"/>
        <sz val="15.0"/>
        <u/>
      </rPr>
      <t>El restaurante Atalaya de Alcossebre eleva el listón culinario de Castellón</t>
    </r>
    <r>
      <rPr>
        <rFont val="Arial, sans-serif"/>
        <color rgb="FF1155CC"/>
        <sz val="11.0"/>
        <u/>
      </rPr>
      <t>El local, liderado por los chefs Alejandra Herrador y Emanuel Carlucci, acredita en su palmarés una Estrella Michelin y dos Soles Repsol.</t>
    </r>
    <r>
      <rPr>
        <rFont val="Arial, sans-serif"/>
        <color rgb="FF1155CC"/>
        <sz val="12.0"/>
        <u/>
      </rPr>
      <t>.</t>
    </r>
    <r>
      <rPr>
        <rFont val="Arial, sans-serif"/>
        <color rgb="FF1155CC"/>
        <sz val="11.0"/>
        <u/>
      </rPr>
      <t>13 may 2024</t>
    </r>
  </si>
  <si>
    <t>El restaurante Atalaya de Alcossebre eleva el listón culinario de Castellón</t>
  </si>
  <si>
    <t>El local, liderado por los chefs Alejandra Herrador y Emanuel Carlucci, acredita en su palmarés una Estrella Michelin y dos Soles Repsol.</t>
  </si>
  <si>
    <t>The Atalaya de Alcossebre restaurant raises the culinary bar in Castellón</t>
  </si>
  <si>
    <t>The establishment, led by chefs Alejandra Herrador and Emanuel Carlucci, has a Michelin Star and two Repsol Suns in its record.</t>
  </si>
  <si>
    <r>
      <rPr>
        <rFont val="Arial, sans-serif"/>
        <color rgb="FF1155CC"/>
        <sz val="9.0"/>
        <u/>
      </rPr>
      <t>Mercado Negro</t>
    </r>
    <r>
      <rPr>
        <rFont val="Arial, sans-serif"/>
        <color rgb="FF1155CC"/>
        <sz val="15.0"/>
        <u/>
      </rPr>
      <t>¡Veamos el futuro! Repsol Perú auspicia a La Bicolor e impulsa el fútbol femenino y de menores</t>
    </r>
    <r>
      <rPr>
        <rFont val="Arial, sans-serif"/>
        <color rgb="FF1155CC"/>
        <sz val="11.0"/>
        <u/>
      </rPr>
      <t>Además, Repsol organizará, junto a la Federación Peruana de Fútbol, los campeonatos regionales de las categorías Sub-13 y Sub-15.</t>
    </r>
    <r>
      <rPr>
        <rFont val="Arial, sans-serif"/>
        <color rgb="FF1155CC"/>
        <sz val="12.0"/>
        <u/>
      </rPr>
      <t>.</t>
    </r>
    <r>
      <rPr>
        <rFont val="Arial, sans-serif"/>
        <color rgb="FF1155CC"/>
        <sz val="11.0"/>
        <u/>
      </rPr>
      <t>13 may 2024</t>
    </r>
  </si>
  <si>
    <t>Mercado Negro</t>
  </si>
  <si>
    <t>¡Veamos el futuro! Repsol Perú auspicia a La Bicolor e impulsa el fútbol femenino y de menores</t>
  </si>
  <si>
    <t>Repsol Perú auspicia a La Bicolor e impulsa el fútbol femenino y de menores. Además, Repsol organizará, junto a la Federación Peruana de Fútbol, los campeonatos regionales de las categorías Sub-13 y Sub-15.</t>
  </si>
  <si>
    <t>Let's see the future! Repsol Peru sponsors La Bicolor and promotes women's and youth soccer</t>
  </si>
  <si>
    <t>Repsol Peru sponsors La Bicolor and promotes women's and youth soccer. In addition, Repsol will organize, together with the Peruvian Football Federation, the regional championships of the Under-13 and Under-15 categories.</t>
  </si>
  <si>
    <r>
      <rPr>
        <rFont val="Arial, sans-serif"/>
        <color rgb="FF1155CC"/>
        <sz val="9.0"/>
        <u/>
      </rPr>
      <t>Estrategias de Inversión</t>
    </r>
    <r>
      <rPr>
        <rFont val="Arial, sans-serif"/>
        <color rgb="FF1155CC"/>
        <sz val="15.0"/>
        <u/>
      </rPr>
      <t>El Ibex 35 cae ligeramente lastrado por Cellnex y Sabadell, pero se mantiene cerca de los 11.100</t>
    </r>
    <r>
      <rPr>
        <rFont val="Arial, sans-serif"/>
        <color rgb="FF1155CC"/>
        <sz val="11.0"/>
        <u/>
      </rPr>
      <t>El Ibex 35 cae ligeramente. El índice no se atreve con sus máximos del año. Valores alcistas y valores bajistas de la Bolsa española.</t>
    </r>
    <r>
      <rPr>
        <rFont val="Arial, sans-serif"/>
        <color rgb="FF1155CC"/>
        <sz val="12.0"/>
        <u/>
      </rPr>
      <t>.</t>
    </r>
    <r>
      <rPr>
        <rFont val="Arial, sans-serif"/>
        <color rgb="FF1155CC"/>
        <sz val="11.0"/>
        <u/>
      </rPr>
      <t>13 may 2024</t>
    </r>
  </si>
  <si>
    <t>El Ibex 35 cae ligeramente lastrado por Cellnex y Sabadell, pero se mantiene cerca de los 11.100</t>
  </si>
  <si>
    <t>El Ibex 35 cae ligeramente. El índice no se atreve con sus máximos del año. Valores alcistas y valores bajistas de la Bolsa española.</t>
  </si>
  <si>
    <t>The Ibex 35 falls slightly weighed down by Cellnex and Sabadell, but remains close to 11,100</t>
  </si>
  <si>
    <t>The Ibex 35 falls slightly. The index does not dare to reach its highs of the year. Bullish values ​​and bearish values ​​of the Spanish stock market.</t>
  </si>
  <si>
    <r>
      <rPr>
        <rFont val="Arial, sans-serif"/>
        <color rgb="FF1155CC"/>
        <sz val="9.0"/>
        <u/>
      </rPr>
      <t>Influencers</t>
    </r>
    <r>
      <rPr>
        <rFont val="Arial, sans-serif"/>
        <color rgb="FF1155CC"/>
        <sz val="15.0"/>
        <u/>
      </rPr>
      <t>Así hacen ‘greenwashing’ las grandes empresas</t>
    </r>
    <r>
      <rPr>
        <rFont val="Arial, sans-serif"/>
        <color rgb="FF1155CC"/>
        <sz val="11.0"/>
        <u/>
      </rPr>
      <t>Una cosa es la publicidad y las buenas palabras de las compañías y otra lo que realmente estén haciendo en sostenibilidad y medioambiente.</t>
    </r>
    <r>
      <rPr>
        <rFont val="Arial, sans-serif"/>
        <color rgb="FF1155CC"/>
        <sz val="12.0"/>
        <u/>
      </rPr>
      <t>.</t>
    </r>
    <r>
      <rPr>
        <rFont val="Arial, sans-serif"/>
        <color rgb="FF1155CC"/>
        <sz val="11.0"/>
        <u/>
      </rPr>
      <t>13 may 2024</t>
    </r>
  </si>
  <si>
    <t>Influencers</t>
  </si>
  <si>
    <t>Así hacen ‘greenwashing’ las grandes empresas</t>
  </si>
  <si>
    <t>Una cosa es la publicidad y las buenas palabras de las compañías y otra lo que realmente estén haciendo en sostenibilidad y medioambiente.</t>
  </si>
  <si>
    <t>This is how big companies do 'greenwashing'</t>
  </si>
  <si>
    <t>One thing is advertising and the good words of companies and another is what they are really doing in sustainability and the environment.</t>
  </si>
  <si>
    <t>Increased scrutiny over greenwashing may impact Repsol’s sustainability messaging.</t>
  </si>
  <si>
    <t>Negative environmental criticism</t>
  </si>
  <si>
    <t>Crítica ambiental negativa</t>
  </si>
  <si>
    <r>
      <rPr>
        <rFont val="Arial, sans-serif"/>
        <color rgb="FF1155CC"/>
        <sz val="9.0"/>
        <u/>
      </rPr>
      <t>OkDiario</t>
    </r>
    <r>
      <rPr>
        <rFont val="Arial, sans-serif"/>
        <color rgb="FF1155CC"/>
        <sz val="15.0"/>
        <u/>
      </rPr>
      <t>Repsol atrae 200.000 clientes de luz y gas de sus rivales en tres meses e incide en sus agresivas ofertas</t>
    </r>
    <r>
      <rPr>
        <rFont val="Arial, sans-serif"/>
        <color rgb="FF1155CC"/>
        <sz val="11.0"/>
        <u/>
      </rPr>
      <t>Las agresivas ofertas de Repsol para ganar cuota de mercado en electricidad y gas han permitido a la petrolera ganar 200.000 clientes de luz y gas en el...</t>
    </r>
    <r>
      <rPr>
        <rFont val="Arial, sans-serif"/>
        <color rgb="FF1155CC"/>
        <sz val="12.0"/>
        <u/>
      </rPr>
      <t>.</t>
    </r>
    <r>
      <rPr>
        <rFont val="Arial, sans-serif"/>
        <color rgb="FF1155CC"/>
        <sz val="11.0"/>
        <u/>
      </rPr>
      <t>14 may 2024</t>
    </r>
  </si>
  <si>
    <t>Repsol atrae 200.000 clientes de luz y gas de sus rivales en tres meses e incide en sus agresivas ofertas</t>
  </si>
  <si>
    <t>Las agresivas ofertas de Repsol para ganar cuota de mercado en electricidad y gas han permitido a la petrolera ganar 200.000 clientes de luz y gas en el....</t>
  </si>
  <si>
    <t>Repsol attracts 200,000 electricity and gas customers from its rivals in three months and influences its aggressive offers</t>
  </si>
  <si>
    <t>Repsol's aggressive offers to gain market share in electricity and gas have allowed the oil company to gain 200,000 electricity and gas customers in the...</t>
  </si>
  <si>
    <t>Gaining customers in electricity and gas strengthens Repsol’s competitive position.</t>
  </si>
  <si>
    <t>atrae clientes</t>
  </si>
  <si>
    <r>
      <rPr>
        <rFont val="Arial, sans-serif"/>
        <color rgb="FF1155CC"/>
        <sz val="9.0"/>
        <u/>
      </rPr>
      <t>Cinco Días</t>
    </r>
    <r>
      <rPr>
        <rFont val="Arial, sans-serif"/>
        <color rgb="FF1155CC"/>
        <sz val="15.0"/>
        <u/>
      </rPr>
      <t>Repsol negocia la venta de una parte de su negocio de renovables, afirma Reuters</t>
    </r>
    <r>
      <rPr>
        <rFont val="Arial, sans-serif"/>
        <color rgb="FF1155CC"/>
        <sz val="11.0"/>
        <u/>
      </rPr>
      <t>Repsol negocia dar entrada a un nuevo socio en su negocio de renovables mediante la venta de otra participación minoritaria en su filial verde.</t>
    </r>
    <r>
      <rPr>
        <rFont val="Arial, sans-serif"/>
        <color rgb="FF1155CC"/>
        <sz val="12.0"/>
        <u/>
      </rPr>
      <t>.</t>
    </r>
    <r>
      <rPr>
        <rFont val="Arial, sans-serif"/>
        <color rgb="FF1155CC"/>
        <sz val="11.0"/>
        <u/>
      </rPr>
      <t>14 may 2024</t>
    </r>
  </si>
  <si>
    <t>Reuters</t>
  </si>
  <si>
    <t>Repsol negocia la venta de una parte de su negocio de renovables, afirma Reuters</t>
  </si>
  <si>
    <t>Repsol negocia dar entrada a un nuevo socio en su negocio de renovables mediante la venta de otra participación minoritaria en su filial verde.</t>
  </si>
  <si>
    <t>Repsol is negotiating the sale of part of its renewables business, says Reuters</t>
  </si>
  <si>
    <t>Repsol is negotiating to bring in a new partner in its renewables business through the sale of another minority stake in its green subsidiary.</t>
  </si>
  <si>
    <t>Repsol renewable energy, business restructuring</t>
  </si>
  <si>
    <t>Repsol energías renovables, reestructuración empresarial</t>
  </si>
  <si>
    <t>Selling stakes in renewables may impact Repsol’s long-term sustainability strategy.</t>
  </si>
  <si>
    <t>negocia venta</t>
  </si>
  <si>
    <t>Negative for potential asset sale</t>
  </si>
  <si>
    <t>Negativo para potencial venta de activos</t>
  </si>
  <si>
    <r>
      <rPr>
        <rFont val="Arial, sans-serif"/>
        <color rgb="FF1155CC"/>
        <sz val="9.0"/>
        <u/>
      </rPr>
      <t>Interempresas.net</t>
    </r>
    <r>
      <rPr>
        <rFont val="Arial, sans-serif"/>
        <color rgb="FF1155CC"/>
        <sz val="15.0"/>
        <u/>
      </rPr>
      <t>Repsol lanza un descuento de diez céntimos por litro para el repostaje de diésel renovable</t>
    </r>
    <r>
      <rPr>
        <rFont val="Arial, sans-serif"/>
        <color rgb="FF1155CC"/>
        <sz val="11.0"/>
        <u/>
      </rPr>
      <t>Desde el 29 de abril y hasta el próximo 30 de septiembre de 2024, Repsol ofrece un nuevo descuento de diez céntimos por litro para el repostaje de diésel...</t>
    </r>
    <r>
      <rPr>
        <rFont val="Arial, sans-serif"/>
        <color rgb="FF1155CC"/>
        <sz val="12.0"/>
        <u/>
      </rPr>
      <t>.</t>
    </r>
    <r>
      <rPr>
        <rFont val="Arial, sans-serif"/>
        <color rgb="FF1155CC"/>
        <sz val="11.0"/>
        <u/>
      </rPr>
      <t>14 may 2024</t>
    </r>
  </si>
  <si>
    <t>Repsol lanza un descuento de diez céntimos por litro para el repostaje de diésel renovable</t>
  </si>
  <si>
    <t>Repsol ofrece un nuevo descuento de diez céntimos por litro para el repostaje de diésel renovable desde el 29 de abril hasta el 30 de septiembre de 2024.</t>
  </si>
  <si>
    <t>Repsol launches a discount of ten cents per liter for refueling with renewable diesel</t>
  </si>
  <si>
    <t>Repsol offers a new discount of ten cents per liter for refueling with renewable diesel from April 29 to September 30, 2024.</t>
  </si>
  <si>
    <t>Repsol fuel discount, consumer strategy</t>
  </si>
  <si>
    <t>Descuento de combustible Repsol, estrategia de consumo</t>
  </si>
  <si>
    <t>Fuel discounts enhance Repsol’s customer engagement but have a limited long-term impact.</t>
  </si>
  <si>
    <t>diésel renovable</t>
  </si>
  <si>
    <t>Positive sustainability offer</t>
  </si>
  <si>
    <t>Oferta de sostenibilidad positiva</t>
  </si>
  <si>
    <r>
      <rPr>
        <rFont val="Arial, sans-serif"/>
        <color rgb="FF1155CC"/>
        <sz val="9.0"/>
        <u/>
      </rPr>
      <t>Greenpeace España</t>
    </r>
    <r>
      <rPr>
        <rFont val="Arial, sans-serif"/>
        <color rgb="FF1155CC"/>
        <sz val="15.0"/>
        <u/>
      </rPr>
      <t>Desmontando las mentiras de Josu Jon, CEO de REPSOL</t>
    </r>
    <r>
      <rPr>
        <rFont val="Arial, sans-serif"/>
        <color rgb="FF1155CC"/>
        <sz val="11.0"/>
        <u/>
      </rPr>
      <t>Quieren seguir exprimiendo su negocio de petróleo y el gas hasta que el planeta reviente.</t>
    </r>
    <r>
      <rPr>
        <rFont val="Arial, sans-serif"/>
        <color rgb="FF1155CC"/>
        <sz val="12.0"/>
        <u/>
      </rPr>
      <t>.</t>
    </r>
    <r>
      <rPr>
        <rFont val="Arial, sans-serif"/>
        <color rgb="FF1155CC"/>
        <sz val="11.0"/>
        <u/>
      </rPr>
      <t>14 may 2024</t>
    </r>
  </si>
  <si>
    <t>Desmontando las mentiras de Josu Jon, CEO de REPSOL</t>
  </si>
  <si>
    <t>Quieren seguir exprimiendo su negocio de petróleo y el gas hasta que el planeta reviente.</t>
  </si>
  <si>
    <t>Dismantling the lies of Josu Jon, CEO of REPSOL</t>
  </si>
  <si>
    <t>They want to keep squeezing their oil and gas business until the planet bursts.</t>
  </si>
  <si>
    <t>Repsol climate controversy, environmental criticism</t>
  </si>
  <si>
    <t>La polémica climática de Repsol, la crítica medioambiental</t>
  </si>
  <si>
    <t>Criticism of Repsol’s CEO may impact its public image.</t>
  </si>
  <si>
    <t>mentiras CEO</t>
  </si>
  <si>
    <t>Negative leadership criticism</t>
  </si>
  <si>
    <t>Críticas negativas al liderazgo</t>
  </si>
  <si>
    <r>
      <rPr>
        <rFont val="Arial, sans-serif"/>
        <color rgb="FF1155CC"/>
        <sz val="9.0"/>
        <u/>
      </rPr>
      <t>El Español</t>
    </r>
    <r>
      <rPr>
        <rFont val="Arial, sans-serif"/>
        <color rgb="FF1155CC"/>
        <sz val="15.0"/>
        <u/>
      </rPr>
      <t>Gran paso para el desarrollo de los antiguos suelos de Repsol en Málaga: activan las labores de descontaminación</t>
    </r>
    <r>
      <rPr>
        <rFont val="Arial, sans-serif"/>
        <color rgb="FF1155CC"/>
        <sz val="11.0"/>
        <u/>
      </rPr>
      <t>Impulsan la contratación de los trabajos, que afectarán a la zona norte del sector y que están valorados en 2,6 millones de euros.</t>
    </r>
    <r>
      <rPr>
        <rFont val="Arial, sans-serif"/>
        <color rgb="FF1155CC"/>
        <sz val="12.0"/>
        <u/>
      </rPr>
      <t>.</t>
    </r>
    <r>
      <rPr>
        <rFont val="Arial, sans-serif"/>
        <color rgb="FF1155CC"/>
        <sz val="11.0"/>
        <u/>
      </rPr>
      <t>14 may 2024</t>
    </r>
  </si>
  <si>
    <t>Gran paso para el desarrollo de los antiguos suelos de Repsol en Málaga: activan las labores de descontaminación</t>
  </si>
  <si>
    <t>Impulsan la contratación de los trabajos, que afectarán a la zona norte del sector y que están valorados en 2,6 millones de euros.</t>
  </si>
  <si>
    <t>Great step for the development of the old Repsol soils in Malaga: decontamination work is activated</t>
  </si>
  <si>
    <t>They promote the contracting of the works, which will affect the northern area of ​​the sector and which are valued at 2.6 million euros.</t>
  </si>
  <si>
    <t>Repsol urban project, business expansion</t>
  </si>
  <si>
    <t>Proyecto urbanístico Repsol, expansión empresarial</t>
  </si>
  <si>
    <t>Investing in land development supports Repsol’s business diversification.</t>
  </si>
  <si>
    <t>descontaminación</t>
  </si>
  <si>
    <t>Positive environmental remediation</t>
  </si>
  <si>
    <t>Remediación ambiental positiva</t>
  </si>
  <si>
    <r>
      <rPr>
        <rFont val="Arial, sans-serif"/>
        <color rgb="FF1155CC"/>
        <sz val="9.0"/>
        <u/>
      </rPr>
      <t>La Opinión de Málaga</t>
    </r>
    <r>
      <rPr>
        <rFont val="Arial, sans-serif"/>
        <color rgb="FF1155CC"/>
        <sz val="15.0"/>
        <u/>
      </rPr>
      <t>Sacan a contratación pública los trabajos de descontaminación en los terrenos de Repsol</t>
    </r>
    <r>
      <rPr>
        <rFont val="Arial, sans-serif"/>
        <color rgb="FF1155CC"/>
        <sz val="11.0"/>
        <u/>
      </rPr>
      <t>La Junta de Compensación de Repsol ha sacado a contratación pública los trabajos de descontaminación en la parcela de Repsol, que pretende eliminar los...</t>
    </r>
    <r>
      <rPr>
        <rFont val="Arial, sans-serif"/>
        <color rgb="FF1155CC"/>
        <sz val="12.0"/>
        <u/>
      </rPr>
      <t>.</t>
    </r>
    <r>
      <rPr>
        <rFont val="Arial, sans-serif"/>
        <color rgb="FF1155CC"/>
        <sz val="11.0"/>
        <u/>
      </rPr>
      <t>14 may 2024</t>
    </r>
  </si>
  <si>
    <t>Sacan a contratación pública los trabajos de descontaminación en los terrenos de Repsol</t>
  </si>
  <si>
    <t>La Junta de Compensación de Repsol ha sacado a contratación pública los trabajos de descontaminación en la parcela de Repsol, que pretende eliminar los....</t>
  </si>
  <si>
    <t>Decontamination work on Repsol lands put out to public procurement</t>
  </si>
  <si>
    <t>The Repsol Compensation Board has put out to public procurement the decontamination works on the Repsol plot, which aims to eliminate the...</t>
  </si>
  <si>
    <t>Repsol environmental remediation, sustainability</t>
  </si>
  <si>
    <t>Remediación ambiental Repsol, sostenibilidad</t>
  </si>
  <si>
    <t>Addressing contamination issues aligns with Repsol’s sustainability commitments.</t>
  </si>
  <si>
    <t>Positive environmental action</t>
  </si>
  <si>
    <t>Acción ambiental positiva</t>
  </si>
  <si>
    <r>
      <rPr>
        <rFont val="Arial, sans-serif"/>
        <color rgb="FF1155CC"/>
        <sz val="9.0"/>
        <u/>
      </rPr>
      <t>Repsol</t>
    </r>
    <r>
      <rPr>
        <rFont val="Arial, sans-serif"/>
        <color rgb="FF1155CC"/>
        <sz val="15.0"/>
        <u/>
      </rPr>
      <t>Conoce consejos para elaborar un CV o cómo enfrentarte a una entrevista de trabajo</t>
    </r>
    <r>
      <rPr>
        <rFont val="Arial, sans-serif"/>
        <color rgb="FF1155CC"/>
        <sz val="11.0"/>
        <u/>
      </rPr>
      <t>La búsqueda de empleo es un proceso que la mayoría de personas atraviesan en algún momento de su vida profesional, y que en los últimos años se ha...</t>
    </r>
    <r>
      <rPr>
        <rFont val="Arial, sans-serif"/>
        <color rgb="FF1155CC"/>
        <sz val="12.0"/>
        <u/>
      </rPr>
      <t>.</t>
    </r>
    <r>
      <rPr>
        <rFont val="Arial, sans-serif"/>
        <color rgb="FF1155CC"/>
        <sz val="11.0"/>
        <u/>
      </rPr>
      <t>14 may 2024</t>
    </r>
  </si>
  <si>
    <t>Conoce consejos para elaborar un CV o cómo enfrentarte a una entrevista de trabajo</t>
  </si>
  <si>
    <t>La búsqueda de empleo es un proceso que la mayoría de personas atraviesan en algún momento de su vida profesional, y que en los últimos años se ha....</t>
  </si>
  <si>
    <t>Learn tips for preparing a CV or how to face a job interview</t>
  </si>
  <si>
    <t>The job search is a process that most people go through at some point in their professional life, and that in recent years has...</t>
  </si>
  <si>
    <r>
      <rPr>
        <rFont val="Arial, sans-serif"/>
        <color rgb="FF1155CC"/>
        <sz val="9.0"/>
        <u/>
      </rPr>
      <t>UGT Cantabria</t>
    </r>
    <r>
      <rPr>
        <rFont val="Arial, sans-serif"/>
        <color rgb="FF1155CC"/>
        <sz val="15.0"/>
        <u/>
      </rPr>
      <t>Sindicato Unión General de Trabajadoras y Trabajadores</t>
    </r>
    <r>
      <rPr>
        <rFont val="Arial, sans-serif"/>
        <color rgb="FF1155CC"/>
        <sz val="11.0"/>
        <u/>
      </rPr>
      <t>El sindicato rechaza que no se aplique la regulación de las prejubilaciones en la planta de Gajano, adherida al convenio colectivo de Repsol Química.</t>
    </r>
    <r>
      <rPr>
        <rFont val="Arial, sans-serif"/>
        <color rgb="FF1155CC"/>
        <sz val="12.0"/>
        <u/>
      </rPr>
      <t>.</t>
    </r>
    <r>
      <rPr>
        <rFont val="Arial, sans-serif"/>
        <color rgb="FF1155CC"/>
        <sz val="11.0"/>
        <u/>
      </rPr>
      <t>14 may 2024</t>
    </r>
  </si>
  <si>
    <t>UGT Cantabria</t>
  </si>
  <si>
    <t>El sindicato rechaza que no se aplique la regulación de las prejubilaciones en la planta de Gajano, adherida al convenio colectivo de Repsol Química.</t>
  </si>
  <si>
    <t>The union rejects the fact that the regulation of early retirement at the Gajano plant, adhered to the Repsol Química collective agreement, is not applied.</t>
  </si>
  <si>
    <t>General labor disputes do not impact Repsol’s corporate perception.</t>
  </si>
  <si>
    <t>sindicato rechaza</t>
  </si>
  <si>
    <t>Negative labor relations</t>
  </si>
  <si>
    <t>Relaciones laborales negativas</t>
  </si>
  <si>
    <r>
      <rPr>
        <rFont val="Arial, sans-serif"/>
        <color rgb="FF1155CC"/>
        <sz val="9.0"/>
        <u/>
      </rPr>
      <t>Guía Repsol</t>
    </r>
    <r>
      <rPr>
        <rFont val="Arial, sans-serif"/>
        <color rgb="FF1155CC"/>
        <sz val="15.0"/>
        <u/>
      </rPr>
      <t>Visita la Bodega Llanos Negros en Fuencaliente</t>
    </r>
    <r>
      <rPr>
        <rFont val="Arial, sans-serif"/>
        <color rgb="FF1155CC"/>
        <sz val="11.0"/>
        <u/>
      </rPr>
      <t>Tras los vinos de los Llanos Negros, descubrimos la historia de una viticultura heroica que ha sabido adaptarse al arduo paraje volcánico de Fuencaliente,...</t>
    </r>
    <r>
      <rPr>
        <rFont val="Arial, sans-serif"/>
        <color rgb="FF1155CC"/>
        <sz val="12.0"/>
        <u/>
      </rPr>
      <t>.</t>
    </r>
    <r>
      <rPr>
        <rFont val="Arial, sans-serif"/>
        <color rgb="FF1155CC"/>
        <sz val="11.0"/>
        <u/>
      </rPr>
      <t>14 may 2024</t>
    </r>
  </si>
  <si>
    <t>Visita la Bodega Llanos Negros en Fuencaliente</t>
  </si>
  <si>
    <t>Tras los vinos de los Llanos Negros, descubrimos la historia de una viticultura heroica que ha sabido adaptarse al arduo paraje volcánico de Fuencaliente,....</t>
  </si>
  <si>
    <t>Visit the Llanos Negros Winery in Fuencaliente</t>
  </si>
  <si>
    <t>After the wines of the Llanos Negros, we discover the history of a heroic viticulture that has known how to adapt to the arduous volcanic landscape of Fuencaliente,...</t>
  </si>
  <si>
    <r>
      <rPr>
        <rFont val="Arial, sans-serif"/>
        <color rgb="FF1155CC"/>
        <sz val="9.0"/>
        <u/>
      </rPr>
      <t>La Voz de Galicia</t>
    </r>
    <r>
      <rPr>
        <rFont val="Arial, sans-serif"/>
        <color rgb="FF1155CC"/>
        <sz val="15.0"/>
        <u/>
      </rPr>
      <t>¿Qué queda para despejar el muelle petrolero de A Coruña?</t>
    </r>
    <r>
      <rPr>
        <rFont val="Arial, sans-serif"/>
        <color rgb="FF1155CC"/>
        <sz val="11.0"/>
        <u/>
      </rPr>
      <t>Repsol está haciendo los estudios de ingeniería para trasladar los refinados a Langosteira.</t>
    </r>
    <r>
      <rPr>
        <rFont val="Arial, sans-serif"/>
        <color rgb="FF1155CC"/>
        <sz val="12.0"/>
        <u/>
      </rPr>
      <t>.</t>
    </r>
    <r>
      <rPr>
        <rFont val="Arial, sans-serif"/>
        <color rgb="FF1155CC"/>
        <sz val="11.0"/>
        <u/>
      </rPr>
      <t>14 may 2024</t>
    </r>
  </si>
  <si>
    <t>¿Qué queda para despejar el muelle petrolero de A Coruña?</t>
  </si>
  <si>
    <t>Repsol está haciendo los estudios de ingeniería para trasladar los refinados a Langosteira.</t>
  </si>
  <si>
    <t>What is left to clear the A Coruña oil dock?</t>
  </si>
  <si>
    <t>Repsol is carrying out the engineering studies to transfer the refined products to Langosteira.</t>
  </si>
  <si>
    <t>Repsol infrastructure project, business expansion</t>
  </si>
  <si>
    <t>Proyecto de infraestructuras de Repsol, expansión empresarial</t>
  </si>
  <si>
    <t>Expanding oil infrastructure strengthens Repsol’s logistics network.</t>
  </si>
  <si>
    <r>
      <rPr>
        <rFont val="Arial, sans-serif"/>
        <color rgb="FF1155CC"/>
        <sz val="9.0"/>
        <u/>
      </rPr>
      <t>heraldo.es</t>
    </r>
    <r>
      <rPr>
        <rFont val="Arial, sans-serif"/>
        <color rgb="FF1155CC"/>
        <sz val="15.0"/>
        <u/>
      </rPr>
      <t>El restaurante de Ejea que aprovecha hasta el agua de la borraja y recomienda la guía Repsol</t>
    </r>
    <r>
      <rPr>
        <rFont val="Arial, sans-serif"/>
        <color rgb="FF1155CC"/>
        <sz val="11.0"/>
        <u/>
      </rPr>
      <t>David Fernández lidera esta cocina ejeana que apuesta por los productos del huerto local.</t>
    </r>
    <r>
      <rPr>
        <rFont val="Arial, sans-serif"/>
        <color rgb="FF1155CC"/>
        <sz val="12.0"/>
        <u/>
      </rPr>
      <t>.</t>
    </r>
    <r>
      <rPr>
        <rFont val="Arial, sans-serif"/>
        <color rgb="FF1155CC"/>
        <sz val="11.0"/>
        <u/>
      </rPr>
      <t>14 may 2024</t>
    </r>
  </si>
  <si>
    <t>El restaurante de Ejea que aprovecha hasta el agua de la borraja y recomienda la guía Repsol</t>
  </si>
  <si>
    <t>David Fernández lidera esta cocina ejeana que apuesta por los productos del huerto local.</t>
  </si>
  <si>
    <t>The Ejea restaurant that even uses borage water and recommends the Repsol guide</t>
  </si>
  <si>
    <t>David Fernández leads this Ejean cuisine that relies on products from the local garden.</t>
  </si>
  <si>
    <r>
      <rPr>
        <rFont val="Arial, sans-serif"/>
        <color rgb="FF1155CC"/>
        <sz val="9.0"/>
        <u/>
      </rPr>
      <t>El Español</t>
    </r>
    <r>
      <rPr>
        <rFont val="Arial, sans-serif"/>
        <color rgb="FF1155CC"/>
        <sz val="15.0"/>
        <u/>
      </rPr>
      <t>Ni Gandía ni Cullera: este es el pueblo costero desconocido de Valencia que ha sabido preservar su singularidad</t>
    </r>
    <r>
      <rPr>
        <rFont val="Arial, sans-serif"/>
        <color rgb="FF1155CC"/>
        <sz val="11.0"/>
        <u/>
      </rPr>
      <t>Según la Guía Repsol, "no ha perdido la cabeza en aras de un turismo masivo".</t>
    </r>
    <r>
      <rPr>
        <rFont val="Arial, sans-serif"/>
        <color rgb="FF1155CC"/>
        <sz val="12.0"/>
        <u/>
      </rPr>
      <t>.</t>
    </r>
    <r>
      <rPr>
        <rFont val="Arial, sans-serif"/>
        <color rgb="FF1155CC"/>
        <sz val="11.0"/>
        <u/>
      </rPr>
      <t>14 may 2024</t>
    </r>
  </si>
  <si>
    <t>Ni Gandía ni Cullera: este es el pueblo costero desconocido de Valencia que ha sabido preservar su singularidad</t>
  </si>
  <si>
    <t>"no ha perdido la cabeza en aras de un turismo masivo"</t>
  </si>
  <si>
    <t>Neither Gandía nor Cullera: this is the unknown coastal town of Valencia that has managed to preserve its uniqueness</t>
  </si>
  <si>
    <t>"has not lost its mind for the sake of mass tourism"</t>
  </si>
  <si>
    <r>
      <rPr>
        <rFont val="Arial, sans-serif"/>
        <color rgb="FF1155CC"/>
        <sz val="9.0"/>
        <u/>
      </rPr>
      <t>Cinco Días</t>
    </r>
    <r>
      <rPr>
        <rFont val="Arial, sans-serif"/>
        <color rgb="FF1155CC"/>
        <sz val="15.0"/>
        <u/>
      </rPr>
      <t>Repsol refuerza Petronor con una inversión de 47 millones</t>
    </r>
    <r>
      <rPr>
        <rFont val="Arial, sans-serif"/>
        <color rgb="FF1155CC"/>
        <sz val="11.0"/>
        <u/>
      </rPr>
      <t>Repsol sigue apostando por Petronor. La filial de Muskiz (Bizkaia) es una de las principales refinerías de la petrolera. Este miércoles arranca la parada de...</t>
    </r>
    <r>
      <rPr>
        <rFont val="Arial, sans-serif"/>
        <color rgb="FF1155CC"/>
        <sz val="12.0"/>
        <u/>
      </rPr>
      <t>.</t>
    </r>
    <r>
      <rPr>
        <rFont val="Arial, sans-serif"/>
        <color rgb="FF1155CC"/>
        <sz val="11.0"/>
        <u/>
      </rPr>
      <t>15 may 2024</t>
    </r>
  </si>
  <si>
    <t>Repsol refuerza Petronor con una inversión de 47 millones</t>
  </si>
  <si>
    <t>Repsol sigue apostando por Petronor. La filial de Muskiz (Bizkaia) es una de las principales refinerías de la petrolera. Este miércoles arranca la parada de....</t>
  </si>
  <si>
    <t>Repsol reinforces Petronor with an investment of 47 million</t>
  </si>
  <si>
    <t>Repsol continues to bet on Petronor. The Muskiz subsidiary (Bizkaia) is one of the oil company's main refineries. This Wednesday the stoppage of....</t>
  </si>
  <si>
    <t>Investing in refineries strengthens Repsol’s energy production capabilities.</t>
  </si>
  <si>
    <t>Positive business investment</t>
  </si>
  <si>
    <t>Inversión empresarial positiva</t>
  </si>
  <si>
    <r>
      <rPr>
        <rFont val="Arial, sans-serif"/>
        <color rgb="FF1155CC"/>
        <sz val="9.0"/>
        <u/>
      </rPr>
      <t>El Economista</t>
    </r>
    <r>
      <rPr>
        <rFont val="Arial, sans-serif"/>
        <color rgb="FF1155CC"/>
        <sz val="15.0"/>
        <u/>
      </rPr>
      <t>Repsol, en conversaciones para vender una porción de su negocio en renovables</t>
    </r>
    <r>
      <rPr>
        <rFont val="Arial, sans-serif"/>
        <color rgb="FF1155CC"/>
        <sz val="11.0"/>
        <u/>
      </rPr>
      <t>Repsol estaría en conversaciones para vender una porción de su unidad de renovables, con el objetivo de captar financiación para financiar su plan...</t>
    </r>
    <r>
      <rPr>
        <rFont val="Arial, sans-serif"/>
        <color rgb="FF1155CC"/>
        <sz val="12.0"/>
        <u/>
      </rPr>
      <t>.</t>
    </r>
    <r>
      <rPr>
        <rFont val="Arial, sans-serif"/>
        <color rgb="FF1155CC"/>
        <sz val="11.0"/>
        <u/>
      </rPr>
      <t>15 may 2024</t>
    </r>
  </si>
  <si>
    <t>Repsol, en conversaciones para vender una porción de su negocio en renovables</t>
  </si>
  <si>
    <t>Repsol estaría en conversaciones para vender una porción de su unidad de renovables, con el objetivo de captar financiación para financiar su plan....</t>
  </si>
  <si>
    <t>Repsol, in talks to sell a portion of its renewable business</t>
  </si>
  <si>
    <t>Repsol would be in talks to sell a portion of its renewables unit, with the aim of raising financing to finance its plan...</t>
  </si>
  <si>
    <t>Selling part of its renewables unit may impact Repsol’s clean energy transition.</t>
  </si>
  <si>
    <t>vender renovables</t>
  </si>
  <si>
    <t>Negative strategic move</t>
  </si>
  <si>
    <t>Movimiento estratégico negativo</t>
  </si>
  <si>
    <r>
      <rPr>
        <rFont val="Arial, sans-serif"/>
        <color rgb="FF1155CC"/>
        <sz val="9.0"/>
        <u/>
      </rPr>
      <t>El Faro de Melilla</t>
    </r>
    <r>
      <rPr>
        <rFont val="Arial, sans-serif"/>
        <color rgb="FF1155CC"/>
        <sz val="15.0"/>
        <u/>
      </rPr>
      <t>Melilla baja de 8 a 6 soletes en la Guía Repsol</t>
    </r>
    <r>
      <rPr>
        <rFont val="Arial, sans-serif"/>
        <color rgb="FF1155CC"/>
        <sz val="11.0"/>
        <u/>
      </rPr>
      <t>En cuanto a los soles, la ciudad continúa con 0 al igual que Ceuta, siendo las únicas autonomías sin ostentar este reconocimiento.</t>
    </r>
    <r>
      <rPr>
        <rFont val="Arial, sans-serif"/>
        <color rgb="FF1155CC"/>
        <sz val="12.0"/>
        <u/>
      </rPr>
      <t>.</t>
    </r>
    <r>
      <rPr>
        <rFont val="Arial, sans-serif"/>
        <color rgb="FF1155CC"/>
        <sz val="11.0"/>
        <u/>
      </rPr>
      <t>15 may 2024</t>
    </r>
  </si>
  <si>
    <t>El Faro de Melilla</t>
  </si>
  <si>
    <t>Melilla baja de 8 a 6 soletes en la Guía Repsol</t>
  </si>
  <si>
    <t>En cuanto a los soles, la ciudad continúa con 0 al igual que Ceuta, siendo las únicas autonomías sin ostentar este reconocimiento.</t>
  </si>
  <si>
    <t>Melilla drops from 8 to 6 suns in the Repsol Guide</t>
  </si>
  <si>
    <t>As for the suns, the city continues with 0 like Ceuta, being the only autonomies without this recognition.</t>
  </si>
  <si>
    <r>
      <rPr>
        <rFont val="Arial, sans-serif"/>
        <color rgb="FF1155CC"/>
        <sz val="9.0"/>
        <u/>
      </rPr>
      <t>El Bierzo Digital</t>
    </r>
    <r>
      <rPr>
        <rFont val="Arial, sans-serif"/>
        <color rgb="FF1155CC"/>
        <sz val="15.0"/>
        <u/>
      </rPr>
      <t>El Restaurante Serrano de Astorga distinguido con un Sol en la Guía Repsol 2014</t>
    </r>
    <r>
      <rPr>
        <rFont val="Arial, sans-serif"/>
        <color rgb="FF1155CC"/>
        <sz val="11.0"/>
        <u/>
      </rPr>
      <t>El Restaurante Serrano de Astorga ha sido distinguido con un Sol en la nueva Guía Repsol 2014. El Bierzo Digital.</t>
    </r>
    <r>
      <rPr>
        <rFont val="Arial, sans-serif"/>
        <color rgb="FF1155CC"/>
        <sz val="12.0"/>
        <u/>
      </rPr>
      <t>.</t>
    </r>
    <r>
      <rPr>
        <rFont val="Arial, sans-serif"/>
        <color rgb="FF1155CC"/>
        <sz val="11.0"/>
        <u/>
      </rPr>
      <t>15 may 2024</t>
    </r>
  </si>
  <si>
    <t>El Bierzo Digital</t>
  </si>
  <si>
    <t>El Restaurante Serrano de Astorga distinguido con un Sol en la Guía Repsol 2014</t>
  </si>
  <si>
    <t>El Restaurante Serrano de Astorga ha sido distinguido con un Sol en la nueva Guía Repsol 2014.</t>
  </si>
  <si>
    <t>The Serrano de Astorga Restaurant awarded with a Sun in the Repsol Guide 2014</t>
  </si>
  <si>
    <t>The Serrano Restaurant in Astorga has been awarded a Sun in the new Repsol Guide 2014.</t>
  </si>
  <si>
    <r>
      <rPr>
        <rFont val="Arial, sans-serif"/>
        <color rgb="FF1155CC"/>
        <sz val="9.0"/>
        <u/>
      </rPr>
      <t>Radio Sintonía</t>
    </r>
    <r>
      <rPr>
        <rFont val="Arial, sans-serif"/>
        <color rgb="FF1155CC"/>
        <sz val="15.0"/>
        <u/>
      </rPr>
      <t>Conocemos la nueva estación de servicio Repsol en Morro Jable</t>
    </r>
    <r>
      <rPr>
        <rFont val="Arial, sans-serif"/>
        <color rgb="FF1155CC"/>
        <sz val="11.0"/>
        <u/>
      </rPr>
      <t>A principios de mes abría sus puertas la nueva estación de servicio Repsol en Morro Jable. Beatriz Boris nos presenta las instalaciones.</t>
    </r>
    <r>
      <rPr>
        <rFont val="Arial, sans-serif"/>
        <color rgb="FF1155CC"/>
        <sz val="12.0"/>
        <u/>
      </rPr>
      <t>.</t>
    </r>
    <r>
      <rPr>
        <rFont val="Arial, sans-serif"/>
        <color rgb="FF1155CC"/>
        <sz val="11.0"/>
        <u/>
      </rPr>
      <t>15 may 2024</t>
    </r>
  </si>
  <si>
    <t>Radio Sintonía</t>
  </si>
  <si>
    <t>Conocemos la nueva estación de servicio Repsol en Morro Jable</t>
  </si>
  <si>
    <t>A principios de mes abría sus puertas la nueva estación de servicio Repsol en Morro Jable. Beatriz Boris nos presenta las instalaciones.</t>
  </si>
  <si>
    <t>We get to know the new Repsol service station in Morro Jable</t>
  </si>
  <si>
    <t>At the beginning of the month, the new Repsol service station in Morro Jable opened its doors. Beatriz Boris introduces us to the facilities.</t>
  </si>
  <si>
    <r>
      <rPr>
        <rFont val="Arial, sans-serif"/>
        <color rgb="FF1155CC"/>
        <sz val="9.0"/>
        <u/>
      </rPr>
      <t>Infobae</t>
    </r>
    <r>
      <rPr>
        <rFont val="Arial, sans-serif"/>
        <color rgb="FF1155CC"/>
        <sz val="15.0"/>
        <u/>
      </rPr>
      <t>Enfrentan a accionistas de Repsol en España: organizaciones ambientales piden respuesta por derrame de petróleo en Perú</t>
    </r>
    <r>
      <rPr>
        <rFont val="Arial, sans-serif"/>
        <color rgb="FF1155CC"/>
        <sz val="11.0"/>
        <u/>
      </rPr>
      <t>Dos años después del derrame de 12 mil barriles de petróleo en las costas de Ventanilla, Callao, la compañía de hidrocarburos Repsol enfrenta críticas y...</t>
    </r>
    <r>
      <rPr>
        <rFont val="Arial, sans-serif"/>
        <color rgb="FF1155CC"/>
        <sz val="12.0"/>
        <u/>
      </rPr>
      <t>.</t>
    </r>
    <r>
      <rPr>
        <rFont val="Arial, sans-serif"/>
        <color rgb="FF1155CC"/>
        <sz val="11.0"/>
        <u/>
      </rPr>
      <t>15 may 2024</t>
    </r>
  </si>
  <si>
    <t>Enfrentan a accionistas de Repsol en España: organizaciones ambientales piden respuesta por derrame de petróleo en Perú</t>
  </si>
  <si>
    <t>Dos años después del derrame de 12 mil barriles de petróleo en las costas de Ventanilla, Callao, la compañía de hidrocarburos Repsol enfrenta críticas y....</t>
  </si>
  <si>
    <t>They confront Repsol shareholders in Spain: environmental organizations demand a response for the oil spill in Peru</t>
  </si>
  <si>
    <t>Two years after the spill of 12 thousand barrels of oil on the coast of Ventanilla, Callao, the hydrocarbon company Repsol faces criticism and...</t>
  </si>
  <si>
    <t>Environmental protests continue to impact Repsol’s public perception.</t>
  </si>
  <si>
    <t>derrame petróleo</t>
  </si>
  <si>
    <t>Extreme negative environmental impact</t>
  </si>
  <si>
    <t>Impacto ambiental negativo extremo</t>
  </si>
  <si>
    <r>
      <rPr>
        <rFont val="Arial, sans-serif"/>
        <color rgb="FF1155CC"/>
        <sz val="9.0"/>
        <u/>
      </rPr>
      <t>The New Barcelona Post</t>
    </r>
    <r>
      <rPr>
        <rFont val="Arial, sans-serif"/>
        <color rgb="FF1155CC"/>
        <sz val="15.0"/>
        <u/>
      </rPr>
      <t>El MareNostrum 5 recibirá una inversión adicional de 90M</t>
    </r>
    <r>
      <rPr>
        <rFont val="Arial, sans-serif"/>
        <color rgb="FF1155CC"/>
        <sz val="11.0"/>
        <u/>
      </rPr>
      <t>El Gobierno mejorará las prestaciones del Barcelona Supercomputing Center en el marco de su nueva estrategia de impulso a la inteligencia artificial en...</t>
    </r>
    <r>
      <rPr>
        <rFont val="Arial, sans-serif"/>
        <color rgb="FF1155CC"/>
        <sz val="12.0"/>
        <u/>
      </rPr>
      <t>.</t>
    </r>
    <r>
      <rPr>
        <rFont val="Arial, sans-serif"/>
        <color rgb="FF1155CC"/>
        <sz val="11.0"/>
        <u/>
      </rPr>
      <t>15 may 2024</t>
    </r>
  </si>
  <si>
    <t>El New Barcelona Post</t>
  </si>
  <si>
    <t>El MareNostrum 5 recibirá una inversión adicional de 90M</t>
  </si>
  <si>
    <t>El MareNostrum 5 recibirá una inversión adicional de 90M.</t>
  </si>
  <si>
    <t>MareNostrum 5 will receive an additional investment of 90M</t>
  </si>
  <si>
    <t>MareNostrum 5 will receive an additional investment of 90M.</t>
  </si>
  <si>
    <r>
      <rPr>
        <rFont val="Arial, sans-serif"/>
        <color rgb="FF1155CC"/>
        <sz val="9.0"/>
        <u/>
      </rPr>
      <t>El Economista</t>
    </r>
    <r>
      <rPr>
        <rFont val="Arial, sans-serif"/>
        <color rgb="FF1155CC"/>
        <sz val="15.0"/>
        <u/>
      </rPr>
      <t>Petronor invierte 47 millones en la parada de la unidad de conversión</t>
    </r>
    <r>
      <rPr>
        <rFont val="Arial, sans-serif"/>
        <color rgb="FF1155CC"/>
        <sz val="11.0"/>
        <u/>
      </rPr>
      <t>Petronor, filial de Repsol, invertirá 47 millones de euros en la parada de la unidad de conversión de la refinería vizcaína, donde ...</t>
    </r>
    <r>
      <rPr>
        <rFont val="Arial, sans-serif"/>
        <color rgb="FF1155CC"/>
        <sz val="12.0"/>
        <u/>
      </rPr>
      <t>.</t>
    </r>
    <r>
      <rPr>
        <rFont val="Arial, sans-serif"/>
        <color rgb="FF1155CC"/>
        <sz val="11.0"/>
        <u/>
      </rPr>
      <t>15 may 2024</t>
    </r>
  </si>
  <si>
    <t>Petronor invierte 47 millones en la parada de la unidad de conversión</t>
  </si>
  <si>
    <t>Petronor, filial de Repsol, invertirá 47 millones de euros en la parada de la unidad de conversión de la refinería vizcaína, donde ....</t>
  </si>
  <si>
    <t>Petronor invests 47 million in the shutdown of the conversion unit</t>
  </si>
  <si>
    <t>Petronor, a subsidiary of Repsol, will invest 47 million euros in the shutdown of the conversion unit of the Vizcaya refinery, where...</t>
  </si>
  <si>
    <t>Routine maintenance investments ensure long-term operational efficiency.</t>
  </si>
  <si>
    <r>
      <rPr>
        <rFont val="Arial, sans-serif"/>
        <color rgb="FF1155CC"/>
        <sz val="9.0"/>
        <u/>
      </rPr>
      <t>MotorcycleSports</t>
    </r>
    <r>
      <rPr>
        <rFont val="Arial, sans-serif"/>
        <color rgb="FF1155CC"/>
        <sz val="15.0"/>
        <u/>
      </rPr>
      <t>Después de Ducati y KTM, Jack Miller podría estar dirigiéndose a Honda en 2025.</t>
    </r>
    <r>
      <rPr>
        <rFont val="Arial, sans-serif"/>
        <color rgb="FF1155CC"/>
        <sz val="11.0"/>
        <u/>
      </rPr>
      <t>El mercado de pilotos de MotoGP aún no ha visto ninguna transferencia para 2025, pero hay muchos rumores. Ahora, Jack Miller y Repsol Honda están...</t>
    </r>
    <r>
      <rPr>
        <rFont val="Arial, sans-serif"/>
        <color rgb="FF1155CC"/>
        <sz val="12.0"/>
        <u/>
      </rPr>
      <t>.</t>
    </r>
    <r>
      <rPr>
        <rFont val="Arial, sans-serif"/>
        <color rgb="FF1155CC"/>
        <sz val="11.0"/>
        <u/>
      </rPr>
      <t>15 may 2024</t>
    </r>
  </si>
  <si>
    <t>Después de Ducati y KTM, Jack Miller podría estar dirigiéndose a Honda en 2025.</t>
  </si>
  <si>
    <t>Jack Miller podría estar dirigiéndose a Honda en 2025.</t>
  </si>
  <si>
    <t>After Ducati and KTM, Jack Miller could be heading to Honda in 2025.</t>
  </si>
  <si>
    <t>Jack Miller could be heading to Honda in 2025.</t>
  </si>
  <si>
    <r>
      <rPr>
        <rFont val="Arial, sans-serif"/>
        <color rgb="FF1155CC"/>
        <sz val="9.0"/>
        <u/>
      </rPr>
      <t>Atlántico Hoy</t>
    </r>
    <r>
      <rPr>
        <rFont val="Arial, sans-serif"/>
        <color rgb="FF1155CC"/>
        <sz val="15.0"/>
        <u/>
      </rPr>
      <t>Brutal accidente en medio de la GC-1 sentido Las Palmas de Gran Canaria</t>
    </r>
    <r>
      <rPr>
        <rFont val="Arial, sans-serif"/>
        <color rgb="FF1155CC"/>
        <sz val="11.0"/>
        <u/>
      </rPr>
      <t>Al lugar de los hechos se desplazaron los agentes de la Guardia Civil de Tráfico y una ambulancia del Servicio de Urgencias Canario.</t>
    </r>
    <r>
      <rPr>
        <rFont val="Arial, sans-serif"/>
        <color rgb="FF1155CC"/>
        <sz val="12.0"/>
        <u/>
      </rPr>
      <t>.</t>
    </r>
    <r>
      <rPr>
        <rFont val="Arial, sans-serif"/>
        <color rgb="FF1155CC"/>
        <sz val="11.0"/>
        <u/>
      </rPr>
      <t>15 may 2024</t>
    </r>
  </si>
  <si>
    <t>Brutal accidente en medio de la GC-1 sentido Las Palmas de Gran Canaria</t>
  </si>
  <si>
    <t>Al lugar de los hechos se desplazaron los agentes de la Guardia Civil de Tráfico y una ambulancia del Servicio de Urgencias Canario.</t>
  </si>
  <si>
    <t>Brutal accident in the middle of the GC-1 towards Las Palmas de Gran Canaria</t>
  </si>
  <si>
    <t>Agents from the Civil Traffic Guard and an ambulance from the Canarian Emergency Service went to the scene of the events.</t>
  </si>
  <si>
    <r>
      <rPr>
        <rFont val="Arial, sans-serif"/>
        <color rgb="FF1155CC"/>
        <sz val="9.0"/>
        <u/>
      </rPr>
      <t>GaliciaPress</t>
    </r>
    <r>
      <rPr>
        <rFont val="Arial, sans-serif"/>
        <color rgb="FF1155CC"/>
        <sz val="15.0"/>
        <u/>
      </rPr>
      <t>Vigilantes de Prosegur cumplen 15 días acampados ante la refinería de A Coruña entre presiones y silencio de Repsol</t>
    </r>
    <r>
      <rPr>
        <rFont val="Arial, sans-serif"/>
        <color rgb="FF1155CC"/>
        <sz val="11.0"/>
        <u/>
      </rPr>
      <t>Los sindicatos FTSP-USO y UGT vienen de presentar denuncias por las vulneraciones y presiones que se vienen cometiendo en la planta en medio de las...</t>
    </r>
    <r>
      <rPr>
        <rFont val="Arial, sans-serif"/>
        <color rgb="FF1155CC"/>
        <sz val="12.0"/>
        <u/>
      </rPr>
      <t>.</t>
    </r>
    <r>
      <rPr>
        <rFont val="Arial, sans-serif"/>
        <color rgb="FF1155CC"/>
        <sz val="11.0"/>
        <u/>
      </rPr>
      <t>16 may 2024</t>
    </r>
  </si>
  <si>
    <t>Vigilantes de Prosegur cumplen 15 días acampados ante la refinería de A Coruña entre presiones y silencio de Repsol</t>
  </si>
  <si>
    <t>Los sindicatos FTSP-USO y UGT vienen de presentar denuncias por las vulneraciones y presiones que se vienen cometiendo en la planta en medio de las....</t>
  </si>
  <si>
    <t>Prosegur guards camped outside the A Coruña refinery for 15 days amid pressure and silence from Repsol</t>
  </si>
  <si>
    <t>The FTSP-USO and UGT unions have just filed complaints about the violations and pressures that are being committed at the plant in the midst of...</t>
  </si>
  <si>
    <t>Repsol labor dispute, business operations</t>
  </si>
  <si>
    <t>Labor disputes may negatively impact Repsol’s public perception.</t>
  </si>
  <si>
    <t>protesta refinería</t>
  </si>
  <si>
    <r>
      <rPr>
        <rFont val="Arial, sans-serif"/>
        <color rgb="FF1155CC"/>
        <sz val="9.0"/>
        <u/>
      </rPr>
      <t>Guía Repsol</t>
    </r>
    <r>
      <rPr>
        <rFont val="Arial, sans-serif"/>
        <color rgb="FF1155CC"/>
        <sz val="15.0"/>
        <u/>
      </rPr>
      <t>Heladeria Solonaturale: La heladería que veneran los italianos del norte de Madrid</t>
    </r>
    <r>
      <rPr>
        <rFont val="Arial, sans-serif"/>
        <color rgb="FF1155CC"/>
        <sz val="11.0"/>
        <u/>
      </rPr>
      <t>Disfruta del más puro helado italiano en la Heladería Solonaturale ubicada en Alcobendas. Helados artesanos elaborados con productos frescos.</t>
    </r>
    <r>
      <rPr>
        <rFont val="Arial, sans-serif"/>
        <color rgb="FF1155CC"/>
        <sz val="12.0"/>
        <u/>
      </rPr>
      <t>.</t>
    </r>
    <r>
      <rPr>
        <rFont val="Arial, sans-serif"/>
        <color rgb="FF1155CC"/>
        <sz val="11.0"/>
        <u/>
      </rPr>
      <t>16 may 2024</t>
    </r>
  </si>
  <si>
    <t>Heladería Solonaturale: La heladería que veneran los italianos del norte de Madrid</t>
  </si>
  <si>
    <t>Disfruta del más puro helado italiano en la Heladería Solonaturale ubicada en Alcobendas. Helados artesanos elaborados con productos frescos.</t>
  </si>
  <si>
    <t>Solonaturale Ice Cream Shop: The ice cream shop revered by Italians in the north of Madrid</t>
  </si>
  <si>
    <t>Enjoy the purest Italian ice cream at the Solonaturale Ice Cream Shop located in Alcobendas. Artisan ice cream made with fresh products.</t>
  </si>
  <si>
    <r>
      <rPr>
        <rFont val="Arial, sans-serif"/>
        <color rgb="FF1155CC"/>
        <sz val="9.0"/>
        <u/>
      </rPr>
      <t>Castilla-La Mancha Media</t>
    </r>
    <r>
      <rPr>
        <rFont val="Arial, sans-serif"/>
        <color rgb="FF1155CC"/>
        <sz val="15.0"/>
        <u/>
      </rPr>
      <t>Kiosko Puente Romano, 60 años de historia y un Solete Repsol</t>
    </r>
    <r>
      <rPr>
        <rFont val="Arial, sans-serif"/>
        <color rgb="FF1155CC"/>
        <sz val="11.0"/>
        <u/>
      </rPr>
      <t>Con más de 60 años de historia, el Kiosko “Puente Romano” de Talavera es ya un icono para los vecinos de la ciudad. ¿Los auténticos protagonistas?</t>
    </r>
    <r>
      <rPr>
        <rFont val="Arial, sans-serif"/>
        <color rgb="FF1155CC"/>
        <sz val="12.0"/>
        <u/>
      </rPr>
      <t>.</t>
    </r>
    <r>
      <rPr>
        <rFont val="Arial, sans-serif"/>
        <color rgb="FF1155CC"/>
        <sz val="11.0"/>
        <u/>
      </rPr>
      <t>16 may 2024</t>
    </r>
  </si>
  <si>
    <t>Kiosko Puente Romano, 60 años de historia y un Solete Repsol</t>
  </si>
  <si>
    <t>Con más de 60 años de historia, el Kiosko “Puente Romano” de Talavera es ya un icono para los vecinos de la ciudad. ¿Los auténticos protagonistas?.</t>
  </si>
  <si>
    <t>Puente Romano Kiosk, 60 years of history and a Repsol Solete</t>
  </si>
  <si>
    <t>With more than 60 years of history, the Talavera “Roman Bridge” Kiosk is already an icon for the city's residents. The real protagonists?</t>
  </si>
  <si>
    <r>
      <rPr>
        <rFont val="Arial, sans-serif"/>
        <color rgb="FF1155CC"/>
        <sz val="9.0"/>
        <u/>
      </rPr>
      <t>Bon Viveur</t>
    </r>
    <r>
      <rPr>
        <rFont val="Arial, sans-serif"/>
        <color rgb="FF1155CC"/>
        <sz val="15.0"/>
        <u/>
      </rPr>
      <t>Los 7 mejores restaurantes de Castellón</t>
    </r>
    <r>
      <rPr>
        <rFont val="Arial, sans-serif"/>
        <color rgb="FF1155CC"/>
        <sz val="11.0"/>
        <u/>
      </rPr>
      <t>Conoce los restaurantes de Castellón que no puedes perderte este año. Desde restaurantes con estrellas Michelin y varios soles Repsol hasta aquellos que...</t>
    </r>
    <r>
      <rPr>
        <rFont val="Arial, sans-serif"/>
        <color rgb="FF1155CC"/>
        <sz val="12.0"/>
        <u/>
      </rPr>
      <t>.</t>
    </r>
    <r>
      <rPr>
        <rFont val="Arial, sans-serif"/>
        <color rgb="FF1155CC"/>
        <sz val="11.0"/>
        <u/>
      </rPr>
      <t>16 may 2024</t>
    </r>
  </si>
  <si>
    <t>Los 7 mejores restaurantes de Castellón</t>
  </si>
  <si>
    <t>Conoce los restaurantes de Castellón que no puedes perderte este año. Desde restaurantes con estrellas Michelin y varios soles Repsol hasta aquellos que....</t>
  </si>
  <si>
    <t>The 7 best restaurants in Castellón</t>
  </si>
  <si>
    <t>Get to know the restaurants in Castellón that you can't miss this year. From restaurants with Michelin stars and several Repsol suns to those that....</t>
  </si>
  <si>
    <r>
      <rPr>
        <rFont val="Arial, sans-serif"/>
        <color rgb="FF1155CC"/>
        <sz val="9.0"/>
        <u/>
      </rPr>
      <t>Infobae</t>
    </r>
    <r>
      <rPr>
        <rFont val="Arial, sans-serif"/>
        <color rgb="FF1155CC"/>
        <sz val="15.0"/>
        <u/>
      </rPr>
      <t>Cómo hacer café carajillo, el cóctel de moda que aparece en las cartas de los mejores estrellas Michelin</t>
    </r>
    <r>
      <rPr>
        <rFont val="Arial, sans-serif"/>
        <color rgb="FF1155CC"/>
        <sz val="11.0"/>
        <u/>
      </rPr>
      <t>El carajillo ha entrado ya en la sobremesa de restaurantes con Estrellas Michelin y Soles Guía Repsol, como Omeraki de Alberto Chicote, La Salita de Begoña...</t>
    </r>
    <r>
      <rPr>
        <rFont val="Arial, sans-serif"/>
        <color rgb="FF1155CC"/>
        <sz val="12.0"/>
        <u/>
      </rPr>
      <t>.</t>
    </r>
    <r>
      <rPr>
        <rFont val="Arial, sans-serif"/>
        <color rgb="FF1155CC"/>
        <sz val="11.0"/>
        <u/>
      </rPr>
      <t>16 may 2024</t>
    </r>
  </si>
  <si>
    <t>Cómo hacer café carajillo, el cóctel de moda que aparece en las cartas de los mejores estrellas Michelin</t>
  </si>
  <si>
    <t>El carajillo ha entrado ya en la sobremesa de restaurantes con Estrellas Michelin y Soles Guía Repsol, como Omeraki de Alberto Chicote, La Salita de Begoña....</t>
  </si>
  <si>
    <t>How to make carajillo coffee, the trendy cocktail that appears on the menus of the best Michelin stars</t>
  </si>
  <si>
    <t>Carajillo has already entered the after-dinner menu of restaurants with Michelin Stars and Repsol Guide Suns, such as Omeraki by Alberto Chicote, La Salita by Begoña...</t>
  </si>
  <si>
    <r>
      <rPr>
        <rFont val="Arial, sans-serif"/>
        <color rgb="FF1155CC"/>
        <sz val="9.0"/>
        <u/>
      </rPr>
      <t>Box Repsol</t>
    </r>
    <r>
      <rPr>
        <rFont val="Arial, sans-serif"/>
        <color rgb="FF1155CC"/>
        <sz val="15.0"/>
        <u/>
      </rPr>
      <t>Concentración de Faro 2024: fechas y ubicación</t>
    </r>
    <r>
      <rPr>
        <rFont val="Arial, sans-serif"/>
        <color rgb="FF1155CC"/>
        <sz val="11.0"/>
        <u/>
      </rPr>
      <t>Sumérgete en la emoción de la legendaria concentración de motos de Faro 2024. Descubre lo que hace que este evento sea único para todos los moteros.</t>
    </r>
    <r>
      <rPr>
        <rFont val="Arial, sans-serif"/>
        <color rgb="FF1155CC"/>
        <sz val="12.0"/>
        <u/>
      </rPr>
      <t>.</t>
    </r>
    <r>
      <rPr>
        <rFont val="Arial, sans-serif"/>
        <color rgb="FF1155CC"/>
        <sz val="11.0"/>
        <u/>
      </rPr>
      <t>16 may 2024</t>
    </r>
  </si>
  <si>
    <t>Concentración de Faro 2024: fechas y ubicación</t>
  </si>
  <si>
    <t>Sumérgete en la emoción de la legendaria concentración de motos de Faro 2024. Descubre lo que hace que este evento sea único para todos los moteros.</t>
  </si>
  <si>
    <t>Faro 2024 rally: dates and location</t>
  </si>
  <si>
    <t>Immerse yourself in the excitement of the legendary Faro 2024 motorcycle rally. Discover what makes this event unique for all bikers.</t>
  </si>
  <si>
    <r>
      <rPr>
        <rFont val="Arial, sans-serif"/>
        <color rgb="FF1155CC"/>
        <sz val="9.0"/>
        <u/>
      </rPr>
      <t>Relevo</t>
    </r>
    <r>
      <rPr>
        <rFont val="Arial, sans-serif"/>
        <color rgb="FF1155CC"/>
        <sz val="15.0"/>
        <u/>
      </rPr>
      <t>El hombre que ganó junto a Márquez seis títulos de MotoGP: «Veo a un Marc más maduro que cuando estaba con él</t>
    </r>
    <r>
      <rPr>
        <rFont val="Arial, sans-serif"/>
        <color rgb="FF1155CC"/>
        <sz val="11.0"/>
        <u/>
      </rPr>
      <t>Santi Hernández sigue trabajando en el alicaído Repsol Honda, ahora junto a otro campeón de la clase reina, Joan Mir.</t>
    </r>
    <r>
      <rPr>
        <rFont val="Arial, sans-serif"/>
        <color rgb="FF1155CC"/>
        <sz val="12.0"/>
        <u/>
      </rPr>
      <t>.</t>
    </r>
    <r>
      <rPr>
        <rFont val="Arial, sans-serif"/>
        <color rgb="FF1155CC"/>
        <sz val="11.0"/>
        <u/>
      </rPr>
      <t>16 may 2024</t>
    </r>
  </si>
  <si>
    <t>El hombre que ganó junto a Márquez seis títulos de MotoGP: «Veo a un Marc más maduro que cuando estaba con él»</t>
  </si>
  <si>
    <t>Veo a un Marc más maduro que cuando estaba con él.</t>
  </si>
  <si>
    <t>The man who won six MotoGP titles with Márquez: "I see a more mature Marc than when I was with him"</t>
  </si>
  <si>
    <t>I see a more mature Marc than when I was with him.</t>
  </si>
  <si>
    <r>
      <rPr>
        <rFont val="Arial, sans-serif"/>
        <color rgb="FF1155CC"/>
        <sz val="9.0"/>
        <u/>
      </rPr>
      <t>El Comercio Perú</t>
    </r>
    <r>
      <rPr>
        <rFont val="Arial, sans-serif"/>
        <color rgb="FF1155CC"/>
        <sz val="15.0"/>
        <u/>
      </rPr>
      <t>Ahorra en combustible con Repsol Más</t>
    </r>
    <r>
      <rPr>
        <rFont val="Arial, sans-serif"/>
        <color rgb="FF1155CC"/>
        <sz val="11.0"/>
        <u/>
      </rPr>
      <t>Repsol Más llega al Club El Comercio con una oferta exclusiva. Te presentamos las nuevas tarifas a las que puedes acceder en las más de 100 estaciones de...</t>
    </r>
    <r>
      <rPr>
        <rFont val="Arial, sans-serif"/>
        <color rgb="FF1155CC"/>
        <sz val="12.0"/>
        <u/>
      </rPr>
      <t>.</t>
    </r>
    <r>
      <rPr>
        <rFont val="Arial, sans-serif"/>
        <color rgb="FF1155CC"/>
        <sz val="11.0"/>
        <u/>
      </rPr>
      <t>16 may 2024</t>
    </r>
  </si>
  <si>
    <t>Ahorra en combustible con Repsol Más</t>
  </si>
  <si>
    <t>Ahorra en combustible con Repsol Más. Repsol Más llega al Club El Comercio con una oferta exclusiva. Te presentamos las nuevas tarifas a las que puedes acceder en las más de 100 estaciones de....</t>
  </si>
  <si>
    <t>Save on fuel with Repsol More</t>
  </si>
  <si>
    <t>Save on fuel with Repsol Más. Repsol Más arrives at Club El Comercio with an exclusive offer. We present the new rates that you can access in the more than 100 stations of....</t>
  </si>
  <si>
    <t>Repsol fuel discount, marketing campaign</t>
  </si>
  <si>
    <t>Descuento en combustible Repsol, campaña de marketing</t>
  </si>
  <si>
    <t>Offering fuel discounts enhances Repsol’s customer engagement.</t>
  </si>
  <si>
    <t>ahorra combustible</t>
  </si>
  <si>
    <t>Positive customer offer</t>
  </si>
  <si>
    <t>Oferta positiva para el cliente.</t>
  </si>
  <si>
    <r>
      <rPr>
        <rFont val="Arial, sans-serif"/>
        <color rgb="FF1155CC"/>
        <sz val="9.0"/>
        <u/>
      </rPr>
      <t>IDL | Instituto de defensa Legal</t>
    </r>
    <r>
      <rPr>
        <rFont val="Arial, sans-serif"/>
        <color rgb="FF1155CC"/>
        <sz val="15.0"/>
        <u/>
      </rPr>
      <t>Por cuarta vez suspenden audiencia por demanda que busca que Sunat no beneficie a Repsol por pagos de resarcimiento por derrame de petróleo en Ventanilla</t>
    </r>
    <r>
      <rPr>
        <rFont val="Arial, sans-serif"/>
        <color rgb="FF1155CC"/>
        <sz val="11.0"/>
        <u/>
      </rPr>
      <t>Este jueves, 16 de mayo de 2024, en el Noveno Juzgado Constitucional de la Corte Superior de Justicia de Lima, estaba programada la audiencia por la demanda...</t>
    </r>
    <r>
      <rPr>
        <rFont val="Arial, sans-serif"/>
        <color rgb="FF1155CC"/>
        <sz val="12.0"/>
        <u/>
      </rPr>
      <t>.</t>
    </r>
    <r>
      <rPr>
        <rFont val="Arial, sans-serif"/>
        <color rgb="FF1155CC"/>
        <sz val="11.0"/>
        <u/>
      </rPr>
      <t>16 may 2024</t>
    </r>
  </si>
  <si>
    <t>IDL | Instituto de defensa Legal</t>
  </si>
  <si>
    <t>Por cuarta vez suspenden audiencia por demanda que busca que Sunat no beneficie a Repsol por pagos de resarcimiento por derrame de petróleo en Ventanilla</t>
  </si>
  <si>
    <t>Por cuarta vez suspenden audiencia por demanda que busca que Sunat no beneficie a Repsol por pagos de resarcimiento por derrame de petróleo en Ventanilla.</t>
  </si>
  <si>
    <t>For the fourth time they suspend a hearing for a lawsuit that seeks that Sunat not benefit Repsol for compensation payments for the oil spill in Ventanilla</t>
  </si>
  <si>
    <t>For the fourth time they suspend a hearing for a lawsuit that seeks that Sunat not benefit Repsol for compensation payments for the oil spill in Ventanilla.</t>
  </si>
  <si>
    <t>Delays in environmental litigation may extend negative sentiment toward Repsol.</t>
  </si>
  <si>
    <t>Extreme negative legal impact</t>
  </si>
  <si>
    <t>Impacto legal negativo extremo</t>
  </si>
  <si>
    <r>
      <rPr>
        <rFont val="Arial, sans-serif"/>
        <color rgb="FF1155CC"/>
        <sz val="9.0"/>
        <u/>
      </rPr>
      <t>Banca y Negocios</t>
    </r>
    <r>
      <rPr>
        <rFont val="Arial, sans-serif"/>
        <color rgb="FF1155CC"/>
        <sz val="15.0"/>
        <u/>
      </rPr>
      <t>Petroleras extranjeras de Venezuela podrán obtener licencias de EEUU a pesar de las sanciones</t>
    </r>
    <r>
      <rPr>
        <rFont val="Arial, sans-serif"/>
        <color rgb="FF1155CC"/>
        <sz val="11.0"/>
        <u/>
      </rPr>
      <t>De acuerdo con Reuters, la medida parece destinada a ampliar las operaciones, recuperar la deuda pendiente y añadir petróleo a los mercados mundiales,...</t>
    </r>
    <r>
      <rPr>
        <rFont val="Arial, sans-serif"/>
        <color rgb="FF1155CC"/>
        <sz val="12.0"/>
        <u/>
      </rPr>
      <t>.</t>
    </r>
    <r>
      <rPr>
        <rFont val="Arial, sans-serif"/>
        <color rgb="FF1155CC"/>
        <sz val="11.0"/>
        <u/>
      </rPr>
      <t>16 may 2024</t>
    </r>
  </si>
  <si>
    <t>Petroleras extranjeras de Venezuela podrán obtener licencias de EEUU a pesar de las sanciones</t>
  </si>
  <si>
    <t>De acuerdo con Reuters, la medida parece destinada a ampliar las operaciones, recuperar la deuda pendiente y añadir petróleo a los mercados mundiales,....</t>
  </si>
  <si>
    <t>Foreign oil companies from Venezuela will be able to obtain licenses from the US despite sanctions</t>
  </si>
  <si>
    <t>According to Reuters, the measure appears aimed at expanding operations, recovering outstanding debt and adding oil to world markets....</t>
  </si>
  <si>
    <t>Repsol Venezuela, energy sector</t>
  </si>
  <si>
    <t>Repsol Venezuela, sector energético</t>
  </si>
  <si>
    <t>Regulatory challenges in Venezuela may impact Repsol’s energy operations.</t>
  </si>
  <si>
    <r>
      <rPr>
        <rFont val="Arial, sans-serif"/>
        <color rgb="FF1155CC"/>
        <sz val="9.0"/>
        <u/>
      </rPr>
      <t>Ayuntamiento de Puertollano</t>
    </r>
    <r>
      <rPr>
        <rFont val="Arial, sans-serif"/>
        <color rgb="FF1155CC"/>
        <sz val="15.0"/>
        <u/>
      </rPr>
      <t>Repsol inicia en Puertollano la recogida de aceite de cocina usado en estaciones de servicio de la región</t>
    </r>
    <r>
      <rPr>
        <rFont val="Arial, sans-serif"/>
        <color rgb="FF1155CC"/>
        <sz val="11.0"/>
        <u/>
      </rPr>
      <t>Repsol iniciado en la estación de servicio de «El Castillete» de Puertollano la recogida de aceite de cocina usado junto con otros 114 puntos en Castilla-La...</t>
    </r>
    <r>
      <rPr>
        <rFont val="Arial, sans-serif"/>
        <color rgb="FF1155CC"/>
        <sz val="12.0"/>
        <u/>
      </rPr>
      <t>.</t>
    </r>
    <r>
      <rPr>
        <rFont val="Arial, sans-serif"/>
        <color rgb="FF1155CC"/>
        <sz val="11.0"/>
        <u/>
      </rPr>
      <t>17 may 2024</t>
    </r>
  </si>
  <si>
    <t>Repsol inicia en Puertollano la recogida de aceite de cocina usado en estaciones de servicio de la región</t>
  </si>
  <si>
    <t>Repsol iniciado en la estación de servicio de «El Castillete» de Puertollano la recogida de aceite de cocina usado junto con otros 114 puntos en Castilla-La....</t>
  </si>
  <si>
    <t>Repsol begins the collection of used cooking oil in service stations in the region in Puertollano</t>
  </si>
  <si>
    <t>Repsol started the collection of used cooking oil at the “El Castillete” service station in Puertollano along with 114 other points in Castilla-La....</t>
  </si>
  <si>
    <t>Repsol biofuels, sustainability initiative</t>
  </si>
  <si>
    <t>Biocombustibles Repsol, iniciativa de sostenibilidad</t>
  </si>
  <si>
    <t>Expanding biofuel production strengthens Repsol’s clean energy commitments.</t>
  </si>
  <si>
    <t>recogida aceite</t>
  </si>
  <si>
    <t>Positive sustainability initiative</t>
  </si>
  <si>
    <t>Iniciativa de sostenibilidad positiva</t>
  </si>
  <si>
    <r>
      <rPr>
        <rFont val="Arial, sans-serif"/>
        <color rgb="FF1155CC"/>
        <sz val="9.0"/>
        <u/>
      </rPr>
      <t>Climática</t>
    </r>
    <r>
      <rPr>
        <rFont val="Arial, sans-serif"/>
        <color rgb="FF1155CC"/>
        <sz val="15.0"/>
        <u/>
      </rPr>
      <t>Iberdrola-Repsol: batalla de desgaste en los despachos para liderar la transición energética</t>
    </r>
    <r>
      <rPr>
        <rFont val="Arial, sans-serif"/>
        <color rgb="FF1155CC"/>
        <sz val="11.0"/>
        <u/>
      </rPr>
      <t>Las dos grandes energéticas de España continúan con su particular batalla. En lo que va de año, Iberdrola ha denunciado a Repsol en dos ocasiones,...</t>
    </r>
    <r>
      <rPr>
        <rFont val="Arial, sans-serif"/>
        <color rgb="FF1155CC"/>
        <sz val="12.0"/>
        <u/>
      </rPr>
      <t>.</t>
    </r>
    <r>
      <rPr>
        <rFont val="Arial, sans-serif"/>
        <color rgb="FF1155CC"/>
        <sz val="11.0"/>
        <u/>
      </rPr>
      <t>17 may 2024</t>
    </r>
  </si>
  <si>
    <t>Iberdrola-Repsol: batalla de desgaste en los despachos para liderar la transición energética</t>
  </si>
  <si>
    <t>Las dos grandes energéticas de España continúan con su particular batalla. En lo que va de año, Iberdrola ha denunciado a Repsol en dos ocasiones,....</t>
  </si>
  <si>
    <t>Iberdrola-Repsol: battle of attrition in the offices to lead the energy transition</t>
  </si>
  <si>
    <t>The two major energy companies in Spain continue with their particular battle. So far this year, Iberdrola has denounced Repsol on two occasions,....</t>
  </si>
  <si>
    <t>Repsol energy market, business competition</t>
  </si>
  <si>
    <t>Mercado energético de Repsol, competencia empresarial</t>
  </si>
  <si>
    <t>Competing for energy market share reinforces Repsol’s positioning.</t>
  </si>
  <si>
    <t>batalla competencia</t>
  </si>
  <si>
    <t>Negative competitive tension</t>
  </si>
  <si>
    <t>Tensión competitiva negativa</t>
  </si>
  <si>
    <r>
      <rPr>
        <rFont val="Arial, sans-serif"/>
        <color rgb="FF1155CC"/>
        <sz val="9.0"/>
        <u/>
      </rPr>
      <t>Gobierno de Castilla-La Mancha</t>
    </r>
    <r>
      <rPr>
        <rFont val="Arial, sans-serif"/>
        <color rgb="FF1155CC"/>
        <sz val="15.0"/>
        <u/>
      </rPr>
      <t>El Gobierno regional y Repsol llevan a la práctica su alianza con la inauguración del primer punto de recogida de aceite doméstico en Puertollano</t>
    </r>
    <r>
      <rPr>
        <rFont val="Arial, sans-serif"/>
        <color rgb="FF1155CC"/>
        <sz val="11.0"/>
        <u/>
      </rPr>
      <t>Cabe recordar que este acuerdo con Repsol está incluido en la Estrategia Regional de Economía Circular a través de su Eje de gestión de Residuos,...</t>
    </r>
    <r>
      <rPr>
        <rFont val="Arial, sans-serif"/>
        <color rgb="FF1155CC"/>
        <sz val="12.0"/>
        <u/>
      </rPr>
      <t>.</t>
    </r>
    <r>
      <rPr>
        <rFont val="Arial, sans-serif"/>
        <color rgb="FF1155CC"/>
        <sz val="11.0"/>
        <u/>
      </rPr>
      <t>17 may 2024</t>
    </r>
  </si>
  <si>
    <t>El Gobierno regional y Repsol llevan a la práctica su alianza con la inauguración del primer punto de recogida de aceite doméstico en Puertollano</t>
  </si>
  <si>
    <t>El Gobierno regional y Repsol llevan a la práctica su alianza con la inauguración del primer punto de recogida de aceite doméstico en Puertollano.</t>
  </si>
  <si>
    <t>The regional government and Repsol put their alliance into practice with the inauguration of the first domestic oil collection point in Puertollano</t>
  </si>
  <si>
    <t>The regional government and Repsol put their alliance into practice with the inauguration of the first domestic oil collection point in Puertollano.</t>
  </si>
  <si>
    <t>Repsol public partnerships, energy strategy</t>
  </si>
  <si>
    <t>Asociaciones públicas de Repsol, estrategia energética</t>
  </si>
  <si>
    <t>Strengthening governmental collaboration supports Repsol’s market positioning.</t>
  </si>
  <si>
    <t>Positive sustainability partnership</t>
  </si>
  <si>
    <t>Asociación positiva para la sostenibilidad</t>
  </si>
  <si>
    <r>
      <rPr>
        <rFont val="Arial, sans-serif"/>
        <color rgb="FF1155CC"/>
        <sz val="9.0"/>
        <u/>
      </rPr>
      <t>Forbes España</t>
    </r>
    <r>
      <rPr>
        <rFont val="Arial, sans-serif"/>
        <color rgb="FF1155CC"/>
        <sz val="15.0"/>
        <u/>
      </rPr>
      <t>Empleados de Repsol adquieren 106.083 acciones de la compañía como parte del plan de incentivos</t>
    </r>
    <r>
      <rPr>
        <rFont val="Arial, sans-serif"/>
        <color rgb="FF1155CC"/>
        <sz val="11.0"/>
        <u/>
      </rPr>
      <t>Un total de 500 empleados de Repsol han adquirido 106.083 acciones, representativas de un 0087% del capital social actual, como parte del decimocuarto.</t>
    </r>
    <r>
      <rPr>
        <rFont val="Arial, sans-serif"/>
        <color rgb="FF1155CC"/>
        <sz val="12.0"/>
        <u/>
      </rPr>
      <t>.</t>
    </r>
    <r>
      <rPr>
        <rFont val="Arial, sans-serif"/>
        <color rgb="FF1155CC"/>
        <sz val="11.0"/>
        <u/>
      </rPr>
      <t>17 may 2024</t>
    </r>
  </si>
  <si>
    <t>Empleados de Repsol adquieren 106.083 acciones de la compañía como parte del plan de incentivos</t>
  </si>
  <si>
    <t>Un total de 500 empleados de Repsol han adquirido 106.083 acciones, representativas de un 0087% del capital social actual, como parte del decimocuarto.</t>
  </si>
  <si>
    <t>Repsol employees acquire 106,083 company shares as part of the incentive plan</t>
  </si>
  <si>
    <t>A total of 500 Repsol employees have acquired 106,083 shares, representing 0.087% of the current share capital, as part of the fourteenth.</t>
  </si>
  <si>
    <t>Repsol employee stock program, corporate strategy</t>
  </si>
  <si>
    <t>Programa de acciones para empleados de Repsol, estrategia corporativa</t>
  </si>
  <si>
    <t>Employee stock acquisition strengthens internal trust in Repsol.</t>
  </si>
  <si>
    <t>empleados acciones</t>
  </si>
  <si>
    <t>Positive employee program</t>
  </si>
  <si>
    <t>Programa positivo para empleados</t>
  </si>
  <si>
    <r>
      <rPr>
        <rFont val="Arial, sans-serif"/>
        <color rgb="FF1155CC"/>
        <sz val="9.0"/>
        <u/>
      </rPr>
      <t>Repsol</t>
    </r>
    <r>
      <rPr>
        <rFont val="Arial, sans-serif"/>
        <color rgb="FF1155CC"/>
        <sz val="15.0"/>
        <u/>
      </rPr>
      <t>Transición energética: Una oportunidad y un reto para el empleo industrial</t>
    </r>
    <r>
      <rPr>
        <rFont val="Arial, sans-serif"/>
        <color rgb="FF1155CC"/>
        <sz val="11.0"/>
        <u/>
      </rPr>
      <t>La industria está transformando sus instalaciones para avanzar en la reducción de emisiones, unas inversiones que permitirán preservar el empleo y reactivar...</t>
    </r>
    <r>
      <rPr>
        <rFont val="Arial, sans-serif"/>
        <color rgb="FF1155CC"/>
        <sz val="12.0"/>
        <u/>
      </rPr>
      <t>.</t>
    </r>
    <r>
      <rPr>
        <rFont val="Arial, sans-serif"/>
        <color rgb="FF1155CC"/>
        <sz val="11.0"/>
        <u/>
      </rPr>
      <t>17 may 2024</t>
    </r>
  </si>
  <si>
    <t>Transición energética: Una oportunidad y un reto para el empleo industrial</t>
  </si>
  <si>
    <t>La industria está transformando sus instalaciones para avanzar en la reducción de emisiones, unas inversiones que permitirán preservar el empleo y reactivar....</t>
  </si>
  <si>
    <t>Energy transition: An opportunity and a challenge for industrial employment</t>
  </si>
  <si>
    <t>The industry is transforming its facilities to advance in reducing emissions, investments that will preserve employment and reactivate...</t>
  </si>
  <si>
    <t>Supporting the energy transition aligns with Repsol’s long-term sustainability strategy.</t>
  </si>
  <si>
    <r>
      <rPr>
        <rFont val="Arial, sans-serif"/>
        <color rgb="FF1155CC"/>
        <sz val="9.0"/>
        <u/>
      </rPr>
      <t>MiCiudadReal.es</t>
    </r>
    <r>
      <rPr>
        <rFont val="Arial, sans-serif"/>
        <color rgb="FF1155CC"/>
        <sz val="15.0"/>
        <u/>
      </rPr>
      <t>Repsol inicia en la gasolinera «El Castillete» de Puertollano su servicio regional de recogida de aceites de cocina usados para producir combustibles renovables</t>
    </r>
    <r>
      <rPr>
        <rFont val="Arial, sans-serif"/>
        <color rgb="FF1155CC"/>
        <sz val="11.0"/>
        <u/>
      </rPr>
      <t>La gasolinera «El Castillete» de Repsol Puertollano, situada en la rotonda del castillete de Santa María en la Avenida de Ciudad Real, ha iniciado este...</t>
    </r>
    <r>
      <rPr>
        <rFont val="Arial, sans-serif"/>
        <color rgb="FF1155CC"/>
        <sz val="12.0"/>
        <u/>
      </rPr>
      <t>.</t>
    </r>
    <r>
      <rPr>
        <rFont val="Arial, sans-serif"/>
        <color rgb="FF1155CC"/>
        <sz val="11.0"/>
        <u/>
      </rPr>
      <t>17 may 2024</t>
    </r>
  </si>
  <si>
    <t>Repsol inicia en la gasolinera «El Castillete» de Puertollano su servicio regional de recogida de aceites de cocina usados para producir combustibles renovables</t>
  </si>
  <si>
    <t>La gasolinera «El Castillete» de Repsol Puertollano, situada en la rotonda del castillete de Santa María en la Avenida de Ciudad Real, ha iniciado este....</t>
  </si>
  <si>
    <t>Repsol begins its regional collection service for used cooking oils to produce renewable fuels at the “El Castillete” gas station in Puertollano</t>
  </si>
  <si>
    <t>The Repsol Puertollano “El Castillete” gas station, located at the roundabout of the Santa María castle on Avenida de Ciudad Real, has started this....</t>
  </si>
  <si>
    <t>Expanding biofuel collection programs reinforces Repsol’s commitment to sustainability.</t>
  </si>
  <si>
    <r>
      <rPr>
        <rFont val="Arial, sans-serif"/>
        <color rgb="FF1155CC"/>
        <sz val="9.0"/>
        <u/>
      </rPr>
      <t>Lanza Digital</t>
    </r>
    <r>
      <rPr>
        <rFont val="Arial, sans-serif"/>
        <color rgb="FF1155CC"/>
        <sz val="15.0"/>
        <u/>
      </rPr>
      <t>Repsol abre su primer punto de reciclaje de aceite doméstico usado en la gasolinera del Castillete</t>
    </r>
    <r>
      <rPr>
        <rFont val="Arial, sans-serif"/>
        <color rgb="FF1155CC"/>
        <sz val="11.0"/>
        <u/>
      </rPr>
      <t>Reciclar el aceite doméstico usado ya es posible y además se utilizará para la fabricación de combustibles renovables, es la iniciativa que ha puesto en...</t>
    </r>
    <r>
      <rPr>
        <rFont val="Arial, sans-serif"/>
        <color rgb="FF1155CC"/>
        <sz val="12.0"/>
        <u/>
      </rPr>
      <t>.</t>
    </r>
    <r>
      <rPr>
        <rFont val="Arial, sans-serif"/>
        <color rgb="FF1155CC"/>
        <sz val="11.0"/>
        <u/>
      </rPr>
      <t>17 may 2024</t>
    </r>
  </si>
  <si>
    <t>Repsol abre su primer punto de reciclaje de aceite doméstico usado en la gasolinera del Castillete</t>
  </si>
  <si>
    <t>Reciclar el aceite doméstico usado ya es posible y además se utilizará para la fabricación de combustibles renovables, es la iniciativa que ha puesto en....</t>
  </si>
  <si>
    <t>Repsol opens its first recycling point for used domestic oil at the Castillete gas station</t>
  </si>
  <si>
    <t>Recycling used domestic oil is now possible and it will also be used for the manufacture of renewable fuels, it is the initiative that has been put in place....</t>
  </si>
  <si>
    <t>Promoting recycling programs enhances Repsol’s environmental reputation.</t>
  </si>
  <si>
    <t>reciclaje aceite</t>
  </si>
  <si>
    <r>
      <rPr>
        <rFont val="Arial, sans-serif"/>
        <color rgb="FF1155CC"/>
        <sz val="9.0"/>
        <u/>
      </rPr>
      <t>Expansión</t>
    </r>
    <r>
      <rPr>
        <rFont val="Arial, sans-serif"/>
        <color rgb="FF1155CC"/>
        <sz val="15.0"/>
        <u/>
      </rPr>
      <t>BBVA y Sabadell, Cirsa, Repsol y Enrico Letta: las mejores imágenes de la semana</t>
    </r>
    <r>
      <rPr>
        <rFont val="Arial, sans-serif"/>
        <color rgb="FF1155CC"/>
        <sz val="11.0"/>
        <u/>
      </rPr>
      <t>Estoy siempre persiguiendo la luz. La luz convierte en mágico lo ordinario (Trent Parke) La luz es un agente físico que hace visibles los objetos.</t>
    </r>
    <r>
      <rPr>
        <rFont val="Arial, sans-serif"/>
        <color rgb="FF1155CC"/>
        <sz val="12.0"/>
        <u/>
      </rPr>
      <t>.</t>
    </r>
    <r>
      <rPr>
        <rFont val="Arial, sans-serif"/>
        <color rgb="FF1155CC"/>
        <sz val="11.0"/>
        <u/>
      </rPr>
      <t>17 may 2024</t>
    </r>
  </si>
  <si>
    <t>BBVA y Sabadell, Cirsa, Repsol y Enrico Letta: las mejores imágenes de la semana</t>
  </si>
  <si>
    <t>Estoy siempre persiguiendo la luz. La luz convierte en mágico lo ordinario (Trent Parke) La luz es un agente físico que hace visibles los objetos.</t>
  </si>
  <si>
    <t>BBVA and Sabadell, Cirsa, Repsol and Enrico Letta: the best images of the week</t>
  </si>
  <si>
    <t>I am always chasing the light. Light makes the ordinary magical (Trent Parke) Light is a physical agent that makes objects visible.</t>
  </si>
  <si>
    <r>
      <rPr>
        <rFont val="Arial, sans-serif"/>
        <color rgb="FF1155CC"/>
        <sz val="9.0"/>
        <u/>
      </rPr>
      <t>Repsol</t>
    </r>
    <r>
      <rPr>
        <rFont val="Arial, sans-serif"/>
        <color rgb="FF1155CC"/>
        <sz val="15.0"/>
        <u/>
      </rPr>
      <t>A la búsqueda de nuevos perfiles profesionales</t>
    </r>
    <r>
      <rPr>
        <rFont val="Arial, sans-serif"/>
        <color rgb="FF1155CC"/>
        <sz val="11.0"/>
        <u/>
      </rPr>
      <t>La economía circular, la digitalización, la microelectrónica… La transformación de la industria puede ser una fuente de oportunidades para nuevos...</t>
    </r>
    <r>
      <rPr>
        <rFont val="Arial, sans-serif"/>
        <color rgb="FF1155CC"/>
        <sz val="12.0"/>
        <u/>
      </rPr>
      <t>.</t>
    </r>
    <r>
      <rPr>
        <rFont val="Arial, sans-serif"/>
        <color rgb="FF1155CC"/>
        <sz val="11.0"/>
        <u/>
      </rPr>
      <t>17 may 2024</t>
    </r>
  </si>
  <si>
    <t>A la búsqueda de nuevos perfiles profesionales</t>
  </si>
  <si>
    <t>La economía circular, la digitalización, la microelectrónica… La transformación de la industria puede ser una fuente de oportunidades para nuevos....</t>
  </si>
  <si>
    <t>In search of new professional profiles</t>
  </si>
  <si>
    <t>The circular economy, digitalization, microelectronics... The transformation of the industry can be a source of opportunities for new...</t>
  </si>
  <si>
    <r>
      <rPr>
        <rFont val="Arial, sans-serif"/>
        <color rgb="FF1155CC"/>
        <sz val="9.0"/>
        <u/>
      </rPr>
      <t>Actualidad Ambiental</t>
    </r>
    <r>
      <rPr>
        <rFont val="Arial, sans-serif"/>
        <color rgb="FF1155CC"/>
        <sz val="15.0"/>
        <u/>
      </rPr>
      <t>Derrame Repsol: organizaciones cuestionan a la petrolera durante la junta de accionistas de la empresa</t>
    </r>
    <r>
      <rPr>
        <rFont val="Arial, sans-serif"/>
        <color rgb="FF1155CC"/>
        <sz val="11.0"/>
        <u/>
      </rPr>
      <t>Situs toto terbaik dan terpercaya adalah WILTOTO yang menyajikan bandar togel terpercaya dan terbesar serta situs togel dan toto slot 4d gacor dengan banyak...</t>
    </r>
    <r>
      <rPr>
        <rFont val="Arial, sans-serif"/>
        <color rgb="FF1155CC"/>
        <sz val="12.0"/>
        <u/>
      </rPr>
      <t>.</t>
    </r>
    <r>
      <rPr>
        <rFont val="Arial, sans-serif"/>
        <color rgb="FF1155CC"/>
        <sz val="11.0"/>
        <u/>
      </rPr>
      <t>17 may 2024</t>
    </r>
  </si>
  <si>
    <t>Derrame Repsol: organizaciones cuestionan a la petrolera durante la junta de accionistas de la empresa</t>
  </si>
  <si>
    <t>organizaciones cuestionan a la petrolera durante la junta de accionistas de la empresa</t>
  </si>
  <si>
    <t>Repsol spill: organizations question the oil company during the company's shareholders meeting</t>
  </si>
  <si>
    <t>organizations question the oil company during the company's shareholders meeting</t>
  </si>
  <si>
    <t>Ongoing environmental scrutiny may harm Repsol’s public image.</t>
  </si>
  <si>
    <t>derrame, cuestionan</t>
  </si>
  <si>
    <t>Negative shareholder activism</t>
  </si>
  <si>
    <t>Activismo negativo de los accionistas</t>
  </si>
  <si>
    <r>
      <rPr>
        <rFont val="Arial, sans-serif"/>
        <color rgb="FF1155CC"/>
        <sz val="9.0"/>
        <u/>
      </rPr>
      <t>Izquierda diario.es</t>
    </r>
    <r>
      <rPr>
        <rFont val="Arial, sans-serif"/>
        <color rgb="FF1155CC"/>
        <sz val="15.0"/>
        <u/>
      </rPr>
      <t>Fuera Milei, fuera Vox y fuera Repsol, Telefónica, Santander... de Argentina y América Latina</t>
    </r>
    <r>
      <rPr>
        <rFont val="Arial, sans-serif"/>
        <color rgb="FF1155CC"/>
        <sz val="11.0"/>
        <u/>
      </rPr>
      <t>Fuera Milei, fuera Vox y fuera Repsol, Telefónica, Santander... de Argentina y América Latina. Las principales multinacionales españolas reciben a Milei en...</t>
    </r>
    <r>
      <rPr>
        <rFont val="Arial, sans-serif"/>
        <color rgb="FF1155CC"/>
        <sz val="12.0"/>
        <u/>
      </rPr>
      <t>.</t>
    </r>
    <r>
      <rPr>
        <rFont val="Arial, sans-serif"/>
        <color rgb="FF1155CC"/>
        <sz val="11.0"/>
        <u/>
      </rPr>
      <t>18 may 2024</t>
    </r>
  </si>
  <si>
    <t>Izquierda diario</t>
  </si>
  <si>
    <t>Fuera Milei, fuera Vox y fuera Repsol, Telefónica, Santander... de Argentina y América Latina</t>
  </si>
  <si>
    <t>Fuera Milei, fuera Vox y fuera Repsol, Telefónica, Santander... de Argentina y América Latina. Las principales multinacionales españolas reciben a Milei en....</t>
  </si>
  <si>
    <t>Out with Milei, out with Vox and out with Repsol, Telefónica, Santander... from Argentina and Latin America</t>
  </si>
  <si>
    <t>Out with Milei, out with Vox and out with Repsol, Telefónica, Santander... from Argentina and Latin America. The main Spanish multinationals receive Milei in....</t>
  </si>
  <si>
    <t>Repsol political controversy, public perception</t>
  </si>
  <si>
    <t>Polémica política de Repsol, percepción pública</t>
  </si>
  <si>
    <t>Political associations may influence Repsol’s public perception.</t>
  </si>
  <si>
    <t>protesta política</t>
  </si>
  <si>
    <t>Negative political association</t>
  </si>
  <si>
    <t>Asociación política negativa</t>
  </si>
  <si>
    <r>
      <rPr>
        <rFont val="Arial, sans-serif"/>
        <color rgb="FF1155CC"/>
        <sz val="9.0"/>
        <u/>
      </rPr>
      <t>EL PAÍS</t>
    </r>
    <r>
      <rPr>
        <rFont val="Arial, sans-serif"/>
        <color rgb="FF1155CC"/>
        <sz val="15.0"/>
        <u/>
      </rPr>
      <t>CAE: las siglas que esconden una desconocida fuente de ingresos para los vecinos</t>
    </r>
    <r>
      <rPr>
        <rFont val="Arial, sans-serif"/>
        <color rgb="FF1155CC"/>
        <sz val="11.0"/>
        <u/>
      </rPr>
      <t>El Gobierno ha aprobado un sistema que posibilita que las comunidades puedan vender sus ahorros energéticos a empresas tras llevar a cabo una obra de...</t>
    </r>
    <r>
      <rPr>
        <rFont val="Arial, sans-serif"/>
        <color rgb="FF1155CC"/>
        <sz val="12.0"/>
        <u/>
      </rPr>
      <t>.</t>
    </r>
    <r>
      <rPr>
        <rFont val="Arial, sans-serif"/>
        <color rgb="FF1155CC"/>
        <sz val="11.0"/>
        <u/>
      </rPr>
      <t>18 may 2024</t>
    </r>
  </si>
  <si>
    <t>CAE: las siglas que esconden una desconocida fuente de ingresos para los vecinos</t>
  </si>
  <si>
    <t>El Gobierno ha aprobado un sistema que posibilita que las comunidades puedan vender sus ahorros energéticos a empresas tras llevar a cabo una obra de....</t>
  </si>
  <si>
    <t>CAE: the acronym that hides an unknown source of income for residents</t>
  </si>
  <si>
    <t>The Government has approved a system that allows communities to sell their energy savings to companies after carrying out renovation work....</t>
  </si>
  <si>
    <r>
      <rPr>
        <rFont val="Arial, sans-serif"/>
        <color rgb="FF1155CC"/>
        <sz val="9.0"/>
        <u/>
      </rPr>
      <t>Oxfam</t>
    </r>
    <r>
      <rPr>
        <rFont val="Arial, sans-serif"/>
        <color rgb="FF1155CC"/>
        <sz val="15.0"/>
        <u/>
      </rPr>
      <t>Las 5 respuestas pendientes de Repsol a más de dos años del derrame en mar peruano</t>
    </r>
    <r>
      <rPr>
        <rFont val="Arial, sans-serif"/>
        <color rgb="FF1155CC"/>
        <sz val="11.0"/>
        <u/>
      </rPr>
      <t>Oxfam participó en la Junta de Accionistas de Repsol, en Madrid, para exigir a la empresa que responda por los daños al ambiente y a la población.</t>
    </r>
    <r>
      <rPr>
        <rFont val="Arial, sans-serif"/>
        <color rgb="FF1155CC"/>
        <sz val="12.0"/>
        <u/>
      </rPr>
      <t>.</t>
    </r>
    <r>
      <rPr>
        <rFont val="Arial, sans-serif"/>
        <color rgb="FF1155CC"/>
        <sz val="11.0"/>
        <u/>
      </rPr>
      <t>18 may 2024</t>
    </r>
  </si>
  <si>
    <t>Las 5 respuestas pendientes de Repsol a más de dos años del derrame en mar peruano</t>
  </si>
  <si>
    <t>Oxfam participó en la Junta de Accionistas de Repsol, en Madrid, para exigir a la empresa que responda por los daños al ambiente y a la población.</t>
  </si>
  <si>
    <t>The 5 pending responses from Repsol more than two years after the spill in the Peruvian sea</t>
  </si>
  <si>
    <t>Oxfam participated in the Repsol Shareholders' Meeting in Madrid to demand that the company respond for damage to the environment and the population.</t>
  </si>
  <si>
    <t>Delays in addressing oil spill accountability may impact Repsol’s reputation.</t>
  </si>
  <si>
    <t>derrame mar</t>
  </si>
  <si>
    <r>
      <rPr>
        <rFont val="Arial, sans-serif"/>
        <color rgb="FF1155CC"/>
        <sz val="9.0"/>
        <u/>
      </rPr>
      <t>El Nacional.cat</t>
    </r>
    <r>
      <rPr>
        <rFont val="Arial, sans-serif"/>
        <color rgb="FF1155CC"/>
        <sz val="15.0"/>
        <u/>
      </rPr>
      <t>La Caixa resurge como el gran grupo industrial con 500 millones en caja y margen para endeudarse</t>
    </r>
    <r>
      <rPr>
        <rFont val="Arial, sans-serif"/>
        <color rgb="FF1155CC"/>
        <sz val="11.0"/>
        <u/>
      </rPr>
      <t>Criteria se hace fuerte en Telefónica y Colonial y ultima la opa sobre Naturgy.</t>
    </r>
    <r>
      <rPr>
        <rFont val="Arial, sans-serif"/>
        <color rgb="FF1155CC"/>
        <sz val="12.0"/>
        <u/>
      </rPr>
      <t>.</t>
    </r>
    <r>
      <rPr>
        <rFont val="Arial, sans-serif"/>
        <color rgb="FF1155CC"/>
        <sz val="11.0"/>
        <u/>
      </rPr>
      <t>18 may 2024</t>
    </r>
  </si>
  <si>
    <t>La Caixa resurge como el gran grupo industrial con 500 millones en caja y margen para endeudarse</t>
  </si>
  <si>
    <t>La Caixa resurge como el gran grupo industrial con 500 millones en caja y margen para endeudarse.</t>
  </si>
  <si>
    <t>La Caixa reemerges as the large industrial group with 500 million in cash and room to borrow</t>
  </si>
  <si>
    <t>La Caixa reemerges as the large industrial group with 500 million in cash and room to borrow.</t>
  </si>
  <si>
    <r>
      <rPr>
        <rFont val="Arial, sans-serif"/>
        <color rgb="FF1155CC"/>
        <sz val="9.0"/>
        <u/>
      </rPr>
      <t>El Debate</t>
    </r>
    <r>
      <rPr>
        <rFont val="Arial, sans-serif"/>
        <color rgb="FF1155CC"/>
        <sz val="15.0"/>
        <u/>
      </rPr>
      <t>Grandes empresarios españoles arropan a Milei en Madrid pese al cerco de Pedro Sánchez</t>
    </r>
    <r>
      <rPr>
        <rFont val="Arial, sans-serif"/>
        <color rgb="FF1155CC"/>
        <sz val="11.0"/>
        <u/>
      </rPr>
      <t>El presidente argentino se ha reunido también con Santiago Abascal la víspera de participar en el evento de Vox. Chema Rubio. Madrid 18/05/2024 Actualizada...</t>
    </r>
    <r>
      <rPr>
        <rFont val="Arial, sans-serif"/>
        <color rgb="FF1155CC"/>
        <sz val="12.0"/>
        <u/>
      </rPr>
      <t>.</t>
    </r>
    <r>
      <rPr>
        <rFont val="Arial, sans-serif"/>
        <color rgb="FF1155CC"/>
        <sz val="11.0"/>
        <u/>
      </rPr>
      <t>18 may 2024</t>
    </r>
  </si>
  <si>
    <t>Grandes empresarios españoles arropan a Milei en Madrid pese al cerco de Pedro Sánchez</t>
  </si>
  <si>
    <t>El presidente argentino se ha reunido también con Santiago Abascal la víspera de participar en el evento de Vox. Chema Rubio. Madrid 18/05/2024 Actualizada.</t>
  </si>
  <si>
    <t>Large Spanish businessmen support Milei in Madrid despite Pedro Sánchez's siege</t>
  </si>
  <si>
    <t>The Argentine president also met with Santiago Abascal the day before participating in the Vox event. Chema Rubio. Madrid 05/18/2024 Updated.</t>
  </si>
  <si>
    <r>
      <rPr>
        <rFont val="Arial, sans-serif"/>
        <color rgb="FF1155CC"/>
        <sz val="9.0"/>
        <u/>
      </rPr>
      <t>Moto1Pro</t>
    </r>
    <r>
      <rPr>
        <rFont val="Arial, sans-serif"/>
        <color rgb="FF1155CC"/>
        <sz val="15.0"/>
        <u/>
      </rPr>
      <t>Toni Bou inaugura la temporada de TrialGP con una victoria</t>
    </r>
    <r>
      <rPr>
        <rFont val="Arial, sans-serif"/>
        <color rgb="FF1155CC"/>
        <sz val="11.0"/>
        <u/>
      </rPr>
      <t>Toni Bou se lleva la primera victoria de la disciplina al aire libre y su compañero del Repsol Honda Trial Team, Gabriel Marcelli, se sube al segundo...</t>
    </r>
    <r>
      <rPr>
        <rFont val="Arial, sans-serif"/>
        <color rgb="FF1155CC"/>
        <sz val="12.0"/>
        <u/>
      </rPr>
      <t>.</t>
    </r>
    <r>
      <rPr>
        <rFont val="Arial, sans-serif"/>
        <color rgb="FF1155CC"/>
        <sz val="11.0"/>
        <u/>
      </rPr>
      <t>18 may 2024</t>
    </r>
  </si>
  <si>
    <t>Toni Bou inaugura la temporada de TrialGP con una victoria</t>
  </si>
  <si>
    <t>Toni Bou se lleva la primera victoria de la disciplina al aire libre y su compañero del Repsol Honda Trial Team, Gabriel Marcelli, se sube al segundo.</t>
  </si>
  <si>
    <t>Toni Bou opens the TrialGP season with a victory</t>
  </si>
  <si>
    <t>Toni Bou takes the first victory in the outdoor discipline and his Repsol Honda Trial Team teammate, Gabriel Marcelli, moves up to second.</t>
  </si>
  <si>
    <r>
      <rPr>
        <rFont val="Arial, sans-serif"/>
        <color rgb="FF1155CC"/>
        <sz val="9.0"/>
        <u/>
      </rPr>
      <t>El Mundo</t>
    </r>
    <r>
      <rPr>
        <rFont val="Arial, sans-serif"/>
        <color rgb="FF1155CC"/>
        <sz val="15.0"/>
        <u/>
      </rPr>
      <t>Empresarios españoles, a puerta cerrada con Milei: "Nos dice que convertirá Argentina en un país fiable para la inversión"</t>
    </r>
    <r>
      <rPr>
        <rFont val="Arial, sans-serif"/>
        <color rgb="FF1155CC"/>
        <sz val="11.0"/>
        <u/>
      </rPr>
      <t>El presidente de Argentina, Javier Milei, ha logrado reunir a una quincena de representantes de grandes empresas y bancos españoles en una reunión en Madrid...</t>
    </r>
    <r>
      <rPr>
        <rFont val="Arial, sans-serif"/>
        <color rgb="FF1155CC"/>
        <sz val="12.0"/>
        <u/>
      </rPr>
      <t>.</t>
    </r>
    <r>
      <rPr>
        <rFont val="Arial, sans-serif"/>
        <color rgb="FF1155CC"/>
        <sz val="11.0"/>
        <u/>
      </rPr>
      <t>18 may 2024</t>
    </r>
  </si>
  <si>
    <t>Empresarios españoles, a puerta cerrada con Milei: "Nos dice que convertirá Argentina en un país fiable para la inversión"</t>
  </si>
  <si>
    <t>"Nos dice que convertirá Argentina en un país fiable para la inversión"</t>
  </si>
  <si>
    <t>Spanish businessmen, behind closed doors with Milei: "He tells us that he will turn Argentina into a reliable country for investment"</t>
  </si>
  <si>
    <t>"It tells us that it will turn Argentina into a reliable country for investment"</t>
  </si>
  <si>
    <r>
      <rPr>
        <rFont val="Arial, sans-serif"/>
        <color rgb="FF1155CC"/>
        <sz val="9.0"/>
        <u/>
      </rPr>
      <t>MOTOSAN</t>
    </r>
    <r>
      <rPr>
        <rFont val="Arial, sans-serif"/>
        <color rgb="FF1155CC"/>
        <sz val="15.0"/>
        <u/>
      </rPr>
      <t>Puig y los cambios en MotoGP para Honda: "Lo que no queremos es ser lentos"</t>
    </r>
    <r>
      <rPr>
        <rFont val="Arial, sans-serif"/>
        <color rgb="FF1155CC"/>
        <sz val="11.0"/>
        <u/>
      </rPr>
      <t>Alberto Puig conversó con MotoGP.com sobre cómo afectan los cambios del reglamento a Honda. En 2027 cambiarán muchas cosas en MotoGP y Alberto Puig.</t>
    </r>
    <r>
      <rPr>
        <rFont val="Arial, sans-serif"/>
        <color rgb="FF1155CC"/>
        <sz val="12.0"/>
        <u/>
      </rPr>
      <t>.</t>
    </r>
    <r>
      <rPr>
        <rFont val="Arial, sans-serif"/>
        <color rgb="FF1155CC"/>
        <sz val="11.0"/>
        <u/>
      </rPr>
      <t>18 may 2024</t>
    </r>
  </si>
  <si>
    <t>Puig y los cambios en MotoGP para Honda: "Lo que no queremos es ser lentos"</t>
  </si>
  <si>
    <t>Alberto Puig conversó con MotoGP.com sobre cómo afectan los cambios del reglamento a Honda. En 2027 cambiarán muchas cosas en MotoGP y Alberto Puig.</t>
  </si>
  <si>
    <t>Puig and the changes in MotoGP for Honda: "What we don't want is to be slow"</t>
  </si>
  <si>
    <t>Alberto Puig spoke with MotoGP.com about how the regulation changes affect Honda. In 2027 many things will change in MotoGP and Alberto Puig.</t>
  </si>
  <si>
    <r>
      <rPr>
        <rFont val="Arial, sans-serif"/>
        <color rgb="FF1155CC"/>
        <sz val="9.0"/>
        <u/>
      </rPr>
      <t>20Minutos</t>
    </r>
    <r>
      <rPr>
        <rFont val="Arial, sans-serif"/>
        <color rgb="FF1155CC"/>
        <sz val="15.0"/>
        <u/>
      </rPr>
      <t>Así es El Triperito, el hermano pequeño del mejor puesto de mercado para comer en Madrid que acaba de abrir sus puertas</t>
    </r>
    <r>
      <rPr>
        <rFont val="Arial, sans-serif"/>
        <color rgb="FF1155CC"/>
        <sz val="11.0"/>
        <u/>
      </rPr>
      <t>En el Mercado de La Paz Roberto Martínez Foronda, el chef de Tripea, acaba de estrenar este espacio donde acudir sin reservas y comer de carta.</t>
    </r>
    <r>
      <rPr>
        <rFont val="Arial, sans-serif"/>
        <color rgb="FF1155CC"/>
        <sz val="12.0"/>
        <u/>
      </rPr>
      <t>.</t>
    </r>
    <r>
      <rPr>
        <rFont val="Arial, sans-serif"/>
        <color rgb="FF1155CC"/>
        <sz val="11.0"/>
        <u/>
      </rPr>
      <t>18 may 2024</t>
    </r>
  </si>
  <si>
    <t>Así es El Triperito, el hermano pequeño del mejor puesto de mercado para comer en Madrid que acaba de abrir sus puertas</t>
  </si>
  <si>
    <t>En el Mercado de La Paz Roberto Martínez Foronda, el chef de Tripea, acaba de estrenar este espacio donde acudir sin reservas y comer de carta.</t>
  </si>
  <si>
    <t>This is El Triperito, the little brother of the best market stall to eat in Madrid that has just opened its doors</t>
  </si>
  <si>
    <t>In the La Paz Market Roberto Martínez Foronda, the chef of Tripea, has just opened this space where you can go without reservations and eat from the menu.</t>
  </si>
  <si>
    <r>
      <rPr>
        <rFont val="Arial, sans-serif"/>
        <color rgb="FF1155CC"/>
        <sz val="9.0"/>
        <u/>
      </rPr>
      <t>Huelva Información</t>
    </r>
    <r>
      <rPr>
        <rFont val="Arial, sans-serif"/>
        <color rgb="FF1155CC"/>
        <sz val="15.0"/>
        <u/>
      </rPr>
      <t>Así es el nuevo hotel de lujo que ha abierto sus puertas en Isla Canela</t>
    </r>
    <r>
      <rPr>
        <rFont val="Arial, sans-serif"/>
        <color rgb="FF1155CC"/>
        <sz val="11.0"/>
        <u/>
      </rPr>
      <t>Vila Galé, el segundo mayor grupo hotelero de Portugal que posee la mayor red de resorts en Brasil, ya ha abierto sus puertas en España, comenzando por...</t>
    </r>
    <r>
      <rPr>
        <rFont val="Arial, sans-serif"/>
        <color rgb="FF1155CC"/>
        <sz val="12.0"/>
        <u/>
      </rPr>
      <t>.</t>
    </r>
    <r>
      <rPr>
        <rFont val="Arial, sans-serif"/>
        <color rgb="FF1155CC"/>
        <sz val="11.0"/>
        <u/>
      </rPr>
      <t>18 may 2024</t>
    </r>
  </si>
  <si>
    <t>Así es el nuevo hotel de lujo que ha abierto sus puertas en Isla Canela</t>
  </si>
  <si>
    <t>Vila Galé, el segundo mayor grupo hotelero de Portugal que posee la mayor red de resorts en Brasil, ya ha abierto sus puertas en España, comenzando por....</t>
  </si>
  <si>
    <t>This is the new luxury hotel that has opened its doors in Isla Canela</t>
  </si>
  <si>
    <t>Vila Galé, the second largest hotel group in Portugal that owns the largest network of resorts in Brazil, has already opened its doors in Spain, starting with...</t>
  </si>
  <si>
    <r>
      <rPr>
        <rFont val="Arial, sans-serif"/>
        <color rgb="FF1155CC"/>
        <sz val="9.0"/>
        <u/>
      </rPr>
      <t>EL PAÍS</t>
    </r>
    <r>
      <rPr>
        <rFont val="Arial, sans-serif"/>
        <color rgb="FF1155CC"/>
        <sz val="15.0"/>
        <u/>
      </rPr>
      <t>Repsol navega entre dos aguas: los hidrocarburos y las energías renovables</t>
    </r>
    <r>
      <rPr>
        <rFont val="Arial, sans-serif"/>
        <color rgb="FF1155CC"/>
        <sz val="11.0"/>
        <u/>
      </rPr>
      <t>Repsol es una gran empresa refinera que busca acomodo en los negocios de la transición energética; la compañía pelea con el calendario —y con las...</t>
    </r>
    <r>
      <rPr>
        <rFont val="Arial, sans-serif"/>
        <color rgb="FF1155CC"/>
        <sz val="12.0"/>
        <u/>
      </rPr>
      <t>.</t>
    </r>
    <r>
      <rPr>
        <rFont val="Arial, sans-serif"/>
        <color rgb="FF1155CC"/>
        <sz val="11.0"/>
        <u/>
      </rPr>
      <t>19 may 2024</t>
    </r>
  </si>
  <si>
    <t>Repsol navega entre dos aguas: los hidrocarburos y las energías renovables</t>
  </si>
  <si>
    <t>Repsol es una gran empresa refinera que busca acomodo en los negocios de la transición energética; la compañía pelea con el calendario —y con las....</t>
  </si>
  <si>
    <t>Repsol navigates between two waters: hydrocarbons and renewable energies</t>
  </si>
  <si>
    <t>Repsol is a large refinery company that seeks accommodation in the energy transition businesses; the company fights with the calendar—and with the....</t>
  </si>
  <si>
    <t>Repsol energy transition, business strategy</t>
  </si>
  <si>
    <t>Transición energética de Repsol, estrategia empresarial</t>
  </si>
  <si>
    <t>Balancing hydrocarbons and renewables supports Repsol’s energy transition.</t>
  </si>
  <si>
    <t>Neutral strategic position</t>
  </si>
  <si>
    <t>Posición estratégica neutral</t>
  </si>
  <si>
    <r>
      <rPr>
        <rFont val="Arial, sans-serif"/>
        <color rgb="FF1155CC"/>
        <sz val="9.0"/>
        <u/>
      </rPr>
      <t>naiz:</t>
    </r>
    <r>
      <rPr>
        <rFont val="Arial, sans-serif"/>
        <color rgb="FF1155CC"/>
        <sz val="15.0"/>
        <u/>
      </rPr>
      <t>Puede que Josu Jon Imaz no sea de Vox, pero Abascal sí es de Repsol</t>
    </r>
    <r>
      <rPr>
        <rFont val="Arial, sans-serif"/>
        <color rgb="FF1155CC"/>
        <sz val="11.0"/>
        <u/>
      </rPr>
      <t>El último exabrupto del consejero delegado de Repsol, Josu Jon Imaz, la semana pasada, ha corrido como la pólvora. Según él, hay que seguir extrayendo...</t>
    </r>
    <r>
      <rPr>
        <rFont val="Arial, sans-serif"/>
        <color rgb="FF1155CC"/>
        <sz val="12.0"/>
        <u/>
      </rPr>
      <t>.</t>
    </r>
    <r>
      <rPr>
        <rFont val="Arial, sans-serif"/>
        <color rgb="FF1155CC"/>
        <sz val="11.0"/>
        <u/>
      </rPr>
      <t>19 may 2024</t>
    </r>
  </si>
  <si>
    <t>Puede que Josu Jon Imaz no sea de Vox, pero Abascal sí es de Repsol.</t>
  </si>
  <si>
    <t>El último exabrupto del consejero delegado de Repsol, Josu Jon Imaz, la semana pasada, ha corrido como la pólvora. Según él, hay que seguir extrayendo....</t>
  </si>
  <si>
    <t>Josu Jon Imaz may not be from Vox, but Abascal is from Repsol.</t>
  </si>
  <si>
    <t>The latest outburst by Repsol's CEO, Josu Jon Imaz, last week has spread like wildfire. According to him, we must continue extracting....</t>
  </si>
  <si>
    <t>Political controversies may affect Repsol’s public image.</t>
  </si>
  <si>
    <r>
      <rPr>
        <rFont val="Arial, sans-serif"/>
        <color rgb="FF1155CC"/>
        <sz val="9.0"/>
        <u/>
      </rPr>
      <t>heraldo.es</t>
    </r>
    <r>
      <rPr>
        <rFont val="Arial, sans-serif"/>
        <color rgb="FF1155CC"/>
        <sz val="15.0"/>
        <u/>
      </rPr>
      <t>El restaurante de Teruel escondido en una de las calles más bonitas de la Sierra de Albarracín</t>
    </r>
    <r>
      <rPr>
        <rFont val="Arial, sans-serif"/>
        <color rgb="FF1155CC"/>
        <sz val="11.0"/>
        <u/>
      </rPr>
      <t>Este establecimiento es Solete de la Guía Repsol por sus platos originales con productos de temporada bien trabajados.</t>
    </r>
    <r>
      <rPr>
        <rFont val="Arial, sans-serif"/>
        <color rgb="FF1155CC"/>
        <sz val="12.0"/>
        <u/>
      </rPr>
      <t>.</t>
    </r>
    <r>
      <rPr>
        <rFont val="Arial, sans-serif"/>
        <color rgb="FF1155CC"/>
        <sz val="11.0"/>
        <u/>
      </rPr>
      <t>19 may 2024</t>
    </r>
  </si>
  <si>
    <t>El restaurante de Teruel escondido en una de las calles más bonitas de la Sierra de Albarracín</t>
  </si>
  <si>
    <t>Este establecimiento es Solete de la Guía Repsol por sus platos originales con productos de temporada bien trabajados.</t>
  </si>
  <si>
    <t>The Teruel restaurant hidden in one of the most beautiful streets of the Sierra de Albarracín</t>
  </si>
  <si>
    <t>This establishment is Solete in the Repsol Guide for its original dishes with well-made seasonal products.</t>
  </si>
  <si>
    <r>
      <rPr>
        <rFont val="Arial, sans-serif"/>
        <color rgb="FF1155CC"/>
        <sz val="9.0"/>
        <u/>
      </rPr>
      <t>Faro de Vigo</t>
    </r>
    <r>
      <rPr>
        <rFont val="Arial, sans-serif"/>
        <color rgb="FF1155CC"/>
        <sz val="15.0"/>
        <u/>
      </rPr>
      <t>El ganador del mayor contrato de eólica marina en EE UU entra en Galicia y Repsol prevé 4 parques</t>
    </r>
    <r>
      <rPr>
        <rFont val="Arial, sans-serif"/>
        <color rgb="FF1155CC"/>
        <sz val="11.0"/>
        <u/>
      </rPr>
      <t>El grupo español lanza un proyecto de 552 MW en Pontevedra | El total de planes en la comunidad superan ya los 9.000 MW.</t>
    </r>
    <r>
      <rPr>
        <rFont val="Arial, sans-serif"/>
        <color rgb="FF1155CC"/>
        <sz val="12.0"/>
        <u/>
      </rPr>
      <t>.</t>
    </r>
    <r>
      <rPr>
        <rFont val="Arial, sans-serif"/>
        <color rgb="FF1155CC"/>
        <sz val="11.0"/>
        <u/>
      </rPr>
      <t>19 may 2024</t>
    </r>
  </si>
  <si>
    <t>El ganador del mayor contrato de eólica marina en EE UU entra en Galicia y Repsol prevé 4 parques</t>
  </si>
  <si>
    <t>El grupo español lanza un proyecto de 552 MW en Pontevedra | El total de planes en la comunidad superan ya los 9.000 MW.</t>
  </si>
  <si>
    <t>The winner of the largest offshore wind contract in the US enters Galicia and Repsol plans 4 parks</t>
  </si>
  <si>
    <t>The Spanish group launches a 552 MW project in Pontevedra | The total plans in the community already exceed 9,000 MW.</t>
  </si>
  <si>
    <t>Other companies’ energy projects do not impact Repsol.</t>
  </si>
  <si>
    <t>eólica marina</t>
  </si>
  <si>
    <t>Positive renewable energy</t>
  </si>
  <si>
    <t>Energía renovable positiva</t>
  </si>
  <si>
    <r>
      <rPr>
        <rFont val="Arial, sans-serif"/>
        <color rgb="FF1155CC"/>
        <sz val="9.0"/>
        <u/>
      </rPr>
      <t>Box Repsol</t>
    </r>
    <r>
      <rPr>
        <rFont val="Arial, sans-serif"/>
        <color rgb="FF1155CC"/>
        <sz val="15.0"/>
        <u/>
      </rPr>
      <t>Resultados y resumen del TrialGP de Japón 2024</t>
    </r>
    <r>
      <rPr>
        <rFont val="Arial, sans-serif"/>
        <color rgb="FF1155CC"/>
        <sz val="11.0"/>
        <u/>
      </rPr>
      <t>El campeonato del mundo de Trial al aire libre ha arrancado su temporada este fin de semana con la celebración del TrialGP de Japón. Comenzando en uno de...</t>
    </r>
    <r>
      <rPr>
        <rFont val="Arial, sans-serif"/>
        <color rgb="FF1155CC"/>
        <sz val="12.0"/>
        <u/>
      </rPr>
      <t>.</t>
    </r>
    <r>
      <rPr>
        <rFont val="Arial, sans-serif"/>
        <color rgb="FF1155CC"/>
        <sz val="11.0"/>
        <u/>
      </rPr>
      <t>19 may 2024</t>
    </r>
  </si>
  <si>
    <t>Resultados y resumen del TrialGP de Japón 2024</t>
  </si>
  <si>
    <t>El campeonato del mundo de Trial al aire libre ha arrancado su temporada este fin de semana con la celebración del TrialGP de Japón. Comenzando en uno de....</t>
  </si>
  <si>
    <t>Results and summary of the 2024 Japan TrialGP</t>
  </si>
  <si>
    <t>The outdoor Trial world championship has started its season this weekend with the celebration of the Japan TrialGP. Starting in one of....</t>
  </si>
  <si>
    <r>
      <rPr>
        <rFont val="Arial, sans-serif"/>
        <color rgb="FF1155CC"/>
        <sz val="9.0"/>
        <u/>
      </rPr>
      <t>Mongabay</t>
    </r>
    <r>
      <rPr>
        <rFont val="Arial, sans-serif"/>
        <color rgb="FF1155CC"/>
        <sz val="15.0"/>
        <u/>
      </rPr>
      <t>¿Qué ha pasado con las sanciones y demandas impuestas a Repsol debido al derrame de petróleo en el mar peruano? | Cinco lecturas sobre el tema</t>
    </r>
    <r>
      <rPr>
        <rFont val="Arial, sans-serif"/>
        <color rgb="FF1155CC"/>
        <sz val="11.0"/>
        <u/>
      </rPr>
      <t>En 2022 se registró el mayor derrame de petróleo que haya conocido el mar peruano. La empresa Repsol fue la responsable del vertimiento de más de 11 mil...</t>
    </r>
    <r>
      <rPr>
        <rFont val="Arial, sans-serif"/>
        <color rgb="FF1155CC"/>
        <sz val="12.0"/>
        <u/>
      </rPr>
      <t>.</t>
    </r>
    <r>
      <rPr>
        <rFont val="Arial, sans-serif"/>
        <color rgb="FF1155CC"/>
        <sz val="11.0"/>
        <u/>
      </rPr>
      <t>19 may 2024</t>
    </r>
  </si>
  <si>
    <t>¿Qué ha pasado con las sanciones y demandas impuestas a Repsol debido al derrame de petróleo en el mar peruano? | Cinco lecturas sobre el tema</t>
  </si>
  <si>
    <t>En 2022 se registró el mayor derrame de petróleo que haya conocido el mar peruano. La empresa Repsol fue la responsable del vertimiento de más de 11 mil....</t>
  </si>
  <si>
    <t>What has happened to the sanctions and lawsuits imposed on Repsol due to the oil spill in the Peruvian sea? | Five readings on the subject</t>
  </si>
  <si>
    <t>In 2022, the largest oil spill the Peruvian sea has ever seen was recorded. The Repsol company was responsible for the dumping of more than 11 thousand....</t>
  </si>
  <si>
    <t>Ongoing legal scrutiny over environmental damage may harm Repsol’s reputation.</t>
  </si>
  <si>
    <t>derrame, sanciones</t>
  </si>
  <si>
    <r>
      <rPr>
        <rFont val="Arial, sans-serif"/>
        <color rgb="FF1155CC"/>
        <sz val="9.0"/>
        <u/>
      </rPr>
      <t>Moto1Pro</t>
    </r>
    <r>
      <rPr>
        <rFont val="Arial, sans-serif"/>
        <color rgb="FF1155CC"/>
        <sz val="15.0"/>
        <u/>
      </rPr>
      <t>Toni Bou se lleva una nueva victoria en Japón</t>
    </r>
    <r>
      <rPr>
        <rFont val="Arial, sans-serif"/>
        <color rgb="FF1155CC"/>
        <sz val="11.0"/>
        <u/>
      </rPr>
      <t>El piloto del Repsol Honda Trial Team Toni Bou se coloca líder de la general en la localidad nipona, primera prueba del Mundial de TrialGP.</t>
    </r>
    <r>
      <rPr>
        <rFont val="Arial, sans-serif"/>
        <color rgb="FF1155CC"/>
        <sz val="12.0"/>
        <u/>
      </rPr>
      <t>.</t>
    </r>
    <r>
      <rPr>
        <rFont val="Arial, sans-serif"/>
        <color rgb="FF1155CC"/>
        <sz val="11.0"/>
        <u/>
      </rPr>
      <t>19 may 2024</t>
    </r>
  </si>
  <si>
    <t>Toni Bou se lleva una nueva victoria en Japón</t>
  </si>
  <si>
    <t>El piloto del Repsol Honda Trial Team Toni Bou se coloca líder de la general en la localidad nipona, primera prueba del Mundial de TrialGP.</t>
  </si>
  <si>
    <t>Toni Bou takes a new victory in Japan</t>
  </si>
  <si>
    <t>Repsol Honda Trial Team rider Toni Bou takes the overall lead in the Japanese town, the first round of the TrialGP World Championship.</t>
  </si>
  <si>
    <r>
      <rPr>
        <rFont val="Arial, sans-serif"/>
        <color rgb="FF1155CC"/>
        <sz val="9.0"/>
        <u/>
      </rPr>
      <t>Diario de Burgos</t>
    </r>
    <r>
      <rPr>
        <rFont val="Arial, sans-serif"/>
        <color rgb="FF1155CC"/>
        <sz val="15.0"/>
        <u/>
      </rPr>
      <t>Milei se reúne con representantes de empresas españolas</t>
    </r>
    <r>
      <rPr>
        <rFont val="Arial, sans-serif"/>
        <color rgb="FF1155CC"/>
        <sz val="11.0"/>
        <u/>
      </rPr>
      <t>El presidente de Argentina, Javier Milei, se ha reunido este sábado en Madrid con altos directivos de empresas españolas con fuerte presencia en Argentina,...</t>
    </r>
    <r>
      <rPr>
        <rFont val="Arial, sans-serif"/>
        <color rgb="FF1155CC"/>
        <sz val="12.0"/>
        <u/>
      </rPr>
      <t>.</t>
    </r>
    <r>
      <rPr>
        <rFont val="Arial, sans-serif"/>
        <color rgb="FF1155CC"/>
        <sz val="11.0"/>
        <u/>
      </rPr>
      <t>19 may 2024</t>
    </r>
  </si>
  <si>
    <t>Diario de Burgos</t>
  </si>
  <si>
    <t>Milei se reúne con representantes de empresas españolas</t>
  </si>
  <si>
    <t>El presidente de Argentina, Javier Milei, se ha reunido este sábado en Madrid con altos directivos de empresas españolas con fuerte presencia en Argentina,....</t>
  </si>
  <si>
    <t>Milei meets with representatives of Spanish companies</t>
  </si>
  <si>
    <t>The president of Argentina, Javier Milei, met this Saturday in Madrid with senior managers of Spanish companies with a strong presence in Argentina,...</t>
  </si>
  <si>
    <r>
      <rPr>
        <rFont val="Arial, sans-serif"/>
        <color rgb="FF1155CC"/>
        <sz val="9.0"/>
        <u/>
      </rPr>
      <t>El Nacional.cat</t>
    </r>
    <r>
      <rPr>
        <rFont val="Arial, sans-serif"/>
        <color rgb="FF1155CC"/>
        <sz val="15.0"/>
        <u/>
      </rPr>
      <t>El restaurante de Palma con el menú más singular de platos y cócteles</t>
    </r>
    <r>
      <rPr>
        <rFont val="Arial, sans-serif"/>
        <color rgb="FF1155CC"/>
        <sz val="11.0"/>
        <u/>
      </rPr>
      <t>Ponte a manos de los cocineros para comer el mejor producto que hay en el mercado aquel día.</t>
    </r>
    <r>
      <rPr>
        <rFont val="Arial, sans-serif"/>
        <color rgb="FF1155CC"/>
        <sz val="12.0"/>
        <u/>
      </rPr>
      <t>.</t>
    </r>
    <r>
      <rPr>
        <rFont val="Arial, sans-serif"/>
        <color rgb="FF1155CC"/>
        <sz val="11.0"/>
        <u/>
      </rPr>
      <t>19 may 2024</t>
    </r>
  </si>
  <si>
    <t>El restaurante de Palma con el menú más singular de platos y cócteles</t>
  </si>
  <si>
    <t>Ponte a manos de los cocineros para comer el mejor producto que hay en el mercado aquel día.</t>
  </si>
  <si>
    <t>The restaurant in Palma with the most unique menu of dishes and cocktails</t>
  </si>
  <si>
    <t>Put yourself in the hands of the chefs to eat the best product on the market that day.</t>
  </si>
  <si>
    <r>
      <rPr>
        <rFont val="Arial, sans-serif"/>
        <color rgb="FF1155CC"/>
        <sz val="9.0"/>
        <u/>
      </rPr>
      <t>MotorcycleSports</t>
    </r>
    <r>
      <rPr>
        <rFont val="Arial, sans-serif"/>
        <color rgb="FF1155CC"/>
        <sz val="15.0"/>
        <u/>
      </rPr>
      <t>Luca Marini busca salir de Honda debido a su pobre rendimiento en la temporada 2024 de MotoGP, y su destino podría ser Trackhouse.</t>
    </r>
    <r>
      <rPr>
        <rFont val="Arial, sans-serif"/>
        <color rgb="FF1155CC"/>
        <sz val="11.0"/>
        <u/>
      </rPr>
      <t>Luca Marini, actualmente luchando en su temporada de debut en Repsol Honda, está considerando romper su contrato después de no haber logrado anotar un solo...</t>
    </r>
    <r>
      <rPr>
        <rFont val="Arial, sans-serif"/>
        <color rgb="FF1155CC"/>
        <sz val="12.0"/>
        <u/>
      </rPr>
      <t>.</t>
    </r>
    <r>
      <rPr>
        <rFont val="Arial, sans-serif"/>
        <color rgb="FF1155CC"/>
        <sz val="11.0"/>
        <u/>
      </rPr>
      <t>19 may 2024</t>
    </r>
  </si>
  <si>
    <t>Luca Marini busca salir de Honda debido a su pobre rendimiento en la temporada 2024 de MotoGP.</t>
  </si>
  <si>
    <t>Luca Marini busca salir de Honda debido a su pobre rendimiento en la temporada 2024 de MotoGP, y su destino podría ser Trackhouse. Luca Marini, actualmente luchando en su temporada de debut en Repsol Honda, está considerando romper su contrato después de no haber logrado anotar un solo....</t>
  </si>
  <si>
    <t>Luca Marini is looking to leave Honda due to his poor performance in the 2024 MotoGP season.</t>
  </si>
  <si>
    <t>Luca Marini is looking to leave Honda due to his poor performance in the 2024 MotoGP season, and his destination could be Trackhouse. Luca Marini, currently struggling in his debut season at Repsol Honda, is considering breaking his contract after failing to score a single....</t>
  </si>
  <si>
    <r>
      <rPr>
        <rFont val="Arial, sans-serif"/>
        <color rgb="FF1155CC"/>
        <sz val="9.0"/>
        <u/>
      </rPr>
      <t>Expansión</t>
    </r>
    <r>
      <rPr>
        <rFont val="Arial, sans-serif"/>
        <color rgb="FF1155CC"/>
        <sz val="15.0"/>
        <u/>
      </rPr>
      <t>Repsol entra en la venta de seguros</t>
    </r>
    <r>
      <rPr>
        <rFont val="Arial, sans-serif"/>
        <color rgb="FF1155CC"/>
        <sz val="11.0"/>
        <u/>
      </rPr>
      <t>Ofrece, a través de IMeureka, pólizas de autos, motos y hogar de varias compañías entre las que están Mapfre, Allianz, AXA y Generali. Repsol entra en el...</t>
    </r>
    <r>
      <rPr>
        <rFont val="Arial, sans-serif"/>
        <color rgb="FF1155CC"/>
        <sz val="12.0"/>
        <u/>
      </rPr>
      <t>.</t>
    </r>
    <r>
      <rPr>
        <rFont val="Arial, sans-serif"/>
        <color rgb="FF1155CC"/>
        <sz val="11.0"/>
        <u/>
      </rPr>
      <t>20 may 2024</t>
    </r>
  </si>
  <si>
    <t>Repsol entra en la venta de seguros</t>
  </si>
  <si>
    <t>Ofrece, a través de IMeureka, pólizas de autos, motos y hogar de varias compañías entre las que están Mapfre, Allianz, AXA y Generali. Repsol entra en el....</t>
  </si>
  <si>
    <t>Repsol enters the sale of insurance</t>
  </si>
  <si>
    <t>It offers, through IMeureka, car, motorcycle and home policies from several companies including Mapfre, Allianz, AXA and Generali. Repsol enters the....</t>
  </si>
  <si>
    <t>Repsol business expansion, consumer services</t>
  </si>
  <si>
    <t>Expansión del negocio de Repsol, servicios al consumidor</t>
  </si>
  <si>
    <t>Expanding into insurance services diversifies Repsol’s business model.</t>
  </si>
  <si>
    <t>Neutral business expansion</t>
  </si>
  <si>
    <t>Expansión comercial neutral</t>
  </si>
  <si>
    <r>
      <rPr>
        <rFont val="Arial, sans-serif"/>
        <color rgb="FF1155CC"/>
        <sz val="9.0"/>
        <u/>
      </rPr>
      <t>El Economista</t>
    </r>
    <r>
      <rPr>
        <rFont val="Arial, sans-serif"/>
        <color rgb="FF1155CC"/>
        <sz val="15.0"/>
        <u/>
      </rPr>
      <t>Repsol y el gigante chino Temu se alían para ofrecer descuentos a través de Waylet</t>
    </r>
    <r>
      <rPr>
        <rFont val="Arial, sans-serif"/>
        <color rgb="FF1155CC"/>
        <sz val="11.0"/>
        <u/>
      </rPr>
      <t>Repsol sigue reforzando la oferta a los clientes que utilizan su plataforma de pagos Waylet con la vista puesta en alcanzar los 10 ...</t>
    </r>
    <r>
      <rPr>
        <rFont val="Arial, sans-serif"/>
        <color rgb="FF1155CC"/>
        <sz val="12.0"/>
        <u/>
      </rPr>
      <t>.</t>
    </r>
    <r>
      <rPr>
        <rFont val="Arial, sans-serif"/>
        <color rgb="FF1155CC"/>
        <sz val="11.0"/>
        <u/>
      </rPr>
      <t>20 may 2024</t>
    </r>
  </si>
  <si>
    <t>Repsol y el gigante chino Temu se alían para ofrecer descuentos a través de Waylet</t>
  </si>
  <si>
    <t>Repsol sigue reforzando la oferta a los clientes que utilizan su plataforma de pagos Waylet con la vista puesta en alcanzar los 10 ....</t>
  </si>
  <si>
    <t>Repsol and the Chinese giant Temu join forces to offer discounts through Waylet</t>
  </si>
  <si>
    <t>Repsol continues to strengthen its offer to customers who use its Waylet payment platform with a view to reaching 10...</t>
  </si>
  <si>
    <t>Repsol marketing strategy, business expansion</t>
  </si>
  <si>
    <t>Estrategia de marketing de Repsol, expansión empresarial</t>
  </si>
  <si>
    <t>Expanding customer incentives enhances Repsol’s market competitiveness.</t>
  </si>
  <si>
    <t>alianza comercial</t>
  </si>
  <si>
    <t>Positive business partnership</t>
  </si>
  <si>
    <t>Asociación empresarial positiva</t>
  </si>
  <si>
    <r>
      <rPr>
        <rFont val="Arial, sans-serif"/>
        <color rgb="FF1155CC"/>
        <sz val="9.0"/>
        <u/>
      </rPr>
      <t>Guía Repsol</t>
    </r>
    <r>
      <rPr>
        <rFont val="Arial, sans-serif"/>
        <color rgb="FF1155CC"/>
        <sz val="15.0"/>
        <u/>
      </rPr>
      <t>Restaurante Pabú, el restaurante del Chef Coco Montes</t>
    </r>
    <r>
      <rPr>
        <rFont val="Arial, sans-serif"/>
        <color rgb="FF1155CC"/>
        <sz val="11.0"/>
        <u/>
      </rPr>
      <t>Ven a disfrutar del talento del Chef Coco Montes en el Restaurante Pabú en Madrid. Platos frescos y menú nuevo cada día.</t>
    </r>
    <r>
      <rPr>
        <rFont val="Arial, sans-serif"/>
        <color rgb="FF1155CC"/>
        <sz val="12.0"/>
        <u/>
      </rPr>
      <t>.</t>
    </r>
    <r>
      <rPr>
        <rFont val="Arial, sans-serif"/>
        <color rgb="FF1155CC"/>
        <sz val="11.0"/>
        <u/>
      </rPr>
      <t>20 may 2024</t>
    </r>
  </si>
  <si>
    <t>Restaurante Pabú, el restaurante del Chef Coco Montes</t>
  </si>
  <si>
    <t>Ven a disfrutar del talento del Chef Coco Montes en el Restaurante Pabú en Madrid. Platos frescos y menú nuevo cada día.</t>
  </si>
  <si>
    <t>Pabú Restaurant, Chef Coco Montes' restaurant</t>
  </si>
  <si>
    <t>Come enjoy the talent of Chef Coco Montes at the Pabú Restaurant in Madrid. Fresh dishes and new menu every day.</t>
  </si>
  <si>
    <r>
      <rPr>
        <rFont val="Arial, sans-serif"/>
        <color rgb="FF1155CC"/>
        <sz val="9.0"/>
        <u/>
      </rPr>
      <t>Málaga Hoy</t>
    </r>
    <r>
      <rPr>
        <rFont val="Arial, sans-serif"/>
        <color rgb="FF1155CC"/>
        <sz val="15.0"/>
        <u/>
      </rPr>
      <t>Bosque Urbano Málaga solicita la nulidad del proyecto de descontaminación para los antiguos terrenos de Repsol</t>
    </r>
    <r>
      <rPr>
        <rFont val="Arial, sans-serif"/>
        <color rgb="FF1155CC"/>
        <sz val="11.0"/>
        <u/>
      </rPr>
      <t>La plataforma ciudadana aduce entre sus motivos la ausencia de evaluación del impacto sobre la salud de estos trabajos o la falta de análisis y de estudios...</t>
    </r>
    <r>
      <rPr>
        <rFont val="Arial, sans-serif"/>
        <color rgb="FF1155CC"/>
        <sz val="12.0"/>
        <u/>
      </rPr>
      <t>.</t>
    </r>
    <r>
      <rPr>
        <rFont val="Arial, sans-serif"/>
        <color rgb="FF1155CC"/>
        <sz val="11.0"/>
        <u/>
      </rPr>
      <t>20 may 2024</t>
    </r>
  </si>
  <si>
    <t>Bosque Urbano Málaga solicita la nulidad del proyecto de descontaminación para los antiguos terrenos de Repsol</t>
  </si>
  <si>
    <t>La plataforma ciudadana aduce entre sus motivos la ausencia de evaluación del impacto sobre la salud de estos trabajos o la falta de análisis y de estudios....</t>
  </si>
  <si>
    <t>Bosque Urbano Málaga requests the nullity of the decontamination project for the former Repsol lands</t>
  </si>
  <si>
    <t>The citizen platform cites among its reasons the lack of evaluation of the impact on health of these works or the lack of analysis and studies...</t>
  </si>
  <si>
    <t>Repsol urban project, legal dispute</t>
  </si>
  <si>
    <t>Proyecto urbanístico Repsol, disputa judicial</t>
  </si>
  <si>
    <t>Environmental disputes may negatively impact Repsol’s development projects.</t>
  </si>
  <si>
    <t>Negative local opposition</t>
  </si>
  <si>
    <t>Oposición local negativa</t>
  </si>
  <si>
    <r>
      <rPr>
        <rFont val="Arial, sans-serif"/>
        <color rgb="FF1155CC"/>
        <sz val="9.0"/>
        <u/>
      </rPr>
      <t>Diario de Almería</t>
    </r>
    <r>
      <rPr>
        <rFont val="Arial, sans-serif"/>
        <color rgb="FF1155CC"/>
        <sz val="15.0"/>
        <u/>
      </rPr>
      <t>Los mejores chiringuitos de Almería según la Guía Repsol</t>
    </r>
    <r>
      <rPr>
        <rFont val="Arial, sans-serif"/>
        <color rgb="FF1155CC"/>
        <sz val="11.0"/>
        <u/>
      </rPr>
      <t>El verano ya está a las puertas y es hora de ponerse el bañador o el biquini, calzarse unas chanclas e ir a disfrutar de los mejores chiringuitos.</t>
    </r>
    <r>
      <rPr>
        <rFont val="Arial, sans-serif"/>
        <color rgb="FF1155CC"/>
        <sz val="12.0"/>
        <u/>
      </rPr>
      <t>.</t>
    </r>
    <r>
      <rPr>
        <rFont val="Arial, sans-serif"/>
        <color rgb="FF1155CC"/>
        <sz val="11.0"/>
        <u/>
      </rPr>
      <t>20 may 2024</t>
    </r>
  </si>
  <si>
    <t>Los mejores chiringuitos de Almería según la Guía Repsol</t>
  </si>
  <si>
    <t>El verano ya está a las puertas y es hora de ponerse el bañador o el biquini, calzarse unas chanclas e ir a disfrutar de los mejores chiringuitos.</t>
  </si>
  <si>
    <t>The best beach bars in Almería according to the Repsol Guide</t>
  </si>
  <si>
    <t>Summer is almost here and it's time to put on your swimsuit or bikini, put on some flip flops and go enjoy the best beach bars.</t>
  </si>
  <si>
    <r>
      <rPr>
        <rFont val="Arial, sans-serif"/>
        <color rgb="FF1155CC"/>
        <sz val="9.0"/>
        <u/>
      </rPr>
      <t>Auto Bild España</t>
    </r>
    <r>
      <rPr>
        <rFont val="Arial, sans-serif"/>
        <color rgb="FF1155CC"/>
        <sz val="15.0"/>
        <u/>
      </rPr>
      <t>Esta marca se ha vuelto loca y te da un año de gasolina gratis si compras su nuevo coche</t>
    </r>
    <r>
      <rPr>
        <rFont val="Arial, sans-serif"/>
        <color rgb="FF1155CC"/>
        <sz val="11.0"/>
        <u/>
      </rPr>
      <t>MG ha lanzado una nueva promoción que te sorprenderá. Una tarjeta de Repsol con gasolina gratis si compras su nuevo modelo, el MG3 Hybrid+. Te lo contamos.</t>
    </r>
    <r>
      <rPr>
        <rFont val="Arial, sans-serif"/>
        <color rgb="FF1155CC"/>
        <sz val="12.0"/>
        <u/>
      </rPr>
      <t>.</t>
    </r>
    <r>
      <rPr>
        <rFont val="Arial, sans-serif"/>
        <color rgb="FF1155CC"/>
        <sz val="11.0"/>
        <u/>
      </rPr>
      <t>20 may 2024</t>
    </r>
  </si>
  <si>
    <t>Esta marca se ha vuelto loca y te da un año de gasolina gratis si compras su nuevo coche</t>
  </si>
  <si>
    <t>MG ha lanzado una nueva promoción que te sorprenderá. Una tarjeta de Repsol con gasolina gratis si compras su nuevo modelo, el MG3 Hybrid+. Te lo contamos.</t>
  </si>
  <si>
    <t>This brand has gone crazy and gives you a year of free gas if you buy their new car</t>
  </si>
  <si>
    <t>MG has launched a new promotion that will surprise you. A Repsol card with free gasoline if you buy their new model, the MG3 Hybrid+. We tell you.</t>
  </si>
  <si>
    <r>
      <rPr>
        <rFont val="Arial, sans-serif"/>
        <color rgb="FF1155CC"/>
        <sz val="9.0"/>
        <u/>
      </rPr>
      <t>Box Repsol</t>
    </r>
    <r>
      <rPr>
        <rFont val="Arial, sans-serif"/>
        <color rgb="FF1155CC"/>
        <sz val="15.0"/>
        <u/>
      </rPr>
      <t>Horarios MotoGP de Catalunya 2024: Cómo y dónde verlo gratis y en abierto por TV y online</t>
    </r>
    <r>
      <rPr>
        <rFont val="Arial, sans-serif"/>
        <color rgb="FF1155CC"/>
        <sz val="11.0"/>
        <u/>
      </rPr>
      <t>La sexta cita del Mundial de MotoGP se disputará en el circuito de Barcelona-Catalunya, en la localidad de Montmeló. El circuito catalán volverá a acoger,...</t>
    </r>
    <r>
      <rPr>
        <rFont val="Arial, sans-serif"/>
        <color rgb="FF1155CC"/>
        <sz val="12.0"/>
        <u/>
      </rPr>
      <t>.</t>
    </r>
    <r>
      <rPr>
        <rFont val="Arial, sans-serif"/>
        <color rgb="FF1155CC"/>
        <sz val="11.0"/>
        <u/>
      </rPr>
      <t>20 may 2024</t>
    </r>
  </si>
  <si>
    <t>Horarios MotoGP de Catalunya 2024: Cómo y dónde verlo gratis y en abierto por TV y online</t>
  </si>
  <si>
    <t>La sexta cita del Mundial de MotoGP se disputará en el circuito de Barcelona-Catalunya, en la localidad de Montmeló. El circuito catalán volverá a acoger,....</t>
  </si>
  <si>
    <t>MotoGP of Catalunya 2024 schedules: How and where to watch it for free and open on TV and online</t>
  </si>
  <si>
    <t>The sixth round of the MotoGP World Championship will be held at the Barcelona-Catalunya circuit, in the town of Montmeló. The Catalan circuit will once again host....</t>
  </si>
  <si>
    <r>
      <rPr>
        <rFont val="Arial, sans-serif"/>
        <color rgb="FF1155CC"/>
        <sz val="9.0"/>
        <u/>
      </rPr>
      <t>Cadena SER</t>
    </r>
    <r>
      <rPr>
        <rFont val="Arial, sans-serif"/>
        <color rgb="FF1155CC"/>
        <sz val="15.0"/>
        <u/>
      </rPr>
      <t>'Masterchef' emite este lunes la prueba de exteriores que se grabó en Cartagena</t>
    </r>
    <r>
      <rPr>
        <rFont val="Arial, sans-serif"/>
        <color rgb="FF1155CC"/>
        <sz val="11.0"/>
        <u/>
      </rPr>
      <t>El programa se grabó en el mes de marzo, en el Museo del Teatro Romano y espacio Cuarentaytrés, coincidiendo con la Gala de Entrega de los Soles Repsol.</t>
    </r>
    <r>
      <rPr>
        <rFont val="Arial, sans-serif"/>
        <color rgb="FF1155CC"/>
        <sz val="12.0"/>
        <u/>
      </rPr>
      <t>.</t>
    </r>
    <r>
      <rPr>
        <rFont val="Arial, sans-serif"/>
        <color rgb="FF1155CC"/>
        <sz val="11.0"/>
        <u/>
      </rPr>
      <t>20 may 2024</t>
    </r>
  </si>
  <si>
    <t>'Masterchef' emite este lunes la prueba de exteriores que se grabó en Cartagena</t>
  </si>
  <si>
    <t>El programa se grabó en el mes de marzo, en el Museo del Teatro Romano y espacio Cuarentaytrés, coincidiendo con la Gala de Entrega de los Soles Repsol.</t>
  </si>
  <si>
    <t>'Masterchef' broadcasts this Monday the outdoor test that was recorded in Cartagena</t>
  </si>
  <si>
    <t>The program was recorded in the month of March, at the Roman Theater Museum and Cuarentaytrés space, coinciding with the Repsol Suns Award Gala.</t>
  </si>
  <si>
    <r>
      <rPr>
        <rFont val="Arial, sans-serif"/>
        <color rgb="FF1155CC"/>
        <sz val="9.0"/>
        <u/>
      </rPr>
      <t>PETROGUIA</t>
    </r>
    <r>
      <rPr>
        <rFont val="Arial, sans-serif"/>
        <color rgb="FF1155CC"/>
        <sz val="15.0"/>
        <u/>
      </rPr>
      <t>Maduro propicia privatización en sector petrolero con cesión a Repsol del 40% de La Ceiba y Tomoporo</t>
    </r>
    <r>
      <rPr>
        <rFont val="Arial, sans-serif"/>
        <color rgb="FF1155CC"/>
        <sz val="11.0"/>
        <u/>
      </rPr>
      <t>La Asamblea Nacional, a petición de la Vicepresidencia Ejecutiva y el Ministerio del Petróleo, aprobó un acuerdo mediante el cual se aprueba la extensión...</t>
    </r>
    <r>
      <rPr>
        <rFont val="Arial, sans-serif"/>
        <color rgb="FF1155CC"/>
        <sz val="12.0"/>
        <u/>
      </rPr>
      <t>.</t>
    </r>
    <r>
      <rPr>
        <rFont val="Arial, sans-serif"/>
        <color rgb="FF1155CC"/>
        <sz val="11.0"/>
        <u/>
      </rPr>
      <t>20 may 2024</t>
    </r>
  </si>
  <si>
    <t>PETROGUÍA</t>
  </si>
  <si>
    <t>Maduro propicia privatización en sector petrolero con cesión a Repsol del 40% de La Ceiba y Tomoporo</t>
  </si>
  <si>
    <t>La Asamblea Nacional, a petición de la Vicepresidencia Ejecutiva y el Ministerio del Petróleo, aprobó un acuerdo mediante el cual se aprueba la extensión....</t>
  </si>
  <si>
    <t>Maduro promotes privatization in the oil sector with the transfer of 40% of La Ceiba and Tomoporo to Repsol</t>
  </si>
  <si>
    <t>The National Assembly, at the request of the Executive Vice Presidency and the Ministry of Petroleum, approved an agreement through which the extension is approved....</t>
  </si>
  <si>
    <t>Repsol Venezuela, energy market</t>
  </si>
  <si>
    <t>Repsol Venezuela, mercado energético</t>
  </si>
  <si>
    <t>Changes in Venezuela’s oil sector may present new opportunities for Repsol.</t>
  </si>
  <si>
    <r>
      <rPr>
        <rFont val="Arial, sans-serif"/>
        <color rgb="FF1155CC"/>
        <sz val="9.0"/>
        <u/>
      </rPr>
      <t>Revista Haz</t>
    </r>
    <r>
      <rPr>
        <rFont val="Arial, sans-serif"/>
        <color rgb="FF1155CC"/>
        <sz val="15.0"/>
        <u/>
      </rPr>
      <t>Combatiendo el ‘greenwashing’: del riesgo reputacional a su regulación - Haz</t>
    </r>
    <r>
      <rPr>
        <rFont val="Arial, sans-serif"/>
        <color rgb="FF1155CC"/>
        <sz val="11.0"/>
        <u/>
      </rPr>
      <t>La denuncia de Iberdrola contra Repsol por competencia desleal y publicidad engañosa ha desatado un debate significativo sobre las prácticas de lavado verde...</t>
    </r>
    <r>
      <rPr>
        <rFont val="Arial, sans-serif"/>
        <color rgb="FF1155CC"/>
        <sz val="12.0"/>
        <u/>
      </rPr>
      <t>.</t>
    </r>
    <r>
      <rPr>
        <rFont val="Arial, sans-serif"/>
        <color rgb="FF1155CC"/>
        <sz val="11.0"/>
        <u/>
      </rPr>
      <t>20 may 2024</t>
    </r>
  </si>
  <si>
    <t>Revista Haz</t>
  </si>
  <si>
    <t>Combatiendo el ‘greenwashing’: del riesgo reputacional a su regulación</t>
  </si>
  <si>
    <t>La denuncia de Iberdrola contra Repsol por competencia desleal y publicidad engañosa ha desatado un debate significativo sobre las prácticas de lavado verde.</t>
  </si>
  <si>
    <t>Fighting 'greenwashing': from reputational risk to its regulation</t>
  </si>
  <si>
    <t>Iberdrola's complaint against Repsol for unfair competition and misleading advertising has sparked a significant debate about greenwashing practices.</t>
  </si>
  <si>
    <t>Increased legal scrutiny may impact Repsol’s sustainability messaging.</t>
  </si>
  <si>
    <t>greenwashing, riesgo reputacional</t>
  </si>
  <si>
    <t>Neutral-to-negative due to association with reputational risk.</t>
  </si>
  <si>
    <t>De neutral a negativo por asociación con riesgo reputacional.</t>
  </si>
  <si>
    <r>
      <rPr>
        <rFont val="Arial, sans-serif"/>
        <color rgb="FF1155CC"/>
        <sz val="9.0"/>
        <u/>
      </rPr>
      <t>El Economista</t>
    </r>
    <r>
      <rPr>
        <rFont val="Arial, sans-serif"/>
        <color rgb="FF1155CC"/>
        <sz val="15.0"/>
        <u/>
      </rPr>
      <t>Repsol y el Ente Vasco de la Energía impulsarán la movilidad con hidrógeno verde</t>
    </r>
    <r>
      <rPr>
        <rFont val="Arial, sans-serif"/>
        <color rgb="FF1155CC"/>
        <sz val="11.0"/>
        <u/>
      </rPr>
      <t>Ibil, sociedad participada al 50% por Repsol y por el Ente Vasco de la Energía, EVE, centrará a partir de ahora su actividad en la ...</t>
    </r>
    <r>
      <rPr>
        <rFont val="Arial, sans-serif"/>
        <color rgb="FF1155CC"/>
        <sz val="12.0"/>
        <u/>
      </rPr>
      <t>.</t>
    </r>
    <r>
      <rPr>
        <rFont val="Arial, sans-serif"/>
        <color rgb="FF1155CC"/>
        <sz val="11.0"/>
        <u/>
      </rPr>
      <t>21 may 2024</t>
    </r>
  </si>
  <si>
    <t>Repsol y el Ente Vasco de la Energía impulsarán la movilidad con hidrógeno verde</t>
  </si>
  <si>
    <t>Ibil, sociedad participada al 50% por Repsol y por el Ente Vasco de la Energía, EVE, centrará a partir de ahora su actividad en la ....</t>
  </si>
  <si>
    <t>Repsol and the Basque Energy Agency will promote mobility with green hydrogen</t>
  </si>
  <si>
    <t>Ibil, a company owned 50% by Repsol and the Basque Energy Agency, EVE, will from now on focus its activity on...</t>
  </si>
  <si>
    <t>Repsol sustainability, business partnership</t>
  </si>
  <si>
    <t>Sostenibilidad Repsol, alianza empresarial</t>
  </si>
  <si>
    <t>Promoting sustainable mobility aligns with Repsol’s environmental commitments.</t>
  </si>
  <si>
    <t>impulsarán, hidrógeno verde</t>
  </si>
  <si>
    <t>Positive collaboration for green energy.</t>
  </si>
  <si>
    <t>Colaboración positiva para la energía verde.</t>
  </si>
  <si>
    <r>
      <rPr>
        <rFont val="Arial, sans-serif"/>
        <color rgb="FF1155CC"/>
        <sz val="9.0"/>
        <u/>
      </rPr>
      <t>CEOE</t>
    </r>
    <r>
      <rPr>
        <rFont val="Arial, sans-serif"/>
        <color rgb="FF1155CC"/>
        <sz val="15.0"/>
        <u/>
      </rPr>
      <t>Repsol amplía la capacidad regeneradora del agua residual en su planta de Tarragona</t>
    </r>
    <r>
      <rPr>
        <rFont val="Arial, sans-serif"/>
        <color rgb="FF1155CC"/>
        <sz val="11.0"/>
        <u/>
      </rPr>
      <t>El Complejo Industrial de Tarragona de Repsol cuenta con una planta regeneradora de agua a partir de las aguas residuales urbanas que proceden de los...</t>
    </r>
    <r>
      <rPr>
        <rFont val="Arial, sans-serif"/>
        <color rgb="FF1155CC"/>
        <sz val="12.0"/>
        <u/>
      </rPr>
      <t>.</t>
    </r>
    <r>
      <rPr>
        <rFont val="Arial, sans-serif"/>
        <color rgb="FF1155CC"/>
        <sz val="11.0"/>
        <u/>
      </rPr>
      <t>21 may 2024</t>
    </r>
  </si>
  <si>
    <t>Repsol amplía la capacidad regeneradora del agua residual en su planta de Tarragona</t>
  </si>
  <si>
    <t>Repsol amplía la capacidad regeneradora del agua residual en su planta de Tarragona.</t>
  </si>
  <si>
    <t>Repsol expands the regenerative capacity of wastewater at its Tarragona plant</t>
  </si>
  <si>
    <t>Repsol expands the regenerative capacity of wastewater at its Tarragona plant.</t>
  </si>
  <si>
    <t>Repsol sustainability, water management</t>
  </si>
  <si>
    <t>Sostenibilidad Repsol, gestión del agua</t>
  </si>
  <si>
    <t>Investing in water sustainability supports Repsol’s corporate responsibility.</t>
  </si>
  <si>
    <t>capacidad regeneradora</t>
  </si>
  <si>
    <t>Positive environmental initiative.</t>
  </si>
  <si>
    <t>Iniciativa medioambiental positiva.</t>
  </si>
  <si>
    <r>
      <rPr>
        <rFont val="Arial, sans-serif"/>
        <color rgb="FF1155CC"/>
        <sz val="9.0"/>
        <u/>
      </rPr>
      <t>Cinco Días</t>
    </r>
    <r>
      <rPr>
        <rFont val="Arial, sans-serif"/>
        <color rgb="FF1155CC"/>
        <sz val="15.0"/>
        <u/>
      </rPr>
      <t>Repsol y la sociedad pública vasca EVE amplían su alianza en movilidad con hidrógeno</t>
    </r>
    <r>
      <rPr>
        <rFont val="Arial, sans-serif"/>
        <color rgb="FF1155CC"/>
        <sz val="11.0"/>
        <u/>
      </rPr>
      <t>Repsol y la sociedad Ente Vasco de la Energía (EVE) del Gobierno de Vitoria comparten desde hace años y al 50% el capital de Ibil, una empresa centrada en...</t>
    </r>
    <r>
      <rPr>
        <rFont val="Arial, sans-serif"/>
        <color rgb="FF1155CC"/>
        <sz val="12.0"/>
        <u/>
      </rPr>
      <t>.</t>
    </r>
    <r>
      <rPr>
        <rFont val="Arial, sans-serif"/>
        <color rgb="FF1155CC"/>
        <sz val="11.0"/>
        <u/>
      </rPr>
      <t>21 may 2024</t>
    </r>
  </si>
  <si>
    <t>Repsol y la sociedad pública vasca EVE amplían su alianza en movilidad con hidrógeno</t>
  </si>
  <si>
    <t>Repsol y la sociedad Ente Vasco de la Energía (EVE) del Gobierno de Vitoria comparten desde hace años y al 50% el capital de Ibil, una empresa centrada en....</t>
  </si>
  <si>
    <t>Repsol and the Basque public company EVE expand their alliance in hydrogen mobility</t>
  </si>
  <si>
    <t>For years, Repsol and the Ente Vasco de la Energía (EVE) company of the Government of Vitoria have shared 50% of the capital of Ibil, a company focused on...</t>
  </si>
  <si>
    <t>Repsol energy partnership, business expansion</t>
  </si>
  <si>
    <t>Colaboración energética con Repsol, expansión empresarial</t>
  </si>
  <si>
    <t>Strengthening governmental partnerships enhances Repsol’s market influence.</t>
  </si>
  <si>
    <t>alianza, hidrógeno</t>
  </si>
  <si>
    <t>Strengthens green energy partnerships.</t>
  </si>
  <si>
    <t>Fortalece las asociaciones de energía verde.</t>
  </si>
  <si>
    <r>
      <rPr>
        <rFont val="Arial, sans-serif"/>
        <color rgb="FF1155CC"/>
        <sz val="9.0"/>
        <u/>
      </rPr>
      <t>El Periódico de la Energía</t>
    </r>
    <r>
      <rPr>
        <rFont val="Arial, sans-serif"/>
        <color rgb="FF1155CC"/>
        <sz val="15.0"/>
        <u/>
      </rPr>
      <t>Repsol entra de lleno en la eólica marina en España con cinco parques en Galicia y Cataluña</t>
    </r>
    <r>
      <rPr>
        <rFont val="Arial, sans-serif"/>
        <color rgb="FF1155CC"/>
        <sz val="11.0"/>
        <u/>
      </rPr>
      <t>La compañía regresa de nuevo a la eólica marina tras abandonar este negocio en 2016 al no concebirlo como estratégico en ese momento.</t>
    </r>
    <r>
      <rPr>
        <rFont val="Arial, sans-serif"/>
        <color rgb="FF1155CC"/>
        <sz val="12.0"/>
        <u/>
      </rPr>
      <t>.</t>
    </r>
    <r>
      <rPr>
        <rFont val="Arial, sans-serif"/>
        <color rgb="FF1155CC"/>
        <sz val="11.0"/>
        <u/>
      </rPr>
      <t>21 may 2024</t>
    </r>
  </si>
  <si>
    <t>Repsol entra de lleno en la eólica marina en España con cinco parques en Galicia y Cataluña</t>
  </si>
  <si>
    <t>La compañía regresa de nuevo a la eólica marina tras abandonar este negocio en 2016 al no concebirlo como estratégico en ese momento.</t>
  </si>
  <si>
    <t>Repsol enters fully into offshore wind in Spain with five parks in Galicia and Catalonia</t>
  </si>
  <si>
    <t>The company is returning to offshore wind after abandoning this business in 2016, not conceiving it as strategic at that time.</t>
  </si>
  <si>
    <t>Repsol renewable energy, offshore wind</t>
  </si>
  <si>
    <t>Repsol energías renovables, eólica marina</t>
  </si>
  <si>
    <t>Expanding into offshore wind supports Repsol’s energy transition.</t>
  </si>
  <si>
    <t>eólica marina, parques</t>
  </si>
  <si>
    <t>Major investment in renewables.</t>
  </si>
  <si>
    <t>Gran inversión en energías renovables.</t>
  </si>
  <si>
    <r>
      <rPr>
        <rFont val="Arial, sans-serif"/>
        <color rgb="FF1155CC"/>
        <sz val="9.0"/>
        <u/>
      </rPr>
      <t>Distribución / Actualidad</t>
    </r>
    <r>
      <rPr>
        <rFont val="Arial, sans-serif"/>
        <color rgb="FF1155CC"/>
        <sz val="15.0"/>
        <u/>
      </rPr>
      <t>Repsol recompensa a sus clientes por comprar en Temu</t>
    </r>
    <r>
      <rPr>
        <rFont val="Arial, sans-serif"/>
        <color rgb="FF1155CC"/>
        <sz val="11.0"/>
        <u/>
      </rPr>
      <t>Los usuarios de Waylet recibirán entre un 3% y un 10% de saldo por compras de hogar, electrónica y moda en Temu.</t>
    </r>
    <r>
      <rPr>
        <rFont val="Arial, sans-serif"/>
        <color rgb="FF1155CC"/>
        <sz val="12.0"/>
        <u/>
      </rPr>
      <t>.</t>
    </r>
    <r>
      <rPr>
        <rFont val="Arial, sans-serif"/>
        <color rgb="FF1155CC"/>
        <sz val="11.0"/>
        <u/>
      </rPr>
      <t>21 may 2024</t>
    </r>
  </si>
  <si>
    <t>Distribución / Actualidad</t>
  </si>
  <si>
    <t>Repsol recompensa a sus clientes por comprar en Temu</t>
  </si>
  <si>
    <t>Los usuarios de Waylet recibirán entre un 3% y un 10% de saldo por compras de hogar, electrónica y moda en Temu.</t>
  </si>
  <si>
    <t>Repsol rewards its customers for buying at Temu</t>
  </si>
  <si>
    <t>Waylet users will receive between 3% and 10% credit on home, electronics and fashion purchases at Temu.</t>
  </si>
  <si>
    <r>
      <rPr>
        <rFont val="Arial, sans-serif"/>
        <color rgb="FF1155CC"/>
        <sz val="9.0"/>
        <u/>
      </rPr>
      <t>Expansión</t>
    </r>
    <r>
      <rPr>
        <rFont val="Arial, sans-serif"/>
        <color rgb="FF1155CC"/>
        <sz val="15.0"/>
        <u/>
      </rPr>
      <t>Lo que piden Cepsa, Repsol, Enagás e Iberdrola para impulsar el hidrógeno</t>
    </r>
    <r>
      <rPr>
        <rFont val="Arial, sans-serif"/>
        <color rgb="FF1155CC"/>
        <sz val="11.0"/>
        <u/>
      </rPr>
      <t>Reclaman una regulación clara y favorable, agilizar la asignación de fondos y subvenciones, y crear la infraestructura para que se produzca el despegue de...</t>
    </r>
    <r>
      <rPr>
        <rFont val="Arial, sans-serif"/>
        <color rgb="FF1155CC"/>
        <sz val="12.0"/>
        <u/>
      </rPr>
      <t>.</t>
    </r>
    <r>
      <rPr>
        <rFont val="Arial, sans-serif"/>
        <color rgb="FF1155CC"/>
        <sz val="11.0"/>
        <u/>
      </rPr>
      <t>21 may 2024</t>
    </r>
  </si>
  <si>
    <t>Lo que piden Cepsa, Repsol, Enagás e Iberdrola para impulsar el hidrógeno</t>
  </si>
  <si>
    <t>Reclaman una regulación clara y favorable, agilizar la asignación de fondos y subvenciones, y crear la infraestructura para que se produzca el despegue de....</t>
  </si>
  <si>
    <t>What Cepsa, Repsol, Enagás and Iberdrola ask for to promote hydrogen</t>
  </si>
  <si>
    <t>They demand clear and favorable regulation, expedite the allocation of funds and subsidies, and create the infrastructure for the take-off of...</t>
  </si>
  <si>
    <t>Repsol policy advocacy, energy regulation</t>
  </si>
  <si>
    <t>Incidencia política de Repsol, regulación energética</t>
  </si>
  <si>
    <t>Advocating for regulatory clarity benefits Repsol’s energy initiatives.</t>
  </si>
  <si>
    <t>impulsar, hidrógeno</t>
  </si>
  <si>
    <t>Advocacy for clean energy.</t>
  </si>
  <si>
    <t>Defensa de la energía limpia.</t>
  </si>
  <si>
    <r>
      <rPr>
        <rFont val="Arial, sans-serif"/>
        <color rgb="FF1155CC"/>
        <sz val="9.0"/>
        <u/>
      </rPr>
      <t>Crónica Vasca</t>
    </r>
    <r>
      <rPr>
        <rFont val="Arial, sans-serif"/>
        <color rgb="FF1155CC"/>
        <sz val="15.0"/>
        <u/>
      </rPr>
      <t>Repsol gestionará los 5.800 puntos de recarga eléctrica desplegados por Ibil en toda España</t>
    </r>
    <r>
      <rPr>
        <rFont val="Arial, sans-serif"/>
        <color rgb="FF1155CC"/>
        <sz val="11.0"/>
        <u/>
      </rPr>
      <t>Por su parte, la sociedad que comparte el EVE con la petrolera pasará a centrarse en impulsar la movilidad con hidrógeno verde.</t>
    </r>
    <r>
      <rPr>
        <rFont val="Arial, sans-serif"/>
        <color rgb="FF1155CC"/>
        <sz val="12.0"/>
        <u/>
      </rPr>
      <t>.</t>
    </r>
    <r>
      <rPr>
        <rFont val="Arial, sans-serif"/>
        <color rgb="FF1155CC"/>
        <sz val="11.0"/>
        <u/>
      </rPr>
      <t>21 may 2024</t>
    </r>
  </si>
  <si>
    <t>Repsol gestionará los 5.800 puntos de recarga eléctrica desplegados por Ibil en toda España</t>
  </si>
  <si>
    <t>Por su parte, la sociedad que comparte el EVE con la petrolera pasará a centrarse en impulsar la movilidad con hidrógeno verde.</t>
  </si>
  <si>
    <t>Repsol will manage the 5,800 electric charging points deployed by Ibil throughout Spain</t>
  </si>
  <si>
    <t>For its part, the company that shares the EVE with the oil company will focus on promoting mobility with green hydrogen.</t>
  </si>
  <si>
    <t>Repsol electric mobility, renewable energy</t>
  </si>
  <si>
    <t>Movilidad eléctrica Repsol, energías renovables</t>
  </si>
  <si>
    <t>Expanding electric charging infrastructure reinforces Repsol’s commitment to sustainability.</t>
  </si>
  <si>
    <t>recarga eléctrica</t>
  </si>
  <si>
    <t>Expansion of EV infrastructure.</t>
  </si>
  <si>
    <t>Ampliación de la infraestructura de vehículos eléctricos.</t>
  </si>
  <si>
    <r>
      <rPr>
        <rFont val="Arial, sans-serif"/>
        <color rgb="FF1155CC"/>
        <sz val="9.0"/>
        <u/>
      </rPr>
      <t>El Día de Córdoba</t>
    </r>
    <r>
      <rPr>
        <rFont val="Arial, sans-serif"/>
        <color rgb="FF1155CC"/>
        <sz val="15.0"/>
        <u/>
      </rPr>
      <t>La única caseta de la Feria de Córdoba con un Sol Repsol en sus fogones</t>
    </r>
    <r>
      <rPr>
        <rFont val="Arial, sans-serif"/>
        <color rgb="FF1155CC"/>
        <sz val="11.0"/>
        <u/>
      </rPr>
      <t>Se trata de Gloria Bendita, cuyo propuesta gastronómica procede de Ermita de la Candelaria, restaurante recientemente distinguido por la prestigiosa Guía.</t>
    </r>
    <r>
      <rPr>
        <rFont val="Arial, sans-serif"/>
        <color rgb="FF1155CC"/>
        <sz val="12.0"/>
        <u/>
      </rPr>
      <t>.</t>
    </r>
    <r>
      <rPr>
        <rFont val="Arial, sans-serif"/>
        <color rgb="FF1155CC"/>
        <sz val="11.0"/>
        <u/>
      </rPr>
      <t>21 may 2024</t>
    </r>
  </si>
  <si>
    <t>La única caseta de la Feria de Córdoba con un Sol Repsol en sus fogones</t>
  </si>
  <si>
    <t>Se trata de Gloria Bendita, cuyo propuesta gastronómica procede de Ermita de la Candelaria, restaurante recientemente distinguido por la prestigiosa Guía.</t>
  </si>
  <si>
    <t>The only booth at the Córdoba Fair with a Sol Repsol in its kitchen</t>
  </si>
  <si>
    <t>This is Gloria Bendita, whose gastronomic proposal comes from Ermita de la Candelaria, a restaurant recently distinguished by the prestigious Guide.</t>
  </si>
  <si>
    <r>
      <rPr>
        <rFont val="Arial, sans-serif"/>
        <color rgb="FF1155CC"/>
        <sz val="9.0"/>
        <u/>
      </rPr>
      <t>Diario Sur</t>
    </r>
    <r>
      <rPr>
        <rFont val="Arial, sans-serif"/>
        <color rgb="FF1155CC"/>
        <sz val="15.0"/>
        <u/>
      </rPr>
      <t>La zona de Repsol toma impulso con el proyecto de un hotel</t>
    </r>
    <r>
      <rPr>
        <rFont val="Arial, sans-serif"/>
        <color rgb="FF1155CC"/>
        <sz val="11.0"/>
        <u/>
      </rPr>
      <t>Urbanismo tramita una operación para hacer posible la construcción de un edificio de siete plantas que albergará 168 habitaciones.</t>
    </r>
    <r>
      <rPr>
        <rFont val="Arial, sans-serif"/>
        <color rgb="FF1155CC"/>
        <sz val="12.0"/>
        <u/>
      </rPr>
      <t>.</t>
    </r>
    <r>
      <rPr>
        <rFont val="Arial, sans-serif"/>
        <color rgb="FF1155CC"/>
        <sz val="11.0"/>
        <u/>
      </rPr>
      <t>21 may 2024</t>
    </r>
  </si>
  <si>
    <t>La zona de Repsol toma impulso con el proyecto de un hotel</t>
  </si>
  <si>
    <t>Urbanismo tramita una operación para hacer posible la construcción de un edificio de siete plantas que albergará 168 habitaciones.</t>
  </si>
  <si>
    <t>The Repsol area gains momentum with the project of a hotel</t>
  </si>
  <si>
    <t>Urban planning is processing an operation to make possible the construction of a seven-story building that will house 168 rooms.</t>
  </si>
  <si>
    <t>Repsol urban development, business expansion</t>
  </si>
  <si>
    <t>Desarrollo urbanístico de Repsol, expansión empresarial</t>
  </si>
  <si>
    <t>Investing in urban projects strengthens Repsol’s diversification strategy.</t>
  </si>
  <si>
    <t>toma impulso</t>
  </si>
  <si>
    <t>Mildly positive development.</t>
  </si>
  <si>
    <t>Desarrollo ligeramente positivo.</t>
  </si>
  <si>
    <r>
      <rPr>
        <rFont val="Arial, sans-serif"/>
        <color rgb="FF1155CC"/>
        <sz val="9.0"/>
        <u/>
      </rPr>
      <t>Repsol</t>
    </r>
    <r>
      <rPr>
        <rFont val="Arial, sans-serif"/>
        <color rgb="FF1155CC"/>
        <sz val="15.0"/>
        <u/>
      </rPr>
      <t>(2024) Nuestras novedades circulares de polioles en la feria UTECH</t>
    </r>
    <r>
      <rPr>
        <rFont val="Arial, sans-serif"/>
        <color rgb="FF1155CC"/>
        <sz val="11.0"/>
        <u/>
      </rPr>
      <t>Hemos presentado nuestro poliol reciclado junto a otras novedades en la feria Utech, el evento líder para la industria mundial de poliuretanos celebrada en...</t>
    </r>
    <r>
      <rPr>
        <rFont val="Arial, sans-serif"/>
        <color rgb="FF1155CC"/>
        <sz val="12.0"/>
        <u/>
      </rPr>
      <t>.</t>
    </r>
    <r>
      <rPr>
        <rFont val="Arial, sans-serif"/>
        <color rgb="FF1155CC"/>
        <sz val="11.0"/>
        <u/>
      </rPr>
      <t>21 may 2024</t>
    </r>
  </si>
  <si>
    <t>Nuestras novedades circulares de polioles en la feria UTECH</t>
  </si>
  <si>
    <t>Hemos presentado nuestro poliol reciclado junto a otras novedades en la feria Utech, el evento líder para la industria mundial de poliuretanos celebrada en....</t>
  </si>
  <si>
    <t>Our new circular polyols at the UTECH fair</t>
  </si>
  <si>
    <t>We have presented our recycled polyol along with other innovations at the Utech fair, the leading event for the global polyurethane industry held in...</t>
  </si>
  <si>
    <r>
      <rPr>
        <rFont val="Arial, sans-serif"/>
        <color rgb="FF1155CC"/>
        <sz val="9.0"/>
        <u/>
      </rPr>
      <t>El Economista</t>
    </r>
    <r>
      <rPr>
        <rFont val="Arial, sans-serif"/>
        <color rgb="FF1155CC"/>
        <sz val="15.0"/>
        <u/>
      </rPr>
      <t>Repsol y Cepsa toman parte en la guerra comercial entre Temu y Shein</t>
    </r>
    <r>
      <rPr>
        <rFont val="Arial, sans-serif"/>
        <color rgb="FF1155CC"/>
        <sz val="11.0"/>
        <u/>
      </rPr>
      <t>La batalla entre Repsol y Cepsa para reforzar sus ofertas digitales se recrudece.</t>
    </r>
    <r>
      <rPr>
        <rFont val="Arial, sans-serif"/>
        <color rgb="FF1155CC"/>
        <sz val="12.0"/>
        <u/>
      </rPr>
      <t>.</t>
    </r>
    <r>
      <rPr>
        <rFont val="Arial, sans-serif"/>
        <color rgb="FF1155CC"/>
        <sz val="11.0"/>
        <u/>
      </rPr>
      <t>22 may 2024</t>
    </r>
  </si>
  <si>
    <t>Repsol y Cepsa toman parte en la guerra comercial entre Temu y Shein</t>
  </si>
  <si>
    <t>La batalla entre Repsol y Cepsa para reforzar sus ofertas digitales se recrudece.</t>
  </si>
  <si>
    <t>Repsol and Cepsa take part in the trade war between Temu and Shein</t>
  </si>
  <si>
    <t>The battle between Repsol and Cepsa to strengthen their digital offers intensifies.</t>
  </si>
  <si>
    <r>
      <rPr>
        <rFont val="Arial, sans-serif"/>
        <color rgb="FF1155CC"/>
        <sz val="9.0"/>
        <u/>
      </rPr>
      <t>EXTRADIGITAL</t>
    </r>
    <r>
      <rPr>
        <rFont val="Arial, sans-serif"/>
        <color rgb="FF1155CC"/>
        <sz val="15.0"/>
        <u/>
      </rPr>
      <t>Repsol busca coordinador de Marketing Digital para su Guía Repsol</t>
    </r>
    <r>
      <rPr>
        <rFont val="Arial, sans-serif"/>
        <color rgb="FF1155CC"/>
        <sz val="11.0"/>
        <u/>
      </rPr>
      <t>En Repsol están buscando una persona que quiera trabajar en su Dirección de Comunicación y Marca, concretamente, en el área de Guía Repsol como coordinador...</t>
    </r>
    <r>
      <rPr>
        <rFont val="Arial, sans-serif"/>
        <color rgb="FF1155CC"/>
        <sz val="12.0"/>
        <u/>
      </rPr>
      <t>.</t>
    </r>
    <r>
      <rPr>
        <rFont val="Arial, sans-serif"/>
        <color rgb="FF1155CC"/>
        <sz val="11.0"/>
        <u/>
      </rPr>
      <t>22 may 2024</t>
    </r>
  </si>
  <si>
    <t>EXTRADIGITAL</t>
  </si>
  <si>
    <t>Repsol busca coordinador de Marketing Digital para su Guía Repsol</t>
  </si>
  <si>
    <t>En Repsol están buscando una persona que quiera trabajar en su Dirección de Comunicación y Marca, concretamente, en el área de Guía Repsol como coordinador....</t>
  </si>
  <si>
    <t>Repsol seeks Digital Marketing coordinator for its Repsol Guide</t>
  </si>
  <si>
    <t>At Repsol they are looking for a person who wants to work in their Communication and Brand Department, specifically, in the Repsol Guide area as a coordinator....</t>
  </si>
  <si>
    <r>
      <rPr>
        <rFont val="Arial, sans-serif"/>
        <color rgb="FF1155CC"/>
        <sz val="9.0"/>
        <u/>
      </rPr>
      <t>ELLE</t>
    </r>
    <r>
      <rPr>
        <rFont val="Arial, sans-serif"/>
        <color rgb="FF1155CC"/>
        <sz val="15.0"/>
        <u/>
      </rPr>
      <t>Este restaurante francés con Sol Repsol inaugura su brunch en una de las terrazas 'escondidas' más bonitas de Madrid</t>
    </r>
    <r>
      <rPr>
        <rFont val="Arial, sans-serif"/>
        <color rgb="FF1155CC"/>
        <sz val="11.0"/>
        <u/>
      </rPr>
      <t>El restaurante francés Lafayette, con un Sol Repsol, estrena brunch y nueva carta de temporada en la terraza ajardinada más bonita de la capital.</t>
    </r>
    <r>
      <rPr>
        <rFont val="Arial, sans-serif"/>
        <color rgb="FF1155CC"/>
        <sz val="12.0"/>
        <u/>
      </rPr>
      <t>.</t>
    </r>
    <r>
      <rPr>
        <rFont val="Arial, sans-serif"/>
        <color rgb="FF1155CC"/>
        <sz val="11.0"/>
        <u/>
      </rPr>
      <t>22 may 2024</t>
    </r>
  </si>
  <si>
    <t>Este restaurante francés con Sol Repsol inaugura su brunch en una de las terrazas 'escondidas' más bonitas de Madrid</t>
  </si>
  <si>
    <t>El restaurante francés Lafayette, con un Sol Repsol, estrena brunch y nueva carta de temporada en la terraza ajardinada más bonita de la capital.</t>
  </si>
  <si>
    <t>This French restaurant with Sol Repsol opens its brunch on one of the most beautiful 'hidden' terraces in Madrid</t>
  </si>
  <si>
    <t>The French restaurant Lafayette, with a Sol Repsol, debuts brunch and a new seasonal menu on the most beautiful garden terrace in the capital.</t>
  </si>
  <si>
    <r>
      <rPr>
        <rFont val="Arial, sans-serif"/>
        <color rgb="FF1155CC"/>
        <sz val="9.0"/>
        <u/>
      </rPr>
      <t>Guía Repsol</t>
    </r>
    <r>
      <rPr>
        <rFont val="Arial, sans-serif"/>
        <color rgb="FF1155CC"/>
        <sz val="15.0"/>
        <u/>
      </rPr>
      <t>'Helguera Palacio Boutique &amp; Antique' en Las Presillas (Cantabria)</t>
    </r>
    <r>
      <rPr>
        <rFont val="Arial, sans-serif"/>
        <color rgb="FF1155CC"/>
        <sz val="11.0"/>
        <u/>
      </rPr>
      <t>Sumérgete en la historia y el lujo en Helguera Palacio Boutique &amp; Antique, un hotel de 5 estrellas en Cantabria que te ofrece alojamiento en habitaciones...</t>
    </r>
    <r>
      <rPr>
        <rFont val="Arial, sans-serif"/>
        <color rgb="FF1155CC"/>
        <sz val="12.0"/>
        <u/>
      </rPr>
      <t>.</t>
    </r>
    <r>
      <rPr>
        <rFont val="Arial, sans-serif"/>
        <color rgb="FF1155CC"/>
        <sz val="11.0"/>
        <u/>
      </rPr>
      <t>22 may 2024</t>
    </r>
  </si>
  <si>
    <t>'Helguera Palacio Boutique &amp; Antique' en Las Presillas (Cantabria)</t>
  </si>
  <si>
    <t>Sumérgete en la historia y el lujo en Helguera Palacio Boutique &amp; Antique, un hotel de 5 estrellas en Cantabria que te ofrece alojamiento en habitaciones....</t>
  </si>
  <si>
    <t>'Helguera Palacio Boutique &amp; Antique' in Las Presillas (Cantabria)</t>
  </si>
  <si>
    <t>Immerse yourself in history and luxury at Helguera Palacio Boutique &amp; Antique, a 5-star hotel in Cantabria that offers accommodation in rooms....</t>
  </si>
  <si>
    <r>
      <rPr>
        <rFont val="Arial, sans-serif"/>
        <color rgb="FF1155CC"/>
        <sz val="9.0"/>
        <u/>
      </rPr>
      <t>Mongabay</t>
    </r>
    <r>
      <rPr>
        <rFont val="Arial, sans-serif"/>
        <color rgb="FF1155CC"/>
        <sz val="15.0"/>
        <u/>
      </rPr>
      <t>Las secuelas del derrame de Repsol: “Me vi obligado a olvidar la pesca. Por más que quisiera volver no puedo”</t>
    </r>
    <r>
      <rPr>
        <rFont val="Arial, sans-serif"/>
        <color rgb="FF1155CC"/>
        <sz val="11.0"/>
        <u/>
      </rPr>
      <t>El ayacuchano Miguel Angel Núñez dedicaba sus días a ser pescador en las riberas de Ventanilla cuando ocurrió el derrame de petróleo en el terminal marítimo...</t>
    </r>
    <r>
      <rPr>
        <rFont val="Arial, sans-serif"/>
        <color rgb="FF1155CC"/>
        <sz val="12.0"/>
        <u/>
      </rPr>
      <t>.</t>
    </r>
    <r>
      <rPr>
        <rFont val="Arial, sans-serif"/>
        <color rgb="FF1155CC"/>
        <sz val="11.0"/>
        <u/>
      </rPr>
      <t>22 may 2024</t>
    </r>
  </si>
  <si>
    <t>Las secuelas del derrame de Repsol: “Me vi obligado a olvidar la pesca. Por más que quisiera volver no puedo”</t>
  </si>
  <si>
    <t>"Me vi obligado a olvidar la pesca. Por más que quisiera volver no puedo"</t>
  </si>
  <si>
    <t>The aftermath of the Repsol spill: “I was forced to forget about fishing. As much as I would like to go back, I can't."</t>
  </si>
  <si>
    <t>"I was forced to forget about fishing. As much as I wanted to go back, I can't"</t>
  </si>
  <si>
    <t>Ongoing environmental damage claims may negatively impact Repsol’s reputation.</t>
  </si>
  <si>
    <t>derrame, secuelas</t>
  </si>
  <si>
    <r>
      <rPr>
        <rFont val="Arial, sans-serif"/>
        <color rgb="FF1155CC"/>
        <sz val="9.0"/>
        <u/>
      </rPr>
      <t>HOLA</t>
    </r>
    <r>
      <rPr>
        <rFont val="Arial, sans-serif"/>
        <color rgb="FF1155CC"/>
        <sz val="15.0"/>
        <u/>
      </rPr>
      <t>Emociónate en el Corral de la Morería</t>
    </r>
    <r>
      <rPr>
        <rFont val="Arial, sans-serif"/>
        <color rgb="FF1155CC"/>
        <sz val="11.0"/>
        <u/>
      </rPr>
      <t>El Corral de la Morería no solo está considerado el mejor del mundo, sino que es el único con una estrella Michelin y con una bodega mítica en la que...</t>
    </r>
    <r>
      <rPr>
        <rFont val="Arial, sans-serif"/>
        <color rgb="FF1155CC"/>
        <sz val="12.0"/>
        <u/>
      </rPr>
      <t>.</t>
    </r>
    <r>
      <rPr>
        <rFont val="Arial, sans-serif"/>
        <color rgb="FF1155CC"/>
        <sz val="11.0"/>
        <u/>
      </rPr>
      <t>22 may 2024</t>
    </r>
  </si>
  <si>
    <t>Emociónate en el Corral de la Morería</t>
  </si>
  <si>
    <t>El Corral de la Morería no solo está considerado el mejor del mundo, sino que es el único con una estrella Michelin y con una bodega mítica en la que....</t>
  </si>
  <si>
    <t>Get excited at the Corral de la Morería</t>
  </si>
  <si>
    <t>El Corral de la Morería is not only considered the best in the world, but it is the only one with a Michelin star and with a legendary winery in which...</t>
  </si>
  <si>
    <r>
      <rPr>
        <rFont val="Arial, sans-serif"/>
        <color rgb="FF1155CC"/>
        <sz val="9.0"/>
        <u/>
      </rPr>
      <t>Revista Caretas</t>
    </r>
    <r>
      <rPr>
        <rFont val="Arial, sans-serif"/>
        <color rgb="FF1155CC"/>
        <sz val="15.0"/>
        <u/>
      </rPr>
      <t>Caretas Lab | Transformando vidas a través del emprendimiento gracias a Impulsared</t>
    </r>
    <r>
      <rPr>
        <rFont val="Arial, sans-serif"/>
        <color rgb="FF1155CC"/>
        <sz val="11.0"/>
        <u/>
      </rPr>
      <t>En la larga trayectoria de Repsol en el Perú, que pronto cumplirá tres décadas, la empresa se ha forjado un compromiso sólido con el desarrollo de las...</t>
    </r>
    <r>
      <rPr>
        <rFont val="Arial, sans-serif"/>
        <color rgb="FF1155CC"/>
        <sz val="12.0"/>
        <u/>
      </rPr>
      <t>.</t>
    </r>
    <r>
      <rPr>
        <rFont val="Arial, sans-serif"/>
        <color rgb="FF1155CC"/>
        <sz val="11.0"/>
        <u/>
      </rPr>
      <t>22 may 2024</t>
    </r>
  </si>
  <si>
    <t>Transformando vidas a través del emprendimiento gracias a Impulsared</t>
  </si>
  <si>
    <t>Transformando vidas a través del emprendimiento gracias a Impulsared. En la larga trayectoria de Repsol en el Perú, que pronto cumplirá tres décadas, la empresa se ha forjado un compromiso sólido con el desarrollo de las....</t>
  </si>
  <si>
    <t>Transforming lives through entrepreneurship thanks to Impulsared</t>
  </si>
  <si>
    <t>Transforming lives through entrepreneurship thanks to Impulsared. In Repsol's long history in Peru, which will soon celebrate three decades, the company has forged a solid commitment to the development of...</t>
  </si>
  <si>
    <r>
      <rPr>
        <rFont val="Arial, sans-serif"/>
        <color rgb="FF1155CC"/>
        <sz val="9.0"/>
        <u/>
      </rPr>
      <t>El Comercio</t>
    </r>
    <r>
      <rPr>
        <rFont val="Arial, sans-serif"/>
        <color rgb="FF1155CC"/>
        <sz val="15.0"/>
        <u/>
      </rPr>
      <t>Una de las tres mejores gasolineras de toda España se encuentra en esta localidad asturiana</t>
    </r>
    <r>
      <rPr>
        <rFont val="Arial, sans-serif"/>
        <color rgb="FF1155CC"/>
        <sz val="11.0"/>
        <u/>
      </rPr>
      <t>La unidad de suministro de este municipio se impuso en un concurso con más de 4.000 establecimientos de repostaje.</t>
    </r>
    <r>
      <rPr>
        <rFont val="Arial, sans-serif"/>
        <color rgb="FF1155CC"/>
        <sz val="12.0"/>
        <u/>
      </rPr>
      <t>.</t>
    </r>
    <r>
      <rPr>
        <rFont val="Arial, sans-serif"/>
        <color rgb="FF1155CC"/>
        <sz val="11.0"/>
        <u/>
      </rPr>
      <t>22 may 2024</t>
    </r>
  </si>
  <si>
    <t>Una de las tres mejores gasolineras de toda España se encuentra en esta localidad asturiana</t>
  </si>
  <si>
    <t>La unidad de suministro de este municipio se impuso en un concurso con más de 4.000 establecimientos de repostaje.</t>
  </si>
  <si>
    <t>One of the three best gas stations in all of Spain is located in this Asturian town</t>
  </si>
  <si>
    <t>The supply unit of this municipality won a competition with more than 4,000 refueling establishments.</t>
  </si>
  <si>
    <r>
      <rPr>
        <rFont val="Arial, sans-serif"/>
        <color rgb="FF1155CC"/>
        <sz val="9.0"/>
        <u/>
      </rPr>
      <t>Antena 3</t>
    </r>
    <r>
      <rPr>
        <rFont val="Arial, sans-serif"/>
        <color rgb="FF1155CC"/>
        <sz val="15.0"/>
        <u/>
      </rPr>
      <t>Los combustibles renovables llegan a MotoGP</t>
    </r>
    <r>
      <rPr>
        <rFont val="Arial, sans-serif"/>
        <color rgb="FF1155CC"/>
        <sz val="11.0"/>
        <u/>
      </rPr>
      <t>Este año utilizan un 40% de combustible renovable y a partir de 2027 deberá ser el 100%.</t>
    </r>
    <r>
      <rPr>
        <rFont val="Arial, sans-serif"/>
        <color rgb="FF1155CC"/>
        <sz val="12.0"/>
        <u/>
      </rPr>
      <t>.</t>
    </r>
    <r>
      <rPr>
        <rFont val="Arial, sans-serif"/>
        <color rgb="FF1155CC"/>
        <sz val="11.0"/>
        <u/>
      </rPr>
      <t>22 may 2024</t>
    </r>
  </si>
  <si>
    <t>Los combustibles renovables llegan a MotoGP</t>
  </si>
  <si>
    <t>Este año utilizan un 40% de combustible renovable y a partir de 2027 deberá ser el 100%.</t>
  </si>
  <si>
    <t>Renewable fuels come to MotoGP</t>
  </si>
  <si>
    <t>This year they use 40% renewable fuel and from 2027 it should be 100%.</t>
  </si>
  <si>
    <t>Promoting renewable fuels in sports aligns with Repsol’s green transition goals.</t>
  </si>
  <si>
    <t>renovables</t>
  </si>
  <si>
    <r>
      <rPr>
        <rFont val="Arial, sans-serif"/>
        <color rgb="FF1155CC"/>
        <sz val="9.0"/>
        <u/>
      </rPr>
      <t>El Periódico de la Energía</t>
    </r>
    <r>
      <rPr>
        <rFont val="Arial, sans-serif"/>
        <color rgb="FF1155CC"/>
        <sz val="15.0"/>
        <u/>
      </rPr>
      <t>China estudia subir los aranceles sobre los coches importados en respuesta a EEUU y la UE</t>
    </r>
    <r>
      <rPr>
        <rFont val="Arial, sans-serif"/>
        <color rgb="FF1155CC"/>
        <sz val="11.0"/>
        <u/>
      </rPr>
      <t>China se está planteando una subida de los aranceles temporales, que podría llegar hasta el 25% a la importación de automóviles de EEUU y UE.</t>
    </r>
    <r>
      <rPr>
        <rFont val="Arial, sans-serif"/>
        <color rgb="FF1155CC"/>
        <sz val="12.0"/>
        <u/>
      </rPr>
      <t>.</t>
    </r>
    <r>
      <rPr>
        <rFont val="Arial, sans-serif"/>
        <color rgb="FF1155CC"/>
        <sz val="11.0"/>
        <u/>
      </rPr>
      <t>22 may 2024</t>
    </r>
  </si>
  <si>
    <t>China estudia subir los aranceles sobre los coches importados en respuesta a EEUU y la UE</t>
  </si>
  <si>
    <t>China se está planteando una subida de los aranceles temporales, que podría llegar hasta el 25% a la importación de automóviles de EEUU y UE.</t>
  </si>
  <si>
    <t>China studies raising tariffs on imported cars in response to the US and the EU</t>
  </si>
  <si>
    <t>China is considering an increase in temporary tariffs, which could reach up to 25% on imports of cars from the US and EU.</t>
  </si>
  <si>
    <t>Trade</t>
  </si>
  <si>
    <r>
      <rPr>
        <rFont val="Arial, sans-serif"/>
        <color rgb="FF1155CC"/>
        <sz val="9.0"/>
        <u/>
      </rPr>
      <t>Guía Repsol</t>
    </r>
    <r>
      <rPr>
        <rFont val="Arial, sans-serif"/>
        <color rgb="FF1155CC"/>
        <sz val="15.0"/>
        <u/>
      </rPr>
      <t>Descubre Ruta por el barrio Porvenir (Sevilla)</t>
    </r>
    <r>
      <rPr>
        <rFont val="Arial, sans-serif"/>
        <color rgb="FF1155CC"/>
        <sz val="11.0"/>
        <u/>
      </rPr>
      <t>El Porvenir, nacido de la Exposición Iberoamericana de 1929 en Sevilla, se ha transformado en un dinámico barrio lleno de historia, elegancia y una vibrante...</t>
    </r>
    <r>
      <rPr>
        <rFont val="Arial, sans-serif"/>
        <color rgb="FF1155CC"/>
        <sz val="12.0"/>
        <u/>
      </rPr>
      <t>.</t>
    </r>
    <r>
      <rPr>
        <rFont val="Arial, sans-serif"/>
        <color rgb="FF1155CC"/>
        <sz val="11.0"/>
        <u/>
      </rPr>
      <t>23 may 2024</t>
    </r>
  </si>
  <si>
    <t>Descubre Ruta por el barrio Porvenir (Sevilla)</t>
  </si>
  <si>
    <t>El Porvenir, nacido de la Exposición Iberoamericana de 1929 en Sevilla, se ha transformado en un dinámico barrio lleno de historia, elegancia y una vibrante....</t>
  </si>
  <si>
    <t>Discover Route through the Porvenir neighborhood (Seville)</t>
  </si>
  <si>
    <t>El Porvenir, born from the 1929 Ibero-American Exposition in Seville, has been transformed into a dynamic neighborhood full of history, elegance and a vibrant...</t>
  </si>
  <si>
    <r>
      <rPr>
        <rFont val="Arial, sans-serif"/>
        <color rgb="FF1155CC"/>
        <sz val="9.0"/>
        <u/>
      </rPr>
      <t>El Español</t>
    </r>
    <r>
      <rPr>
        <rFont val="Arial, sans-serif"/>
        <color rgb="FF1155CC"/>
        <sz val="15.0"/>
        <u/>
      </rPr>
      <t>El único restaurante mexicano de Europa con Solete Repsol está en Valladolid: "Esta cocina es la gran desconocida"</t>
    </r>
    <r>
      <rPr>
        <rFont val="Arial, sans-serif"/>
        <color rgb="FF1155CC"/>
        <sz val="11.0"/>
        <u/>
      </rPr>
      <t>José Manuel Cordero regenta el local desde hace más de 25 años en un conocido barrio desde donde ha logrado convertir el establecimiento en un lugar de...</t>
    </r>
    <r>
      <rPr>
        <rFont val="Arial, sans-serif"/>
        <color rgb="FF1155CC"/>
        <sz val="12.0"/>
        <u/>
      </rPr>
      <t>.</t>
    </r>
    <r>
      <rPr>
        <rFont val="Arial, sans-serif"/>
        <color rgb="FF1155CC"/>
        <sz val="11.0"/>
        <u/>
      </rPr>
      <t>23 may 2024</t>
    </r>
  </si>
  <si>
    <t>El único restaurante mexicano de Europa con Solete Repsol está en Valladolid: "Esta cocina es la gran desconocida"</t>
  </si>
  <si>
    <t>"Esta cocina es la gran desconocida" José Manuel Cordero regenta el local desde hace más de 25 años en un conocido barrio desde donde ha logrado convertir el establecimiento en un lugar de....</t>
  </si>
  <si>
    <t>The only Mexican restaurant in Europe with Solete Repsol is in Valladolid: "This cuisine is the great unknown"</t>
  </si>
  <si>
    <t>"This cuisine is the great unknown" José Manuel Cordero has run the establishment for more than 25 years in a well-known neighborhood from where he has managed to turn the establishment into a place of...</t>
  </si>
  <si>
    <r>
      <rPr>
        <rFont val="Arial, sans-serif"/>
        <color rgb="FF1155CC"/>
        <sz val="9.0"/>
        <u/>
      </rPr>
      <t>Rockdelux</t>
    </r>
    <r>
      <rPr>
        <rFont val="Arial, sans-serif"/>
        <color rgb="FF1155CC"/>
        <sz val="15.0"/>
        <u/>
      </rPr>
      <t>(Multi)Energía festivalera</t>
    </r>
    <r>
      <rPr>
        <rFont val="Arial, sans-serif"/>
        <color rgb="FF1155CC"/>
        <sz val="11.0"/>
        <u/>
      </rPr>
      <t>Repsol se alía con Advanced Music, Bring The Noise, Centris, elrow, The Music Republic y Sharemusic! para aportar soluciones de energía renovable.</t>
    </r>
    <r>
      <rPr>
        <rFont val="Arial, sans-serif"/>
        <color rgb="FF1155CC"/>
        <sz val="12.0"/>
        <u/>
      </rPr>
      <t>.</t>
    </r>
    <r>
      <rPr>
        <rFont val="Arial, sans-serif"/>
        <color rgb="FF1155CC"/>
        <sz val="11.0"/>
        <u/>
      </rPr>
      <t>23 may 2024</t>
    </r>
  </si>
  <si>
    <t>Rockdelux</t>
  </si>
  <si>
    <t>Energía festivalera</t>
  </si>
  <si>
    <t>Repsol se alía con Advanced Music, Bring The Noise, Centris, elrow, The Music Republic y Sharemusic! para aportar soluciones de energía renovable.</t>
  </si>
  <si>
    <t>festival energy</t>
  </si>
  <si>
    <t>Repsol joins forces with Advanced Music, Bring The Noise, Centris, elrow, The Music Republic and Sharemusic! to provide renewable energy solutions.</t>
  </si>
  <si>
    <r>
      <rPr>
        <rFont val="Arial, sans-serif"/>
        <color rgb="FF1155CC"/>
        <sz val="9.0"/>
        <u/>
      </rPr>
      <t>Bloomberg.com</t>
    </r>
    <r>
      <rPr>
        <rFont val="Arial, sans-serif"/>
        <color rgb="FF1155CC"/>
        <sz val="15.0"/>
        <u/>
      </rPr>
      <t>Repsol obtiene una licencia de EE.UU. para seguir operando en Venezuela</t>
    </r>
    <r>
      <rPr>
        <rFont val="Arial, sans-serif"/>
        <color rgb="FF1155CC"/>
        <sz val="11.0"/>
        <u/>
      </rPr>
      <t>La petrolera española Repsol S.A. obtuvo el miércoles una licencia de Estados Unidos que le permite seguir operando en Venezuela después del 31 de mayo,...</t>
    </r>
    <r>
      <rPr>
        <rFont val="Arial, sans-serif"/>
        <color rgb="FF1155CC"/>
        <sz val="12.0"/>
        <u/>
      </rPr>
      <t>.</t>
    </r>
    <r>
      <rPr>
        <rFont val="Arial, sans-serif"/>
        <color rgb="FF1155CC"/>
        <sz val="11.0"/>
        <u/>
      </rPr>
      <t>23 may 2024</t>
    </r>
  </si>
  <si>
    <t>Bloomberg.com</t>
  </si>
  <si>
    <t>Repsol obtiene una licencia de EE.UU. para seguir operando en Venezuela</t>
  </si>
  <si>
    <t>La petrolera española Repsol S.A. obtuvo el miércoles una licencia de Estados Unidos que le permite seguir operando en Venezuela después del 31 de mayo,....</t>
  </si>
  <si>
    <t>Repsol obtains a US license to continue operating in Venezuela</t>
  </si>
  <si>
    <t>The Spanish oil company Repsol S.A. obtained a license from the United States on Wednesday that allows it to continue operating in Venezuela after May 31,...</t>
  </si>
  <si>
    <t>Securing operating licenses in Venezuela strengthens Repsol’s energy business.</t>
  </si>
  <si>
    <t>licencia, operando</t>
  </si>
  <si>
    <t>Positive regulatory approval.</t>
  </si>
  <si>
    <t>Aprobación regulatoria positiva.</t>
  </si>
  <si>
    <r>
      <rPr>
        <rFont val="Arial, sans-serif"/>
        <color rgb="FF1155CC"/>
        <sz val="9.0"/>
        <u/>
      </rPr>
      <t>La Voz de Asturias</t>
    </r>
    <r>
      <rPr>
        <rFont val="Arial, sans-serif"/>
        <color rgb="FF1155CC"/>
        <sz val="15.0"/>
        <u/>
      </rPr>
      <t>Esta es la gasolinera asturiana que está entre las tres mejores de España</t>
    </r>
    <r>
      <rPr>
        <rFont val="Arial, sans-serif"/>
        <color rgb="FF1155CC"/>
        <sz val="11.0"/>
        <u/>
      </rPr>
      <t>La estación de servicio ha sido premiada en un concurso a nivel nacional con 4.000 establecimientos participantes.</t>
    </r>
    <r>
      <rPr>
        <rFont val="Arial, sans-serif"/>
        <color rgb="FF1155CC"/>
        <sz val="12.0"/>
        <u/>
      </rPr>
      <t>.</t>
    </r>
    <r>
      <rPr>
        <rFont val="Arial, sans-serif"/>
        <color rgb="FF1155CC"/>
        <sz val="11.0"/>
        <u/>
      </rPr>
      <t>23 may 2024</t>
    </r>
  </si>
  <si>
    <t>Esta es la gasolinera asturiana que está entre las tres mejores de España</t>
  </si>
  <si>
    <t>La estación de servicio ha sido premiada en un concurso a nivel nacional con 4.000 establecimientos participantes.</t>
  </si>
  <si>
    <t>This is the Asturian gas station that is among the three best in Spain</t>
  </si>
  <si>
    <t>The service station has been awarded in a nationwide competition with 4,000 participating establishments.</t>
  </si>
  <si>
    <r>
      <rPr>
        <rFont val="Arial, sans-serif"/>
        <color rgb="FF1155CC"/>
        <sz val="9.0"/>
        <u/>
      </rPr>
      <t>Voz de América</t>
    </r>
    <r>
      <rPr>
        <rFont val="Arial, sans-serif"/>
        <color rgb="FF1155CC"/>
        <sz val="15.0"/>
        <u/>
      </rPr>
      <t>Española Repsol recibe licencia de EEUU para proyectos de petróleo y gas en Venezuela: fuentes</t>
    </r>
    <r>
      <rPr>
        <rFont val="Arial, sans-serif"/>
        <color rgb="FF1155CC"/>
        <sz val="11.0"/>
        <u/>
      </rPr>
      <t>La compañía española Repsol recibió una licencia de Estados Unidos que la autoriza para continuar y expandir sus negocios de petróleo y gas en Venezuela.</t>
    </r>
    <r>
      <rPr>
        <rFont val="Arial, sans-serif"/>
        <color rgb="FF1155CC"/>
        <sz val="12.0"/>
        <u/>
      </rPr>
      <t>.</t>
    </r>
    <r>
      <rPr>
        <rFont val="Arial, sans-serif"/>
        <color rgb="FF1155CC"/>
        <sz val="11.0"/>
        <u/>
      </rPr>
      <t>23 may 2024</t>
    </r>
  </si>
  <si>
    <t>Voz de América</t>
  </si>
  <si>
    <t>Repsol recibe licencia de EEUU para proyectos de petróleo y gas en Venezuela: fuentes</t>
  </si>
  <si>
    <t>La compañía española Repsol recibió una licencia de Estados Unidos que la autoriza para continuar y expandir sus negocios de petróleo y gas en Venezuela.</t>
  </si>
  <si>
    <t>Repsol receives US license for oil and gas projects in Venezuela: sources</t>
  </si>
  <si>
    <t>The Spanish company Repsol received a license from the United States that authorizes it to continue and expand its oil and gas businesses in Venezuela.</t>
  </si>
  <si>
    <t>Renewing international energy licenses supports Repsol’s global expansion.</t>
  </si>
  <si>
    <t>licencia</t>
  </si>
  <si>
    <t>Positive for operations.</t>
  </si>
  <si>
    <t>Positivo para las operaciones.</t>
  </si>
  <si>
    <r>
      <rPr>
        <rFont val="Arial, sans-serif"/>
        <color rgb="FF1155CC"/>
        <sz val="9.0"/>
        <u/>
      </rPr>
      <t>AlbertoNews - Periodismo sin censura</t>
    </r>
    <r>
      <rPr>
        <rFont val="Arial, sans-serif"/>
        <color rgb="FF1155CC"/>
        <sz val="15.0"/>
        <u/>
      </rPr>
      <t>Repsol obtiene una licencia de Estados Unidos para seguir operando en Venezuela después del 31 de mayo</t>
    </r>
    <r>
      <rPr>
        <rFont val="Arial, sans-serif"/>
        <color rgb="FF1155CC"/>
        <sz val="11.0"/>
        <u/>
      </rPr>
      <t>Repsol ha obtenido una licencia de Estados Unidos, una licencia que le permite seguir operando en Venezuela después del 31 de mayo, según fuentes con...</t>
    </r>
    <r>
      <rPr>
        <rFont val="Arial, sans-serif"/>
        <color rgb="FF1155CC"/>
        <sz val="12.0"/>
        <u/>
      </rPr>
      <t>.</t>
    </r>
    <r>
      <rPr>
        <rFont val="Arial, sans-serif"/>
        <color rgb="FF1155CC"/>
        <sz val="11.0"/>
        <u/>
      </rPr>
      <t>23 may 2024</t>
    </r>
  </si>
  <si>
    <t>AlbertoNews</t>
  </si>
  <si>
    <t>Repsol obtiene una licencia de Estados Unidos para seguir operando en Venezuela después del 31 de mayo</t>
  </si>
  <si>
    <t>Repsol ha obtenido una licencia de Estados Unidos, una licencia que le permite seguir operando en Venezuela después del 31 de mayo, según fuentes con....</t>
  </si>
  <si>
    <t>Repsol obtains a license from the United States to continue operating in Venezuela after May 31</t>
  </si>
  <si>
    <t>Repsol has obtained a license from the United States, a license that allows it to continue operating in Venezuela after May 31, according to sources with...</t>
  </si>
  <si>
    <t>Renewing operational rights in Venezuela strengthens Repsol’s oil sector presence.</t>
  </si>
  <si>
    <t>Positive regulatory news.</t>
  </si>
  <si>
    <t>Noticias regulatorias positivas.</t>
  </si>
  <si>
    <r>
      <rPr>
        <rFont val="Arial, sans-serif"/>
        <color rgb="FF1155CC"/>
        <sz val="9.0"/>
        <u/>
      </rPr>
      <t>Banca y Negocios</t>
    </r>
    <r>
      <rPr>
        <rFont val="Arial, sans-serif"/>
        <color rgb="FF1155CC"/>
        <sz val="15.0"/>
        <u/>
      </rPr>
      <t>Bloomberg: Repsol obtiene licencia de EEUU para seguir operando en Venezuela después del #31may</t>
    </r>
    <r>
      <rPr>
        <rFont val="Arial, sans-serif"/>
        <color rgb="FF1155CC"/>
        <sz val="11.0"/>
        <u/>
      </rPr>
      <t>Repsol firmó recientemente un acuerdo con Pdvsa que amplía la cantidad de campos petroleros a explotar en una empresa.</t>
    </r>
    <r>
      <rPr>
        <rFont val="Arial, sans-serif"/>
        <color rgb="FF1155CC"/>
        <sz val="12.0"/>
        <u/>
      </rPr>
      <t>.</t>
    </r>
    <r>
      <rPr>
        <rFont val="Arial, sans-serif"/>
        <color rgb="FF1155CC"/>
        <sz val="11.0"/>
        <u/>
      </rPr>
      <t>23 may 2024</t>
    </r>
  </si>
  <si>
    <t>Repsol obtiene licencia de EEUU para seguir operando en Venezuela después del #31may</t>
  </si>
  <si>
    <t>Repsol firmó recientemente un acuerdo con Pdvsa que amplía la cantidad de campos petroleros a explotar en una empresa.</t>
  </si>
  <si>
    <t>Repsol obtains license from the US to continue operating in Venezuela after #May 31</t>
  </si>
  <si>
    <t>Repsol recently signed an agreement with PDVSA that expands the number of oil fields to be exploited by a company.</t>
  </si>
  <si>
    <t>Repsol Venezuela, business expansion</t>
  </si>
  <si>
    <t>Repsol Venezuela, expansión empresarial</t>
  </si>
  <si>
    <t>Securing a US license to continue operations in Venezuela strengthens Repsol’s global energy strategy.</t>
  </si>
  <si>
    <t>Reiteration of positive news.</t>
  </si>
  <si>
    <t>Reiteración de noticias positivas.</t>
  </si>
  <si>
    <r>
      <rPr>
        <rFont val="Arial, sans-serif"/>
        <color rgb="FF1155CC"/>
        <sz val="9.0"/>
        <u/>
      </rPr>
      <t>El Economista</t>
    </r>
    <r>
      <rPr>
        <rFont val="Arial, sans-serif"/>
        <color rgb="FF1155CC"/>
        <sz val="15.0"/>
        <u/>
      </rPr>
      <t>España vive una fiebre de nuevos proyectos de parques eólicos marinos</t>
    </r>
    <r>
      <rPr>
        <rFont val="Arial, sans-serif"/>
        <color rgb="FF1155CC"/>
        <sz val="11.0"/>
        <u/>
      </rPr>
      <t>El sector de las energías renovables se prepara para una futura subasta de eólica marina en España. Poco a poco, el Ministerio de ...</t>
    </r>
    <r>
      <rPr>
        <rFont val="Arial, sans-serif"/>
        <color rgb="FF1155CC"/>
        <sz val="12.0"/>
        <u/>
      </rPr>
      <t>.</t>
    </r>
    <r>
      <rPr>
        <rFont val="Arial, sans-serif"/>
        <color rgb="FF1155CC"/>
        <sz val="11.0"/>
        <u/>
      </rPr>
      <t>23 may 2024</t>
    </r>
  </si>
  <si>
    <t>España vive una fiebre de nuevos proyectos de parques eólicos marinos</t>
  </si>
  <si>
    <t>El sector de las energías renovables se prepara para una futura subasta de eólica marina en España. Poco a poco, el Ministerio de ....</t>
  </si>
  <si>
    <t>Spain is experiencing a fever of new offshore wind farm projects</t>
  </si>
  <si>
    <t>The renewable energy sector is preparing for a future offshore wind auction in Spain. Little by little, the Ministry of...</t>
  </si>
  <si>
    <t>Expanding offshore wind projects supports Repsol’s clean energy transition.</t>
  </si>
  <si>
    <r>
      <rPr>
        <rFont val="Arial, sans-serif"/>
        <color rgb="FF1155CC"/>
        <sz val="9.0"/>
        <u/>
      </rPr>
      <t>Expansión</t>
    </r>
    <r>
      <rPr>
        <rFont val="Arial, sans-serif"/>
        <color rgb="FF1155CC"/>
        <sz val="15.0"/>
        <u/>
      </rPr>
      <t>Aramco propone a Repsol entrar en su filial de energías renovables</t>
    </r>
    <r>
      <rPr>
        <rFont val="Arial, sans-serif"/>
        <color rgb="FF1155CC"/>
        <sz val="11.0"/>
        <u/>
      </rPr>
      <t>Aramco está interesada en entrar en el capital de Repsol Renovables, según varias fuentes del mercado consultadas por EXPANSIÓN. La petrolera estatal de...</t>
    </r>
    <r>
      <rPr>
        <rFont val="Arial, sans-serif"/>
        <color rgb="FF1155CC"/>
        <sz val="12.0"/>
        <u/>
      </rPr>
      <t>.</t>
    </r>
    <r>
      <rPr>
        <rFont val="Arial, sans-serif"/>
        <color rgb="FF1155CC"/>
        <sz val="11.0"/>
        <u/>
      </rPr>
      <t>24 may 2024</t>
    </r>
  </si>
  <si>
    <t>Aramco propone a Repsol entrar en su filial de energías renovables</t>
  </si>
  <si>
    <t>Aramco está interesada en entrar en el capital de Repsol Renovables, según varias fuentes del mercado consultadas por EXPANSIÓN.</t>
  </si>
  <si>
    <t>Aramco proposes to Repsol to enter its renewable energy subsidiary</t>
  </si>
  <si>
    <t>Aramco is interested in entering the capital of Repsol Renovables, according to several market sources consulted by EXPANSIÓN.</t>
  </si>
  <si>
    <t>Repsol renewable energy, business investment</t>
  </si>
  <si>
    <t>Repsol energías renovables, inversión empresarial</t>
  </si>
  <si>
    <t>Attracting investment in renewables strengthens Repsol’s sustainability commitments.</t>
  </si>
  <si>
    <t>Aramco, renovables</t>
  </si>
  <si>
    <t>Positive investment potential.</t>
  </si>
  <si>
    <t>Potencial de inversión positivo.</t>
  </si>
  <si>
    <r>
      <rPr>
        <rFont val="Arial, sans-serif"/>
        <color rgb="FF1155CC"/>
        <sz val="9.0"/>
        <u/>
      </rPr>
      <t>El Diario Montañés</t>
    </r>
    <r>
      <rPr>
        <rFont val="Arial, sans-serif"/>
        <color rgb="FF1155CC"/>
        <sz val="15.0"/>
        <u/>
      </rPr>
      <t>Repsol solicita ampliar el permiso de la central de Aguayo hasta 2080</t>
    </r>
    <r>
      <rPr>
        <rFont val="Arial, sans-serif"/>
        <color rgb="FF1155CC"/>
        <sz val="11.0"/>
        <u/>
      </rPr>
      <t>A la espera de que el Estado concrete el nuevo marco de ayudas, la empresa califica este paso de «esencial» para acometer la ampliación de la...</t>
    </r>
    <r>
      <rPr>
        <rFont val="Arial, sans-serif"/>
        <color rgb="FF1155CC"/>
        <sz val="12.0"/>
        <u/>
      </rPr>
      <t>.</t>
    </r>
    <r>
      <rPr>
        <rFont val="Arial, sans-serif"/>
        <color rgb="FF1155CC"/>
        <sz val="11.0"/>
        <u/>
      </rPr>
      <t>24 may 2024</t>
    </r>
  </si>
  <si>
    <t>Repsol solicita ampliar el permiso de la central de Aguayo hasta 2080</t>
  </si>
  <si>
    <t>A la espera de que el Estado concrete el nuevo marco de ayudas, la empresa califica este paso de «esencial» para acometer la ampliación de la....</t>
  </si>
  <si>
    <t>Repsol requests to extend the Aguayo plant permit until 2080</t>
  </si>
  <si>
    <t>While waiting for the State to finalize the new aid framework, the company describes this step as "essential" to undertake the expansion of the...</t>
  </si>
  <si>
    <t>Repsol hydroelectric project, renewable energy</t>
  </si>
  <si>
    <t>Proyecto hidroeléctrico Repsol, energías renovables</t>
  </si>
  <si>
    <t>Extending hydroelectric project operations aligns with Repsol’s green initiatives.</t>
  </si>
  <si>
    <t>ampliar permiso</t>
  </si>
  <si>
    <t>Neutral regulatory request.</t>
  </si>
  <si>
    <t>Solicitud regulatoria neutral.</t>
  </si>
  <si>
    <r>
      <rPr>
        <rFont val="Arial, sans-serif"/>
        <color rgb="FF1155CC"/>
        <sz val="9.0"/>
        <u/>
      </rPr>
      <t>Repsol</t>
    </r>
    <r>
      <rPr>
        <rFont val="Arial, sans-serif"/>
        <color rgb="FF1155CC"/>
        <sz val="15.0"/>
        <u/>
      </rPr>
      <t>¿Cuánto consume un horno?</t>
    </r>
    <r>
      <rPr>
        <rFont val="Arial, sans-serif"/>
        <color rgb="FF1155CC"/>
        <sz val="11.0"/>
        <u/>
      </rPr>
      <t>Entiende cuánto consume un horno y de qué modo puedes reducir el gasto de electricidad en cada uso para ahorrar en tu factura. ¡Comprueba cómo es posible!</t>
    </r>
    <r>
      <rPr>
        <rFont val="Arial, sans-serif"/>
        <color rgb="FF1155CC"/>
        <sz val="12.0"/>
        <u/>
      </rPr>
      <t>.</t>
    </r>
    <r>
      <rPr>
        <rFont val="Arial, sans-serif"/>
        <color rgb="FF1155CC"/>
        <sz val="11.0"/>
        <u/>
      </rPr>
      <t>24 may 2024</t>
    </r>
  </si>
  <si>
    <t>¿Cuánto consume un horno?</t>
  </si>
  <si>
    <t>Entiende cuánto consume un horno y de qué modo puedes reducir el gasto de electricidad en cada uso para ahorrar en tu factura. ¡Comprueba cómo es posible!.</t>
  </si>
  <si>
    <t>How much does an oven consume?</t>
  </si>
  <si>
    <t>Understand how much an oven consumes and how you can reduce electricity costs with each use to save on your bill. Check how it is possible!</t>
  </si>
  <si>
    <r>
      <rPr>
        <rFont val="Arial, sans-serif"/>
        <color rgb="FF1155CC"/>
        <sz val="9.0"/>
        <u/>
      </rPr>
      <t>El Estímulo</t>
    </r>
    <r>
      <rPr>
        <rFont val="Arial, sans-serif"/>
        <color rgb="FF1155CC"/>
        <sz val="15.0"/>
        <u/>
      </rPr>
      <t>Pedro Tellechea: Repsol recibe licencia de EEUU para operar en Venezuela</t>
    </r>
    <r>
      <rPr>
        <rFont val="Arial, sans-serif"/>
        <color rgb="FF1155CC"/>
        <sz val="11.0"/>
        <u/>
      </rPr>
      <t>La petrolera española Repsol recibió una licencia individual de Estados Unidos para operar en Venezuela. Esto incluye el permiso según Tellechea.</t>
    </r>
    <r>
      <rPr>
        <rFont val="Arial, sans-serif"/>
        <color rgb="FF1155CC"/>
        <sz val="12.0"/>
        <u/>
      </rPr>
      <t>.</t>
    </r>
    <r>
      <rPr>
        <rFont val="Arial, sans-serif"/>
        <color rgb="FF1155CC"/>
        <sz val="11.0"/>
        <u/>
      </rPr>
      <t>24 may 2024</t>
    </r>
  </si>
  <si>
    <t>El Estímulo</t>
  </si>
  <si>
    <t>Repsol recibe licencia de EEUU para operar en Venezuela</t>
  </si>
  <si>
    <t>La petrolera española Repsol recibió una licencia individual de Estados Unidos para operar en Venezuela. Esto incluye el permiso según Tellechea.</t>
  </si>
  <si>
    <t>Repsol receives US license to operate in Venezuela</t>
  </si>
  <si>
    <t>The Spanish oil company Repsol received an individual license from the United States to operate in Venezuela. This includes permission according to Tellechea.</t>
  </si>
  <si>
    <t>Gaining an indefinite license in Venezuela secures long-term operations.</t>
  </si>
  <si>
    <r>
      <rPr>
        <rFont val="Arial, sans-serif"/>
        <color rgb="FF1155CC"/>
        <sz val="9.0"/>
        <u/>
      </rPr>
      <t>Box Repsol</t>
    </r>
    <r>
      <rPr>
        <rFont val="Arial, sans-serif"/>
        <color rgb="FF1155CC"/>
        <sz val="15.0"/>
        <u/>
      </rPr>
      <t>Resultados de los entrenamientos del GP de Catalunya MotoGP</t>
    </r>
    <r>
      <rPr>
        <rFont val="Arial, sans-serif"/>
        <color rgb="FF1155CC"/>
        <sz val="11.0"/>
        <u/>
      </rPr>
      <t>El primer día de acción en el Circuit de Barcelona – Catalunya ha arrancado con Aleix Espargaró (Aprilia) como líder de la tabla de tiempos con un registro...</t>
    </r>
    <r>
      <rPr>
        <rFont val="Arial, sans-serif"/>
        <color rgb="FF1155CC"/>
        <sz val="12.0"/>
        <u/>
      </rPr>
      <t>.</t>
    </r>
    <r>
      <rPr>
        <rFont val="Arial, sans-serif"/>
        <color rgb="FF1155CC"/>
        <sz val="11.0"/>
        <u/>
      </rPr>
      <t>24 may 2024</t>
    </r>
  </si>
  <si>
    <t>Resultados de los entrenamientos del GP de Catalunya MotoGP</t>
  </si>
  <si>
    <t>El primer día de acción en el Circuit de Barcelona – Catalunya ha arrancado con Aleix Espargaró (Aprilia) como líder de la tabla de tiempos con un registro....</t>
  </si>
  <si>
    <t>Catalunya MotoGP practice results</t>
  </si>
  <si>
    <t>The first day of action at the Circuit de Barcelona – Catalunya has started with Aleix Espargaró (Aprilia) as the leader of the time table with a record....</t>
  </si>
  <si>
    <r>
      <rPr>
        <rFont val="Arial, sans-serif"/>
        <color rgb="FF1155CC"/>
        <sz val="9.0"/>
        <u/>
      </rPr>
      <t>Expansión</t>
    </r>
    <r>
      <rPr>
        <rFont val="Arial, sans-serif"/>
        <color rgb="FF1155CC"/>
        <sz val="15.0"/>
        <u/>
      </rPr>
      <t>Larry Fink se reúne con Naturgy, Iberdrola, Acciona, Repsol, ACS y Ferrovial</t>
    </r>
    <r>
      <rPr>
        <rFont val="Arial, sans-serif"/>
        <color rgb="FF1155CC"/>
        <sz val="11.0"/>
        <u/>
      </rPr>
      <t>Larry Fink, consejero delegado de BlackRock, la mayor gestora de fondos de inversión del mundo, pasó el día de ayer en Madrid, en el marco de su Iberian...</t>
    </r>
    <r>
      <rPr>
        <rFont val="Arial, sans-serif"/>
        <color rgb="FF1155CC"/>
        <sz val="12.0"/>
        <u/>
      </rPr>
      <t>.</t>
    </r>
    <r>
      <rPr>
        <rFont val="Arial, sans-serif"/>
        <color rgb="FF1155CC"/>
        <sz val="11.0"/>
        <u/>
      </rPr>
      <t>24 may 2024</t>
    </r>
  </si>
  <si>
    <t>Larry Fink se reúne con Naturgy, Iberdrola, Acciona, Repsol, ACS y Ferrovial</t>
  </si>
  <si>
    <t>Larry Fink, consejero delegado de BlackRock, la mayor gestora de fondos de inversión del mundo, pasó el día de ayer en Madrid, en el marco de su Iberian....</t>
  </si>
  <si>
    <t>Larry Fink meets with Naturgy, Iberdrola, Acciona, Repsol, ACS and Ferrovial</t>
  </si>
  <si>
    <t>Larry Fink, CEO of BlackRock, the largest investment fund manager in the world, spent yesterday in Madrid, within the framework of his Iberian...</t>
  </si>
  <si>
    <r>
      <rPr>
        <rFont val="Arial, sans-serif"/>
        <color rgb="FF1155CC"/>
        <sz val="9.0"/>
        <u/>
      </rPr>
      <t>Energiminas</t>
    </r>
    <r>
      <rPr>
        <rFont val="Arial, sans-serif"/>
        <color rgb="FF1155CC"/>
        <sz val="15.0"/>
        <u/>
      </rPr>
      <t>Lote 57: Perupetro suscribe adenda de convenio con Repsol y los equipos de monitoreo comunitario del Bajo Urubamba</t>
    </r>
    <r>
      <rPr>
        <rFont val="Arial, sans-serif"/>
        <color rgb="FF1155CC"/>
        <sz val="11.0"/>
        <u/>
      </rPr>
      <t>Perupetro suscribió una adenda al Convenio de Cooperación Interinstitucional con la empresa Repsol y los equipos de monitoreo comunitario y ambiental del...</t>
    </r>
    <r>
      <rPr>
        <rFont val="Arial, sans-serif"/>
        <color rgb="FF1155CC"/>
        <sz val="12.0"/>
        <u/>
      </rPr>
      <t>.</t>
    </r>
    <r>
      <rPr>
        <rFont val="Arial, sans-serif"/>
        <color rgb="FF1155CC"/>
        <sz val="11.0"/>
        <u/>
      </rPr>
      <t>24 may 2024</t>
    </r>
  </si>
  <si>
    <t>Energiminas</t>
  </si>
  <si>
    <t>Lote 57: Perupetro suscribe adenda de convenio con Repsol y los equipos de monitoreo comunitario del Bajo Urubamba</t>
  </si>
  <si>
    <t>Perupetro suscribió una adenda al Convenio de Cooperación Interinstitucional con la empresa Repsol y los equipos de monitoreo comunitario y ambiental del....</t>
  </si>
  <si>
    <t>Lot 57: Perupetro signs addendum to the agreement with Repsol and the community monitoring teams of Bajo Urubamba</t>
  </si>
  <si>
    <t>Perupetro signed an addendum to the Interinstitutional Cooperation Agreement with the Repsol company and the community and environmental monitoring teams of the...</t>
  </si>
  <si>
    <t>Repsol Peru, business agreement</t>
  </si>
  <si>
    <t>Repsol Perú, acuerdo empresarial</t>
  </si>
  <si>
    <t>Strengthening energy partnerships in Peru supports Repsol’s global strategy.</t>
  </si>
  <si>
    <t>convenio</t>
  </si>
  <si>
    <t>Positive community engagement.</t>
  </si>
  <si>
    <t>Compromiso positivo de la comunidad.</t>
  </si>
  <si>
    <r>
      <rPr>
        <rFont val="Arial, sans-serif"/>
        <color rgb="FF1155CC"/>
        <sz val="9.0"/>
        <u/>
      </rPr>
      <t>Diario Primicia</t>
    </r>
    <r>
      <rPr>
        <rFont val="Arial, sans-serif"/>
        <color rgb="FF1155CC"/>
        <sz val="15.0"/>
        <u/>
      </rPr>
      <t>Repsol recibió licencia para operar en Venezuela después del 31 de mayo</t>
    </r>
    <r>
      <rPr>
        <rFont val="Arial, sans-serif"/>
        <color rgb="FF1155CC"/>
        <sz val="11.0"/>
        <u/>
      </rPr>
      <t>La petrolera española Repsol obtuvo una licencia de Estados Unidos que le permite seguir operando en Venezuela después del 31 de mayo.</t>
    </r>
    <r>
      <rPr>
        <rFont val="Arial, sans-serif"/>
        <color rgb="FF1155CC"/>
        <sz val="12.0"/>
        <u/>
      </rPr>
      <t>.</t>
    </r>
    <r>
      <rPr>
        <rFont val="Arial, sans-serif"/>
        <color rgb="FF1155CC"/>
        <sz val="11.0"/>
        <u/>
      </rPr>
      <t>24 may 2024</t>
    </r>
  </si>
  <si>
    <t>Repsol recibió licencia para operar en Venezuela después del 31 de mayo</t>
  </si>
  <si>
    <t>La petrolera española Repsol obtuvo una licencia de Estados Unidos que le permite seguir operando en Venezuela después del 31 de mayo.</t>
  </si>
  <si>
    <t>Repsol received license to operate in Venezuela after May 31</t>
  </si>
  <si>
    <t>The Spanish oil company Repsol obtained a license from the United States that allows it to continue operating in Venezuela after May 31.</t>
  </si>
  <si>
    <t>Expanding operational licenses in Venezuela reinforces Repsol’s oil business.</t>
  </si>
  <si>
    <r>
      <rPr>
        <rFont val="Arial, sans-serif"/>
        <color rgb="FF1155CC"/>
        <sz val="9.0"/>
        <u/>
      </rPr>
      <t>Turismo Madrid</t>
    </r>
    <r>
      <rPr>
        <rFont val="Arial, sans-serif"/>
        <color rgb="FF1155CC"/>
        <sz val="15.0"/>
        <u/>
      </rPr>
      <t>Desborre</t>
    </r>
    <r>
      <rPr>
        <rFont val="Arial, sans-serif"/>
        <color rgb="FF1155CC"/>
        <sz val="11.0"/>
        <u/>
      </rPr>
      <t>El nuevo proyecto de la chef Lucía Grávalos acerca la cocina de toda la vida, elaborada con técnicas tradicionales, al Barrio de los Austrias.</t>
    </r>
    <r>
      <rPr>
        <rFont val="Arial, sans-serif"/>
        <color rgb="FF1155CC"/>
        <sz val="12.0"/>
        <u/>
      </rPr>
      <t>.</t>
    </r>
    <r>
      <rPr>
        <rFont val="Arial, sans-serif"/>
        <color rgb="FF1155CC"/>
        <sz val="11.0"/>
        <u/>
      </rPr>
      <t>24 may 2024</t>
    </r>
  </si>
  <si>
    <t>Turismo Madrid</t>
  </si>
  <si>
    <t>El nuevo proyecto de la chef Lucía Grávalos acerca la cocina de toda la vida, elaborada con técnicas tradicionales, al Barrio de los Austrias.</t>
  </si>
  <si>
    <t>The new project by chef Lucía Grávalos brings traditional cuisine, prepared with traditional techniques, to the Barrio de los Austrias.</t>
  </si>
  <si>
    <r>
      <rPr>
        <rFont val="Arial, sans-serif"/>
        <color rgb="FF1155CC"/>
        <sz val="9.0"/>
        <u/>
      </rPr>
      <t>Málaga Hoy</t>
    </r>
    <r>
      <rPr>
        <rFont val="Arial, sans-serif"/>
        <color rgb="FF1155CC"/>
        <sz val="15.0"/>
        <u/>
      </rPr>
      <t>16 chiringuitos de Málaga a pie de playa para aprovechar todo el verano</t>
    </r>
    <r>
      <rPr>
        <rFont val="Arial, sans-serif"/>
        <color rgb="FF1155CC"/>
        <sz val="11.0"/>
        <u/>
      </rPr>
      <t>La Guía Repsol define alguno de los mejores chiringuitos de Málaga con su distinción 'Solete'</t>
    </r>
    <r>
      <rPr>
        <rFont val="Arial, sans-serif"/>
        <color rgb="FF1155CC"/>
        <sz val="12.0"/>
        <u/>
      </rPr>
      <t>.</t>
    </r>
    <r>
      <rPr>
        <rFont val="Arial, sans-serif"/>
        <color rgb="FF1155CC"/>
        <sz val="11.0"/>
        <u/>
      </rPr>
      <t>24 may 2024</t>
    </r>
  </si>
  <si>
    <t>16 chiringuitos de Málaga a pie de playa para aprovechar todo el verano</t>
  </si>
  <si>
    <t>La Guía Repsol define alguno de los mejores chiringuitos de Málaga con su distinción 'Solete'.</t>
  </si>
  <si>
    <t>16 beach bars in Malaga to take advantage of all summer</t>
  </si>
  <si>
    <t>The Repsol Guide defines some of the best beach bars in Malaga with its 'Solete' distinction.</t>
  </si>
  <si>
    <r>
      <rPr>
        <rFont val="Arial, sans-serif"/>
        <color rgb="FF1155CC"/>
        <sz val="9.0"/>
        <u/>
      </rPr>
      <t>Economía Digital</t>
    </r>
    <r>
      <rPr>
        <rFont val="Arial, sans-serif"/>
        <color rgb="FF1155CC"/>
        <sz val="15.0"/>
        <u/>
      </rPr>
      <t>Repsol emerge como el gran promotor de eólica marina en Galicia con cuatro parques y 3.200 megavatios</t>
    </r>
    <r>
      <rPr>
        <rFont val="Arial, sans-serif"/>
        <color rgb="FF1155CC"/>
        <sz val="11.0"/>
        <u/>
      </rPr>
      <t>Repsol emerge como el gran promotor de eólica marina en Galicia, por lo menos en cuanto a intenciones, ya que la realidad es que, de momento,...</t>
    </r>
    <r>
      <rPr>
        <rFont val="Arial, sans-serif"/>
        <color rgb="FF1155CC"/>
        <sz val="12.0"/>
        <u/>
      </rPr>
      <t>.</t>
    </r>
    <r>
      <rPr>
        <rFont val="Arial, sans-serif"/>
        <color rgb="FF1155CC"/>
        <sz val="11.0"/>
        <u/>
      </rPr>
      <t>25 may 2024</t>
    </r>
  </si>
  <si>
    <t>Repsol emerge como el gran promotor de eólica marina en Galicia con cuatro parques y 3.200 megavatios</t>
  </si>
  <si>
    <t>Repsol emerge como el gran promotor de eólica marina en Galicia, por lo menos en cuanto a intenciones, ya que la realidad es que, de momento,....</t>
  </si>
  <si>
    <t>Repsol emerges as the major promoter of offshore wind in Galicia with four parks and 3,200 megawatts</t>
  </si>
  <si>
    <t>Repsol emerges as the great promoter of offshore wind in Galicia, at least in terms of intentions, since the reality is that, for the moment,...</t>
  </si>
  <si>
    <t>Repsol offshore wind, renewable energy</t>
  </si>
  <si>
    <t>Repsol eólica marina, energías renovables</t>
  </si>
  <si>
    <t>Expanding offshore wind projects strengthens Repsol’s green energy commitment.</t>
  </si>
  <si>
    <t>eólica marina, promotor</t>
  </si>
  <si>
    <t>Strong positive for renewables.</t>
  </si>
  <si>
    <t>Fuerte positivo para las energías renovables.</t>
  </si>
  <si>
    <r>
      <rPr>
        <rFont val="Arial, sans-serif"/>
        <color rgb="FF1155CC"/>
        <sz val="9.0"/>
        <u/>
      </rPr>
      <t>SWI swissinfo.ch</t>
    </r>
    <r>
      <rPr>
        <rFont val="Arial, sans-serif"/>
        <color rgb="FF1155CC"/>
        <sz val="15.0"/>
        <u/>
      </rPr>
      <t>Repsol recibe licencia de EEUU para operar en Venezuela, según jefe de estatal PDVSA</t>
    </r>
    <r>
      <rPr>
        <rFont val="Arial, sans-serif"/>
        <color rgb="FF1155CC"/>
        <sz val="11.0"/>
        <u/>
      </rPr>
      <t>La petrolera española Repsol recibió una licencia individual de Estados Unidos para operar en la sancionada Venezuela, informó este viernes el presidente de...</t>
    </r>
    <r>
      <rPr>
        <rFont val="Arial, sans-serif"/>
        <color rgb="FF1155CC"/>
        <sz val="12.0"/>
        <u/>
      </rPr>
      <t>.</t>
    </r>
    <r>
      <rPr>
        <rFont val="Arial, sans-serif"/>
        <color rgb="FF1155CC"/>
        <sz val="11.0"/>
        <u/>
      </rPr>
      <t>25 may 2024</t>
    </r>
  </si>
  <si>
    <t>swissinfo.ch</t>
  </si>
  <si>
    <t>Repsol recibe licencia de EEUU para operar en Venezuela, según jefe de estatal PDVSA</t>
  </si>
  <si>
    <t>La petrolera española Repsol recibió una licencia individual de Estados Unidos para operar en la sancionada Venezuela, informó este viernes el presidente de....</t>
  </si>
  <si>
    <t>Repsol receives license from the US to operate in Venezuela, according to head of state PDVSA</t>
  </si>
  <si>
    <t>The Spanish oil company Repsol received an individual license from the United States to operate in sanctioned Venezuela, the president of... reported this Friday.</t>
  </si>
  <si>
    <t>Securing a license in Venezuela strengthens Repsol’s international presence.</t>
  </si>
  <si>
    <r>
      <rPr>
        <rFont val="Arial, sans-serif"/>
        <color rgb="FF1155CC"/>
        <sz val="9.0"/>
        <u/>
      </rPr>
      <t>El Diario Montañés</t>
    </r>
    <r>
      <rPr>
        <rFont val="Arial, sans-serif"/>
        <color rgb="FF1155CC"/>
        <sz val="15.0"/>
        <u/>
      </rPr>
      <t>Aguayo, un pueblo tranquilo y millonario</t>
    </r>
    <r>
      <rPr>
        <rFont val="Arial, sans-serif"/>
        <color rgb="FF1155CC"/>
        <sz val="11.0"/>
        <u/>
      </rPr>
      <t>Repsol ingresará 25 millones de euros en impuestos por la obra de ampliación de la central hidroeléctrica y el canon anual pasará de los 800.000 euros...</t>
    </r>
    <r>
      <rPr>
        <rFont val="Arial, sans-serif"/>
        <color rgb="FF1155CC"/>
        <sz val="12.0"/>
        <u/>
      </rPr>
      <t>.</t>
    </r>
    <r>
      <rPr>
        <rFont val="Arial, sans-serif"/>
        <color rgb="FF1155CC"/>
        <sz val="11.0"/>
        <u/>
      </rPr>
      <t>25 may 2024</t>
    </r>
  </si>
  <si>
    <t>Repsol ingresará 25 millones de euros en impuestos por la obra de ampliación de la central hidroeléctrica.</t>
  </si>
  <si>
    <t>Repsol ingresará 25 millones de euros en impuestos por la obra de ampliación de la central hidroeléctrica y el canon anual pasará de los 800.000 euros....</t>
  </si>
  <si>
    <t>Repsol will pay 25 million euros in taxes for the expansion work of the hydroelectric plant.</t>
  </si>
  <si>
    <t>Repsol will pay 25 million euros in taxes for the expansion work of the hydroelectric plant and the annual fee will increase to 800,000 euros....</t>
  </si>
  <si>
    <t>Repsol corporate taxes, financial obligations</t>
  </si>
  <si>
    <t>Impuestos de sociedades Repsol, obligaciones financieras</t>
  </si>
  <si>
    <t>Paying taxes enhances Repsol’s corporate responsibility image.</t>
  </si>
  <si>
    <t>ingresará, ampliación</t>
  </si>
  <si>
    <t>Positive fiscal contribution.</t>
  </si>
  <si>
    <t>Contribución fiscal positiva.</t>
  </si>
  <si>
    <r>
      <rPr>
        <rFont val="Arial, sans-serif"/>
        <color rgb="FF1155CC"/>
        <sz val="9.0"/>
        <u/>
      </rPr>
      <t>Box Repsol</t>
    </r>
    <r>
      <rPr>
        <rFont val="Arial, sans-serif"/>
        <color rgb="FF1155CC"/>
        <sz val="15.0"/>
        <u/>
      </rPr>
      <t>Resultados de la carrera sprint del GP de Catalunya de MotoGP 2024</t>
    </r>
    <r>
      <rPr>
        <rFont val="Arial, sans-serif"/>
        <color rgb="FF1155CC"/>
        <sz val="11.0"/>
        <u/>
      </rPr>
      <t>El Circuit de Barcelona – Catalunya ha albergado la sexta carrera al sprint del año. Tras 12 vueltas de lucha intensa por las primeras posiciones,...</t>
    </r>
    <r>
      <rPr>
        <rFont val="Arial, sans-serif"/>
        <color rgb="FF1155CC"/>
        <sz val="12.0"/>
        <u/>
      </rPr>
      <t>.</t>
    </r>
    <r>
      <rPr>
        <rFont val="Arial, sans-serif"/>
        <color rgb="FF1155CC"/>
        <sz val="11.0"/>
        <u/>
      </rPr>
      <t>25 may 2024</t>
    </r>
  </si>
  <si>
    <t>Resultados de la carrera sprint del GP de Catalunya de MotoGP 2024</t>
  </si>
  <si>
    <t>Tras 12 vueltas de lucha intensa por las primeras posiciones,....</t>
  </si>
  <si>
    <t>Results of the 2024 MotoGP Catalunya GP sprint race</t>
  </si>
  <si>
    <t>After 12 laps of intense fighting for the first positions,...</t>
  </si>
  <si>
    <r>
      <rPr>
        <rFont val="Arial, sans-serif"/>
        <color rgb="FF1155CC"/>
        <sz val="9.0"/>
        <u/>
      </rPr>
      <t>Mega Atresmedia</t>
    </r>
    <r>
      <rPr>
        <rFont val="Arial, sans-serif"/>
        <color rgb="FF1155CC"/>
        <sz val="15.0"/>
        <u/>
      </rPr>
      <t>Aleix Espargaró hace pole y récord en su última 'quali' en Montmeló</t>
    </r>
    <r>
      <rPr>
        <rFont val="Arial, sans-serif"/>
        <color rgb="FF1155CC"/>
        <sz val="11.0"/>
        <u/>
      </rPr>
      <t>El líder de la categoría, Jorge Martín (Ducati), comenzará sexto y Marc Márquez (Ducati), que no pudo avanzar a la Q2, saldrá decimocuarto.</t>
    </r>
    <r>
      <rPr>
        <rFont val="Arial, sans-serif"/>
        <color rgb="FF1155CC"/>
        <sz val="12.0"/>
        <u/>
      </rPr>
      <t>.</t>
    </r>
    <r>
      <rPr>
        <rFont val="Arial, sans-serif"/>
        <color rgb="FF1155CC"/>
        <sz val="11.0"/>
        <u/>
      </rPr>
      <t>25 may 2024</t>
    </r>
  </si>
  <si>
    <t>Mega Atresmedia</t>
  </si>
  <si>
    <t>Aleix Espargaró hace pole y récord en su última 'quali' en Montmeló</t>
  </si>
  <si>
    <t>El líder de la categoría, Jorge Martín (Ducati), comenzará sexto y Marc Márquez (Ducati), que no pudo avanzar a la Q2, saldrá decimocuarto.</t>
  </si>
  <si>
    <t>Aleix Espargaró makes pole and record in his last 'quali' in Montmeló</t>
  </si>
  <si>
    <t>The category leader, Jorge Martín (Ducati), will start sixth and Marc Márquez (Ducati), who could not advance to Q2, will start fourteenth.</t>
  </si>
  <si>
    <r>
      <rPr>
        <rFont val="Arial, sans-serif"/>
        <color rgb="FF1155CC"/>
        <sz val="9.0"/>
        <u/>
      </rPr>
      <t>El Periódico de España</t>
    </r>
    <r>
      <rPr>
        <rFont val="Arial, sans-serif"/>
        <color rgb="FF1155CC"/>
        <sz val="15.0"/>
        <u/>
      </rPr>
      <t>El festival FreakCon celebra la edición más espectacular para festejar el Día del Orgullo Friki en Torremolinos</t>
    </r>
    <r>
      <rPr>
        <rFont val="Arial, sans-serif"/>
        <color rgb="FF1155CC"/>
        <sz val="11.0"/>
        <u/>
      </rPr>
      <t>Entre los invitados de esta edición destacan el escritor Juan Gómez-Jurado; cosplayers como Enji Night, Eothen o Nyukix; actores de doblaje como Hermoti,...</t>
    </r>
    <r>
      <rPr>
        <rFont val="Arial, sans-serif"/>
        <color rgb="FF1155CC"/>
        <sz val="12.0"/>
        <u/>
      </rPr>
      <t>.</t>
    </r>
    <r>
      <rPr>
        <rFont val="Arial, sans-serif"/>
        <color rgb="FF1155CC"/>
        <sz val="11.0"/>
        <u/>
      </rPr>
      <t>25 may 2024</t>
    </r>
  </si>
  <si>
    <t>El festival FreakCon celebra la edición más espectacular para festejar el Día del Orgullo Friki en Torremolinos</t>
  </si>
  <si>
    <t>Entre los invitados de esta edición destacan el escritor Juan Gómez-Jurado; cosplayers como Enji Night, Eothen o Nyukix; actores de doblaje como Hermoti,....</t>
  </si>
  <si>
    <t>The FreakCon festival celebrates the most spectacular edition to celebrate Freak Pride Day in Torremolinos</t>
  </si>
  <si>
    <t>Among the guests of this edition, the writer Juan Gómez-Jurado stands out; cosplayers like Enji Night, Eothen or Nyukix; dubbing actors like Hermoti,....</t>
  </si>
  <si>
    <r>
      <rPr>
        <rFont val="Arial, sans-serif"/>
        <color rgb="FF1155CC"/>
        <sz val="9.0"/>
        <u/>
      </rPr>
      <t>La Voz de Galicia</t>
    </r>
    <r>
      <rPr>
        <rFont val="Arial, sans-serif"/>
        <color rgb="FF1155CC"/>
        <sz val="15.0"/>
        <u/>
      </rPr>
      <t>Los primeros pasos para construir viviendas en el muelle de San Diego, en A Coruña</t>
    </r>
    <r>
      <rPr>
        <rFont val="Arial, sans-serif"/>
        <color rgb="FF1155CC"/>
        <sz val="11.0"/>
        <u/>
      </rPr>
      <t>El protocolo firmado abre la puerta a hacer del muelle una zona residencial, una vez que se marche Repsol y se traslade la estación del ADIF.</t>
    </r>
    <r>
      <rPr>
        <rFont val="Arial, sans-serif"/>
        <color rgb="FF1155CC"/>
        <sz val="12.0"/>
        <u/>
      </rPr>
      <t>.</t>
    </r>
    <r>
      <rPr>
        <rFont val="Arial, sans-serif"/>
        <color rgb="FF1155CC"/>
        <sz val="11.0"/>
        <u/>
      </rPr>
      <t>25 may 2024</t>
    </r>
  </si>
  <si>
    <t>Los primeros pasos para construir viviendas en el muelle de San Diego, en A Coruña</t>
  </si>
  <si>
    <t>El protocolo firmado abre la puerta a hacer del muelle una zona residencial, una vez que se marche Repsol y se traslade la estación del ADIF.</t>
  </si>
  <si>
    <t>The first steps to build homes on the San Diego dock, in A Coruña</t>
  </si>
  <si>
    <t>The signed protocol opens the door to making the dock a residential area, once Repsol leaves and the ADIF station moves.</t>
  </si>
  <si>
    <t>Repsol urban development, real estate project</t>
  </si>
  <si>
    <t>Desarrollo urbanístico Repsol, proyecto inmobiliario</t>
  </si>
  <si>
    <r>
      <rPr>
        <rFont val="Arial, sans-serif"/>
        <color rgb="FF1155CC"/>
        <sz val="9.0"/>
        <u/>
      </rPr>
      <t>El Español</t>
    </r>
    <r>
      <rPr>
        <rFont val="Arial, sans-serif"/>
        <color rgb="FF1155CC"/>
        <sz val="15.0"/>
        <u/>
      </rPr>
      <t>10 restaurantes de temporada que deberías probar si visitas Sanxenxo y alrededores</t>
    </r>
    <r>
      <rPr>
        <rFont val="Arial, sans-serif"/>
        <color rgb="FF1155CC"/>
        <sz val="11.0"/>
        <u/>
      </rPr>
      <t>Muchos locales de este geodestino del sur de Galicia preparan sus cartas y menús de cara a la temporada alta, cuando el buen tiempo empieza a llamar a la...</t>
    </r>
    <r>
      <rPr>
        <rFont val="Arial, sans-serif"/>
        <color rgb="FF1155CC"/>
        <sz val="12.0"/>
        <u/>
      </rPr>
      <t>.</t>
    </r>
    <r>
      <rPr>
        <rFont val="Arial, sans-serif"/>
        <color rgb="FF1155CC"/>
        <sz val="11.0"/>
        <u/>
      </rPr>
      <t>25 may 2024</t>
    </r>
  </si>
  <si>
    <t>10 restaurantes de temporada que deberías probar si visitas Sanxenxo y alrededores</t>
  </si>
  <si>
    <t>Muchos locales de este geodestino del sur de Galicia preparan sus cartas y menús de cara a la temporada alta, cuando el buen tiempo empieza a llamar a la....</t>
  </si>
  <si>
    <t>10 seasonal restaurants that you should try if you visit Sanxenxo and surrounding areas</t>
  </si>
  <si>
    <t>Many establishments in this geodestination in southern Galicia prepare their menus for the high season, when good weather begins to call....</t>
  </si>
  <si>
    <r>
      <rPr>
        <rFont val="Arial, sans-serif"/>
        <color rgb="FF1155CC"/>
        <sz val="9.0"/>
        <u/>
      </rPr>
      <t>Expansión</t>
    </r>
    <r>
      <rPr>
        <rFont val="Arial, sans-serif"/>
        <color rgb="FF1155CC"/>
        <sz val="15.0"/>
        <u/>
      </rPr>
      <t>Oleada estival de más de 7.600 millones en dividendos</t>
    </r>
    <r>
      <rPr>
        <rFont val="Arial, sans-serif"/>
        <color rgb="FF1155CC"/>
        <sz val="11.0"/>
        <u/>
      </rPr>
      <t>Enagás, Telefónica, Bankinter, Repsol y Endesa, que tienen una rentabilidad por dividendo superior al 5%, están entre las compañías que pagan en los...</t>
    </r>
    <r>
      <rPr>
        <rFont val="Arial, sans-serif"/>
        <color rgb="FF1155CC"/>
        <sz val="12.0"/>
        <u/>
      </rPr>
      <t>.</t>
    </r>
    <r>
      <rPr>
        <rFont val="Arial, sans-serif"/>
        <color rgb="FF1155CC"/>
        <sz val="11.0"/>
        <u/>
      </rPr>
      <t>25 may 2024</t>
    </r>
  </si>
  <si>
    <t>Oleada estival de más de 7.600 millones en dividendos</t>
  </si>
  <si>
    <t>Enagás, Telefónica, Bankinter, Repsol y Endesa, que tienen una rentabilidad por dividendo superior al 5%, están entre las compañías que pagan en los....</t>
  </si>
  <si>
    <t>Summer wave of more than 7,600 million in dividends</t>
  </si>
  <si>
    <t>Enagás, Telefónica, Bankinter, Repsol and Endesa, which have a dividend yield greater than 5%, are among the companies that pay in the...</t>
  </si>
  <si>
    <r>
      <rPr>
        <rFont val="Arial, sans-serif"/>
        <color rgb="FF1155CC"/>
        <sz val="9.0"/>
        <u/>
      </rPr>
      <t>LaSexta</t>
    </r>
    <r>
      <rPr>
        <rFont val="Arial, sans-serif"/>
        <color rgb="FF1155CC"/>
        <sz val="15.0"/>
        <u/>
      </rPr>
      <t>Luis Miguel Rodríguez afirma que Carmen Martínez Bordiú se "metía" con él cuando salía de fiesta: &amp;q</t>
    </r>
    <r>
      <rPr>
        <rFont val="Arial, sans-serif"/>
        <color rgb="FF1155CC"/>
        <sz val="11.0"/>
        <u/>
      </rPr>
      <t>Luis Miguel Rodríguez, el 'rey de la chatarra', asevera que su expareja Carmen Martínez Bordiú nunca se ha metido en sus negocios: "Solo si me iba por ahí...</t>
    </r>
    <r>
      <rPr>
        <rFont val="Arial, sans-serif"/>
        <color rgb="FF1155CC"/>
        <sz val="12.0"/>
        <u/>
      </rPr>
      <t>.</t>
    </r>
    <r>
      <rPr>
        <rFont val="Arial, sans-serif"/>
        <color rgb="FF1155CC"/>
        <sz val="11.0"/>
        <u/>
      </rPr>
      <t>25 may 2024</t>
    </r>
  </si>
  <si>
    <t>Carmen Martínez Bordiú se "metía" con Luis Miguel Rodríguez cuando salía de fiesta</t>
  </si>
  <si>
    <t>Luis Miguel Rodríguez, el 'rey de la chatarra', asevera que su expareja Carmen Martínez Bordiú nunca se ha metido en sus negocios: "Solo si me iba por ahí....</t>
  </si>
  <si>
    <t>Carmen Martínez Bordiú "messed" with Luis Miguel Rodríguez when he was out partying</t>
  </si>
  <si>
    <t>Luis Miguel Rodríguez, the 'king of scrap metal', asserts that his ex-partner Carmen Martínez Bordiú has never gotten involved in his business: "Only if I went that way...</t>
  </si>
  <si>
    <t>Celebrity</t>
  </si>
  <si>
    <r>
      <rPr>
        <rFont val="Arial, sans-serif"/>
        <color rgb="FF1155CC"/>
        <sz val="9.0"/>
        <u/>
      </rPr>
      <t>El Español</t>
    </r>
    <r>
      <rPr>
        <rFont val="Arial, sans-serif"/>
        <color rgb="FF1155CC"/>
        <sz val="15.0"/>
        <u/>
      </rPr>
      <t>Los nuevos ‘Netflix’ de la recarga del coche eléctrico: así son las suscripciones de Repsol, Iberdrola y Endesa</t>
    </r>
    <r>
      <rPr>
        <rFont val="Arial, sans-serif"/>
        <color rgb="FF1155CC"/>
        <sz val="11.0"/>
        <u/>
      </rPr>
      <t>Los operadores buscan fidelizar a los usuarios de coche eléctrico con planes de suscripción para que la energía sea más barata.</t>
    </r>
    <r>
      <rPr>
        <rFont val="Arial, sans-serif"/>
        <color rgb="FF1155CC"/>
        <sz val="12.0"/>
        <u/>
      </rPr>
      <t>.</t>
    </r>
    <r>
      <rPr>
        <rFont val="Arial, sans-serif"/>
        <color rgb="FF1155CC"/>
        <sz val="11.0"/>
        <u/>
      </rPr>
      <t>26 may 2024</t>
    </r>
  </si>
  <si>
    <t>Los nuevos ‘Netflix’ de la recarga del coche eléctrico: así son las suscripciones de Repsol, Iberdrola y Endesa</t>
  </si>
  <si>
    <t>Los operadores buscan fidelizar a los usuarios de coche eléctrico con planes de suscripción para que la energía sea más barata.</t>
  </si>
  <si>
    <t>The new 'Netflix' of electric car charging: these are the subscriptions of Repsol, Iberdrola and Endesa</t>
  </si>
  <si>
    <t>Operators seek to retain electric car users with subscription plans so that energy is cheaper.</t>
  </si>
  <si>
    <t>Subscription models in EV charging do not impact Repsol’s business.</t>
  </si>
  <si>
    <t>Positive innovation in EV charging.</t>
  </si>
  <si>
    <t>Innovación positiva en la carga de vehículos eléctricos.</t>
  </si>
  <si>
    <r>
      <rPr>
        <rFont val="Arial, sans-serif"/>
        <color rgb="FF1155CC"/>
        <sz val="9.0"/>
        <u/>
      </rPr>
      <t>El Economista</t>
    </r>
    <r>
      <rPr>
        <rFont val="Arial, sans-serif"/>
        <color rgb="FF1155CC"/>
        <sz val="15.0"/>
        <u/>
      </rPr>
      <t>Amadeus, Repsol, Cellnex, BBVA y CaixaBank sacan las mejores notas del Ibex 35 en gobierno corporativo</t>
    </r>
    <r>
      <rPr>
        <rFont val="Arial, sans-serif"/>
        <color rgb="FF1155CC"/>
        <sz val="11.0"/>
        <u/>
      </rPr>
      <t>Un 91% de independientes tiene en su consejo Amadeus, con datos de cierre de 2023; Repsol y Cellnex rondan el 70% en ambos casos, cifras ...</t>
    </r>
    <r>
      <rPr>
        <rFont val="Arial, sans-serif"/>
        <color rgb="FF1155CC"/>
        <sz val="12.0"/>
        <u/>
      </rPr>
      <t>.</t>
    </r>
    <r>
      <rPr>
        <rFont val="Arial, sans-serif"/>
        <color rgb="FF1155CC"/>
        <sz val="11.0"/>
        <u/>
      </rPr>
      <t>26 may 2024</t>
    </r>
  </si>
  <si>
    <t>Amadeus, Repsol, Cellnex, BBVA y CaixaBank sacan las mejores notas del Ibex 35 en gobierno corporativo</t>
  </si>
  <si>
    <t>Un 91% de independientes tiene en su consejo Amadeus, con datos de cierre de 2023; Repsol y Cellnex rondan el 70% en ambos casos, cifras ....</t>
  </si>
  <si>
    <t>Amadeus, Repsol, Cellnex, BBVA and CaixaBank get the best marks from the Ibex 35 in corporate governance</t>
  </si>
  <si>
    <t>91% of independents have Amadeus on their board, with data at the end of 2023; Repsol and Cellnex are around 70% in both cases, figures....</t>
  </si>
  <si>
    <r>
      <rPr>
        <rFont val="Arial, sans-serif"/>
        <color rgb="FF1155CC"/>
        <sz val="9.0"/>
        <u/>
      </rPr>
      <t>Box Repsol</t>
    </r>
    <r>
      <rPr>
        <rFont val="Arial, sans-serif"/>
        <color rgb="FF1155CC"/>
        <sz val="15.0"/>
        <u/>
      </rPr>
      <t>Resultados del GP de Catalunya de MotoGP 2024</t>
    </r>
    <r>
      <rPr>
        <rFont val="Arial, sans-serif"/>
        <color rgb="FF1155CC"/>
        <sz val="11.0"/>
        <u/>
      </rPr>
      <t>El Circuit de Barcelona – Catalunya ha visto cómo Pecco Bagnaia (Ducati) se ha hecho con una nueva victoria en el Gran Premio de Catalunya.</t>
    </r>
    <r>
      <rPr>
        <rFont val="Arial, sans-serif"/>
        <color rgb="FF1155CC"/>
        <sz val="12.0"/>
        <u/>
      </rPr>
      <t>.</t>
    </r>
    <r>
      <rPr>
        <rFont val="Arial, sans-serif"/>
        <color rgb="FF1155CC"/>
        <sz val="11.0"/>
        <u/>
      </rPr>
      <t>26 may 2024</t>
    </r>
  </si>
  <si>
    <t>Resultados del GP de Catalunya de MotoGP 2024</t>
  </si>
  <si>
    <t>Pecco Bagnaia (Ducati) se ha hecho con una nueva victoria en el Gran Premio de Catalunya.</t>
  </si>
  <si>
    <t>Results of the 2024 MotoGP Catalunya GP</t>
  </si>
  <si>
    <t>Pecco Bagnaia (Ducati) has taken a new victory at the Catalunya Grand Prix.</t>
  </si>
  <si>
    <r>
      <rPr>
        <rFont val="Arial, sans-serif"/>
        <color rgb="FF1155CC"/>
        <sz val="9.0"/>
        <u/>
      </rPr>
      <t>Vanitatis</t>
    </r>
    <r>
      <rPr>
        <rFont val="Arial, sans-serif"/>
        <color rgb="FF1155CC"/>
        <sz val="15.0"/>
        <u/>
      </rPr>
      <t>Asturias: un palacio junto al Cantábrico, un chef iluminado y seis cenas con estrellas</t>
    </r>
    <r>
      <rPr>
        <rFont val="Arial, sans-serif"/>
        <color rgb="FF1155CC"/>
        <sz val="11.0"/>
        <u/>
      </rPr>
      <t>El hotel CoolRooms Palacio de Luces, único del Principado con una llave Michelin, inaugura ciclo gastronómico de seis cenas a cuatro manos con renombrados...</t>
    </r>
    <r>
      <rPr>
        <rFont val="Arial, sans-serif"/>
        <color rgb="FF1155CC"/>
        <sz val="12.0"/>
        <u/>
      </rPr>
      <t>.</t>
    </r>
    <r>
      <rPr>
        <rFont val="Arial, sans-serif"/>
        <color rgb="FF1155CC"/>
        <sz val="11.0"/>
        <u/>
      </rPr>
      <t>26 may 2024</t>
    </r>
  </si>
  <si>
    <t>Asturias: un palacio junto al Cantábrico, un chef iluminado y seis cenas con estrellas</t>
  </si>
  <si>
    <t>El hotel CoolRooms Palacio de Luces, único del Principado con una llave Michelin, inaugura ciclo gastronómico de seis cenas a cuatro manos con renombrados....</t>
  </si>
  <si>
    <t>Asturias: a palace next to the Cantabrian Sea, an enlightened chef and six dinners with stars</t>
  </si>
  <si>
    <t>The CoolRooms Palacio de Luces hotel, the only one in the Principality with a Michelin key, inaugurates a gastronomic cycle of six four-handed dinners with renowned...</t>
  </si>
  <si>
    <r>
      <rPr>
        <rFont val="Arial, sans-serif"/>
        <color rgb="FF1155CC"/>
        <sz val="9.0"/>
        <u/>
      </rPr>
      <t>La Voz de Galicia</t>
    </r>
    <r>
      <rPr>
        <rFont val="Arial, sans-serif"/>
        <color rgb="FF1155CC"/>
        <sz val="15.0"/>
        <u/>
      </rPr>
      <t>O Rei das Tartas proyecta un hotel y amplía el párking para camiones, cerrado y vigilado en su estación de servicio de la A-8</t>
    </r>
    <r>
      <rPr>
        <rFont val="Arial, sans-serif"/>
        <color rgb="FF1155CC"/>
        <sz val="11.0"/>
        <u/>
      </rPr>
      <t>Instalará más puntos de recarga eléctrica en el área de servicio Repsol entre Mondoñedo y Abadín, que ya cuenta con restaurante y supermercado; fue premiado...</t>
    </r>
    <r>
      <rPr>
        <rFont val="Arial, sans-serif"/>
        <color rgb="FF1155CC"/>
        <sz val="12.0"/>
        <u/>
      </rPr>
      <t>.</t>
    </r>
    <r>
      <rPr>
        <rFont val="Arial, sans-serif"/>
        <color rgb="FF1155CC"/>
        <sz val="11.0"/>
        <u/>
      </rPr>
      <t>26 may 2024</t>
    </r>
  </si>
  <si>
    <t>O Rei das Tartas proyecta un hotel y amplía el párking para camiones, cerrado y vigilado en su estación de servicio de la A-8</t>
  </si>
  <si>
    <t>Instalará más puntos de recarga eléctrica en el área de servicio Repsol entre Mondoñedo y Abadín, que ya cuenta con restaurante y supermercado; fue premiado....</t>
  </si>
  <si>
    <t>O Rei das Tartas plans a hotel and expands the parking for trucks, closed and monitored at its service station on the A-8</t>
  </si>
  <si>
    <t>It will install more electric charging points in the Repsol service area between Mondoñedo and Abadín, which already has a restaurant and supermarket; was awarded....</t>
  </si>
  <si>
    <r>
      <rPr>
        <rFont val="Arial, sans-serif"/>
        <color rgb="FF1155CC"/>
        <sz val="9.0"/>
        <u/>
      </rPr>
      <t>Ciclo21</t>
    </r>
    <r>
      <rPr>
        <rFont val="Arial, sans-serif"/>
        <color rgb="FF1155CC"/>
        <sz val="15.0"/>
        <u/>
      </rPr>
      <t>4ª Tour Noruega: Laurance prolonga el idilio de Alpecin</t>
    </r>
    <r>
      <rPr>
        <rFont val="Arial, sans-serif"/>
        <color rgb="FF1155CC"/>
        <sz val="11.0"/>
        <u/>
      </rPr>
      <t>Información completa sobre la carrera escandinava 2.Pro.</t>
    </r>
    <r>
      <rPr>
        <rFont val="Arial, sans-serif"/>
        <color rgb="FF1155CC"/>
        <sz val="12.0"/>
        <u/>
      </rPr>
      <t>.</t>
    </r>
    <r>
      <rPr>
        <rFont val="Arial, sans-serif"/>
        <color rgb="FF1155CC"/>
        <sz val="11.0"/>
        <u/>
      </rPr>
      <t>26 may 2024</t>
    </r>
  </si>
  <si>
    <t>Ciclo214</t>
  </si>
  <si>
    <t>Ciclo 214ª Tour Noruega: Laurance prolonga el idilio de Alpecin</t>
  </si>
  <si>
    <t>Laurence prolongs the romance of Alpecin</t>
  </si>
  <si>
    <t>Cycle 214th Tour Norway: Laurance prolongs the idyll of Alpecin</t>
  </si>
  <si>
    <r>
      <rPr>
        <rFont val="Arial, sans-serif"/>
        <color rgb="FF1155CC"/>
        <sz val="9.0"/>
        <u/>
      </rPr>
      <t>El Popular</t>
    </r>
    <r>
      <rPr>
        <rFont val="Arial, sans-serif"/>
        <color rgb="FF1155CC"/>
        <sz val="15.0"/>
        <u/>
      </rPr>
      <t>Ni la nevera ni la computadora: este es el electrodoméstico que jala más luz, según Repsol</t>
    </r>
    <r>
      <rPr>
        <rFont val="Arial, sans-serif"/>
        <color rgb="FF1155CC"/>
        <sz val="11.0"/>
        <u/>
      </rPr>
      <t>Un reporte de Repsol reveló qué electrodoméstico gasta más luz y hace que el recibo se eleve exponencialmente.</t>
    </r>
    <r>
      <rPr>
        <rFont val="Arial, sans-serif"/>
        <color rgb="FF1155CC"/>
        <sz val="12.0"/>
        <u/>
      </rPr>
      <t>.</t>
    </r>
    <r>
      <rPr>
        <rFont val="Arial, sans-serif"/>
        <color rgb="FF1155CC"/>
        <sz val="11.0"/>
        <u/>
      </rPr>
      <t>26 may 2024</t>
    </r>
  </si>
  <si>
    <t>El Popular</t>
  </si>
  <si>
    <t>Ni la nevera ni la computadora: este es el electrodoméstico que jala más luz, según Repsol</t>
  </si>
  <si>
    <t>Un reporte de Repsol reveló qué electrodoméstico gasta más luz y hace que el recibo se eleve exponencialmente.</t>
  </si>
  <si>
    <t>Neither the refrigerator nor the computer: this is the appliance that draws the most light, according to Repsol</t>
  </si>
  <si>
    <t>A Repsol report revealed which appliance uses the most electricity and causes the bill to rise exponentially.</t>
  </si>
  <si>
    <r>
      <rPr>
        <rFont val="Arial, sans-serif"/>
        <color rgb="FF1155CC"/>
        <sz val="9.0"/>
        <u/>
      </rPr>
      <t>El Periódico de la Energía</t>
    </r>
    <r>
      <rPr>
        <rFont val="Arial, sans-serif"/>
        <color rgb="FF1155CC"/>
        <sz val="15.0"/>
        <u/>
      </rPr>
      <t>Las gasolineras de Repsol se convierten en nuevos puntos de devoluciones de Amazon</t>
    </r>
    <r>
      <rPr>
        <rFont val="Arial, sans-serif"/>
        <color rgb="FF1155CC"/>
        <sz val="11.0"/>
        <u/>
      </rPr>
      <t>Repsol y Amazon han lanzado un nuevo servicio para que los clientes realicen sus devoluciones en las estaciones de servicio.</t>
    </r>
    <r>
      <rPr>
        <rFont val="Arial, sans-serif"/>
        <color rgb="FF1155CC"/>
        <sz val="12.0"/>
        <u/>
      </rPr>
      <t>.</t>
    </r>
    <r>
      <rPr>
        <rFont val="Arial, sans-serif"/>
        <color rgb="FF1155CC"/>
        <sz val="11.0"/>
        <u/>
      </rPr>
      <t>27 may 2024</t>
    </r>
  </si>
  <si>
    <t>Las gasolineras de Repsol se convierten en nuevos puntos de devoluciones de Amazon</t>
  </si>
  <si>
    <t>Repsol y Amazon han lanzado un nuevo servicio para que los clientes realicen sus devoluciones en las estaciones de servicio.</t>
  </si>
  <si>
    <t>Repsol gas stations become new Amazon returns points</t>
  </si>
  <si>
    <t>Repsol and Amazon have launched a new service for customers to make their returns at service stations.</t>
  </si>
  <si>
    <t>Repsol business expansion, retail services</t>
  </si>
  <si>
    <t>Expansión del negocio de Repsol, servicios minoristas</t>
  </si>
  <si>
    <t>Expanding retail partnerships enhances Repsol’s non-fuel revenue streams.</t>
  </si>
  <si>
    <t>devoluciones, Amazon</t>
  </si>
  <si>
    <r>
      <rPr>
        <rFont val="Arial, sans-serif"/>
        <color rgb="FF1155CC"/>
        <sz val="9.0"/>
        <u/>
      </rPr>
      <t>SPORT</t>
    </r>
    <r>
      <rPr>
        <rFont val="Arial, sans-serif"/>
        <color rgb="FF1155CC"/>
        <sz val="15.0"/>
        <u/>
      </rPr>
      <t>Si tienes aceite de cocina usado, en Repsol te regalan saldo por cada litro depositado</t>
    </r>
    <r>
      <rPr>
        <rFont val="Arial, sans-serif"/>
        <color rgb="FF1155CC"/>
        <sz val="11.0"/>
        <u/>
      </rPr>
      <t>Repsol regala saldo para llenar el depósito de diésel o gasolina con tu aceite de cocina usado.</t>
    </r>
    <r>
      <rPr>
        <rFont val="Arial, sans-serif"/>
        <color rgb="FF1155CC"/>
        <sz val="12.0"/>
        <u/>
      </rPr>
      <t>.</t>
    </r>
    <r>
      <rPr>
        <rFont val="Arial, sans-serif"/>
        <color rgb="FF1155CC"/>
        <sz val="11.0"/>
        <u/>
      </rPr>
      <t>27 may 2024</t>
    </r>
  </si>
  <si>
    <t>Repsol regala saldo para llenar el depósito de diésel o gasolina con tu aceite de cocina usado.</t>
  </si>
  <si>
    <t>Repsol gives away credit to fill your diesel or gasoline tank with your used cooking oil.</t>
  </si>
  <si>
    <t>Repsol fuel discounts, customer loyalty</t>
  </si>
  <si>
    <t>Descuentos en combustible Repsol, fidelización de clientes</t>
  </si>
  <si>
    <t>Offering fuel discounts strengthens Repsol’s customer retention strategy.</t>
  </si>
  <si>
    <t>regala saldo</t>
  </si>
  <si>
    <t>Positive recycling incentive.</t>
  </si>
  <si>
    <t>Incentivo positivo al reciclaje.</t>
  </si>
  <si>
    <r>
      <rPr>
        <rFont val="Arial, sans-serif"/>
        <color rgb="FF1155CC"/>
        <sz val="9.0"/>
        <u/>
      </rPr>
      <t>Radio Intereconomía</t>
    </r>
    <r>
      <rPr>
        <rFont val="Arial, sans-serif"/>
        <color rgb="FF1155CC"/>
        <sz val="15.0"/>
        <u/>
      </rPr>
      <t>La gasolinera ‘milagro’ con la marca Repsol del venezolano Cabello en Alcobendas</t>
    </r>
    <r>
      <rPr>
        <rFont val="Arial, sans-serif"/>
        <color rgb="FF1155CC"/>
        <sz val="11.0"/>
        <u/>
      </rPr>
      <t>La gasolinera 'milagro' con la marca Repsol del venezolano Cabello en Alcobendas - Noticias.</t>
    </r>
    <r>
      <rPr>
        <rFont val="Arial, sans-serif"/>
        <color rgb="FF1155CC"/>
        <sz val="12.0"/>
        <u/>
      </rPr>
      <t>.</t>
    </r>
    <r>
      <rPr>
        <rFont val="Arial, sans-serif"/>
        <color rgb="FF1155CC"/>
        <sz val="11.0"/>
        <u/>
      </rPr>
      <t>27 may 2024</t>
    </r>
  </si>
  <si>
    <t>La gasolinera 'milagro' con la marca Repsol del venezolano Cabello en Alcobendas</t>
  </si>
  <si>
    <t>La gasolinera 'milagro' con la marca Repsol del venezolano Cabello en Alcobendas - Noticias..</t>
  </si>
  <si>
    <t>The 'miracle' gas station with the Repsol brand by Venezuelan Cabello in Alcobendas</t>
  </si>
  <si>
    <t>The 'miracle' gas station with the Repsol brand by Venezuelan Cabello in Alcobendas - News..</t>
  </si>
  <si>
    <r>
      <rPr>
        <rFont val="Arial, sans-serif"/>
        <color rgb="FF1155CC"/>
        <sz val="9.0"/>
        <u/>
      </rPr>
      <t>El Economista</t>
    </r>
    <r>
      <rPr>
        <rFont val="Arial, sans-serif"/>
        <color rgb="FF1155CC"/>
        <sz val="15.0"/>
        <u/>
      </rPr>
      <t>Telefónica y Repsol lanzan un plan de suscripción de autoconsumo solar que financia al 50% la instalación</t>
    </r>
    <r>
      <rPr>
        <rFont val="Arial, sans-serif"/>
        <color rgb="FF1155CC"/>
        <sz val="11.0"/>
        <u/>
      </rPr>
      <t>Solar360, la joint venture de Repsol y Telefónica, ha lanzado un modelo de suscripción que costea al 50% el monto inicial de la ...</t>
    </r>
    <r>
      <rPr>
        <rFont val="Arial, sans-serif"/>
        <color rgb="FF1155CC"/>
        <sz val="12.0"/>
        <u/>
      </rPr>
      <t>.</t>
    </r>
    <r>
      <rPr>
        <rFont val="Arial, sans-serif"/>
        <color rgb="FF1155CC"/>
        <sz val="11.0"/>
        <u/>
      </rPr>
      <t>27 may 2024</t>
    </r>
  </si>
  <si>
    <t>Telefónica y Repsol lanzan un plan de suscripción de autoconsumo solar que financia al 50% la instalación</t>
  </si>
  <si>
    <t>Solar360, la joint venture de Repsol y Telefónica, ha lanzado un modelo de suscripción que costea al 50% el monto inicial de la ....</t>
  </si>
  <si>
    <t>Telefónica and Repsol launch a solar self-consumption subscription plan that finances 50% of the installation</t>
  </si>
  <si>
    <t>Solar360, the joint venture of Repsol and Telefónica, has launched a subscription model that covers 50% of the initial amount of the...</t>
  </si>
  <si>
    <t>Repsol renewable energy, solar power</t>
  </si>
  <si>
    <t>Repsol energías renovables, energía solar</t>
  </si>
  <si>
    <t>Expanding solar energy projects aligns with Repsol’s green transition efforts.</t>
  </si>
  <si>
    <t>autoconsumo solar</t>
  </si>
  <si>
    <r>
      <rPr>
        <rFont val="Arial, sans-serif"/>
        <color rgb="FF1155CC"/>
        <sz val="9.0"/>
        <u/>
      </rPr>
      <t>Infobae</t>
    </r>
    <r>
      <rPr>
        <rFont val="Arial, sans-serif"/>
        <color rgb="FF1155CC"/>
        <sz val="15.0"/>
        <u/>
      </rPr>
      <t>El restaurante francés con un Sol Repsol que presume de una de las terrazas ‘secretas’ más bonitas de Madrid</t>
    </r>
    <r>
      <rPr>
        <rFont val="Arial, sans-serif"/>
        <color rgb="FF1155CC"/>
        <sz val="11.0"/>
        <u/>
      </rPr>
      <t>La Guía Repsol define la propuesta de esta 'brasserie' como “la mejor cocina francesa de la capital”, un lugar perfecto para disfrutar de un brunch o una...</t>
    </r>
    <r>
      <rPr>
        <rFont val="Arial, sans-serif"/>
        <color rgb="FF1155CC"/>
        <sz val="12.0"/>
        <u/>
      </rPr>
      <t>.</t>
    </r>
    <r>
      <rPr>
        <rFont val="Arial, sans-serif"/>
        <color rgb="FF1155CC"/>
        <sz val="11.0"/>
        <u/>
      </rPr>
      <t>27 may 2024</t>
    </r>
  </si>
  <si>
    <t>El restaurante francés con un Sol Repsol que presume de una de las terrazas ‘secretas’ más bonitas de Madrid</t>
  </si>
  <si>
    <t>La Guía Repsol define la propuesta de esta 'brasserie' como “la mejor cocina francesa de la capital”, un lugar perfecto para disfrutar de un brunch o una....</t>
  </si>
  <si>
    <t>The French restaurant with a Sol Repsol that boasts one of the most beautiful 'secret' terraces in Madrid</t>
  </si>
  <si>
    <t>The Repsol Guide defines the proposal of this 'brasserie' as “the best French cuisine in the capital”, a perfect place to enjoy a brunch or a...</t>
  </si>
  <si>
    <r>
      <rPr>
        <rFont val="Arial, sans-serif"/>
        <color rgb="FF1155CC"/>
        <sz val="9.0"/>
        <u/>
      </rPr>
      <t>Motor EL PAÍS</t>
    </r>
    <r>
      <rPr>
        <rFont val="Arial, sans-serif"/>
        <color rgb="FF1155CC"/>
        <sz val="15.0"/>
        <u/>
      </rPr>
      <t>Comprar en Temu puede ayudar a los conductores a ahorrar en gasolina: ¿cómo se logra?</t>
    </r>
    <r>
      <rPr>
        <rFont val="Arial, sans-serif"/>
        <color rgb="FF1155CC"/>
        <sz val="11.0"/>
        <u/>
      </rPr>
      <t>La plataforma china, una de las alternativas a Amazon, ofrece precios competitivos y una enorme cantidad de productos. bonos repsol...</t>
    </r>
    <r>
      <rPr>
        <rFont val="Arial, sans-serif"/>
        <color rgb="FF1155CC"/>
        <sz val="12.0"/>
        <u/>
      </rPr>
      <t>.</t>
    </r>
    <r>
      <rPr>
        <rFont val="Arial, sans-serif"/>
        <color rgb="FF1155CC"/>
        <sz val="11.0"/>
        <u/>
      </rPr>
      <t>27 may 2024</t>
    </r>
  </si>
  <si>
    <t>Comprar en Temu puede ayudar a los conductores a ahorrar en gasolina: ¿cómo se logra?</t>
  </si>
  <si>
    <t>Comprar en Temu puede ayudar a los conductores a ahorrar en gasolina: ¿cómo se logra? La plataforma china, una de las alternativas a Amazon, ofrece precios competitivos y una enorme cantidad de productos. bonos repsol....</t>
  </si>
  <si>
    <t>Shopping at Temu can help drivers save on gasoline: how is it achieved?</t>
  </si>
  <si>
    <t>Shopping at Temu can help drivers save on gasoline: how is it achieved? The Chinese platform, one of the alternatives to Amazon, offers competitive prices and a huge number of products. repsol bonuses...</t>
  </si>
  <si>
    <r>
      <rPr>
        <rFont val="Arial, sans-serif"/>
        <color rgb="FF1155CC"/>
        <sz val="9.0"/>
        <u/>
      </rPr>
      <t>Box Repsol</t>
    </r>
    <r>
      <rPr>
        <rFont val="Arial, sans-serif"/>
        <color rgb="FF1155CC"/>
        <sz val="15.0"/>
        <u/>
      </rPr>
      <t>Horarios GP Italia MotoGP 2024: cómo y dónde verlo por TV y online</t>
    </r>
    <r>
      <rPr>
        <rFont val="Arial, sans-serif"/>
        <color rgb="FF1155CC"/>
        <sz val="11.0"/>
        <u/>
      </rPr>
      <t>El equipo Repsol Honda regresa a la competición listo para un triplete lleno de retos y emociones. Descubre los horarios y disfruta del GP de Italia.</t>
    </r>
    <r>
      <rPr>
        <rFont val="Arial, sans-serif"/>
        <color rgb="FF1155CC"/>
        <sz val="12.0"/>
        <u/>
      </rPr>
      <t>.</t>
    </r>
    <r>
      <rPr>
        <rFont val="Arial, sans-serif"/>
        <color rgb="FF1155CC"/>
        <sz val="11.0"/>
        <u/>
      </rPr>
      <t>27 may 2024</t>
    </r>
  </si>
  <si>
    <t>Horarios GP Italia MotoGP 2024: cómo y dónde verlo por TV y online</t>
  </si>
  <si>
    <t>El equipo Repsol Honda regresa a la competición listo para un triplete lleno de retos y emociones. Descubre los horarios y disfruta del GP de Italia.</t>
  </si>
  <si>
    <t>GP Italia MotoGP 2024 schedules: how and where to watch it on TV and online</t>
  </si>
  <si>
    <t>The Repsol Honda team returns to the competition ready for a triplet full of challenges and emotions. Discover the schedules and enjoy the Italian GP.</t>
  </si>
  <si>
    <r>
      <rPr>
        <rFont val="Arial, sans-serif"/>
        <color rgb="FF1155CC"/>
        <sz val="9.0"/>
        <u/>
      </rPr>
      <t>Hispanidad</t>
    </r>
    <r>
      <rPr>
        <rFont val="Arial, sans-serif"/>
        <color rgb="FF1155CC"/>
        <sz val="15.0"/>
        <u/>
      </rPr>
      <t>Las gasolineras ‘low cost’, en auge, pero cada día menos independientes: Ballenoil, Plenoil y Atenoil ya son propiedad de grandes o de fondos</t>
    </r>
    <r>
      <rPr>
        <rFont val="Arial, sans-serif"/>
        <color rgb="FF1155CC"/>
        <sz val="11.0"/>
        <u/>
      </rPr>
      <t>El sector de las gasolineras low cost continúa en auge, aunque el precio del petróleo ha bajado (el barril de Brent cotiza en 82,7 dólares) y se nota en los...</t>
    </r>
    <r>
      <rPr>
        <rFont val="Arial, sans-serif"/>
        <color rgb="FF1155CC"/>
        <sz val="12.0"/>
        <u/>
      </rPr>
      <t>.</t>
    </r>
    <r>
      <rPr>
        <rFont val="Arial, sans-serif"/>
        <color rgb="FF1155CC"/>
        <sz val="11.0"/>
        <u/>
      </rPr>
      <t>27 may 2024</t>
    </r>
  </si>
  <si>
    <t>Las gasolineras ‘low cost’, en auge, pero cada día menos independientes: Ballenoil, Plenoil y Atenoil ya son propiedad de grandes o de fondos</t>
  </si>
  <si>
    <t>El sector de las gasolineras low cost continúa en auge, aunque el precio del petróleo ha bajado (el barril de Brent cotiza en 82,7 dólares) y se nota en los....</t>
  </si>
  <si>
    <t>'Low cost' gas stations, on the rise, but less independent every day: Ballenoil, Plenoil and Atenoil are already owned by large companies or funds</t>
  </si>
  <si>
    <t>The low-cost gas station sector continues to boom, although the price of oil has fallen (a barrel of Brent is trading at $82.7) and it is noticeable in the...</t>
  </si>
  <si>
    <t>Repsol fuel market, competition</t>
  </si>
  <si>
    <t>Mercado de combustibles Repsol, competencia</t>
  </si>
  <si>
    <t>Increasing competition from low-cost stations may impact Repsol’s market share.</t>
  </si>
  <si>
    <r>
      <rPr>
        <rFont val="Arial, sans-serif"/>
        <color rgb="FF1155CC"/>
        <sz val="9.0"/>
        <u/>
      </rPr>
      <t>Guía Repsol</t>
    </r>
    <r>
      <rPr>
        <rFont val="Arial, sans-serif"/>
        <color rgb="FF1155CC"/>
        <sz val="15.0"/>
        <u/>
      </rPr>
      <t>Pomarada en flor en la comarca de la sidra en Asturias</t>
    </r>
    <r>
      <rPr>
        <rFont val="Arial, sans-serif"/>
        <color rgb="FF1155CC"/>
        <sz val="11.0"/>
        <u/>
      </rPr>
      <t>Desde finales de abril hasta junio el valle del Nora se engalana con la floración del manzano, dejando para los meses de verano el engorde del fruto hasta...</t>
    </r>
    <r>
      <rPr>
        <rFont val="Arial, sans-serif"/>
        <color rgb="FF1155CC"/>
        <sz val="12.0"/>
        <u/>
      </rPr>
      <t>.</t>
    </r>
    <r>
      <rPr>
        <rFont val="Arial, sans-serif"/>
        <color rgb="FF1155CC"/>
        <sz val="11.0"/>
        <u/>
      </rPr>
      <t>27 may 2024</t>
    </r>
  </si>
  <si>
    <t>Pomarada en flor en la comarca de la sidra en Asturias</t>
  </si>
  <si>
    <t>Desde finales de abril hasta junio el valle del Nora se engalana con la floración del manzano, dejando para los meses de verano el engorde del fruto hasta....</t>
  </si>
  <si>
    <t>Pomarada in flower in the cider region in Asturias</t>
  </si>
  <si>
    <t>From the end of April to June, the Nora Valley is adorned with the flowering of the apple tree, leaving the fattening of the fruit until the summer months....</t>
  </si>
  <si>
    <r>
      <rPr>
        <rFont val="Arial, sans-serif"/>
        <color rgb="FF1155CC"/>
        <sz val="9.0"/>
        <u/>
      </rPr>
      <t>La Guía GO!</t>
    </r>
    <r>
      <rPr>
        <rFont val="Arial, sans-serif"/>
        <color rgb="FF1155CC"/>
        <sz val="15.0"/>
        <u/>
      </rPr>
      <t>La Mar de Músicas 2024: programación</t>
    </r>
    <r>
      <rPr>
        <rFont val="Arial, sans-serif"/>
        <color rgb="FF1155CC"/>
        <sz val="11.0"/>
        <u/>
      </rPr>
      <t>La Mar de Músicas 2024 de Cartagena celebra su 29 edición, del 19 al 27 de julio, con un Especial Islas del Mediterráneo.</t>
    </r>
    <r>
      <rPr>
        <rFont val="Arial, sans-serif"/>
        <color rgb="FF1155CC"/>
        <sz val="12.0"/>
        <u/>
      </rPr>
      <t>.</t>
    </r>
    <r>
      <rPr>
        <rFont val="Arial, sans-serif"/>
        <color rgb="FF1155CC"/>
        <sz val="11.0"/>
        <u/>
      </rPr>
      <t>27 may 2024</t>
    </r>
  </si>
  <si>
    <t>La Guía GO!</t>
  </si>
  <si>
    <t>La Mar de Músicas 2024: programación</t>
  </si>
  <si>
    <t>La Mar de Músicas 2024 de Cartagena celebra su 29 edición, del 19 al 27 de julio, con un Especial Islas del Mediterráneo.</t>
  </si>
  <si>
    <t>La Mar de Músicas 2024: programming</t>
  </si>
  <si>
    <t>The Mar de Músicas 2024 in Cartagena celebrates its 29th edition, from July 19 to 27, with a Mediterranean Islands Special.</t>
  </si>
  <si>
    <r>
      <rPr>
        <rFont val="Arial, sans-serif"/>
        <color rgb="FF1155CC"/>
        <sz val="9.0"/>
        <u/>
      </rPr>
      <t>Expansión</t>
    </r>
    <r>
      <rPr>
        <rFont val="Arial, sans-serif"/>
        <color rgb="FF1155CC"/>
        <sz val="15.0"/>
        <u/>
      </rPr>
      <t>Repsol lanza una operación de 600 millones para buscar socio en EEUU</t>
    </r>
    <r>
      <rPr>
        <rFont val="Arial, sans-serif"/>
        <color rgb="FF1155CC"/>
        <sz val="11.0"/>
        <u/>
      </rPr>
      <t>Repsol prepara una megaoperación de rotación de activos para un gran paquete de renovables en Estados Unidos. El grupo energético busca inversor para...</t>
    </r>
    <r>
      <rPr>
        <rFont val="Arial, sans-serif"/>
        <color rgb="FF1155CC"/>
        <sz val="12.0"/>
        <u/>
      </rPr>
      <t>.</t>
    </r>
    <r>
      <rPr>
        <rFont val="Arial, sans-serif"/>
        <color rgb="FF1155CC"/>
        <sz val="11.0"/>
        <u/>
      </rPr>
      <t>28 may 2024</t>
    </r>
  </si>
  <si>
    <t>Repsol lanza una operación de 600 millones para buscar socio en EEUU</t>
  </si>
  <si>
    <t>Repsol prepara una megaoperación de rotación de activos para un gran paquete de renovables en Estados Unidos. El grupo energético busca inversor para....</t>
  </si>
  <si>
    <t>Repsol launches a 600 million operation to find a partner in the US</t>
  </si>
  <si>
    <t>Repsol is preparing a mega asset rotation operation for a large renewable package in the United States. The energy group is looking for an investor to...</t>
  </si>
  <si>
    <t>Repsol energy transition, financial strategy</t>
  </si>
  <si>
    <t>Transición energética de Repsol, estrategia financiera</t>
  </si>
  <si>
    <t>Investing in asset rotation to fund renewables strengthens Repsol’s green strategy.</t>
  </si>
  <si>
    <t>buscar socio</t>
  </si>
  <si>
    <t>Positive investment move.</t>
  </si>
  <si>
    <t>Movimiento de inversión positivo.</t>
  </si>
  <si>
    <r>
      <rPr>
        <rFont val="Arial, sans-serif"/>
        <color rgb="FF1155CC"/>
        <sz val="9.0"/>
        <u/>
      </rPr>
      <t>CdeComunicacion.es</t>
    </r>
    <r>
      <rPr>
        <rFont val="Arial, sans-serif"/>
        <color rgb="FF1155CC"/>
        <sz val="15.0"/>
        <u/>
      </rPr>
      <t>Amazon convierte las estaciones de servicio de Repsol en nuevos puntos de devoluciones “sin etiquetas ni cajas”</t>
    </r>
    <r>
      <rPr>
        <rFont val="Arial, sans-serif"/>
        <color rgb="FF1155CC"/>
        <sz val="11.0"/>
        <u/>
      </rPr>
      <t>Amazon convierte las estaciones de servicio de Repsol en nuevos puntos de devoluciones “sin etiquetas ni cajas”</t>
    </r>
    <r>
      <rPr>
        <rFont val="Arial, sans-serif"/>
        <color rgb="FF1155CC"/>
        <sz val="12.0"/>
        <u/>
      </rPr>
      <t>.</t>
    </r>
    <r>
      <rPr>
        <rFont val="Arial, sans-serif"/>
        <color rgb="FF1155CC"/>
        <sz val="11.0"/>
        <u/>
      </rPr>
      <t>28 may 2024</t>
    </r>
  </si>
  <si>
    <t>CdeComunicacion.es</t>
  </si>
  <si>
    <t>Amazon convierte las estaciones de servicio de Repsol en nuevos puntos de devoluciones “sin etiquetas ni cajas”</t>
  </si>
  <si>
    <t>Amazon convierte las estaciones de servicio de Repsol en nuevos puntos de devoluciones “sin etiquetas ni cajas”.</t>
  </si>
  <si>
    <t>Amazon turns Repsol service stations into new returns points “without labels or boxes”</t>
  </si>
  <si>
    <t>Amazon converts Repsol service stations into new returns points “without labels or boxes.”</t>
  </si>
  <si>
    <t>Expanding collection services strengthens Repsol’s non-fuel revenue streams.</t>
  </si>
  <si>
    <t>Reiteration of positive partnership.</t>
  </si>
  <si>
    <t>Reiteración de una asociación positiva.</t>
  </si>
  <si>
    <r>
      <rPr>
        <rFont val="Arial, sans-serif"/>
        <color rgb="FF1155CC"/>
        <sz val="9.0"/>
        <u/>
      </rPr>
      <t>Las Provincias</t>
    </r>
    <r>
      <rPr>
        <rFont val="Arial, sans-serif"/>
        <color rgb="FF1155CC"/>
        <sz val="15.0"/>
        <u/>
      </rPr>
      <t>Las estaciones de servicio de Repsol de España se convierten en nuevos puntos de devolución de Amazon</t>
    </r>
    <r>
      <rPr>
        <rFont val="Arial, sans-serif"/>
        <color rgb="FF1155CC"/>
        <sz val="11.0"/>
        <u/>
      </rPr>
      <t>Más de 700 estaciones de servicio de Repsol ya ofrecen el servicio de devolución 'sin etiquetas ni cajas' para los clientes de Amazon.</t>
    </r>
    <r>
      <rPr>
        <rFont val="Arial, sans-serif"/>
        <color rgb="FF1155CC"/>
        <sz val="12.0"/>
        <u/>
      </rPr>
      <t>.</t>
    </r>
    <r>
      <rPr>
        <rFont val="Arial, sans-serif"/>
        <color rgb="FF1155CC"/>
        <sz val="11.0"/>
        <u/>
      </rPr>
      <t>28 may 2024</t>
    </r>
  </si>
  <si>
    <t>Las estaciones de servicio de Repsol de España se convierten en nuevos puntos de devolución de Amazon</t>
  </si>
  <si>
    <t>Más de 700 estaciones de servicio de Repsol ya ofrecen el servicio de devolución 'sin etiquetas ni cajas' para los clientes de Amazon.</t>
  </si>
  <si>
    <t>Repsol service stations in Spain become new Amazon return points</t>
  </si>
  <si>
    <t>More than 700 Repsol service stations already offer the 'without labels or boxes' return service for Amazon customers.</t>
  </si>
  <si>
    <t>Partnering with Amazon enhances Repsol’s service station value proposition.</t>
  </si>
  <si>
    <t>devolución, Amazon</t>
  </si>
  <si>
    <r>
      <rPr>
        <rFont val="Arial, sans-serif"/>
        <color rgb="FF1155CC"/>
        <sz val="9.0"/>
        <u/>
      </rPr>
      <t>Economía Digital</t>
    </r>
    <r>
      <rPr>
        <rFont val="Arial, sans-serif"/>
        <color rgb="FF1155CC"/>
        <sz val="15.0"/>
        <u/>
      </rPr>
      <t>Repsol convierte a sus gasolineras en centros de devolución de Amazon</t>
    </r>
    <r>
      <rPr>
        <rFont val="Arial, sans-serif"/>
        <color rgb="FF1155CC"/>
        <sz val="11.0"/>
        <u/>
      </rPr>
      <t>Los usuarios podrán entregar los artículos que quieran devolver a Amazon en cualquiera de las más de 700 estaciones de servicios que tiene Repsol, cantidad.</t>
    </r>
    <r>
      <rPr>
        <rFont val="Arial, sans-serif"/>
        <color rgb="FF1155CC"/>
        <sz val="12.0"/>
        <u/>
      </rPr>
      <t>.</t>
    </r>
    <r>
      <rPr>
        <rFont val="Arial, sans-serif"/>
        <color rgb="FF1155CC"/>
        <sz val="11.0"/>
        <u/>
      </rPr>
      <t>28 may 2024</t>
    </r>
  </si>
  <si>
    <t>Repsol convierte a sus gasolineras en centros de devolución de Amazon</t>
  </si>
  <si>
    <t>Los usuarios podrán entregar los artículos que quieran devolver a Amazon en cualquiera de las más de 700 estaciones de servicios que tiene Repsol.</t>
  </si>
  <si>
    <t>Repsol turns its gas stations into Amazon return centers</t>
  </si>
  <si>
    <t>Users will be able to deliver the items they want to return to Amazon at any of the more than 700 service stations that Repsol has.</t>
  </si>
  <si>
    <t>Expanding retail services increases foot traffic at Repsol stations.</t>
  </si>
  <si>
    <r>
      <rPr>
        <rFont val="Arial, sans-serif"/>
        <color rgb="FF1155CC"/>
        <sz val="9.0"/>
        <u/>
      </rPr>
      <t>Motorsport.com España</t>
    </r>
    <r>
      <rPr>
        <rFont val="Arial, sans-serif"/>
        <color rgb="FF1155CC"/>
        <sz val="15.0"/>
        <u/>
      </rPr>
      <t>Repsol y Honda no seguirán juntos en MotoGP 2025 tras 30 años de relación</t>
    </r>
    <r>
      <rPr>
        <rFont val="Arial, sans-serif"/>
        <color rgb="FF1155CC"/>
        <sz val="11.0"/>
        <u/>
      </rPr>
      <t>El patrocinador más longevo y reconocible del campeonato del mundo de motociclismo, la petrolera española Repsol, dejará de asociar su nombre al del...</t>
    </r>
    <r>
      <rPr>
        <rFont val="Arial, sans-serif"/>
        <color rgb="FF1155CC"/>
        <sz val="12.0"/>
        <u/>
      </rPr>
      <t>.</t>
    </r>
    <r>
      <rPr>
        <rFont val="Arial, sans-serif"/>
        <color rgb="FF1155CC"/>
        <sz val="11.0"/>
        <u/>
      </rPr>
      <t>28 may 2024</t>
    </r>
  </si>
  <si>
    <t>Repsol y Honda no seguirán juntos en MotoGP 2025 tras 30 años de relación</t>
  </si>
  <si>
    <t>El patrocinador más longevo y recognizable del campeonato del mundo de motociclismo, la petrolera española Repsol, dejará de asociar su nombre al del....</t>
  </si>
  <si>
    <t>Repsol and Honda will not continue together in MotoGP 2025 after 30 years of relationship</t>
  </si>
  <si>
    <t>The longest-standing and most recognizable sponsor of the motorcycle world championship, the Spanish oil company Repsol, will no longer associate its name with the...</t>
  </si>
  <si>
    <t>Repsol MotoGP, sponsorship termination</t>
  </si>
  <si>
    <t>Repsol MotoGP, terminación del patrocinio</t>
  </si>
  <si>
    <t>Losing a long-standing sponsorship may reduce Repsol’s visibility in motorsports.</t>
  </si>
  <si>
    <t>no seguirán</t>
  </si>
  <si>
    <t>Negative due to partnership loss.</t>
  </si>
  <si>
    <t>Negativo por pérdida de sociedad.</t>
  </si>
  <si>
    <r>
      <rPr>
        <rFont val="Arial, sans-serif"/>
        <color rgb="FF1155CC"/>
        <sz val="9.0"/>
        <u/>
      </rPr>
      <t>Economist &amp; Jurist</t>
    </r>
    <r>
      <rPr>
        <rFont val="Arial, sans-serif"/>
        <color rgb="FF1155CC"/>
        <sz val="15.0"/>
        <u/>
      </rPr>
      <t>Empresas del Ibex 35 como Telefónica, Iberdrola y Repsol definen al DPO como estratégico para implementar la IA</t>
    </r>
    <r>
      <rPr>
        <rFont val="Arial, sans-serif"/>
        <color rgb="FF1155CC"/>
        <sz val="11.0"/>
        <u/>
      </rPr>
      <t>El papel de los Delegados de Protección de Datos ( DPO) será clave en el nuevo escenario que se deriva de la implementación de la IA, según han explicado...</t>
    </r>
    <r>
      <rPr>
        <rFont val="Arial, sans-serif"/>
        <color rgb="FF1155CC"/>
        <sz val="12.0"/>
        <u/>
      </rPr>
      <t>.</t>
    </r>
    <r>
      <rPr>
        <rFont val="Arial, sans-serif"/>
        <color rgb="FF1155CC"/>
        <sz val="11.0"/>
        <u/>
      </rPr>
      <t>28 may 2024</t>
    </r>
  </si>
  <si>
    <t>Economist &amp; Jurist</t>
  </si>
  <si>
    <t>Empresas del Ibex 35 como Telefónica, Iberdrola y Repsol definen al DPO como estratégico para implementar la IA</t>
  </si>
  <si>
    <t>El papel de los Delegados de Protección de Datos (DPO) será clave en el nuevo escenario que se deriva de la implementación de la IA, según han explicado.</t>
  </si>
  <si>
    <t>Ibex 35 companies such as Telefónica, Iberdrola and Repsol define the DPO as strategic to implement AI</t>
  </si>
  <si>
    <t>The role of Data Protection Officers (DPO) will be key in the new scenario that arises from the implementation of AI, as they have explained.</t>
  </si>
  <si>
    <r>
      <rPr>
        <rFont val="Arial, sans-serif"/>
        <color rgb="FF1155CC"/>
        <sz val="9.0"/>
        <u/>
      </rPr>
      <t>Interempresas.net</t>
    </r>
    <r>
      <rPr>
        <rFont val="Arial, sans-serif"/>
        <color rgb="FF1155CC"/>
        <sz val="15.0"/>
        <u/>
      </rPr>
      <t>Entrevista con Patricia Rueda Velasco, gestora de combustibles renovables en Repsol</t>
    </r>
    <r>
      <rPr>
        <rFont val="Arial, sans-serif"/>
        <color rgb="FF1155CC"/>
        <sz val="11.0"/>
        <u/>
      </rPr>
      <t>En un mundo cada vez más consciente de la urgencia climática, la búsqueda de alternativas para reducir las emisiones de carbono se ha vuelto una prioridad.</t>
    </r>
    <r>
      <rPr>
        <rFont val="Arial, sans-serif"/>
        <color rgb="FF1155CC"/>
        <sz val="12.0"/>
        <u/>
      </rPr>
      <t>.</t>
    </r>
    <r>
      <rPr>
        <rFont val="Arial, sans-serif"/>
        <color rgb="FF1155CC"/>
        <sz val="11.0"/>
        <u/>
      </rPr>
      <t>28 may 2024</t>
    </r>
  </si>
  <si>
    <t>Entrevista con Patricia Rueda Velasco, gestora de combustibles renovables en Repsol</t>
  </si>
  <si>
    <t>En un mundo cada vez más consciente de la urgencia climática, la búsqueda de alternativas para reducir las emisiones de carbono se ha vuelto una prioridad.</t>
  </si>
  <si>
    <t>Interview with Patricia Rueda Velasco, renewable fuels manager at Repsol</t>
  </si>
  <si>
    <t>In a world increasingly aware of the climate urgency, the search for alternatives to reduce carbon emissions has become a priority.</t>
  </si>
  <si>
    <t>Repsol renewable energy, sustainability strategy</t>
  </si>
  <si>
    <t>Repsol energías renovables, estrategia de sostenibilidad</t>
  </si>
  <si>
    <t>Expanding renewable energy efforts supports Repsol’s green transition.</t>
  </si>
  <si>
    <t>Positive sustainability focus.</t>
  </si>
  <si>
    <t>Enfoque positivo en sostenibilidad.</t>
  </si>
  <si>
    <r>
      <rPr>
        <rFont val="Arial, sans-serif"/>
        <color rgb="FF1155CC"/>
        <sz val="9.0"/>
        <u/>
      </rPr>
      <t>diarimes.com</t>
    </r>
    <r>
      <rPr>
        <rFont val="Arial, sans-serif"/>
        <color rgb="FF1155CC"/>
        <sz val="15.0"/>
        <u/>
      </rPr>
      <t>Les estaciones de servicio de Repsol en Tarragona se convierten en puntos de devoluciones de Amazon</t>
    </r>
    <r>
      <rPr>
        <rFont val="Arial, sans-serif"/>
        <color rgb="FF1155CC"/>
        <sz val="11.0"/>
        <u/>
      </rPr>
      <t>El servicio se añade a los Amazon Lockers que Repsol ya tiene instalados en sus gasolineras.</t>
    </r>
    <r>
      <rPr>
        <rFont val="Arial, sans-serif"/>
        <color rgb="FF1155CC"/>
        <sz val="12.0"/>
        <u/>
      </rPr>
      <t>.</t>
    </r>
    <r>
      <rPr>
        <rFont val="Arial, sans-serif"/>
        <color rgb="FF1155CC"/>
        <sz val="11.0"/>
        <u/>
      </rPr>
      <t>28 may 2024</t>
    </r>
  </si>
  <si>
    <t>Las estaciones de servicio de Repsol en Tarragona se convierten en puntos de devoluciones de Amazon</t>
  </si>
  <si>
    <t>El servicio se añade a los Amazon Lockers que Repsol ya tiene instalados en sus gasolineras.</t>
  </si>
  <si>
    <t>Repsol service stations in Tarragona become Amazon returns points</t>
  </si>
  <si>
    <t>The service is added to the Amazon Lockers that Repsol already has installed at its gas stations.</t>
  </si>
  <si>
    <t>Retail partnerships diversify Repsol’s revenue streams.</t>
  </si>
  <si>
    <t>devoluciones</t>
  </si>
  <si>
    <r>
      <rPr>
        <rFont val="Arial, sans-serif"/>
        <color rgb="FF1155CC"/>
        <sz val="9.0"/>
        <u/>
      </rPr>
      <t>El Economista</t>
    </r>
    <r>
      <rPr>
        <rFont val="Arial, sans-serif"/>
        <color rgb="FF1155CC"/>
        <sz val="15.0"/>
        <u/>
      </rPr>
      <t>Marquesinas inteligentes contra la despoblación</t>
    </r>
    <r>
      <rPr>
        <rFont val="Arial, sans-serif"/>
        <color rgb="FF1155CC"/>
        <sz val="11.0"/>
        <u/>
      </rPr>
      <t>5 retos derivados de la transición energética recogen las ideas de más de 1.700 estudiantes universitarios de toda España; Fundación Repsol promueve el...</t>
    </r>
    <r>
      <rPr>
        <rFont val="Arial, sans-serif"/>
        <color rgb="FF1155CC"/>
        <sz val="12.0"/>
        <u/>
      </rPr>
      <t>.</t>
    </r>
    <r>
      <rPr>
        <rFont val="Arial, sans-serif"/>
        <color rgb="FF1155CC"/>
        <sz val="11.0"/>
        <u/>
      </rPr>
      <t>28 may 2024</t>
    </r>
  </si>
  <si>
    <t>Marquesinas inteligentes contra la despoblación</t>
  </si>
  <si>
    <t>5 retos derivados de la transición energética recogen las ideas de más de 1.700 estudiantes universitarios de toda España; Fundación Repsol promueve el....</t>
  </si>
  <si>
    <t>Smart canopies against depopulation</t>
  </si>
  <si>
    <t>5 challenges derived from the energy transition collect the ideas of more than 1,700 university students from all over Spain; Repsol Foundation promotes the....</t>
  </si>
  <si>
    <r>
      <rPr>
        <rFont val="Arial, sans-serif"/>
        <color rgb="FF1155CC"/>
        <sz val="9.0"/>
        <u/>
      </rPr>
      <t>La Razón</t>
    </r>
    <r>
      <rPr>
        <rFont val="Arial, sans-serif"/>
        <color rgb="FF1155CC"/>
        <sz val="15.0"/>
        <u/>
      </rPr>
      <t>Aceite usado de cocina por gasolina o diésel: así puedes abaratar tu depósito de combustible</t>
    </r>
    <r>
      <rPr>
        <rFont val="Arial, sans-serif"/>
        <color rgb="FF1155CC"/>
        <sz val="11.0"/>
        <u/>
      </rPr>
      <t>Existen 453 estaciones de servicio en España de la empresa Repsol con este servicio de recogida.</t>
    </r>
    <r>
      <rPr>
        <rFont val="Arial, sans-serif"/>
        <color rgb="FF1155CC"/>
        <sz val="12.0"/>
        <u/>
      </rPr>
      <t>.</t>
    </r>
    <r>
      <rPr>
        <rFont val="Arial, sans-serif"/>
        <color rgb="FF1155CC"/>
        <sz val="11.0"/>
        <u/>
      </rPr>
      <t>28 may 2024</t>
    </r>
  </si>
  <si>
    <t>Aceite usado de cocina por gasolina o diésel: así puedes abaratar tu depósito de combustible</t>
  </si>
  <si>
    <t>Existen 453 estaciones de servicio en España de la empresa Repsol con este servicio de recogida.</t>
  </si>
  <si>
    <t>Used cooking oil for gasoline or diesel: this way you can reduce your fuel tank</t>
  </si>
  <si>
    <t>There are 453 service stations in Spain owned by the Repsol company with this collection service.</t>
  </si>
  <si>
    <t>Encouraging waste oil collection aligns with Repsol’s green energy strategy.</t>
  </si>
  <si>
    <r>
      <rPr>
        <rFont val="Arial, sans-serif"/>
        <color rgb="FF1155CC"/>
        <sz val="9.0"/>
        <u/>
      </rPr>
      <t>MOTOSAN</t>
    </r>
    <r>
      <rPr>
        <rFont val="Arial, sans-serif"/>
        <color rgb="FF1155CC"/>
        <sz val="15.0"/>
        <u/>
      </rPr>
      <t>Honda HRC pierde a su máximo patrocinador tras 30 años de unión</t>
    </r>
    <r>
      <rPr>
        <rFont val="Arial, sans-serif"/>
        <color rgb="FF1155CC"/>
        <sz val="11.0"/>
        <u/>
      </rPr>
      <t>El famoso patrocinador de Honda, Repsol, retirará su colaboración junto a la marca japonesa al finalizar el Mundial 2024. Como ha dado a conocer el medio.</t>
    </r>
    <r>
      <rPr>
        <rFont val="Arial, sans-serif"/>
        <color rgb="FF1155CC"/>
        <sz val="12.0"/>
        <u/>
      </rPr>
      <t>.</t>
    </r>
    <r>
      <rPr>
        <rFont val="Arial, sans-serif"/>
        <color rgb="FF1155CC"/>
        <sz val="11.0"/>
        <u/>
      </rPr>
      <t>28 may 2024</t>
    </r>
  </si>
  <si>
    <t>Honda HRC pierde a su máximo patrocinador tras 30 años de unión</t>
  </si>
  <si>
    <t>El famoso patrocinador de Honda, Repsol, retirará su colaboración junto a la marca japonesa al finalizar el Mundial 2024. Como ha dado a conocer el medio.</t>
  </si>
  <si>
    <t>Honda HRC loses its main sponsor after 30 years of union</t>
  </si>
  <si>
    <t>Honda's famous sponsor, Repsol, will withdraw its collaboration with the Japanese brand at the end of the 2024 World Cup. As the media has announced.</t>
  </si>
  <si>
    <r>
      <rPr>
        <rFont val="Arial, sans-serif"/>
        <color rgb="FF1155CC"/>
        <sz val="9.0"/>
        <u/>
      </rPr>
      <t>Expansión</t>
    </r>
    <r>
      <rPr>
        <rFont val="Arial, sans-serif"/>
        <color rgb="FF1155CC"/>
        <sz val="15.0"/>
        <u/>
      </rPr>
      <t>Repsol regala 30 céntimos por cada litro de aceite usado</t>
    </r>
    <r>
      <rPr>
        <rFont val="Arial, sans-serif"/>
        <color rgb="FF1155CC"/>
        <sz val="11.0"/>
        <u/>
      </rPr>
      <t>Repsol recoge aceite de cocina usado en sus gasolineras para transformarlo en combustible renovable. Por cada litro de aceite, la compañía recompensa con 30...</t>
    </r>
    <r>
      <rPr>
        <rFont val="Arial, sans-serif"/>
        <color rgb="FF1155CC"/>
        <sz val="12.0"/>
        <u/>
      </rPr>
      <t>.</t>
    </r>
    <r>
      <rPr>
        <rFont val="Arial, sans-serif"/>
        <color rgb="FF1155CC"/>
        <sz val="11.0"/>
        <u/>
      </rPr>
      <t>28 may 2024</t>
    </r>
  </si>
  <si>
    <t>Repsol regala 30 céntimos por cada litro de aceite usado</t>
  </si>
  <si>
    <t>Repsol recoge aceite de cocina usado en sus gasolineras para transformarlo en combustible renovable. Por cada litro de aceite, la compañía recompensa con 30....</t>
  </si>
  <si>
    <t>Repsol gives away 30 cents for each liter of used oil</t>
  </si>
  <si>
    <t>Repsol collects used cooking oil at its gas stations to transform it into renewable fuel. For every liter of oil, the company rewards 30....</t>
  </si>
  <si>
    <t>Incentivizing oil recycling supports Repsol’s clean energy transition.</t>
  </si>
  <si>
    <t>regala</t>
  </si>
  <si>
    <r>
      <rPr>
        <rFont val="Arial, sans-serif"/>
        <color rgb="FF1155CC"/>
        <sz val="9.0"/>
        <u/>
      </rPr>
      <t>Telemadrid</t>
    </r>
    <r>
      <rPr>
        <rFont val="Arial, sans-serif"/>
        <color rgb="FF1155CC"/>
        <sz val="15.0"/>
        <u/>
      </rPr>
      <t>Ya puedes devolver tus pedidos de Amazon en una gasolinera</t>
    </r>
    <r>
      <rPr>
        <rFont val="Arial, sans-serif"/>
        <color rgb="FF1155CC"/>
        <sz val="11.0"/>
        <u/>
      </rPr>
      <t>Repsol y Amazon han lanzado un nuevo servicio para que los clientes realicen sus devoluciones en las estaciones de servicio que la compañía tiene...</t>
    </r>
    <r>
      <rPr>
        <rFont val="Arial, sans-serif"/>
        <color rgb="FF1155CC"/>
        <sz val="12.0"/>
        <u/>
      </rPr>
      <t>.</t>
    </r>
    <r>
      <rPr>
        <rFont val="Arial, sans-serif"/>
        <color rgb="FF1155CC"/>
        <sz val="11.0"/>
        <u/>
      </rPr>
      <t>28 may 2024</t>
    </r>
  </si>
  <si>
    <t>Telemadrid</t>
  </si>
  <si>
    <t>Ya puedes devolver tus pedidos de Amazon en una gasolinera</t>
  </si>
  <si>
    <t>Repsol y Amazon han lanzado un nuevo servicio para que los clientes realicen sus devoluciones en las estaciones de servicio que la compañía tiene....</t>
  </si>
  <si>
    <t>You can now return your Amazon orders at a gas station</t>
  </si>
  <si>
    <t>Repsol and Amazon have launched a new service for customers to make their returns at the service stations that the company has....</t>
  </si>
  <si>
    <t>Expanding retail partnerships increases foot traffic at Repsol stations.</t>
  </si>
  <si>
    <r>
      <rPr>
        <rFont val="Arial, sans-serif"/>
        <color rgb="FF1155CC"/>
        <sz val="9.0"/>
        <u/>
      </rPr>
      <t>Motorsport.com España</t>
    </r>
    <r>
      <rPr>
        <rFont val="Arial, sans-serif"/>
        <color rgb="FF1155CC"/>
        <sz val="15.0"/>
        <u/>
      </rPr>
      <t>Galería: todas las motos y pilotos Repsol Honda en 500/MotoGP</t>
    </r>
    <r>
      <rPr>
        <rFont val="Arial, sans-serif"/>
        <color rgb="FF1155CC"/>
        <sz val="11.0"/>
        <u/>
      </rPr>
      <t>La temporada 2024 es la número 30 de Repsol en la máxima categoría del mundial de motociclismo junto a Honda, y a su vez la última, ya que la asociación...</t>
    </r>
    <r>
      <rPr>
        <rFont val="Arial, sans-serif"/>
        <color rgb="FF1155CC"/>
        <sz val="12.0"/>
        <u/>
      </rPr>
      <t>.</t>
    </r>
    <r>
      <rPr>
        <rFont val="Arial, sans-serif"/>
        <color rgb="FF1155CC"/>
        <sz val="11.0"/>
        <u/>
      </rPr>
      <t>28 may 2024</t>
    </r>
  </si>
  <si>
    <t>Galería: todas las motos y pilotos Repsol Honda en 500/MotoGP</t>
  </si>
  <si>
    <t>La temporada 2024 es la número 30 de Repsol en la máxima categoría del mundial de motociclismo junto a Honda, y a su vez la última, ya que la asociación....</t>
  </si>
  <si>
    <t>Gallery: all the Repsol Honda bikes and riders in 500/MotoGP</t>
  </si>
  <si>
    <t>The 2024 season is Repsol's 30th in the top category of the motorcycle world championship together with Honda, and at the same time the last, since the association...</t>
  </si>
  <si>
    <r>
      <rPr>
        <rFont val="Arial, sans-serif"/>
        <color rgb="FF1155CC"/>
        <sz val="9.0"/>
        <u/>
      </rPr>
      <t>Box Repsol</t>
    </r>
    <r>
      <rPr>
        <rFont val="Arial, sans-serif"/>
        <color rgb="FF1155CC"/>
        <sz val="15.0"/>
        <u/>
      </rPr>
      <t>Descubre las concentraciones moteras de 2024</t>
    </r>
    <r>
      <rPr>
        <rFont val="Arial, sans-serif"/>
        <color rgb="FF1155CC"/>
        <sz val="11.0"/>
        <u/>
      </rPr>
      <t>Explora las mejores concentraciones moteras del 2024. Eventos imprescindibles para los amantes de las motos y vive la pasión en estos encuentros únicos.</t>
    </r>
    <r>
      <rPr>
        <rFont val="Arial, sans-serif"/>
        <color rgb="FF1155CC"/>
        <sz val="12.0"/>
        <u/>
      </rPr>
      <t>.</t>
    </r>
    <r>
      <rPr>
        <rFont val="Arial, sans-serif"/>
        <color rgb="FF1155CC"/>
        <sz val="11.0"/>
        <u/>
      </rPr>
      <t>28 may 2024</t>
    </r>
  </si>
  <si>
    <t>Descubre las concentraciones moteras de 2024</t>
  </si>
  <si>
    <t>Explora las mejores concentraciones moteras del 2024. Eventos imprescindibles para los amantes de las motos y vive la pasión en estos encuentros únicos.</t>
  </si>
  <si>
    <t>Discover the biker rallies of 2024</t>
  </si>
  <si>
    <t>Explore the best biker rallies in 2024. Essential events for motorcycle lovers and experience the passion in these unique encounters.</t>
  </si>
  <si>
    <r>
      <rPr>
        <rFont val="Arial, sans-serif"/>
        <color rgb="FF1155CC"/>
        <sz val="9.0"/>
        <u/>
      </rPr>
      <t>LaRepublica.co</t>
    </r>
    <r>
      <rPr>
        <rFont val="Arial, sans-serif"/>
        <color rgb="FF1155CC"/>
        <sz val="15.0"/>
        <u/>
      </rPr>
      <t>Petrolera Repsol lanza operación de US$652,9 millones para buscar socio en EE.UU.</t>
    </r>
    <r>
      <rPr>
        <rFont val="Arial, sans-serif"/>
        <color rgb="FF1155CC"/>
        <sz val="11.0"/>
        <u/>
      </rPr>
      <t>La ambición de Repsol en EE.UU. pasa por tener una capacidad instalada de 2.000 MW en 2025 y de 8.000 MW en 2030.</t>
    </r>
    <r>
      <rPr>
        <rFont val="Arial, sans-serif"/>
        <color rgb="FF1155CC"/>
        <sz val="12.0"/>
        <u/>
      </rPr>
      <t>.</t>
    </r>
    <r>
      <rPr>
        <rFont val="Arial, sans-serif"/>
        <color rgb="FF1155CC"/>
        <sz val="11.0"/>
        <u/>
      </rPr>
      <t>28 may 2024</t>
    </r>
  </si>
  <si>
    <t>Petrolera Repsol lanza operación de US$652,9 millones para buscar socio en EE.UU.</t>
  </si>
  <si>
    <t>La ambición de Repsol en EE.UU. pasa por tener una capacidad instalada de 2.000 MW en 2025 y de 8.000 MW en 2030.</t>
  </si>
  <si>
    <t>Oil company Repsol launches US$652.9 million operation to find a partner in the US</t>
  </si>
  <si>
    <t>Repsol's ambition in the US is to have an installed capacity of 2,000 MW in 2025 and 8,000 MW in 2030.</t>
  </si>
  <si>
    <t>Repsol financial strategy, investment initiative</t>
  </si>
  <si>
    <t>Estrategia financiera de Repsol, iniciativa inversora</t>
  </si>
  <si>
    <t>Bond buybacks reinforce investor confidence in Repsol’s financial stability.</t>
  </si>
  <si>
    <t>Reiteration of positive investment.</t>
  </si>
  <si>
    <t>Reiteración de inversiones positivas.</t>
  </si>
  <si>
    <r>
      <rPr>
        <rFont val="Arial, sans-serif"/>
        <color rgb="FF1155CC"/>
        <sz val="9.0"/>
        <u/>
      </rPr>
      <t>Desde Adentro</t>
    </r>
    <r>
      <rPr>
        <rFont val="Arial, sans-serif"/>
        <color rgb="FF1155CC"/>
        <sz val="15.0"/>
        <u/>
      </rPr>
      <t>Repsol se consolida como proveedor principal de la industria minera en el Perú</t>
    </r>
    <r>
      <rPr>
        <rFont val="Arial, sans-serif"/>
        <color rgb="FF1155CC"/>
        <sz val="11.0"/>
        <u/>
      </rPr>
      <t>Repsol abastece diariamente 420 mil galones diarios de nuestro Diésel Minero a las operaciones de minería más grandes e importantes del Perú".</t>
    </r>
    <r>
      <rPr>
        <rFont val="Arial, sans-serif"/>
        <color rgb="FF1155CC"/>
        <sz val="12.0"/>
        <u/>
      </rPr>
      <t>.</t>
    </r>
    <r>
      <rPr>
        <rFont val="Arial, sans-serif"/>
        <color rgb="FF1155CC"/>
        <sz val="11.0"/>
        <u/>
      </rPr>
      <t>28 may 2024</t>
    </r>
  </si>
  <si>
    <t>Repsol se consolida como proveedor principal de la industria minera en el Perú</t>
  </si>
  <si>
    <t>Repsol abastece diariamente 420 mil galones diarios de nuestro Diésel Minero a las operaciones de minería más grandes e importantes del Perú.</t>
  </si>
  <si>
    <t>Repsol consolidates itself as the main supplier to the mining industry in Peru</t>
  </si>
  <si>
    <t>Repsol supplies 420 thousand gallons of our Mining Diesel daily to the largest and most important mining operations in Peru.</t>
  </si>
  <si>
    <t>Expanding into mining strengthens Repsol’s fuel distribution network.</t>
  </si>
  <si>
    <t>proveedor principal</t>
  </si>
  <si>
    <r>
      <rPr>
        <rFont val="Arial, sans-serif"/>
        <color rgb="FF1155CC"/>
        <sz val="9.0"/>
        <u/>
      </rPr>
      <t>Perú 21</t>
    </r>
    <r>
      <rPr>
        <rFont val="Arial, sans-serif"/>
        <color rgb="FF1155CC"/>
        <sz val="15.0"/>
        <u/>
      </rPr>
      <t>Repsol se consolida como proveedor principal de la industria minera en el Perú</t>
    </r>
    <r>
      <rPr>
        <rFont val="Arial, sans-serif"/>
        <color rgb="FF1155CC"/>
        <sz val="11.0"/>
        <u/>
      </rPr>
      <t>Repsol consolida su posición como proveedor principal de la industria minera en el Perú, luego de renovar contratos de suministros de combustibles por 5...</t>
    </r>
    <r>
      <rPr>
        <rFont val="Arial, sans-serif"/>
        <color rgb="FF1155CC"/>
        <sz val="12.0"/>
        <u/>
      </rPr>
      <t>.</t>
    </r>
    <r>
      <rPr>
        <rFont val="Arial, sans-serif"/>
        <color rgb="FF1155CC"/>
        <sz val="11.0"/>
        <u/>
      </rPr>
      <t>28 may 2024</t>
    </r>
  </si>
  <si>
    <t>Repsol consolida su posición como proveedor principal de la industria minera en el Perú, luego de renovar contratos de suministros de combustibles por 5....</t>
  </si>
  <si>
    <t>Repsol consolidates its position as the main supplier to the mining industry in Peru, after renewing fuel supply contracts for 5...</t>
  </si>
  <si>
    <t>Strengthening its market presence in mining reinforces Repsol’s industry role.</t>
  </si>
  <si>
    <r>
      <rPr>
        <rFont val="Arial, sans-serif"/>
        <color rgb="FF1155CC"/>
        <sz val="9.0"/>
        <u/>
      </rPr>
      <t>Consumidor Global</t>
    </r>
    <r>
      <rPr>
        <rFont val="Arial, sans-serif"/>
        <color rgb="FF1155CC"/>
        <sz val="15.0"/>
        <u/>
      </rPr>
      <t>Ya puedes devolver tu compra de Amazon en la gasolinera: Repsol transforma sus 700 estaciones</t>
    </r>
    <r>
      <rPr>
        <rFont val="Arial, sans-serif"/>
        <color rgb="FF1155CC"/>
        <sz val="11.0"/>
        <u/>
      </rPr>
      <t>Amazon y Repsol han llegado a un acuerdo para ofrecer este servicio pionero en Europa.</t>
    </r>
    <r>
      <rPr>
        <rFont val="Arial, sans-serif"/>
        <color rgb="FF1155CC"/>
        <sz val="12.0"/>
        <u/>
      </rPr>
      <t>.</t>
    </r>
    <r>
      <rPr>
        <rFont val="Arial, sans-serif"/>
        <color rgb="FF1155CC"/>
        <sz val="11.0"/>
        <u/>
      </rPr>
      <t>28 may 2024</t>
    </r>
  </si>
  <si>
    <t>Consumidor Global</t>
  </si>
  <si>
    <t>Ya puedes devolver tu compra de Amazon en la gasolinera: Repsol transforma sus 700 estaciones</t>
  </si>
  <si>
    <t>Amazon y Repsol han llegado a un acuerdo para ofrecer este servicio pionero en Europa.</t>
  </si>
  <si>
    <t>You can now return your Amazon purchase at the gas station: Repsol transforms its 700 stations</t>
  </si>
  <si>
    <t>Amazon and Repsol have reached an agreement to offer this pioneering service in Europe.</t>
  </si>
  <si>
    <t>Retail collaborations enhance Repsol’s service station utility.</t>
  </si>
  <si>
    <r>
      <rPr>
        <rFont val="Arial, sans-serif"/>
        <color rgb="FF1155CC"/>
        <sz val="9.0"/>
        <u/>
      </rPr>
      <t>Dircomfidencial</t>
    </r>
    <r>
      <rPr>
        <rFont val="Arial, sans-serif"/>
        <color rgb="FF1155CC"/>
        <sz val="15.0"/>
        <u/>
      </rPr>
      <t>Repsol presenta sus combustibles 100% renovables en su última campaña</t>
    </r>
    <r>
      <rPr>
        <rFont val="Arial, sans-serif"/>
        <color rgb="FF1155CC"/>
        <sz val="11.0"/>
        <u/>
      </rPr>
      <t>Repsol lanza su nueva campaña en torno a su programa de patrocinio en MotoGP y lo hace volviendo a confiar en la agencia DDB.</t>
    </r>
    <r>
      <rPr>
        <rFont val="Arial, sans-serif"/>
        <color rgb="FF1155CC"/>
        <sz val="12.0"/>
        <u/>
      </rPr>
      <t>.</t>
    </r>
    <r>
      <rPr>
        <rFont val="Arial, sans-serif"/>
        <color rgb="FF1155CC"/>
        <sz val="11.0"/>
        <u/>
      </rPr>
      <t>29 may 2024</t>
    </r>
  </si>
  <si>
    <t>Repsol presenta sus combustibles 100% renovables en su última campaña</t>
  </si>
  <si>
    <t>Repsol lanza su nueva campaña en torno a su programa de patrocinio en MotoGP y lo hace volviendo a confiar en la agencia DDB.</t>
  </si>
  <si>
    <t>Repsol presents its 100% renewable fuels in its latest campaign</t>
  </si>
  <si>
    <t>Repsol launches its new campaign around its MotoGP sponsorship program and does so by once again trusting the DDB agency.</t>
  </si>
  <si>
    <t>Promoting renewable fuels aligns with Repsol’s green energy commitments.</t>
  </si>
  <si>
    <t>100% renovables</t>
  </si>
  <si>
    <t>Strong positive for sustainability.</t>
  </si>
  <si>
    <t>Fuertemente positivo para la sostenibilidad.</t>
  </si>
  <si>
    <r>
      <rPr>
        <rFont val="Arial, sans-serif"/>
        <color rgb="FF1155CC"/>
        <sz val="9.0"/>
        <u/>
      </rPr>
      <t>Telecinco</t>
    </r>
    <r>
      <rPr>
        <rFont val="Arial, sans-serif"/>
        <color rgb="FF1155CC"/>
        <sz val="15.0"/>
        <u/>
      </rPr>
      <t>Repsol te da dinero para llenar el depósito por tu aceite de cocina usado</t>
    </r>
    <r>
      <rPr>
        <rFont val="Arial, sans-serif"/>
        <color rgb="FF1155CC"/>
        <sz val="11.0"/>
        <u/>
      </rPr>
      <t>Repsol recoge aceite de cocina usado en sus gasolineras para transformarlo en combustible renovable.</t>
    </r>
    <r>
      <rPr>
        <rFont val="Arial, sans-serif"/>
        <color rgb="FF1155CC"/>
        <sz val="12.0"/>
        <u/>
      </rPr>
      <t>.</t>
    </r>
    <r>
      <rPr>
        <rFont val="Arial, sans-serif"/>
        <color rgb="FF1155CC"/>
        <sz val="11.0"/>
        <u/>
      </rPr>
      <t>29 may 2024</t>
    </r>
  </si>
  <si>
    <t>Repsol te da dinero para llenar el depósito por tu aceite de cocina usado</t>
  </si>
  <si>
    <t>Repsol recoge aceite de cocina usado en sus gasolineras para transformarlo en combustible renovable.</t>
  </si>
  <si>
    <t>Repsol gives you money to fill the tank for your used cooking oil</t>
  </si>
  <si>
    <t>Repsol collects used cooking oil at its gas stations to transform it into renewable fuel.</t>
  </si>
  <si>
    <t>Incentivizing oil recycling supports Repsol’s sustainability efforts.</t>
  </si>
  <si>
    <t>da dinero</t>
  </si>
  <si>
    <r>
      <rPr>
        <rFont val="Arial, sans-serif"/>
        <color rgb="FF1155CC"/>
        <sz val="9.0"/>
        <u/>
      </rPr>
      <t>Control Publicidad</t>
    </r>
    <r>
      <rPr>
        <rFont val="Arial, sans-serif"/>
        <color rgb="FF1155CC"/>
        <sz val="15.0"/>
        <u/>
      </rPr>
      <t>Repsol Lanza La Campaña "Tú Vas Por Delante"</t>
    </r>
    <r>
      <rPr>
        <rFont val="Arial, sans-serif"/>
        <color rgb="FF1155CC"/>
        <sz val="11.0"/>
        <u/>
      </rPr>
      <t>La nueva campaña de Repsol, firmada por la agencia de publicidad DDB, pone en valor la innovación y la tecnología para conseguir un combustible 100%...</t>
    </r>
    <r>
      <rPr>
        <rFont val="Arial, sans-serif"/>
        <color rgb="FF1155CC"/>
        <sz val="12.0"/>
        <u/>
      </rPr>
      <t>.</t>
    </r>
    <r>
      <rPr>
        <rFont val="Arial, sans-serif"/>
        <color rgb="FF1155CC"/>
        <sz val="11.0"/>
        <u/>
      </rPr>
      <t>29 may 2024</t>
    </r>
  </si>
  <si>
    <t>Repsol Lanza La Campaña "Tú Vas Por Delante"</t>
  </si>
  <si>
    <t>La nueva campaña de Repsol, firmada por la agencia de publicidad DDB, pone en valor la innovación y la tecnología para conseguir un combustible 100%....</t>
  </si>
  <si>
    <t>Repsol Launches The "You Go Ahead" Campaign</t>
  </si>
  <si>
    <t>Repsol's new campaign, signed by the DDB advertising agency, highlights innovation and technology to achieve a 100% fuel....</t>
  </si>
  <si>
    <t>Repsol marketing campaign, sustainability messaging</t>
  </si>
  <si>
    <t>Campaña de marketing de Repsol, mensajes de sostenibilidad</t>
  </si>
  <si>
    <t>Strengthening sustainability messaging reinforces Repsol’s environmental image.</t>
  </si>
  <si>
    <t>None</t>
  </si>
  <si>
    <t>Neutral marketing campaign.</t>
  </si>
  <si>
    <t>Campaña de marketing neutral.</t>
  </si>
  <si>
    <r>
      <rPr>
        <rFont val="Arial, sans-serif"/>
        <color rgb="FF1155CC"/>
        <sz val="9.0"/>
        <u/>
      </rPr>
      <t>Expansión</t>
    </r>
    <r>
      <rPr>
        <rFont val="Arial, sans-serif"/>
        <color rgb="FF1155CC"/>
        <sz val="15.0"/>
        <u/>
      </rPr>
      <t>Repsol pagará el dividendo complementario de 0,5 euros por acción el 8 de julio</t>
    </r>
    <r>
      <rPr>
        <rFont val="Arial, sans-serif"/>
        <color rgb="FF1155CC"/>
        <sz val="11.0"/>
        <u/>
      </rPr>
      <t>Repsol procederá al pago del dividendo complementario con cargo a los beneficios del ejercicio 2023, de 0,5 euros brutos por acción, el próximo lunes 8 de...</t>
    </r>
    <r>
      <rPr>
        <rFont val="Arial, sans-serif"/>
        <color rgb="FF1155CC"/>
        <sz val="12.0"/>
        <u/>
      </rPr>
      <t>.</t>
    </r>
    <r>
      <rPr>
        <rFont val="Arial, sans-serif"/>
        <color rgb="FF1155CC"/>
        <sz val="11.0"/>
        <u/>
      </rPr>
      <t>29 may 2024</t>
    </r>
  </si>
  <si>
    <t>Repsol pagará el dividendo complementario de 0,5 euros por acción el 8 de julio</t>
  </si>
  <si>
    <t>Repsol procederá al pago del dividendo complementario con cargo a los beneficios del ejercicio 2023, de 0,5 euros brutos por acción, el próximo lunes 8 de....</t>
  </si>
  <si>
    <t>Repsol will pay the complementary dividend of 0.5 euros per share on July 8</t>
  </si>
  <si>
    <t>Repsol will proceed to pay the complementary dividend from the profits for fiscal year 2023, of 0.5 euros gross per share, next Monday, December 8th....</t>
  </si>
  <si>
    <t>Positive shareholder news.</t>
  </si>
  <si>
    <t>Noticias positivas para los accionistas.</t>
  </si>
  <si>
    <r>
      <rPr>
        <rFont val="Arial, sans-serif"/>
        <color rgb="FF1155CC"/>
        <sz val="9.0"/>
        <u/>
      </rPr>
      <t>ABC</t>
    </r>
    <r>
      <rPr>
        <rFont val="Arial, sans-serif"/>
        <color rgb="FF1155CC"/>
        <sz val="15.0"/>
        <u/>
      </rPr>
      <t>No tires el aceite de cocina usado: Repsol está regalando 30 céntimos por cada litro que lleves a sus estac...</t>
    </r>
    <r>
      <rPr>
        <rFont val="Arial, sans-serif"/>
        <color rgb="FF1155CC"/>
        <sz val="11.0"/>
        <u/>
      </rPr>
      <t>No sabes qué hacer con el aceite de cocina usado? La compañía energética lanza una promoción con la que reciclarlo a la vez que ahorras.</t>
    </r>
    <r>
      <rPr>
        <rFont val="Arial, sans-serif"/>
        <color rgb="FF1155CC"/>
        <sz val="12.0"/>
        <u/>
      </rPr>
      <t>.</t>
    </r>
    <r>
      <rPr>
        <rFont val="Arial, sans-serif"/>
        <color rgb="FF1155CC"/>
        <sz val="11.0"/>
        <u/>
      </rPr>
      <t>29 may 2024</t>
    </r>
  </si>
  <si>
    <t>No tires el aceite de cocina usado: Repsol está regalando 30 céntimos por cada litro que lleves a sus estac...</t>
  </si>
  <si>
    <t>No sabes qué hacer con el aceite de cocina usado? La compañía energética lanza una promoción con la que reciclarlo a la vez que ahorras.</t>
  </si>
  <si>
    <t>Don't throw away used cooking oil: Repsol is giving away 30 cents for every liter you bring to its stores...</t>
  </si>
  <si>
    <t>Don't know what to do with used cooking oil? The energy company launches a promotion with which you can recycle it while saving.</t>
  </si>
  <si>
    <r>
      <rPr>
        <rFont val="Arial, sans-serif"/>
        <color rgb="FF1155CC"/>
        <sz val="9.0"/>
        <u/>
      </rPr>
      <t>El Independiente</t>
    </r>
    <r>
      <rPr>
        <rFont val="Arial, sans-serif"/>
        <color rgb="FF1155CC"/>
        <sz val="15.0"/>
        <u/>
      </rPr>
      <t>Iberdrola tira los precios de su tarifa libre para hacer frente en su lucha contra Repsol</t>
    </r>
    <r>
      <rPr>
        <rFont val="Arial, sans-serif"/>
        <color rgb="FF1155CC"/>
        <sz val="11.0"/>
        <u/>
      </rPr>
      <t>Iberdrola da un paso adelante en su lucha para ser la mayor eléctrica por número de clientes. La empresa liderada por Ignacio Sánchez Galán ha visto como.</t>
    </r>
    <r>
      <rPr>
        <rFont val="Arial, sans-serif"/>
        <color rgb="FF1155CC"/>
        <sz val="12.0"/>
        <u/>
      </rPr>
      <t>.</t>
    </r>
    <r>
      <rPr>
        <rFont val="Arial, sans-serif"/>
        <color rgb="FF1155CC"/>
        <sz val="11.0"/>
        <u/>
      </rPr>
      <t>29 may 2024</t>
    </r>
  </si>
  <si>
    <t>Iberdrola tira los precios de su tarifa libre para hacer frente en su lucha contra Repsol</t>
  </si>
  <si>
    <t>Iberdrola da un paso adelante en su lucha para ser la mayor eléctrica por número de clientes. La empresa liderada por Ignacio Sánchez Galán ha visto como..</t>
  </si>
  <si>
    <t>Iberdrola drops the prices of its free rate to face its fight against Repsol</t>
  </si>
  <si>
    <t>Iberdrola takes a step forward in its fight to be the largest electricity company by number of customers. The company led by Ignacio Sánchez Galán has seen how...</t>
  </si>
  <si>
    <t>Price competition in electricity may impact Repsol’s market share.</t>
  </si>
  <si>
    <t>lucha contra</t>
  </si>
  <si>
    <t>Negative due to competition.</t>
  </si>
  <si>
    <t>Negativo debido a la competencia.</t>
  </si>
  <si>
    <r>
      <rPr>
        <rFont val="Arial, sans-serif"/>
        <color rgb="FF1155CC"/>
        <sz val="9.0"/>
        <u/>
      </rPr>
      <t>Marketing Insider Review</t>
    </r>
    <r>
      <rPr>
        <rFont val="Arial, sans-serif"/>
        <color rgb="FF1155CC"/>
        <sz val="15.0"/>
        <u/>
      </rPr>
      <t>Repsol estrena la campaña 'Tú vas por delante'</t>
    </r>
    <r>
      <rPr>
        <rFont val="Arial, sans-serif"/>
        <color rgb="FF1155CC"/>
        <sz val="11.0"/>
        <u/>
      </rPr>
      <t>Repsol estrena la campaña 'Tú vas por delante' para comunicar que sus combustibles renovables ya están disponibles para el consumidor".</t>
    </r>
    <r>
      <rPr>
        <rFont val="Arial, sans-serif"/>
        <color rgb="FF1155CC"/>
        <sz val="12.0"/>
        <u/>
      </rPr>
      <t>.</t>
    </r>
    <r>
      <rPr>
        <rFont val="Arial, sans-serif"/>
        <color rgb="FF1155CC"/>
        <sz val="11.0"/>
        <u/>
      </rPr>
      <t>29 may 2024</t>
    </r>
  </si>
  <si>
    <t>Marketing Insider</t>
  </si>
  <si>
    <t>Repsol estrena la campaña 'Tú vas por delante'</t>
  </si>
  <si>
    <t>Repsol estrena la campaña 'Tú vas por delante' para comunicar que sus combustibles renovables ya están disponibles para el consumidor.</t>
  </si>
  <si>
    <t>Repsol launches the 'You are ahead' campaign</t>
  </si>
  <si>
    <t>Repsol launches the 'You are ahead' campaign to communicate that its renewable fuels are now available to the consumer.</t>
  </si>
  <si>
    <t>Reinforcing sustainability messaging enhances Repsol’s environmental reputation.</t>
  </si>
  <si>
    <r>
      <rPr>
        <rFont val="Arial, sans-serif"/>
        <color rgb="FF1155CC"/>
        <sz val="9.0"/>
        <u/>
      </rPr>
      <t>Soziable</t>
    </r>
    <r>
      <rPr>
        <rFont val="Arial, sans-serif"/>
        <color rgb="FF1155CC"/>
        <sz val="15.0"/>
        <u/>
      </rPr>
      <t>¿Cómo implementar en la empresa un sistema de control sobre la información de sostenibilidad?</t>
    </r>
    <r>
      <rPr>
        <rFont val="Arial, sans-serif"/>
        <color rgb="FF1155CC"/>
        <sz val="11.0"/>
        <u/>
      </rPr>
      <t>DIRSE y Repsol presentaron una guía sobre cómo implantar un sistema de control interno sobre la información de sostenibilidad. El documento busca establecer...</t>
    </r>
    <r>
      <rPr>
        <rFont val="Arial, sans-serif"/>
        <color rgb="FF1155CC"/>
        <sz val="12.0"/>
        <u/>
      </rPr>
      <t>.</t>
    </r>
    <r>
      <rPr>
        <rFont val="Arial, sans-serif"/>
        <color rgb="FF1155CC"/>
        <sz val="11.0"/>
        <u/>
      </rPr>
      <t>29 may 2024</t>
    </r>
  </si>
  <si>
    <t>Soziable</t>
  </si>
  <si>
    <t>¿Cómo implementar en la empresa un sistema de control sobre la información de sostenibilidad?</t>
  </si>
  <si>
    <t>El documento busca establecer un marco que permita a las empresas gestionar y verificar la información relacionada con su sostenibilidad.</t>
  </si>
  <si>
    <t>How to implement a control system over sustainability information in the company?</t>
  </si>
  <si>
    <t>The document seeks to establish a framework that allows companies to manage and verify information related to their sustainability.</t>
  </si>
  <si>
    <r>
      <rPr>
        <rFont val="Arial, sans-serif"/>
        <color rgb="FF1155CC"/>
        <sz val="9.0"/>
        <u/>
      </rPr>
      <t>Gacetín Madrid</t>
    </r>
    <r>
      <rPr>
        <rFont val="Arial, sans-serif"/>
        <color rgb="FF1155CC"/>
        <sz val="15.0"/>
        <u/>
      </rPr>
      <t>Repsol regalará 30 céntimos por cada litro de aceite usado que se lleve a sus gasolineras</t>
    </r>
    <r>
      <rPr>
        <rFont val="Arial, sans-serif"/>
        <color rgb="FF1155CC"/>
        <sz val="11.0"/>
        <u/>
      </rPr>
      <t>En nuestro país se generan unos 150 millones de litros de aceite de cocina usado anualmente, recuperándose un 72% de los procedentes del sector de.</t>
    </r>
    <r>
      <rPr>
        <rFont val="Arial, sans-serif"/>
        <color rgb="FF1155CC"/>
        <sz val="12.0"/>
        <u/>
      </rPr>
      <t>.</t>
    </r>
    <r>
      <rPr>
        <rFont val="Arial, sans-serif"/>
        <color rgb="FF1155CC"/>
        <sz val="11.0"/>
        <u/>
      </rPr>
      <t>29 may 2024</t>
    </r>
  </si>
  <si>
    <t>Gacetín Madrid</t>
  </si>
  <si>
    <t>Repsol regalará 30 céntimos por cada litro de aceite usado que se lleve a sus gasolineras</t>
  </si>
  <si>
    <t>En nuestro país se generan unos 150 millones de litros de aceite de cocina usado anualmente, recuperándose un 72% de los procedentes del sector de..</t>
  </si>
  <si>
    <t>Repsol will give away 30 cents for every liter of used oil taken to its gas stations</t>
  </si>
  <si>
    <t>In our country, about 150 million liters of used cooking oil are generated annually, recovering 72% of those from the...</t>
  </si>
  <si>
    <t>Encouraging oil recycling supports Repsol’s clean energy transition.</t>
  </si>
  <si>
    <t>regalará</t>
  </si>
  <si>
    <t>Reiteration of positive recycling.</t>
  </si>
  <si>
    <t>Reiteración del reciclaje positivo.</t>
  </si>
  <si>
    <r>
      <rPr>
        <rFont val="Arial, sans-serif"/>
        <color rgb="FF1155CC"/>
        <sz val="9.0"/>
        <u/>
      </rPr>
      <t>VAVEL.com</t>
    </r>
    <r>
      <rPr>
        <rFont val="Arial, sans-serif"/>
        <color rgb="FF1155CC"/>
        <sz val="15.0"/>
        <u/>
      </rPr>
      <t>Honda dice adiós a Repsol tras 30 años de compromiso en 2025</t>
    </r>
    <r>
      <rPr>
        <rFont val="Arial, sans-serif"/>
        <color rgb="FF1155CC"/>
        <sz val="11.0"/>
        <u/>
      </rPr>
      <t>Tras más de 30 años juntos, Honda y Repsol separan sus caminos la próxima temporada de MotoGP. Una alianza que arrancó en 1995 y que ha repercutido en 15...</t>
    </r>
    <r>
      <rPr>
        <rFont val="Arial, sans-serif"/>
        <color rgb="FF1155CC"/>
        <sz val="12.0"/>
        <u/>
      </rPr>
      <t>.</t>
    </r>
    <r>
      <rPr>
        <rFont val="Arial, sans-serif"/>
        <color rgb="FF1155CC"/>
        <sz val="11.0"/>
        <u/>
      </rPr>
      <t>29 may 2024</t>
    </r>
  </si>
  <si>
    <t>Honda dice adiós a Repsol tras 30 años de compromiso en 2025</t>
  </si>
  <si>
    <t>Tras más de 30 años juntos, Honda y Repsol separan sus caminos la próxima temporada de MotoGP. Una alianza que arrancó en 1995 y que ha repercutido en 15....</t>
  </si>
  <si>
    <t>Honda says goodbye to Repsol after 30 years of commitment in 2025</t>
  </si>
  <si>
    <t>After more than 30 years together, Honda and Repsol separate their paths next MotoGP season. An alliance that started in 1995 and has had an impact on 15...</t>
  </si>
  <si>
    <t>Ending a historic sponsorship may impact Repsol’s branding in MotoGP.</t>
  </si>
  <si>
    <t>adiós</t>
  </si>
  <si>
    <t>Negative for brand association.</t>
  </si>
  <si>
    <t>Negativo para la asociación de marca.</t>
  </si>
  <si>
    <r>
      <rPr>
        <rFont val="Arial, sans-serif"/>
        <color rgb="FF1155CC"/>
        <sz val="9.0"/>
        <u/>
      </rPr>
      <t>Diario de Sevilla</t>
    </r>
    <r>
      <rPr>
        <rFont val="Arial, sans-serif"/>
        <color rgb="FF1155CC"/>
        <sz val="15.0"/>
        <u/>
      </rPr>
      <t>¿Recogen las gasolineras el aceite de cocina usado?: la última moda del reciclaje</t>
    </r>
    <r>
      <rPr>
        <rFont val="Arial, sans-serif"/>
        <color rgb="FF1155CC"/>
        <sz val="11.0"/>
        <u/>
      </rPr>
      <t>Respuesta rápida: no es un clickbait y es una realidad, sí hay gasolineras que recogen aceite usada de nuestras freidoras, sartenes y cazos.</t>
    </r>
    <r>
      <rPr>
        <rFont val="Arial, sans-serif"/>
        <color rgb="FF1155CC"/>
        <sz val="12.0"/>
        <u/>
      </rPr>
      <t>.</t>
    </r>
    <r>
      <rPr>
        <rFont val="Arial, sans-serif"/>
        <color rgb="FF1155CC"/>
        <sz val="11.0"/>
        <u/>
      </rPr>
      <t>29 may 2024</t>
    </r>
  </si>
  <si>
    <t>¿Recogen las gasolineras el aceite de cocina usado?: la última moda del reciclaje</t>
  </si>
  <si>
    <t>Respuesta rápida: no es un clickbait y es una realidad, sí hay gasolineras que recogen aceite usada de nuestras freidoras, sartenes y cazos.</t>
  </si>
  <si>
    <t>Do gas stations collect used cooking oil?: the latest recycling fad</t>
  </si>
  <si>
    <t>Quick answer: it is not clickbait and it is a reality, there are gas stations that collect used oil from our fryers, pans and saucepans.</t>
  </si>
  <si>
    <t>Expanding oil recycling services reinforces Repsol’s green transition.</t>
  </si>
  <si>
    <r>
      <rPr>
        <rFont val="Arial, sans-serif"/>
        <color rgb="FF1155CC"/>
        <sz val="9.0"/>
        <u/>
      </rPr>
      <t>El Confidencial</t>
    </r>
    <r>
      <rPr>
        <rFont val="Arial, sans-serif"/>
        <color rgb="FF1155CC"/>
        <sz val="15.0"/>
        <u/>
      </rPr>
      <t>La energía que nos mueve</t>
    </r>
    <r>
      <rPr>
        <rFont val="Arial, sans-serif"/>
        <color rgb="FF1155CC"/>
        <sz val="11.0"/>
        <u/>
      </rPr>
      <t>Un espacio ofrecido por Repsol para difundir las ideas, innovaciones y proyectos en torno al uso y obtención de las diferentes formas de energía.</t>
    </r>
    <r>
      <rPr>
        <rFont val="Arial, sans-serif"/>
        <color rgb="FF1155CC"/>
        <sz val="12.0"/>
        <u/>
      </rPr>
      <t>.</t>
    </r>
    <r>
      <rPr>
        <rFont val="Arial, sans-serif"/>
        <color rgb="FF1155CC"/>
        <sz val="11.0"/>
        <u/>
      </rPr>
      <t>29 may 2024</t>
    </r>
  </si>
  <si>
    <t>La energía que nos mueve</t>
  </si>
  <si>
    <t>Un espacio ofrecido por Repsol para difundir las ideas, innovaciones y proyectos en torno al uso y obtención de las diferentes formas de energía.</t>
  </si>
  <si>
    <t>The energy that moves us</t>
  </si>
  <si>
    <t>A space offered by Repsol to disseminate ideas, innovations and projects around the use and obtaining of different forms of energy.</t>
  </si>
  <si>
    <r>
      <rPr>
        <rFont val="Arial, sans-serif"/>
        <color rgb="FF1155CC"/>
        <sz val="9.0"/>
        <u/>
      </rPr>
      <t>Guía Repsol</t>
    </r>
    <r>
      <rPr>
        <rFont val="Arial, sans-serif"/>
        <color rgb="FF1155CC"/>
        <sz val="15.0"/>
        <u/>
      </rPr>
      <t>Chocolatería Lurka (Donostia)</t>
    </r>
    <r>
      <rPr>
        <rFont val="Arial, sans-serif"/>
        <color rgb="FF1155CC"/>
        <sz val="11.0"/>
        <u/>
      </rPr>
      <t>Pásate a probar la chocolatería Lurka, la primera chocolatería bear to bar en Donostia en la que se mezclan los mejores sabores de México y Euskadi.</t>
    </r>
    <r>
      <rPr>
        <rFont val="Arial, sans-serif"/>
        <color rgb="FF1155CC"/>
        <sz val="12.0"/>
        <u/>
      </rPr>
      <t>.</t>
    </r>
    <r>
      <rPr>
        <rFont val="Arial, sans-serif"/>
        <color rgb="FF1155CC"/>
        <sz val="11.0"/>
        <u/>
      </rPr>
      <t>29 may 2024</t>
    </r>
  </si>
  <si>
    <t>Pásate a probar la chocolatería Lurka, la primera chocolatería bear to bar en Donostia en la que se mezclan los mejores sabores de México y Euskadi.</t>
  </si>
  <si>
    <t>Come and try the Lurka chocolate shop, the first bear to bar chocolate shop in Donostia where the best flavors of Mexico and the Basque Country are mixed.</t>
  </si>
  <si>
    <r>
      <rPr>
        <rFont val="Arial, sans-serif"/>
        <color rgb="FF1155CC"/>
        <sz val="9.0"/>
        <u/>
      </rPr>
      <t>EDATV News</t>
    </r>
    <r>
      <rPr>
        <rFont val="Arial, sans-serif"/>
        <color rgb="FF1155CC"/>
        <sz val="15.0"/>
        <u/>
      </rPr>
      <t>La gasolinera que te regala dinero para repostar si llevas tu aceite de cocina usado</t>
    </r>
    <r>
      <rPr>
        <rFont val="Arial, sans-serif"/>
        <color rgb="FF1155CC"/>
        <sz val="11.0"/>
        <u/>
      </rPr>
      <t>A pesar de que la sociedad cada vez está más concienciada con el reciclaje, todavía hay mucho camino por recorrer. No solo por los ciuda...</t>
    </r>
    <r>
      <rPr>
        <rFont val="Arial, sans-serif"/>
        <color rgb="FF1155CC"/>
        <sz val="12.0"/>
        <u/>
      </rPr>
      <t>.</t>
    </r>
    <r>
      <rPr>
        <rFont val="Arial, sans-serif"/>
        <color rgb="FF1155CC"/>
        <sz val="11.0"/>
        <u/>
      </rPr>
      <t>29 may 2024</t>
    </r>
  </si>
  <si>
    <t>EDATV News</t>
  </si>
  <si>
    <t>La gasolinera que te regala dinero para repostar si llevas tu aceite de cocina usado</t>
  </si>
  <si>
    <t>A pesar de que la sociedad cada vez está más concienciada con el reciclaje, todavía hay mucho camino por recorrer. No solo por los ciuda....</t>
  </si>
  <si>
    <t>The gas station that gives you money to refuel if you bring your used cooking oil</t>
  </si>
  <si>
    <t>Although society is increasingly aware of recycling, there is still a long way to go. Not only for the citizens....</t>
  </si>
  <si>
    <r>
      <rPr>
        <rFont val="Arial, sans-serif"/>
        <color rgb="FF1155CC"/>
        <sz val="9.0"/>
        <u/>
      </rPr>
      <t>Cadena SER</t>
    </r>
    <r>
      <rPr>
        <rFont val="Arial, sans-serif"/>
        <color rgb="FF1155CC"/>
        <sz val="15.0"/>
        <u/>
      </rPr>
      <t>No tires el aceite de cocina usado: así puedes ganar hasta 30 céntimos por cada litro</t>
    </r>
    <r>
      <rPr>
        <rFont val="Arial, sans-serif"/>
        <color rgb="FF1155CC"/>
        <sz val="11.0"/>
        <u/>
      </rPr>
      <t>Madrid. ¿Qué sueles hacer con el aceite de cocina usado? En caso de que seas de los que lo tiran por el fregadero, será mejor que dejes de hacerlo cuanto...</t>
    </r>
    <r>
      <rPr>
        <rFont val="Arial, sans-serif"/>
        <color rgb="FF1155CC"/>
        <sz val="12.0"/>
        <u/>
      </rPr>
      <t>.</t>
    </r>
    <r>
      <rPr>
        <rFont val="Arial, sans-serif"/>
        <color rgb="FF1155CC"/>
        <sz val="11.0"/>
        <u/>
      </rPr>
      <t>29 may 2024</t>
    </r>
  </si>
  <si>
    <t>No tires el aceite de cocina usado: así puedes ganar hasta 30 céntimos por cada litro</t>
  </si>
  <si>
    <t>No tires el aceite de cocina usado: así puedes ganar hasta 30 céntimos por cada litro. ¿Qué sueles hacer con el aceite de cocina usado? En caso de que seas de los que lo tiran por el fregadero, será mejor que dejes de hacerlo cuanto....</t>
  </si>
  <si>
    <t>Don't throw away used cooking oil: this way you can earn up to 30 cents for each liter</t>
  </si>
  <si>
    <t>Don't throw away used cooking oil: you can earn up to 30 cents per liter. What do you usually do with used cooking oil? In case you are one of those who throw it down the sink, you better stop doing it as soon as...</t>
  </si>
  <si>
    <r>
      <rPr>
        <rFont val="Arial, sans-serif"/>
        <color rgb="FF1155CC"/>
        <sz val="9.0"/>
        <u/>
      </rPr>
      <t>heraldo.es</t>
    </r>
    <r>
      <rPr>
        <rFont val="Arial, sans-serif"/>
        <color rgb="FF1155CC"/>
        <sz val="15.0"/>
        <u/>
      </rPr>
      <t>La alicantina Acteco adquiere las plantas zaragozanas de Unilevel e invierte un millón de euros</t>
    </r>
    <r>
      <rPr>
        <rFont val="Arial, sans-serif"/>
        <color rgb="FF1155CC"/>
        <sz val="11.0"/>
        <u/>
      </rPr>
      <t>La firma valenciana, participada por Repsol, busca ampliar sus líneas de negocio y creará cinco empleos en la fábrica de extrusión de Calatayud.</t>
    </r>
    <r>
      <rPr>
        <rFont val="Arial, sans-serif"/>
        <color rgb="FF1155CC"/>
        <sz val="12.0"/>
        <u/>
      </rPr>
      <t>.</t>
    </r>
    <r>
      <rPr>
        <rFont val="Arial, sans-serif"/>
        <color rgb="FF1155CC"/>
        <sz val="11.0"/>
        <u/>
      </rPr>
      <t>29 may 2024</t>
    </r>
  </si>
  <si>
    <t>La alicantina Acteco adquiere las plantas zaragozanas de Unilevel e invierte un millón de euros</t>
  </si>
  <si>
    <t>La firma valenciana, participada por Repsol, busca ampliar sus líneas de negocio y creará cinco empleos en la fábrica de extrusión de Calatayud.</t>
  </si>
  <si>
    <t>The Alicante company Acteco acquires Unilevel's Zaragoza plants and invests one million euros</t>
  </si>
  <si>
    <t>The Valencian firm, owned by Repsol, seeks to expand its business lines and will create five jobs at the Calatayud extrusion factory.</t>
  </si>
  <si>
    <t>Repsol business expansion, corporate investment</t>
  </si>
  <si>
    <t>Expansión del negocio de Repsol, inversión corporativa</t>
  </si>
  <si>
    <t>Expanding business lines and job creation strengthen Repsol’s industrial presence.</t>
  </si>
  <si>
    <r>
      <rPr>
        <rFont val="Arial, sans-serif"/>
        <color rgb="FF1155CC"/>
        <sz val="9.0"/>
        <u/>
      </rPr>
      <t>Infobae</t>
    </r>
    <r>
      <rPr>
        <rFont val="Arial, sans-serif"/>
        <color rgb="FF1155CC"/>
        <sz val="15.0"/>
        <u/>
      </rPr>
      <t>Detectan presencia de petróleo en playa del Callao: ONG advierte que hidrocarburo podría afectar Isla San Lorenzo</t>
    </r>
    <r>
      <rPr>
        <rFont val="Arial, sans-serif"/>
        <color rgb="FF1155CC"/>
        <sz val="11.0"/>
        <u/>
      </rPr>
      <t>Arturo Alfaro, presidente de la Organización Vida Instituto para la Protección del Medio Ambiente, señala que estos incidentes son frecuentes, exponiendo a...</t>
    </r>
    <r>
      <rPr>
        <rFont val="Arial, sans-serif"/>
        <color rgb="FF1155CC"/>
        <sz val="12.0"/>
        <u/>
      </rPr>
      <t>.</t>
    </r>
    <r>
      <rPr>
        <rFont val="Arial, sans-serif"/>
        <color rgb="FF1155CC"/>
        <sz val="11.0"/>
        <u/>
      </rPr>
      <t>29 may 2024</t>
    </r>
  </si>
  <si>
    <t>Detectan presencia de petróleo en playa del Callao: ONG advierte que hidrocarburo podría afectar Isla San Lorenzo</t>
  </si>
  <si>
    <t>Detectan presencia de petróleo en playa del Callao: ONG advierte que hidrocarburo podría afectar Isla San Lorenzo. Arturo Alfaro, presidente de la Organización Vida Instituto para la Protección del Medio Ambiente, señala que estos incidentes son frecuentes, exponiendo a....</t>
  </si>
  <si>
    <t>Presence of oil detected on Callao beach: NGO warns that hydrocarbon could affect San Lorenzo Island</t>
  </si>
  <si>
    <t>Presence of oil detected on Callao beach: NGO warns that hydrocarbon could affect San Lorenzo Island. Arturo Alfaro, president of the Organization Life Institute for Environmental Protection, points out that these incidents are frequent, exposing...</t>
  </si>
  <si>
    <t>Reports of oil spills and NGO warnings may damage Repsol’s reputation.</t>
  </si>
  <si>
    <t>petróleo playa</t>
  </si>
  <si>
    <t>Negative environmental impact</t>
  </si>
  <si>
    <t>Impacto ambiental negativo</t>
  </si>
  <si>
    <r>
      <rPr>
        <rFont val="Arial, sans-serif"/>
        <color rgb="FF1155CC"/>
        <sz val="9.0"/>
        <u/>
      </rPr>
      <t>Las Provincias</t>
    </r>
    <r>
      <rPr>
        <rFont val="Arial, sans-serif"/>
        <color rgb="FF1155CC"/>
        <sz val="15.0"/>
        <u/>
      </rPr>
      <t>Repsol paga por el aceite de cocina usado que no quieres en casa</t>
    </r>
    <r>
      <rPr>
        <rFont val="Arial, sans-serif"/>
        <color rgb="FF1155CC"/>
        <sz val="11.0"/>
        <u/>
      </rPr>
      <t>La compañía ha anunciado que debe hacerse en botellas de plástico transparente cerradas con un tapón.</t>
    </r>
    <r>
      <rPr>
        <rFont val="Arial, sans-serif"/>
        <color rgb="FF1155CC"/>
        <sz val="12.0"/>
        <u/>
      </rPr>
      <t>.</t>
    </r>
    <r>
      <rPr>
        <rFont val="Arial, sans-serif"/>
        <color rgb="FF1155CC"/>
        <sz val="11.0"/>
        <u/>
      </rPr>
      <t>30 may 2024</t>
    </r>
  </si>
  <si>
    <t>Repsol paga por el aceite de cocina usado que no quieres en casa</t>
  </si>
  <si>
    <t>La compañía ha anunciado que debe hacerse en botellas de plástico transparente cerradas con un tapón.</t>
  </si>
  <si>
    <t>Repsol pays for the used cooking oil that you don't want at home</t>
  </si>
  <si>
    <t>The company has announced that it must be made in clear plastic bottles closed with a cap.</t>
  </si>
  <si>
    <t>Repsol sustainability incentives, customer engagement</t>
  </si>
  <si>
    <t>Incentivos Repsol a la sostenibilidad, compromiso con el cliente</t>
  </si>
  <si>
    <t>Promoting recycling incentives enhances Repsol’s environmental commitment.</t>
  </si>
  <si>
    <t>paga aceite usado</t>
  </si>
  <si>
    <t>Positive recycling program</t>
  </si>
  <si>
    <t>Programa de reciclaje positivo</t>
  </si>
  <si>
    <r>
      <rPr>
        <rFont val="Arial, sans-serif"/>
        <color rgb="FF1155CC"/>
        <sz val="9.0"/>
        <u/>
      </rPr>
      <t>El Español</t>
    </r>
    <r>
      <rPr>
        <rFont val="Arial, sans-serif"/>
        <color rgb="FF1155CC"/>
        <sz val="15.0"/>
        <u/>
      </rPr>
      <t>Repsol regala dinero por cada litro de aceite de cocina usado que lleves a sus gasolineras</t>
    </r>
    <r>
      <rPr>
        <rFont val="Arial, sans-serif"/>
        <color rgb="FF1155CC"/>
        <sz val="11.0"/>
        <u/>
      </rPr>
      <t>Esta campaña incentiva el reciclaje y transforma el aceite en combustible renovable, promoviendo una gestión sostenible de este desecho.</t>
    </r>
    <r>
      <rPr>
        <rFont val="Arial, sans-serif"/>
        <color rgb="FF1155CC"/>
        <sz val="12.0"/>
        <u/>
      </rPr>
      <t>.</t>
    </r>
    <r>
      <rPr>
        <rFont val="Arial, sans-serif"/>
        <color rgb="FF1155CC"/>
        <sz val="11.0"/>
        <u/>
      </rPr>
      <t>30 may 2024</t>
    </r>
  </si>
  <si>
    <t>Repsol regala dinero por cada litro de aceite de cocina usado que lleves a sus gasolineras</t>
  </si>
  <si>
    <t>Esta campaña incentiva el reciclaje y transforma el aceite en combustible renovable, promoviendo una gestión sostenible de este desecho.</t>
  </si>
  <si>
    <t>Repsol gives money for every liter of used cooking oil you take to its gas stations</t>
  </si>
  <si>
    <t>This campaign encourages recycling and transforms oil into renewable fuel, promoting sustainable management of this waste.</t>
  </si>
  <si>
    <t>Repsol sustainability incentives, renewable energy</t>
  </si>
  <si>
    <t>Incentivos Repsol a la sostenibilidad, energías renovables</t>
  </si>
  <si>
    <t>Encouraging sustainable waste management aligns with Repsol’s clean energy initiatives.</t>
  </si>
  <si>
    <t>regala dinero, aceite usado</t>
  </si>
  <si>
    <r>
      <rPr>
        <rFont val="Arial, sans-serif"/>
        <color rgb="FF1155CC"/>
        <sz val="9.0"/>
        <u/>
      </rPr>
      <t>Mundo Deportivo</t>
    </r>
    <r>
      <rPr>
        <rFont val="Arial, sans-serif"/>
        <color rgb="FF1155CC"/>
        <sz val="15.0"/>
        <u/>
      </rPr>
      <t>No tires el aceite de cocina usado, llévalo a una gasolinera de Repsol y por cada litro te regalan saldo para llenar el depósito de gasolina</t>
    </r>
    <r>
      <rPr>
        <rFont val="Arial, sans-serif"/>
        <color rgb="FF1155CC"/>
        <sz val="11.0"/>
        <u/>
      </rPr>
      <t>Ya son más de 450 estaciones de servicio en nuestro país que recogen aceite usado. ¿Cuánto dinero me dan para repostar en la gasolinera Repsol por llevar un...</t>
    </r>
    <r>
      <rPr>
        <rFont val="Arial, sans-serif"/>
        <color rgb="FF1155CC"/>
        <sz val="12.0"/>
        <u/>
      </rPr>
      <t>.</t>
    </r>
    <r>
      <rPr>
        <rFont val="Arial, sans-serif"/>
        <color rgb="FF1155CC"/>
        <sz val="11.0"/>
        <u/>
      </rPr>
      <t>30 may 2024</t>
    </r>
  </si>
  <si>
    <t>No tires el aceite de cocina usado, llévalo a una gasolinera de Repsol y por cada litro te regalan saldo para llenar el depósito de gasolina.</t>
  </si>
  <si>
    <t>No tires el aceite de cocina usado, llévalo a una gasolinera de Repsol y por cada litro te regalan saldo para llenar el depósito de gasolina. Ya son más de 450 estaciones de servicio en nuestro país que recogen aceite usado. ¿Cuánto dinero me dan para repostar en la gasolinera Repsol por llevar un....</t>
  </si>
  <si>
    <t>Don't throw away used cooking oil, take it to a Repsol gas station and for each liter they will give you credit to fill the gas tank.</t>
  </si>
  <si>
    <t>Don't throw away used cooking oil, take it to a Repsol gas station and for each liter they will give you credit to fill the gas tank. There are already more than 450 service stations in our country that collect used oil. How much money do they give me to refuel at the Repsol gas station for carrying a...</t>
  </si>
  <si>
    <t>Encouraging oil recycling supports Repsol’s green energy transition.</t>
  </si>
  <si>
    <t>reciclaje incentivo</t>
  </si>
  <si>
    <r>
      <rPr>
        <rFont val="Arial, sans-serif"/>
        <color rgb="FF1155CC"/>
        <sz val="9.0"/>
        <u/>
      </rPr>
      <t>Estrategias de Inversión</t>
    </r>
    <r>
      <rPr>
        <rFont val="Arial, sans-serif"/>
        <color rgb="FF1155CC"/>
        <sz val="15.0"/>
        <u/>
      </rPr>
      <t>Este es el calendario del dividendo de Repsol del próximo mes de julio</t>
    </r>
    <r>
      <rPr>
        <rFont val="Arial, sans-serif"/>
        <color rgb="FF1155CC"/>
        <sz val="11.0"/>
        <u/>
      </rPr>
      <t>Repsol pagará un dividendo complementario con cargo a 2023 de 0,5 euros el 8 de julio. Calendario y fechas clave para cobrar el dividendo de Repsol.</t>
    </r>
    <r>
      <rPr>
        <rFont val="Arial, sans-serif"/>
        <color rgb="FF1155CC"/>
        <sz val="12.0"/>
        <u/>
      </rPr>
      <t>.</t>
    </r>
    <r>
      <rPr>
        <rFont val="Arial, sans-serif"/>
        <color rgb="FF1155CC"/>
        <sz val="11.0"/>
        <u/>
      </rPr>
      <t>30 may 2024</t>
    </r>
  </si>
  <si>
    <t>Este es el calendario del dividendo de Repsol del próximo mes de julio</t>
  </si>
  <si>
    <t>Repsol pagará un dividendo complementario con cargo a 2023 de 0,5 euros el 8 de julio. Calendario y fechas clave para cobrar el dividendo de Repsol.</t>
  </si>
  <si>
    <t>This is the schedule of Repsol's dividend for next July</t>
  </si>
  <si>
    <t>Repsol will pay a complementary dividend against 2023 of 0.5 euros on July 8. Calendar and key dates to collect the Repsol dividend.</t>
  </si>
  <si>
    <t>Strong dividend payouts reinforce investor confidence in Repsol.</t>
  </si>
  <si>
    <t>Positive shareholder value</t>
  </si>
  <si>
    <t>Valor positivo para los accionistas</t>
  </si>
  <si>
    <r>
      <rPr>
        <rFont val="Arial, sans-serif"/>
        <color rgb="FF1155CC"/>
        <sz val="9.0"/>
        <u/>
      </rPr>
      <t>Cinco Días</t>
    </r>
    <r>
      <rPr>
        <rFont val="Arial, sans-serif"/>
        <color rgb="FF1155CC"/>
        <sz val="15.0"/>
        <u/>
      </rPr>
      <t>Hacienda pierde la batalla contra un ex alto cargo de Repsol por los 7 millones de indemnización de su despido</t>
    </r>
    <r>
      <rPr>
        <rFont val="Arial, sans-serif"/>
        <color rgb="FF1155CC"/>
        <sz val="11.0"/>
        <u/>
      </rPr>
      <t>La Agencia Tributaria ha perdido un primer pulso legal contra Enrique Locutura Rupérez, ex alto directivo de Repsol que ocupó diversos cargos de relevancia...</t>
    </r>
    <r>
      <rPr>
        <rFont val="Arial, sans-serif"/>
        <color rgb="FF1155CC"/>
        <sz val="12.0"/>
        <u/>
      </rPr>
      <t>.</t>
    </r>
    <r>
      <rPr>
        <rFont val="Arial, sans-serif"/>
        <color rgb="FF1155CC"/>
        <sz val="11.0"/>
        <u/>
      </rPr>
      <t>30 may 2024</t>
    </r>
  </si>
  <si>
    <t>Hacienda pierde la batalla contra un ex alto cargo de Repsol por los 7 millones de indemnización de su despido</t>
  </si>
  <si>
    <t>La Agencia Tributaria ha perdido un primer pulso legal contra Enrique Locutura Rupérez, ex alto directivo de Repsol que ocupó diversos cargos de relevancia....</t>
  </si>
  <si>
    <t>The Treasury loses the battle against a former senior Repsol official for the 7 million compensation for his dismissal</t>
  </si>
  <si>
    <t>The Tax Agency has lost a first legal battle against Enrique Locutura Rupérez, former senior manager of Repsol who held various relevant positions....</t>
  </si>
  <si>
    <t>Individual tax disputes do not impact Repsol’s corporate perception.</t>
  </si>
  <si>
    <t>Neutral legal outcome</t>
  </si>
  <si>
    <t>Resultado jurídico neutral</t>
  </si>
  <si>
    <r>
      <rPr>
        <rFont val="Arial, sans-serif"/>
        <color rgb="FF1155CC"/>
        <sz val="9.0"/>
        <u/>
      </rPr>
      <t>Magisnet</t>
    </r>
    <r>
      <rPr>
        <rFont val="Arial, sans-serif"/>
        <color rgb="FF1155CC"/>
        <sz val="15.0"/>
        <u/>
      </rPr>
      <t>Fundación Repsol entrega los Premios Zinkers a los 34 centros que han impulsado la transición ecológica</t>
    </r>
    <r>
      <rPr>
        <rFont val="Arial, sans-serif"/>
        <color rgb="FF1155CC"/>
        <sz val="11.0"/>
        <u/>
      </rPr>
      <t>Los Premios Zinkers reconocen, por tercer año consecutivo, las mejores propuestas de centros educativos de toda España en materia de transición energética,...</t>
    </r>
    <r>
      <rPr>
        <rFont val="Arial, sans-serif"/>
        <color rgb="FF1155CC"/>
        <sz val="12.0"/>
        <u/>
      </rPr>
      <t>.</t>
    </r>
    <r>
      <rPr>
        <rFont val="Arial, sans-serif"/>
        <color rgb="FF1155CC"/>
        <sz val="11.0"/>
        <u/>
      </rPr>
      <t>30 may 2024</t>
    </r>
  </si>
  <si>
    <t>Magisnet</t>
  </si>
  <si>
    <t>Fundación Repsol entrega los Premios Zinkers a los 34 centros que han impulsado la transición ecológica</t>
  </si>
  <si>
    <t>Los Premios Zinkers reconocen, por tercer año consecutivo, las mejores propuestas de centros educativos de toda España en materia de transición energética,....</t>
  </si>
  <si>
    <t>Repsol Foundation presents the Zinkers Awards to the 34 centers that have promoted the ecological transition</t>
  </si>
  <si>
    <t>The Zinkers Awards recognize, for the third consecutive year, the best proposals from educational centers throughout Spain in terms of energy transition,...</t>
  </si>
  <si>
    <t>Supporting sustainability initiatives enhances Repsol’s environmental reputation.</t>
  </si>
  <si>
    <t>premios transición</t>
  </si>
  <si>
    <t>Positive CSR initiative</t>
  </si>
  <si>
    <t>Iniciativa positiva de RSE</t>
  </si>
  <si>
    <r>
      <rPr>
        <rFont val="Arial, sans-serif"/>
        <color rgb="FF1155CC"/>
        <sz val="9.0"/>
        <u/>
      </rPr>
      <t>OkDiario</t>
    </r>
    <r>
      <rPr>
        <rFont val="Arial, sans-serif"/>
        <color rgb="FF1155CC"/>
        <sz val="15.0"/>
        <u/>
      </rPr>
      <t>Nissan y Repsol renuevan su alianza regalando dos recargas eléctricas a los que compren un Ariya</t>
    </r>
    <r>
      <rPr>
        <rFont val="Arial, sans-serif"/>
        <color rgb="FF1155CC"/>
        <sz val="11.0"/>
        <u/>
      </rPr>
      <t>Nissan y Repsol dan un paso más en su apuesta por la movilidad eléctrica y renuevan su acuerdo de colaboración para los próximos años.</t>
    </r>
    <r>
      <rPr>
        <rFont val="Arial, sans-serif"/>
        <color rgb="FF1155CC"/>
        <sz val="12.0"/>
        <u/>
      </rPr>
      <t>.</t>
    </r>
    <r>
      <rPr>
        <rFont val="Arial, sans-serif"/>
        <color rgb="FF1155CC"/>
        <sz val="11.0"/>
        <u/>
      </rPr>
      <t>30 may 2024</t>
    </r>
  </si>
  <si>
    <t>Nissan y Repsol renuevan su alianza regalando dos recargas eléctricas a los que compren un Ariya</t>
  </si>
  <si>
    <t>Nissan y Repsol dan un paso más en su apuesta por la movilidad eléctrica y renuevan su acuerdo de colaboración para los próximos años.</t>
  </si>
  <si>
    <t>Nissan and Repsol renew their alliance by giving away two electric recharges to those who buy an Ariya</t>
  </si>
  <si>
    <t>Nissan and Repsol take another step in their commitment to electric mobility and renew their collaboration agreement for the coming years.</t>
  </si>
  <si>
    <t>Repsol electric mobility, business partnership</t>
  </si>
  <si>
    <t>Repsol movilidad eléctrica, alianza empresarial</t>
  </si>
  <si>
    <t>Strengthening EV partnerships aligns with Repsol’s clean energy strategy.</t>
  </si>
  <si>
    <t>alianza eléctrica</t>
  </si>
  <si>
    <t>Positive partnership</t>
  </si>
  <si>
    <t>Asociación positiva</t>
  </si>
  <si>
    <r>
      <rPr>
        <rFont val="Arial, sans-serif"/>
        <color rgb="FF1155CC"/>
        <sz val="9.0"/>
        <u/>
      </rPr>
      <t>Motorpasion Moto</t>
    </r>
    <r>
      <rPr>
        <rFont val="Arial, sans-serif"/>
        <color rgb="FF1155CC"/>
        <sz val="15.0"/>
        <u/>
      </rPr>
      <t>Honda se va a quedar sin Repsol en MotoGP, pero tiene dos opciones para seguir teniendo patrocinador principal</t>
    </r>
    <r>
      <rPr>
        <rFont val="Arial, sans-serif"/>
        <color rgb="FF1155CC"/>
        <sz val="11.0"/>
        <u/>
      </rPr>
      <t>Honda y Repsol no seguirán juntos la próxima temporada. Era un secreto a voces, y una noticia de Motorsport ha venido a confirmarlo.</t>
    </r>
    <r>
      <rPr>
        <rFont val="Arial, sans-serif"/>
        <color rgb="FF1155CC"/>
        <sz val="12.0"/>
        <u/>
      </rPr>
      <t>.</t>
    </r>
    <r>
      <rPr>
        <rFont val="Arial, sans-serif"/>
        <color rgb="FF1155CC"/>
        <sz val="11.0"/>
        <u/>
      </rPr>
      <t>30 may 2024</t>
    </r>
  </si>
  <si>
    <t>Honda se va a quedar sin Repsol en MotoGP, pero tiene dos opciones para seguir teniendo patrocinador principal</t>
  </si>
  <si>
    <t>Honda y Repsol no seguirán juntos la próxima temporada. Era un secreto a voces, y una noticia de Motorsport ha venido a confirmarlo.</t>
  </si>
  <si>
    <t>Honda is going to be left without Repsol in MotoGP, but has two options to continue having a main sponsor</t>
  </si>
  <si>
    <t>Honda and Repsol will not continue together next season. It was an open secret, and news from Motorsport has come to confirm it.</t>
  </si>
  <si>
    <t>Ending a long-standing sponsorship may reduce Repsol’s visibility in motorsports.</t>
  </si>
  <si>
    <t>Negative sports sponsorship</t>
  </si>
  <si>
    <t>Patrocinio deportivo negativo</t>
  </si>
  <si>
    <r>
      <rPr>
        <rFont val="Arial, sans-serif"/>
        <color rgb="FF1155CC"/>
        <sz val="9.0"/>
        <u/>
      </rPr>
      <t>Latinspots.com</t>
    </r>
    <r>
      <rPr>
        <rFont val="Arial, sans-serif"/>
        <color rgb="FF1155CC"/>
        <sz val="15.0"/>
        <u/>
      </rPr>
      <t>DDB crea Tú vas por delante, la nueva campaña de Repsol de MotoGP</t>
    </r>
    <r>
      <rPr>
        <rFont val="Arial, sans-serif"/>
        <color rgb="FF1155CC"/>
        <sz val="11.0"/>
        <u/>
      </rPr>
      <t>(30/05/24). Repsol ha vuelto a confiar en la agencia DDB para lanzar “Tú vas por delante”, su nueva campaña en torno a su programa de patrocinio en MotoGP.</t>
    </r>
    <r>
      <rPr>
        <rFont val="Arial, sans-serif"/>
        <color rgb="FF1155CC"/>
        <sz val="12.0"/>
        <u/>
      </rPr>
      <t>.</t>
    </r>
    <r>
      <rPr>
        <rFont val="Arial, sans-serif"/>
        <color rgb="FF1155CC"/>
        <sz val="11.0"/>
        <u/>
      </rPr>
      <t>30 may 2024</t>
    </r>
  </si>
  <si>
    <t>Tú vas por delante, la nueva campaña de Repsol de MotoGP</t>
  </si>
  <si>
    <t>Repsol ha vuelto a confiar en la agencia DDB para lanzar “Tú vas por delante”, su nueva campaña en torno a su programa de patrocinio en MotoGP.</t>
  </si>
  <si>
    <t>You are ahead, the new Repsol MotoGP campaign</t>
  </si>
  <si>
    <t>Repsol has once again trusted the DDB agency to launch “You are ahead”, its new campaign around its sponsorship program in MotoGP.</t>
  </si>
  <si>
    <t>Repsol marketing campaign, sports sponsorship</t>
  </si>
  <si>
    <t>Campaña de marketing Repsol, patrocinio deportivo</t>
  </si>
  <si>
    <t>Strengthening motorsport branding reinforces Repsol’s public engagement.</t>
  </si>
  <si>
    <t>Neutral marketing</t>
  </si>
  <si>
    <t>marketing neutral</t>
  </si>
  <si>
    <r>
      <rPr>
        <rFont val="Arial, sans-serif"/>
        <color rgb="FF1155CC"/>
        <sz val="9.0"/>
        <u/>
      </rPr>
      <t>www.diariodelpuerto.com</t>
    </r>
    <r>
      <rPr>
        <rFont val="Arial, sans-serif"/>
        <color rgb="FF1155CC"/>
        <sz val="15.0"/>
        <u/>
      </rPr>
      <t>La logística apuesta por la IA ante el estancamiento del blockchain</t>
    </r>
    <r>
      <rPr>
        <rFont val="Arial, sans-serif"/>
        <color rgb="FF1155CC"/>
        <sz val="11.0"/>
        <u/>
      </rPr>
      <t>La Inteligencia Artificial se postula como la tecnología principal para la transformación digital del sector logístico ante el estancamiento del blockchain.</t>
    </r>
    <r>
      <rPr>
        <rFont val="Arial, sans-serif"/>
        <color rgb="FF1155CC"/>
        <sz val="12.0"/>
        <u/>
      </rPr>
      <t>.</t>
    </r>
    <r>
      <rPr>
        <rFont val="Arial, sans-serif"/>
        <color rgb="FF1155CC"/>
        <sz val="11.0"/>
        <u/>
      </rPr>
      <t>30 may 2024</t>
    </r>
  </si>
  <si>
    <t>La logística apuesta por la IA ante el estancamiento del blockchain</t>
  </si>
  <si>
    <t>La Inteligencia Artificial se postula como la tecnología principal para la transformación digital del sector logístico ante el estancamiento del blockchain.</t>
  </si>
  <si>
    <t>Logistics bets on AI in the face of blockchain stagnation</t>
  </si>
  <si>
    <t>Artificial Intelligence is postulated as the main technology for the digital transformation of the logistics sector in the face of the stagnation of the blockchain.</t>
  </si>
  <si>
    <r>
      <rPr>
        <rFont val="Arial, sans-serif"/>
        <color rgb="FF1155CC"/>
        <sz val="9.0"/>
        <u/>
      </rPr>
      <t>La Vanguardia</t>
    </r>
    <r>
      <rPr>
        <rFont val="Arial, sans-serif"/>
        <color rgb="FF1155CC"/>
        <sz val="15.0"/>
        <u/>
      </rPr>
      <t>Un camión cisterna vuelca y vierte 500 litros de gasoil en la calzada del municipio de Titulcia</t>
    </r>
    <r>
      <rPr>
        <rFont val="Arial, sans-serif"/>
        <color rgb="FF1155CC"/>
        <sz val="11.0"/>
        <u/>
      </rPr>
      <t>Un camión cisterna que transportaba gasoil ha volcado y ha vertido cerca de 500 litros de combustible en la calzada de la carretera M-404.</t>
    </r>
    <r>
      <rPr>
        <rFont val="Arial, sans-serif"/>
        <color rgb="FF1155CC"/>
        <sz val="12.0"/>
        <u/>
      </rPr>
      <t>.</t>
    </r>
    <r>
      <rPr>
        <rFont val="Arial, sans-serif"/>
        <color rgb="FF1155CC"/>
        <sz val="11.0"/>
        <u/>
      </rPr>
      <t>30 may 2024</t>
    </r>
  </si>
  <si>
    <t>Un camión cisterna vuelca y vierte 500 litros de gasoil en la calzada del municipio de Titulcia</t>
  </si>
  <si>
    <t>Un camión cisterna que transportaba gasoil ha volcado y ha vertido cerca de 500 litros de combustible en la calzada de la carretera M-404.</t>
  </si>
  <si>
    <t>A tanker truck overturns and pours 500 liters of diesel onto the road in the municipality of Titulcia</t>
  </si>
  <si>
    <t>A tanker transporting diesel has overturned and spilled nearly 500 liters of fuel on the roadway of the M-404 highway.</t>
  </si>
  <si>
    <t>Repsol fuel spill, environmental incident</t>
  </si>
  <si>
    <t>Derrame de combustible de Repsol, incidente medioambiental</t>
  </si>
  <si>
    <t>Environmental spills may negatively impact Repsol’s public image.</t>
  </si>
  <si>
    <t>Unrelated</t>
  </si>
  <si>
    <t>No relacionado</t>
  </si>
  <si>
    <r>
      <rPr>
        <rFont val="Arial, sans-serif"/>
        <color rgb="FF1155CC"/>
        <sz val="9.0"/>
        <u/>
      </rPr>
      <t>RTVE.es</t>
    </r>
    <r>
      <rPr>
        <rFont val="Arial, sans-serif"/>
        <color rgb="FF1155CC"/>
        <sz val="15.0"/>
        <u/>
      </rPr>
      <t>Chefs e innovación para las puertas de la semifinal</t>
    </r>
    <r>
      <rPr>
        <rFont val="Arial, sans-serif"/>
        <color rgb="FF1155CC"/>
        <sz val="11.0"/>
        <u/>
      </rPr>
      <t>Disponible hasta: 07-03-2025 02:10:00. Sinopsis. Zizi Hattab, Juan Carlos García (un Sol Repsol), Lydia del Olmo (un Sol Repsol), Juan Sahuquillo y Javier...</t>
    </r>
    <r>
      <rPr>
        <rFont val="Arial, sans-serif"/>
        <color rgb="FF1155CC"/>
        <sz val="12.0"/>
        <u/>
      </rPr>
      <t>.</t>
    </r>
    <r>
      <rPr>
        <rFont val="Arial, sans-serif"/>
        <color rgb="FF1155CC"/>
        <sz val="11.0"/>
        <u/>
      </rPr>
      <t>30 may 2024</t>
    </r>
  </si>
  <si>
    <t>Chefs e innovación para las puertas de la semifinal</t>
  </si>
  <si>
    <t>Chefs e innovación para las puertas de la semifinal.</t>
  </si>
  <si>
    <t>Chefs and innovation for the doors of the semi-final</t>
  </si>
  <si>
    <t>Chefs and innovation for the doors of the semi-final.</t>
  </si>
  <si>
    <r>
      <rPr>
        <rFont val="Arial, sans-serif"/>
        <color rgb="FF1155CC"/>
        <sz val="9.0"/>
        <u/>
      </rPr>
      <t>El Confidencial</t>
    </r>
    <r>
      <rPr>
        <rFont val="Arial, sans-serif"/>
        <color rgb="FF1155CC"/>
        <sz val="15.0"/>
        <u/>
      </rPr>
      <t>"No me gusta que me digan eso": Jordi Cruz hace llorar a Ángela en 'MasterChef 12'</t>
    </r>
    <r>
      <rPr>
        <rFont val="Arial, sans-serif"/>
        <color rgb="FF1155CC"/>
        <sz val="11.0"/>
        <u/>
      </rPr>
      <t>Los aspirantes han tenido que arrancar la noche emulando unos exigentes platos hechos por reputados cocineros invitados al programa.</t>
    </r>
    <r>
      <rPr>
        <rFont val="Arial, sans-serif"/>
        <color rgb="FF1155CC"/>
        <sz val="12.0"/>
        <u/>
      </rPr>
      <t>.</t>
    </r>
    <r>
      <rPr>
        <rFont val="Arial, sans-serif"/>
        <color rgb="FF1155CC"/>
        <sz val="11.0"/>
        <u/>
      </rPr>
      <t>30 may 2024</t>
    </r>
  </si>
  <si>
    <t>"No me gusta que me digan eso": Jordi Cruz hace llorar a Ángela en 'MasterChef 12'</t>
  </si>
  <si>
    <t>Los aspirantes han tenido que arrancar la noche emulando unos exigentes platos hechos por reputados cocineros invitados al programa.</t>
  </si>
  <si>
    <t>"I don't like being told that": Jordi Cruz makes Ángela cry on 'MasterChef 12'</t>
  </si>
  <si>
    <t>The applicants had to start the night emulating some demanding dishes made by renowned chefs invited to the program.</t>
  </si>
  <si>
    <r>
      <rPr>
        <rFont val="Arial, sans-serif"/>
        <color rgb="FF1155CC"/>
        <sz val="9.0"/>
        <u/>
      </rPr>
      <t>Infobae</t>
    </r>
    <r>
      <rPr>
        <rFont val="Arial, sans-serif"/>
        <color rgb="FF1155CC"/>
        <sz val="15.0"/>
        <u/>
      </rPr>
      <t>El restaurante recomendado por la Guía Michelin que está en un pueblo de unos 150 vecinos: caza, huerto y salazones en pleno Pirineo</t>
    </r>
    <r>
      <rPr>
        <rFont val="Arial, sans-serif"/>
        <color rgb="FF1155CC"/>
        <sz val="11.0"/>
        <u/>
      </rPr>
      <t>Ansils, que ya contaba con un Sol Repsol, ha entrado este mes de mayo como novedad en la lista de restaurantes Recomendados de la Guía Michelin.</t>
    </r>
    <r>
      <rPr>
        <rFont val="Arial, sans-serif"/>
        <color rgb="FF1155CC"/>
        <sz val="12.0"/>
        <u/>
      </rPr>
      <t>.</t>
    </r>
    <r>
      <rPr>
        <rFont val="Arial, sans-serif"/>
        <color rgb="FF1155CC"/>
        <sz val="11.0"/>
        <u/>
      </rPr>
      <t>30 may 2024</t>
    </r>
  </si>
  <si>
    <t>El restaurante recomendado por la Guía Michelin que está en un pueblo de unos 150 vecinos: caza, huerto y salazones en pleno Pirineo</t>
  </si>
  <si>
    <t>caza, huerto y salazones en pleno Pirineo</t>
  </si>
  <si>
    <t>The restaurant recommended by the Michelin Guide that is in a town of about 150 neighbors: hunting, orchards and salted meats in the heart of the Pyrenees</t>
  </si>
  <si>
    <t>hunting, orchard and salting in the heart of the Pyrenees</t>
  </si>
  <si>
    <r>
      <rPr>
        <rFont val="Arial, sans-serif"/>
        <color rgb="FF1155CC"/>
        <sz val="9.0"/>
        <u/>
      </rPr>
      <t>El Televisero</t>
    </r>
    <r>
      <rPr>
        <rFont val="Arial, sans-serif"/>
        <color rgb="FF1155CC"/>
        <sz val="15.0"/>
        <u/>
      </rPr>
      <t>Jordi Cruz la toma contra esta concursante y le hace llorar en 'MasterChef 12': "Es mentira"</t>
    </r>
    <r>
      <rPr>
        <rFont val="Arial, sans-serif"/>
        <color rgb="FF1155CC"/>
        <sz val="11.0"/>
        <u/>
      </rPr>
      <t>Jordi Cruz y Ángela han vuelto a tener un desencuentro en 'MasterChef 12' por la actitud de la concursante, que terminaba llorando.</t>
    </r>
    <r>
      <rPr>
        <rFont val="Arial, sans-serif"/>
        <color rgb="FF1155CC"/>
        <sz val="12.0"/>
        <u/>
      </rPr>
      <t>.</t>
    </r>
    <r>
      <rPr>
        <rFont val="Arial, sans-serif"/>
        <color rgb="FF1155CC"/>
        <sz val="11.0"/>
        <u/>
      </rPr>
      <t>30 may 2024</t>
    </r>
  </si>
  <si>
    <t>Jordi Cruz la toma contra esta concursante y le hace llorar en 'MasterChef 12': "Es mentira"</t>
  </si>
  <si>
    <t>Jordi Cruz y Ángela han vuelto a tener un desencuentro en 'MasterChef 12' por la actitud de la concursante, que terminaba llorando.</t>
  </si>
  <si>
    <t>Jordi Cruz takes it against this contestant and makes her cry on 'MasterChef 12': "It's a lie"</t>
  </si>
  <si>
    <t>Jordi Cruz and Ángela have had a disagreement again on 'MasterChef 12' due to the attitude of the contestant, who ended up crying.</t>
  </si>
  <si>
    <r>
      <rPr>
        <rFont val="Arial, sans-serif"/>
        <color rgb="FF1155CC"/>
        <sz val="9.0"/>
        <u/>
      </rPr>
      <t>Motorpasion Moto</t>
    </r>
    <r>
      <rPr>
        <rFont val="Arial, sans-serif"/>
        <color rgb="FF1155CC"/>
        <sz val="15.0"/>
        <u/>
      </rPr>
      <t>Jorge Martín será piloto oficial de Ducati en MotoGP, y ahora querrían convencer a Marc Márquez de que no se vaya... ¡a Aprilia!</t>
    </r>
    <r>
      <rPr>
        <rFont val="Arial, sans-serif"/>
        <color rgb="FF1155CC"/>
        <sz val="11.0"/>
        <u/>
      </rPr>
      <t>Decisión tomada. Según avanza La Gazzetta dello Sport, Ducati ha escogido a Jorge Martín como piloto oficial para la próxima temporada.</t>
    </r>
    <r>
      <rPr>
        <rFont val="Arial, sans-serif"/>
        <color rgb="FF1155CC"/>
        <sz val="12.0"/>
        <u/>
      </rPr>
      <t>.</t>
    </r>
    <r>
      <rPr>
        <rFont val="Arial, sans-serif"/>
        <color rgb="FF1155CC"/>
        <sz val="11.0"/>
        <u/>
      </rPr>
      <t>30 may 2024</t>
    </r>
  </si>
  <si>
    <t>Jorge Martín será piloto oficial de Ducati en MotoGP, y ahora querrían convencer a Marc Márquez de que no se vaya... ¡a Aprilia!</t>
  </si>
  <si>
    <t>Jorge Martín será piloto oficial de Ducati en MotoGP, y ahora querrían convencer a Marc Márquez de que no se vaya... ¡a Aprilia! Decisión tomada. Según avanza La Gazzetta dello Sport, Ducati ha escogido a Jorge Martín como piloto oficial para la próxima temporada.</t>
  </si>
  <si>
    <t>Jorge Martín will be an official Ducati rider in MotoGP, and now they would like to convince Marc Márquez not to go... to Aprilia!</t>
  </si>
  <si>
    <t>Jorge Martín will be an official Ducati rider in MotoGP, and now they would like to convince Marc Márquez not to go... to Aprilia! Decision made. According to La Gazzetta dello Sport, Ducati has chosen Jorge Martín as its official rider for next season.</t>
  </si>
  <si>
    <r>
      <rPr>
        <rFont val="Arial, sans-serif"/>
        <color rgb="FF1155CC"/>
        <sz val="9.0"/>
        <u/>
      </rPr>
      <t>Salsa Rosa</t>
    </r>
    <r>
      <rPr>
        <rFont val="Arial, sans-serif"/>
        <color rgb="FF1155CC"/>
        <sz val="15.0"/>
        <u/>
      </rPr>
      <t>Jordi Cruz hace llorar a la nueva ganadora de ‘MasterChef’</t>
    </r>
    <r>
      <rPr>
        <rFont val="Arial, sans-serif"/>
        <color rgb="FF1155CC"/>
        <sz val="11.0"/>
        <u/>
      </rPr>
      <t>Jordi Cruz atiza el mayor golpe a su ganadora: 'Es mentira'. El duro golpe para que se crezca en la final.</t>
    </r>
    <r>
      <rPr>
        <rFont val="Arial, sans-serif"/>
        <color rgb="FF1155CC"/>
        <sz val="12.0"/>
        <u/>
      </rPr>
      <t>.</t>
    </r>
    <r>
      <rPr>
        <rFont val="Arial, sans-serif"/>
        <color rgb="FF1155CC"/>
        <sz val="11.0"/>
        <u/>
      </rPr>
      <t>30 may 2024</t>
    </r>
  </si>
  <si>
    <t>Salsa Rosa</t>
  </si>
  <si>
    <t>Jordi Cruz hace llorar a la nueva ganadora de ‘MasterChef’</t>
  </si>
  <si>
    <t>Jordi Cruz atiza el mayor golpe a su ganadora: 'Es mentira'. El duro golpe para que se crezca en la final.</t>
  </si>
  <si>
    <t>Jordi Cruz makes the new winner of 'MasterChef' cry</t>
  </si>
  <si>
    <t>Jordi Cruz deals the biggest blow to his winner: 'It's a lie.' The hard blow for growth in the final.</t>
  </si>
  <si>
    <r>
      <rPr>
        <rFont val="Arial, sans-serif"/>
        <color rgb="FF1155CC"/>
        <sz val="9.0"/>
        <u/>
      </rPr>
      <t>El Economista</t>
    </r>
    <r>
      <rPr>
        <rFont val="Arial, sans-serif"/>
        <color rgb="FF1155CC"/>
        <sz val="15.0"/>
        <u/>
      </rPr>
      <t>Repsol emplea a más de 25.000 personas de 77 nacionalidades</t>
    </r>
    <r>
      <rPr>
        <rFont val="Arial, sans-serif"/>
        <color rgb="FF1155CC"/>
        <sz val="11.0"/>
        <u/>
      </rPr>
      <t>Repsol desarrolla su actividad a lo largo y ancho del planeta, con presencia en 23 países.</t>
    </r>
    <r>
      <rPr>
        <rFont val="Arial, sans-serif"/>
        <color rgb="FF1155CC"/>
        <sz val="12.0"/>
        <u/>
      </rPr>
      <t>.</t>
    </r>
    <r>
      <rPr>
        <rFont val="Arial, sans-serif"/>
        <color rgb="FF1155CC"/>
        <sz val="11.0"/>
        <u/>
      </rPr>
      <t>31 may 2024</t>
    </r>
  </si>
  <si>
    <t>Repsol emplea a más de 25.000 personas de 77 nacionalidades</t>
  </si>
  <si>
    <t>Repsol desarrolla su actividad a lo largo y ancho del planeta, con presencia en 23 países.</t>
  </si>
  <si>
    <t>Repsol employs more than 25,000 people of 77 nationalities</t>
  </si>
  <si>
    <t>Repsol carries out its activity throughout the planet, with a presence in 23 countries.</t>
  </si>
  <si>
    <t>Repsol corporate responsibility, employment policies</t>
  </si>
  <si>
    <t>Responsabilidad corporativa de Repsol, políticas de empleo</t>
  </si>
  <si>
    <t>Highlighting workforce diversity enhances Repsol’s employer brand.</t>
  </si>
  <si>
    <t>empleo</t>
  </si>
  <si>
    <t>Positive employment</t>
  </si>
  <si>
    <t>Empleo positivo</t>
  </si>
  <si>
    <r>
      <rPr>
        <rFont val="Arial, sans-serif"/>
        <color rgb="FF1155CC"/>
        <sz val="9.0"/>
        <u/>
      </rPr>
      <t>El Día de Valladolid</t>
    </r>
    <r>
      <rPr>
        <rFont val="Arial, sans-serif"/>
        <color rgb="FF1155CC"/>
        <sz val="15.0"/>
        <u/>
      </rPr>
      <t>La Anunciata de Valladolid y Los Valles de Laguna ganan unos premios de sostenibilidad de Repsol</t>
    </r>
    <r>
      <rPr>
        <rFont val="Arial, sans-serif"/>
        <color rgb="FF1155CC"/>
        <sz val="11.0"/>
        <u/>
      </rPr>
      <t>Sagrado Corazón La Anunciata de Valladolid y Los Valles de Laguna de Duero han logrado los máximos galardones de los Premios Zinkers de la Fundación Repsol...</t>
    </r>
    <r>
      <rPr>
        <rFont val="Arial, sans-serif"/>
        <color rgb="FF1155CC"/>
        <sz val="12.0"/>
        <u/>
      </rPr>
      <t>.</t>
    </r>
    <r>
      <rPr>
        <rFont val="Arial, sans-serif"/>
        <color rgb="FF1155CC"/>
        <sz val="11.0"/>
        <u/>
      </rPr>
      <t>31 may 2024</t>
    </r>
  </si>
  <si>
    <t>La Anunciata de Valladolid y Los Valles de Laguna ganan unos premios de sostenibilidad de Repsol</t>
  </si>
  <si>
    <t>La Anunciata de Valladolid y Los Valles de Laguna de Duero han logrado los máximos galardones de los Premios Zinkers de la Fundación Repsol.</t>
  </si>
  <si>
    <t>La Anunciata de Valladolid and Los Valles de Laguna win Repsol sustainability awards</t>
  </si>
  <si>
    <t>La Anunciata de Valladolid and Los Valles de Laguna de Duero have achieved the top awards at the Repsol Foundation's Zinkers Awards.</t>
  </si>
  <si>
    <t>premios sostenibilidad</t>
  </si>
  <si>
    <t>Positive CSR</t>
  </si>
  <si>
    <t>RSC positiva</t>
  </si>
  <si>
    <r>
      <rPr>
        <rFont val="Arial, sans-serif"/>
        <color rgb="FF1155CC"/>
        <sz val="9.0"/>
        <u/>
      </rPr>
      <t>Car and Driver</t>
    </r>
    <r>
      <rPr>
        <rFont val="Arial, sans-serif"/>
        <color rgb="FF1155CC"/>
        <sz val="15.0"/>
        <u/>
      </rPr>
      <t>Nissan regala dos recargas eléctricas al mes a quienes se compren este SUV</t>
    </r>
    <r>
      <rPr>
        <rFont val="Arial, sans-serif"/>
        <color rgb="FF1155CC"/>
        <sz val="11.0"/>
        <u/>
      </rPr>
      <t>Los nuevos clientes podrán cargar su coche eléctricos en los puntos de recarga de Repsol de cualquier lugar de España.</t>
    </r>
    <r>
      <rPr>
        <rFont val="Arial, sans-serif"/>
        <color rgb="FF1155CC"/>
        <sz val="12.0"/>
        <u/>
      </rPr>
      <t>.</t>
    </r>
    <r>
      <rPr>
        <rFont val="Arial, sans-serif"/>
        <color rgb="FF1155CC"/>
        <sz val="11.0"/>
        <u/>
      </rPr>
      <t>31 may 2024</t>
    </r>
  </si>
  <si>
    <t>Nissan regala dos recargas eléctricas al mes a quienes se compren este SUV</t>
  </si>
  <si>
    <t>Los nuevos clientes podrán cargar su coche eléctricos en los puntos de recarga de Repsol de cualquier lugar de España.</t>
  </si>
  <si>
    <t>Nissan gives away two electric recharges a month to those who buy this SUV</t>
  </si>
  <si>
    <t>New customers will be able to charge their electric cars at Repsol charging points anywhere in Spain.</t>
  </si>
  <si>
    <t>Expanding EV incentives strengthens Repsol’s clean energy initiatives.</t>
  </si>
  <si>
    <r>
      <rPr>
        <rFont val="Arial, sans-serif"/>
        <color rgb="FF1155CC"/>
        <sz val="9.0"/>
        <u/>
      </rPr>
      <t>Mongabay</t>
    </r>
    <r>
      <rPr>
        <rFont val="Arial, sans-serif"/>
        <color rgb="FF1155CC"/>
        <sz val="15.0"/>
        <u/>
      </rPr>
      <t>Las secuelas del derrame de Repsol: “No nos alcanza. Las chalanas están deterioradas y no salen desde hace dos años”</t>
    </r>
    <r>
      <rPr>
        <rFont val="Arial, sans-serif"/>
        <color rgb="FF1155CC"/>
        <sz val="11.0"/>
        <u/>
      </rPr>
      <t>Fanny Tamayo es miembro de la Asociación de Mujeres Armadoras y Emprendedoras de Embarcaciones Menores del Puerto de Chancay. Su pequeña embarcación era,...</t>
    </r>
    <r>
      <rPr>
        <rFont val="Arial, sans-serif"/>
        <color rgb="FF1155CC"/>
        <sz val="12.0"/>
        <u/>
      </rPr>
      <t>.</t>
    </r>
    <r>
      <rPr>
        <rFont val="Arial, sans-serif"/>
        <color rgb="FF1155CC"/>
        <sz val="11.0"/>
        <u/>
      </rPr>
      <t>31 may 2024</t>
    </r>
  </si>
  <si>
    <t>Las secuelas del derrame de Repsol: “No nos alcanza. Las chalanas están deterioradas y no salen desde hace dos años”</t>
  </si>
  <si>
    <t>Fanny Tamayo es miembro de la Asociación de Mujeres Armadoras y Emprendedoras de Embarcaciones Menores del Puerto de Chancay. Su pequeña embarcación era,....</t>
  </si>
  <si>
    <t>The aftermath of the Repsol spill: “It's not enough for us. “The barges are deteriorated and have not left for two years.”</t>
  </si>
  <si>
    <t>Fanny Tamayo is a member of the Association of Women Owners and Entrepreneurs of Small Boats of the Port of Chancay. His small boat was,...</t>
  </si>
  <si>
    <t>derrame secuelas</t>
  </si>
  <si>
    <r>
      <rPr>
        <rFont val="Arial, sans-serif"/>
        <color rgb="FF1155CC"/>
        <sz val="9.0"/>
        <u/>
      </rPr>
      <t>MotorcycleSports</t>
    </r>
    <r>
      <rPr>
        <rFont val="Arial, sans-serif"/>
        <color rgb="FF1155CC"/>
        <sz val="15.0"/>
        <u/>
      </rPr>
      <t>Fin de una era: Repsol y Honda se separarán después de décadas de dominio en MotoGP.</t>
    </r>
    <r>
      <rPr>
        <rFont val="Arial, sans-serif"/>
        <color rgb="FF1155CC"/>
        <sz val="11.0"/>
        <u/>
      </rPr>
      <t>El anuncio de que Repsol y Honda pondrán fin a su icónica asociación al concluir la temporada de MotoGP de 2024 marca el fin de una era histórica en las...</t>
    </r>
    <r>
      <rPr>
        <rFont val="Arial, sans-serif"/>
        <color rgb="FF1155CC"/>
        <sz val="12.0"/>
        <u/>
      </rPr>
      <t>.</t>
    </r>
    <r>
      <rPr>
        <rFont val="Arial, sans-serif"/>
        <color rgb="FF1155CC"/>
        <sz val="11.0"/>
        <u/>
      </rPr>
      <t>31 may 2024</t>
    </r>
  </si>
  <si>
    <t>Fin de una era: Repsol y Honda se separarán después de décadas de dominio en MotoGP.</t>
  </si>
  <si>
    <t>El anuncio de que Repsol y Honda pondrán fin a su icónica asociación al concluir la temporada de MotoGP de 2024 marca el fin de una era histórica en las....</t>
  </si>
  <si>
    <t>End of an era: Repsol and Honda will part ways after decades of dominance in MotoGP.</t>
  </si>
  <si>
    <t>The announcement that Repsol and Honda will end their iconic partnership at the conclusion of the 2024 MotoGP season marks the end of a historic era in...</t>
  </si>
  <si>
    <t>Ending a high-profile sponsorship may impact Repsol’s motorsport branding.</t>
  </si>
  <si>
    <t>Negative sports ending</t>
  </si>
  <si>
    <t>Final deportivo negativo</t>
  </si>
  <si>
    <r>
      <rPr>
        <rFont val="Arial, sans-serif"/>
        <color rgb="FF1155CC"/>
        <sz val="9.0"/>
        <u/>
      </rPr>
      <t>El Economista</t>
    </r>
    <r>
      <rPr>
        <rFont val="Arial, sans-serif"/>
        <color rgb="FF1155CC"/>
        <sz val="15.0"/>
        <u/>
      </rPr>
      <t>Taylor Swift utiliza 11.000 litros de combustible renovable de Repsol para sus conciertos en el Bernabeu</t>
    </r>
    <r>
      <rPr>
        <rFont val="Arial, sans-serif"/>
        <color rgb="FF1155CC"/>
        <sz val="11.0"/>
        <u/>
      </rPr>
      <t>Repsol refuerza su apuesta por la música. La petrolera ha suministrado alrededor de 11.</t>
    </r>
    <r>
      <rPr>
        <rFont val="Arial, sans-serif"/>
        <color rgb="FF1155CC"/>
        <sz val="12.0"/>
        <u/>
      </rPr>
      <t>.</t>
    </r>
    <r>
      <rPr>
        <rFont val="Arial, sans-serif"/>
        <color rgb="FF1155CC"/>
        <sz val="11.0"/>
        <u/>
      </rPr>
      <t>31 may 2024</t>
    </r>
  </si>
  <si>
    <t>Taylor Swift utiliza 11.000 litros de combustible renovable de Repsol para sus conciertos en el Bernabeu</t>
  </si>
  <si>
    <t>Repsol refuerza su apuesta por la música. La petrolera ha suministrado alrededor de 11.000 litros de combustible renovable para los conciertos de Taylor Swift en el Bernabéu.</t>
  </si>
  <si>
    <t>Taylor Swift uses 11,000 liters of Repsol renewable fuel for her concerts at the Bernabeu</t>
  </si>
  <si>
    <t>Repsol reinforces its commitment to music. The oil company has supplied around 11,000 liters of renewable fuel for Taylor Swift's concerts at the Bernabéu.</t>
  </si>
  <si>
    <t>Repsol renewable fuel, marketing sponsorship</t>
  </si>
  <si>
    <t>Repsol combustibles renovables, patrocinio comercial</t>
  </si>
  <si>
    <t>Associating with global stars enhances Repsol’s sustainability messaging.</t>
  </si>
  <si>
    <r>
      <rPr>
        <rFont val="Arial, sans-serif"/>
        <color rgb="FF1155CC"/>
        <sz val="9.0"/>
        <u/>
      </rPr>
      <t>Box Repsol</t>
    </r>
    <r>
      <rPr>
        <rFont val="Arial, sans-serif"/>
        <color rgb="FF1155CC"/>
        <sz val="15.0"/>
        <u/>
      </rPr>
      <t>Resultados de los entrenamientos del GP de Italia de MotoGP</t>
    </r>
    <r>
      <rPr>
        <rFont val="Arial, sans-serif"/>
        <color rgb="FF1155CC"/>
        <sz val="11.0"/>
        <u/>
      </rPr>
      <t>La séptima cita del Campeonato del Mundo de MotoGP ha empezado hoy en el Autódromo del Mugello, en plena Toscana italiana, con el vigente Campeón del Mundo,...</t>
    </r>
    <r>
      <rPr>
        <rFont val="Arial, sans-serif"/>
        <color rgb="FF1155CC"/>
        <sz val="12.0"/>
        <u/>
      </rPr>
      <t>.</t>
    </r>
    <r>
      <rPr>
        <rFont val="Arial, sans-serif"/>
        <color rgb="FF1155CC"/>
        <sz val="11.0"/>
        <u/>
      </rPr>
      <t>31 may 2024</t>
    </r>
  </si>
  <si>
    <t>Resultados de los entrenamientos del GP de Italia de MotoGP</t>
  </si>
  <si>
    <t>La séptima cita del Campeonato del Mundo de MotoGP ha empezado hoy en el Autódromo del Mugello, en plena Toscana italiana, con el vigente Campeón del Mundo,....</t>
  </si>
  <si>
    <t>MotoGP Italian GP practice results</t>
  </si>
  <si>
    <t>The seventh round of the MotoGP World Championship began today at the Mugello Autodrome, in the heart of Italian Tuscany, with the current World Champion,....</t>
  </si>
  <si>
    <r>
      <rPr>
        <rFont val="Arial, sans-serif"/>
        <color rgb="FF1155CC"/>
        <sz val="9.0"/>
        <u/>
      </rPr>
      <t>Alcaldía de Maracaibo</t>
    </r>
    <r>
      <rPr>
        <rFont val="Arial, sans-serif"/>
        <color rgb="FF1155CC"/>
        <sz val="15.0"/>
        <u/>
      </rPr>
      <t>Centro de Diagnóstico Médico estrena salón gracias a REPSOL</t>
    </r>
    <r>
      <rPr>
        <rFont val="Arial, sans-serif"/>
        <color rgb="FF1155CC"/>
        <sz val="11.0"/>
        <u/>
      </rPr>
      <t>El espacio rehabilitado por REPSOL en el Centro de Diagnóstico Médico servirá de lugar de reunión, capacitación y descanso para el personal.</t>
    </r>
    <r>
      <rPr>
        <rFont val="Arial, sans-serif"/>
        <color rgb="FF1155CC"/>
        <sz val="12.0"/>
        <u/>
      </rPr>
      <t>.</t>
    </r>
    <r>
      <rPr>
        <rFont val="Arial, sans-serif"/>
        <color rgb="FF1155CC"/>
        <sz val="11.0"/>
        <u/>
      </rPr>
      <t>31 may 2024</t>
    </r>
  </si>
  <si>
    <t>Alcaldía de Maracaibo</t>
  </si>
  <si>
    <t>Centro de Diagnóstico Médico estrena salón gracias a REPSOL</t>
  </si>
  <si>
    <t>El espacio rehabilitado por REPSOL en el Centro de Diagnóstico Médico servirá de lugar de reunión, capacitación y descanso para el personal.</t>
  </si>
  <si>
    <t>Medical Diagnostic Center opens room thanks to REPSOL</t>
  </si>
  <si>
    <t>The space rehabilitated by REPSOL in the Medical Diagnostic Center will serve as a meeting, training and rest place for staff.</t>
  </si>
  <si>
    <t>Repsol corporate responsibility, healthcare sponsorship</t>
  </si>
  <si>
    <t>Repsol responsabilidad corporativa, patrocinio sanitario</t>
  </si>
  <si>
    <t>Supporting healthcare initiatives enhances Repsol’s social responsibility reputation.</t>
  </si>
  <si>
    <t>Neutral community</t>
  </si>
  <si>
    <t>Comunidad neutral</t>
  </si>
  <si>
    <r>
      <rPr>
        <rFont val="Arial, sans-serif"/>
        <color rgb="FF1155CC"/>
        <sz val="9.0"/>
        <u/>
      </rPr>
      <t>Guía Repsol</t>
    </r>
    <r>
      <rPr>
        <rFont val="Arial, sans-serif"/>
        <color rgb="FF1155CC"/>
        <sz val="15.0"/>
        <u/>
      </rPr>
      <t>'Ultramarinos Pope', el nuevo colmado-bar en Valencia</t>
    </r>
    <r>
      <rPr>
        <rFont val="Arial, sans-serif"/>
        <color rgb="FF1155CC"/>
        <sz val="11.0"/>
        <u/>
      </rPr>
      <t>Juan Sancho y Susana Garrido forman el matrimonio que ha levantado 'Ultramarinos Pope', un nuevo espacio en Valencia que quiere y consigue recordar a los...</t>
    </r>
    <r>
      <rPr>
        <rFont val="Arial, sans-serif"/>
        <color rgb="FF1155CC"/>
        <sz val="12.0"/>
        <u/>
      </rPr>
      <t>.</t>
    </r>
    <r>
      <rPr>
        <rFont val="Arial, sans-serif"/>
        <color rgb="FF1155CC"/>
        <sz val="11.0"/>
        <u/>
      </rPr>
      <t>1 jun 2024</t>
    </r>
  </si>
  <si>
    <t>'Ultramarinos Pope', el nuevo colmado-bar en Valencia</t>
  </si>
  <si>
    <t>Juan Sancho y Susana Garrido forman el matrimonio que ha levantado 'Ultramarinos Pope', un nuevo espacio en Valencia que quiere y consigue recordar a los....</t>
  </si>
  <si>
    <t>'Ultramarinos Pope', the new grocery-bar in Valencia</t>
  </si>
  <si>
    <t>Juan Sancho and Susana Garrido form the couple that has created 'Ultramarinos Pope', a new space in Valencia that wants and manages to remember the...</t>
  </si>
  <si>
    <r>
      <rPr>
        <rFont val="Arial, sans-serif"/>
        <color rgb="FF1155CC"/>
        <sz val="9.0"/>
        <u/>
      </rPr>
      <t>El Español</t>
    </r>
    <r>
      <rPr>
        <rFont val="Arial, sans-serif"/>
        <color rgb="FF1155CC"/>
        <sz val="15.0"/>
        <u/>
      </rPr>
      <t>Ni Cangas ni Sanxenxo: este es el pueblo costero desconocido de Pontevedra que ha sabido preservar su singularidad</t>
    </r>
    <r>
      <rPr>
        <rFont val="Arial, sans-serif"/>
        <color rgb="FF1155CC"/>
        <sz val="11.0"/>
        <u/>
      </rPr>
      <t>La guía Repsol destaca un municipio de "casi nueve kilómetros de costa" con un hermoso patrimonio natural y un riquísimo patrimonio arquitectónico.</t>
    </r>
    <r>
      <rPr>
        <rFont val="Arial, sans-serif"/>
        <color rgb="FF1155CC"/>
        <sz val="12.0"/>
        <u/>
      </rPr>
      <t>.</t>
    </r>
    <r>
      <rPr>
        <rFont val="Arial, sans-serif"/>
        <color rgb="FF1155CC"/>
        <sz val="11.0"/>
        <u/>
      </rPr>
      <t>1 jun 2024</t>
    </r>
  </si>
  <si>
    <t>Ni Cangas ni Sanxenxo: este es el pueblo costero desconocido de Pontevedra que ha sabido preservar su singularidad</t>
  </si>
  <si>
    <t>La guía Repsol destaca un municipio de "casi nueve kilómetros de costa" con un hermoso patrimonio natural y un riquísimo patrimonio arquitectónico.</t>
  </si>
  <si>
    <t>Neither Cangas nor Sanxenxo: this is the unknown coastal town of Pontevedra that has managed to preserve its uniqueness</t>
  </si>
  <si>
    <t>The Repsol guide highlights a municipality with "almost nine kilometers of coastline" with a beautiful natural heritage and a rich architectural heritage.</t>
  </si>
  <si>
    <r>
      <rPr>
        <rFont val="Arial, sans-serif"/>
        <color rgb="FF1155CC"/>
        <sz val="9.0"/>
        <u/>
      </rPr>
      <t>El Economista</t>
    </r>
    <r>
      <rPr>
        <rFont val="Arial, sans-serif"/>
        <color rgb="FF1155CC"/>
        <sz val="15.0"/>
        <u/>
      </rPr>
      <t>La victoria de Sheinbaum en México amenaza con más intervencionismo</t>
    </r>
    <r>
      <rPr>
        <rFont val="Arial, sans-serif"/>
        <color rgb="FF1155CC"/>
        <sz val="11.0"/>
        <u/>
      </rPr>
      <t>Recta final en las elecciones presidenciales de México. Casi 90 millones de mexicanos están llamados mañana a las urnas para elegir a la ...</t>
    </r>
    <r>
      <rPr>
        <rFont val="Arial, sans-serif"/>
        <color rgb="FF1155CC"/>
        <sz val="12.0"/>
        <u/>
      </rPr>
      <t>.</t>
    </r>
    <r>
      <rPr>
        <rFont val="Arial, sans-serif"/>
        <color rgb="FF1155CC"/>
        <sz val="11.0"/>
        <u/>
      </rPr>
      <t>1 jun 2024</t>
    </r>
  </si>
  <si>
    <t>La victoria de Sheinbaum en México amenaza con más intervencionismo</t>
  </si>
  <si>
    <t>Recta final en las elecciones presidenciales de México. Casi 90 millones de mexicanos están llamados mañana a las urnas para elegir a la ....</t>
  </si>
  <si>
    <t>Sheinbaum's victory in Mexico threatens more interventionism</t>
  </si>
  <si>
    <t>Final stretch in the presidential elections in Mexico. Almost 90 million Mexicans are called to the polls tomorrow to elect the...</t>
  </si>
  <si>
    <r>
      <rPr>
        <rFont val="Arial, sans-serif"/>
        <color rgb="FF1155CC"/>
        <sz val="9.0"/>
        <u/>
      </rPr>
      <t>El Español</t>
    </r>
    <r>
      <rPr>
        <rFont val="Arial, sans-serif"/>
        <color rgb="FF1155CC"/>
        <sz val="15.0"/>
        <u/>
      </rPr>
      <t>Women in Data Science vuelve a reunir en A Coruña a mujeres referentes en tecnología</t>
    </r>
    <r>
      <rPr>
        <rFont val="Arial, sans-serif"/>
        <color rgb="FF1155CC"/>
        <sz val="11.0"/>
        <u/>
      </rPr>
      <t>En la tercera edición de este evento en A Coruña se habló de inteligencia artificial, ciencia de datos, inclusión y ciberseguridad.</t>
    </r>
    <r>
      <rPr>
        <rFont val="Arial, sans-serif"/>
        <color rgb="FF1155CC"/>
        <sz val="12.0"/>
        <u/>
      </rPr>
      <t>.</t>
    </r>
    <r>
      <rPr>
        <rFont val="Arial, sans-serif"/>
        <color rgb="FF1155CC"/>
        <sz val="11.0"/>
        <u/>
      </rPr>
      <t>1 jun 2024</t>
    </r>
  </si>
  <si>
    <t>Women in Data Science vuelve a reunir en A Coruña a mujeres referentes en tecnología</t>
  </si>
  <si>
    <t>En la tercera edición de este evento en A Coruña se habló de inteligencia artificial, ciencia de datos, inclusión y ciberseguridad.</t>
  </si>
  <si>
    <t>Women in Data Science brings together leading women in technology in A Coruña again</t>
  </si>
  <si>
    <t>In the third edition of this event in A Coruña, artificial intelligence, data science, inclusion and cybersecurity were discussed.</t>
  </si>
  <si>
    <r>
      <rPr>
        <rFont val="Arial, sans-serif"/>
        <color rgb="FF1155CC"/>
        <sz val="9.0"/>
        <u/>
      </rPr>
      <t>diariodenavarra.es</t>
    </r>
    <r>
      <rPr>
        <rFont val="Arial, sans-serif"/>
        <color rgb="FF1155CC"/>
        <sz val="15.0"/>
        <u/>
      </rPr>
      <t>Cocinar en un edificio con tres plantas, la última propuesta original de Telecinco</t>
    </r>
    <r>
      <rPr>
        <rFont val="Arial, sans-serif"/>
        <color rgb="FF1155CC"/>
        <sz val="11.0"/>
        <u/>
      </rPr>
      <t>La cadena adapta 'Next Level Chef' con la productora de 'Masterchef', que da un giro de tuerca a los concursos culinarios.</t>
    </r>
    <r>
      <rPr>
        <rFont val="Arial, sans-serif"/>
        <color rgb="FF1155CC"/>
        <sz val="12.0"/>
        <u/>
      </rPr>
      <t>.</t>
    </r>
    <r>
      <rPr>
        <rFont val="Arial, sans-serif"/>
        <color rgb="FF1155CC"/>
        <sz val="11.0"/>
        <u/>
      </rPr>
      <t>1 jun 2024</t>
    </r>
  </si>
  <si>
    <t>Cocinar en un edificio con tres plantas, la última propuesta original de Telecinco</t>
  </si>
  <si>
    <t>La cadena adapta 'Next Level Chef' con la productora de 'Masterchef', que da un giro de tuerca a los concursos culinarios.</t>
  </si>
  <si>
    <t>Cooking in a building with three floors, the latest original proposal from Telecinco</t>
  </si>
  <si>
    <t>The chain adapts 'Next Level Chef' with the production company of 'Masterchef', which gives a twist to culinary competitions.</t>
  </si>
  <si>
    <r>
      <rPr>
        <rFont val="Arial, sans-serif"/>
        <color rgb="FF1155CC"/>
        <sz val="9.0"/>
        <u/>
      </rPr>
      <t>Perfil</t>
    </r>
    <r>
      <rPr>
        <rFont val="Arial, sans-serif"/>
        <color rgb="FF1155CC"/>
        <sz val="15.0"/>
        <u/>
      </rPr>
      <t>YPF: Burford ya sabe cómo cobrarle a Argentina</t>
    </r>
    <r>
      <rPr>
        <rFont val="Arial, sans-serif"/>
        <color rgb="FF1155CC"/>
        <sz val="11.0"/>
        <u/>
      </rPr>
      <t>El fondo experto en litigios que ganó el juicio por 16 mil millones de dólares por la reestatización de YPF le anticipó a la jueza Loretta Preska que está...</t>
    </r>
    <r>
      <rPr>
        <rFont val="Arial, sans-serif"/>
        <color rgb="FF1155CC"/>
        <sz val="12.0"/>
        <u/>
      </rPr>
      <t>.</t>
    </r>
    <r>
      <rPr>
        <rFont val="Arial, sans-serif"/>
        <color rgb="FF1155CC"/>
        <sz val="11.0"/>
        <u/>
      </rPr>
      <t>1 jun 2024</t>
    </r>
  </si>
  <si>
    <t>PerfilYPF</t>
  </si>
  <si>
    <t>Burford ya sabe cómo cobrarle a Argentina</t>
  </si>
  <si>
    <t>El fondo experto en litigios que ganó el juicio por 16 mil millones de dólares por la reestatización de YPF le anticipó a la jueza Loretta Preska que está....</t>
  </si>
  <si>
    <t>Burford already knows how to charge Argentina</t>
  </si>
  <si>
    <t>The litigation expert fund that won the trial for 16 billion dollars for the renationalization of YPF told Judge Loretta Preska that it is...</t>
  </si>
  <si>
    <r>
      <rPr>
        <rFont val="Arial, sans-serif"/>
        <color rgb="FF1155CC"/>
        <sz val="9.0"/>
        <u/>
      </rPr>
      <t>El Economista</t>
    </r>
    <r>
      <rPr>
        <rFont val="Arial, sans-serif"/>
        <color rgb="FF1155CC"/>
        <sz val="15.0"/>
        <u/>
      </rPr>
      <t>Solar360, la alianza de Repsol y Telefónica para autoconsumo, registra unas pérdidas de 7 millones en 2023</t>
    </r>
    <r>
      <rPr>
        <rFont val="Arial, sans-serif"/>
        <color rgb="FF1155CC"/>
        <sz val="11.0"/>
        <u/>
      </rPr>
      <t>Solar360, la 'joint venture' participada al 50% por Repsol y por Telefónica -a través de Movistar-, ha encadenado en 2023 su segundo año ...</t>
    </r>
    <r>
      <rPr>
        <rFont val="Arial, sans-serif"/>
        <color rgb="FF1155CC"/>
        <sz val="12.0"/>
        <u/>
      </rPr>
      <t>.</t>
    </r>
    <r>
      <rPr>
        <rFont val="Arial, sans-serif"/>
        <color rgb="FF1155CC"/>
        <sz val="11.0"/>
        <u/>
      </rPr>
      <t>2 jun 2024</t>
    </r>
  </si>
  <si>
    <t>Solar360, la alianza de Repsol y Telefónica para autoconsumo, registra unas pérdidas de 7 millones en 2023</t>
  </si>
  <si>
    <t>Solar360, la 'joint venture' participada al 50% por Repsol y por Telefónica -a través de Movistar-, ha encadenado en 2023 su segundo año ....</t>
  </si>
  <si>
    <t>Solar360, the alliance of Repsol and Telefónica for self-consumption, registers losses of 7 million in 2023</t>
  </si>
  <si>
    <t>Solar360, the joint venture owned 50% by Repsol and Telefónica -through Movistar-, has entered its second year in 2023....</t>
  </si>
  <si>
    <t>Repsol renewable energy, business partnership</t>
  </si>
  <si>
    <t>Repsol energías renovables, alianza empresarial</t>
  </si>
  <si>
    <t>Expanding solar partnerships supports Repsol’s green energy transition.</t>
  </si>
  <si>
    <t>pérdidas</t>
  </si>
  <si>
    <t>Negative financial</t>
  </si>
  <si>
    <t>financiero negativo</t>
  </si>
  <si>
    <r>
      <rPr>
        <rFont val="Arial, sans-serif"/>
        <color rgb="FF1155CC"/>
        <sz val="9.0"/>
        <u/>
      </rPr>
      <t>Box Repsol</t>
    </r>
    <r>
      <rPr>
        <rFont val="Arial, sans-serif"/>
        <color rgb="FF1155CC"/>
        <sz val="15.0"/>
        <u/>
      </rPr>
      <t>Resultados del GP de Italia de MotoGP</t>
    </r>
    <r>
      <rPr>
        <rFont val="Arial, sans-serif"/>
        <color rgb="FF1155CC"/>
        <sz val="11.0"/>
        <u/>
      </rPr>
      <t>El Gran Premio de Italia de MotoGP ha visto triunfar por partida doble al héroe local, el vigente Campeón del Mundo de MotoGP y vencedor de ayer en la...</t>
    </r>
    <r>
      <rPr>
        <rFont val="Arial, sans-serif"/>
        <color rgb="FF1155CC"/>
        <sz val="12.0"/>
        <u/>
      </rPr>
      <t>.</t>
    </r>
    <r>
      <rPr>
        <rFont val="Arial, sans-serif"/>
        <color rgb="FF1155CC"/>
        <sz val="11.0"/>
        <u/>
      </rPr>
      <t>2 jun 2024</t>
    </r>
  </si>
  <si>
    <t>Resultados del GP de Italia de MotoGP</t>
  </si>
  <si>
    <t>El Gran Premio de Italia de MotoGP ha visto triunfar por partida doble al héroe local, el vigente Campeón del Mundo de MotoGP y vencedor de ayer en la....</t>
  </si>
  <si>
    <t>MotoGP Italian GP results</t>
  </si>
  <si>
    <t>The Italian MotoGP Grand Prix has seen the local hero triumph twice, the current MotoGP World Champion and yesterday's winner in the....</t>
  </si>
  <si>
    <r>
      <rPr>
        <rFont val="Arial, sans-serif"/>
        <color rgb="FF1155CC"/>
        <sz val="9.0"/>
        <u/>
      </rPr>
      <t>Ojo Público</t>
    </r>
    <r>
      <rPr>
        <rFont val="Arial, sans-serif"/>
        <color rgb="FF1155CC"/>
        <sz val="15.0"/>
        <u/>
      </rPr>
      <t>La Pampilla de Repsol: del derrame en el mar a la empresa con más ingresos el 2023</t>
    </r>
    <r>
      <rPr>
        <rFont val="Arial, sans-serif"/>
        <color rgb="FF1155CC"/>
        <sz val="11.0"/>
        <u/>
      </rPr>
      <t>Cuatro empresas de hidrocarburos y ocho mineras se encuentran entre las 20 compañías que más facturaron en 2023, según un ranking elaborado por Peru Top...</t>
    </r>
    <r>
      <rPr>
        <rFont val="Arial, sans-serif"/>
        <color rgb="FF1155CC"/>
        <sz val="12.0"/>
        <u/>
      </rPr>
      <t>.</t>
    </r>
    <r>
      <rPr>
        <rFont val="Arial, sans-serif"/>
        <color rgb="FF1155CC"/>
        <sz val="11.0"/>
        <u/>
      </rPr>
      <t>2 jun 2024</t>
    </r>
  </si>
  <si>
    <t>La Pampilla de Repsol: del derrame en el mar a la empresa con más ingresos el 2023</t>
  </si>
  <si>
    <t>Cuatro empresas de hidrocarburos y ocho mineras se encuentran entre las 20 compañías que más facturaron en 2023, según un ranking elaborado por Peru Top.</t>
  </si>
  <si>
    <t>Repsol's La Pampilla: from spill into the sea to the company with the most revenue in 2023</t>
  </si>
  <si>
    <t>Four hydrocarbon companies and eight mining companies are among the 20 companies that invoiced the most in 2023, according to a ranking prepared by Peru Top.</t>
  </si>
  <si>
    <t>Ongoing investigations into oil spills may damage Repsol’s reputation.</t>
  </si>
  <si>
    <t>derrame vs ingresos</t>
  </si>
  <si>
    <t>Contrasting negative/positive</t>
  </si>
  <si>
    <t>Contraste negativo/positivo</t>
  </si>
  <si>
    <r>
      <rPr>
        <rFont val="Arial, sans-serif"/>
        <color rgb="FF1155CC"/>
        <sz val="9.0"/>
        <u/>
      </rPr>
      <t>El Periódico</t>
    </r>
    <r>
      <rPr>
        <rFont val="Arial, sans-serif"/>
        <color rgb="FF1155CC"/>
        <sz val="15.0"/>
        <u/>
      </rPr>
      <t>Regalan gasolina si entregas aceite de cocina usado en las gasolineras: dónde y cómo hacerlo</t>
    </r>
    <r>
      <rPr>
        <rFont val="Arial, sans-serif"/>
        <color rgb="FF1155CC"/>
        <sz val="11.0"/>
        <u/>
      </rPr>
      <t>Son 450 las estaciones de servicio que premian el comportamiento ecológico y el reciclaje de sus usuarios.</t>
    </r>
    <r>
      <rPr>
        <rFont val="Arial, sans-serif"/>
        <color rgb="FF1155CC"/>
        <sz val="12.0"/>
        <u/>
      </rPr>
      <t>.</t>
    </r>
    <r>
      <rPr>
        <rFont val="Arial, sans-serif"/>
        <color rgb="FF1155CC"/>
        <sz val="11.0"/>
        <u/>
      </rPr>
      <t>2 jun 2024</t>
    </r>
  </si>
  <si>
    <t>Regalan gasolina si entregas aceite de cocina usado en las gasolineras: dónde y cómo hacerlo</t>
  </si>
  <si>
    <t>Son 450 las estaciones de servicio que premian el comportamiento ecológico y el reciclaje de sus usuarios.</t>
  </si>
  <si>
    <t>They give away gasoline if you deliver used cooking oil at gas stations: where and how to do it</t>
  </si>
  <si>
    <t>There are 450 service stations that reward the ecological behavior and recycling of their users.</t>
  </si>
  <si>
    <t>Encouraging oil recycling supports Repsol’s environmental strategy.</t>
  </si>
  <si>
    <r>
      <rPr>
        <rFont val="Arial, sans-serif"/>
        <color rgb="FF1155CC"/>
        <sz val="9.0"/>
        <u/>
      </rPr>
      <t>El Español</t>
    </r>
    <r>
      <rPr>
        <rFont val="Arial, sans-serif"/>
        <color rgb="FF1155CC"/>
        <sz val="15.0"/>
        <u/>
      </rPr>
      <t>Sergio y Lucía, la mejor chef más joven de España, arrasan en Legazpi con Lur: cinco mesas y verduras de Rivas</t>
    </r>
    <r>
      <rPr>
        <rFont val="Arial, sans-serif"/>
        <color rgb="FF1155CC"/>
        <sz val="11.0"/>
        <u/>
      </rPr>
      <t>Lucía Gutiérrez acaba de ser premiada como la mayor promesa en las cocinas en el país y se ha lanzado a crear Lur, un restaurante ya recomendado por la Guía...</t>
    </r>
    <r>
      <rPr>
        <rFont val="Arial, sans-serif"/>
        <color rgb="FF1155CC"/>
        <sz val="12.0"/>
        <u/>
      </rPr>
      <t>.</t>
    </r>
    <r>
      <rPr>
        <rFont val="Arial, sans-serif"/>
        <color rgb="FF1155CC"/>
        <sz val="11.0"/>
        <u/>
      </rPr>
      <t>2 jun 2024</t>
    </r>
  </si>
  <si>
    <t>Sergio y Lucía, la mejor chef más joven de España, arrasan en Legazpi con Lur: cinco mesas y verduras de Rivas</t>
  </si>
  <si>
    <t>Lucía Gutiérrez acaba de ser premiada como la mayor promesa en las cocinas en el país y se ha lanzado a crear Lur, un restaurante ya recomendado por la Guía....</t>
  </si>
  <si>
    <t>Sergio and Lucía, the youngest best chef in Spain, take Legazpi by storm with Lur: five tables and vegetables from Rivas</t>
  </si>
  <si>
    <t>Lucía Gutiérrez has just been awarded as the greatest promise in kitchens in the country and has set out to create Lur, a restaurant already recommended by the Guide....</t>
  </si>
  <si>
    <r>
      <rPr>
        <rFont val="Arial, sans-serif"/>
        <color rgb="FF1155CC"/>
        <sz val="9.0"/>
        <u/>
      </rPr>
      <t>EL PAÍS</t>
    </r>
    <r>
      <rPr>
        <rFont val="Arial, sans-serif"/>
        <color rgb="FF1155CC"/>
        <sz val="15.0"/>
        <u/>
      </rPr>
      <t>Dónde comer en Asturias, según Marcos Morán (Casa Gerardo)</t>
    </r>
    <r>
      <rPr>
        <rFont val="Arial, sans-serif"/>
        <color rgb="FF1155CC"/>
        <sz val="11.0"/>
        <u/>
      </rPr>
      <t>El cocinero recomienda comenzar el día con uno de los mejores pasteleros, comer longaniza con patatas, disfrutar de una referencia en Oviedo y tomar un...</t>
    </r>
    <r>
      <rPr>
        <rFont val="Arial, sans-serif"/>
        <color rgb="FF1155CC"/>
        <sz val="12.0"/>
        <u/>
      </rPr>
      <t>.</t>
    </r>
    <r>
      <rPr>
        <rFont val="Arial, sans-serif"/>
        <color rgb="FF1155CC"/>
        <sz val="11.0"/>
        <u/>
      </rPr>
      <t>2 jun 2024</t>
    </r>
  </si>
  <si>
    <t>Dónde comer en Asturias, según Marcos Morán (Casa Gerardo)</t>
  </si>
  <si>
    <t>El cocinero recomienda comenzar el día con uno de los mejores pasteleros, comer longaniza con patatas, disfrutar de una referencia en Oviedo y tomar un....</t>
  </si>
  <si>
    <t>Where to eat in Asturias, according to Marcos Morán (Casa Gerardo)</t>
  </si>
  <si>
    <t>The chef recommends starting the day with one of the best pastry chefs, eating sausage with potatoes, enjoying a reference in Oviedo and having a...</t>
  </si>
  <si>
    <r>
      <rPr>
        <rFont val="Arial, sans-serif"/>
        <color rgb="FF1155CC"/>
        <sz val="9.0"/>
        <u/>
      </rPr>
      <t>The Objective</t>
    </r>
    <r>
      <rPr>
        <rFont val="Arial, sans-serif"/>
        <color rgb="FF1155CC"/>
        <sz val="15.0"/>
        <u/>
      </rPr>
      <t>Venezuela, un reseco campo petrolero que atrae negocios sin esperar elecciones libres</t>
    </r>
    <r>
      <rPr>
        <rFont val="Arial, sans-serif"/>
        <color rgb="FF1155CC"/>
        <sz val="11.0"/>
        <u/>
      </rPr>
      <t>El pragmatismo es una forma de entendimiento que no suele fallar, aunque deje muchos tragos amargos».</t>
    </r>
    <r>
      <rPr>
        <rFont val="Arial, sans-serif"/>
        <color rgb="FF1155CC"/>
        <sz val="12.0"/>
        <u/>
      </rPr>
      <t>.</t>
    </r>
    <r>
      <rPr>
        <rFont val="Arial, sans-serif"/>
        <color rgb="FF1155CC"/>
        <sz val="11.0"/>
        <u/>
      </rPr>
      <t>2 jun 2024</t>
    </r>
  </si>
  <si>
    <t>Objective</t>
  </si>
  <si>
    <t>Venezuela, un reseco campo petrolero que atrae negocios sin esperar elecciones libres</t>
  </si>
  <si>
    <t>El pragmatismo es una forma de entendimiento que no suele fallar, aunque deje muchos tragos amargos.</t>
  </si>
  <si>
    <t>Venezuela, a parched oil field that attracts business without waiting for free elections</t>
  </si>
  <si>
    <t>Pragmatism is a form of understanding that does not usually fail, although it leaves many bitter pills.</t>
  </si>
  <si>
    <r>
      <rPr>
        <rFont val="Arial, sans-serif"/>
        <color rgb="FF1155CC"/>
        <sz val="9.0"/>
        <u/>
      </rPr>
      <t>Diario Córdoba</t>
    </r>
    <r>
      <rPr>
        <rFont val="Arial, sans-serif"/>
        <color rgb="FF1155CC"/>
        <sz val="15.0"/>
        <u/>
      </rPr>
      <t>Fallece el profesor e investigador egabrense Antonio Manuel Arrabal Maíz</t>
    </r>
    <r>
      <rPr>
        <rFont val="Arial, sans-serif"/>
        <color rgb="FF1155CC"/>
        <sz val="11.0"/>
        <u/>
      </rPr>
      <t>En el año 2012 publicó un trabajo de investigación centrado en el bombardeo de Cabra del 7 de noviembre de 1938.</t>
    </r>
    <r>
      <rPr>
        <rFont val="Arial, sans-serif"/>
        <color rgb="FF1155CC"/>
        <sz val="12.0"/>
        <u/>
      </rPr>
      <t>.</t>
    </r>
    <r>
      <rPr>
        <rFont val="Arial, sans-serif"/>
        <color rgb="FF1155CC"/>
        <sz val="11.0"/>
        <u/>
      </rPr>
      <t>2 jun 2024</t>
    </r>
  </si>
  <si>
    <t>Fallece el profesor e investigador egabrense Antonio Manuel Arrabal Maíz</t>
  </si>
  <si>
    <t>Fallece el profesor e investigador egabrense Antonio Manuel Arrabal Maíz. En el año 2012 publicó un trabajo de investigación centrado en el bombardeo de Cabra del 7 de noviembre de 1938.</t>
  </si>
  <si>
    <t>The Egabrense professor and researcher Antonio Manuel Arrabal Maíz dies</t>
  </si>
  <si>
    <t>The Egabrense professor and researcher Antonio Manuel Arrabal Maíz dies. In 2012 he published a research work focused on the bombing of Cabra on November 7, 1938.</t>
  </si>
  <si>
    <r>
      <rPr>
        <rFont val="Arial, sans-serif"/>
        <color rgb="FF1155CC"/>
        <sz val="9.0"/>
        <u/>
      </rPr>
      <t>Estadio Deportivo</t>
    </r>
    <r>
      <rPr>
        <rFont val="Arial, sans-serif"/>
        <color rgb="FF1155CC"/>
        <sz val="15.0"/>
        <u/>
      </rPr>
      <t>Aleix Espargaró ya tiene nuevo equipo en MotoGP</t>
    </r>
    <r>
      <rPr>
        <rFont val="Arial, sans-serif"/>
        <color rgb="FF1155CC"/>
        <sz val="11.0"/>
        <u/>
      </rPr>
      <t>El catalán ha aceptado un nuevo desafío pese a que anunció hace unos días que se retiraba del Mundial de MotoGP.</t>
    </r>
    <r>
      <rPr>
        <rFont val="Arial, sans-serif"/>
        <color rgb="FF1155CC"/>
        <sz val="12.0"/>
        <u/>
      </rPr>
      <t>.</t>
    </r>
    <r>
      <rPr>
        <rFont val="Arial, sans-serif"/>
        <color rgb="FF1155CC"/>
        <sz val="11.0"/>
        <u/>
      </rPr>
      <t>2 jun 2024</t>
    </r>
  </si>
  <si>
    <t>Estadio Deportivo</t>
  </si>
  <si>
    <t>Aleix Espargaró ya tiene nuevo equipo en MotoGP</t>
  </si>
  <si>
    <t>El catalán ha aceptado un nuevo desafío pese a que anunció hace unos días que se retiraba del Mundial de MotoGP.</t>
  </si>
  <si>
    <t>Aleix Espargaró already has a new team in MotoGP</t>
  </si>
  <si>
    <t>The Catalan has accepted a new challenge despite announcing a few days ago that he was retiring from the MotoGP World Championship.</t>
  </si>
  <si>
    <r>
      <rPr>
        <rFont val="Arial, sans-serif"/>
        <color rgb="FF1155CC"/>
        <sz val="9.0"/>
        <u/>
      </rPr>
      <t>Energías Renovables, el periodismo de las energías limpias.</t>
    </r>
    <r>
      <rPr>
        <rFont val="Arial, sans-serif"/>
        <color rgb="FF1155CC"/>
        <sz val="15.0"/>
        <u/>
      </rPr>
      <t>Repsol y Telefónica "pinchan" en autoconsumo</t>
    </r>
    <r>
      <rPr>
        <rFont val="Arial, sans-serif"/>
        <color rgb="FF1155CC"/>
        <sz val="11.0"/>
        <u/>
      </rPr>
      <t>Solar360, la sociedad conjunta participada al 50% por la petrolera Repsol y por Telefónica -a través de Movistar-, ha encadenado en 2023 su segundo año en...</t>
    </r>
    <r>
      <rPr>
        <rFont val="Arial, sans-serif"/>
        <color rgb="FF1155CC"/>
        <sz val="12.0"/>
        <u/>
      </rPr>
      <t>.</t>
    </r>
    <r>
      <rPr>
        <rFont val="Arial, sans-serif"/>
        <color rgb="FF1155CC"/>
        <sz val="11.0"/>
        <u/>
      </rPr>
      <t>3 jun 2024</t>
    </r>
  </si>
  <si>
    <t>Repsol y Telefónica "pinchan" en autoconsumo</t>
  </si>
  <si>
    <t>Solar360, la sociedad conjunta participada al 50% por la petrolera Repsol y por Telefónica -a través de Movistar-, ha encadenado en 2023 su segundo año en....</t>
  </si>
  <si>
    <t>Repsol and Telefónica "click" on self-consumption</t>
  </si>
  <si>
    <t>Solar360, the joint venture owned 50% by the oil company Repsol and Telefónica -through Movistar-, has entered its second year in 2023....</t>
  </si>
  <si>
    <t>Negative performance</t>
  </si>
  <si>
    <t>Rendimiento negativo</t>
  </si>
  <si>
    <r>
      <rPr>
        <rFont val="Arial, sans-serif"/>
        <color rgb="FF1155CC"/>
        <sz val="9.0"/>
        <u/>
      </rPr>
      <t>Fundación Repsol</t>
    </r>
    <r>
      <rPr>
        <rFont val="Arial, sans-serif"/>
        <color rgb="FF1155CC"/>
        <sz val="15.0"/>
        <u/>
      </rPr>
      <t>Tercera edición de los Premios Zinkers</t>
    </r>
    <r>
      <rPr>
        <rFont val="Arial, sans-serif"/>
        <color rgb="FF1155CC"/>
        <sz val="11.0"/>
        <u/>
      </rPr>
      <t>Fundación Repsol premia las mejores iniciativas de centros de educación de primaria y secundaria para la transición ecológica, el cambio climático y la...</t>
    </r>
    <r>
      <rPr>
        <rFont val="Arial, sans-serif"/>
        <color rgb="FF1155CC"/>
        <sz val="12.0"/>
        <u/>
      </rPr>
      <t>.</t>
    </r>
    <r>
      <rPr>
        <rFont val="Arial, sans-serif"/>
        <color rgb="FF1155CC"/>
        <sz val="11.0"/>
        <u/>
      </rPr>
      <t>3 jun 2024</t>
    </r>
  </si>
  <si>
    <t>Tercera edición de los Premios Zinkers</t>
  </si>
  <si>
    <t>Fundación Repsol premia las mejores iniciativas de centros de educación de primaria y secundaria para la transición ecológica, el cambio climático y la....</t>
  </si>
  <si>
    <t>Third edition of the Zinkers Awards</t>
  </si>
  <si>
    <t>Repsol Foundation rewards the best initiatives of primary and secondary education centers for the ecological transition, climate change and....</t>
  </si>
  <si>
    <t>premios</t>
  </si>
  <si>
    <r>
      <rPr>
        <rFont val="Arial, sans-serif"/>
        <color rgb="FF1155CC"/>
        <sz val="9.0"/>
        <u/>
      </rPr>
      <t>El Economista</t>
    </r>
    <r>
      <rPr>
        <rFont val="Arial, sans-serif"/>
        <color rgb="FF1155CC"/>
        <sz val="15.0"/>
        <u/>
      </rPr>
      <t>Repsol alcanza los ocho millones de usuarios de su plataforma de pagos Waylet</t>
    </r>
    <r>
      <rPr>
        <rFont val="Arial, sans-serif"/>
        <color rgb="FF1155CC"/>
        <sz val="11.0"/>
        <u/>
      </rPr>
      <t>Repsol ha alcanzado los ocho millones de usuarios de su plataforma de pago Waylet. La compañía avanza así en su objetivo de llegar a los 10 millones que ha...</t>
    </r>
    <r>
      <rPr>
        <rFont val="Arial, sans-serif"/>
        <color rgb="FF1155CC"/>
        <sz val="12.0"/>
        <u/>
      </rPr>
      <t>.</t>
    </r>
    <r>
      <rPr>
        <rFont val="Arial, sans-serif"/>
        <color rgb="FF1155CC"/>
        <sz val="11.0"/>
        <u/>
      </rPr>
      <t>3 jun 2024</t>
    </r>
  </si>
  <si>
    <t>Repsol alcanza los ocho millones de usuarios de su plataforma de pagos Waylet</t>
  </si>
  <si>
    <t>Repsol ha alcanzado los ocho millones de usuarios de su plataforma de pago Waylet. La compañía avanza así en su objetivo de llegar a los 10 millones que ha....</t>
  </si>
  <si>
    <t>Repsol reaches eight million users of its Waylet payment platform</t>
  </si>
  <si>
    <t>Repsol has reached eight million users of its Waylet payment platform. The company is thus advancing its goal of reaching the 10 million it has....</t>
  </si>
  <si>
    <t>Repsol digital services, customer engagement</t>
  </si>
  <si>
    <t>Servicios digitales de Repsol, compromiso con el cliente</t>
  </si>
  <si>
    <t>Expanding digital services strengthens Repsol’s consumer loyalty programs.</t>
  </si>
  <si>
    <t>crecimiento usuarios</t>
  </si>
  <si>
    <t>Positive business</t>
  </si>
  <si>
    <t>Negocio positivo</t>
  </si>
  <si>
    <r>
      <rPr>
        <rFont val="Arial, sans-serif"/>
        <color rgb="FF1155CC"/>
        <sz val="9.0"/>
        <u/>
      </rPr>
      <t>Ayuntamiento de Puertollano</t>
    </r>
    <r>
      <rPr>
        <rFont val="Arial, sans-serif"/>
        <color rgb="FF1155CC"/>
        <sz val="15.0"/>
        <u/>
      </rPr>
      <t>Las quemas controladas se extenderán el miércoles a la Variante del Minero, Cerro del Tío Pedrillo y entorno de Repsol</t>
    </r>
    <r>
      <rPr>
        <rFont val="Arial, sans-serif"/>
        <color rgb="FF1155CC"/>
        <sz val="11.0"/>
        <u/>
      </rPr>
      <t>Las quemas prescritas en el entorno urbano-industrial y forestal de Puertollano se realizará el próximo miércoles, 5 de junio, tras el incremento de...</t>
    </r>
    <r>
      <rPr>
        <rFont val="Arial, sans-serif"/>
        <color rgb="FF1155CC"/>
        <sz val="12.0"/>
        <u/>
      </rPr>
      <t>.</t>
    </r>
    <r>
      <rPr>
        <rFont val="Arial, sans-serif"/>
        <color rgb="FF1155CC"/>
        <sz val="11.0"/>
        <u/>
      </rPr>
      <t>3 jun 2024</t>
    </r>
  </si>
  <si>
    <t>Las quemas controladas se extenderán el miércoles a la Variante del Minero, Cerro del Tío Pedrillo y entorno de Repsol</t>
  </si>
  <si>
    <t>Las quemas prescritas en el entorno urbano-industrial y forestal de Puertollano se realizará el próximo miércoles, 5 de junio, tras el incremento de....</t>
  </si>
  <si>
    <t>Controlled burning will be extended on Wednesday to the Minero Bypass, Cerro del Tío Pedrillo and around Repsol</t>
  </si>
  <si>
    <t>Prescribed burning in the urban-industrial and forestry environment of Puertollano will be carried out next Wednesday, June 5, after the increase in...</t>
  </si>
  <si>
    <t>Environmental measures do not impact Repsol directly.</t>
  </si>
  <si>
    <r>
      <rPr>
        <rFont val="Arial, sans-serif"/>
        <color rgb="FF1155CC"/>
        <sz val="9.0"/>
        <u/>
      </rPr>
      <t>Motor1.com España</t>
    </r>
    <r>
      <rPr>
        <rFont val="Arial, sans-serif"/>
        <color rgb="FF1155CC"/>
        <sz val="15.0"/>
        <u/>
      </rPr>
      <t>Recarga gratis para el Nissan Ariya, en los cargadores de Repsol</t>
    </r>
    <r>
      <rPr>
        <rFont val="Arial, sans-serif"/>
        <color rgb="FF1155CC"/>
        <sz val="11.0"/>
        <u/>
      </rPr>
      <t>Carga gratis para el Nissan Ariya, gracias a Repsol. Es la acción más llamativa de la renovación del acuerdo de movilidad eléctrica entre Nissan y Repsol.</t>
    </r>
    <r>
      <rPr>
        <rFont val="Arial, sans-serif"/>
        <color rgb="FF1155CC"/>
        <sz val="12.0"/>
        <u/>
      </rPr>
      <t>.</t>
    </r>
    <r>
      <rPr>
        <rFont val="Arial, sans-serif"/>
        <color rgb="FF1155CC"/>
        <sz val="11.0"/>
        <u/>
      </rPr>
      <t>3 jun 2024</t>
    </r>
  </si>
  <si>
    <t>Motor1.com España</t>
  </si>
  <si>
    <t>Recarga gratis para el Nissan Ariya, en los cargadores de Repsol</t>
  </si>
  <si>
    <t>Carga gratis para el Nissan Ariya, gracias a Repsol. Es la acción más llamativa de la renovación del acuerdo de movilidad eléctrica entre Nissan y Repsol.</t>
  </si>
  <si>
    <t>Free recharge for the Nissan Ariya, at Repsol chargers</t>
  </si>
  <si>
    <t>Free charging for the Nissan Ariya, thanks to Repsol. It is the most striking action of the renewal of the electric mobility agreement between Nissan and Repsol.</t>
  </si>
  <si>
    <t>Expanding electric vehicle incentives aligns with Repsol’s clean energy strategy.</t>
  </si>
  <si>
    <t>recarga gratis</t>
  </si>
  <si>
    <t>Positive promotion</t>
  </si>
  <si>
    <t>Promoción positiva</t>
  </si>
  <si>
    <r>
      <rPr>
        <rFont val="Arial, sans-serif"/>
        <color rgb="FF1155CC"/>
        <sz val="9.0"/>
        <u/>
      </rPr>
      <t>Guía Repsol</t>
    </r>
    <r>
      <rPr>
        <rFont val="Arial, sans-serif"/>
        <color rgb="FF1155CC"/>
        <sz val="15.0"/>
        <u/>
      </rPr>
      <t>Disfruta de un paseo por la Calle Feria en Sevilla</t>
    </r>
    <r>
      <rPr>
        <rFont val="Arial, sans-serif"/>
        <color rgb="FF1155CC"/>
        <sz val="11.0"/>
        <u/>
      </rPr>
      <t>Déjate seducir por esta popular calle del casco histórico sevillano, la cual concentra sus raíces más auténticas al tiempo. Mercados, librerías, vinotecas y...</t>
    </r>
    <r>
      <rPr>
        <rFont val="Arial, sans-serif"/>
        <color rgb="FF1155CC"/>
        <sz val="12.0"/>
        <u/>
      </rPr>
      <t>.</t>
    </r>
    <r>
      <rPr>
        <rFont val="Arial, sans-serif"/>
        <color rgb="FF1155CC"/>
        <sz val="11.0"/>
        <u/>
      </rPr>
      <t>3 jun 2024</t>
    </r>
  </si>
  <si>
    <t>Disfruta de un paseo por la Calle Feria en Sevilla</t>
  </si>
  <si>
    <t>Déjate seducir por esta popular calle del casco histórico sevillano, la cual concentra sus raíces más auténticas al tiempo. Mercados, librerías, vinotecas y....</t>
  </si>
  <si>
    <t>Enjoy a walk along Calle Feria in Seville</t>
  </si>
  <si>
    <t>Let yourself be seduced by this popular street in the historic center of Seville, which concentrates its most authentic roots at the same time. Markets, bookstores, wine bars and...</t>
  </si>
  <si>
    <r>
      <rPr>
        <rFont val="Arial, sans-serif"/>
        <color rgb="FF1155CC"/>
        <sz val="9.0"/>
        <u/>
      </rPr>
      <t>El HuffPost</t>
    </r>
    <r>
      <rPr>
        <rFont val="Arial, sans-serif"/>
        <color rgb="FF1155CC"/>
        <sz val="15.0"/>
        <u/>
      </rPr>
      <t>Dos marcas de aceite de oliva tiran los precios a niveles de 2020</t>
    </r>
    <r>
      <rPr>
        <rFont val="Arial, sans-serif"/>
        <color rgb="FF1155CC"/>
        <sz val="11.0"/>
        <u/>
      </rPr>
      <t>La creciente preocupación por el precio del aceite de oliva, un ingrediente esencial en la cocina española, ha llevado a los consumidores a buscar...</t>
    </r>
    <r>
      <rPr>
        <rFont val="Arial, sans-serif"/>
        <color rgb="FF1155CC"/>
        <sz val="12.0"/>
        <u/>
      </rPr>
      <t>.</t>
    </r>
    <r>
      <rPr>
        <rFont val="Arial, sans-serif"/>
        <color rgb="FF1155CC"/>
        <sz val="11.0"/>
        <u/>
      </rPr>
      <t>3 jun 2024</t>
    </r>
  </si>
  <si>
    <t>Dos marcas de aceite de oliva tiran los precios a niveles de 2020</t>
  </si>
  <si>
    <t>La creciente preocupación por el precio del aceite de oliva, un ingrediente esencial en la cocina española, ha llevado a los consumidores a buscar....</t>
  </si>
  <si>
    <t>Two olive oil brands bring prices down to 2020 levels</t>
  </si>
  <si>
    <t>Growing concern about the price of olive oil, an essential ingredient in Spanish cuisine, has led consumers to look...</t>
  </si>
  <si>
    <r>
      <rPr>
        <rFont val="Arial, sans-serif"/>
        <color rgb="FF1155CC"/>
        <sz val="9.0"/>
        <u/>
      </rPr>
      <t>PuroMarketing</t>
    </r>
    <r>
      <rPr>
        <rFont val="Arial, sans-serif"/>
        <color rgb="FF1155CC"/>
        <sz val="15.0"/>
        <u/>
      </rPr>
      <t>La sostenibilidad impulsa el crecimiento de marcas españolas: Zara, Santander y Mercadona a la cabeza</t>
    </r>
    <r>
      <rPr>
        <rFont val="Arial, sans-serif"/>
        <color rgb="FF1155CC"/>
        <sz val="11.0"/>
        <u/>
      </rPr>
      <t>Las nueve marcas con mayor valor de percepción de sostenibilidad (Santander, Zara, Movistar, BBVA, Mercadona, CaixaBank, Iberdrola, Repsol y El Corte...</t>
    </r>
    <r>
      <rPr>
        <rFont val="Arial, sans-serif"/>
        <color rgb="FF1155CC"/>
        <sz val="12.0"/>
        <u/>
      </rPr>
      <t>.</t>
    </r>
    <r>
      <rPr>
        <rFont val="Arial, sans-serif"/>
        <color rgb="FF1155CC"/>
        <sz val="11.0"/>
        <u/>
      </rPr>
      <t>3 jun 2024</t>
    </r>
  </si>
  <si>
    <t>La sostenibilidad impulsa el crecimiento de marcas españolas: Zara, Santander y Mercadona a la cabeza</t>
  </si>
  <si>
    <t>Las nueve marcas con mayor valor de percepción de sostenibilidad (Santander, Zara, Movistar, BBVA, Mercadona, CaixaBank, Iberdrola, Repsol y El Corte.</t>
  </si>
  <si>
    <t>Sustainability drives the growth of Spanish brands: Zara, Santander and Mercadona at the forefront</t>
  </si>
  <si>
    <t>The nine brands with the highest sustainability perception value (Santander, Zara, Movistar, BBVA, Mercadona, CaixaBank, Iberdrola, Repsol and El Corte.</t>
  </si>
  <si>
    <r>
      <rPr>
        <rFont val="Arial, sans-serif"/>
        <color rgb="FF1155CC"/>
        <sz val="9.0"/>
        <u/>
      </rPr>
      <t>El Periódico de la Energía</t>
    </r>
    <r>
      <rPr>
        <rFont val="Arial, sans-serif"/>
        <color rgb="FF1155CC"/>
        <sz val="15.0"/>
        <u/>
      </rPr>
      <t>Las autoridades japonesas entran en la sede de Toyota por las irregularidades en la certificación de coches</t>
    </r>
    <r>
      <rPr>
        <rFont val="Arial, sans-serif"/>
        <color rgb="FF1155CC"/>
        <sz val="11.0"/>
        <u/>
      </rPr>
      <t>Funcionarios del ministerio japonés de Transportes han entrado en la sede central de Toyota en la prefectura de Aichi (Japón).</t>
    </r>
    <r>
      <rPr>
        <rFont val="Arial, sans-serif"/>
        <color rgb="FF1155CC"/>
        <sz val="12.0"/>
        <u/>
      </rPr>
      <t>.</t>
    </r>
    <r>
      <rPr>
        <rFont val="Arial, sans-serif"/>
        <color rgb="FF1155CC"/>
        <sz val="11.0"/>
        <u/>
      </rPr>
      <t>3 jun 2024</t>
    </r>
  </si>
  <si>
    <t>Las autoridades japonesas entran en la sede de Toyota por las irregularidades en la certificación de coches</t>
  </si>
  <si>
    <t>Funcionarios del ministerio japonés de Transportes han entrado en la sede central de Toyota en la prefectura de Aichi (Japón).</t>
  </si>
  <si>
    <t>Japanese authorities enter Toyota headquarters due to irregularities in car certification</t>
  </si>
  <si>
    <t>Officials from the Japanese Ministry of Transportation have entered the Toyota headquarters in Aichi prefecture (Japan).</t>
  </si>
  <si>
    <r>
      <rPr>
        <rFont val="Arial, sans-serif"/>
        <color rgb="FF1155CC"/>
        <sz val="9.0"/>
        <u/>
      </rPr>
      <t>MotoGP</t>
    </r>
    <r>
      <rPr>
        <rFont val="Arial, sans-serif"/>
        <color rgb="FF1155CC"/>
        <sz val="15.0"/>
        <u/>
      </rPr>
      <t>AL MINUTO: Así vivimos todas las novedades del Test de Mugello</t>
    </r>
    <r>
      <rPr>
        <rFont val="Arial, sans-serif"/>
        <color rgb="FF1155CC"/>
        <sz val="11.0"/>
        <u/>
      </rPr>
      <t>Repasa toda la acción vista en el Autódromo Internacional del Mugello durante la jornada de pruebas post-GP.</t>
    </r>
    <r>
      <rPr>
        <rFont val="Arial, sans-serif"/>
        <color rgb="FF1155CC"/>
        <sz val="12.0"/>
        <u/>
      </rPr>
      <t>.</t>
    </r>
    <r>
      <rPr>
        <rFont val="Arial, sans-serif"/>
        <color rgb="FF1155CC"/>
        <sz val="11.0"/>
        <u/>
      </rPr>
      <t>3 jun 2024</t>
    </r>
  </si>
  <si>
    <t>MotoGP</t>
  </si>
  <si>
    <t>AL MINUTO: Así vivimos todas las novedades del Test de Mugello</t>
  </si>
  <si>
    <t>Repasa toda la acción vista en el Autódromo Internacional del Mugello durante la jornada de pruebas post-GP.</t>
  </si>
  <si>
    <t>TO THE MINUTE: This is how we experience all the news from the Mugello Test</t>
  </si>
  <si>
    <t>Review all the action seen at the Mugello International Circuit during the post-GP test day.</t>
  </si>
  <si>
    <r>
      <rPr>
        <rFont val="Arial, sans-serif"/>
        <color rgb="FF1155CC"/>
        <sz val="9.0"/>
        <u/>
      </rPr>
      <t>Repsol</t>
    </r>
    <r>
      <rPr>
        <rFont val="Arial, sans-serif"/>
        <color rgb="FF1155CC"/>
        <sz val="15.0"/>
        <u/>
      </rPr>
      <t>Wible Repsol: la app de carsharing de Repsol</t>
    </r>
    <r>
      <rPr>
        <rFont val="Arial, sans-serif"/>
        <color rgb="FF1155CC"/>
        <sz val="11.0"/>
        <u/>
      </rPr>
      <t>Circula por Madrid y alrededores en cualquiera de los más de 650 vehículos híbridos enchufables distribuidos por la ciudad. Descargáte la app y empieza a...</t>
    </r>
    <r>
      <rPr>
        <rFont val="Arial, sans-serif"/>
        <color rgb="FF1155CC"/>
        <sz val="12.0"/>
        <u/>
      </rPr>
      <t>.</t>
    </r>
    <r>
      <rPr>
        <rFont val="Arial, sans-serif"/>
        <color rgb="FF1155CC"/>
        <sz val="11.0"/>
        <u/>
      </rPr>
      <t>4 jun 2024</t>
    </r>
  </si>
  <si>
    <t>RepsolWible</t>
  </si>
  <si>
    <t>Repsol: la app de carsharing de Repsol</t>
  </si>
  <si>
    <t>Circula por Madrid y alrededores en cualquiera de los más de 650 vehículos híbridos enchufables distribuidos por la ciudad. Descargáte la app y empieza a....</t>
  </si>
  <si>
    <t>Repsol: Repsol's carsharing app</t>
  </si>
  <si>
    <t>Drive around Madrid and surrounding areas in any of the more than 650 plug-in hybrid vehicles distributed throughout the city. Download the app and start...</t>
  </si>
  <si>
    <t>Repsol electric mobility, business expansion</t>
  </si>
  <si>
    <t>Movilidad eléctrica Repsol, expansión empresarial</t>
  </si>
  <si>
    <t>Expanding electric mobility services aligns with Repsol’s clean energy strategy.</t>
  </si>
  <si>
    <t>Neutral product</t>
  </si>
  <si>
    <t>Producto neutro</t>
  </si>
  <si>
    <r>
      <rPr>
        <rFont val="Arial, sans-serif"/>
        <color rgb="FF1155CC"/>
        <sz val="9.0"/>
        <u/>
      </rPr>
      <t>Repsol</t>
    </r>
    <r>
      <rPr>
        <rFont val="Arial, sans-serif"/>
        <color rgb="FF1155CC"/>
        <sz val="15.0"/>
        <u/>
      </rPr>
      <t>Waylet Repsol app: ventajas para tu día a día</t>
    </r>
    <r>
      <rPr>
        <rFont val="Arial, sans-serif"/>
        <color rgb="FF1155CC"/>
        <sz val="11.0"/>
        <u/>
      </rPr>
      <t>Ahorra y disfruta de los beneficios exclusivos en tu día a día con Waylet, la app de Repsol. Mucho más que una app de pago.</t>
    </r>
    <r>
      <rPr>
        <rFont val="Arial, sans-serif"/>
        <color rgb="FF1155CC"/>
        <sz val="12.0"/>
        <u/>
      </rPr>
      <t>.</t>
    </r>
    <r>
      <rPr>
        <rFont val="Arial, sans-serif"/>
        <color rgb="FF1155CC"/>
        <sz val="11.0"/>
        <u/>
      </rPr>
      <t>4 jun 2024</t>
    </r>
  </si>
  <si>
    <t>Repsol app: ventajas para tu día a día</t>
  </si>
  <si>
    <t>Ahorra y disfruta de los beneficios exclusivos en tu día a día con Waylet, la app de Repsol. Mucho más que una app de pago.</t>
  </si>
  <si>
    <t>Repsol app: advantages for your daily life</t>
  </si>
  <si>
    <t>Save and enjoy the exclusive benefits in your daily life with Waylet, the Repsol app. Much more than a paid app.</t>
  </si>
  <si>
    <t>Repsol digital services, customer incentives</t>
  </si>
  <si>
    <t>Servicios digitales de Repsol, incentivos al cliente</t>
  </si>
  <si>
    <t>Enhancing digital services strengthens Repsol’s consumer engagement.</t>
  </si>
  <si>
    <r>
      <rPr>
        <rFont val="Arial, sans-serif"/>
        <color rgb="FF1155CC"/>
        <sz val="9.0"/>
        <u/>
      </rPr>
      <t>Repsol</t>
    </r>
    <r>
      <rPr>
        <rFont val="Arial, sans-serif"/>
        <color rgb="FF1155CC"/>
        <sz val="15.0"/>
        <u/>
      </rPr>
      <t>Apps de Repsol y herramientas digitales</t>
    </r>
    <r>
      <rPr>
        <rFont val="Arial, sans-serif"/>
        <color rgb="FF1155CC"/>
        <sz val="11.0"/>
        <u/>
      </rPr>
      <t>Descubre nuestros servicios digitales accesibles para ti. Las apps de Repsol y herramientas digitales, pensadas para facilitar tu día a día.</t>
    </r>
    <r>
      <rPr>
        <rFont val="Arial, sans-serif"/>
        <color rgb="FF1155CC"/>
        <sz val="12.0"/>
        <u/>
      </rPr>
      <t>.</t>
    </r>
    <r>
      <rPr>
        <rFont val="Arial, sans-serif"/>
        <color rgb="FF1155CC"/>
        <sz val="11.0"/>
        <u/>
      </rPr>
      <t>4 jun 2024</t>
    </r>
  </si>
  <si>
    <t>Descubre nuestros servicios digitales accesibles para ti.</t>
  </si>
  <si>
    <t>Descubre nuestros servicios digitales accesibles para ti. Las apps de Repsol y herramientas digitales, pensadas para facilitar tu día a día.</t>
  </si>
  <si>
    <t>Discover our digital services accessible to you.</t>
  </si>
  <si>
    <t>Discover our digital services accessible to you. Repsol apps and digital tools, designed to make your daily life easier.</t>
  </si>
  <si>
    <t>Promoting digital tools strengthens Repsol’s customer experience.</t>
  </si>
  <si>
    <r>
      <rPr>
        <rFont val="Arial, sans-serif"/>
        <color rgb="FF1155CC"/>
        <sz val="9.0"/>
        <u/>
      </rPr>
      <t>Repsol</t>
    </r>
    <r>
      <rPr>
        <rFont val="Arial, sans-serif"/>
        <color rgb="FF1155CC"/>
        <sz val="15.0"/>
        <u/>
      </rPr>
      <t>Nuestras soluciones de combustibles de Repsol</t>
    </r>
    <r>
      <rPr>
        <rFont val="Arial, sans-serif"/>
        <color rgb="FF1155CC"/>
        <sz val="11.0"/>
        <u/>
      </rPr>
      <t>Creemos en una energía accesible, disponemos de combustibles para todos los sectores, para particulares y para empresas. Un puesto de repostaje de...</t>
    </r>
    <r>
      <rPr>
        <rFont val="Arial, sans-serif"/>
        <color rgb="FF1155CC"/>
        <sz val="12.0"/>
        <u/>
      </rPr>
      <t>.</t>
    </r>
    <r>
      <rPr>
        <rFont val="Arial, sans-serif"/>
        <color rgb="FF1155CC"/>
        <sz val="11.0"/>
        <u/>
      </rPr>
      <t>4 jun 2024</t>
    </r>
  </si>
  <si>
    <t>Nuestras soluciones de combustibles de Repsol</t>
  </si>
  <si>
    <t>Creemos en una energía accesible, disponemos de combustibles para todos los sectores, para particulares y para empresas. Un puesto de repostaje de....</t>
  </si>
  <si>
    <t>Our Repsol fuel solutions</t>
  </si>
  <si>
    <t>We believe in accessible energy, we have fuels for all sectors, for individuals and companies. A refueling station...</t>
  </si>
  <si>
    <t>Repsol fuel strategy, energy services</t>
  </si>
  <si>
    <t>Estrategia de combustibles de Repsol, servicios energéticos</t>
  </si>
  <si>
    <t>Expanding fuel solutions reinforces Repsol’s market presence.</t>
  </si>
  <si>
    <t>Neutral</t>
  </si>
  <si>
    <r>
      <rPr>
        <rFont val="Arial, sans-serif"/>
        <color rgb="FF1155CC"/>
        <sz val="9.0"/>
        <u/>
      </rPr>
      <t>Repsol</t>
    </r>
    <r>
      <rPr>
        <rFont val="Arial, sans-serif"/>
        <color rgb="FF1155CC"/>
        <sz val="15.0"/>
        <u/>
      </rPr>
      <t>Repsol Vivit app: gestión de tu consumo en el móvil</t>
    </r>
    <r>
      <rPr>
        <rFont val="Arial, sans-serif"/>
        <color rgb="FF1155CC"/>
        <sz val="11.0"/>
        <u/>
      </rPr>
      <t>Con Vivit, la app de Repsol, te ayudará a gestionar tu consumo de luz y gas natural en todo momento y en cualquier lugar desde tu teléfono móvil.</t>
    </r>
    <r>
      <rPr>
        <rFont val="Arial, sans-serif"/>
        <color rgb="FF1155CC"/>
        <sz val="12.0"/>
        <u/>
      </rPr>
      <t>.</t>
    </r>
    <r>
      <rPr>
        <rFont val="Arial, sans-serif"/>
        <color rgb="FF1155CC"/>
        <sz val="11.0"/>
        <u/>
      </rPr>
      <t>4 jun 2024</t>
    </r>
  </si>
  <si>
    <t>Repsol Vivit app: gestión de tu consumo en el móvil</t>
  </si>
  <si>
    <t>Con Vivit, la app de Repsol, te ayudará a gestionar tu consumo de luz y gas natural en todo momento y en cualquier lugar desde tu teléfono móvil.</t>
  </si>
  <si>
    <t>Repsol Vivit app: management of your consumption on your mobile</t>
  </si>
  <si>
    <t>With Vivit, Repsol's app, it will help you manage your electricity and natural gas consumption at all times and anywhere from your mobile phone.</t>
  </si>
  <si>
    <t>Repsol digital services, consumer tools</t>
  </si>
  <si>
    <t>Servicios digitales Repsol, herramientas de consumo</t>
  </si>
  <si>
    <t>Expanding digital solutions supports Repsol’s consumer engagement strategy.</t>
  </si>
  <si>
    <r>
      <rPr>
        <rFont val="Arial, sans-serif"/>
        <color rgb="FF1155CC"/>
        <sz val="9.0"/>
        <u/>
      </rPr>
      <t>Repsol</t>
    </r>
    <r>
      <rPr>
        <rFont val="Arial, sans-serif"/>
        <color rgb="FF1155CC"/>
        <sz val="15.0"/>
        <u/>
      </rPr>
      <t>Conoce las soluciones de movilidad</t>
    </r>
    <r>
      <rPr>
        <rFont val="Arial, sans-serif"/>
        <color rgb="FF1155CC"/>
        <sz val="11.0"/>
        <u/>
      </rPr>
      <t>Conoce las soluciones de movilidad de Repsol. Una amplia gama de ofertas adaptadas a nuestros clientes según sus necesidades.</t>
    </r>
    <r>
      <rPr>
        <rFont val="Arial, sans-serif"/>
        <color rgb="FF1155CC"/>
        <sz val="12.0"/>
        <u/>
      </rPr>
      <t>.</t>
    </r>
    <r>
      <rPr>
        <rFont val="Arial, sans-serif"/>
        <color rgb="FF1155CC"/>
        <sz val="11.0"/>
        <u/>
      </rPr>
      <t>4 jun 2024</t>
    </r>
  </si>
  <si>
    <t>Conoce las soluciones de movilidad</t>
  </si>
  <si>
    <t>Conoce las soluciones de movilidad de Repsol. Una amplia gama de ofertas adaptadas a nuestros clientes según sus necesidades.</t>
  </si>
  <si>
    <t>Learn about mobility solutions</t>
  </si>
  <si>
    <t>Learn about Repsol's mobility solutions. A wide range of offers adapted to our clients according to their needs.</t>
  </si>
  <si>
    <t>Repsol mobility, business expansion</t>
  </si>
  <si>
    <t>Movilidad Repsol, expansión empresarial</t>
  </si>
  <si>
    <t>Strengthening mobility services aligns with Repsol’s strategic growth.</t>
  </si>
  <si>
    <r>
      <rPr>
        <rFont val="Arial, sans-serif"/>
        <color rgb="FF1155CC"/>
        <sz val="9.0"/>
        <u/>
      </rPr>
      <t>Repsol</t>
    </r>
    <r>
      <rPr>
        <rFont val="Arial, sans-serif"/>
        <color rgb="FF1155CC"/>
        <sz val="15.0"/>
        <u/>
      </rPr>
      <t>Buscamos soluciones para hacer posible la movilidad eléctrica</t>
    </r>
    <r>
      <rPr>
        <rFont val="Arial, sans-serif"/>
        <color rgb="FF1155CC"/>
        <sz val="11.0"/>
        <u/>
      </rPr>
      <t>Gracias a la movilidad eléctrica de Repsol, tendrás una solución 100% renovable para recargar tu vehículo eléctrico en una amplia red en todo el territorio...</t>
    </r>
    <r>
      <rPr>
        <rFont val="Arial, sans-serif"/>
        <color rgb="FF1155CC"/>
        <sz val="12.0"/>
        <u/>
      </rPr>
      <t>.</t>
    </r>
    <r>
      <rPr>
        <rFont val="Arial, sans-serif"/>
        <color rgb="FF1155CC"/>
        <sz val="11.0"/>
        <u/>
      </rPr>
      <t>4 jun 2024</t>
    </r>
  </si>
  <si>
    <t>Buscamos soluciones para hacer posible la movilidad eléctrica</t>
  </si>
  <si>
    <t>Gracias a la movilidad eléctrica de Repsol, tendrás una solución 100% renovable para recargar tu vehículo eléctrico en una amplia red en todo el territorio.</t>
  </si>
  <si>
    <t>We look for solutions to make electric mobility possible</t>
  </si>
  <si>
    <t>Thanks to Repsol's electric mobility, you will have a 100% renewable solution to recharge your electric vehicle in a wide network throughout the territory.</t>
  </si>
  <si>
    <t>Investing in electric mobility infrastructure supports Repsol’s green transition.</t>
  </si>
  <si>
    <t>Neutral positive</t>
  </si>
  <si>
    <t>Neutro positivo</t>
  </si>
  <si>
    <r>
      <rPr>
        <rFont val="Arial, sans-serif"/>
        <color rgb="FF1155CC"/>
        <sz val="9.0"/>
        <u/>
      </rPr>
      <t>Repsol</t>
    </r>
    <r>
      <rPr>
        <rFont val="Arial, sans-serif"/>
        <color rgb="FF1155CC"/>
        <sz val="15.0"/>
        <u/>
      </rPr>
      <t>Waylet, la app de referencia en movilidad eléctrica</t>
    </r>
    <r>
      <rPr>
        <rFont val="Arial, sans-serif"/>
        <color rgb="FF1155CC"/>
        <sz val="11.0"/>
        <u/>
      </rPr>
      <t>La app Waylet de Repsol supone una revolución en la movilidad eléctrica. Gracias a esta aplicación, los usuarios de vehículos eléctricos podrán tener acceso...</t>
    </r>
    <r>
      <rPr>
        <rFont val="Arial, sans-serif"/>
        <color rgb="FF1155CC"/>
        <sz val="12.0"/>
        <u/>
      </rPr>
      <t>.</t>
    </r>
    <r>
      <rPr>
        <rFont val="Arial, sans-serif"/>
        <color rgb="FF1155CC"/>
        <sz val="11.0"/>
        <u/>
      </rPr>
      <t>4 jun 2024</t>
    </r>
  </si>
  <si>
    <t>Waylet, la app de referencia en movilidad eléctrica</t>
  </si>
  <si>
    <t>La app Waylet de Repsol supone una revolución en la movilidad eléctrica. Gracias a esta aplicación, los usuarios de vehículos eléctricos podrán tener acceso....</t>
  </si>
  <si>
    <t>Waylet, the reference app in electric mobility</t>
  </si>
  <si>
    <t>Repsol's Waylet app represents a revolution in electric mobility. Thanks to this application, electric vehicle users will be able to have access....</t>
  </si>
  <si>
    <t>Repsol digital services, electric mobility</t>
  </si>
  <si>
    <t>Servicios digitales de Repsol, movilidad eléctrica</t>
  </si>
  <si>
    <t>Strengthening digital mobility services aligns with Repsol’s clean energy efforts.</t>
  </si>
  <si>
    <r>
      <rPr>
        <rFont val="Arial, sans-serif"/>
        <color rgb="FF1155CC"/>
        <sz val="9.0"/>
        <u/>
      </rPr>
      <t>Diariomotor</t>
    </r>
    <r>
      <rPr>
        <rFont val="Arial, sans-serif"/>
        <color rgb="FF1155CC"/>
        <sz val="15.0"/>
        <u/>
      </rPr>
      <t>La campaña de Repsol por la que Iberdrola, entre otras entidades, la acusa de greenwashing por peligro potencial de salud</t>
    </r>
    <r>
      <rPr>
        <rFont val="Arial, sans-serif"/>
        <color rgb="FF1155CC"/>
        <sz val="11.0"/>
        <u/>
      </rPr>
      <t>Desde hace varios meses, la batalla entre Iberdrola y Repsol va más allá de ser compañías del sector de energías. El pasado mes de marzo Iberd.</t>
    </r>
    <r>
      <rPr>
        <rFont val="Arial, sans-serif"/>
        <color rgb="FF1155CC"/>
        <sz val="12.0"/>
        <u/>
      </rPr>
      <t>.</t>
    </r>
    <r>
      <rPr>
        <rFont val="Arial, sans-serif"/>
        <color rgb="FF1155CC"/>
        <sz val="11.0"/>
        <u/>
      </rPr>
      <t>4 jun 2024</t>
    </r>
  </si>
  <si>
    <t>La campaña de Repsol por la que Iberdrola, entre otras entidades, la acusa de greenwashing por peligro potencial de salud</t>
  </si>
  <si>
    <t>La campaña de Repsol por la que Iberdrola, entre otras entidades, la acusa de greenwashing por peligro potencial de salud. Desde hace varios meses, la batalla entre Iberdrola y Repsol va más allá de ser compañías del sector de energías. El pasado mes de marzo Iberd..</t>
  </si>
  <si>
    <t>The Repsol campaign for which Iberdrola, among other entities, accuses it of greenwashing due to potential health dangers</t>
  </si>
  <si>
    <t>Repsol's campaign for which Iberdrola, among other entities, accuses it of greenwashing due to potential health danger. For several months now, the battle between Iberdrola and Repsol has gone beyond being companies in the energy sector. Last March Iberd..</t>
  </si>
  <si>
    <t>Repsol legal dispute, business competition</t>
  </si>
  <si>
    <t>Conflicto judicial Repsol, competencia empresarial</t>
  </si>
  <si>
    <t>Legal disputes over advertising practices may impact Repsol’s public image.</t>
  </si>
  <si>
    <t>Negative environmental claim</t>
  </si>
  <si>
    <t>Reclamación ambiental negativa</t>
  </si>
  <si>
    <r>
      <rPr>
        <rFont val="Arial, sans-serif"/>
        <color rgb="FF1155CC"/>
        <sz val="9.0"/>
        <u/>
      </rPr>
      <t>Guía Repsol</t>
    </r>
    <r>
      <rPr>
        <rFont val="Arial, sans-serif"/>
        <color rgb="FF1155CC"/>
        <sz val="15.0"/>
        <u/>
      </rPr>
      <t>Restaurante 'Muka' (Donostia)</t>
    </r>
    <r>
      <rPr>
        <rFont val="Arial, sans-serif"/>
        <color rgb="FF1155CC"/>
        <sz val="11.0"/>
        <u/>
      </rPr>
      <t>Conoce los secretos de los mejores platos del chef Andoni Luis Aduriz en su restaurante donostiano, Restaurante Muka. Una parrilla que acoge los mejores...</t>
    </r>
    <r>
      <rPr>
        <rFont val="Arial, sans-serif"/>
        <color rgb="FF1155CC"/>
        <sz val="12.0"/>
        <u/>
      </rPr>
      <t>.</t>
    </r>
    <r>
      <rPr>
        <rFont val="Arial, sans-serif"/>
        <color rgb="FF1155CC"/>
        <sz val="11.0"/>
        <u/>
      </rPr>
      <t>4 jun 2024</t>
    </r>
  </si>
  <si>
    <t>Conoce los secretos de los mejores platos del chef Andoni Luis Aduriz en su restaurante donostiano, Restaurante Muka.</t>
  </si>
  <si>
    <t>Conoce los secretos de los mejores platos del chef Andoni Luis Aduriz en su restaurante donostiano, Restaurante Muka. Una parrilla que acoge los mejores....</t>
  </si>
  <si>
    <t>Learn the secrets of chef Andoni Luis Aduriz's best dishes at his San Sebastian restaurant, Restaurante Muka.</t>
  </si>
  <si>
    <t>Learn the secrets of chef Andoni Luis Aduriz's best dishes at his San Sebastian restaurant, Restaurante Muka. A grill that welcomes the best....</t>
  </si>
  <si>
    <r>
      <rPr>
        <rFont val="Arial, sans-serif"/>
        <color rgb="FF1155CC"/>
        <sz val="9.0"/>
        <u/>
      </rPr>
      <t>Guía Repsol</t>
    </r>
    <r>
      <rPr>
        <rFont val="Arial, sans-serif"/>
        <color rgb="FF1155CC"/>
        <sz val="15.0"/>
        <u/>
      </rPr>
      <t>Visita a la fábrica de lana Wool Dreamers</t>
    </r>
    <r>
      <rPr>
        <rFont val="Arial, sans-serif"/>
        <color rgb="FF1155CC"/>
        <sz val="11.0"/>
        <u/>
      </rPr>
      <t>Sobrevive en Mota del Cuervo uno de los tres últimos lavaderos de lana que quedan en España: 'Wool Dreamers'. Lo sustenta la resiliente saga de los Cobo,...</t>
    </r>
    <r>
      <rPr>
        <rFont val="Arial, sans-serif"/>
        <color rgb="FF1155CC"/>
        <sz val="12.0"/>
        <u/>
      </rPr>
      <t>.</t>
    </r>
    <r>
      <rPr>
        <rFont val="Arial, sans-serif"/>
        <color rgb="FF1155CC"/>
        <sz val="11.0"/>
        <u/>
      </rPr>
      <t>4 jun 2024</t>
    </r>
  </si>
  <si>
    <t>Sobrevive en Mota del Cuervo uno de los tres últimos lavaderos de lana que quedan en España: 'Wool Dreamers'.</t>
  </si>
  <si>
    <t>Sobrevive en Mota del Cuervo uno de los tres últimos lavaderos de lana que quedan en España: 'Wool Dreamers'. Lo sustenta la resiliente saga de los Cobo,....</t>
  </si>
  <si>
    <t>One of the last three wool washers left in Spain survives in Mota del Cuervo: 'Wool Dreamers'.</t>
  </si>
  <si>
    <t>One of the last three wool washers left in Spain survives in Mota del Cuervo: 'Wool Dreamers'. It is supported by the resilient saga of the Cobos,....</t>
  </si>
  <si>
    <t>Cultural Heritage</t>
  </si>
  <si>
    <r>
      <rPr>
        <rFont val="Arial, sans-serif"/>
        <color rgb="FF1155CC"/>
        <sz val="9.0"/>
        <u/>
      </rPr>
      <t>El Diario Montañés</t>
    </r>
    <r>
      <rPr>
        <rFont val="Arial, sans-serif"/>
        <color rgb="FF1155CC"/>
        <sz val="15.0"/>
        <u/>
      </rPr>
      <t>El IES José Hierro de San Vicente gana el Premio Zinkers de la Fundación Repsol</t>
    </r>
    <r>
      <rPr>
        <rFont val="Arial, sans-serif"/>
        <color rgb="FF1155CC"/>
        <sz val="11.0"/>
        <u/>
      </rPr>
      <t>El galardón, dotado con 2.500 euros, reconoce las mejores iniciativas de centros de educación en materia de transición energética, cambio climático y...</t>
    </r>
    <r>
      <rPr>
        <rFont val="Arial, sans-serif"/>
        <color rgb="FF1155CC"/>
        <sz val="12.0"/>
        <u/>
      </rPr>
      <t>.</t>
    </r>
    <r>
      <rPr>
        <rFont val="Arial, sans-serif"/>
        <color rgb="FF1155CC"/>
        <sz val="11.0"/>
        <u/>
      </rPr>
      <t>4 jun 2024</t>
    </r>
  </si>
  <si>
    <t>El IES José Hierro de San Vicente gana el Premio Zinkers de la Fundación Repsol</t>
  </si>
  <si>
    <t>El galardón, dotado con 2.500 euros, reconoce las mejores iniciativas de centros de educación en materia de transición energética, cambio climático y....</t>
  </si>
  <si>
    <t>The IES José Hierro de San Vicente wins the Zinkers Prize from the Repsol Foundation</t>
  </si>
  <si>
    <t>The award, worth 2,500 euros, recognizes the best initiatives of education centers in the field of energy transition, climate change and...</t>
  </si>
  <si>
    <t>premio educación</t>
  </si>
  <si>
    <r>
      <rPr>
        <rFont val="Arial, sans-serif"/>
        <color rgb="FF1155CC"/>
        <sz val="9.0"/>
        <u/>
      </rPr>
      <t>El Español</t>
    </r>
    <r>
      <rPr>
        <rFont val="Arial, sans-serif"/>
        <color rgb="FF1155CC"/>
        <sz val="15.0"/>
        <u/>
      </rPr>
      <t>El increíble menú 'nikkei' en Madrid de un restaurante con Sol Repsol: entrantes, plato principal y 5 nigiris por 35€</t>
    </r>
    <r>
      <rPr>
        <rFont val="Arial, sans-serif"/>
        <color rgb="FF1155CC"/>
        <sz val="11.0"/>
        <u/>
      </rPr>
      <t>Luis Arévalo ha creado en Gaman, uno de los restaurantes nikkei más ricos de la capital con un menú especial a un precio increíble.</t>
    </r>
    <r>
      <rPr>
        <rFont val="Arial, sans-serif"/>
        <color rgb="FF1155CC"/>
        <sz val="12.0"/>
        <u/>
      </rPr>
      <t>.</t>
    </r>
    <r>
      <rPr>
        <rFont val="Arial, sans-serif"/>
        <color rgb="FF1155CC"/>
        <sz val="11.0"/>
        <u/>
      </rPr>
      <t>4 jun 2024</t>
    </r>
  </si>
  <si>
    <t>El increíble menú 'nikkei' en Madrid de un restaurante con Sol Repsol: entrantes, plato principal y 5 nigiris por 35€</t>
  </si>
  <si>
    <t>Luis Arévalo ha creado en Gaman, uno de los restaurantes nikkei más ricos de la capital con un menú especial a un precio increíble.</t>
  </si>
  <si>
    <t>The incredible 'nikkei' menu in Madrid from a restaurant with Sol Repsol: starters, main course and 5 nigiris for €35</t>
  </si>
  <si>
    <t>Luis Arévalo has created Gaman, one of the richest Nikkei restaurants in the capital with a special menu at an incredible price.</t>
  </si>
  <si>
    <r>
      <rPr>
        <rFont val="Arial, sans-serif"/>
        <color rgb="FF1155CC"/>
        <sz val="9.0"/>
        <u/>
      </rPr>
      <t>Las2orillas</t>
    </r>
    <r>
      <rPr>
        <rFont val="Arial, sans-serif"/>
        <color rgb="FF1155CC"/>
        <sz val="15.0"/>
        <u/>
      </rPr>
      <t>Ellos son los petroleros españoles que llevan 40 años explorando y sacando crudo en Colombia</t>
    </r>
    <r>
      <rPr>
        <rFont val="Arial, sans-serif"/>
        <color rgb="FF1155CC"/>
        <sz val="11.0"/>
        <u/>
      </rPr>
      <t>Repsol comenzó en Colombia en 1987 y se hizo más grande en Arauca cuando se asoció con Oxy y Ecopetrol en Caño Limón. Su más reciente hallazgo está en el...</t>
    </r>
    <r>
      <rPr>
        <rFont val="Arial, sans-serif"/>
        <color rgb="FF1155CC"/>
        <sz val="12.0"/>
        <u/>
      </rPr>
      <t>.</t>
    </r>
    <r>
      <rPr>
        <rFont val="Arial, sans-serif"/>
        <color rgb="FF1155CC"/>
        <sz val="11.0"/>
        <u/>
      </rPr>
      <t>4 jun 2024</t>
    </r>
  </si>
  <si>
    <t>Las2orillas</t>
  </si>
  <si>
    <t>Ellos son los petroleros españoles que llevan 40 años explorando y sacando crudo en Colombia</t>
  </si>
  <si>
    <t>Repsol comenzó en Colombia en 1987 y se hizo más grande en Arauca cuando se asoció con Oxy y Ecopetrol en Caño Limón. Su más reciente hallazgo está en el....</t>
  </si>
  <si>
    <t>They are the Spanish oil tankers who have been exploring and extracting crude oil in Colombia for 40 years.</t>
  </si>
  <si>
    <t>Repsol started in Colombia in 1987 and became larger in Arauca when it partnered with Oxy and Ecopetrol in Caño Limón. His most recent discovery is in the....</t>
  </si>
  <si>
    <t>Repsol Colombia, energy sector</t>
  </si>
  <si>
    <t>Repsol Colombia, sector energético</t>
  </si>
  <si>
    <t>Strengthening its presence in Colombia reinforces Repsol’s market position.</t>
  </si>
  <si>
    <t>Neutral operations</t>
  </si>
  <si>
    <t>Operaciones neutrales</t>
  </si>
  <si>
    <r>
      <rPr>
        <rFont val="Arial, sans-serif"/>
        <color rgb="FF1155CC"/>
        <sz val="9.0"/>
        <u/>
      </rPr>
      <t>La Tribuna de Automoción</t>
    </r>
    <r>
      <rPr>
        <rFont val="Arial, sans-serif"/>
        <color rgb="FF1155CC"/>
        <sz val="15.0"/>
        <u/>
      </rPr>
      <t>Sesé y Repsol alcanzan el mayor acuerdo de suministro de combustible renovable en España</t>
    </r>
    <r>
      <rPr>
        <rFont val="Arial, sans-serif"/>
        <color rgb="FF1155CC"/>
        <sz val="11.0"/>
        <u/>
      </rPr>
      <t>Sesé y Repsol han firmado un suministro de ocho millones de litros de combustible renovable en España, con el que se estima que haya una reducción de 18.000...</t>
    </r>
    <r>
      <rPr>
        <rFont val="Arial, sans-serif"/>
        <color rgb="FF1155CC"/>
        <sz val="12.0"/>
        <u/>
      </rPr>
      <t>.</t>
    </r>
    <r>
      <rPr>
        <rFont val="Arial, sans-serif"/>
        <color rgb="FF1155CC"/>
        <sz val="11.0"/>
        <u/>
      </rPr>
      <t>5 jun 2024</t>
    </r>
  </si>
  <si>
    <t>La Tribuna de Automoción</t>
  </si>
  <si>
    <t>Sesé y Repsol han firmado un suministro de ocho millones de litros de combustible renovable en España, con el que se estima que haya una reducción de 18.000....</t>
  </si>
  <si>
    <t>Sesé and Repsol have signed a supply of eight million liters of renewable fuel in Spain, which is estimated to result in a reduction of 18,000...</t>
  </si>
  <si>
    <t>Expanding renewable fuel partnerships enhances Repsol’s green transition.</t>
  </si>
  <si>
    <r>
      <rPr>
        <rFont val="Arial, sans-serif"/>
        <color rgb="FF1155CC"/>
        <sz val="9.0"/>
        <u/>
      </rPr>
      <t>El Periódico de la Energía</t>
    </r>
    <r>
      <rPr>
        <rFont val="Arial, sans-serif"/>
        <color rgb="FF1155CC"/>
        <sz val="15.0"/>
        <u/>
      </rPr>
      <t>Gamesa Electric suministrará 245 MW de inversores solares a Repsol para plantas fotovoltaicas</t>
    </r>
    <r>
      <rPr>
        <rFont val="Arial, sans-serif"/>
        <color rgb="FF1155CC"/>
        <sz val="11.0"/>
        <u/>
      </rPr>
      <t>Gamesa Electric ha cerrado un acuerdo con Repsol para suministrar inversores Proteus PV a plantas fotovoltaicas en España.</t>
    </r>
    <r>
      <rPr>
        <rFont val="Arial, sans-serif"/>
        <color rgb="FF1155CC"/>
        <sz val="12.0"/>
        <u/>
      </rPr>
      <t>.</t>
    </r>
    <r>
      <rPr>
        <rFont val="Arial, sans-serif"/>
        <color rgb="FF1155CC"/>
        <sz val="11.0"/>
        <u/>
      </rPr>
      <t>5 jun 2024</t>
    </r>
  </si>
  <si>
    <t>Gamesa Electric suministrará 245 MW de inversores solares a Repsol para plantas fotovoltaicas</t>
  </si>
  <si>
    <t>Gamesa Electric ha cerrado un acuerdo con Repsol para suministrar inversores Proteus PV a plantas fotovoltaicas en España.</t>
  </si>
  <si>
    <t>Gamesa Electric will supply 245 MW of solar inverters to Repsol for photovoltaic plants</t>
  </si>
  <si>
    <t>Gamesa Electric has closed an agreement with Repsol to supply Proteus PV inverters to photovoltaic plants in Spain.</t>
  </si>
  <si>
    <t>Repsol solar energy, renewable energy</t>
  </si>
  <si>
    <t>Repsol energía solar, energías renovables</t>
  </si>
  <si>
    <t>Increasing solar capacity strengthens Repsol’s commitment to clean energy.</t>
  </si>
  <si>
    <t>energía solar</t>
  </si>
  <si>
    <t>Positive renewables</t>
  </si>
  <si>
    <t>Renovables positivas</t>
  </si>
  <si>
    <r>
      <rPr>
        <rFont val="Arial, sans-serif"/>
        <color rgb="FF1155CC"/>
        <sz val="9.0"/>
        <u/>
      </rPr>
      <t>Ideal</t>
    </r>
    <r>
      <rPr>
        <rFont val="Arial, sans-serif"/>
        <color rgb="FF1155CC"/>
        <sz val="15.0"/>
        <u/>
      </rPr>
      <t>Estos chiringuitos son los mejores de Andalucía para el verano según Repsol</t>
    </r>
    <r>
      <rPr>
        <rFont val="Arial, sans-serif"/>
        <color rgb="FF1155CC"/>
        <sz val="11.0"/>
        <u/>
      </rPr>
      <t>La comunidad cuenta con una sesentena de negocios premiados con un 'solete'</t>
    </r>
    <r>
      <rPr>
        <rFont val="Arial, sans-serif"/>
        <color rgb="FF1155CC"/>
        <sz val="12.0"/>
        <u/>
      </rPr>
      <t>.</t>
    </r>
    <r>
      <rPr>
        <rFont val="Arial, sans-serif"/>
        <color rgb="FF1155CC"/>
        <sz val="11.0"/>
        <u/>
      </rPr>
      <t>5 jun 2024</t>
    </r>
  </si>
  <si>
    <t>Ideal</t>
  </si>
  <si>
    <t>Estos chiringuitos son los mejores de Andalucía para el verano según Repsol.</t>
  </si>
  <si>
    <t>La comunidad cuenta con una sesentena de negocios premiados con un 'solete'.</t>
  </si>
  <si>
    <t>These beach bars are the best in Andalusia for the summer according to Repsol.</t>
  </si>
  <si>
    <t>The community has around sixty businesses awarded with a 'solete'.</t>
  </si>
  <si>
    <r>
      <rPr>
        <rFont val="Arial, sans-serif"/>
        <color rgb="FF1155CC"/>
        <sz val="9.0"/>
        <u/>
      </rPr>
      <t>Madrid Secreto</t>
    </r>
    <r>
      <rPr>
        <rFont val="Arial, sans-serif"/>
        <color rgb="FF1155CC"/>
        <sz val="15.0"/>
        <u/>
      </rPr>
      <t>Which restaurants in Madrid have a new Repsol star?</t>
    </r>
    <r>
      <rPr>
        <rFont val="Arial, sans-serif"/>
        <color rgb="FF1155CC"/>
        <sz val="11.0"/>
        <u/>
      </rPr>
      <t>The Repsol Guide has awarded this afternoon some new restaurants with the highest award of the guide.</t>
    </r>
    <r>
      <rPr>
        <rFont val="Arial, sans-serif"/>
        <color rgb="FF1155CC"/>
        <sz val="12.0"/>
        <u/>
      </rPr>
      <t>.</t>
    </r>
    <r>
      <rPr>
        <rFont val="Arial, sans-serif"/>
        <color rgb="FF1155CC"/>
        <sz val="11.0"/>
        <u/>
      </rPr>
      <t>5 jun 2024</t>
    </r>
  </si>
  <si>
    <t>The Repsol Guide has awarded this afternoon some new restaurants with the highest award of the guide.</t>
  </si>
  <si>
    <r>
      <rPr>
        <rFont val="Arial, sans-serif"/>
        <color rgb="FF1155CC"/>
        <sz val="9.0"/>
        <u/>
      </rPr>
      <t>Estrategias de Inversión</t>
    </r>
    <r>
      <rPr>
        <rFont val="Arial, sans-serif"/>
        <color rgb="FF1155CC"/>
        <sz val="15.0"/>
        <u/>
      </rPr>
      <t>Respondemos a sus preguntas sobre Telefónica, Repsol, ACS, Colonial y Tesla</t>
    </r>
    <r>
      <rPr>
        <rFont val="Arial, sans-serif"/>
        <color rgb="FF1155CC"/>
        <sz val="11.0"/>
        <u/>
      </rPr>
      <t>El especialista en mercados de BBVA Trader, Ángel Cotera destaca su optimismo sobre valores como Telefónica frente a Repsol, en el que indica incertidumbre,...</t>
    </r>
    <r>
      <rPr>
        <rFont val="Arial, sans-serif"/>
        <color rgb="FF1155CC"/>
        <sz val="12.0"/>
        <u/>
      </rPr>
      <t>.</t>
    </r>
    <r>
      <rPr>
        <rFont val="Arial, sans-serif"/>
        <color rgb="FF1155CC"/>
        <sz val="11.0"/>
        <u/>
      </rPr>
      <t>5 jun 2024</t>
    </r>
  </si>
  <si>
    <t>Respondemos a sus preguntas sobre Telefónica, Repsol, ACS, Colonial y Tesla</t>
  </si>
  <si>
    <t>El especialista en mercados de BBVA Trader, Ángel Cotera destaca su optimismo sobre valores como Telefónica frente a Repsol, en el que indica incertidumbre,....</t>
  </si>
  <si>
    <t>We answer your questions about Telefónica, Repsol, ACS, Colonial and Tesla</t>
  </si>
  <si>
    <t>BBVA Trader's market specialist, Ángel Cotera, highlights his optimism about values ​​such as Telefónica versus Repsol, in which he indicates uncertainty,...</t>
  </si>
  <si>
    <r>
      <rPr>
        <rFont val="Arial, sans-serif"/>
        <color rgb="FF1155CC"/>
        <sz val="9.0"/>
        <u/>
      </rPr>
      <t>Todocircuito.com</t>
    </r>
    <r>
      <rPr>
        <rFont val="Arial, sans-serif"/>
        <color rgb="FF1155CC"/>
        <sz val="15.0"/>
        <u/>
      </rPr>
      <t>"Repsol está muy quemada con los resultados de Honda", desvela Crivillé</t>
    </r>
    <r>
      <rPr>
        <rFont val="Arial, sans-serif"/>
        <color rgb="FF1155CC"/>
        <sz val="11.0"/>
        <u/>
      </rPr>
      <t>Lo que empezó como una gran historia de amor en 1995 está destinada acabar esta temporada. Aunque todavía no es oficial, diversas voces del paddock de...</t>
    </r>
    <r>
      <rPr>
        <rFont val="Arial, sans-serif"/>
        <color rgb="FF1155CC"/>
        <sz val="12.0"/>
        <u/>
      </rPr>
      <t>.</t>
    </r>
    <r>
      <rPr>
        <rFont val="Arial, sans-serif"/>
        <color rgb="FF1155CC"/>
        <sz val="11.0"/>
        <u/>
      </rPr>
      <t>5 jun 2024</t>
    </r>
  </si>
  <si>
    <t>Repsol está muy quemada con los resultados de Honda, desvela Crivillé</t>
  </si>
  <si>
    <t>Lo que empezó como una gran historia de amor en 1995 está destinada acabar esta temporada. Aunque todavía no es oficial, diversas voces del paddock de....</t>
  </si>
  <si>
    <t>Repsol is very burned with Honda's results, Crivillé reveals</t>
  </si>
  <si>
    <t>What began as a great love story in 1995 is destined to end this season. Although it is not yet official, various voices from the paddock of...</t>
  </si>
  <si>
    <t>Repsol MotoGP, sponsorship concerns</t>
  </si>
  <si>
    <t>Repsol MotoGP, preocupaciones por el patrocinio</t>
  </si>
  <si>
    <t>Poor performance from Honda may impact Repsol’s sponsorship value.</t>
  </si>
  <si>
    <t>Negative sports</t>
  </si>
  <si>
    <t>deportes negativos</t>
  </si>
  <si>
    <r>
      <rPr>
        <rFont val="Arial, sans-serif"/>
        <color rgb="FF1155CC"/>
        <sz val="9.0"/>
        <u/>
      </rPr>
      <t>El Independiente</t>
    </r>
    <r>
      <rPr>
        <rFont val="Arial, sans-serif"/>
        <color rgb="FF1155CC"/>
        <sz val="15.0"/>
        <u/>
      </rPr>
      <t>Naturgy se una la guerra iniciada por Iberdrola y Repsol bajando el precio de gas y luz a miles de clientes</t>
    </r>
    <r>
      <rPr>
        <rFont val="Arial, sans-serif"/>
        <color rgb="FF1155CC"/>
        <sz val="11.0"/>
        <u/>
      </rPr>
      <t>Iberdrola inició la guerra de precios hace escasas semanas al bajar los precios de sus tarifas eléctricas. Con el precio del megavatio a la baja en los.</t>
    </r>
    <r>
      <rPr>
        <rFont val="Arial, sans-serif"/>
        <color rgb="FF1155CC"/>
        <sz val="12.0"/>
        <u/>
      </rPr>
      <t>.</t>
    </r>
    <r>
      <rPr>
        <rFont val="Arial, sans-serif"/>
        <color rgb="FF1155CC"/>
        <sz val="11.0"/>
        <u/>
      </rPr>
      <t>5 jun 2024</t>
    </r>
  </si>
  <si>
    <t>Naturgy se una la guerra iniciada por Iberdrola y Repsol bajando el precio de gas y luz a miles de clientes</t>
  </si>
  <si>
    <t>Iberdrola inició la guerra de precios hace escasas semanas al bajar los precios de sus tarifas eléctricas. Con el precio del megavatio a la baja en los..</t>
  </si>
  <si>
    <t>Naturgy joins the war started by Iberdrola and Repsol by lowering the price of gas and electricity for thousands of customers</t>
  </si>
  <si>
    <t>Iberdrola started the price war a few weeks ago by lowering the prices of its electricity rates. With the price of a megawatt falling in the...</t>
  </si>
  <si>
    <t>Repsol electricity market, business competition</t>
  </si>
  <si>
    <t>Mercado eléctrico de Repsol, competencia empresarial</t>
  </si>
  <si>
    <t>Increased price competition in electricity may affect Repsol’s profit margins.</t>
  </si>
  <si>
    <t>Competencia</t>
  </si>
  <si>
    <r>
      <rPr>
        <rFont val="Arial, sans-serif"/>
        <color rgb="FF1155CC"/>
        <sz val="9.0"/>
        <u/>
      </rPr>
      <t>Navarra.com</t>
    </r>
    <r>
      <rPr>
        <rFont val="Arial, sans-serif"/>
        <color rgb="FF1155CC"/>
        <sz val="15.0"/>
        <u/>
      </rPr>
      <t>El restaurante de Pamplona que estrena las prestigiosas recomendaciones de Michelín y Repsol</t>
    </r>
    <r>
      <rPr>
        <rFont val="Arial, sans-serif"/>
        <color rgb="FF1155CC"/>
        <sz val="11.0"/>
        <u/>
      </rPr>
      <t>Se trata de distinciones que se conceden exclusivamente a establecimientos de hostelería seleccionados por su calidad.</t>
    </r>
    <r>
      <rPr>
        <rFont val="Arial, sans-serif"/>
        <color rgb="FF1155CC"/>
        <sz val="12.0"/>
        <u/>
      </rPr>
      <t>.</t>
    </r>
    <r>
      <rPr>
        <rFont val="Arial, sans-serif"/>
        <color rgb="FF1155CC"/>
        <sz val="11.0"/>
        <u/>
      </rPr>
      <t>5 jun 2024</t>
    </r>
  </si>
  <si>
    <t>Navarra.com</t>
  </si>
  <si>
    <t>El restaurante de Pamplona que estrena las prestigiosas recomendaciones de Michelín y Repsol</t>
  </si>
  <si>
    <t>Se trata de distinciones que se conceden exclusivamente a establecimientos de hostelería seleccionados por su calidad.</t>
  </si>
  <si>
    <t>The restaurant in Pamplona that debuts the prestigious recommendations from Michelin and Repsol</t>
  </si>
  <si>
    <t>These are distinctions that are awarded exclusively to hospitality establishments selected for their quality.</t>
  </si>
  <si>
    <r>
      <rPr>
        <rFont val="Arial, sans-serif"/>
        <color rgb="FF1155CC"/>
        <sz val="9.0"/>
        <u/>
      </rPr>
      <t>La Razón</t>
    </r>
    <r>
      <rPr>
        <rFont val="Arial, sans-serif"/>
        <color rgb="FF1155CC"/>
        <sz val="15.0"/>
        <u/>
      </rPr>
      <t>Una marquesina inteligente de autobús para la España vaciada</t>
    </r>
    <r>
      <rPr>
        <rFont val="Arial, sans-serif"/>
        <color rgb="FF1155CC"/>
        <sz val="11.0"/>
        <u/>
      </rPr>
      <t>Cuatro jóvenes estudiantes de la Universidad de Zaragoza se llevan el premio “Transición ecológica y sociedad” en el Challenge Universitario de la Fundación...</t>
    </r>
    <r>
      <rPr>
        <rFont val="Arial, sans-serif"/>
        <color rgb="FF1155CC"/>
        <sz val="12.0"/>
        <u/>
      </rPr>
      <t>.</t>
    </r>
    <r>
      <rPr>
        <rFont val="Arial, sans-serif"/>
        <color rgb="FF1155CC"/>
        <sz val="11.0"/>
        <u/>
      </rPr>
      <t>5 jun 2024</t>
    </r>
  </si>
  <si>
    <t>Una marquesina inteligente de autobús para la España vaciada</t>
  </si>
  <si>
    <t>Cuatro jóvenes estudiantes de la Universidad de Zaragoza se llevan el premio “Transición ecológica y sociedad” en el Challenge Universitario de la Fundación....</t>
  </si>
  <si>
    <t>A smart bus shelter for emptied Spain</t>
  </si>
  <si>
    <t>Four young students from the University of Zaragoza win the “Ecological transition and society” award in the Foundation's University Challenge....</t>
  </si>
  <si>
    <r>
      <rPr>
        <rFont val="Arial, sans-serif"/>
        <color rgb="FF1155CC"/>
        <sz val="9.0"/>
        <u/>
      </rPr>
      <t>DAZN</t>
    </r>
    <r>
      <rPr>
        <rFont val="Arial, sans-serif"/>
        <color rgb="FF1155CC"/>
        <sz val="15.0"/>
        <u/>
      </rPr>
      <t>¿Cuánto cobra Marc Márquez en Gresini Racing y cuál era su salario en Honda?</t>
    </r>
    <r>
      <rPr>
        <rFont val="Arial, sans-serif"/>
        <color rgb="FF1155CC"/>
        <sz val="11.0"/>
        <u/>
      </rPr>
      <t>Marc Márquez se marcha del Repsol Honda rumbo a Gresini Racing. En DAZN te contamos todos los detalles del fichaje del octacampeón por el equipo italiano.</t>
    </r>
    <r>
      <rPr>
        <rFont val="Arial, sans-serif"/>
        <color rgb="FF1155CC"/>
        <sz val="12.0"/>
        <u/>
      </rPr>
      <t>.</t>
    </r>
    <r>
      <rPr>
        <rFont val="Arial, sans-serif"/>
        <color rgb="FF1155CC"/>
        <sz val="11.0"/>
        <u/>
      </rPr>
      <t>5 jun 2024</t>
    </r>
  </si>
  <si>
    <t>¿Cuánto cobra Marc Márquez en Gresini Racing y cuál era su salario en Honda?</t>
  </si>
  <si>
    <t>How much does Marc Márquez earn at Gresini Racing and what was his salary at Honda?</t>
  </si>
  <si>
    <r>
      <rPr>
        <rFont val="Arial, sans-serif"/>
        <color rgb="FF1155CC"/>
        <sz val="9.0"/>
        <u/>
      </rPr>
      <t>Autopos</t>
    </r>
    <r>
      <rPr>
        <rFont val="Arial, sans-serif"/>
        <color rgb="FF1155CC"/>
        <sz val="15.0"/>
        <u/>
      </rPr>
      <t>Los motores de combustión son (también) el futuro</t>
    </r>
    <r>
      <rPr>
        <color rgb="FF1155CC"/>
        <sz val="11.0"/>
        <u/>
      </rPr>
      <t>En una situación de tanta incertidumbre respecto a los motores que propulsarán los automóviles a partir de 2035 -es el año fijado para conseguir las cero.</t>
    </r>
    <r>
      <rPr>
        <color rgb="FF1155CC"/>
        <u/>
      </rPr>
      <t>.</t>
    </r>
    <r>
      <rPr>
        <color rgb="FF1155CC"/>
        <sz val="11.0"/>
        <u/>
      </rPr>
      <t>5 jun 2024</t>
    </r>
  </si>
  <si>
    <t>Autopos</t>
  </si>
  <si>
    <t>Los motores de combustión son (también) el futuro</t>
  </si>
  <si>
    <t>Los motores de combustión son (también) el futuro En una situación de tanta incertidumbre respecto a los motores que propulsarán los automóviles a partir de 2035 -es el año fijado para conseguir las cero..</t>
  </si>
  <si>
    <t>Combustion engines are (also) the future</t>
  </si>
  <si>
    <t>Combustion engines are (also) the future In a situation of so much uncertainty regarding the engines that will power cars from 2035 - it is the year set to achieve zero...</t>
  </si>
  <si>
    <r>
      <rPr>
        <rFont val="Arial, sans-serif"/>
        <color rgb="FF1155CC"/>
        <sz val="9.0"/>
        <u/>
      </rPr>
      <t>Cinco Días</t>
    </r>
    <r>
      <rPr>
        <rFont val="Arial, sans-serif"/>
        <color rgb="FF1155CC"/>
        <sz val="15.0"/>
        <u/>
      </rPr>
      <t>El fondo de Suma Capital y Repsol capta 125 millones para invertir en ‘startups’ de energía</t>
    </r>
    <r>
      <rPr>
        <rFont val="Arial, sans-serif"/>
        <color rgb="FF1155CC"/>
        <sz val="11.0"/>
        <u/>
      </rPr>
      <t>SC Net Zero Ventures, el fondo de inversión capital-riesgo gestionado por Suma Capital en alianza estratégica con Repsol como inversor ancla, ha completado...</t>
    </r>
    <r>
      <rPr>
        <rFont val="Arial, sans-serif"/>
        <color rgb="FF1155CC"/>
        <sz val="12.0"/>
        <u/>
      </rPr>
      <t>.</t>
    </r>
    <r>
      <rPr>
        <rFont val="Arial, sans-serif"/>
        <color rgb="FF1155CC"/>
        <sz val="11.0"/>
        <u/>
      </rPr>
      <t>6 jun 2024</t>
    </r>
  </si>
  <si>
    <t>El fondo de Suma Capital y Repsol capta 125 millones para invertir en ‘startups’ de energía</t>
  </si>
  <si>
    <t>SC Net Zero Ventures, el fondo de inversión capital-riesgo gestionado por Suma Capital en alianza estratégica con Repsol como inversor ancla, ha completado....</t>
  </si>
  <si>
    <t>The Suma Capital and Repsol fund raises 125 million to invest in energy startups</t>
  </si>
  <si>
    <t>SC Net Zero Ventures, the venture capital investment fund managed by Suma Capital in strategic alliance with Repsol as anchor investor, has completed...</t>
  </si>
  <si>
    <t>Repsol sustainability fund, green investments</t>
  </si>
  <si>
    <t>Fondo Repsol de Sostenibilidad, inversiones verdes</t>
  </si>
  <si>
    <t>Raising funds for sustainable projects strengthens Repsol’s environmental strategy.</t>
  </si>
  <si>
    <t>inversión startups</t>
  </si>
  <si>
    <t>Positive investment</t>
  </si>
  <si>
    <t>Inversión positiva</t>
  </si>
  <si>
    <r>
      <rPr>
        <rFont val="Arial, sans-serif"/>
        <color rgb="FF1155CC"/>
        <sz val="9.0"/>
        <u/>
      </rPr>
      <t>El Confidencial</t>
    </r>
    <r>
      <rPr>
        <rFont val="Arial, sans-serif"/>
        <color rgb="FF1155CC"/>
        <sz val="15.0"/>
        <u/>
      </rPr>
      <t>El fondo SC Net Zero Ventures, con Repsol como inversor ancla, levanta 125 millones</t>
    </r>
    <r>
      <rPr>
        <rFont val="Arial, sans-serif"/>
        <color rgb="FF1155CC"/>
        <sz val="11.0"/>
        <u/>
      </rPr>
      <t>El vehículo, en el que la compañía presidida por Antonio Brufau aporta 50 millones, aborda dos desafíos: la reducción de emisiones de CO2 y la disminución o...</t>
    </r>
    <r>
      <rPr>
        <rFont val="Arial, sans-serif"/>
        <color rgb="FF1155CC"/>
        <sz val="12.0"/>
        <u/>
      </rPr>
      <t>.</t>
    </r>
    <r>
      <rPr>
        <rFont val="Arial, sans-serif"/>
        <color rgb="FF1155CC"/>
        <sz val="11.0"/>
        <u/>
      </rPr>
      <t>6 jun 2024</t>
    </r>
  </si>
  <si>
    <t>El fondo SC Net Zero Ventures, con Repsol como inversor ancla, levanta 125 millones</t>
  </si>
  <si>
    <t>El fondo SC Net Zero Ventures, con Repsol como inversor ancla, levanta 125 millones. El vehículo aborda dos desafíos: la reducción de emisiones de CO2 y la disminución o....</t>
  </si>
  <si>
    <t>The SC Net Zero Ventures fund, with Repsol as anchor investor, raises 125 million</t>
  </si>
  <si>
    <t>The SC Net Zero Ventures fund, with Repsol as anchor investor, raises 125 million. The vehicle addresses two challenges: the reduction of CO2 emissions and the reduction or...</t>
  </si>
  <si>
    <t>Repsol sustainability fund, business investment</t>
  </si>
  <si>
    <t>Fondo Repsol de Sostenibilidad, inversión empresarial</t>
  </si>
  <si>
    <t>Increasing sustainability investments aligns with Repsol’s green energy transition.</t>
  </si>
  <si>
    <t>inversión verde</t>
  </si>
  <si>
    <r>
      <rPr>
        <rFont val="Arial, sans-serif"/>
        <color rgb="FF1155CC"/>
        <sz val="9.0"/>
        <u/>
      </rPr>
      <t>infoperiodistas</t>
    </r>
    <r>
      <rPr>
        <rFont val="Arial, sans-serif"/>
        <color rgb="FF1155CC"/>
        <sz val="15.0"/>
        <u/>
      </rPr>
      <t>Sánchez-Galán dispara desde Iberdrola a Repsol</t>
    </r>
    <r>
      <rPr>
        <rFont val="Arial, sans-serif"/>
        <color rgb="FF1155CC"/>
        <sz val="11.0"/>
        <u/>
      </rPr>
      <t>Ignacio Sánchez-Galán se dispara al criticar a Repsol por publicidad engañosa. Descubre la polémica entre Iberdrola y Repsol.</t>
    </r>
    <r>
      <rPr>
        <rFont val="Arial, sans-serif"/>
        <color rgb="FF1155CC"/>
        <sz val="12.0"/>
        <u/>
      </rPr>
      <t>.</t>
    </r>
    <r>
      <rPr>
        <rFont val="Arial, sans-serif"/>
        <color rgb="FF1155CC"/>
        <sz val="11.0"/>
        <u/>
      </rPr>
      <t>6 jun 2024</t>
    </r>
  </si>
  <si>
    <t>infoperiodistas</t>
  </si>
  <si>
    <t>Sánchez-Galán dispara desde Iberdrola a Repsol</t>
  </si>
  <si>
    <t>Ignacio Sánchez-Galán se dispara al criticar a Repsol por publicidad engañosa. Descubre la polémica entre Iberdrola y Repsol.</t>
  </si>
  <si>
    <t>Sánchez-Galán fires from Iberdrola at Repsol</t>
  </si>
  <si>
    <t>Ignacio Sánchez-Galán shoots himself when he criticizes Repsol for misleading advertising. Discover the controversy between Iberdrola and Repsol.</t>
  </si>
  <si>
    <t>Repsol energy market, business dispute</t>
  </si>
  <si>
    <t>Mercado energético Repsol, disputa empresarial</t>
  </si>
  <si>
    <t>Business conflicts with Iberdrola may affect Repsol’s public image.</t>
  </si>
  <si>
    <t>Negative competition</t>
  </si>
  <si>
    <t>Competencia negativa</t>
  </si>
  <si>
    <r>
      <rPr>
        <rFont val="Arial, sans-serif"/>
        <color rgb="FF1155CC"/>
        <sz val="9.0"/>
        <u/>
      </rPr>
      <t>Legal Sport</t>
    </r>
    <r>
      <rPr>
        <rFont val="Arial, sans-serif"/>
        <color rgb="FF1155CC"/>
        <sz val="15.0"/>
        <u/>
      </rPr>
      <t>El incierto futuro de Honda en MotoGP: sin Repsol… ni resultados</t>
    </r>
    <r>
      <rPr>
        <rFont val="Arial, sans-serif"/>
        <color rgb="FF1155CC"/>
        <sz val="11.0"/>
        <u/>
      </rPr>
      <t>Honda, inmersa en una crisis deportiva en MotoGP, ha roto su vínculo con Repsol tras tres décadas en las que cosecharon 15 títulos, 183 victorias y 455...</t>
    </r>
    <r>
      <rPr>
        <rFont val="Arial, sans-serif"/>
        <color rgb="FF1155CC"/>
        <sz val="12.0"/>
        <u/>
      </rPr>
      <t>.</t>
    </r>
    <r>
      <rPr>
        <rFont val="Arial, sans-serif"/>
        <color rgb="FF1155CC"/>
        <sz val="11.0"/>
        <u/>
      </rPr>
      <t>6 jun 2024</t>
    </r>
  </si>
  <si>
    <t>Legal Sport</t>
  </si>
  <si>
    <t>El incierto futuro de Honda en MotoGP: sin Repsol… ni resultados</t>
  </si>
  <si>
    <t>Honda, inmersa en una crisis deportiva en MotoGP, ha roto su vínculo con Repsol tras tres décadas en las que cosecharon 15 títulos, 183 victorias y 455.</t>
  </si>
  <si>
    <t>Honda's uncertain future in MotoGP: without Repsol... or results</t>
  </si>
  <si>
    <t>Honda, immersed in a sporting crisis in MotoGP, has broken its relationship with Repsol after three decades in which they won 15 titles, 183 victories and 455.</t>
  </si>
  <si>
    <t>Ending a historic partnership may impact Repsol’s brand recognition in MotoGP.</t>
  </si>
  <si>
    <r>
      <rPr>
        <rFont val="Arial, sans-serif"/>
        <color rgb="FF1155CC"/>
        <sz val="9.0"/>
        <u/>
      </rPr>
      <t>Guía Repsol</t>
    </r>
    <r>
      <rPr>
        <rFont val="Arial, sans-serif"/>
        <color rgb="FF1155CC"/>
        <sz val="15.0"/>
        <u/>
      </rPr>
      <t>Un thriller pasiego en la Cantabria más rural</t>
    </r>
    <r>
      <rPr>
        <rFont val="Arial, sans-serif"/>
        <color rgb="FF1155CC"/>
        <sz val="11.0"/>
        <u/>
      </rPr>
      <t>Cómo puede ser que se encuentre el cadáver de una mujer que ya estaba enterrada? Es el misterio que rodea Segunda muerte, nueva serie para Movistar Plus+ .</t>
    </r>
    <r>
      <rPr>
        <rFont val="Arial, sans-serif"/>
        <color rgb="FF1155CC"/>
        <sz val="12.0"/>
        <u/>
      </rPr>
      <t>.</t>
    </r>
    <r>
      <rPr>
        <rFont val="Arial, sans-serif"/>
        <color rgb="FF1155CC"/>
        <sz val="11.0"/>
        <u/>
      </rPr>
      <t>6 jun 2024</t>
    </r>
  </si>
  <si>
    <t>Un thriller pasiego en la Cantabria más rural</t>
  </si>
  <si>
    <t>Cómo puede ser que se encuentre el cadáver de una mujer que ya estaba enterrada? Es el misterio que rodea Segunda muerte, nueva serie para Movistar Plus+.</t>
  </si>
  <si>
    <t>A thriller in the most rural Cantabria</t>
  </si>
  <si>
    <t>How can the body of a woman who was already buried be found? It is the mystery that surrounds Second Death, a new series for Movistar Plus+.</t>
  </si>
  <si>
    <t>Literature</t>
  </si>
  <si>
    <r>
      <rPr>
        <rFont val="Arial, sans-serif"/>
        <color rgb="FF1155CC"/>
        <sz val="9.0"/>
        <u/>
      </rPr>
      <t>20Minutos</t>
    </r>
    <r>
      <rPr>
        <rFont val="Arial, sans-serif"/>
        <color rgb="FF1155CC"/>
        <sz val="15.0"/>
        <u/>
      </rPr>
      <t>Marc Márquez ficha por Ducati: el dinero que ha ganado en Moto GP y sus negocios fuera de las pistas</t>
    </r>
    <r>
      <rPr>
        <rFont val="Arial, sans-serif"/>
        <color rgb="FF1155CC"/>
        <sz val="11.0"/>
        <u/>
      </rPr>
      <t>El piloto catalán, que ha firmado con Ducati para 2025 y 2026, es seis veces campeón del mundo y en 2018 se convirtió en el mejor pagado de la parrilla en...</t>
    </r>
    <r>
      <rPr>
        <rFont val="Arial, sans-serif"/>
        <color rgb="FF1155CC"/>
        <sz val="12.0"/>
        <u/>
      </rPr>
      <t>.</t>
    </r>
    <r>
      <rPr>
        <rFont val="Arial, sans-serif"/>
        <color rgb="FF1155CC"/>
        <sz val="11.0"/>
        <u/>
      </rPr>
      <t>6 jun 2024</t>
    </r>
  </si>
  <si>
    <t>Marc Márquez ficha por Ducati: el dinero que ha ganado en Moto GP y sus negocios fuera de las pistas</t>
  </si>
  <si>
    <t>el dinero que ha ganado en Moto GP y sus negocios fuera de las pistas. El piloto catalán, que ha firmado con Ducati para 2025 y 2026, es seis veces campeón del mundo y en 2018 se convirtió en el mejor pagado de la parrilla en....</t>
  </si>
  <si>
    <t>Marc Márquez signs for Ducati: the money he has earned in Moto GP and his businesses off the tracks</t>
  </si>
  <si>
    <t>the money he has earned in Moto GP and his businesses off the tracks. The Catalan rider, who has signed with Ducati for 2025 and 2026, is a six-time world champion and in 2018 he became the highest paid on the grid in...</t>
  </si>
  <si>
    <r>
      <rPr>
        <rFont val="Arial, sans-serif"/>
        <color rgb="FF1155CC"/>
        <sz val="9.0"/>
        <u/>
      </rPr>
      <t>El Nacional.cat</t>
    </r>
    <r>
      <rPr>
        <rFont val="Arial, sans-serif"/>
        <color rgb="FF1155CC"/>
        <sz val="15.0"/>
        <u/>
      </rPr>
      <t>Estos son todos los premios de Disfrutar: un palmarés mundial envidiable</t>
    </r>
    <r>
      <rPr>
        <rFont val="Arial, sans-serif"/>
        <color rgb="FF1155CC"/>
        <sz val="11.0"/>
        <u/>
      </rPr>
      <t>El restaurante Disfrutar, de Barcelona, ya es oficialmente el mejor restaurante del mundo. En la ceremonia de The World's 50 Best Restaurants que se ha...</t>
    </r>
    <r>
      <rPr>
        <rFont val="Arial, sans-serif"/>
        <color rgb="FF1155CC"/>
        <sz val="12.0"/>
        <u/>
      </rPr>
      <t>.</t>
    </r>
    <r>
      <rPr>
        <rFont val="Arial, sans-serif"/>
        <color rgb="FF1155CC"/>
        <sz val="11.0"/>
        <u/>
      </rPr>
      <t>6 jun 2024</t>
    </r>
  </si>
  <si>
    <t>Estos son todos los premios de Disfrutar: un palmarés mundial envidiable</t>
  </si>
  <si>
    <t>El restaurante Disfrutar, de Barcelona, ya es oficialmente el mejor restaurante del mundo. En la ceremonia de The World's 50 Best Restaurants que se ha....</t>
  </si>
  <si>
    <t>These are all the prizes from Enjoy: an enviable global record of achievements</t>
  </si>
  <si>
    <t>The restaurant Diseño, in Barcelona, ​​is now officially the best restaurant in the world. At The World's 50 Best Restaurants ceremony that took place....</t>
  </si>
  <si>
    <r>
      <rPr>
        <rFont val="Arial, sans-serif"/>
        <color rgb="FF1155CC"/>
        <sz val="9.0"/>
        <u/>
      </rPr>
      <t>Harper's BAZAAR</t>
    </r>
    <r>
      <rPr>
        <rFont val="Arial, sans-serif"/>
        <color rgb="FF1155CC"/>
        <sz val="15.0"/>
        <u/>
      </rPr>
      <t>Disfrutar: el mejor restaurante del mundo está en Barcelona y esto es lo que cuesta comer allí</t>
    </r>
    <r>
      <rPr>
        <rFont val="Arial, sans-serif"/>
        <color rgb="FF1155CC"/>
        <sz val="11.0"/>
        <u/>
      </rPr>
      <t>Tres Estrellas Michelin, el mismo número de Soles Repsol, y ahora el título de destacar sobre todos los demás del globo terráqueo. Así es la espectacular...</t>
    </r>
    <r>
      <rPr>
        <rFont val="Arial, sans-serif"/>
        <color rgb="FF1155CC"/>
        <sz val="12.0"/>
        <u/>
      </rPr>
      <t>.</t>
    </r>
    <r>
      <rPr>
        <rFont val="Arial, sans-serif"/>
        <color rgb="FF1155CC"/>
        <sz val="11.0"/>
        <u/>
      </rPr>
      <t>6 jun 2024</t>
    </r>
  </si>
  <si>
    <t>Disfrutar: el mejor restaurante del mundo está en Barcelona y esto es lo que cuesta comer allí</t>
  </si>
  <si>
    <t>Tres Estrellas Michelin, el mismo número de Soles Repsol, y ahora el título de destacar sobre todos los demás del globo terráqueo. Así es la espectacular....</t>
  </si>
  <si>
    <t>Enjoy: the best restaurant in the world is in Barcelona and this is how much it costs to eat there</t>
  </si>
  <si>
    <t>Three Michelin Stars, the same number of Repsol Suns, and now the title of standing out from all the others on the globe. This is the spectacular....</t>
  </si>
  <si>
    <r>
      <rPr>
        <rFont val="Arial, sans-serif"/>
        <color rgb="FF1155CC"/>
        <sz val="9.0"/>
        <u/>
      </rPr>
      <t>Expansión</t>
    </r>
    <r>
      <rPr>
        <rFont val="Arial, sans-serif"/>
        <color rgb="FF1155CC"/>
        <sz val="15.0"/>
        <u/>
      </rPr>
      <t>Ibex 35 hoy, La Bolsa en Directo | El Ibex coge aliento: suma un 1,73% y reconquista los 11.300 puntos</t>
    </r>
    <r>
      <rPr>
        <rFont val="Arial, sans-serif"/>
        <color rgb="FF1155CC"/>
        <sz val="11.0"/>
        <u/>
      </rPr>
      <t>Peores valores del día: Repsol (-1,33%), Fluidra (-0,69%) y Rovi (-0,11%) Mejores valores del día: Solaria (+6,70%), Acciona (+5,13%) y Acciona Energ.</t>
    </r>
    <r>
      <rPr>
        <rFont val="Arial, sans-serif"/>
        <color rgb="FF1155CC"/>
        <sz val="12.0"/>
        <u/>
      </rPr>
      <t>.</t>
    </r>
    <r>
      <rPr>
        <rFont val="Arial, sans-serif"/>
        <color rgb="FF1155CC"/>
        <sz val="11.0"/>
        <u/>
      </rPr>
      <t>6 jun 2024</t>
    </r>
  </si>
  <si>
    <t>Ibex 35 hoy, La Bolsa en Directo | El Ibex coge aliento: suma un 1,73% y reconquista los 11.300 puntos</t>
  </si>
  <si>
    <t>Peores valores del día: Repsol (-1,33%), Fluidra (-0,69%) y Rovi (-0,11%) Mejores valores del día: Solaria (+6,70%), Acciona (+5,13%) y Acciona Energ..</t>
  </si>
  <si>
    <t>Ibex 35 today, The Stock Market Live | The Ibex catches its breath: it adds 1.73% and regains 11,300 points</t>
  </si>
  <si>
    <t>Worst values ​​of the day: Repsol (-1.33%), Fluidra (-0.69%) and Rovi (-0.11%) Best values ​​of the day: Solaria (+6.70%), Acciona (+5.13%) and Acciona Energ..</t>
  </si>
  <si>
    <r>
      <rPr>
        <rFont val="Arial, sans-serif"/>
        <color rgb="FF1155CC"/>
        <sz val="9.0"/>
        <u/>
      </rPr>
      <t>OkDiario</t>
    </r>
    <r>
      <rPr>
        <rFont val="Arial, sans-serif"/>
        <color rgb="FF1155CC"/>
        <sz val="15.0"/>
        <u/>
      </rPr>
      <t>Contaminación acústica: así es el sonómetro que controlará el ruido que emite tu moto de combustión</t>
    </r>
    <r>
      <rPr>
        <rFont val="Arial, sans-serif"/>
        <color rgb="FF1155CC"/>
        <sz val="11.0"/>
        <u/>
      </rPr>
      <t>La posibilidad de controlar el ruido que genera tu moto de combustión ya está encima de la mesa con la instalación de un sonómetro que te avisará cuando...</t>
    </r>
    <r>
      <rPr>
        <rFont val="Arial, sans-serif"/>
        <color rgb="FF1155CC"/>
        <sz val="12.0"/>
        <u/>
      </rPr>
      <t>.</t>
    </r>
    <r>
      <rPr>
        <rFont val="Arial, sans-serif"/>
        <color rgb="FF1155CC"/>
        <sz val="11.0"/>
        <u/>
      </rPr>
      <t>6 jun 2024</t>
    </r>
  </si>
  <si>
    <t>Contaminación acústica: así es el sonómetro que controlará el ruido que emite tu moto de combustión</t>
  </si>
  <si>
    <t>La posibilidad de controlar el ruido que genera tu moto de combustión ya está encima de la mesa con la instalación de un sonómetro que te avisará cuando....</t>
  </si>
  <si>
    <t>Noise pollution: this is the sound level meter that will control the noise emitted by your combustion motorcycle</t>
  </si>
  <si>
    <t>The possibility of controlling the noise generated by your combustion motorcycle is already on the table with the installation of a sound level meter that will warn you when...</t>
  </si>
  <si>
    <t>Environmental</t>
  </si>
  <si>
    <r>
      <rPr>
        <rFont val="Arial, sans-serif"/>
        <color rgb="FF1155CC"/>
        <sz val="9.0"/>
        <u/>
      </rPr>
      <t>Forbes España</t>
    </r>
    <r>
      <rPr>
        <rFont val="Arial, sans-serif"/>
        <color rgb="FF1155CC"/>
        <sz val="15.0"/>
        <u/>
      </rPr>
      <t>Repsol, Zara y Mercadona obtienen la mejor puntuación entre las marcas empleadoras, según Brand Finance</t>
    </r>
    <r>
      <rPr>
        <rFont val="Arial, sans-serif"/>
        <color rgb="FF1155CC"/>
        <sz val="11.0"/>
        <u/>
      </rPr>
      <t>Repsol y Zara son las empresas españolas mejor valoradas como firmas empleadoras, según un estudio de Brand Finance analizado a partir de las respuestas.</t>
    </r>
    <r>
      <rPr>
        <rFont val="Arial, sans-serif"/>
        <color rgb="FF1155CC"/>
        <sz val="12.0"/>
        <u/>
      </rPr>
      <t>.</t>
    </r>
    <r>
      <rPr>
        <rFont val="Arial, sans-serif"/>
        <color rgb="FF1155CC"/>
        <sz val="11.0"/>
        <u/>
      </rPr>
      <t>7 jun 2024</t>
    </r>
  </si>
  <si>
    <t>Repsol, Zara y Mercadona obtienen la mejor puntuación entre las marcas empleadoras, según Brand Finance</t>
  </si>
  <si>
    <t>Repsol y Zara son las empresas españolas mejor valoradas como firmas empleadoras, según un estudio de Brand Finance analizado a partir de las respuestas.</t>
  </si>
  <si>
    <t>Repsol, Zara and Mercadona obtain the best score among employer brands, according to Brand Finance</t>
  </si>
  <si>
    <t>Repsol and Zara are the Spanish companies best valued as employer firms, according to a Brand Finance study analyzed based on the responses.</t>
  </si>
  <si>
    <t>Repsol corporate reputation, business ranking</t>
  </si>
  <si>
    <t>Reputación corporativa de Repsol, ranking empresarial</t>
  </si>
  <si>
    <t>High reputation rankings reinforce Repsol’s corporate credibility.</t>
  </si>
  <si>
    <t>mejor empleador</t>
  </si>
  <si>
    <t>Positive employer brand</t>
  </si>
  <si>
    <t>Marca de empleador positiva</t>
  </si>
  <si>
    <r>
      <rPr>
        <rFont val="Arial, sans-serif"/>
        <color rgb="FF1155CC"/>
        <sz val="9.0"/>
        <u/>
      </rPr>
      <t>El Independiente</t>
    </r>
    <r>
      <rPr>
        <rFont val="Arial, sans-serif"/>
        <color rgb="FF1155CC"/>
        <sz val="15.0"/>
        <u/>
      </rPr>
      <t>Las ‘low cost’ aprovechan los mínimos anuales y ponen 30 céntimos más barata la gasolina que Repsol y Cepsa</t>
    </r>
    <r>
      <rPr>
        <rFont val="Arial, sans-serif"/>
        <color rgb="FF1155CC"/>
        <sz val="11.0"/>
        <u/>
      </rPr>
      <t>Colas de automóviles esperando en algunas de las estaciones de servicio de España. Son pocas, pero las hay. De hecho, hay que salir fuera de las grandes.</t>
    </r>
    <r>
      <rPr>
        <rFont val="Arial, sans-serif"/>
        <color rgb="FF1155CC"/>
        <sz val="12.0"/>
        <u/>
      </rPr>
      <t>.</t>
    </r>
    <r>
      <rPr>
        <rFont val="Arial, sans-serif"/>
        <color rgb="FF1155CC"/>
        <sz val="11.0"/>
        <u/>
      </rPr>
      <t>7 jun 2024</t>
    </r>
  </si>
  <si>
    <t>Las ‘low cost’ aprovechan los mínimos anuales y ponen 30 céntimos más barata la gasolina que Repsol y Cepsa</t>
  </si>
  <si>
    <t>Colas de automóviles esperando en algunas de las estaciones de servicio de España. Son pocas, pero las hay. De hecho, hay que salir fuera de las grandes..</t>
  </si>
  <si>
    <t>The 'low cost' companies take advantage of the annual minimums and make gasoline 30 cents cheaper than Repsol and Cepsa</t>
  </si>
  <si>
    <t>Queues of cars waiting at some of the service stations in Spain. They are few, but they exist. In fact, you have to go outside the big ones...</t>
  </si>
  <si>
    <t>Repsol fuel competition, market shift</t>
  </si>
  <si>
    <t>Competencia de combustibles de Repsol, cambio de mercado</t>
  </si>
  <si>
    <t>Growing low-cost competition may impact Repsol’s fuel market share.</t>
  </si>
  <si>
    <r>
      <rPr>
        <rFont val="Arial, sans-serif"/>
        <color rgb="FF1155CC"/>
        <sz val="9.0"/>
        <u/>
      </rPr>
      <t>Repsol</t>
    </r>
    <r>
      <rPr>
        <rFont val="Arial, sans-serif"/>
        <color rgb="FF1155CC"/>
        <sz val="15.0"/>
        <u/>
      </rPr>
      <t>10 FP con más salidas en 2024</t>
    </r>
    <r>
      <rPr>
        <rFont val="Arial, sans-serif"/>
        <color rgb="FF1155CC"/>
        <sz val="11.0"/>
        <u/>
      </rPr>
      <t>Descubre qué son los FP, los tipos que existen y cuáles son los que actualmente tienen más salidas laborales.</t>
    </r>
    <r>
      <rPr>
        <rFont val="Arial, sans-serif"/>
        <color rgb="FF1155CC"/>
        <sz val="12.0"/>
        <u/>
      </rPr>
      <t>.</t>
    </r>
    <r>
      <rPr>
        <rFont val="Arial, sans-serif"/>
        <color rgb="FF1155CC"/>
        <sz val="11.0"/>
        <u/>
      </rPr>
      <t>7 jun 2024</t>
    </r>
  </si>
  <si>
    <t>FP con más salidas en 2024</t>
  </si>
  <si>
    <t>Descubre qué son los FP, los tipos que existen y cuáles son los que actualmente tienen más salidas laborales.</t>
  </si>
  <si>
    <t>FP with more departures in 2024</t>
  </si>
  <si>
    <t>Discover what FPs are, the types that exist and which ones currently have the most job opportunities.</t>
  </si>
  <si>
    <r>
      <rPr>
        <rFont val="Arial, sans-serif"/>
        <color rgb="FF1155CC"/>
        <sz val="9.0"/>
        <u/>
      </rPr>
      <t>Energy News</t>
    </r>
    <r>
      <rPr>
        <rFont val="Arial, sans-serif"/>
        <color rgb="FF1155CC"/>
        <sz val="15.0"/>
        <u/>
      </rPr>
      <t>El fondo de Suma Capital y Repsol capta 125 millones para invertir en transición energética</t>
    </r>
    <r>
      <rPr>
        <rFont val="Arial, sans-serif"/>
        <color rgb="FF1155CC"/>
        <sz val="11.0"/>
        <u/>
      </rPr>
      <t>El fondo de inversión de Suma Capital y Repsol capta 125 millones en su primer cierre para invertir en transición energética.</t>
    </r>
    <r>
      <rPr>
        <rFont val="Arial, sans-serif"/>
        <color rgb="FF1155CC"/>
        <sz val="12.0"/>
        <u/>
      </rPr>
      <t>.</t>
    </r>
    <r>
      <rPr>
        <rFont val="Arial, sans-serif"/>
        <color rgb="FF1155CC"/>
        <sz val="11.0"/>
        <u/>
      </rPr>
      <t>7 jun 2024</t>
    </r>
  </si>
  <si>
    <t>El fondo de Suma Capital y Repsol capta 125 millones para invertir en transición energética</t>
  </si>
  <si>
    <t>El fondo de inversión de Suma Capital y Repsol capta 125 millones en su primer cierre para invertir en transición energética.</t>
  </si>
  <si>
    <t>The Suma Capital and Repsol fund raises 125 million to invest in energy transition</t>
  </si>
  <si>
    <t>The Suma Capital and Repsol investment fund raises 125 million in its first closing to invest in the energy transition.</t>
  </si>
  <si>
    <t>inversión energía</t>
  </si>
  <si>
    <r>
      <rPr>
        <rFont val="Arial, sans-serif"/>
        <color rgb="FF1155CC"/>
        <sz val="9.0"/>
        <u/>
      </rPr>
      <t>Economist &amp; Jurist</t>
    </r>
    <r>
      <rPr>
        <rFont val="Arial, sans-serif"/>
        <color rgb="FF1155CC"/>
        <sz val="15.0"/>
        <u/>
      </rPr>
      <t>Metaverso, Harvey y el proyecto Protea, en Legaltech Zone</t>
    </r>
    <r>
      <rPr>
        <rFont val="Arial, sans-serif"/>
        <color rgb="FF1155CC"/>
        <sz val="11.0"/>
        <u/>
      </rPr>
      <t>María Pedrosa y Javier Tomillo, responsables del área Legaltech de Repsol, explican los avances tecnológicos del grupo.</t>
    </r>
    <r>
      <rPr>
        <rFont val="Arial, sans-serif"/>
        <color rgb="FF1155CC"/>
        <sz val="12.0"/>
        <u/>
      </rPr>
      <t>.</t>
    </r>
    <r>
      <rPr>
        <rFont val="Arial, sans-serif"/>
        <color rgb="FF1155CC"/>
        <sz val="11.0"/>
        <u/>
      </rPr>
      <t>7 jun 2024</t>
    </r>
  </si>
  <si>
    <t>Metaverso, Harvey y el proyecto Protea, en Legaltech Zone</t>
  </si>
  <si>
    <t>María Pedrosa y Javier Tomillo, responsables del área Legaltech de Repsol, explican los avances tecnológicos del grupo.</t>
  </si>
  <si>
    <t>Metaverse, Harvey and the Protea project, in Legaltech Zone</t>
  </si>
  <si>
    <t>María Pedrosa and Javier Tomillo, responsible for Repsol's Legaltech area, explain the group's technological advances.</t>
  </si>
  <si>
    <r>
      <rPr>
        <rFont val="Arial, sans-serif"/>
        <color rgb="FF1155CC"/>
        <sz val="9.0"/>
        <u/>
      </rPr>
      <t>Ecologistas en Acción</t>
    </r>
    <r>
      <rPr>
        <rFont val="Arial, sans-serif"/>
        <color rgb="FF1155CC"/>
        <sz val="15.0"/>
        <u/>
      </rPr>
      <t>Ecologistas en Acción denuncia el patrocinio de Repsol en la Feria del Libro de Madrid con una protesta en El Retiro</t>
    </r>
    <r>
      <rPr>
        <rFont val="Arial, sans-serif"/>
        <color rgb="FF1155CC"/>
        <sz val="11.0"/>
        <u/>
      </rPr>
      <t>Un grupo de activistas de Ecologistas en Acción ha realizado una acción de protesta en la Feria del Libro de Madrid (FLM), que se celebra en el Parque del...</t>
    </r>
    <r>
      <rPr>
        <rFont val="Arial, sans-serif"/>
        <color rgb="FF1155CC"/>
        <sz val="12.0"/>
        <u/>
      </rPr>
      <t>.</t>
    </r>
    <r>
      <rPr>
        <rFont val="Arial, sans-serif"/>
        <color rgb="FF1155CC"/>
        <sz val="11.0"/>
        <u/>
      </rPr>
      <t>7 jun 2024</t>
    </r>
  </si>
  <si>
    <t>Ecologistas en Acción denuncia el patrocinio de Repsol en la Feria del Libro de Madrid con una protesta en El Retiro</t>
  </si>
  <si>
    <t>Un grupo de activistas de Ecologistas en Acción ha realizado una acción de protesta en la Feria del Libro de Madrid (FLM), que se celebra en el Parque del....</t>
  </si>
  <si>
    <t>Ecologists in Action denounces Repsol's sponsorship of the Madrid Book Fair with a protest in El Retiro</t>
  </si>
  <si>
    <t>A group of activists from Ecologistas en Acción has carried out a protest action at the Madrid Book Fair (FLM), which is held in the Parque del...</t>
  </si>
  <si>
    <t>Repsol greenwashing scrutiny, sponsorship controversy</t>
  </si>
  <si>
    <t>Escrutinio del greenwashing de Repsol, polémica por el patrocinio</t>
  </si>
  <si>
    <t>Accusations of greenwashing may negatively impact Repsol’s public image.</t>
  </si>
  <si>
    <t>Negative protest</t>
  </si>
  <si>
    <t>Protesta negativa</t>
  </si>
  <si>
    <r>
      <rPr>
        <rFont val="Arial, sans-serif"/>
        <color rgb="FF1155CC"/>
        <sz val="9.0"/>
        <u/>
      </rPr>
      <t>Repsol</t>
    </r>
    <r>
      <rPr>
        <rFont val="Arial, sans-serif"/>
        <color rgb="FF1155CC"/>
        <sz val="15.0"/>
        <u/>
      </rPr>
      <t>El cambio de contadores analógicos por digitales en 2028 pone fin a las lecturas estimadas del gas</t>
    </r>
    <r>
      <rPr>
        <rFont val="Arial, sans-serif"/>
        <color rgb="FF1155CC"/>
        <sz val="11.0"/>
        <u/>
      </rPr>
      <t>El Gobierno pone fin a las lecturas estimadas del gas, gracias a la sustitución de los contadores analógicos por digitales. ¡Descubre sus implicaciones!</t>
    </r>
    <r>
      <rPr>
        <rFont val="Arial, sans-serif"/>
        <color rgb="FF1155CC"/>
        <sz val="12.0"/>
        <u/>
      </rPr>
      <t>.</t>
    </r>
    <r>
      <rPr>
        <rFont val="Arial, sans-serif"/>
        <color rgb="FF1155CC"/>
        <sz val="11.0"/>
        <u/>
      </rPr>
      <t>7 jun 2024</t>
    </r>
  </si>
  <si>
    <t>El cambio de contadores analógicos por digitales en 2028 pone fin a las lecturas estimadas del gas</t>
  </si>
  <si>
    <t>El Gobierno pone fin a las lecturas estimadas del gas, gracias a la sustitución de los contadores analógicos por digitales. ¡Descubre sus implicaciones!.</t>
  </si>
  <si>
    <t>The change from analog to digital meters in 2028 puts an end to estimated gas readings</t>
  </si>
  <si>
    <t>The Government puts an end to estimated gas readings, thanks to the replacement of analog meters with digital ones. Discover its implications!</t>
  </si>
  <si>
    <r>
      <rPr>
        <rFont val="Arial, sans-serif"/>
        <color rgb="FF1155CC"/>
        <sz val="9.0"/>
        <u/>
      </rPr>
      <t>Brand Finance</t>
    </r>
    <r>
      <rPr>
        <rFont val="Arial, sans-serif"/>
        <color rgb="FF1155CC"/>
        <sz val="15.0"/>
        <u/>
      </rPr>
      <t>Los españoles buscan empresas con buena reputación y altas remuneraciones para trabajar</t>
    </r>
    <r>
      <rPr>
        <rFont val="Arial, sans-serif"/>
        <color rgb="FF1155CC"/>
        <sz val="11.0"/>
        <u/>
      </rPr>
      <t>Los principales impulsores de atracción de talento en España son la reputación de marca y la remuneración según el nuevo estudio inaugural Brand Employer.</t>
    </r>
    <r>
      <rPr>
        <rFont val="Arial, sans-serif"/>
        <color rgb="FF1155CC"/>
        <sz val="12.0"/>
        <u/>
      </rPr>
      <t>.</t>
    </r>
    <r>
      <rPr>
        <rFont val="Arial, sans-serif"/>
        <color rgb="FF1155CC"/>
        <sz val="11.0"/>
        <u/>
      </rPr>
      <t>7 jun 2024</t>
    </r>
  </si>
  <si>
    <t>Los españoles buscan empresas con buena reputación y altas remuneraciones para trabajar</t>
  </si>
  <si>
    <t>Los principales impulsores de atracción de talento en España son la reputación de marca y la remuneración según el nuevo estudio inaugural Brand Employer.</t>
  </si>
  <si>
    <t>Spaniards look for companies with a good reputation and high salaries to work for</t>
  </si>
  <si>
    <t>The main drivers of talent attraction in Spain are brand reputation and remuneration according to the new inaugural Brand Employer study.</t>
  </si>
  <si>
    <r>
      <rPr>
        <rFont val="Arial, sans-serif"/>
        <color rgb="FF1155CC"/>
        <sz val="9.0"/>
        <u/>
      </rPr>
      <t>Box Repsol</t>
    </r>
    <r>
      <rPr>
        <rFont val="Arial, sans-serif"/>
        <color rgb="FF1155CC"/>
        <sz val="15.0"/>
        <u/>
      </rPr>
      <t>¿Cuáles son las motos más baratas en 2024?</t>
    </r>
    <r>
      <rPr>
        <rFont val="Arial, sans-serif"/>
        <color rgb="FF1155CC"/>
        <sz val="11.0"/>
        <u/>
      </rPr>
      <t>A la hora de buscar una moto nueva para comprarnos, muchas veces nos echamos las manos a la cabeza al comprobar su precio. Sin embargo, si se investiga bien...</t>
    </r>
    <r>
      <rPr>
        <rFont val="Arial, sans-serif"/>
        <color rgb="FF1155CC"/>
        <sz val="12.0"/>
        <u/>
      </rPr>
      <t>.</t>
    </r>
    <r>
      <rPr>
        <rFont val="Arial, sans-serif"/>
        <color rgb="FF1155CC"/>
        <sz val="11.0"/>
        <u/>
      </rPr>
      <t>7 jun 2024</t>
    </r>
  </si>
  <si>
    <t>¿Cuáles son las motos más baratas en 2024?</t>
  </si>
  <si>
    <t>A la hora de buscar una moto nueva para comprarnos, muchas veces nos echamos las manos a la cabeza al comprobar su precio. Sin embargo, si se investiga bien....</t>
  </si>
  <si>
    <t>What are the cheapest motorcycles in 2024?</t>
  </si>
  <si>
    <t>When looking for a new motorcycle to buy, we often throw our hands up when checking its price. However, if you investigate well...</t>
  </si>
  <si>
    <r>
      <rPr>
        <rFont val="Arial, sans-serif"/>
        <color rgb="FF1155CC"/>
        <sz val="9.0"/>
        <u/>
      </rPr>
      <t>Huelva 24</t>
    </r>
    <r>
      <rPr>
        <rFont val="Arial, sans-serif"/>
        <color rgb="FF1155CC"/>
        <sz val="15.0"/>
        <u/>
      </rPr>
      <t>Todo lo que debes ver y hacer si visitas Isla Cristina según la Guía Repsol</t>
    </r>
    <r>
      <rPr>
        <rFont val="Arial, sans-serif"/>
        <color rgb="FF1155CC"/>
        <sz val="11.0"/>
        <u/>
      </rPr>
      <t>La localidad costera destaca por su tradición pesquera, su gastronomía, sus playas y su gente.</t>
    </r>
    <r>
      <rPr>
        <rFont val="Arial, sans-serif"/>
        <color rgb="FF1155CC"/>
        <sz val="12.0"/>
        <u/>
      </rPr>
      <t>.</t>
    </r>
    <r>
      <rPr>
        <rFont val="Arial, sans-serif"/>
        <color rgb="FF1155CC"/>
        <sz val="11.0"/>
        <u/>
      </rPr>
      <t>7 jun 2024</t>
    </r>
  </si>
  <si>
    <t>Huelva 24</t>
  </si>
  <si>
    <t>Todo lo que debes ver y hacer si visitas Isla Cristina según la Guía Repsol</t>
  </si>
  <si>
    <t>La localidad costera destaca por su tradición pesquera, su gastronomía, sus playas y su gente.</t>
  </si>
  <si>
    <t>Everything you should see and do if you visit Isla Cristina according to the Repsol Guide</t>
  </si>
  <si>
    <t>The coastal town stands out for its fishing tradition, its gastronomy, its beaches and its people.</t>
  </si>
  <si>
    <r>
      <rPr>
        <rFont val="Arial, sans-serif"/>
        <color rgb="FF1155CC"/>
        <sz val="9.0"/>
        <u/>
      </rPr>
      <t>El Mundo</t>
    </r>
    <r>
      <rPr>
        <rFont val="Arial, sans-serif"/>
        <color rgb="FF1155CC"/>
        <sz val="15.0"/>
        <u/>
      </rPr>
      <t>Lluvia de dividendos (también para el Estado) el próximo mes con 3.000 millones de euros</t>
    </r>
    <r>
      <rPr>
        <rFont val="Arial, sans-serif"/>
        <color rgb="FF1155CC"/>
        <sz val="11.0"/>
        <u/>
      </rPr>
      <t>Con el verano comienza una de las temporadas altas de dividendos en la Bolsa española. En total, en los próximos 30 días las cotizadas patrias distribuirán...</t>
    </r>
    <r>
      <rPr>
        <rFont val="Arial, sans-serif"/>
        <color rgb="FF1155CC"/>
        <sz val="12.0"/>
        <u/>
      </rPr>
      <t>.</t>
    </r>
    <r>
      <rPr>
        <rFont val="Arial, sans-serif"/>
        <color rgb="FF1155CC"/>
        <sz val="11.0"/>
        <u/>
      </rPr>
      <t>7 jun 2024</t>
    </r>
  </si>
  <si>
    <t>Lluvia de dividendos (también para el Estado) el próximo mes con 3.000 millones de euros</t>
  </si>
  <si>
    <t>Con el verano comienza una de las temporadas altas de dividendos en la Bolsa española. En total, en los próximos 30 días las cotizadas patrias distribuirán....</t>
  </si>
  <si>
    <t>Rain of dividends (also for the State) next month with 3,000 million euros</t>
  </si>
  <si>
    <t>With summer begins one of the high dividend seasons on the Spanish stock market. In total, in the next 30 days the listed countries will distribute....</t>
  </si>
  <si>
    <r>
      <rPr>
        <rFont val="Arial, sans-serif"/>
        <color rgb="FF1155CC"/>
        <sz val="9.0"/>
        <u/>
      </rPr>
      <t>Expansión</t>
    </r>
    <r>
      <rPr>
        <rFont val="Arial, sans-serif"/>
        <color rgb="FF1155CC"/>
        <sz val="15.0"/>
        <u/>
      </rPr>
      <t>El caso Iberdrola vs Repsol, una muestra del greenwashing en el sector petrolero</t>
    </r>
    <r>
      <rPr>
        <rFont val="Arial, sans-serif"/>
        <color rgb="FF1155CC"/>
        <sz val="11.0"/>
        <u/>
      </rPr>
      <t>La demanda llegó cuando el gigante eléctrico Iberdrola acusó a la petrolera Repsol de mentir en sus campañas publicitarias y lo ha inculpado de...</t>
    </r>
    <r>
      <rPr>
        <rFont val="Arial, sans-serif"/>
        <color rgb="FF1155CC"/>
        <sz val="12.0"/>
        <u/>
      </rPr>
      <t>.</t>
    </r>
    <r>
      <rPr>
        <rFont val="Arial, sans-serif"/>
        <color rgb="FF1155CC"/>
        <sz val="11.0"/>
        <u/>
      </rPr>
      <t>7 jun 2024</t>
    </r>
  </si>
  <si>
    <t>El caso Iberdrola vs Repsol, una muestra del greenwashing en el sector petrolero</t>
  </si>
  <si>
    <t>La demanda llegó cuando el gigante eléctrico Iberdrola acusó a la petrolera Repsol de mentir en sus campañas publicitarias y lo ha inculpado de....</t>
  </si>
  <si>
    <t>The Iberdrola vs Repsol case, an example of greenwashing in the oil sector</t>
  </si>
  <si>
    <t>The lawsuit came when the electricity giant Iberdrola accused the oil company Repsol of lying in its advertising campaigns and has accused it of...</t>
  </si>
  <si>
    <t>Repsol greenwashing scrutiny, business dispute</t>
  </si>
  <si>
    <t>Escrutinio del greenwashing de Repsol, disputa empresarial</t>
  </si>
  <si>
    <t>Greenwashing accusations may negatively affect Repsol’s public image.</t>
  </si>
  <si>
    <r>
      <rPr>
        <rFont val="Arial, sans-serif"/>
        <color rgb="FF1155CC"/>
        <sz val="9.0"/>
        <u/>
      </rPr>
      <t>Motorpasión</t>
    </r>
    <r>
      <rPr>
        <rFont val="Arial, sans-serif"/>
        <color rgb="FF1155CC"/>
        <sz val="15.0"/>
        <u/>
      </rPr>
      <t>Las gasolineras de Repsol te hacen descuento si les llevas aceite usado. Greenpeace denuncia que esta campaña de marketing tiene trampa</t>
    </r>
    <r>
      <rPr>
        <rFont val="Arial, sans-serif"/>
        <color rgb="FF1155CC"/>
        <sz val="11.0"/>
        <u/>
      </rPr>
      <t>Desde hace años el aceite de cocina se ha posicionado como alternativa al diésel convencional. Marcas como Ford empezaron a probar hace cuatro años el...</t>
    </r>
    <r>
      <rPr>
        <rFont val="Arial, sans-serif"/>
        <color rgb="FF1155CC"/>
        <sz val="12.0"/>
        <u/>
      </rPr>
      <t>.</t>
    </r>
    <r>
      <rPr>
        <rFont val="Arial, sans-serif"/>
        <color rgb="FF1155CC"/>
        <sz val="11.0"/>
        <u/>
      </rPr>
      <t>8 jun 2024</t>
    </r>
  </si>
  <si>
    <t>Motorpasión</t>
  </si>
  <si>
    <t>Las gasolineras de Repsol te hacen descuento si les llevas aceite usado.</t>
  </si>
  <si>
    <t>Las gasolineras de Repsol te hacen descuento si les llevas aceite usado. Greenpeace denuncia que esta campaña de marketing tiene trampa.</t>
  </si>
  <si>
    <t>Repsol gas stations give you a discount if you bring them used oil.</t>
  </si>
  <si>
    <t>Repsol gas stations give you a discount if you bring them used oil. Greenpeace denounces that this marketing campaign is a trap.</t>
  </si>
  <si>
    <t>Positive recycling initiative with customer benefit</t>
  </si>
  <si>
    <t>Iniciativa de reciclaje positivo con beneficio para el cliente</t>
  </si>
  <si>
    <r>
      <rPr>
        <rFont val="Arial, sans-serif"/>
        <color rgb="FF1155CC"/>
        <sz val="9.0"/>
        <u/>
      </rPr>
      <t>El Periódico de España</t>
    </r>
    <r>
      <rPr>
        <rFont val="Arial, sans-serif"/>
        <color rgb="FF1155CC"/>
        <sz val="15.0"/>
        <u/>
      </rPr>
      <t>Grupo Ágreda, el referente aragonés del sector del bus y la automoción que crece de la mano de Alsa y Mercedes</t>
    </r>
    <r>
      <rPr>
        <rFont val="Arial, sans-serif"/>
        <color rgb="FF1155CC"/>
        <sz val="11.0"/>
        <u/>
      </rPr>
      <t>El fundador y alma mater de la compañía fue Moisés Calvo Pardo (Ágreda, 1900-Zaragoza, 2001), quien levantó de la nada el que es hoy uno de los grupos...</t>
    </r>
    <r>
      <rPr>
        <rFont val="Arial, sans-serif"/>
        <color rgb="FF1155CC"/>
        <sz val="12.0"/>
        <u/>
      </rPr>
      <t>.</t>
    </r>
    <r>
      <rPr>
        <rFont val="Arial, sans-serif"/>
        <color rgb="FF1155CC"/>
        <sz val="11.0"/>
        <u/>
      </rPr>
      <t>8 jun 2024</t>
    </r>
  </si>
  <si>
    <t>Grupo Ágreda, el referente aragonés del sector del bus y la automoción que crece de la mano de Alsa y Mercedes</t>
  </si>
  <si>
    <t>Grupo Ágreda, el referente aragonés del sector del bus y la automoción que crece de la mano de Alsa y Mercedes. El fundador y alma mater de la compañía fue Moisés Calvo Pardo (Ágreda, 1900-Zaragoza, 2001), quien levantó de la nada el que es hoy uno de los grupos....</t>
  </si>
  <si>
    <t>Ágreda Group, the Aragonese benchmark in the bus and automotive sector that grows hand in hand with Alsa and Mercedes</t>
  </si>
  <si>
    <t>Ágreda Group, the Aragonese benchmark in the bus and automotive sector that grows hand in hand with Alsa and Mercedes. The founder and alma mater of the company was Moisés Calvo Pardo (Ágreda, 1900-Zaragoza, 2001), who built from nothing what is today one of the groups....</t>
  </si>
  <si>
    <t>Transportation</t>
  </si>
  <si>
    <r>
      <rPr>
        <rFont val="Arial, sans-serif"/>
        <color rgb="FF1155CC"/>
        <sz val="9.0"/>
        <u/>
      </rPr>
      <t>El Español</t>
    </r>
    <r>
      <rPr>
        <rFont val="Arial, sans-serif"/>
        <color rgb="FF1155CC"/>
        <sz val="15.0"/>
        <u/>
      </rPr>
      <t>El chiringuito de Cádiz en una playa de aguas cristalinas que sirve unas increíbles almejas con jamón y gambones</t>
    </r>
    <r>
      <rPr>
        <rFont val="Arial, sans-serif"/>
        <color rgb="FF1155CC"/>
        <sz val="11.0"/>
        <u/>
      </rPr>
      <t>El restaurante, con vistas al mar, ofrece un gran número de platos andaluces típicos y deliciosos arroces melosos.</t>
    </r>
    <r>
      <rPr>
        <rFont val="Arial, sans-serif"/>
        <color rgb="FF1155CC"/>
        <sz val="12.0"/>
        <u/>
      </rPr>
      <t>.</t>
    </r>
    <r>
      <rPr>
        <rFont val="Arial, sans-serif"/>
        <color rgb="FF1155CC"/>
        <sz val="11.0"/>
        <u/>
      </rPr>
      <t>8 jun 2024</t>
    </r>
  </si>
  <si>
    <t>El chiringuito de Cádiz en una playa de aguas cristalinas que sirve unas increíbles almejas con jamón y gambones</t>
  </si>
  <si>
    <t>El restaurante, con vistas al mar, ofrece un gran número de platos andaluces típicos y deliciosos arroces melosos.</t>
  </si>
  <si>
    <t>The beach bar in Cádiz on a beach with crystal-clear waters that serves incredible clams with ham and shrimp</t>
  </si>
  <si>
    <t>The restaurant, overlooking the sea, offers a large number of typical Andalusian dishes and delicious creamy rice dishes.</t>
  </si>
  <si>
    <r>
      <rPr>
        <rFont val="Arial, sans-serif"/>
        <color rgb="FF1155CC"/>
        <sz val="9.0"/>
        <u/>
      </rPr>
      <t>OkDiario</t>
    </r>
    <r>
      <rPr>
        <rFont val="Arial, sans-serif"/>
        <color rgb="FF1155CC"/>
        <sz val="15.0"/>
        <u/>
      </rPr>
      <t>Las inquietantes fotografías que retratan la imparable subida del nivel del mar</t>
    </r>
    <r>
      <rPr>
        <rFont val="Arial, sans-serif"/>
        <color rgb="FF1155CC"/>
        <sz val="11.0"/>
        <u/>
      </rPr>
      <t>El fotógrafo Nick Brandt inaugura la exposición Sink/Rise, una poderosa denuncia del cambio climático y de la subida del nivel de mar.</t>
    </r>
    <r>
      <rPr>
        <rFont val="Arial, sans-serif"/>
        <color rgb="FF1155CC"/>
        <sz val="12.0"/>
        <u/>
      </rPr>
      <t>.</t>
    </r>
    <r>
      <rPr>
        <rFont val="Arial, sans-serif"/>
        <color rgb="FF1155CC"/>
        <sz val="11.0"/>
        <u/>
      </rPr>
      <t>8 jun 2024</t>
    </r>
  </si>
  <si>
    <t>Las inquietantes fotografías que retratan la imparable subida del nivel del mar</t>
  </si>
  <si>
    <t>El fotógrafo Nick Brandt inaugura la exposición Sink/Rise, una poderosa denuncia del cambio climático y de la subida del nivel de mar.</t>
  </si>
  <si>
    <t>The disturbing photographs that portray the unstoppable rise in sea level</t>
  </si>
  <si>
    <t>Photographer Nick Brandt inaugurates the exhibition Sink/Rise, a powerful denunciation of climate change and rising sea levels.</t>
  </si>
  <si>
    <r>
      <rPr>
        <rFont val="Arial, sans-serif"/>
        <color rgb="FF1155CC"/>
        <sz val="9.0"/>
        <u/>
      </rPr>
      <t>La Voz de Lanzarote</t>
    </r>
    <r>
      <rPr>
        <rFont val="Arial, sans-serif"/>
        <color rgb="FF1155CC"/>
        <sz val="15.0"/>
        <u/>
      </rPr>
      <t>Luis Benito: “En el Chiringuito Tropical, si no queda tomate de Tinajo, no se pone tomate en la ensalada”</t>
    </r>
    <r>
      <rPr>
        <rFont val="Arial, sans-serif"/>
        <color rgb="FF1155CC"/>
        <sz val="11.0"/>
        <u/>
      </rPr>
      <t>Luis Benito regenta el Chiringuito Tropical en Playa Blanca, que cuenta con un Solete Repsol y que desde sus inicios siempre ha apostado por el producto...</t>
    </r>
    <r>
      <rPr>
        <rFont val="Arial, sans-serif"/>
        <color rgb="FF1155CC"/>
        <sz val="12.0"/>
        <u/>
      </rPr>
      <t>.</t>
    </r>
    <r>
      <rPr>
        <rFont val="Arial, sans-serif"/>
        <color rgb="FF1155CC"/>
        <sz val="11.0"/>
        <u/>
      </rPr>
      <t>8 jun 2024</t>
    </r>
  </si>
  <si>
    <t>La Voz de Lanzarote</t>
  </si>
  <si>
    <t>Luis Benito: “En el Chiringuito Tropical, si no queda tomate de Tinajo, no se pone tomate en la ensalada”</t>
  </si>
  <si>
    <t>Luis Benito regenta el Chiringuito Tropical en Playa Blanca, que cuenta con un Solete Repsol y que desde sus inicios siempre ha apostado por el producto....</t>
  </si>
  <si>
    <t>Luis Benito: “At Chiringuito Tropical, if there is no Tinajo tomato left, they don't put tomato in the salad”</t>
  </si>
  <si>
    <t>Luis Benito runs the Chiringuito Tropical in Playa Blanca, which has a Repsol Solete and has always been committed to the product since its inception....</t>
  </si>
  <si>
    <r>
      <rPr>
        <rFont val="Arial, sans-serif"/>
        <color rgb="FF1155CC"/>
        <sz val="9.0"/>
        <u/>
      </rPr>
      <t>El Español</t>
    </r>
    <r>
      <rPr>
        <rFont val="Arial, sans-serif"/>
        <color rgb="FF1155CC"/>
        <sz val="15.0"/>
        <u/>
      </rPr>
      <t>Así están creciendo (y mucho) los puntos de carga de coche eléctrico: Iberdrola, Endesa y Repsol lideran el ranking</t>
    </r>
    <r>
      <rPr>
        <rFont val="Arial, sans-serif"/>
        <color rgb="FF1155CC"/>
        <sz val="11.0"/>
        <u/>
      </rPr>
      <t>Iberdrola con 7.000 puntos, Endesa con 5.600 y Repsol con 1.300 son los grandes líderes de la movilidad eléctrica.</t>
    </r>
    <r>
      <rPr>
        <rFont val="Arial, sans-serif"/>
        <color rgb="FF1155CC"/>
        <sz val="12.0"/>
        <u/>
      </rPr>
      <t>.</t>
    </r>
    <r>
      <rPr>
        <rFont val="Arial, sans-serif"/>
        <color rgb="FF1155CC"/>
        <sz val="11.0"/>
        <u/>
      </rPr>
      <t>9 jun 2024</t>
    </r>
  </si>
  <si>
    <t>Así están creciendo (y mucho) los puntos de carga de coche eléctrico: Iberdrola, Endesa y Repsol lideran el ranking</t>
  </si>
  <si>
    <t>Iberdrola con 7.000 puntos, Endesa con 5.600 y Repsol con 1.300 son los grandes líderes de la movilidad eléctrica.</t>
  </si>
  <si>
    <t>This is how electric car charging points are growing (a lot): Iberdrola, Endesa and Repsol lead the ranking</t>
  </si>
  <si>
    <t>Iberdrola with 7,000 points, Endesa with 5,600 and Repsol with 1,300 are the great leaders of electric mobility.</t>
  </si>
  <si>
    <t>Increasing EV charging stations supports Repsol’s clean energy strategy.</t>
  </si>
  <si>
    <t>creciendo, lideran</t>
  </si>
  <si>
    <t>Positive leadership in EV infrastructure</t>
  </si>
  <si>
    <t>Liderazgo positivo en infraestructura para vehículos eléctricos</t>
  </si>
  <si>
    <r>
      <rPr>
        <rFont val="Arial, sans-serif"/>
        <color rgb="FF1155CC"/>
        <sz val="9.0"/>
        <u/>
      </rPr>
      <t>ECOticias.com</t>
    </r>
    <r>
      <rPr>
        <rFont val="Arial, sans-serif"/>
        <color rgb="FF1155CC"/>
        <sz val="15.0"/>
        <u/>
      </rPr>
      <t>Repsol se mete en otro 'charco' con el patrocinio (greenwashing) de la Feria del Libro de Madrid 2024</t>
    </r>
    <r>
      <rPr>
        <rFont val="Arial, sans-serif"/>
        <color rgb="FF1155CC"/>
        <sz val="11.0"/>
        <u/>
      </rPr>
      <t>Repsol se mete en otro 'charco' con el patrocinio (greenwashing) de la Feria del Libro de Madrid 2024: un grupo de activistas de Ecologistas en Acción ha.</t>
    </r>
    <r>
      <rPr>
        <rFont val="Arial, sans-serif"/>
        <color rgb="FF1155CC"/>
        <sz val="12.0"/>
        <u/>
      </rPr>
      <t>.</t>
    </r>
    <r>
      <rPr>
        <rFont val="Arial, sans-serif"/>
        <color rgb="FF1155CC"/>
        <sz val="11.0"/>
        <u/>
      </rPr>
      <t>9 jun 2024</t>
    </r>
  </si>
  <si>
    <t>Repsol se mete en otro 'charco' con el patrocinio (greenwashing) de la Feria del Libro de Madrid 2024</t>
  </si>
  <si>
    <t>Repsol se mete en otro 'charco' con el patrocinio (greenwashing) de la Feria del Libro de Madrid 2024: un grupo de activistas de Ecologistas en Acción ha..</t>
  </si>
  <si>
    <t>Repsol enters another 'puddle' with the sponsorship (greenwashing) of the Madrid Book Fair 2024</t>
  </si>
  <si>
    <t>Repsol enters another 'puddle' with the sponsorship (greenwashing) of the Madrid Book Fair 2024: a group of activists from Ecologistas en Acción has..</t>
  </si>
  <si>
    <t>Repsol sponsorship controversy, corporate backlash</t>
  </si>
  <si>
    <t>Polémica por el patrocinio de Repsol, reacción empresarial</t>
  </si>
  <si>
    <t>Public criticism of sponsorships may negatively impact Repsol’s brand.</t>
  </si>
  <si>
    <t>charco, greenwashing</t>
  </si>
  <si>
    <t>Negative for greenwashing accusations</t>
  </si>
  <si>
    <t>Negativo por las acusaciones de greenwashing</t>
  </si>
  <si>
    <r>
      <rPr>
        <rFont val="Arial, sans-serif"/>
        <color rgb="FF1155CC"/>
        <sz val="9.0"/>
        <u/>
      </rPr>
      <t>Box Repsol</t>
    </r>
    <r>
      <rPr>
        <rFont val="Arial, sans-serif"/>
        <color rgb="FF1155CC"/>
        <sz val="15.0"/>
        <u/>
      </rPr>
      <t>Resultados del TrialGP de Andorra 2024</t>
    </r>
    <r>
      <rPr>
        <rFont val="Arial, sans-serif"/>
        <color rgb="FF1155CC"/>
        <sz val="11.0"/>
        <u/>
      </rPr>
      <t>Andorra ha sido la encargada de acoger la segunda cita del campeonato al aire libre de Trial, donde Toni Bou y Gabriel Marcelli han subido al podio en las...</t>
    </r>
    <r>
      <rPr>
        <rFont val="Arial, sans-serif"/>
        <color rgb="FF1155CC"/>
        <sz val="12.0"/>
        <u/>
      </rPr>
      <t>.</t>
    </r>
    <r>
      <rPr>
        <rFont val="Arial, sans-serif"/>
        <color rgb="FF1155CC"/>
        <sz val="11.0"/>
        <u/>
      </rPr>
      <t>9 jun 2024</t>
    </r>
  </si>
  <si>
    <t>Resultados del TrialGP de Andorra 2024</t>
  </si>
  <si>
    <t>Andorra ha sido la encargada de acoger la segunda cita del campeonato al aire libre de Trial, donde Toni Bou y Gabriel Marcelli han subido al podio en las....</t>
  </si>
  <si>
    <t>Results of the Andorra TrialGP 2024</t>
  </si>
  <si>
    <t>Andorra has been in charge of hosting the second round of the outdoor Trial championship, where Toni Bou and Gabriel Marcelli have climbed to the podium in the....</t>
  </si>
  <si>
    <r>
      <rPr>
        <rFont val="Arial, sans-serif"/>
        <color rgb="FF1155CC"/>
        <sz val="9.0"/>
        <u/>
      </rPr>
      <t>Cinco Días</t>
    </r>
    <r>
      <rPr>
        <rFont val="Arial, sans-serif"/>
        <color rgb="FF1155CC"/>
        <sz val="15.0"/>
        <u/>
      </rPr>
      <t>El fantasma de YPF acecha a Milei y abre la puerta al embargo de bienes argentinos por hasta 16.000 millones</t>
    </r>
    <r>
      <rPr>
        <rFont val="Arial, sans-serif"/>
        <color rgb="FF1155CC"/>
        <sz val="11.0"/>
        <u/>
      </rPr>
      <t>En junio de 1999, Repsol lograba el control del 98% de la petrolera argentina YPF tras una inversión de más de 15.000 millones de dólares y ponía fin al...</t>
    </r>
    <r>
      <rPr>
        <rFont val="Arial, sans-serif"/>
        <color rgb="FF1155CC"/>
        <sz val="12.0"/>
        <u/>
      </rPr>
      <t>.</t>
    </r>
    <r>
      <rPr>
        <rFont val="Arial, sans-serif"/>
        <color rgb="FF1155CC"/>
        <sz val="11.0"/>
        <u/>
      </rPr>
      <t>9 jun 2024</t>
    </r>
  </si>
  <si>
    <t>El fantasma de YPF acecha a Milei y abre la puerta al embargo de bienes argentinos por hasta 16.000 millones</t>
  </si>
  <si>
    <t>El fantasma de YPF acecha a Milei y abre la puerta al embargo de bienes argentinos por hasta 16.000 millones.</t>
  </si>
  <si>
    <t>The ghost of YPF haunts Milei and opens the door to the embargo of Argentine assets for up to 16,000 million</t>
  </si>
  <si>
    <t>The ghost of YPF haunts Milei and opens the door to the embargo of Argentine assets for up to 16,000 million.</t>
  </si>
  <si>
    <r>
      <rPr>
        <rFont val="Arial, sans-serif"/>
        <color rgb="FF1155CC"/>
        <sz val="9.0"/>
        <u/>
      </rPr>
      <t>OkDiario</t>
    </r>
    <r>
      <rPr>
        <rFont val="Arial, sans-serif"/>
        <color rgb="FF1155CC"/>
        <sz val="15.0"/>
        <u/>
      </rPr>
      <t>Tailandia sondea a las energéticas españolas para implantar la red renovable en el país</t>
    </r>
    <r>
      <rPr>
        <rFont val="Arial, sans-serif"/>
        <color rgb="FF1155CC"/>
        <sz val="11.0"/>
        <u/>
      </rPr>
      <t>Tailandia busca entre las energéticas españolas candidatos para llevar a cabo la transición energética en su país y dejar de depender del gas.</t>
    </r>
    <r>
      <rPr>
        <rFont val="Arial, sans-serif"/>
        <color rgb="FF1155CC"/>
        <sz val="12.0"/>
        <u/>
      </rPr>
      <t>.</t>
    </r>
    <r>
      <rPr>
        <rFont val="Arial, sans-serif"/>
        <color rgb="FF1155CC"/>
        <sz val="11.0"/>
        <u/>
      </rPr>
      <t>9 jun 2024</t>
    </r>
  </si>
  <si>
    <t>Tailandia sondea a las energéticas españolas para implantar la red renovable en el país</t>
  </si>
  <si>
    <t>Tailandia busca entre las energéticas españolas candidatos para llevar a cabo la transición energética en su país y dejar de depender del gas.</t>
  </si>
  <si>
    <t>Thailand surveys Spanish energy companies to implement the renewable network in the country</t>
  </si>
  <si>
    <t>Thailand is looking for candidates among Spanish energy companies to carry out the energy transition in its country and stop depending on gas.</t>
  </si>
  <si>
    <r>
      <rPr>
        <rFont val="Arial, sans-serif"/>
        <color rgb="FF1155CC"/>
        <sz val="9.0"/>
        <u/>
      </rPr>
      <t>El Español</t>
    </r>
    <r>
      <rPr>
        <rFont val="Arial, sans-serif"/>
        <color rgb="FF1155CC"/>
        <sz val="15.0"/>
        <u/>
      </rPr>
      <t>El pequeño pueblo de Castellón con un restaurante estrella Michelin donde se puede comer por 55 euros</t>
    </r>
    <r>
      <rPr>
        <rFont val="Arial, sans-serif"/>
        <color rgb="FF1155CC"/>
        <sz val="11.0"/>
        <u/>
      </rPr>
      <t>Ofrece platos de calidad inspirados en la tierra y con productos de proximidad valencianos.</t>
    </r>
    <r>
      <rPr>
        <rFont val="Arial, sans-serif"/>
        <color rgb="FF1155CC"/>
        <sz val="12.0"/>
        <u/>
      </rPr>
      <t>.</t>
    </r>
    <r>
      <rPr>
        <rFont val="Arial, sans-serif"/>
        <color rgb="FF1155CC"/>
        <sz val="11.0"/>
        <u/>
      </rPr>
      <t>9 jun 2024</t>
    </r>
  </si>
  <si>
    <t>El pequeño pueblo de Castellón con un restaurante estrella Michelin donde se puede comer por 55 euros</t>
  </si>
  <si>
    <t>Ofrece platos de calidad inspirados en la tierra y con productos de proximidad valencianos.</t>
  </si>
  <si>
    <t>The small town of Castellón with a Michelin star restaurant where you can eat for 55 euros</t>
  </si>
  <si>
    <t>It offers quality dishes inspired by the land and with local Valencian products.</t>
  </si>
  <si>
    <r>
      <rPr>
        <rFont val="Arial, sans-serif"/>
        <color rgb="FF1155CC"/>
        <sz val="9.0"/>
        <u/>
      </rPr>
      <t>OkDiario</t>
    </r>
    <r>
      <rPr>
        <rFont val="Arial, sans-serif"/>
        <color rgb="FF1155CC"/>
        <sz val="15.0"/>
        <u/>
      </rPr>
      <t>Luis Miguel Sánchez: «La Vespa siempre se mantendrá estoica, sea con motor de gasolina o eléctrico»</t>
    </r>
    <r>
      <rPr>
        <rFont val="Arial, sans-serif"/>
        <color rgb="FF1155CC"/>
        <sz val="11.0"/>
        <u/>
      </rPr>
      <t>Entrevista con Luis Miguel Sánchez, CTO de Estoica Engineering, el ingeniero que está transformando la Vespa en eléctrica.</t>
    </r>
    <r>
      <rPr>
        <rFont val="Arial, sans-serif"/>
        <color rgb="FF1155CC"/>
        <sz val="12.0"/>
        <u/>
      </rPr>
      <t>.</t>
    </r>
    <r>
      <rPr>
        <rFont val="Arial, sans-serif"/>
        <color rgb="FF1155CC"/>
        <sz val="11.0"/>
        <u/>
      </rPr>
      <t>9 jun 2024</t>
    </r>
  </si>
  <si>
    <t>La Vespa siempre se mantendrá estoica, sea con motor de gasolina o eléctrico</t>
  </si>
  <si>
    <t>Entrevista con Luis Miguel Sánchez, CTO de Estoica Engineering, el ingeniero que está transformando la Vespa en eléctrica.</t>
  </si>
  <si>
    <t>The Vespa will always remain stoic, whether with a gasoline or electric engine</t>
  </si>
  <si>
    <t>Interview with Luis Miguel Sánchez, CTO of Estoica Engineering, the engineer who is transforming the Vespa into electric.</t>
  </si>
  <si>
    <r>
      <rPr>
        <rFont val="Arial, sans-serif"/>
        <color rgb="FF1155CC"/>
        <sz val="9.0"/>
        <u/>
      </rPr>
      <t>OkDiario</t>
    </r>
    <r>
      <rPr>
        <rFont val="Arial, sans-serif"/>
        <color rgb="FF1155CC"/>
        <sz val="15.0"/>
        <u/>
      </rPr>
      <t>Si lees este libro amarás a piojos, cucarachas o garrapatas sobre todas las cosas</t>
    </r>
    <r>
      <rPr>
        <rFont val="Arial, sans-serif"/>
        <color rgb="FF1155CC"/>
        <sz val="11.0"/>
        <u/>
      </rPr>
      <t>Descubre el libro que te enseña a valorar a piojos, cucarachas, garrapatas o mosquitos, su papel en la tierra y en la vida de los humanos.</t>
    </r>
    <r>
      <rPr>
        <rFont val="Arial, sans-serif"/>
        <color rgb="FF1155CC"/>
        <sz val="12.0"/>
        <u/>
      </rPr>
      <t>.</t>
    </r>
    <r>
      <rPr>
        <rFont val="Arial, sans-serif"/>
        <color rgb="FF1155CC"/>
        <sz val="11.0"/>
        <u/>
      </rPr>
      <t>9 jun 2024</t>
    </r>
  </si>
  <si>
    <t>Si lees este libro amarás a piojos, cucarachas o garrapatas sobre todas las cosas</t>
  </si>
  <si>
    <t>Descubre el libro que te enseña a valorar a piojos, cucarachas, garrapatas o mosquitos, su papel en la tierra y en la vida de los humanos.</t>
  </si>
  <si>
    <t>If you read this book you will love lice, cockroaches or ticks above all things</t>
  </si>
  <si>
    <t>Discover the book that teaches you to value lice, cockroaches, ticks or mosquitoes, their role on earth and in the lives of humans.</t>
  </si>
  <si>
    <r>
      <rPr>
        <rFont val="Arial, sans-serif"/>
        <color rgb="FF1155CC"/>
        <sz val="9.0"/>
        <u/>
      </rPr>
      <t>Tarifa luz hora</t>
    </r>
    <r>
      <rPr>
        <rFont val="Arial, sans-serif"/>
        <color rgb="FF1155CC"/>
        <sz val="15.0"/>
        <u/>
      </rPr>
      <t>Repsol Vivit sustituye al área virtual "Tu Oficina Online Repsol"</t>
    </r>
    <r>
      <rPr>
        <rFont val="Arial, sans-serif"/>
        <color rgb="FF1155CC"/>
        <sz val="11.0"/>
        <u/>
      </rPr>
      <t>Accede y regístrate en el nuevo área de clientes de Repsol. Te indicamos las ventajas de esta oficina virtual y cómo descargar tu factura de luz/gas.</t>
    </r>
    <r>
      <rPr>
        <rFont val="Arial, sans-serif"/>
        <color rgb="FF1155CC"/>
        <sz val="12.0"/>
        <u/>
      </rPr>
      <t>.</t>
    </r>
    <r>
      <rPr>
        <rFont val="Arial, sans-serif"/>
        <color rgb="FF1155CC"/>
        <sz val="11.0"/>
        <u/>
      </rPr>
      <t>10 jun 2024</t>
    </r>
  </si>
  <si>
    <t>Repsol Vivit sustituye al área virtual "Tu Oficina Online Repsol"</t>
  </si>
  <si>
    <t>Accede y regístrate en el nuevo área de clientes de Repsol. Te indicamos las ventajas de esta oficina virtual y cómo descargar tu factura de luz/gas.</t>
  </si>
  <si>
    <t>Repsol Vivit replaces the virtual area "Your Repsol Online Office"</t>
  </si>
  <si>
    <t>Access and register in the new Repsol customer area. We tell you the advantages of this virtual office and how to download your electricity/gas bill.</t>
  </si>
  <si>
    <t>Strengthening digital platforms enhances Repsol’s consumer engagement.</t>
  </si>
  <si>
    <t>Neutral customer service update</t>
  </si>
  <si>
    <t>Actualización neutral del servicio al cliente</t>
  </si>
  <si>
    <r>
      <rPr>
        <rFont val="Arial, sans-serif"/>
        <color rgb="FF1155CC"/>
        <sz val="9.0"/>
        <u/>
      </rPr>
      <t>El Español</t>
    </r>
    <r>
      <rPr>
        <rFont val="Arial, sans-serif"/>
        <color rgb="FF1155CC"/>
        <sz val="15.0"/>
        <u/>
      </rPr>
      <t>Repsol y Amazon se alían para ofrecer cupones de 5 euros en carburante a los que recojan sus pedidos en las gasolineras</t>
    </r>
    <r>
      <rPr>
        <rFont val="Arial, sans-serif"/>
        <color rgb="FF1155CC"/>
        <sz val="11.0"/>
        <u/>
      </rPr>
      <t>La petrolera también se une con Iberia y reparte 25.000 Avios, suficientes para viajar al Cairo o Creta, a los clientes que reposten en sus estaciones.</t>
    </r>
    <r>
      <rPr>
        <rFont val="Arial, sans-serif"/>
        <color rgb="FF1155CC"/>
        <sz val="12.0"/>
        <u/>
      </rPr>
      <t>.</t>
    </r>
    <r>
      <rPr>
        <rFont val="Arial, sans-serif"/>
        <color rgb="FF1155CC"/>
        <sz val="11.0"/>
        <u/>
      </rPr>
      <t>10 jun 2024</t>
    </r>
  </si>
  <si>
    <t>Repsol y Amazon se alían para ofrecer cupones de 5 euros en carburante a los que recojan sus pedidos en las gasolineras</t>
  </si>
  <si>
    <t>La petrolera también se une con Iberia y reparte 25.000 Avios, suficientes para viajar al Cairo o Creta, a los clientes que reposten en sus estaciones.</t>
  </si>
  <si>
    <t>Repsol and Amazon join forces to offer 5 euro fuel coupons to those who pick up their orders at gas stations</t>
  </si>
  <si>
    <t>The oil company also joins forces with Iberia and distributes 25,000 Avios, enough to travel to Cairo or Crete, to customers who refuel at its stations.</t>
  </si>
  <si>
    <t>Repsol business expansion, retail partnership</t>
  </si>
  <si>
    <t>Expansión del negocio de Repsol, alianza minorista</t>
  </si>
  <si>
    <t>Expanding strategic partnerships enhances Repsol’s market reach.</t>
  </si>
  <si>
    <t>cupones, carburante</t>
  </si>
  <si>
    <t>Positive customer promotion</t>
  </si>
  <si>
    <t>Promoción positiva del cliente.</t>
  </si>
  <si>
    <r>
      <rPr>
        <rFont val="Arial, sans-serif"/>
        <color rgb="FF1155CC"/>
        <sz val="9.0"/>
        <u/>
      </rPr>
      <t>Ideal</t>
    </r>
    <r>
      <rPr>
        <rFont val="Arial, sans-serif"/>
        <color rgb="FF1155CC"/>
        <sz val="15.0"/>
        <u/>
      </rPr>
      <t>La nueva heladería con Solete Repsol que llega a Almería desde Granada</t>
    </r>
    <r>
      <rPr>
        <rFont val="Arial, sans-serif"/>
        <color rgb="FF1155CC"/>
        <sz val="11.0"/>
        <u/>
      </rPr>
      <t>Marconata abrirá sus puertas este sábado en la calle Galán de Noche, 13.</t>
    </r>
    <r>
      <rPr>
        <rFont val="Arial, sans-serif"/>
        <color rgb="FF1155CC"/>
        <sz val="12.0"/>
        <u/>
      </rPr>
      <t>.</t>
    </r>
    <r>
      <rPr>
        <rFont val="Arial, sans-serif"/>
        <color rgb="FF1155CC"/>
        <sz val="11.0"/>
        <u/>
      </rPr>
      <t>10 jun 2024</t>
    </r>
  </si>
  <si>
    <t>La nueva heladería con Solete Repsol que llega a Almería desde Granada</t>
  </si>
  <si>
    <t>Marconata abrirá sus puertas este sábado en la calle Galán de Noche, 13.</t>
  </si>
  <si>
    <t>The new ice cream parlor with Solete Repsol that arrives in Almería from Granada</t>
  </si>
  <si>
    <t>Marconata will open its doors this Saturday on Galán de Noche Street, 13.</t>
  </si>
  <si>
    <r>
      <rPr>
        <rFont val="Arial, sans-serif"/>
        <color rgb="FF1155CC"/>
        <sz val="9.0"/>
        <u/>
      </rPr>
      <t>Guía Repsol</t>
    </r>
    <r>
      <rPr>
        <rFont val="Arial, sans-serif"/>
        <color rgb="FF1155CC"/>
        <sz val="15.0"/>
        <u/>
      </rPr>
      <t>Sen Omakase: El restaurante en Madrid para vivir una íntima ceromonia del té</t>
    </r>
    <r>
      <rPr>
        <rFont val="Arial, sans-serif"/>
        <color rgb="FF1155CC"/>
        <sz val="11.0"/>
        <u/>
      </rPr>
      <t>Sabore al auténtico sabor de japón en el restaurante Sen Omakase en Madrid de la mano de Steven Wu. Distintas preparaciones de sushi y cocina Kaiseki.</t>
    </r>
    <r>
      <rPr>
        <rFont val="Arial, sans-serif"/>
        <color rgb="FF1155CC"/>
        <sz val="12.0"/>
        <u/>
      </rPr>
      <t>.</t>
    </r>
    <r>
      <rPr>
        <rFont val="Arial, sans-serif"/>
        <color rgb="FF1155CC"/>
        <sz val="11.0"/>
        <u/>
      </rPr>
      <t>10 jun 2024</t>
    </r>
  </si>
  <si>
    <t>Sen Omakase: El restaurante en Madrid para vivir una íntima ceremonia del té</t>
  </si>
  <si>
    <t>Sabore al auténtico sabor de japón en el restaurante Sen Omakase en Madrid de la mano de Steven Wu. Distintas preparaciones de sushi y cocina Kaiseki.</t>
  </si>
  <si>
    <t>Sen Omakase: The restaurant in Madrid to experience an intimate tea ceremony</t>
  </si>
  <si>
    <t>Taste the authentic flavor of Japan at the Sen Omakase restaurant in Madrid led by Steven Wu. Different sushi preparations and Kaiseki cuisine.</t>
  </si>
  <si>
    <r>
      <rPr>
        <rFont val="Arial, sans-serif"/>
        <color rgb="FF1155CC"/>
        <sz val="9.0"/>
        <u/>
      </rPr>
      <t>El Mundo</t>
    </r>
    <r>
      <rPr>
        <rFont val="Arial, sans-serif"/>
        <color rgb="FF1155CC"/>
        <sz val="15.0"/>
        <u/>
      </rPr>
      <t>Reducir la factura de la luz a 0 euros, el Plan Inteligente Solar360 de Repsol y Movistar que promete revolucionar el mercado energético</t>
    </r>
    <r>
      <rPr>
        <rFont val="Arial, sans-serif"/>
        <color rgb="FF1155CC"/>
        <sz val="11.0"/>
        <u/>
      </rPr>
      <t>La energía solar cobra protagonismo. Ahora que se invita a crear un mundo más respetuoso con el medioambiente, donde la reducción de gases contaminantes...</t>
    </r>
    <r>
      <rPr>
        <rFont val="Arial, sans-serif"/>
        <color rgb="FF1155CC"/>
        <sz val="12.0"/>
        <u/>
      </rPr>
      <t>.</t>
    </r>
    <r>
      <rPr>
        <rFont val="Arial, sans-serif"/>
        <color rgb="FF1155CC"/>
        <sz val="11.0"/>
        <u/>
      </rPr>
      <t>10 jun 2024</t>
    </r>
  </si>
  <si>
    <t>Reducir la factura de la luz a 0 euros, el Plan Inteligente Solar360 de Repsol y Movistar que promete revolucionar el mercado energético</t>
  </si>
  <si>
    <t>La energía solar cobra protagonismo. Ahora que se invita a crear un mundo más respetuoso con el medioambiente, donde la reducción de gases contaminantes....</t>
  </si>
  <si>
    <t>Reduce the electricity bill to 0 euros, the Solar360 Smart Plan from Repsol and Movistar that promises to revolutionize the energy market</t>
  </si>
  <si>
    <t>Solar energy takes center stage. Now that we are invited to create a more environmentally friendly world, where the reduction of polluting gases...</t>
  </si>
  <si>
    <t>Promoting solar energy aligns with Repsol’s clean energy initiatives.</t>
  </si>
  <si>
    <t>revolucionar, mercado energético</t>
  </si>
  <si>
    <t>Strong positive for innovative energy solution</t>
  </si>
  <si>
    <t>Fuerte positivo para una solución energética innovadora</t>
  </si>
  <si>
    <r>
      <rPr>
        <rFont val="Arial, sans-serif"/>
        <color rgb="FF1155CC"/>
        <sz val="9.0"/>
        <u/>
      </rPr>
      <t>EL PAÍS</t>
    </r>
    <r>
      <rPr>
        <rFont val="Arial, sans-serif"/>
        <color rgb="FF1155CC"/>
        <sz val="15.0"/>
        <u/>
      </rPr>
      <t>Publicistas reclaman al supervisor que regula los anuncios en España más rigor contra el ‘greenwashing’</t>
    </r>
    <r>
      <rPr>
        <rFont val="Arial, sans-serif"/>
        <color rgb="FF1155CC"/>
        <sz val="11.0"/>
        <u/>
      </rPr>
      <t>Un grupo de creativos manda una carta a Autocontrol para que impida el ecopostureo días después de que António Guterres exigiera vetar los anuncios de...</t>
    </r>
    <r>
      <rPr>
        <rFont val="Arial, sans-serif"/>
        <color rgb="FF1155CC"/>
        <sz val="12.0"/>
        <u/>
      </rPr>
      <t>.</t>
    </r>
    <r>
      <rPr>
        <rFont val="Arial, sans-serif"/>
        <color rgb="FF1155CC"/>
        <sz val="11.0"/>
        <u/>
      </rPr>
      <t>10 jun 2024</t>
    </r>
  </si>
  <si>
    <t>Publicistas reclaman al supervisor que regula los anuncios en España más rigor contra el ‘greenwashing’</t>
  </si>
  <si>
    <t>Un grupo de creativos manda una carta a Autocontrol para que impida el ecopostureo días después de que António Guterres exigiera vetar los anuncios de....</t>
  </si>
  <si>
    <t>Advertisers demand that the supervisor that regulates advertisements in Spain be more rigorous against 'greenwashing'</t>
  </si>
  <si>
    <t>A group of creatives sends a letter to Autocontrol to prevent ecopostureo days after António Guterres demanded to veto the ads of...</t>
  </si>
  <si>
    <r>
      <rPr>
        <rFont val="Arial, sans-serif"/>
        <color rgb="FF1155CC"/>
        <sz val="9.0"/>
        <u/>
      </rPr>
      <t>Tarifa luz hora</t>
    </r>
    <r>
      <rPr>
        <rFont val="Arial, sans-serif"/>
        <color rgb="FF1155CC"/>
        <sz val="15.0"/>
        <u/>
      </rPr>
      <t>Compromiso Ahorro de Repsol: mejora el precio de tu tarifa</t>
    </r>
    <r>
      <rPr>
        <rFont val="Arial, sans-serif"/>
        <color rgb="FF1155CC"/>
        <sz val="11.0"/>
        <u/>
      </rPr>
      <t>Si recibes una oferta de otra compañía, ¿puede Compromiso Ahorro mejorar tu tarifa? Usa este servicio para igualar o reducir el precio de Repsol.</t>
    </r>
    <r>
      <rPr>
        <rFont val="Arial, sans-serif"/>
        <color rgb="FF1155CC"/>
        <sz val="12.0"/>
        <u/>
      </rPr>
      <t>.</t>
    </r>
    <r>
      <rPr>
        <rFont val="Arial, sans-serif"/>
        <color rgb="FF1155CC"/>
        <sz val="11.0"/>
        <u/>
      </rPr>
      <t>10 jun 2024</t>
    </r>
  </si>
  <si>
    <t>Compromiso Ahorro de Repsol: mejora el precio de tu tarifa</t>
  </si>
  <si>
    <t>Si recibes una oferta de otra compañía, ¿puede Compromiso Ahorro mejorar tu tarifa? Usa este servicio para igualar o reducir el precio de Repsol.</t>
  </si>
  <si>
    <t>Repsol Savings Commitment: improve the price of your rate</t>
  </si>
  <si>
    <t>If you receive an offer from another company, can Compromiso Ahorro improve your rate? Use this service to match or reduce Repsol's price.</t>
  </si>
  <si>
    <t>Repsol fuel pricing, customer incentives</t>
  </si>
  <si>
    <t>Tarifa del combustible Repsol, incentivos al cliente</t>
  </si>
  <si>
    <t>Competitive pricing strategies enhance Repsol’s market positioning.</t>
  </si>
  <si>
    <t>mejora, precio</t>
  </si>
  <si>
    <t>Positive customer benefit</t>
  </si>
  <si>
    <t>Beneficio positivo para el cliente</t>
  </si>
  <si>
    <r>
      <rPr>
        <rFont val="Arial, sans-serif"/>
        <color rgb="FF1155CC"/>
        <sz val="9.0"/>
        <u/>
      </rPr>
      <t>Mongabay</t>
    </r>
    <r>
      <rPr>
        <rFont val="Arial, sans-serif"/>
        <color rgb="FF1155CC"/>
        <sz val="15.0"/>
        <u/>
      </rPr>
      <t>Las secuelas del derrame de Repsol: “Nos gustaría que las futuras generaciones digan ‘los viejos pelearon por nuestro mar y lo lograron’"</t>
    </r>
    <r>
      <rPr>
        <rFont val="Arial, sans-serif"/>
        <color rgb="FF1155CC"/>
        <sz val="11.0"/>
        <u/>
      </rPr>
      <t>Germán Melchor, presidente de la Asociación de Pescadores Artesanales del Serpentín de Pasamayo Toma y Calla, asumió esta responsabilidad tras el derrame de...</t>
    </r>
    <r>
      <rPr>
        <rFont val="Arial, sans-serif"/>
        <color rgb="FF1155CC"/>
        <sz val="12.0"/>
        <u/>
      </rPr>
      <t>.</t>
    </r>
    <r>
      <rPr>
        <rFont val="Arial, sans-serif"/>
        <color rgb="FF1155CC"/>
        <sz val="11.0"/>
        <u/>
      </rPr>
      <t>10 jun 2024</t>
    </r>
  </si>
  <si>
    <t>Las secuelas del derrame de Repsol: “Nos gustaría que las futuras generaciones digan ‘los viejos pelearon por nuestro mar y lo lograron’"</t>
  </si>
  <si>
    <t>“Nos gustaría que las futuras generaciones digan ‘los viejos pelearon por nuestro mar y lo lograron’" Germán Melchor, presidente de la Asociación de Pescadores Artesanales del Serpentín de Pasamayo Toma y Calla, asumió esta responsabilidad tras el derrame de....</t>
  </si>
  <si>
    <t>The aftermath of the Repsol spill: “We would like future generations to say 'the old people fought for our sea and achieved it'"</t>
  </si>
  <si>
    <t>“We would like future generations to say 'the old men fought for our sea and achieved it'" Germán Melchor, president of the Association of Artisanal Fishermen of the Serpentín de Pasamayo Toma y Calla, assumed this responsibility after the spill....</t>
  </si>
  <si>
    <t>Continued scrutiny over oil spills may harm Repsol’s reputation.</t>
  </si>
  <si>
    <t>Severe negative for environmental damage</t>
  </si>
  <si>
    <t>Severo negativo para el daño ambiental.</t>
  </si>
  <si>
    <r>
      <rPr>
        <rFont val="Arial, sans-serif"/>
        <color rgb="FF1155CC"/>
        <sz val="9.0"/>
        <u/>
      </rPr>
      <t>El Periódico de la Energía</t>
    </r>
    <r>
      <rPr>
        <rFont val="Arial, sans-serif"/>
        <color rgb="FF1155CC"/>
        <sz val="15.0"/>
        <u/>
      </rPr>
      <t>La 'No OPA' sobre Naturgy, historia de una compleja operación en una empresa estratégica nacional</t>
    </r>
    <r>
      <rPr>
        <rFont val="Arial, sans-serif"/>
        <color rgb="FF1155CC"/>
        <sz val="11.0"/>
        <u/>
      </rPr>
      <t>Criteria tratará de buscar un nuevo aliado con el que adquirir la participación de los fondos CVC y GIP y cambiar de modelo de gestión.</t>
    </r>
    <r>
      <rPr>
        <rFont val="Arial, sans-serif"/>
        <color rgb="FF1155CC"/>
        <sz val="12.0"/>
        <u/>
      </rPr>
      <t>.</t>
    </r>
    <r>
      <rPr>
        <rFont val="Arial, sans-serif"/>
        <color rgb="FF1155CC"/>
        <sz val="11.0"/>
        <u/>
      </rPr>
      <t>10 jun 2024</t>
    </r>
  </si>
  <si>
    <t>La 'No OPA' sobre Naturgy, historia de una compleja operación en una empresa estratégica nacional</t>
  </si>
  <si>
    <t>Criteria tratará de buscar un nuevo aliado con el que adquirir la participación de los fondos CVC y GIP y cambiar de modelo de gestión.</t>
  </si>
  <si>
    <t>The 'No takeover' on Naturgy, the story of a complex operation in a national strategic company</t>
  </si>
  <si>
    <t>Criteria will try to find a new ally with which to acquire the participation of the CVC and GIP funds and change its management model.</t>
  </si>
  <si>
    <r>
      <rPr>
        <rFont val="Arial, sans-serif"/>
        <color rgb="FF1155CC"/>
        <sz val="9.0"/>
        <u/>
      </rPr>
      <t>Diario Sur</t>
    </r>
    <r>
      <rPr>
        <rFont val="Arial, sans-serif"/>
        <color rgb="FF1155CC"/>
        <sz val="15.0"/>
        <u/>
      </rPr>
      <t>Espectacular colisión de un camión con una gasolinera en Las Pedrizas con dos heridos</t>
    </r>
    <r>
      <rPr>
        <rFont val="Arial, sans-serif"/>
        <color rgb="FF1155CC"/>
        <sz val="11.0"/>
        <u/>
      </rPr>
      <t>Espectacular accidente esta tarde en la AP-46, la autopista de Las Pedrizas, en Málaga. Un camión que circulaba por el kilómetro 3 de la autopista a la...</t>
    </r>
    <r>
      <rPr>
        <rFont val="Arial, sans-serif"/>
        <color rgb="FF1155CC"/>
        <sz val="12.0"/>
        <u/>
      </rPr>
      <t>.</t>
    </r>
    <r>
      <rPr>
        <rFont val="Arial, sans-serif"/>
        <color rgb="FF1155CC"/>
        <sz val="11.0"/>
        <u/>
      </rPr>
      <t>10 jun 2024</t>
    </r>
  </si>
  <si>
    <t>Espectacular colisión de un camión con una gasolinera en Las Pedrizas con dos heridos</t>
  </si>
  <si>
    <t>Espectacular accidente esta tarde en la AP-46, la autopista de Las Pedrizas, en Málaga. Un camión que circulaba por el kilómetro 3 de la autopista a la....</t>
  </si>
  <si>
    <t>Spectacular collision of a truck with a gas station in Las Pedrizas with two injured</t>
  </si>
  <si>
    <t>Spectacular accident this afternoon on the AP-46, the Las Pedrizas highway, in Malaga. A truck that was traveling on kilometer 3 of the highway to the...</t>
  </si>
  <si>
    <t>Accidents</t>
  </si>
  <si>
    <r>
      <rPr>
        <rFont val="Arial, sans-serif"/>
        <color rgb="FF1155CC"/>
        <sz val="9.0"/>
        <u/>
      </rPr>
      <t>La Vanguardia</t>
    </r>
    <r>
      <rPr>
        <rFont val="Arial, sans-serif"/>
        <color rgb="FF1155CC"/>
        <sz val="15.0"/>
        <u/>
      </rPr>
      <t>CaixaBank deja el capital de Telefónica tras vender un 2,5% de las acciones</t>
    </r>
    <r>
      <rPr>
        <rFont val="Arial, sans-serif"/>
        <color rgb="FF1155CC"/>
        <sz val="11.0"/>
        <u/>
      </rPr>
      <t>CaixaBank se ha deprendido del 2,56% de las acciones que mantenía en Telefónica. La operación se produce en paralelo a la estrategia de Criteria Caixa...</t>
    </r>
    <r>
      <rPr>
        <rFont val="Arial, sans-serif"/>
        <color rgb="FF1155CC"/>
        <sz val="12.0"/>
        <u/>
      </rPr>
      <t>.</t>
    </r>
    <r>
      <rPr>
        <rFont val="Arial, sans-serif"/>
        <color rgb="FF1155CC"/>
        <sz val="11.0"/>
        <u/>
      </rPr>
      <t>10 jun 2024</t>
    </r>
  </si>
  <si>
    <t>CaixaBank deja el capital de Telefónica tras vender un 2,5% de las acciones</t>
  </si>
  <si>
    <t>CaixaBank se ha deprendido del 2,56% de las acciones que mantenía en Telefónica. La operación se produce en paralelo a la estrategia de Criteria Caixa....</t>
  </si>
  <si>
    <t>CaixaBank leaves Telefónica's capital after selling 2.5% of the shares</t>
  </si>
  <si>
    <t>CaixaBank has divested itself of 2.56% of the shares it held in Telefónica. The operation occurs in parallel to Criteria Caixa's strategy....</t>
  </si>
  <si>
    <r>
      <rPr>
        <rFont val="Arial, sans-serif"/>
        <color rgb="FF1155CC"/>
        <sz val="9.0"/>
        <u/>
      </rPr>
      <t>El Nacional.cat</t>
    </r>
    <r>
      <rPr>
        <rFont val="Arial, sans-serif"/>
        <color rgb="FF1155CC"/>
        <sz val="15.0"/>
        <u/>
      </rPr>
      <t>Las 20 mejores empresas españolas para trabajar según los empleados</t>
    </r>
    <r>
      <rPr>
        <rFont val="Arial, sans-serif"/>
        <color rgb="FF1155CC"/>
        <sz val="11.0"/>
        <u/>
      </rPr>
      <t>Repsol, Zara y Mercadona lideran la gran encuesta de Brand Finance.</t>
    </r>
    <r>
      <rPr>
        <rFont val="Arial, sans-serif"/>
        <color rgb="FF1155CC"/>
        <sz val="12.0"/>
        <u/>
      </rPr>
      <t>.</t>
    </r>
    <r>
      <rPr>
        <rFont val="Arial, sans-serif"/>
        <color rgb="FF1155CC"/>
        <sz val="11.0"/>
        <u/>
      </rPr>
      <t>10 jun 2024</t>
    </r>
  </si>
  <si>
    <t>Las 20 mejores empresas españolas para trabajar según los empleados</t>
  </si>
  <si>
    <t>Repsol, Zara y Mercadona lideran la gran encuesta de Brand Finance.</t>
  </si>
  <si>
    <t>The 20 best Spanish companies to work for according to employees</t>
  </si>
  <si>
    <t>Repsol, Zara and Mercadona lead the large Brand Finance survey.</t>
  </si>
  <si>
    <r>
      <rPr>
        <rFont val="Arial, sans-serif"/>
        <color rgb="FF1155CC"/>
        <sz val="9.0"/>
        <u/>
      </rPr>
      <t>Info León</t>
    </r>
    <r>
      <rPr>
        <rFont val="Arial, sans-serif"/>
        <color rgb="FF1155CC"/>
        <sz val="15.0"/>
        <u/>
      </rPr>
      <t>Corte de tráfico en la avenida Sáenz de Miera en León por la instalación de las carpas de las fiestas</t>
    </r>
    <r>
      <rPr>
        <rFont val="Arial, sans-serif"/>
        <color rgb="FF1155CC"/>
        <sz val="11.0"/>
        <u/>
      </rPr>
      <t>La Policía Local de León ha informado del corte de tráfico en la avenida Ingeniero Sáenz de Miera, entre la estación de servicio de Repsol y el Palacio de.</t>
    </r>
    <r>
      <rPr>
        <rFont val="Arial, sans-serif"/>
        <color rgb="FF1155CC"/>
        <sz val="12.0"/>
        <u/>
      </rPr>
      <t>.</t>
    </r>
    <r>
      <rPr>
        <rFont val="Arial, sans-serif"/>
        <color rgb="FF1155CC"/>
        <sz val="11.0"/>
        <u/>
      </rPr>
      <t>10 jun 2024</t>
    </r>
  </si>
  <si>
    <t>Corte de tráfico en la avenida Sáenz de Miera en León por la instalación de las carpas de las fiestas</t>
  </si>
  <si>
    <t>Corte de tráfico en la avenida Ingeniero Sáenz de Miera, entre la estación de servicio de Repsol y el Palacio de..</t>
  </si>
  <si>
    <t>Traffic cut on Sáenz de Miera avenue in León due to the installation of the party tents</t>
  </si>
  <si>
    <t>Traffic cut on Ingeniero Sáenz de Miera avenue, between the Repsol service station and the Palacio de...</t>
  </si>
  <si>
    <r>
      <rPr>
        <rFont val="Arial, sans-serif"/>
        <color rgb="FF1155CC"/>
        <sz val="9.0"/>
        <u/>
      </rPr>
      <t>Crónica Global</t>
    </r>
    <r>
      <rPr>
        <rFont val="Arial, sans-serif"/>
        <color rgb="FF1155CC"/>
        <sz val="15.0"/>
        <u/>
      </rPr>
      <t>El restaurante de Vic que recomiendan las Guías Repsol y Michelin 2024: comer en un palacio del siglo XVIII</t>
    </r>
    <r>
      <rPr>
        <rFont val="Arial, sans-serif"/>
        <color rgb="FF1155CC"/>
        <sz val="11.0"/>
        <u/>
      </rPr>
      <t>Descubre un espectacular local en el que comerás de lujo y te sentirás como un marqués.</t>
    </r>
    <r>
      <rPr>
        <rFont val="Arial, sans-serif"/>
        <color rgb="FF1155CC"/>
        <sz val="12.0"/>
        <u/>
      </rPr>
      <t>.</t>
    </r>
    <r>
      <rPr>
        <rFont val="Arial, sans-serif"/>
        <color rgb="FF1155CC"/>
        <sz val="11.0"/>
        <u/>
      </rPr>
      <t>10 jun 2024</t>
    </r>
  </si>
  <si>
    <t>El restaurante de Vic que recomiendan las Guías Repsol y Michelin 2024: comer en un palacio del siglo XVII</t>
  </si>
  <si>
    <t>Descubre un espectacular local en el que comerás de lujo y te sentirás como un marqués.</t>
  </si>
  <si>
    <t>The Vic restaurant recommended by the Repsol and Michelin 2024 Guides: eating in a 17th century palace</t>
  </si>
  <si>
    <t>Discover a spectacular place where you will eat luxuriously and feel like a marquis.</t>
  </si>
  <si>
    <r>
      <rPr>
        <rFont val="Arial, sans-serif"/>
        <color rgb="FF1155CC"/>
        <sz val="9.0"/>
        <u/>
      </rPr>
      <t>Repsol</t>
    </r>
    <r>
      <rPr>
        <rFont val="Arial, sans-serif"/>
        <color rgb="FF1155CC"/>
        <sz val="15.0"/>
        <u/>
      </rPr>
      <t>Repsol firma un acuerdo de venta de energía renovable a largo plazo con Microsoft</t>
    </r>
    <r>
      <rPr>
        <rFont val="Arial, sans-serif"/>
        <color rgb="FF1155CC"/>
        <sz val="11.0"/>
        <u/>
      </rPr>
      <t>Las compañías han firmado seis acuerdos virtuales de compraventa de energía (VPPA) a 12 años, asociados a tres parques eólicos y tres plantas solares de...</t>
    </r>
    <r>
      <rPr>
        <rFont val="Arial, sans-serif"/>
        <color rgb="FF1155CC"/>
        <sz val="12.0"/>
        <u/>
      </rPr>
      <t>.</t>
    </r>
    <r>
      <rPr>
        <rFont val="Arial, sans-serif"/>
        <color rgb="FF1155CC"/>
        <sz val="11.0"/>
        <u/>
      </rPr>
      <t>11 jun 2024</t>
    </r>
  </si>
  <si>
    <t>Repsol firma un acuerdo de venta de energía renovable a largo plazo con Microsoft</t>
  </si>
  <si>
    <t>Las compañías han firmado seis acuerdos virtuales de compraventa de energía (VPPA) a 12 años, asociados a tres parques eólicos y tres plantas solares de....</t>
  </si>
  <si>
    <t>Repsol signs a long-term renewable energy sales agreement with Microsoft</t>
  </si>
  <si>
    <t>The companies have signed six 12-year virtual power purchase agreements (VPPAs), associated with three wind farms and three solar plants....</t>
  </si>
  <si>
    <t>Expanding long-term renewable energy partnerships supports Repsol’s clean energy strategy.</t>
  </si>
  <si>
    <t>renovable, Microsoft</t>
  </si>
  <si>
    <t>Strong positive for renewable energy partnership</t>
  </si>
  <si>
    <t>Fuerte positivo para la asociación de energías renovables</t>
  </si>
  <si>
    <r>
      <rPr>
        <rFont val="Arial, sans-serif"/>
        <color rgb="FF1155CC"/>
        <sz val="9.0"/>
        <u/>
      </rPr>
      <t>Cinco Días</t>
    </r>
    <r>
      <rPr>
        <rFont val="Arial, sans-serif"/>
        <color rgb="FF1155CC"/>
        <sz val="15.0"/>
        <u/>
      </rPr>
      <t>Repsol suministrará electricidad renovable a Microsoft en España los 12 próximos años</t>
    </r>
    <r>
      <rPr>
        <rFont val="Arial, sans-serif"/>
        <color rgb="FF1155CC"/>
        <sz val="11.0"/>
        <u/>
      </rPr>
      <t>La petrolera Repsol ha comunicado este martes un nuevo acuerdo con la tecnológica Microsoft de suministro de electricidad de origen renovable para sus...</t>
    </r>
    <r>
      <rPr>
        <rFont val="Arial, sans-serif"/>
        <color rgb="FF1155CC"/>
        <sz val="12.0"/>
        <u/>
      </rPr>
      <t>.</t>
    </r>
    <r>
      <rPr>
        <rFont val="Arial, sans-serif"/>
        <color rgb="FF1155CC"/>
        <sz val="11.0"/>
        <u/>
      </rPr>
      <t>11 jun 2024</t>
    </r>
  </si>
  <si>
    <t>Repsol suministrará electricidad renovable a Microsoft en España los 12 próximos años</t>
  </si>
  <si>
    <t>La petrolera Repsol ha comunicado este martes un nuevo acuerdo con la tecnológica Microsoft de suministro de electricidad de origen renovable para sus....</t>
  </si>
  <si>
    <t>Repsol will supply renewable electricity to Microsoft in Spain for the next 12 years</t>
  </si>
  <si>
    <t>The oil company Repsol announced this Tuesday a new agreement with the technology company Microsoft for the supply of electricity from renewable sources for its...</t>
  </si>
  <si>
    <t>Strengthening corporate partnerships in renewables aligns with Repsol’s sustainability goals.</t>
  </si>
  <si>
    <t>Reiteration of positive partnership</t>
  </si>
  <si>
    <t>Reiteración de una asociación positiva</t>
  </si>
  <si>
    <r>
      <rPr>
        <rFont val="Arial, sans-serif"/>
        <color rgb="FF1155CC"/>
        <sz val="9.0"/>
        <u/>
      </rPr>
      <t>Estrategias de Inversión</t>
    </r>
    <r>
      <rPr>
        <rFont val="Arial, sans-serif"/>
        <color rgb="FF1155CC"/>
        <sz val="15.0"/>
        <u/>
      </rPr>
      <t>Repsol y Microsoft firman acuerdo de energía renovable a largo plazo en España</t>
    </r>
    <r>
      <rPr>
        <rFont val="Arial, sans-serif"/>
        <color rgb="FF1155CC"/>
        <sz val="11.0"/>
        <u/>
      </rPr>
      <t>Repsol y Microsoft suscriben un acuerdo para la venta de energía renovable en España, con una capacidad total de 230 MW, fortaleciendo su asociación...</t>
    </r>
    <r>
      <rPr>
        <rFont val="Arial, sans-serif"/>
        <color rgb="FF1155CC"/>
        <sz val="12.0"/>
        <u/>
      </rPr>
      <t>.</t>
    </r>
    <r>
      <rPr>
        <rFont val="Arial, sans-serif"/>
        <color rgb="FF1155CC"/>
        <sz val="11.0"/>
        <u/>
      </rPr>
      <t>11 jun 2024</t>
    </r>
  </si>
  <si>
    <t>Repsol y Microsoft firman acuerdo de energía renovable a largo plazo en España</t>
  </si>
  <si>
    <t>Repsol y Microsoft suscriben un acuerdo para la venta de energía renovable en España, con una capacidad total de 230 MW, fortaleciendo su asociación....</t>
  </si>
  <si>
    <t>Repsol and Microsoft sign long-term renewable energy agreement in Spain</t>
  </si>
  <si>
    <t>Repsol and Microsoft sign an agreement for the sale of renewable energy in Spain, with a total capacity of 230 MW, strengthening their partnership....</t>
  </si>
  <si>
    <t>Increasing corporate renewable energy deals reinforces Repsol’s clean energy transition.</t>
  </si>
  <si>
    <r>
      <rPr>
        <rFont val="Arial, sans-serif"/>
        <color rgb="FF1155CC"/>
        <sz val="9.0"/>
        <u/>
      </rPr>
      <t>Guía Repsol</t>
    </r>
    <r>
      <rPr>
        <rFont val="Arial, sans-serif"/>
        <color rgb="FF1155CC"/>
        <sz val="15.0"/>
        <u/>
      </rPr>
      <t>Visita la Playa de Cué</t>
    </r>
    <r>
      <rPr>
        <rFont val="Arial, sans-serif"/>
        <color rgb="FF1155CC"/>
        <sz val="11.0"/>
        <u/>
      </rPr>
      <t>Situada al norte de España, dicen que la Playa de Cué es una de las mejores playas del mundo. Ubicada en Llanes, Asturias, sin duda es un lugar digno de...</t>
    </r>
    <r>
      <rPr>
        <rFont val="Arial, sans-serif"/>
        <color rgb="FF1155CC"/>
        <sz val="12.0"/>
        <u/>
      </rPr>
      <t>.</t>
    </r>
    <r>
      <rPr>
        <rFont val="Arial, sans-serif"/>
        <color rgb="FF1155CC"/>
        <sz val="11.0"/>
        <u/>
      </rPr>
      <t>11 jun 2024</t>
    </r>
  </si>
  <si>
    <t>Visita la Playa de Cué</t>
  </si>
  <si>
    <t>Situada al norte de España, dicen que la Playa de Cué es una de las mejores playas del mundo. Ubicada en Llanes, Asturias, sin duda es un lugar digno de....</t>
  </si>
  <si>
    <t>Visit Cué Beach</t>
  </si>
  <si>
    <t>Located in the north of Spain, they say that Playa de Cué is one of the best beaches in the world. Located in Llanes, Asturias, it is undoubtedly a place worthy of...</t>
  </si>
  <si>
    <r>
      <rPr>
        <rFont val="Arial, sans-serif"/>
        <color rgb="FF1155CC"/>
        <sz val="9.0"/>
        <u/>
      </rPr>
      <t>20Minutos</t>
    </r>
    <r>
      <rPr>
        <rFont val="Arial, sans-serif"/>
        <color rgb="FF1155CC"/>
        <sz val="15.0"/>
        <u/>
      </rPr>
      <t>Microsoft abre la primera región de centros de datos en España con el foco en la IA</t>
    </r>
    <r>
      <rPr>
        <rFont val="Arial, sans-serif"/>
        <color rgb="FF1155CC"/>
        <sz val="11.0"/>
        <u/>
      </rPr>
      <t>Microsoft ha completado la apertura de su región de centros de datos en España, con varias ubicaciones en la Comunidad de Madrid, desde la que ofrecerá...</t>
    </r>
    <r>
      <rPr>
        <rFont val="Arial, sans-serif"/>
        <color rgb="FF1155CC"/>
        <sz val="12.0"/>
        <u/>
      </rPr>
      <t>.</t>
    </r>
    <r>
      <rPr>
        <rFont val="Arial, sans-serif"/>
        <color rgb="FF1155CC"/>
        <sz val="11.0"/>
        <u/>
      </rPr>
      <t>11 jun 2024</t>
    </r>
  </si>
  <si>
    <t>Microsoft abre la primera región de centros de datos en España con el foco en la IA</t>
  </si>
  <si>
    <t>Microsoft ha completado la apertura de su región de centros de datos en España, con varias ubicaciones en la Comunidad de Madrid, desde la que ofrecerá....</t>
  </si>
  <si>
    <t>Microsoft opens the first data center region in Spain with a focus on AI</t>
  </si>
  <si>
    <t>Microsoft has completed the opening of its data center region in Spain, with several locations in the Community of Madrid, from which it will offer...</t>
  </si>
  <si>
    <r>
      <rPr>
        <rFont val="Arial, sans-serif"/>
        <color rgb="FF1155CC"/>
        <sz val="9.0"/>
        <u/>
      </rPr>
      <t>Motor EL PAÍS</t>
    </r>
    <r>
      <rPr>
        <rFont val="Arial, sans-serif"/>
        <color rgb="FF1155CC"/>
        <sz val="15.0"/>
        <u/>
      </rPr>
      <t>Descuentos de cinco euros en gasolina por utilizar las taquillas de Amazon para recoger pedidos</t>
    </r>
    <r>
      <rPr>
        <rFont val="Arial, sans-serif"/>
        <color rgb="FF1155CC"/>
        <sz val="11.0"/>
        <u/>
      </rPr>
      <t>Repsol lanza una nueva campaña para los clientes de Waylet que utilicen las taquillas de Amazon ubicadas en sus estaciones de servicio.</t>
    </r>
    <r>
      <rPr>
        <rFont val="Arial, sans-serif"/>
        <color rgb="FF1155CC"/>
        <sz val="12.0"/>
        <u/>
      </rPr>
      <t>.</t>
    </r>
    <r>
      <rPr>
        <rFont val="Arial, sans-serif"/>
        <color rgb="FF1155CC"/>
        <sz val="11.0"/>
        <u/>
      </rPr>
      <t>11 jun 2024</t>
    </r>
  </si>
  <si>
    <t>Descuentos de cinco euros en gasolina por utilizar las taquillas de Amazon para recoger pedidos</t>
  </si>
  <si>
    <t>Repsol lanza una nueva campaña para los clientes de Waylet que utilicen las taquillas de Amazon ubicadas en sus estaciones de servicio.</t>
  </si>
  <si>
    <t>Discounts of five euros on gasoline for using Amazon lockers to collect orders</t>
  </si>
  <si>
    <t>Repsol launches a new campaign for Waylet customers who use Amazon lockers located at their service stations.</t>
  </si>
  <si>
    <t>Expanding digital rewards programs strengthens Repsol’s consumer engagement.</t>
  </si>
  <si>
    <t>Descuentos</t>
  </si>
  <si>
    <r>
      <rPr>
        <rFont val="Arial, sans-serif"/>
        <color rgb="FF1155CC"/>
        <sz val="9.0"/>
        <u/>
      </rPr>
      <t>Guía Repsol</t>
    </r>
    <r>
      <rPr>
        <rFont val="Arial, sans-serif"/>
        <color rgb="FF1155CC"/>
        <sz val="15.0"/>
        <u/>
      </rPr>
      <t>Frómista (Palencia): dónde comer y dormir en el pueblo del gran templo románico</t>
    </r>
    <r>
      <rPr>
        <rFont val="Arial, sans-serif"/>
        <color rgb="FF1155CC"/>
        <sz val="11.0"/>
        <u/>
      </rPr>
      <t>Frómista, en el corazón de Palencia, es conocida por el excepcional arte románico de su iglesia de San Martín de Tours y porque aquí el Camino de Santiago...</t>
    </r>
    <r>
      <rPr>
        <rFont val="Arial, sans-serif"/>
        <color rgb="FF1155CC"/>
        <sz val="12.0"/>
        <u/>
      </rPr>
      <t>.</t>
    </r>
    <r>
      <rPr>
        <rFont val="Arial, sans-serif"/>
        <color rgb="FF1155CC"/>
        <sz val="11.0"/>
        <u/>
      </rPr>
      <t>11 jun 2024</t>
    </r>
  </si>
  <si>
    <t>Frómista (Palencia): dónde comer y dormir en el pueblo del gran templo románico</t>
  </si>
  <si>
    <t>Frómista, en el corazón de Palencia, es conocida por el excepcional arte románico de su iglesia de San Martín de Tours y porque aquí el Camino de Santiago....</t>
  </si>
  <si>
    <t>Frómista (Palencia): where to eat and sleep in the town of the great Romanesque temple</t>
  </si>
  <si>
    <t>Frómista, in the heart of Palencia, is known for the exceptional Romanesque art of its church of San Martín de Tours and because here the Camino de Santiago...</t>
  </si>
  <si>
    <r>
      <rPr>
        <rFont val="Arial, sans-serif"/>
        <color rgb="FF1155CC"/>
        <sz val="9.0"/>
        <u/>
      </rPr>
      <t>MotorcycleSports</t>
    </r>
    <r>
      <rPr>
        <rFont val="Arial, sans-serif"/>
        <color rgb="FF1155CC"/>
        <sz val="15.0"/>
        <u/>
      </rPr>
      <t>«Nadie sale de Honda de la misma manera en que entró» – Joan Mir</t>
    </r>
    <r>
      <rPr>
        <rFont val="Arial, sans-serif"/>
        <color rgb="FF1155CC"/>
        <sz val="11.0"/>
        <u/>
      </rPr>
      <t>Joan Mir es uno de muchos pilotos sin contrato para la temporada 2025 de MotoGP. Actualmente con Repsol Honda, el fabricante menos competitivo en este...</t>
    </r>
    <r>
      <rPr>
        <rFont val="Arial, sans-serif"/>
        <color rgb="FF1155CC"/>
        <sz val="12.0"/>
        <u/>
      </rPr>
      <t>.</t>
    </r>
    <r>
      <rPr>
        <rFont val="Arial, sans-serif"/>
        <color rgb="FF1155CC"/>
        <sz val="11.0"/>
        <u/>
      </rPr>
      <t>11 jun 2024</t>
    </r>
  </si>
  <si>
    <t>«Nadie sale de Honda de la misma manera en que entró» – Joan Mir</t>
  </si>
  <si>
    <t>«Nadie sale de Honda de la misma manera en que entró» – Joan Mir es uno de muchos pilotos sin contrato para la temporada 2025 de MotoGP. Actualmente con Repsol Honda, el fabricante menos competitivo en este....</t>
  </si>
  <si>
    <t>«No one leaves Honda the same way they entered» – Joan Mir</t>
  </si>
  <si>
    <t>“No one leaves Honda the same way they entered” – Joan Mir is one of many riders without a contract for the 2025 MotoGP season. Currently with Repsol Honda, the least competitive manufacturer in this....</t>
  </si>
  <si>
    <r>
      <rPr>
        <rFont val="Arial, sans-serif"/>
        <color rgb="FF1155CC"/>
        <sz val="9.0"/>
        <u/>
      </rPr>
      <t>Guía Repsol</t>
    </r>
    <r>
      <rPr>
        <rFont val="Arial, sans-serif"/>
        <color rgb="FF1155CC"/>
        <sz val="15.0"/>
        <u/>
      </rPr>
      <t>‘Suerte Ampanera’: lácteos ecológicos en Madrid</t>
    </r>
    <r>
      <rPr>
        <rFont val="Arial, sans-serif"/>
        <color rgb="FF1155CC"/>
        <sz val="11.0"/>
        <u/>
      </rPr>
      <t>En 1997 a los hermanos González se les ocurrió meter en su finca familiar 100 cabras para criarlas en el pastoreo. Empezaron a hacer quesos y yogures en una...</t>
    </r>
    <r>
      <rPr>
        <rFont val="Arial, sans-serif"/>
        <color rgb="FF1155CC"/>
        <sz val="12.0"/>
        <u/>
      </rPr>
      <t>.</t>
    </r>
    <r>
      <rPr>
        <rFont val="Arial, sans-serif"/>
        <color rgb="FF1155CC"/>
        <sz val="11.0"/>
        <u/>
      </rPr>
      <t>11 jun 2024</t>
    </r>
  </si>
  <si>
    <t>‘Suerte Ampanera’: lácteos ecológicos en Madrid</t>
  </si>
  <si>
    <t>En 1997 a los hermanos González se les ocurrió meter en su finca familiar 100 cabras para criarlas en el pastoreo. Empezaron a hacer quesos y yogures en una...</t>
  </si>
  <si>
    <t>'Suerte Ampanera': organic dairy products in Madrid</t>
  </si>
  <si>
    <t>In 1997, the González brothers had the idea of ​​bringing 100 goats onto their family farm to raise them for pasture. They started making cheeses and yogurts in a...</t>
  </si>
  <si>
    <t>Food Industry</t>
  </si>
  <si>
    <r>
      <rPr>
        <rFont val="Arial, sans-serif"/>
        <color rgb="FF1155CC"/>
        <sz val="9.0"/>
        <u/>
      </rPr>
      <t>Funds Society</t>
    </r>
    <r>
      <rPr>
        <rFont val="Arial, sans-serif"/>
        <color rgb="FF1155CC"/>
        <sz val="15.0"/>
        <u/>
      </rPr>
      <t>EBN Banco ofrece hasta 250 euros por referir 'amigos' que inviertan en su supermercado de fondos</t>
    </r>
    <r>
      <rPr>
        <rFont val="Arial, sans-serif"/>
        <color rgb="FF1155CC"/>
        <sz val="11.0"/>
        <u/>
      </rPr>
      <t>Los clientes de EBN Banco recibirán un cheque de carburante Repsol de 25 euros por cada amigo que invierta en el supermercado de fondos un importe mínimo de...</t>
    </r>
    <r>
      <rPr>
        <rFont val="Arial, sans-serif"/>
        <color rgb="FF1155CC"/>
        <sz val="12.0"/>
        <u/>
      </rPr>
      <t>.</t>
    </r>
    <r>
      <rPr>
        <rFont val="Arial, sans-serif"/>
        <color rgb="FF1155CC"/>
        <sz val="11.0"/>
        <u/>
      </rPr>
      <t>11 jun 2024</t>
    </r>
  </si>
  <si>
    <t>Funds Society</t>
  </si>
  <si>
    <t>EBN Banco ofrece hasta 250 euros por referir 'amigos' que inviertan en su supermercado de fondos</t>
  </si>
  <si>
    <t>Los clientes de EBN Banco recibirán un cheque de carburante Repsol de 25 euros por cada amigo que invierta en el supermercado de fondos un importe mínimo de....</t>
  </si>
  <si>
    <t>EBN Banco offers up to 250 euros for referring 'friends' who invest in its fund supermarket</t>
  </si>
  <si>
    <t>EBN Banco customers will receive a Repsol fuel check of 25 euros for each friend who invests a minimum amount of...</t>
  </si>
  <si>
    <r>
      <rPr>
        <rFont val="Arial, sans-serif"/>
        <color rgb="FF1155CC"/>
        <sz val="9.0"/>
        <u/>
      </rPr>
      <t>La Razón</t>
    </r>
    <r>
      <rPr>
        <rFont val="Arial, sans-serif"/>
        <color rgb="FF1155CC"/>
        <sz val="15.0"/>
        <u/>
      </rPr>
      <t>Repsol y Amazon se unen: 5 euros de descuento en combustible al recoger tu pedido en los Amazon Lockers</t>
    </r>
    <r>
      <rPr>
        <rFont val="Arial, sans-serif"/>
        <color rgb="FF1155CC"/>
        <sz val="11.0"/>
        <u/>
      </rPr>
      <t>Repsol ha lanzado una nueva campaña promocional para aumentar la base de clientes de su plataforma de pago durante la temporada de verano.</t>
    </r>
    <r>
      <rPr>
        <rFont val="Arial, sans-serif"/>
        <color rgb="FF1155CC"/>
        <sz val="12.0"/>
        <u/>
      </rPr>
      <t>.</t>
    </r>
    <r>
      <rPr>
        <rFont val="Arial, sans-serif"/>
        <color rgb="FF1155CC"/>
        <sz val="11.0"/>
        <u/>
      </rPr>
      <t>12 jun 2024</t>
    </r>
  </si>
  <si>
    <t>Repsol y Amazon se unen: 5 euros de descuento en combustible al recoger tu pedido en los Amazon Lockers</t>
  </si>
  <si>
    <t>Repsol ha lanzado una nueva campaña promocional para aumentar la base de clientes de su plataforma de pago durante la temporada de verano.</t>
  </si>
  <si>
    <t>Repsol and Amazon join forces: 5 euros discount on fuel when you collect your order at Amazon Lockers</t>
  </si>
  <si>
    <t>Repsol has launched a new promotional campaign to increase the customer base of its payment platform during the summer season.</t>
  </si>
  <si>
    <t>Expanding retail partnerships increases Repsol’s consumer engagement.</t>
  </si>
  <si>
    <t>descuento, Amazon</t>
  </si>
  <si>
    <r>
      <rPr>
        <rFont val="Arial, sans-serif"/>
        <color rgb="FF1155CC"/>
        <sz val="9.0"/>
        <u/>
      </rPr>
      <t>Reason Why</t>
    </r>
    <r>
      <rPr>
        <rFont val="Arial, sans-serif"/>
        <color rgb="FF1155CC"/>
        <sz val="15.0"/>
        <u/>
      </rPr>
      <t>La segunda carta de Creatives for the Future señala a empresas como Repsol, Nestlé o Total Energies</t>
    </r>
    <r>
      <rPr>
        <rFont val="Arial, sans-serif"/>
        <color rgb="FF1155CC"/>
        <sz val="11.0"/>
        <u/>
      </rPr>
      <t>Apuntan a campañas que pasan los filtros para ser emitidas pero son “un ejemplo evidente de lavado verde”.</t>
    </r>
    <r>
      <rPr>
        <rFont val="Arial, sans-serif"/>
        <color rgb="FF1155CC"/>
        <sz val="12.0"/>
        <u/>
      </rPr>
      <t>.</t>
    </r>
    <r>
      <rPr>
        <rFont val="Arial, sans-serif"/>
        <color rgb="FF1155CC"/>
        <sz val="11.0"/>
        <u/>
      </rPr>
      <t>12 jun 2024</t>
    </r>
  </si>
  <si>
    <t>Creatives for the Future</t>
  </si>
  <si>
    <t>La segunda carta de Creatives for the Future señala a empresas como Repsol, Nestlé o Total Energies.</t>
  </si>
  <si>
    <t>Apuntan a campañas que pasan los filtros para ser emitidas pero son “un ejemplo evidente de lavado verde”.</t>
  </si>
  <si>
    <t>The second letter from Creatives for the Future points to companies such as Repsol, Nestlé or Total Energies.</t>
  </si>
  <si>
    <t>They point to campaigns that pass the filters to be broadcast but are “an obvious example of greenwashing.”</t>
  </si>
  <si>
    <r>
      <rPr>
        <rFont val="Arial, sans-serif"/>
        <color rgb="FF1155CC"/>
        <sz val="9.0"/>
        <u/>
      </rPr>
      <t>Energy News</t>
    </r>
    <r>
      <rPr>
        <rFont val="Arial, sans-serif"/>
        <color rgb="FF1155CC"/>
        <sz val="15.0"/>
        <u/>
      </rPr>
      <t>Repsol y Microsoft acuerdan la compra de energía a largo plazo</t>
    </r>
    <r>
      <rPr>
        <rFont val="Arial, sans-serif"/>
        <color rgb="FF1155CC"/>
        <sz val="11.0"/>
        <u/>
      </rPr>
      <t>Repsol y Microsoft han firmado seis acuerdos virtuales de compraventa de energía (VPPA). a 12 años, asociados a tres parques eólicos y tres plantas solares...</t>
    </r>
    <r>
      <rPr>
        <rFont val="Arial, sans-serif"/>
        <color rgb="FF1155CC"/>
        <sz val="12.0"/>
        <u/>
      </rPr>
      <t>.</t>
    </r>
    <r>
      <rPr>
        <rFont val="Arial, sans-serif"/>
        <color rgb="FF1155CC"/>
        <sz val="11.0"/>
        <u/>
      </rPr>
      <t>12 jun 2024</t>
    </r>
  </si>
  <si>
    <t>Repsol y Microsoft acuerdan la compra de energía a largo plazo</t>
  </si>
  <si>
    <t>Repsol y Microsoft han firmado seis acuerdos virtuales de compraventa de energía (VPPA) a 12 años, asociados a tres parques eólicos y tres plantas solares....</t>
  </si>
  <si>
    <t>Repsol and Microsoft agree to purchase long-term energy</t>
  </si>
  <si>
    <t>Repsol and Microsoft have signed six 12-year virtual power purchase agreements (VPPA), associated with three wind farms and three solar plants....</t>
  </si>
  <si>
    <t>Strengthening renewable energy collaborations aligns with Repsol’s green strategy.</t>
  </si>
  <si>
    <t>Microsoft, energía</t>
  </si>
  <si>
    <t>Positive renewable energy deal</t>
  </si>
  <si>
    <t>Acuerdo positivo sobre energías renovables</t>
  </si>
  <si>
    <r>
      <rPr>
        <rFont val="Arial, sans-serif"/>
        <color rgb="FF1155CC"/>
        <sz val="9.0"/>
        <u/>
      </rPr>
      <t>Repsol</t>
    </r>
    <r>
      <rPr>
        <rFont val="Arial, sans-serif"/>
        <color rgb="FF1155CC"/>
        <sz val="15.0"/>
        <u/>
      </rPr>
      <t>6 consejos para ahorrar energía al cargar tu vehículo eléctrico</t>
    </r>
    <r>
      <rPr>
        <rFont val="Arial, sans-serif"/>
        <color rgb="FF1155CC"/>
        <sz val="11.0"/>
        <u/>
      </rPr>
      <t>Un coche eléctrico supone un gran ahorro en combustibles, impuestos, o aparcamiento, en este post te daremos unos consejos para aumentar el ahorro,...</t>
    </r>
    <r>
      <rPr>
        <rFont val="Arial, sans-serif"/>
        <color rgb="FF1155CC"/>
        <sz val="12.0"/>
        <u/>
      </rPr>
      <t>.</t>
    </r>
    <r>
      <rPr>
        <rFont val="Arial, sans-serif"/>
        <color rgb="FF1155CC"/>
        <sz val="11.0"/>
        <u/>
      </rPr>
      <t>12 jun 2024</t>
    </r>
  </si>
  <si>
    <t>6 consejos para ahorrar energía al cargar tu vehículo eléctrico</t>
  </si>
  <si>
    <t>Un coche eléctrico supone un gran ahorro en combustibles, impuestos, o aparcamiento, en este post te daremos unos consejos para aumentar el ahorro,....</t>
  </si>
  <si>
    <t>6 tips to save energy when charging your electric vehicle</t>
  </si>
  <si>
    <t>An electric car means great savings on fuel, taxes, or parking. In this post we will give you some tips to increase savings....</t>
  </si>
  <si>
    <r>
      <rPr>
        <rFont val="Arial, sans-serif"/>
        <color rgb="FF1155CC"/>
        <sz val="9.0"/>
        <u/>
      </rPr>
      <t>Diario de Mallorca</t>
    </r>
    <r>
      <rPr>
        <rFont val="Arial, sans-serif"/>
        <color rgb="FF1155CC"/>
        <sz val="15.0"/>
        <u/>
      </rPr>
      <t>Repsol culmina el desmantelamiento de la antigua gasolinera de Sant Miquel</t>
    </r>
    <r>
      <rPr>
        <rFont val="Arial, sans-serif"/>
        <color rgb="FF1155CC"/>
        <sz val="11.0"/>
        <u/>
      </rPr>
      <t>Repsol ha concluido el desmantelamiento de la gasolinera de Sant Miquel con la extracción de los depósitos de combustible que había en el subsuelo.</t>
    </r>
    <r>
      <rPr>
        <rFont val="Arial, sans-serif"/>
        <color rgb="FF1155CC"/>
        <sz val="12.0"/>
        <u/>
      </rPr>
      <t>.</t>
    </r>
    <r>
      <rPr>
        <rFont val="Arial, sans-serif"/>
        <color rgb="FF1155CC"/>
        <sz val="11.0"/>
        <u/>
      </rPr>
      <t>12 jun 2024</t>
    </r>
  </si>
  <si>
    <t>Repsol culmina el desmantelamiento de la antigua gasolinera de Sant Miquel</t>
  </si>
  <si>
    <t>Repsol ha concluido el desmantelamiento de la gasolinera de Sant Miquel con la extracción de los depósitos de combustible que había en el subsuelo.</t>
  </si>
  <si>
    <t>Repsol completes the dismantling of the old Sant Miquel gas station</t>
  </si>
  <si>
    <t>Repsol has completed the dismantling of the Sant Miquel gas station with the extraction of the fuel tanks that were underground.</t>
  </si>
  <si>
    <t>Repsol infrastructure changes, business transition</t>
  </si>
  <si>
    <t>Cambios de infraestructuras de Repsol, transición empresarial</t>
  </si>
  <si>
    <t>Closing outdated fuel terminals aligns with Repsol’s strategic modernization.</t>
  </si>
  <si>
    <t>desmantelamiento</t>
  </si>
  <si>
    <t>Mildly negative for closure</t>
  </si>
  <si>
    <t>Ligeramente negativo para el cierre</t>
  </si>
  <si>
    <r>
      <rPr>
        <rFont val="Arial, sans-serif"/>
        <color rgb="FF1155CC"/>
        <sz val="9.0"/>
        <u/>
      </rPr>
      <t>El Periódico de España</t>
    </r>
    <r>
      <rPr>
        <rFont val="Arial, sans-serif"/>
        <color rgb="FF1155CC"/>
        <sz val="15.0"/>
        <u/>
      </rPr>
      <t>Repsol, Cepsa y BP se reparten el 'megacontrato' de Correos de 115 millones en combustibles</t>
    </r>
    <r>
      <rPr>
        <rFont val="Arial, sans-serif"/>
        <color rgb="FF1155CC"/>
        <sz val="11.0"/>
        <u/>
      </rPr>
      <t>El pliego está compuesto por nueve lotes que agrupan las diferentes autonómias españolas, una composición que facilita el repostaje en las grandes redes de...</t>
    </r>
    <r>
      <rPr>
        <rFont val="Arial, sans-serif"/>
        <color rgb="FF1155CC"/>
        <sz val="12.0"/>
        <u/>
      </rPr>
      <t>.</t>
    </r>
    <r>
      <rPr>
        <rFont val="Arial, sans-serif"/>
        <color rgb="FF1155CC"/>
        <sz val="11.0"/>
        <u/>
      </rPr>
      <t>12 jun 2024</t>
    </r>
  </si>
  <si>
    <t>Repsol, Cepsa y BP se reparten el 'megacontrato' de Correos de 115 millones en combustibles</t>
  </si>
  <si>
    <t>El pliego está compuesto por nueve lotes que agrupan las diferentes autonómias españolas, una composición que facilita el repostaje en las grandes redes de....</t>
  </si>
  <si>
    <t>Repsol, Cepsa and BP share the Correos 'megacontract' of 115 million in fuel</t>
  </si>
  <si>
    <t>The document is made up of nine lots that group together the different Spanish autonomous regions, a composition that facilitates refueling in the large networks of...</t>
  </si>
  <si>
    <t>Repsol business contracts, energy partnerships</t>
  </si>
  <si>
    <t>Contratos comerciales de Repsol, alianzas energéticas</t>
  </si>
  <si>
    <t>Securing major energy supply contracts strengthens Repsol’s market position.</t>
  </si>
  <si>
    <t>megacontrato</t>
  </si>
  <si>
    <t>Positive business win</t>
  </si>
  <si>
    <t>Ganancia empresarial positiva</t>
  </si>
  <si>
    <r>
      <rPr>
        <rFont val="Arial, sans-serif"/>
        <color rgb="FF1155CC"/>
        <sz val="9.0"/>
        <u/>
      </rPr>
      <t>Guía Repsol</t>
    </r>
    <r>
      <rPr>
        <rFont val="Arial, sans-serif"/>
        <color rgb="FF1155CC"/>
        <sz val="15.0"/>
        <u/>
      </rPr>
      <t>Chiringuito Bico Beach: esencia balinesa y alma gallega</t>
    </r>
    <r>
      <rPr>
        <rFont val="Arial, sans-serif"/>
        <color rgb="FF1155CC"/>
        <sz val="11.0"/>
        <u/>
      </rPr>
      <t>Sobre la playa de Pragueira, en Sanxenxo, Bico Beach permite disfrutar de un atardecer impactante con vistas a la isla de Ons, un tardeo con música reggae,.</t>
    </r>
    <r>
      <rPr>
        <rFont val="Arial, sans-serif"/>
        <color rgb="FF1155CC"/>
        <sz val="12.0"/>
        <u/>
      </rPr>
      <t>.</t>
    </r>
    <r>
      <rPr>
        <rFont val="Arial, sans-serif"/>
        <color rgb="FF1155CC"/>
        <sz val="11.0"/>
        <u/>
      </rPr>
      <t>12 jun 2024</t>
    </r>
  </si>
  <si>
    <t>Chiringuito Bico Beach: esencia balinesa y alma gallega</t>
  </si>
  <si>
    <t>Sobre la playa de Pragueira, en Sanxenxo, Bico Beach permite disfrutar de un atardecer impactante con vistas a la isla de Ons, un tardeo con música reggae,..</t>
  </si>
  <si>
    <t>Bico Beach Chiringuito: Balinese essence and Galician soul</t>
  </si>
  <si>
    <t>On Pragueira beach, in Sanxenxo, Bico Beach allows you to enjoy a stunning sunset with views of the island of Ons, an afternoon with reggae music,...</t>
  </si>
  <si>
    <r>
      <rPr>
        <rFont val="Arial, sans-serif"/>
        <color rgb="FF1155CC"/>
        <sz val="9.0"/>
        <u/>
      </rPr>
      <t>El HuffPost</t>
    </r>
    <r>
      <rPr>
        <rFont val="Arial, sans-serif"/>
        <color rgb="FF1155CC"/>
        <sz val="15.0"/>
        <u/>
      </rPr>
      <t>Mucha atención con estas gasolineras: te pagarán por llevar aceite de cocina usado</t>
    </r>
    <r>
      <rPr>
        <rFont val="Arial, sans-serif"/>
        <color rgb="FF1155CC"/>
        <sz val="11.0"/>
        <u/>
      </rPr>
      <t>En el día a día, generamos diversos tipos de desechos, desde envoltorios de alimentos hasta emisiones de gases por transporte. Algunos de estos desechos...</t>
    </r>
    <r>
      <rPr>
        <rFont val="Arial, sans-serif"/>
        <color rgb="FF1155CC"/>
        <sz val="12.0"/>
        <u/>
      </rPr>
      <t>.</t>
    </r>
    <r>
      <rPr>
        <rFont val="Arial, sans-serif"/>
        <color rgb="FF1155CC"/>
        <sz val="11.0"/>
        <u/>
      </rPr>
      <t>12 jun 2024</t>
    </r>
  </si>
  <si>
    <t>Mucha atención con estas gasolineras: te pagarán por llevar aceite de cocina usado</t>
  </si>
  <si>
    <t>En el día a día, generamos diversos tipos de desechos, desde envoltorios de alimentos hasta emisiones de gases por transporte. Algunos de estos desechos....</t>
  </si>
  <si>
    <t>Be careful with these gas stations: they will pay you to carry used cooking oil</t>
  </si>
  <si>
    <t>On a daily basis, we generate various types of waste, from food packaging to gas emissions from transportation. Some of this waste...</t>
  </si>
  <si>
    <t>Fuel pricing warnings do not impact Repsol’s corporate perception.</t>
  </si>
  <si>
    <r>
      <rPr>
        <rFont val="Arial, sans-serif"/>
        <color rgb="FF1155CC"/>
        <sz val="9.0"/>
        <u/>
      </rPr>
      <t>20Minutos</t>
    </r>
    <r>
      <rPr>
        <rFont val="Arial, sans-serif"/>
        <color rgb="FF1155CC"/>
        <sz val="15.0"/>
        <u/>
      </rPr>
      <t>Soletes de Barrio: los mejores sitios para comer de lujo a buen precio en Madrid</t>
    </r>
    <r>
      <rPr>
        <rFont val="Arial, sans-serif"/>
        <color rgb="FF1155CC"/>
        <sz val="11.0"/>
        <u/>
      </rPr>
      <t>No todo pasa en el centro. En una gran ciudad como Madrid hay mil y una opciones para salir a comer un domingo, cenar un sábado o tapear un viernes también...</t>
    </r>
    <r>
      <rPr>
        <rFont val="Arial, sans-serif"/>
        <color rgb="FF1155CC"/>
        <sz val="12.0"/>
        <u/>
      </rPr>
      <t>.</t>
    </r>
    <r>
      <rPr>
        <rFont val="Arial, sans-serif"/>
        <color rgb="FF1155CC"/>
        <sz val="11.0"/>
        <u/>
      </rPr>
      <t>12 jun 2024</t>
    </r>
  </si>
  <si>
    <t>Soletes de Barrio: los mejores sitios para comer de lujo a buen precio en Madrid</t>
  </si>
  <si>
    <t>No todo pasa en el centro. En una gran ciudad como Madrid hay mil y una opciones para salir a comer un domingo, cenar un sábado o tapear un viernes también.</t>
  </si>
  <si>
    <t>Soletes de Barrio: the best places to eat luxury at a good price in Madrid</t>
  </si>
  <si>
    <t>Not everything happens in the center. In a big city like Madrid there are a thousand and one options to go out to eat on a Sunday, have dinner on a Saturday or have tapas on a Friday too.</t>
  </si>
  <si>
    <r>
      <rPr>
        <rFont val="Arial, sans-serif"/>
        <color rgb="FF1155CC"/>
        <sz val="9.0"/>
        <u/>
      </rPr>
      <t>Todocircuito.com</t>
    </r>
    <r>
      <rPr>
        <rFont val="Arial, sans-serif"/>
        <color rgb="FF1155CC"/>
        <sz val="15.0"/>
        <u/>
      </rPr>
      <t>Joan Mir: "Cuando firmé con Honda tenía muchas ofertas, ahora no"</t>
    </r>
    <r>
      <rPr>
        <rFont val="Arial, sans-serif"/>
        <color rgb="FF1155CC"/>
        <sz val="11.0"/>
        <u/>
      </rPr>
      <t>Joan Mir todavía no sabe qué hacer con su futuro. En medio de su segundo año de contrato con Honda, el piloto balear no está dispuesto a sufrir en 2025 las...</t>
    </r>
    <r>
      <rPr>
        <rFont val="Arial, sans-serif"/>
        <color rgb="FF1155CC"/>
        <sz val="12.0"/>
        <u/>
      </rPr>
      <t>.</t>
    </r>
    <r>
      <rPr>
        <rFont val="Arial, sans-serif"/>
        <color rgb="FF1155CC"/>
        <sz val="11.0"/>
        <u/>
      </rPr>
      <t>12 jun 2024</t>
    </r>
  </si>
  <si>
    <t>Joan Mir: "Cuando firmé con Honda tenía muchas ofertas, ahora no"</t>
  </si>
  <si>
    <t>Joan Mir todavía no sabe qué hacer con su futuro. En medio de su segundo año de contrato con Honda, el piloto balear no está dispuesto a sufrir en 2025 las....</t>
  </si>
  <si>
    <t>Joan Mir: "When I signed with Honda I had many offers, not now"</t>
  </si>
  <si>
    <t>Joan Mir still doesn't know what to do with his future. In the middle of his second year of contract with Honda, the Balearic pilot is not willing to suffer the...</t>
  </si>
  <si>
    <r>
      <rPr>
        <rFont val="Arial, sans-serif"/>
        <color rgb="FF1155CC"/>
        <sz val="9.0"/>
        <u/>
      </rPr>
      <t>ABC</t>
    </r>
    <r>
      <rPr>
        <rFont val="Arial, sans-serif"/>
        <color rgb="FF1155CC"/>
        <sz val="15.0"/>
        <u/>
      </rPr>
      <t>Repsol regala cinco euros en carburante a quien recoja pedidos de Amazon en sus gasolineras</t>
    </r>
    <r>
      <rPr>
        <rFont val="Arial, sans-serif"/>
        <color rgb="FF1155CC"/>
        <sz val="11.0"/>
        <u/>
      </rPr>
      <t>Los clientes tendrán que recoger su paquete en los Amazon Lockers instalados en las 700 estaciones de servicio. No tires el aceite de cocina usado: Repsol...</t>
    </r>
    <r>
      <rPr>
        <rFont val="Arial, sans-serif"/>
        <color rgb="FF1155CC"/>
        <sz val="12.0"/>
        <u/>
      </rPr>
      <t>.</t>
    </r>
    <r>
      <rPr>
        <rFont val="Arial, sans-serif"/>
        <color rgb="FF1155CC"/>
        <sz val="11.0"/>
        <u/>
      </rPr>
      <t>13 jun 2024</t>
    </r>
  </si>
  <si>
    <t>Repsol regala cinco euros en carburante a quien recoja pedidos de Amazon en sus gasolineras</t>
  </si>
  <si>
    <t>Los clientes tendrán que recoger su paquete en los Amazon Lockers instalados en las 700 estaciones de servicio. No tires el aceite de cocina usado: Repsol....</t>
  </si>
  <si>
    <t>Repsol gives five euros in fuel to anyone who collects Amazon orders at its gas stations</t>
  </si>
  <si>
    <t>Customers will have to pick up their package at the Amazon Lockers installed at the 700 service stations. Don't throw away used cooking oil: Repsol....</t>
  </si>
  <si>
    <t>Repsol customer rewards, business expansion</t>
  </si>
  <si>
    <t>Recompensa al cliente Repsol, expansión empresarial</t>
  </si>
  <si>
    <t>Expanding promotional incentives strengthens Repsol’s consumer retention.</t>
  </si>
  <si>
    <t>regala, carburante</t>
  </si>
  <si>
    <r>
      <rPr>
        <rFont val="Arial, sans-serif"/>
        <color rgb="FF1155CC"/>
        <sz val="9.0"/>
        <u/>
      </rPr>
      <t>Repsol</t>
    </r>
    <r>
      <rPr>
        <rFont val="Arial, sans-serif"/>
        <color rgb="FF1155CC"/>
        <sz val="15.0"/>
        <u/>
      </rPr>
      <t>Parque solar: qué es y cómo funcionan</t>
    </r>
    <r>
      <rPr>
        <rFont val="Arial, sans-serif"/>
        <color rgb="FF1155CC"/>
        <sz val="11.0"/>
        <u/>
      </rPr>
      <t>Descubre cómo los parques solares impulsan la energía renovable, reducen costes y apoyan la sostenibilidad. Soluciones eficientes y ecológicas para un...</t>
    </r>
    <r>
      <rPr>
        <rFont val="Arial, sans-serif"/>
        <color rgb="FF1155CC"/>
        <sz val="12.0"/>
        <u/>
      </rPr>
      <t>.</t>
    </r>
    <r>
      <rPr>
        <rFont val="Arial, sans-serif"/>
        <color rgb="FF1155CC"/>
        <sz val="11.0"/>
        <u/>
      </rPr>
      <t>13 jun 2024</t>
    </r>
  </si>
  <si>
    <t>Parque solar: qué es y cómo funcionan</t>
  </si>
  <si>
    <t>Descubre cómo los parques solares impulsan la energía renovable, reducen costes y apoyan la sostenibilidad. Soluciones eficientes y ecológicas para un....</t>
  </si>
  <si>
    <t>Solar park: what it is and how it works</t>
  </si>
  <si>
    <t>Discover how solar parks boost renewable energy, reduce costs and support sustainability. Efficient and ecological solutions for a...</t>
  </si>
  <si>
    <r>
      <rPr>
        <rFont val="Arial, sans-serif"/>
        <color rgb="FF1155CC"/>
        <sz val="9.0"/>
        <u/>
      </rPr>
      <t>hoy aragón</t>
    </r>
    <r>
      <rPr>
        <rFont val="Arial, sans-serif"/>
        <color rgb="FF1155CC"/>
        <sz val="15.0"/>
        <u/>
      </rPr>
      <t>5 euros de regalo para gasolina si recoges tu pedido de Amazon en una gasolinera de Repsol: esto hay que hacer</t>
    </r>
    <r>
      <rPr>
        <rFont val="Arial, sans-serif"/>
        <color rgb="FF1155CC"/>
        <sz val="11.0"/>
        <u/>
      </rPr>
      <t>Repsol lanza una nueva ofensiva para captar clientes de cara a la temporada de verano, con el objetivo de alcanzar los 10 millones de usuarios en su...</t>
    </r>
    <r>
      <rPr>
        <rFont val="Arial, sans-serif"/>
        <color rgb="FF1155CC"/>
        <sz val="12.0"/>
        <u/>
      </rPr>
      <t>.</t>
    </r>
    <r>
      <rPr>
        <rFont val="Arial, sans-serif"/>
        <color rgb="FF1155CC"/>
        <sz val="11.0"/>
        <u/>
      </rPr>
      <t>13 jun 2024</t>
    </r>
  </si>
  <si>
    <t>5 euros de regalo para gasolina si recoges tu pedido de Amazon en una gasolinera de Repsol: esto hay que hacer</t>
  </si>
  <si>
    <t>Repsol lanza una nueva ofensiva para captar clientes de cara a la temporada de verano, con el objetivo de alcanzar los 10 millones de usuarios en su....</t>
  </si>
  <si>
    <t>5 euros gift for gasoline if you pick up your Amazon order at a Repsol gas station: this must be done</t>
  </si>
  <si>
    <t>Repsol launches a new offensive to attract customers for the summer season, with the aim of reaching 10 million users in its...</t>
  </si>
  <si>
    <t>Repsol customer rewards, fuel discount</t>
  </si>
  <si>
    <t>Recompensa clientes Repsol, descuento en combustible</t>
  </si>
  <si>
    <t>Expanding loyalty programs strengthens Repsol’s customer retention.</t>
  </si>
  <si>
    <t>regalo, gasolina</t>
  </si>
  <si>
    <r>
      <rPr>
        <rFont val="Arial, sans-serif"/>
        <color rgb="FF1155CC"/>
        <sz val="9.0"/>
        <u/>
      </rPr>
      <t>El Confidencial</t>
    </r>
    <r>
      <rPr>
        <rFont val="Arial, sans-serif"/>
        <color rgb="FF1155CC"/>
        <sz val="15.0"/>
        <u/>
      </rPr>
      <t>Las marquesinas inteligentes que quieren resucitar la España vaciada</t>
    </r>
    <r>
      <rPr>
        <rFont val="Arial, sans-serif"/>
        <color rgb="FF1155CC"/>
        <sz val="11.0"/>
        <u/>
      </rPr>
      <t>Cuatro estudiantes de la Universidad de Zaragoza, participantes en el Challenge Universitario de Fundación Repsol, diseñan unas marquesinas alimentadas con...</t>
    </r>
    <r>
      <rPr>
        <rFont val="Arial, sans-serif"/>
        <color rgb="FF1155CC"/>
        <sz val="12.0"/>
        <u/>
      </rPr>
      <t>.</t>
    </r>
    <r>
      <rPr>
        <rFont val="Arial, sans-serif"/>
        <color rgb="FF1155CC"/>
        <sz val="11.0"/>
        <u/>
      </rPr>
      <t>13 jun 2024</t>
    </r>
  </si>
  <si>
    <t>Las marquesinas inteligentes que quieren resucitar la España vaciada</t>
  </si>
  <si>
    <t>Cuatro estudiantes de la Universidad de Zaragoza, participantes en el Challenge Universitario de Fundación Repsol, diseñan unas marquesinas alimentadas con....</t>
  </si>
  <si>
    <t>The intelligent canopies that want to resurrect emptied Spain</t>
  </si>
  <si>
    <t>Four students from the University of Zaragoza, participants in the Repsol Foundation's University Challenge, design canopies powered by...</t>
  </si>
  <si>
    <r>
      <rPr>
        <rFont val="Arial, sans-serif"/>
        <color rgb="FF1155CC"/>
        <sz val="9.0"/>
        <u/>
      </rPr>
      <t>Box Repsol</t>
    </r>
    <r>
      <rPr>
        <rFont val="Arial, sans-serif"/>
        <color rgb="FF1155CC"/>
        <sz val="15.0"/>
        <u/>
      </rPr>
      <t>¿Qué son y cómo funcionan los radares anti frenazo?</t>
    </r>
    <r>
      <rPr>
        <rFont val="Arial, sans-serif"/>
        <color rgb="FF1155CC"/>
        <sz val="11.0"/>
        <u/>
      </rPr>
      <t>Por imperativo legal, todos los radares fijos han de estar señalizados, lo que permite a los usuarios evitar superar la velocidad máxima a su paso por ellos...</t>
    </r>
    <r>
      <rPr>
        <rFont val="Arial, sans-serif"/>
        <color rgb="FF1155CC"/>
        <sz val="12.0"/>
        <u/>
      </rPr>
      <t>.</t>
    </r>
    <r>
      <rPr>
        <rFont val="Arial, sans-serif"/>
        <color rgb="FF1155CC"/>
        <sz val="11.0"/>
        <u/>
      </rPr>
      <t>13 jun 2024</t>
    </r>
  </si>
  <si>
    <t>¿Qué son y cómo funcionan los radares anti frenazo?</t>
  </si>
  <si>
    <t>Por imperativo legal, todos los radares fijos han de estar señalizados, lo que permite a los usuarios evitar superar la velocidad máxima a su paso por ellos.</t>
  </si>
  <si>
    <t>What are anti-braking radars and how do they work?</t>
  </si>
  <si>
    <t>By legal imperative, all fixed radars must be signposted, which allows users to avoid exceeding the maximum speed when passing through them.</t>
  </si>
  <si>
    <r>
      <rPr>
        <rFont val="Arial, sans-serif"/>
        <color rgb="FF1155CC"/>
        <sz val="9.0"/>
        <u/>
      </rPr>
      <t>Infobae</t>
    </r>
    <r>
      <rPr>
        <rFont val="Arial, sans-serif"/>
        <color rgb="FF1155CC"/>
        <sz val="15.0"/>
        <u/>
      </rPr>
      <t>Derrame de Repsol: pérdidas por desastre ambiental podría alcanzar más de 2 millones de dólares al año</t>
    </r>
    <r>
      <rPr>
        <rFont val="Arial, sans-serif"/>
        <color rgb="FF1155CC"/>
        <sz val="11.0"/>
        <u/>
      </rPr>
      <t>A dos años del derrame de casi 12 mil 000 barriles de petróleo de Repsol en el mar peruano, miles de pescadores no han podido volver a pescar.</t>
    </r>
    <r>
      <rPr>
        <rFont val="Arial, sans-serif"/>
        <color rgb="FF1155CC"/>
        <sz val="12.0"/>
        <u/>
      </rPr>
      <t>.</t>
    </r>
    <r>
      <rPr>
        <rFont val="Arial, sans-serif"/>
        <color rgb="FF1155CC"/>
        <sz val="11.0"/>
        <u/>
      </rPr>
      <t>13 jun 2024</t>
    </r>
  </si>
  <si>
    <t>Derrame de Repsol: pérdidas por desastre ambiental podría alcanzar más de 2 millones de dólares al año</t>
  </si>
  <si>
    <t>A dos años del derrame de casi 12 mil 000 barriles de petróleo de Repsol en el mar peruano, miles de pescadores no han podido volver a pescar.</t>
  </si>
  <si>
    <t>Repsol spill: losses from environmental disaster could reach more than 2 million dollars a year</t>
  </si>
  <si>
    <t>Derrame, desastre ambiental</t>
  </si>
  <si>
    <t>Severe negative for environmental impact</t>
  </si>
  <si>
    <t>Severo negativo para el impacto ambiental.</t>
  </si>
  <si>
    <r>
      <rPr>
        <rFont val="Arial, sans-serif"/>
        <color rgb="FF1155CC"/>
        <sz val="9.0"/>
        <u/>
      </rPr>
      <t>Repsol</t>
    </r>
    <r>
      <rPr>
        <rFont val="Arial, sans-serif"/>
        <color rgb="FF1155CC"/>
        <sz val="15.0"/>
        <u/>
      </rPr>
      <t>¿Qué es un Hackaton? Ejemplos y beneficios para las empresas</t>
    </r>
    <r>
      <rPr>
        <rFont val="Arial, sans-serif"/>
        <color rgb="FF1155CC"/>
        <sz val="11.0"/>
        <u/>
      </rPr>
      <t>Un hackaton es un evento colaborativo en el que participan programadores, diseñadores y otros profesionales dedicados al desarrollo de software y hardware,...</t>
    </r>
    <r>
      <rPr>
        <rFont val="Arial, sans-serif"/>
        <color rgb="FF1155CC"/>
        <sz val="12.0"/>
        <u/>
      </rPr>
      <t>.</t>
    </r>
    <r>
      <rPr>
        <rFont val="Arial, sans-serif"/>
        <color rgb="FF1155CC"/>
        <sz val="11.0"/>
        <u/>
      </rPr>
      <t>13 jun 2024</t>
    </r>
  </si>
  <si>
    <t>¿Qué es un Hackaton? Ejemplos y beneficios para las empresas</t>
  </si>
  <si>
    <t>Un hackaton es un evento colaborativo en el que participan programadores, diseñadores y otros profesionales dedicados al desarrollo de software y hardware,....</t>
  </si>
  <si>
    <t>What is a Hackathon? Examples and benefits for companies</t>
  </si>
  <si>
    <t>A hackathon is a collaborative event in which programmers, designers and other professionals dedicated to software and hardware development participate....</t>
  </si>
  <si>
    <r>
      <rPr>
        <rFont val="Arial, sans-serif"/>
        <color rgb="FF1155CC"/>
        <sz val="9.0"/>
        <u/>
      </rPr>
      <t>The Objective</t>
    </r>
    <r>
      <rPr>
        <rFont val="Arial, sans-serif"/>
        <color rgb="FF1155CC"/>
        <sz val="15.0"/>
        <u/>
      </rPr>
      <t>Denuncian que ha llegado diésel ruso a España por valor de 35 millones de euros en 2024</t>
    </r>
    <r>
      <rPr>
        <rFont val="Arial, sans-serif"/>
        <color rgb="FF1155CC"/>
        <sz val="11.0"/>
        <u/>
      </rPr>
      <t>La organización europea CREA (Centre for Research on Energy and Clean Air) denuncia en un informe la entrada de diésel ruso a España por un valor de 35 Dos...</t>
    </r>
    <r>
      <rPr>
        <rFont val="Arial, sans-serif"/>
        <color rgb="FF1155CC"/>
        <sz val="12.0"/>
        <u/>
      </rPr>
      <t>.</t>
    </r>
    <r>
      <rPr>
        <rFont val="Arial, sans-serif"/>
        <color rgb="FF1155CC"/>
        <sz val="11.0"/>
        <u/>
      </rPr>
      <t>13 jun 2024</t>
    </r>
  </si>
  <si>
    <t>CREA (Centre for Research on Energy and Clean Air)</t>
  </si>
  <si>
    <t>Denuncian que ha llegado diésel ruso a España por valor de 35 millones de euros en 2024</t>
  </si>
  <si>
    <t>La organización europea CREA (Centre for Research on Energy and Clean Air) denuncia en un informe la entrada de diésel ruso a España por un valor de 35 millones de euros en 2024.</t>
  </si>
  <si>
    <t>They report that Russian diesel has arrived in Spain worth 35 million euros in 2024</t>
  </si>
  <si>
    <t>The European organization CREA (Centre for Research on Energy and Clean Air) denounces in a report the entry of Russian diesel into Spain worth 35 million euros in 2024.</t>
  </si>
  <si>
    <r>
      <rPr>
        <rFont val="Arial, sans-serif"/>
        <color rgb="FF1155CC"/>
        <sz val="9.0"/>
        <u/>
      </rPr>
      <t>El Español</t>
    </r>
    <r>
      <rPr>
        <rFont val="Arial, sans-serif"/>
        <color rgb="FF1155CC"/>
        <sz val="15.0"/>
        <u/>
      </rPr>
      <t>El periodista de EL ESPAÑOL, José Luis Cano, Premio de la Energía de Enerclub</t>
    </r>
    <r>
      <rPr>
        <rFont val="Arial, sans-serif"/>
        <color rgb="FF1155CC"/>
        <sz val="11.0"/>
        <u/>
      </rPr>
      <t>El galardón reconoce las informaciones, reportajes y entrevistas sobre combustibles renovables y sintéticos publicadas en este periódico.</t>
    </r>
    <r>
      <rPr>
        <rFont val="Arial, sans-serif"/>
        <color rgb="FF1155CC"/>
        <sz val="12.0"/>
        <u/>
      </rPr>
      <t>.</t>
    </r>
    <r>
      <rPr>
        <rFont val="Arial, sans-serif"/>
        <color rgb="FF1155CC"/>
        <sz val="11.0"/>
        <u/>
      </rPr>
      <t>13 jun 2024</t>
    </r>
  </si>
  <si>
    <t>El periodista de EL ESPAÑOL, José Luis Cano, Premio de la Energía de Enerclub</t>
  </si>
  <si>
    <t>El galardón reconoce las informaciones, reportajes y entrevistas sobre combustibles renovables y sintéticos publicadas en este periódico.</t>
  </si>
  <si>
    <t>EL ESPAÑOL journalist, José Luis Cano, Enerclub Energy Award</t>
  </si>
  <si>
    <t>The award recognizes the information, reports and interviews on renewable and synthetic fuels published in this newspaper.</t>
  </si>
  <si>
    <t>Journalism</t>
  </si>
  <si>
    <r>
      <rPr>
        <rFont val="Arial, sans-serif"/>
        <color rgb="FF1155CC"/>
        <sz val="9.0"/>
        <u/>
      </rPr>
      <t>Cadena SER</t>
    </r>
    <r>
      <rPr>
        <rFont val="Arial, sans-serif"/>
        <color rgb="FF1155CC"/>
        <sz val="15.0"/>
        <u/>
      </rPr>
      <t>El tren de hidrógeno está entrando en la estación y del repostaje se encarga el CNH2 de Puertollano</t>
    </r>
    <r>
      <rPr>
        <rFont val="Arial, sans-serif"/>
        <color rgb="FF1155CC"/>
        <sz val="11.0"/>
        <u/>
      </rPr>
      <t>El Centro Nacional del Hidrógeno de Puertollano ha desarrollado un innovador prototipo de estación de repostaje móvil de hidrógeno para trenes,...</t>
    </r>
    <r>
      <rPr>
        <rFont val="Arial, sans-serif"/>
        <color rgb="FF1155CC"/>
        <sz val="12.0"/>
        <u/>
      </rPr>
      <t>.</t>
    </r>
    <r>
      <rPr>
        <rFont val="Arial, sans-serif"/>
        <color rgb="FF1155CC"/>
        <sz val="11.0"/>
        <u/>
      </rPr>
      <t>13 jun 2024</t>
    </r>
  </si>
  <si>
    <t>El tren de hidrógeno está entrando en la estación y del repostaje se encarga el CNH2 de Puertollano</t>
  </si>
  <si>
    <t>El Centro Nacional del Hidrógeno de Puertollano ha desarrollado un innovador prototipo de estación de repostaje móvil de hidrógeno para trenes,....</t>
  </si>
  <si>
    <t>The hydrogen train is entering the station and the CNH2 from Puertollano is responsible for refueling</t>
  </si>
  <si>
    <t>The National Hydrogen Center of Puertollano has developed an innovative prototype of a mobile hydrogen refueling station for trains,...</t>
  </si>
  <si>
    <r>
      <rPr>
        <rFont val="Arial, sans-serif"/>
        <color rgb="FF1155CC"/>
        <sz val="9.0"/>
        <u/>
      </rPr>
      <t>Bankinter</t>
    </r>
    <r>
      <rPr>
        <rFont val="Arial, sans-serif"/>
        <color rgb="FF1155CC"/>
        <sz val="15.0"/>
        <u/>
      </rPr>
      <t>Análisis de las últimas noticias de Repsol</t>
    </r>
    <r>
      <rPr>
        <rFont val="Arial, sans-serif"/>
        <color rgb="FF1155CC"/>
        <sz val="11.0"/>
        <u/>
      </rPr>
      <t>Consulta las últimas noticias relevantes de Repsol y la opinión del equipo de análisis de Bankinter | Bankinter.</t>
    </r>
    <r>
      <rPr>
        <rFont val="Arial, sans-serif"/>
        <color rgb="FF1155CC"/>
        <sz val="12.0"/>
        <u/>
      </rPr>
      <t>.</t>
    </r>
    <r>
      <rPr>
        <rFont val="Arial, sans-serif"/>
        <color rgb="FF1155CC"/>
        <sz val="11.0"/>
        <u/>
      </rPr>
      <t>14 jun 2024</t>
    </r>
  </si>
  <si>
    <t>Bankinter</t>
  </si>
  <si>
    <t>Análisis de las últimas noticias de Repsol</t>
  </si>
  <si>
    <t>Consulta las últimas noticias relevantes de Repsol y la opinión del equipo de análisis de Bankinter.</t>
  </si>
  <si>
    <t>Analysis of the latest news from Repsol</t>
  </si>
  <si>
    <t>Consult the latest relevant news from Repsol and the opinion of the Bankinter analysis team.</t>
  </si>
  <si>
    <t>Repsol energy market, business updates</t>
  </si>
  <si>
    <t>Repsol mercado energético, actualizaciones empresariales</t>
  </si>
  <si>
    <t>Keeping investors informed on Repsol’s developments supports market confidence.</t>
  </si>
  <si>
    <t>Neutral analysis</t>
  </si>
  <si>
    <t>Análisis neutral</t>
  </si>
  <si>
    <r>
      <rPr>
        <rFont val="Arial, sans-serif"/>
        <color rgb="FF1155CC"/>
        <sz val="9.0"/>
        <u/>
      </rPr>
      <t>Expansión</t>
    </r>
    <r>
      <rPr>
        <rFont val="Arial, sans-serif"/>
        <color rgb="FF1155CC"/>
        <sz val="15.0"/>
        <u/>
      </rPr>
      <t>Aramco ficha a BNP para negociar su entrada en Repsol Renovables</t>
    </r>
    <r>
      <rPr>
        <rFont val="Arial, sans-serif"/>
        <color rgb="FF1155CC"/>
        <sz val="11.0"/>
        <u/>
      </rPr>
      <t>Aramco ha contratado los servicios de BNP Paribas para negociar su entrada en el capital de Repsol Renovables como nuevo accionista minoritario a través de...</t>
    </r>
    <r>
      <rPr>
        <rFont val="Arial, sans-serif"/>
        <color rgb="FF1155CC"/>
        <sz val="12.0"/>
        <u/>
      </rPr>
      <t>.</t>
    </r>
    <r>
      <rPr>
        <rFont val="Arial, sans-serif"/>
        <color rgb="FF1155CC"/>
        <sz val="11.0"/>
        <u/>
      </rPr>
      <t>14 jun 2024</t>
    </r>
  </si>
  <si>
    <t>Aramco ficha a BNP para negociar su entrada en Repsol Renovables</t>
  </si>
  <si>
    <t>Aramco ha contratado los servicios de BNP Paribas para negociar su entrada en el capital de Repsol Renovables como nuevo accionista minoritario a través de....</t>
  </si>
  <si>
    <t>Aramco signs BNP to negotiate its entry into Repsol Renovables</t>
  </si>
  <si>
    <t>Aramco has hired the services of BNP Paribas to negotiate its entry into the capital of Repsol Renovables as a new minority shareholder through....</t>
  </si>
  <si>
    <t>Attracting foreign investment in renewables strengthens Repsol’s sustainability plans.</t>
  </si>
  <si>
    <t>Aramco, Renovables</t>
  </si>
  <si>
    <t>Positive investment potential</t>
  </si>
  <si>
    <t>Potencial de inversión positivo</t>
  </si>
  <si>
    <r>
      <rPr>
        <rFont val="Arial, sans-serif"/>
        <color rgb="FF1155CC"/>
        <sz val="9.0"/>
        <u/>
      </rPr>
      <t>El Economista</t>
    </r>
    <r>
      <rPr>
        <rFont val="Arial, sans-serif"/>
        <color rgb="FF1155CC"/>
        <sz val="15.0"/>
        <u/>
      </rPr>
      <t>Imaz (Repsol) pide más ambición energética a Europa para evitar quedarse atrás</t>
    </r>
    <r>
      <rPr>
        <rFont val="Arial, sans-serif"/>
        <color rgb="FF1155CC"/>
        <sz val="11.0"/>
        <u/>
      </rPr>
      <t>El consejero delegado de Repsol, Josu Jon Imaz, alertó este viernes sobre el riesgo que corre la Unión Europea de quedarse atrás con ...</t>
    </r>
    <r>
      <rPr>
        <rFont val="Arial, sans-serif"/>
        <color rgb="FF1155CC"/>
        <sz val="12.0"/>
        <u/>
      </rPr>
      <t>.</t>
    </r>
    <r>
      <rPr>
        <rFont val="Arial, sans-serif"/>
        <color rgb="FF1155CC"/>
        <sz val="11.0"/>
        <u/>
      </rPr>
      <t>14 jun 2024</t>
    </r>
  </si>
  <si>
    <t>Imaz (Repsol) pide más ambición energética a Europa para evitar quedarse atrás</t>
  </si>
  <si>
    <t>El consejero delegado de Repsol, Josu Jon Imaz, alertó este viernes sobre el riesgo que corre la Unión Europea de quedarse atrás con ....</t>
  </si>
  <si>
    <t>Imaz (Repsol) asks for more energy ambition from Europe to avoid being left behind</t>
  </si>
  <si>
    <t>The CEO of Repsol, Josu Jon Imaz, warned this Friday about the risk that the European Union runs of falling behind with...</t>
  </si>
  <si>
    <t>Repsol energy policy, business strategy</t>
  </si>
  <si>
    <t>Política energética de Repsol, estrategia empresarial</t>
  </si>
  <si>
    <t>Advocating for pro-energy policies aligns with Repsol’s growth interests.</t>
  </si>
  <si>
    <t>Neutral corporate stance</t>
  </si>
  <si>
    <t>Postura corporativa neutral</t>
  </si>
  <si>
    <r>
      <rPr>
        <rFont val="Arial, sans-serif"/>
        <color rgb="FF1155CC"/>
        <sz val="9.0"/>
        <u/>
      </rPr>
      <t>Bolsamania</t>
    </r>
    <r>
      <rPr>
        <rFont val="Arial, sans-serif"/>
        <color rgb="FF1155CC"/>
        <sz val="15.0"/>
        <u/>
      </rPr>
      <t>El grupo saudí Aramco negocia comprar el 25% de Repsol Renovables</t>
    </r>
    <r>
      <rPr>
        <rFont val="Arial, sans-serif"/>
        <color rgb="FF1155CC"/>
        <sz val="11.0"/>
        <u/>
      </rPr>
      <t>El grupo de Arabia Saudí Aramco está negociando comprar el 25% de Repsol Renovables. Según 'Expansión', ha contratado a BNP Paribas para efectuar su entrada...</t>
    </r>
    <r>
      <rPr>
        <rFont val="Arial, sans-serif"/>
        <color rgb="FF1155CC"/>
        <sz val="12.0"/>
        <u/>
      </rPr>
      <t>.</t>
    </r>
    <r>
      <rPr>
        <rFont val="Arial, sans-serif"/>
        <color rgb="FF1155CC"/>
        <sz val="11.0"/>
        <u/>
      </rPr>
      <t>14 jun 2024</t>
    </r>
  </si>
  <si>
    <t>El grupo saudí Aramco negocia comprar el 25% de Repsol Renovables</t>
  </si>
  <si>
    <t>El grupo de Arabia Saudí Aramco está negociando comprar el 25% de Repsol Renovables. Según 'Expansión', ha contratado a BNP Paribas para efectuar su entrada.</t>
  </si>
  <si>
    <t>The Saudi group Aramco is negotiating to buy 25% of Repsol Renovables</t>
  </si>
  <si>
    <t>The Saudi Arabian group Aramco is negotiating to buy 25% of Repsol Renovables. According to 'Expansión', it has hired BNP Paribas to make its entry.</t>
  </si>
  <si>
    <t>Expanding investment in renewables supports Repsol’s clean energy transition.</t>
  </si>
  <si>
    <r>
      <rPr>
        <rFont val="Arial, sans-serif"/>
        <color rgb="FF1155CC"/>
        <sz val="9.0"/>
        <u/>
      </rPr>
      <t>La Comarca de Puertollano</t>
    </r>
    <r>
      <rPr>
        <rFont val="Arial, sans-serif"/>
        <color rgb="FF1155CC"/>
        <sz val="15.0"/>
        <u/>
      </rPr>
      <t>Repsol cumple una década colaborando con la Hermandad de Donantes de Sangre de Puertollano</t>
    </r>
    <r>
      <rPr>
        <rFont val="Arial, sans-serif"/>
        <color rgb="FF1155CC"/>
        <sz val="11.0"/>
        <u/>
      </rPr>
      <t>A los largo de estos diez años más de mil trabajadores han participado en las jornadas de donación que el centro industrial organiza dos veces al año.</t>
    </r>
    <r>
      <rPr>
        <rFont val="Arial, sans-serif"/>
        <color rgb="FF1155CC"/>
        <sz val="12.0"/>
        <u/>
      </rPr>
      <t>.</t>
    </r>
    <r>
      <rPr>
        <rFont val="Arial, sans-serif"/>
        <color rgb="FF1155CC"/>
        <sz val="11.0"/>
        <u/>
      </rPr>
      <t>14 jun 2024</t>
    </r>
  </si>
  <si>
    <t>Repsol cumple una década colaborando con la Hermandad de Donantes de Sangre de Puertollano</t>
  </si>
  <si>
    <t>A los largo de estos diez años más de mil trabajadores han participado en las jornadas de donación que el centro industrial organiza dos veces al año.</t>
  </si>
  <si>
    <t>Repsol celebrates a decade collaborating with the Brotherhood of Blood Donors of Puertollano</t>
  </si>
  <si>
    <t>Over the course of these ten years, more than a thousand workers have participated in the donation days that the industrial center organizes twice a year.</t>
  </si>
  <si>
    <t>Repsol corporate responsibility, social impact</t>
  </si>
  <si>
    <t>Responsabilidad corporativa Repsol, impacto social</t>
  </si>
  <si>
    <t>Supporting inclusivity initiatives strengthens Repsol’s corporate image.</t>
  </si>
  <si>
    <t>Neutral CSR initiative</t>
  </si>
  <si>
    <t>Iniciativa neutral de RSE</t>
  </si>
  <si>
    <r>
      <rPr>
        <rFont val="Arial, sans-serif"/>
        <color rgb="FF1155CC"/>
        <sz val="9.0"/>
        <u/>
      </rPr>
      <t>20Minutos</t>
    </r>
    <r>
      <rPr>
        <rFont val="Arial, sans-serif"/>
        <color rgb="FF1155CC"/>
        <sz val="15.0"/>
        <u/>
      </rPr>
      <t>El truco para conseguir 5 euros de descuento en las gasolineras Repsol este verano</t>
    </r>
    <r>
      <rPr>
        <rFont val="Arial, sans-serif"/>
        <color rgb="FF1155CC"/>
        <sz val="11.0"/>
        <u/>
      </rPr>
      <t>Los clientes de Repsol podrán disponer de un descuento de cinco euros para recargar su depósito o comprar en la estación de servicio este verano.</t>
    </r>
    <r>
      <rPr>
        <rFont val="Arial, sans-serif"/>
        <color rgb="FF1155CC"/>
        <sz val="12.0"/>
        <u/>
      </rPr>
      <t>.</t>
    </r>
    <r>
      <rPr>
        <rFont val="Arial, sans-serif"/>
        <color rgb="FF1155CC"/>
        <sz val="11.0"/>
        <u/>
      </rPr>
      <t>14 jun 2024</t>
    </r>
  </si>
  <si>
    <t>El truco para conseguir 5 euros de descuento en las gasolineras Repsol este verano</t>
  </si>
  <si>
    <t>Los clientes de Repsol podrán disponer de un descuento de cinco euros para recargar su depósito o comprar en la estación de servicio este verano.</t>
  </si>
  <si>
    <t>The trick to get a 5 euro discount at Repsol gas stations this summer</t>
  </si>
  <si>
    <t>Repsol customers will be able to have a five-euro discount to top up their tank or buy at the service station this summer.</t>
  </si>
  <si>
    <t>Expanding customer loyalty programs enhances Repsol’s brand appeal.</t>
  </si>
  <si>
    <t>descuento</t>
  </si>
  <si>
    <r>
      <rPr>
        <rFont val="Arial, sans-serif"/>
        <color rgb="FF1155CC"/>
        <sz val="9.0"/>
        <u/>
      </rPr>
      <t>Repsol</t>
    </r>
    <r>
      <rPr>
        <rFont val="Arial, sans-serif"/>
        <color rgb="FF1155CC"/>
        <sz val="15.0"/>
        <u/>
      </rPr>
      <t>8 trucos para ahorrar en tus facturas de luz y gas</t>
    </r>
    <r>
      <rPr>
        <rFont val="Arial, sans-serif"/>
        <color rgb="FF1155CC"/>
        <sz val="11.0"/>
        <u/>
      </rPr>
      <t>Ahorra en tus facturas de luz y gas, con los mejores consejos y ajustes prácticos. Descubre los 8 trucos fundamentales y, ¡Empieza a ahorrar hoy!</t>
    </r>
    <r>
      <rPr>
        <rFont val="Arial, sans-serif"/>
        <color rgb="FF1155CC"/>
        <sz val="12.0"/>
        <u/>
      </rPr>
      <t>.</t>
    </r>
    <r>
      <rPr>
        <rFont val="Arial, sans-serif"/>
        <color rgb="FF1155CC"/>
        <sz val="11.0"/>
        <u/>
      </rPr>
      <t>14 jun 2024</t>
    </r>
  </si>
  <si>
    <t>8 trucos para ahorrar en tus facturas de luz y gas</t>
  </si>
  <si>
    <t>Ahorra en tus facturas de luz y gas, con los mejores consejos y ajustes prácticos. Descubre los 8 trucos fundamentales y, ¡Empieza a ahorrar hoy!.</t>
  </si>
  <si>
    <t>8 tricks to save on your electricity and gas bills</t>
  </si>
  <si>
    <t>Save on your electricity and gas bills, with the best tips and practical adjustments. Discover the 8 fundamental tricks and start saving today!</t>
  </si>
  <si>
    <r>
      <rPr>
        <rFont val="Arial, sans-serif"/>
        <color rgb="FF1155CC"/>
        <sz val="9.0"/>
        <u/>
      </rPr>
      <t>La Opinión de Murcia</t>
    </r>
    <r>
      <rPr>
        <rFont val="Arial, sans-serif"/>
        <color rgb="FF1155CC"/>
        <sz val="15.0"/>
        <u/>
      </rPr>
      <t>El castillo de Lorca acogerá la gala de entrega de los Soletes Repsol</t>
    </r>
    <r>
      <rPr>
        <rFont val="Arial, sans-serif"/>
        <color rgb="FF1155CC"/>
        <sz val="11.0"/>
        <u/>
      </rPr>
      <t>El acalde de Lorca junto la directora de la Guía Repsol, María Ritter, y el director del Instituto de Turismo de la Región de Murcia, Juan Francisco...</t>
    </r>
    <r>
      <rPr>
        <rFont val="Arial, sans-serif"/>
        <color rgb="FF1155CC"/>
        <sz val="12.0"/>
        <u/>
      </rPr>
      <t>.</t>
    </r>
    <r>
      <rPr>
        <rFont val="Arial, sans-serif"/>
        <color rgb="FF1155CC"/>
        <sz val="11.0"/>
        <u/>
      </rPr>
      <t>14 jun 2024</t>
    </r>
  </si>
  <si>
    <t>El castillo de Lorca acogerá la gala de entrega de los Soletes Repsol</t>
  </si>
  <si>
    <t>El acalde de Lorca junto la directora de la Guía Repsol, María Ritter, y el director del Instituto de Turismo de la Región de Murcia, Juan Francisco....</t>
  </si>
  <si>
    <t>Lorca Castle will host the Repsol Soletes award ceremony</t>
  </si>
  <si>
    <t>The mayor of Lorca together with the director of the Repsol Guide, María Ritter, and the director of the Tourism Institute of the Region of Murcia, Juan Francisco....</t>
  </si>
  <si>
    <r>
      <rPr>
        <rFont val="Arial, sans-serif"/>
        <color rgb="FF1155CC"/>
        <sz val="9.0"/>
        <u/>
      </rPr>
      <t>Cinco Días</t>
    </r>
    <r>
      <rPr>
        <rFont val="Arial, sans-serif"/>
        <color rgb="FF1155CC"/>
        <sz val="15.0"/>
        <u/>
      </rPr>
      <t>Solaria se dispara casi el 10% en Bolsa entre rumores de compra</t>
    </r>
    <r>
      <rPr>
        <rFont val="Arial, sans-serif"/>
        <color rgb="FF1155CC"/>
        <sz val="11.0"/>
        <u/>
      </rPr>
      <t>La energética, que habría recibido ofertas no solicitadas, termina la jornada con una cotización de 12,56 euros por título.</t>
    </r>
    <r>
      <rPr>
        <rFont val="Arial, sans-serif"/>
        <color rgb="FF1155CC"/>
        <sz val="12.0"/>
        <u/>
      </rPr>
      <t>.</t>
    </r>
    <r>
      <rPr>
        <rFont val="Arial, sans-serif"/>
        <color rgb="FF1155CC"/>
        <sz val="11.0"/>
        <u/>
      </rPr>
      <t>14 jun 2024</t>
    </r>
  </si>
  <si>
    <t>Solaria se dispara casi el 10% en Bolsa entre rumores de compra</t>
  </si>
  <si>
    <t>La energética, que habría recibido ofertas no solicitadas, termina la jornada con una cotización de 12,56 euros por título.</t>
  </si>
  <si>
    <t>Solaria soars almost 10% in the stock market amid purchase rumors</t>
  </si>
  <si>
    <t>The energy company, which would have received unsolicited offers, ends the day with a price of 12.56 euros per share.</t>
  </si>
  <si>
    <r>
      <rPr>
        <rFont val="Arial, sans-serif"/>
        <color rgb="FF1155CC"/>
        <sz val="9.0"/>
        <u/>
      </rPr>
      <t>El Periódico Extremadura</t>
    </r>
    <r>
      <rPr>
        <rFont val="Arial, sans-serif"/>
        <color rgb="FF1155CC"/>
        <sz val="15.0"/>
        <u/>
      </rPr>
      <t>Estos son los cuatro restaurantes de Cáceres que triunfan con la alta cocina</t>
    </r>
    <r>
      <rPr>
        <rFont val="Arial, sans-serif"/>
        <color rgb="FF1155CC"/>
        <sz val="11.0"/>
        <u/>
      </rPr>
      <t>Cáceres es la cuna de numerosos restaurantes que han conseguido grandes distinciones por su indiscutible calidad gastronómica. El más laureado de ellos es...</t>
    </r>
    <r>
      <rPr>
        <rFont val="Arial, sans-serif"/>
        <color rgb="FF1155CC"/>
        <sz val="12.0"/>
        <u/>
      </rPr>
      <t>.</t>
    </r>
    <r>
      <rPr>
        <rFont val="Arial, sans-serif"/>
        <color rgb="FF1155CC"/>
        <sz val="11.0"/>
        <u/>
      </rPr>
      <t>14 jun 2024</t>
    </r>
  </si>
  <si>
    <t>Estos son los cuatro restaurantes de Cáceres que triunfan con la alta cocina</t>
  </si>
  <si>
    <t>Cáceres es la cuna de numerosos restaurantes que han conseguido grandes distinciones por su indiscutible calidad gastronómica. El más laureado de ellos es....</t>
  </si>
  <si>
    <t>These are the four restaurants in Cáceres that succeed with haute cuisine</t>
  </si>
  <si>
    <t>Cáceres is the birthplace of numerous restaurants that have achieved great distinctions for their indisputable gastronomic quality. The most successful of them is...</t>
  </si>
  <si>
    <r>
      <rPr>
        <rFont val="Arial, sans-serif"/>
        <color rgb="FF1155CC"/>
        <sz val="9.0"/>
        <u/>
      </rPr>
      <t>El Español</t>
    </r>
    <r>
      <rPr>
        <rFont val="Arial, sans-serif"/>
        <color rgb="FF1155CC"/>
        <sz val="15.0"/>
        <u/>
      </rPr>
      <t>Los mejores bocadillos de Barcelona se comen en un bar con más de 100 años de historia</t>
    </r>
    <r>
      <rPr>
        <rFont val="Arial, sans-serif"/>
        <color rgb="FF1155CC"/>
        <sz val="11.0"/>
        <u/>
      </rPr>
      <t>Este local ha alcanzado tal fama que incluso la Guía Repsol ha hecho eco de sus platos.</t>
    </r>
    <r>
      <rPr>
        <rFont val="Arial, sans-serif"/>
        <color rgb="FF1155CC"/>
        <sz val="12.0"/>
        <u/>
      </rPr>
      <t>.</t>
    </r>
    <r>
      <rPr>
        <rFont val="Arial, sans-serif"/>
        <color rgb="FF1155CC"/>
        <sz val="11.0"/>
        <u/>
      </rPr>
      <t>15 jun 2024</t>
    </r>
  </si>
  <si>
    <t>Los mejores bocadillos de Barcelona se comen en un bar con más de 100 años de historia</t>
  </si>
  <si>
    <t>Este local ha alcanzado tal fama que incluso la Guía Repsol ha hecho eco de sus platos.</t>
  </si>
  <si>
    <t>The best sandwiches in Barcelona are eaten in a bar with more than 100 years of history</t>
  </si>
  <si>
    <t>This place has achieved such fame that even the Repsol Guide has echoed its dishes.</t>
  </si>
  <si>
    <r>
      <rPr>
        <rFont val="Arial, sans-serif"/>
        <color rgb="FF1155CC"/>
        <sz val="9.0"/>
        <u/>
      </rPr>
      <t>CapitalMadrid</t>
    </r>
    <r>
      <rPr>
        <rFont val="Arial, sans-serif"/>
        <color rgb="FF1155CC"/>
        <sz val="15.0"/>
        <u/>
      </rPr>
      <t>¿Dónde están los fondos NextGeneration de la UE?</t>
    </r>
    <r>
      <rPr>
        <rFont val="Arial, sans-serif"/>
        <color rgb="FF1155CC"/>
        <sz val="11.0"/>
        <u/>
      </rPr>
      <t>Un reciente estudio del Instituto Juan de Mariana (IJM) ha puesto su lupa en los fondos que forman parte del programa NextGeneration EU, creados desde...</t>
    </r>
    <r>
      <rPr>
        <rFont val="Arial, sans-serif"/>
        <color rgb="FF1155CC"/>
        <sz val="12.0"/>
        <u/>
      </rPr>
      <t>.</t>
    </r>
    <r>
      <rPr>
        <rFont val="Arial, sans-serif"/>
        <color rgb="FF1155CC"/>
        <sz val="11.0"/>
        <u/>
      </rPr>
      <t>15 jun 2024</t>
    </r>
  </si>
  <si>
    <t>¿Dónde están los fondos NextGeneration de la UE?</t>
  </si>
  <si>
    <t>Un reciente estudio del Instituto Juan de Mariana (IJM) ha puesto su lupa en los fondos que forman parte del programa NextGeneration EU, creados desde....</t>
  </si>
  <si>
    <t>Where are the EU NextGeneration funds?</t>
  </si>
  <si>
    <t>A recent study by the Juan de Mariana Institute (IJM) has put its magnifying glass on the funds that are part of the NextGeneration EU program, created since...</t>
  </si>
  <si>
    <r>
      <rPr>
        <rFont val="Arial, sans-serif"/>
        <color rgb="FF1155CC"/>
        <sz val="9.0"/>
        <u/>
      </rPr>
      <t>La Voz de Galicia</t>
    </r>
    <r>
      <rPr>
        <rFont val="Arial, sans-serif"/>
        <color rgb="FF1155CC"/>
        <sz val="15.0"/>
        <u/>
      </rPr>
      <t>La formación se reinventa para atender las demandas del mercado</t>
    </r>
    <r>
      <rPr>
        <rFont val="Arial, sans-serif"/>
        <color rgb="FF1155CC"/>
        <sz val="11.0"/>
        <u/>
      </rPr>
      <t>Repsol, IFFE Business School y EFA Galicia analizaron el escenario actual.</t>
    </r>
    <r>
      <rPr>
        <rFont val="Arial, sans-serif"/>
        <color rgb="FF1155CC"/>
        <sz val="12.0"/>
        <u/>
      </rPr>
      <t>.</t>
    </r>
    <r>
      <rPr>
        <rFont val="Arial, sans-serif"/>
        <color rgb="FF1155CC"/>
        <sz val="11.0"/>
        <u/>
      </rPr>
      <t>15 jun 2024</t>
    </r>
  </si>
  <si>
    <t>La formación se reinventa para atender las demandas del mercado</t>
  </si>
  <si>
    <t>Repsol, IFFE Business School y EFA Galicia analizaron el escenario actual.</t>
  </si>
  <si>
    <t>Training is reinvented to meet market demands</t>
  </si>
  <si>
    <t>Repsol, IFFE Business School and EFA Galicia analyzed the current scenario.</t>
  </si>
  <si>
    <r>
      <rPr>
        <rFont val="Arial, sans-serif"/>
        <color rgb="FF1155CC"/>
        <sz val="9.0"/>
        <u/>
      </rPr>
      <t>20Minutos</t>
    </r>
    <r>
      <rPr>
        <rFont val="Arial, sans-serif"/>
        <color rgb="FF1155CC"/>
        <sz val="15.0"/>
        <u/>
      </rPr>
      <t>La próxima guerra comercial entre Estados Unidos y China será por el control de las materias primas: ¿qué pasará con Europa?</t>
    </r>
    <r>
      <rPr>
        <rFont val="Arial, sans-serif"/>
        <color rgb="FF1155CC"/>
        <sz val="11.0"/>
        <u/>
      </rPr>
      <t>El Viejo Continente podría verse afectada si estos países intensifican las tensiones por el suministro de productos esenciales para la producción de...</t>
    </r>
    <r>
      <rPr>
        <rFont val="Arial, sans-serif"/>
        <color rgb="FF1155CC"/>
        <sz val="12.0"/>
        <u/>
      </rPr>
      <t>.</t>
    </r>
    <r>
      <rPr>
        <rFont val="Arial, sans-serif"/>
        <color rgb="FF1155CC"/>
        <sz val="11.0"/>
        <u/>
      </rPr>
      <t>15 jun 2024</t>
    </r>
  </si>
  <si>
    <t>La próxima guerra comercial entre Estados Unidos y China será por el control de las materias primas: ¿qué pasará con Europa?</t>
  </si>
  <si>
    <t>El Viejo Continente podría verse afectada si estos países intensifican las tensiones por el suministro de productos esenciales para la producción de....</t>
  </si>
  <si>
    <t>The next trade war between the United States and China will be over control of raw materials: what will happen to Europe?</t>
  </si>
  <si>
    <t>The Old Continent could be affected if these countries intensify tensions over the supply of essential products for the production of...</t>
  </si>
  <si>
    <t>Global Economy</t>
  </si>
  <si>
    <r>
      <rPr>
        <rFont val="Arial, sans-serif"/>
        <color rgb="FF1155CC"/>
        <sz val="9.0"/>
        <u/>
      </rPr>
      <t>El Periódico de España</t>
    </r>
    <r>
      <rPr>
        <rFont val="Arial, sans-serif"/>
        <color rgb="FF1155CC"/>
        <sz val="15.0"/>
        <u/>
      </rPr>
      <t>Impacto ambiental de la escalada: practicando un deporte sostenible</t>
    </r>
    <r>
      <rPr>
        <rFont val="Arial, sans-serif"/>
        <color rgb="FF1155CC"/>
        <sz val="11.0"/>
        <u/>
      </rPr>
      <t>Los escaladores tienen la responsabilidad de minimizar su huella ecológica, asegurando que las áreas de escalada permanezcan intactas y saludables.</t>
    </r>
    <r>
      <rPr>
        <rFont val="Arial, sans-serif"/>
        <color rgb="FF1155CC"/>
        <sz val="12.0"/>
        <u/>
      </rPr>
      <t>.</t>
    </r>
    <r>
      <rPr>
        <rFont val="Arial, sans-serif"/>
        <color rgb="FF1155CC"/>
        <sz val="11.0"/>
        <u/>
      </rPr>
      <t>15 jun 2024</t>
    </r>
  </si>
  <si>
    <t>Impacto ambiental de la escalada: practicando un deporte sostenible</t>
  </si>
  <si>
    <t>Los escaladores tienen la responsabilidad de minimizar su huella ecológica, asegurando que las áreas de escalada permanezcan intactas y saludables.</t>
  </si>
  <si>
    <t>Environmental impact of climbing: practicing a sustainable sport</t>
  </si>
  <si>
    <t>Climbers have a responsibility to minimize their ecological footprint, ensuring that climbing areas remain intact and healthy.</t>
  </si>
  <si>
    <r>
      <rPr>
        <rFont val="Arial, sans-serif"/>
        <color rgb="FF1155CC"/>
        <sz val="9.0"/>
        <u/>
      </rPr>
      <t>La Voz de Galicia</t>
    </r>
    <r>
      <rPr>
        <rFont val="Arial, sans-serif"/>
        <color rgb="FF1155CC"/>
        <sz val="15.0"/>
        <u/>
      </rPr>
      <t>Festival de sabor: los mejores menús degustación con hasta 22 platos</t>
    </r>
    <r>
      <rPr>
        <rFont val="Arial, sans-serif"/>
        <color rgb="FF1155CC"/>
        <sz val="11.0"/>
        <u/>
      </rPr>
      <t>Ferpel, con estrella Michelin, y Javier Montero, Sol Repsol, ofrecen a diario espectaculares propuestas exclusivas con productos de proximidad.</t>
    </r>
    <r>
      <rPr>
        <rFont val="Arial, sans-serif"/>
        <color rgb="FF1155CC"/>
        <sz val="12.0"/>
        <u/>
      </rPr>
      <t>.</t>
    </r>
    <r>
      <rPr>
        <rFont val="Arial, sans-serif"/>
        <color rgb="FF1155CC"/>
        <sz val="11.0"/>
        <u/>
      </rPr>
      <t>15 jun 2024</t>
    </r>
  </si>
  <si>
    <t>Festival de sabor: los mejores menús degustación con hasta 22 platos</t>
  </si>
  <si>
    <t>Ferpel, con estrella Michelin, y Javier Montero, Sol Repsol, ofrecen a diario espectaculares propuestas exclusivas con productos de proximidad.</t>
  </si>
  <si>
    <t>Flavor festival: the best tasting menus with up to 22 dishes</t>
  </si>
  <si>
    <t>Ferpel, with a Michelin star, and Javier Montero, Sol Repsol, offer spectacular exclusive proposals with local products every day.</t>
  </si>
  <si>
    <r>
      <rPr>
        <rFont val="Arial, sans-serif"/>
        <color rgb="FF1155CC"/>
        <sz val="9.0"/>
        <u/>
      </rPr>
      <t>Estrategias de Inversión</t>
    </r>
    <r>
      <rPr>
        <rFont val="Arial, sans-serif"/>
        <color rgb="FF1155CC"/>
        <sz val="15.0"/>
        <u/>
      </rPr>
      <t>Repsol lo tiene crudo con el petróleo y el mercado lo sabe</t>
    </r>
    <r>
      <rPr>
        <rFont val="Arial, sans-serif"/>
        <color rgb="FF1155CC"/>
        <sz val="11.0"/>
        <u/>
      </rPr>
      <t>Repsol lo tiene crudo con el petróleo y el mercado lo sabe. análisis sobre la evolución del petróleo y de Repsol en el Ibex 35 de la bolsa española.</t>
    </r>
    <r>
      <rPr>
        <rFont val="Arial, sans-serif"/>
        <color rgb="FF1155CC"/>
        <sz val="12.0"/>
        <u/>
      </rPr>
      <t>.</t>
    </r>
    <r>
      <rPr>
        <rFont val="Arial, sans-serif"/>
        <color rgb="FF1155CC"/>
        <sz val="11.0"/>
        <u/>
      </rPr>
      <t>16 jun 2024</t>
    </r>
  </si>
  <si>
    <t>Repsol lo tiene crudo con el petróleo y el mercado lo sabe</t>
  </si>
  <si>
    <t>Repsol lo tiene crudo con el petróleo y el mercado lo sabe. análisis sobre la evolución del petróleo y de Repsol en el Ibex 35 de la bolsa española.</t>
  </si>
  <si>
    <t>Repsol has it raw with oil and the market knows it</t>
  </si>
  <si>
    <t>Repsol has it rough with oil and the market knows it. analysis of the evolution of oil and Repsol in the Ibex 35 of the Spanish stock market.</t>
  </si>
  <si>
    <t>Repsol oil market, business performance</t>
  </si>
  <si>
    <t>Mercado del petróleo Repsol, Evolución empresarial</t>
  </si>
  <si>
    <t>Negative market sentiment could affect Repsol’s financial performance.</t>
  </si>
  <si>
    <t>lo tiene crudo</t>
  </si>
  <si>
    <t>Negative for market challenges</t>
  </si>
  <si>
    <t>Negativo para los desafíos del mercado.</t>
  </si>
  <si>
    <r>
      <rPr>
        <rFont val="Arial, sans-serif"/>
        <color rgb="FF1155CC"/>
        <sz val="9.0"/>
        <u/>
      </rPr>
      <t>Finanzas.com</t>
    </r>
    <r>
      <rPr>
        <rFont val="Arial, sans-serif"/>
        <color rgb="FF1155CC"/>
        <sz val="15.0"/>
        <u/>
      </rPr>
      <t>IBEX 35: los valores más baratos y recomendados para hacer cartera</t>
    </r>
    <r>
      <rPr>
        <rFont val="Arial, sans-serif"/>
        <color rgb="FF1155CC"/>
        <sz val="11.0"/>
        <u/>
      </rPr>
      <t>El IBEX 35 se frena tras las últimas correcciones y 5 de sus valores emergen como oportunidad para incorporar a las carteras.</t>
    </r>
    <r>
      <rPr>
        <rFont val="Arial, sans-serif"/>
        <color rgb="FF1155CC"/>
        <sz val="12.0"/>
        <u/>
      </rPr>
      <t>.</t>
    </r>
    <r>
      <rPr>
        <rFont val="Arial, sans-serif"/>
        <color rgb="FF1155CC"/>
        <sz val="11.0"/>
        <u/>
      </rPr>
      <t>16 jun 2024</t>
    </r>
  </si>
  <si>
    <t>IBEX 35: los valores más baratos y recomendados para hacer cartera</t>
  </si>
  <si>
    <t>El IBEX 35 se frena tras las últimas correcciones y 5 de sus valores emergen como oportunidad para incorporar a las carteras.</t>
  </si>
  <si>
    <t>IBEX 35: the cheapest and recommended securities to make a portfolio</t>
  </si>
  <si>
    <t>The IBEX 35 slows down after the latest corrections and 5 of its values ​​emerge as an opportunity to add to portfolios.</t>
  </si>
  <si>
    <r>
      <rPr>
        <rFont val="Arial, sans-serif"/>
        <color rgb="FF1155CC"/>
        <sz val="9.0"/>
        <u/>
      </rPr>
      <t>Hoy</t>
    </r>
    <r>
      <rPr>
        <rFont val="Arial, sans-serif"/>
        <color rgb="FF1155CC"/>
        <sz val="15.0"/>
        <u/>
      </rPr>
      <t>Extremadura acoge cinco proyectos de producción de hidrógeno verde</t>
    </r>
    <r>
      <rPr>
        <rFont val="Arial, sans-serif"/>
        <color rgb="FF1155CC"/>
        <sz val="11.0"/>
        <u/>
      </rPr>
      <t>En fase inicial, se plantean en La Zarza, Mérida, Badajoz y Almendralejo, según el censo de la asociación española de este tipo de energía.</t>
    </r>
    <r>
      <rPr>
        <rFont val="Arial, sans-serif"/>
        <color rgb="FF1155CC"/>
        <sz val="12.0"/>
        <u/>
      </rPr>
      <t>.</t>
    </r>
    <r>
      <rPr>
        <rFont val="Arial, sans-serif"/>
        <color rgb="FF1155CC"/>
        <sz val="11.0"/>
        <u/>
      </rPr>
      <t>16 jun 2024</t>
    </r>
  </si>
  <si>
    <t>Hoy Extremadura</t>
  </si>
  <si>
    <t>Extremadura acoge cinco proyectos de producción de hidrógeno verde</t>
  </si>
  <si>
    <t>En fase inicial, se plantean en La Zarza, Mérida, Badajoz y Almendralejo, según el censo de la asociación española de este tipo de energía.</t>
  </si>
  <si>
    <t>Extremadura hosts five green hydrogen production projects</t>
  </si>
  <si>
    <t>In the initial phase, they are proposed in La Zarza, Mérida, Badajoz and Almendralejo, according to the census of the Spanish association of this type of energy.</t>
  </si>
  <si>
    <r>
      <rPr>
        <rFont val="Arial, sans-serif"/>
        <color rgb="FF1155CC"/>
        <sz val="9.0"/>
        <u/>
      </rPr>
      <t>20Minutos</t>
    </r>
    <r>
      <rPr>
        <rFont val="Arial, sans-serif"/>
        <color rgb="FF1155CC"/>
        <sz val="15.0"/>
        <u/>
      </rPr>
      <t>El carajillo está de moda: recetas fáciles y refrescantes para disfrutar de la bebida del momento</t>
    </r>
    <r>
      <rPr>
        <rFont val="Arial, sans-serif"/>
        <color rgb="FF1155CC"/>
        <sz val="11.0"/>
        <u/>
      </rPr>
      <t>Tal vez sea porque antes que alcohol es un café y tal vez porque es sencillo y efectivo, el carajillo está de moda. Y permite muchas variantes.</t>
    </r>
    <r>
      <rPr>
        <rFont val="Arial, sans-serif"/>
        <color rgb="FF1155CC"/>
        <sz val="12.0"/>
        <u/>
      </rPr>
      <t>.</t>
    </r>
    <r>
      <rPr>
        <rFont val="Arial, sans-serif"/>
        <color rgb="FF1155CC"/>
        <sz val="11.0"/>
        <u/>
      </rPr>
      <t>16 jun 2024</t>
    </r>
  </si>
  <si>
    <t>El carajillo está de moda: recetas fáciles y refrescantes para disfrutar de la bebida del momento</t>
  </si>
  <si>
    <t>Tal vez sea porque antes que alcohol es un café y tal vez porque es sencillo y efectivo, el carajillo está de moda. Y permite muchas variantes.</t>
  </si>
  <si>
    <t>Carajillo is in fashion: easy and refreshing recipes to enjoy the drink of the moment</t>
  </si>
  <si>
    <t>Perhaps it is because before alcohol it is a coffee and perhaps because it is simple and effective, carajillo is in fashion. And it allows many variants.</t>
  </si>
  <si>
    <r>
      <rPr>
        <rFont val="Arial, sans-serif"/>
        <color rgb="FF1155CC"/>
        <sz val="9.0"/>
        <u/>
      </rPr>
      <t>Libertad Digital</t>
    </r>
    <r>
      <rPr>
        <rFont val="Arial, sans-serif"/>
        <color rgb="FF1155CC"/>
        <sz val="15.0"/>
        <u/>
      </rPr>
      <t>Hotel Boutique Pico Velasco, el hotel gastronómico en pleno Parque Natural con vistas al mar</t>
    </r>
    <r>
      <rPr>
        <rFont val="Arial, sans-serif"/>
        <color rgb="FF1155CC"/>
        <sz val="11.0"/>
        <u/>
      </rPr>
      <t>Pico Velasco es el proyecto del chef Nacho Solana e Inés Aguirreburualde, un hotel boutique con un restaurante con un Sol de Repsol.</t>
    </r>
    <r>
      <rPr>
        <rFont val="Arial, sans-serif"/>
        <color rgb="FF1155CC"/>
        <sz val="12.0"/>
        <u/>
      </rPr>
      <t>.</t>
    </r>
    <r>
      <rPr>
        <rFont val="Arial, sans-serif"/>
        <color rgb="FF1155CC"/>
        <sz val="11.0"/>
        <u/>
      </rPr>
      <t>16 jun 2024</t>
    </r>
  </si>
  <si>
    <t>Hotel Boutique Pico Velasco, el hotel gastronómico en pleno Parque Natural con vistas al mar</t>
  </si>
  <si>
    <t>Pico Velasco es el proyecto del chef Nacho Solana e Inés Aguirreburualde, un hotel boutique con un restaurante con un Sol de Repsol.</t>
  </si>
  <si>
    <t>Hotel Boutique Pico Velasco, the gastronomic hotel in the heart of the Natural Park with sea views</t>
  </si>
  <si>
    <t>Pico Velasco is the project of chef Nacho Solana and Inés Aguirreburualde, a boutique hotel with a restaurant with a Repsol Sun.</t>
  </si>
  <si>
    <t>Hospitality</t>
  </si>
  <si>
    <r>
      <rPr>
        <rFont val="Arial, sans-serif"/>
        <color rgb="FF1155CC"/>
        <sz val="9.0"/>
        <u/>
      </rPr>
      <t>Infobae</t>
    </r>
    <r>
      <rPr>
        <rFont val="Arial, sans-serif"/>
        <color rgb="FF1155CC"/>
        <sz val="15.0"/>
        <u/>
      </rPr>
      <t>Cuántos dólares cuesta un euro hoy 17 de junio</t>
    </r>
    <r>
      <rPr>
        <rFont val="Arial, sans-serif"/>
        <color rgb="FF1155CC"/>
        <sz val="11.0"/>
        <u/>
      </rPr>
      <t>La relación entre el tipo de cambio del dólar y el euro es fundamental en el ámbito económico global, ya que este factor influye en el comercio...</t>
    </r>
    <r>
      <rPr>
        <rFont val="Arial, sans-serif"/>
        <color rgb="FF1155CC"/>
        <sz val="12.0"/>
        <u/>
      </rPr>
      <t>.</t>
    </r>
    <r>
      <rPr>
        <rFont val="Arial, sans-serif"/>
        <color rgb="FF1155CC"/>
        <sz val="11.0"/>
        <u/>
      </rPr>
      <t>16 jun 2024</t>
    </r>
  </si>
  <si>
    <t>Cuántos dólares cuesta un euro hoy 17 de junio</t>
  </si>
  <si>
    <t>La relación entre el tipo de cambio del dólar y el euro es fundamental en el ámbito económico global, ya que este factor influye en el comercio....</t>
  </si>
  <si>
    <t>How many dollars does a euro cost today June 17</t>
  </si>
  <si>
    <t>The relationship between the exchange rate of the dollar and the euro is fundamental in the global economic sphere, since this factor influences trade....</t>
  </si>
  <si>
    <r>
      <rPr>
        <rFont val="Arial, sans-serif"/>
        <color rgb="FF1155CC"/>
        <sz val="9.0"/>
        <u/>
      </rPr>
      <t>El Español</t>
    </r>
    <r>
      <rPr>
        <rFont val="Arial, sans-serif"/>
        <color rgb="FF1155CC"/>
        <sz val="15.0"/>
        <u/>
      </rPr>
      <t>El mejor restaurante asturiano para comer bien y barato: está en Oviedo y te costará menos de 20 euros</t>
    </r>
    <r>
      <rPr>
        <rFont val="Arial, sans-serif"/>
        <color rgb="FF1155CC"/>
        <sz val="11.0"/>
        <u/>
      </rPr>
      <t>Se trata de un restaurante situado enfrente de la Catedral de Oviedo. Un lugar ideal para probar las mejores recetas de la gastronomía asturiana.</t>
    </r>
    <r>
      <rPr>
        <rFont val="Arial, sans-serif"/>
        <color rgb="FF1155CC"/>
        <sz val="12.0"/>
        <u/>
      </rPr>
      <t>.</t>
    </r>
    <r>
      <rPr>
        <rFont val="Arial, sans-serif"/>
        <color rgb="FF1155CC"/>
        <sz val="11.0"/>
        <u/>
      </rPr>
      <t>16 jun 2024</t>
    </r>
  </si>
  <si>
    <t>El mejor restaurante asturiano para comer bien y barato: está en Oviedo y te costará menos de 20 euros</t>
  </si>
  <si>
    <t>Un lugar ideal para probar las mejores recetas de la gastronomía asturiana.</t>
  </si>
  <si>
    <t>The best Asturian restaurant to eat well and cheap: it is in Oviedo and will cost you less than 20 euros</t>
  </si>
  <si>
    <t>An ideal place to try the best recipes of Asturian gastronomy.</t>
  </si>
  <si>
    <r>
      <rPr>
        <rFont val="Arial, sans-serif"/>
        <color rgb="FF1155CC"/>
        <sz val="9.0"/>
        <u/>
      </rPr>
      <t>Libertad Digital</t>
    </r>
    <r>
      <rPr>
        <rFont val="Arial, sans-serif"/>
        <color rgb="FF1155CC"/>
        <sz val="15.0"/>
        <u/>
      </rPr>
      <t>Hotel Boutique Pico Velasco, el hotel gastronómico en pleno Parque Natural con vistas al Cantábrico</t>
    </r>
    <r>
      <rPr>
        <rFont val="Arial, sans-serif"/>
        <color rgb="FF1155CC"/>
        <sz val="11.0"/>
        <u/>
      </rPr>
      <t>Pico Velasco es el proyecto del chef Nacho Solana e Inés Aguirreburualde, un hotel boutique con un restaurante con un Sol de Repsol.</t>
    </r>
    <r>
      <rPr>
        <rFont val="Arial, sans-serif"/>
        <color rgb="FF1155CC"/>
        <sz val="12.0"/>
        <u/>
      </rPr>
      <t>.</t>
    </r>
    <r>
      <rPr>
        <rFont val="Arial, sans-serif"/>
        <color rgb="FF1155CC"/>
        <sz val="11.0"/>
        <u/>
      </rPr>
      <t>16 jun 2024</t>
    </r>
  </si>
  <si>
    <t>Hotel Boutique Pico Velasco, el hotel gastronómico en pleno Parque Natural con vistas al Cantábrico</t>
  </si>
  <si>
    <t>Pico Velasco Boutique Hotel, the gastronomic hotel in the Natural Park with views of the Cantabrian Sea</t>
  </si>
  <si>
    <r>
      <rPr>
        <rFont val="Arial, sans-serif"/>
        <color rgb="FF1155CC"/>
        <sz val="9.0"/>
        <u/>
      </rPr>
      <t>Sweetpress</t>
    </r>
    <r>
      <rPr>
        <rFont val="Arial, sans-serif"/>
        <color rgb="FF1155CC"/>
        <sz val="15.0"/>
        <u/>
      </rPr>
      <t>Repsol prevé llegar a las 1.000 Supercor Stop &amp; Go en cuatro años</t>
    </r>
    <r>
      <rPr>
        <rFont val="Arial, sans-serif"/>
        <color rgb="FF1155CC"/>
        <sz val="11.0"/>
        <u/>
      </rPr>
      <t>Con el objetivo de establecer "la mayor red de tiendas de proximidad y conveniencia en las estaciones de servicio de España", Repsol y El Corte Inglés han...</t>
    </r>
    <r>
      <rPr>
        <rFont val="Arial, sans-serif"/>
        <color rgb="FF1155CC"/>
        <sz val="12.0"/>
        <u/>
      </rPr>
      <t>.</t>
    </r>
    <r>
      <rPr>
        <rFont val="Arial, sans-serif"/>
        <color rgb="FF1155CC"/>
        <sz val="11.0"/>
        <u/>
      </rPr>
      <t>17 jun 2024</t>
    </r>
  </si>
  <si>
    <t>Repsol prevé llegar a las 1.000 Supercor Stop &amp; Go en cuatro años</t>
  </si>
  <si>
    <t>Con el objetivo de establecer "la mayor red de tiendas de proximidad y conveniencia en las estaciones de servicio de España", Repsol y El Corte Inglés han....</t>
  </si>
  <si>
    <t>Repsol plans to reach 1,000 Supercor Stop &amp; Go in four years</t>
  </si>
  <si>
    <t>With the aim of establishing "the largest network of proximity and convenience stores in service stations in Spain", Repsol and El Corte Inglés have...</t>
  </si>
  <si>
    <t>Increasing non-fuel revenue streams enhances Repsol’s diversification.</t>
  </si>
  <si>
    <t>Supercor Stop &amp; Go</t>
  </si>
  <si>
    <t>Positive expansion plans</t>
  </si>
  <si>
    <t>Planes de expansión positivos</t>
  </si>
  <si>
    <r>
      <rPr>
        <rFont val="Arial, sans-serif"/>
        <color rgb="FF1155CC"/>
        <sz val="9.0"/>
        <u/>
      </rPr>
      <t>Guía Repsol</t>
    </r>
    <r>
      <rPr>
        <rFont val="Arial, sans-serif"/>
        <color rgb="FF1155CC"/>
        <sz val="15.0"/>
        <u/>
      </rPr>
      <t>Festival Marenostrum: ¡Nos vamos de festival!</t>
    </r>
    <r>
      <rPr>
        <rFont val="Arial, sans-serif"/>
        <color rgb="FF1155CC"/>
        <sz val="11.0"/>
        <u/>
      </rPr>
      <t>Los amantes de la música y la buena mesa están de enhorabuena. ¡El Festival Marenostrum Fuengirola ya ha comenzado!</t>
    </r>
    <r>
      <rPr>
        <rFont val="Arial, sans-serif"/>
        <color rgb="FF1155CC"/>
        <sz val="12.0"/>
        <u/>
      </rPr>
      <t>.</t>
    </r>
    <r>
      <rPr>
        <rFont val="Arial, sans-serif"/>
        <color rgb="FF1155CC"/>
        <sz val="11.0"/>
        <u/>
      </rPr>
      <t>17 jun 2024</t>
    </r>
  </si>
  <si>
    <t>¡Nos vamos de festival!</t>
  </si>
  <si>
    <t>Los amantes de la música y la buena mesa están de enhorabuena. ¡El Festival Marenostrum Fuengirola ya ha comenzado!</t>
  </si>
  <si>
    <t>We're going to a festival!</t>
  </si>
  <si>
    <t>Lovers of music and good food are in luck. The Marenostrum Fuengirola Festival has already started!</t>
  </si>
  <si>
    <r>
      <rPr>
        <rFont val="Arial, sans-serif"/>
        <color rgb="FF1155CC"/>
        <sz val="9.0"/>
        <u/>
      </rPr>
      <t>Artículo 14</t>
    </r>
    <r>
      <rPr>
        <rFont val="Arial, sans-serif"/>
        <color rgb="FF1155CC"/>
        <sz val="15.0"/>
        <u/>
      </rPr>
      <t>La vida tras la retirada de Artemi Gavezou: "Cumplí con el objetivo de mi vida a los 22 años, después sentí un vacío tremendo"</t>
    </r>
    <r>
      <rPr>
        <rFont val="Arial, sans-serif"/>
        <color rgb="FF1155CC"/>
        <sz val="11.0"/>
        <u/>
      </rPr>
      <t>La exgimnasta y medallista olímpica Artemi Gavezou charla con Artículo14 sobre su nueva etapa como empleada en Repsol.</t>
    </r>
    <r>
      <rPr>
        <rFont val="Arial, sans-serif"/>
        <color rgb="FF1155CC"/>
        <sz val="12.0"/>
        <u/>
      </rPr>
      <t>.</t>
    </r>
    <r>
      <rPr>
        <rFont val="Arial, sans-serif"/>
        <color rgb="FF1155CC"/>
        <sz val="11.0"/>
        <u/>
      </rPr>
      <t>17 jun 2024</t>
    </r>
  </si>
  <si>
    <t>Artículo 14</t>
  </si>
  <si>
    <t>"La vida tras la retirada de Artemi Gavezou: 'Cumplí con el objetivo de mi vida a los 22 años, después sentí un vacío tremendo'"</t>
  </si>
  <si>
    <t>"Cumplí con el objetivo de mi vida a los 22 años, después sentí un vacío tremendo."</t>
  </si>
  <si>
    <t>"Life after Artemi Gavezou's retirement: 'I fulfilled my life's goal at 22, then I felt a tremendous emptiness'"</t>
  </si>
  <si>
    <t>"I fulfilled my life's goal at the age of 22, then I felt a tremendous emptiness."</t>
  </si>
  <si>
    <r>
      <rPr>
        <rFont val="Arial, sans-serif"/>
        <color rgb="FF1155CC"/>
        <sz val="9.0"/>
        <u/>
      </rPr>
      <t>Comunicae</t>
    </r>
    <r>
      <rPr>
        <rFont val="Arial, sans-serif"/>
        <color rgb="FF1155CC"/>
        <sz val="15.0"/>
        <u/>
      </rPr>
      <t>SyA Instalaciones recibe el Premio Impulso de Seguridad GLP de Repsol</t>
    </r>
    <r>
      <rPr>
        <rFont val="Arial, sans-serif"/>
        <color rgb="FF1155CC"/>
        <sz val="11.0"/>
        <u/>
      </rPr>
      <t>SyA Instalaciones, empresa líder en el sector del gas, ha sido galardonada con el Premio Impulso de Seguridad GLP de Repsol, alcanzando el primer lugar en...</t>
    </r>
    <r>
      <rPr>
        <rFont val="Arial, sans-serif"/>
        <color rgb="FF1155CC"/>
        <sz val="12.0"/>
        <u/>
      </rPr>
      <t>.</t>
    </r>
    <r>
      <rPr>
        <rFont val="Arial, sans-serif"/>
        <color rgb="FF1155CC"/>
        <sz val="11.0"/>
        <u/>
      </rPr>
      <t>17 jun 2024</t>
    </r>
  </si>
  <si>
    <t>Comunicae</t>
  </si>
  <si>
    <t>SyA Instalaciones recibe el Premio Impulso de Seguridad GLP de Repsol</t>
  </si>
  <si>
    <t>SyA Instalaciones, empresa líder en el sector del gas, ha sido galardonada con el Premio Impulso de Seguridad GLP de Repsol, alcanzando el primer lugar en....</t>
  </si>
  <si>
    <t>SyA Instalaciones receives the LPG Safety Boost Award from Repsol</t>
  </si>
  <si>
    <t>SyA Instalaciones, a leading company in the gas sector, has been awarded Repsol's LPG Safety Boost Award, reaching first place in....</t>
  </si>
  <si>
    <t>Repsol safety standards, corporate responsibility</t>
  </si>
  <si>
    <t>Estándares de seguridad de Repsol, responsabilidad corporativa</t>
  </si>
  <si>
    <t>Recognizing safety leadership strengthens Repsol’s industry reputation.</t>
  </si>
  <si>
    <t>Premio</t>
  </si>
  <si>
    <t>Positive award association</t>
  </si>
  <si>
    <t>Asociación de premios positivos</t>
  </si>
  <si>
    <r>
      <rPr>
        <rFont val="Arial, sans-serif"/>
        <color rgb="FF1155CC"/>
        <sz val="9.0"/>
        <u/>
      </rPr>
      <t>Guía Repsol</t>
    </r>
    <r>
      <rPr>
        <rFont val="Arial, sans-serif"/>
        <color rgb="FF1155CC"/>
        <sz val="15.0"/>
        <u/>
      </rPr>
      <t>Anyway Wine Bar: el ‘wine bar’ que conquista en Málaga</t>
    </r>
    <r>
      <rPr>
        <rFont val="Arial, sans-serif"/>
        <color rgb="FF1155CC"/>
        <sz val="11.0"/>
        <u/>
      </rPr>
      <t>Más de 200 referencias de vinos por copas, embutidos y quesos son la base de 'Anyway Wine Bar', ubicado en el barrio de La Malagueta (Málaga).</t>
    </r>
    <r>
      <rPr>
        <rFont val="Arial, sans-serif"/>
        <color rgb="FF1155CC"/>
        <sz val="12.0"/>
        <u/>
      </rPr>
      <t>.</t>
    </r>
    <r>
      <rPr>
        <rFont val="Arial, sans-serif"/>
        <color rgb="FF1155CC"/>
        <sz val="11.0"/>
        <u/>
      </rPr>
      <t>17 jun 2024</t>
    </r>
  </si>
  <si>
    <t>Anyway Wine Bar: el ‘wine bar’ que conquista en Málaga</t>
  </si>
  <si>
    <t>Más de 200 referencias de vinos por copas, embutidos y quesos son la base de 'Anyway Wine Bar', ubicado en el barrio de La Malagueta (Málaga).</t>
  </si>
  <si>
    <t>Anyway Wine Bar: the 'wine bar' that conquers Malaga</t>
  </si>
  <si>
    <t>More than 200 references of wines by the glass, sausages and cheeses are the basis of 'Anyway Wine Bar', located in the La Malagueta neighborhood (Málaga).</t>
  </si>
  <si>
    <r>
      <rPr>
        <rFont val="Arial, sans-serif"/>
        <color rgb="FF1155CC"/>
        <sz val="9.0"/>
        <u/>
      </rPr>
      <t>Emprendedores</t>
    </r>
    <r>
      <rPr>
        <rFont val="Arial, sans-serif"/>
        <color rgb="FF1155CC"/>
        <sz val="15.0"/>
        <u/>
      </rPr>
      <t>Urtech Water, la startup con mayor potencial de Navarra en los Premios EmprendeXXI</t>
    </r>
    <r>
      <rPr>
        <rFont val="Arial, sans-serif"/>
        <color rgb="FF1155CC"/>
        <sz val="11.0"/>
        <u/>
      </rPr>
      <t>La startup se dedica a la regeneración de agua en los principales procesos industriales de manera sostenible, rentable y sin químicos.</t>
    </r>
    <r>
      <rPr>
        <rFont val="Arial, sans-serif"/>
        <color rgb="FF1155CC"/>
        <sz val="12.0"/>
        <u/>
      </rPr>
      <t>.</t>
    </r>
    <r>
      <rPr>
        <rFont val="Arial, sans-serif"/>
        <color rgb="FF1155CC"/>
        <sz val="11.0"/>
        <u/>
      </rPr>
      <t>17 jun 2024</t>
    </r>
  </si>
  <si>
    <t>Urtech Water, la startup con mayor potencial de Navarra en los Premios EmprendeXXI</t>
  </si>
  <si>
    <t>La startup se dedica a la regeneración de agua en los principales procesos industriales de manera sostenible, rentable y sin químicos.</t>
  </si>
  <si>
    <t>Urtech Water, the startup with the greatest potential in Navarra at the EmprendeXXI Awards</t>
  </si>
  <si>
    <t>The startup is dedicated to regenerating water in the main industrial processes in a sustainable, profitable and chemical-free way.</t>
  </si>
  <si>
    <r>
      <rPr>
        <rFont val="Arial, sans-serif"/>
        <color rgb="FF1155CC"/>
        <sz val="9.0"/>
        <u/>
      </rPr>
      <t>El Món</t>
    </r>
    <r>
      <rPr>
        <rFont val="Arial, sans-serif"/>
        <color rgb="FF1155CC"/>
        <sz val="15.0"/>
        <u/>
      </rPr>
      <t>La justicia avala la subida de sueldo del sector químico exigida por los sindicatos</t>
    </r>
    <r>
      <rPr>
        <rFont val="Arial, sans-serif"/>
        <color rgb="FF1155CC"/>
        <sz val="11.0"/>
        <u/>
      </rPr>
      <t>CCOO había interpuesto una demanda contra la patronal, que negaba este incremento a los incorporados entre 2021 y 2023.</t>
    </r>
    <r>
      <rPr>
        <rFont val="Arial, sans-serif"/>
        <color rgb="FF1155CC"/>
        <sz val="12.0"/>
        <u/>
      </rPr>
      <t>.</t>
    </r>
    <r>
      <rPr>
        <rFont val="Arial, sans-serif"/>
        <color rgb="FF1155CC"/>
        <sz val="11.0"/>
        <u/>
      </rPr>
      <t>17 jun 2024</t>
    </r>
  </si>
  <si>
    <t>La justicia avala la subida de sueldo del sector químico exigida por los sindicatos</t>
  </si>
  <si>
    <t>La justicia avala la subida de sueldo del sector químico exigida por los sindicatos. CCOO había interpuesto una demanda contra la patronal, que negaba este incremento a los incorporados entre 2021 y 2023.</t>
  </si>
  <si>
    <t>Justice endorses the salary increase in the chemical sector demanded by the unions</t>
  </si>
  <si>
    <t>Justice supports the salary increase in the chemical sector demanded by the unions. CCOO had filed a lawsuit against the employers, which denied this increase to those incorporated between 2021 and 2023.</t>
  </si>
  <si>
    <r>
      <rPr>
        <rFont val="Arial, sans-serif"/>
        <color rgb="FF1155CC"/>
        <sz val="9.0"/>
        <u/>
      </rPr>
      <t>ECOticias.com</t>
    </r>
    <r>
      <rPr>
        <rFont val="Arial, sans-serif"/>
        <color rgb="FF1155CC"/>
        <sz val="15.0"/>
        <u/>
      </rPr>
      <t>España va a fusionar la «energía del Infierno» con el hidrógeno: el resultado podría ser inesperado</t>
    </r>
    <r>
      <rPr>
        <rFont val="Arial, sans-serif"/>
        <color rgb="FF1155CC"/>
        <sz val="11.0"/>
        <u/>
      </rPr>
      <t>España lo tiene todo preparado para fusionar la energía del Infierno con el hidrógeno, una mezcla que podría traer un futuro incierto.</t>
    </r>
    <r>
      <rPr>
        <rFont val="Arial, sans-serif"/>
        <color rgb="FF1155CC"/>
        <sz val="12.0"/>
        <u/>
      </rPr>
      <t>.</t>
    </r>
    <r>
      <rPr>
        <rFont val="Arial, sans-serif"/>
        <color rgb="FF1155CC"/>
        <sz val="11.0"/>
        <u/>
      </rPr>
      <t>17 jun 2024</t>
    </r>
  </si>
  <si>
    <t>España va a fusionar la «energía del Infierno» con el hidrógeno: el resultado podría ser inesperado</t>
  </si>
  <si>
    <t>España lo tiene todo preparado para fusionar la energía del Infierno con el hidrógeno, una mezcla que podría traer un futuro incierto.</t>
  </si>
  <si>
    <t>Spain is going to merge the “energy from Hell” with hydrogen: the result could be unexpected</t>
  </si>
  <si>
    <t>Spain has everything ready to fuse the energy of Hell with hydrogen, a mixture that could bring an uncertain future.</t>
  </si>
  <si>
    <r>
      <rPr>
        <rFont val="Arial, sans-serif"/>
        <color rgb="FF1155CC"/>
        <sz val="9.0"/>
        <u/>
      </rPr>
      <t>OkDiario</t>
    </r>
    <r>
      <rPr>
        <rFont val="Arial, sans-serif"/>
        <color rgb="FF1155CC"/>
        <sz val="15.0"/>
        <u/>
      </rPr>
      <t>Investigadores españoles detectan desde el espacio 95 kilómetros cuadrados de plástico en el Mediterráneo</t>
    </r>
    <r>
      <rPr>
        <rFont val="Arial, sans-serif"/>
        <color rgb="FF1155CC"/>
        <sz val="11.0"/>
        <u/>
      </rPr>
      <t>Investigadores españoles del CSIC han conseguido detectar desde el espacio la basura que se encuentra flotando en los mares y han calculado la cantidad de...</t>
    </r>
    <r>
      <rPr>
        <rFont val="Arial, sans-serif"/>
        <color rgb="FF1155CC"/>
        <sz val="12.0"/>
        <u/>
      </rPr>
      <t>.</t>
    </r>
    <r>
      <rPr>
        <rFont val="Arial, sans-serif"/>
        <color rgb="FF1155CC"/>
        <sz val="11.0"/>
        <u/>
      </rPr>
      <t>17 jun 2024</t>
    </r>
  </si>
  <si>
    <t>Investigadores españoles detectan desde el espacio 95 kilómetros cuadrados de plástico en el Mediterráneo</t>
  </si>
  <si>
    <t>Investigadores españoles del CSIC han conseguido detectar desde el espacio la basura que se encuentra flotando en los mares y han calculado la cantidad de....</t>
  </si>
  <si>
    <t>Spanish researchers detect 95 square kilometers of plastic in the Mediterranean from space</t>
  </si>
  <si>
    <t>Spanish researchers from the CSIC have managed to detect from space the garbage found floating in the seas and have calculated the amount of...</t>
  </si>
  <si>
    <r>
      <rPr>
        <rFont val="Arial, sans-serif"/>
        <color rgb="FF1155CC"/>
        <sz val="9.0"/>
        <u/>
      </rPr>
      <t>america-retail.com</t>
    </r>
    <r>
      <rPr>
        <rFont val="Arial, sans-serif"/>
        <color rgb="FF1155CC"/>
        <sz val="15.0"/>
        <u/>
      </rPr>
      <t>Refinería La Pampilla utiliza electricidad 100% renovable de fuentes externas</t>
    </r>
    <r>
      <rPr>
        <rFont val="Arial, sans-serif"/>
        <color rgb="FF1155CC"/>
        <sz val="11.0"/>
        <u/>
      </rPr>
      <t>Refinería La Pampilla ha certificado que el 100% de la electricidad suministrada en 2023 por su proveedor externo.</t>
    </r>
    <r>
      <rPr>
        <rFont val="Arial, sans-serif"/>
        <color rgb="FF1155CC"/>
        <sz val="12.0"/>
        <u/>
      </rPr>
      <t>.</t>
    </r>
    <r>
      <rPr>
        <rFont val="Arial, sans-serif"/>
        <color rgb="FF1155CC"/>
        <sz val="11.0"/>
        <u/>
      </rPr>
      <t>17 jun 2024</t>
    </r>
  </si>
  <si>
    <t>america-retail.com</t>
  </si>
  <si>
    <t>Refinería La Pampilla utiliza electricidad 100% renovable de fuentes externas</t>
  </si>
  <si>
    <t>Refinería La Pampilla ha certificado que el 100% de la electricidad suministrada en 2023 por su proveedor externo.</t>
  </si>
  <si>
    <t>La Pampilla Refinery uses 100% renewable electricity from external sources</t>
  </si>
  <si>
    <t>La Pampilla Refinery has certified that 100% of the electricity supplied in 2023 by its external supplier.</t>
  </si>
  <si>
    <t>Repsol renewable energy, sustainability initiative</t>
  </si>
  <si>
    <t>Repsol energías renovables, iniciativa de sostenibilidad</t>
  </si>
  <si>
    <t>Using renewable energy aligns with Repsol’s green transition.</t>
  </si>
  <si>
    <r>
      <rPr>
        <rFont val="Arial, sans-serif"/>
        <color rgb="FF1155CC"/>
        <sz val="9.0"/>
        <u/>
      </rPr>
      <t>RRHH Press</t>
    </r>
    <r>
      <rPr>
        <rFont val="Arial, sans-serif"/>
        <color rgb="FF1155CC"/>
        <sz val="15.0"/>
        <u/>
      </rPr>
      <t>Repsol extiende la IA generativa de Copilot a todos sus empleados</t>
    </r>
    <r>
      <rPr>
        <rFont val="Arial, sans-serif"/>
        <color rgb="FF1155CC"/>
        <sz val="11.0"/>
        <u/>
      </rPr>
      <t>Redacción. Repsol extenderá la inteligencia artificial generativa (IA Gen) a todos sus empleados con el asistente Copilot para web de Microsoft.</t>
    </r>
    <r>
      <rPr>
        <rFont val="Arial, sans-serif"/>
        <color rgb="FF1155CC"/>
        <sz val="12.0"/>
        <u/>
      </rPr>
      <t>.</t>
    </r>
    <r>
      <rPr>
        <rFont val="Arial, sans-serif"/>
        <color rgb="FF1155CC"/>
        <sz val="11.0"/>
        <u/>
      </rPr>
      <t>18 jun 2024</t>
    </r>
  </si>
  <si>
    <t>RRHH Press</t>
  </si>
  <si>
    <t>Repsol extiende la IA generativa de Copilot a todos sus empleados</t>
  </si>
  <si>
    <t>Repsol extenderá la inteligencia artificial generativa (IA Gen) a todos sus empleados con el asistente Copilot para web de Microsoft.</t>
  </si>
  <si>
    <t>Repsol extends Copilot's generative AI to all its employees</t>
  </si>
  <si>
    <t>Repsol will extend generative artificial intelligence (AI Gen) to all its employees with the Copilot assistant for the Microsoft web.</t>
  </si>
  <si>
    <t>Repsol AI strategy, corporate innovation</t>
  </si>
  <si>
    <t>Estrategia de IA de Repsol, innovación corporativa</t>
  </si>
  <si>
    <t>Implementing AI solutions supports Repsol’s digital transformation.</t>
  </si>
  <si>
    <t>IA generativa</t>
  </si>
  <si>
    <t>Positive tech adoption</t>
  </si>
  <si>
    <t>Adopción tecnológica positiva</t>
  </si>
  <si>
    <r>
      <rPr>
        <rFont val="Arial, sans-serif"/>
        <color rgb="FF1155CC"/>
        <sz val="9.0"/>
        <u/>
      </rPr>
      <t>La Vanguardia</t>
    </r>
    <r>
      <rPr>
        <rFont val="Arial, sans-serif"/>
        <color rgb="FF1155CC"/>
        <sz val="15.0"/>
        <u/>
      </rPr>
      <t>Las Marloquinas o cómo luchar contra la despoblación rural desde la parada de autobús</t>
    </r>
    <r>
      <rPr>
        <rFont val="Arial, sans-serif"/>
        <color rgb="FF1155CC"/>
        <sz val="11.0"/>
        <u/>
      </rPr>
      <t>Puede una sencilla marquesina de autobús favorecer la revitalización de la España rural? Si se plantea con creatividad, innovación y talento, la respuesta...</t>
    </r>
    <r>
      <rPr>
        <rFont val="Arial, sans-serif"/>
        <color rgb="FF1155CC"/>
        <sz val="12.0"/>
        <u/>
      </rPr>
      <t>.</t>
    </r>
    <r>
      <rPr>
        <rFont val="Arial, sans-serif"/>
        <color rgb="FF1155CC"/>
        <sz val="11.0"/>
        <u/>
      </rPr>
      <t>18 jun 2024</t>
    </r>
  </si>
  <si>
    <t>Las Marloquinas o cómo luchar contra la despoblación rural desde la parada de autobús</t>
  </si>
  <si>
    <t>Puede una sencilla marquesina de autobús favorecer la revitalización de la España rural? Si se plantea con creatividad, innovación y talento, la respuesta....</t>
  </si>
  <si>
    <t>Las Marloquinas or how to fight against rural depopulation from the bus stop</t>
  </si>
  <si>
    <t>Can a simple bus shelter promote the revitalization of rural Spain? If it is approached with creativity, innovation and talent, the answer....</t>
  </si>
  <si>
    <t>Social Development</t>
  </si>
  <si>
    <r>
      <rPr>
        <rFont val="Arial, sans-serif"/>
        <color rgb="FF1155CC"/>
        <sz val="9.0"/>
        <u/>
      </rPr>
      <t>Marca.com</t>
    </r>
    <r>
      <rPr>
        <rFont val="Arial, sans-serif"/>
        <color rgb="FF1155CC"/>
        <sz val="15.0"/>
        <u/>
      </rPr>
      <t>Mir y el Repsol Honda llegan a un acuerdo para renovar</t>
    </r>
    <r>
      <rPr>
        <rFont val="Arial, sans-serif"/>
        <color rgb="FF1155CC"/>
        <sz val="11.0"/>
        <u/>
      </rPr>
      <t>Joan Mir tiene muy cerca seguir en el Repsol Honda de MotoGP las dos próximas temporadas. El campeón del mundo de 2020 está a punto de rubricar su nuevo...</t>
    </r>
    <r>
      <rPr>
        <rFont val="Arial, sans-serif"/>
        <color rgb="FF1155CC"/>
        <sz val="12.0"/>
        <u/>
      </rPr>
      <t>.</t>
    </r>
    <r>
      <rPr>
        <rFont val="Arial, sans-serif"/>
        <color rgb="FF1155CC"/>
        <sz val="11.0"/>
        <u/>
      </rPr>
      <t>18 jun 2024</t>
    </r>
  </si>
  <si>
    <t>Mir y el Repsol Honda llegan a un acuerdo para renovar</t>
  </si>
  <si>
    <t>Joan Mir tiene muy cerca seguir en el Repsol Honda de MotoGP las dos próximas temporadas. El campeón del mundo de 2020 está a punto de rubricar su nuevo....</t>
  </si>
  <si>
    <t>Mir and Repsol Honda reach an agreement to renew</t>
  </si>
  <si>
    <t>Joan Mir is very close to continuing with the Repsol Honda MotoGP team for the next two seasons. The 2020 world champion is about to sign his new...</t>
  </si>
  <si>
    <t>Repsol MotoGP, sports sponsorship</t>
  </si>
  <si>
    <t>Repsol MotoGP, patrocinio deportivo</t>
  </si>
  <si>
    <t>Maintaining top-tier riders strengthens Repsol’s MotoGP presence.</t>
  </si>
  <si>
    <t>Neutral sports update</t>
  </si>
  <si>
    <t>Actualización deportiva neutral</t>
  </si>
  <si>
    <r>
      <rPr>
        <rFont val="Arial, sans-serif"/>
        <color rgb="FF1155CC"/>
        <sz val="9.0"/>
        <u/>
      </rPr>
      <t>La Tribuna de Ciudad Real</t>
    </r>
    <r>
      <rPr>
        <rFont val="Arial, sans-serif"/>
        <color rgb="FF1155CC"/>
        <sz val="15.0"/>
        <u/>
      </rPr>
      <t>#Puertollano: Concentración de la plantilla de Eserman a las puertas del complejo</t>
    </r>
    <r>
      <rPr>
        <rFont val="Arial, sans-serif"/>
        <color rgb="FF1155CC"/>
        <sz val="11.0"/>
        <u/>
      </rPr>
      <t>Toda la plantilla de ESERMAN SA, contrata de envasado y carretillería de Repsol Química-Puertollano, se ha vuelto a concentrar hoy en su centro de trabajo...</t>
    </r>
    <r>
      <rPr>
        <rFont val="Arial, sans-serif"/>
        <color rgb="FF1155CC"/>
        <sz val="12.0"/>
        <u/>
      </rPr>
      <t>.</t>
    </r>
    <r>
      <rPr>
        <rFont val="Arial, sans-serif"/>
        <color rgb="FF1155CC"/>
        <sz val="11.0"/>
        <u/>
      </rPr>
      <t>18 jun 2024</t>
    </r>
  </si>
  <si>
    <t>#Puertollano: Concentración de la plantilla de Eserman a las puertas del complejo</t>
  </si>
  <si>
    <t>Toda la plantilla de ESERMAN SA, contrata de envasado y carretillería de Repsol Química-Puertollano, se ha vuelto a concentrar hoy en su centro de trabajo.</t>
  </si>
  <si>
    <t>#Puertollano: Concentration of the Eserman staff at the gates of the complex</t>
  </si>
  <si>
    <t>The entire staff of ESERMAN SA, Repsol Química-Puertollano's packaging and forklift contractor, has returned to their work center today.</t>
  </si>
  <si>
    <r>
      <rPr>
        <rFont val="Arial, sans-serif"/>
        <color rgb="FF1155CC"/>
        <sz val="9.0"/>
        <u/>
      </rPr>
      <t>El Español</t>
    </r>
    <r>
      <rPr>
        <rFont val="Arial, sans-serif"/>
        <color rgb="FF1155CC"/>
        <sz val="15.0"/>
        <u/>
      </rPr>
      <t>El mejor chef de sushi de España está en Málaga: en un restaurante con Sol Repsol y vistas increíbles a la Alcazaba</t>
    </r>
    <r>
      <rPr>
        <rFont val="Arial, sans-serif"/>
        <color rgb="FF1155CC"/>
        <sz val="11.0"/>
        <u/>
      </rPr>
      <t>Sergio Solís ha resultado ganador en la 3ª edición de ITAMAE Balfegó, que ha reunido a más de 700 personas en Barcelona.</t>
    </r>
    <r>
      <rPr>
        <rFont val="Arial, sans-serif"/>
        <color rgb="FF1155CC"/>
        <sz val="12.0"/>
        <u/>
      </rPr>
      <t>.</t>
    </r>
    <r>
      <rPr>
        <rFont val="Arial, sans-serif"/>
        <color rgb="FF1155CC"/>
        <sz val="11.0"/>
        <u/>
      </rPr>
      <t>18 jun 2024</t>
    </r>
  </si>
  <si>
    <t>El mejor chef de sushi de España está en Málaga: en un restaurante con Sol Repsol y vistas increíbles a la Alcazaba</t>
  </si>
  <si>
    <t>Sergio Solís ha resultado ganador en la 3ª edición de ITAMAE Balfegó, que ha reunido a más de 700 personas en Barcelona.</t>
  </si>
  <si>
    <t>The best sushi chef in Spain is in Malaga: in a restaurant with Sol Repsol and incredible views of the Alcazaba</t>
  </si>
  <si>
    <t>Sergio Solís has won the 3rd edition of ITAMAE Balfegó, which brought together more than 700 people in Barcelona.</t>
  </si>
  <si>
    <r>
      <rPr>
        <rFont val="Arial, sans-serif"/>
        <color rgb="FF1155CC"/>
        <sz val="9.0"/>
        <u/>
      </rPr>
      <t>El Nacional.cat</t>
    </r>
    <r>
      <rPr>
        <rFont val="Arial, sans-serif"/>
        <color rgb="FF1155CC"/>
        <sz val="15.0"/>
        <u/>
      </rPr>
      <t>El restaurante de la parte alta de Tarragona con la mejor tabla de quesos de la ciudad</t>
    </r>
    <r>
      <rPr>
        <rFont val="Arial, sans-serif"/>
        <color rgb="FF1155CC"/>
        <sz val="11.0"/>
        <u/>
      </rPr>
      <t>Maravilloso y económico restaurante donde se sirve el mejor queso de la ciudad.</t>
    </r>
    <r>
      <rPr>
        <rFont val="Arial, sans-serif"/>
        <color rgb="FF1155CC"/>
        <sz val="12.0"/>
        <u/>
      </rPr>
      <t>.</t>
    </r>
    <r>
      <rPr>
        <rFont val="Arial, sans-serif"/>
        <color rgb="FF1155CC"/>
        <sz val="11.0"/>
        <u/>
      </rPr>
      <t>18 jun 2024</t>
    </r>
  </si>
  <si>
    <t>El restaurante de la parte alta de Tarragona con la mejor tabla de quesos de la ciudad</t>
  </si>
  <si>
    <t>Maravilloso y económico restaurante donde se sirve el mejor queso de la ciudad..</t>
  </si>
  <si>
    <t>The restaurant in the upper part of Tarragona with the best cheese board in the city</t>
  </si>
  <si>
    <t>Wonderful and affordable restaurant where the best cheese in the city is served.</t>
  </si>
  <si>
    <r>
      <rPr>
        <rFont val="Arial, sans-serif"/>
        <color rgb="FF1155CC"/>
        <sz val="9.0"/>
        <u/>
      </rPr>
      <t>ELLE</t>
    </r>
    <r>
      <rPr>
        <rFont val="Arial, sans-serif"/>
        <color rgb="FF1155CC"/>
        <sz val="15.0"/>
        <u/>
      </rPr>
      <t>Los bares de vinos favoritos de María José Huertas, la sumiller del restaurante de Paco Roncero desde hace 24 años</t>
    </r>
    <r>
      <rPr>
        <rFont val="Arial, sans-serif"/>
        <color rgb="FF1155CC"/>
        <sz val="11.0"/>
        <u/>
      </rPr>
      <t>Nos vamos de vinos por Madrid con la zamorana (aunque nacida en Vitoria-Gasteiz) que está al frente de la bodega del reconocido restaurante de Paco Roncero.</t>
    </r>
    <r>
      <rPr>
        <rFont val="Arial, sans-serif"/>
        <color rgb="FF1155CC"/>
        <sz val="12.0"/>
        <u/>
      </rPr>
      <t>.</t>
    </r>
    <r>
      <rPr>
        <rFont val="Arial, sans-serif"/>
        <color rgb="FF1155CC"/>
        <sz val="11.0"/>
        <u/>
      </rPr>
      <t>18 jun 2024</t>
    </r>
  </si>
  <si>
    <t>Los bares de vinos favoritos de María José Huertas, la sumiller del restaurante de Paco Roncero desde hace 24 años</t>
  </si>
  <si>
    <t>Nos vamos de vinos por Madrid con la zamorana (aunque nacida en Vitoria-Gasteiz) que está al frente de la bodega del reconocido restaurante de Paco Roncero.</t>
  </si>
  <si>
    <t>The favorite wine bars of María José Huertas, the sommelier at Paco Roncero's restaurant for 24 years</t>
  </si>
  <si>
    <t>We go wine shopping in Madrid with the woman from Zamora (although born in Vitoria-Gasteiz) who is in charge of the winery at Paco Roncero's renowned restaurant.</t>
  </si>
  <si>
    <r>
      <rPr>
        <rFont val="Arial, sans-serif"/>
        <color rgb="FF1155CC"/>
        <sz val="9.0"/>
        <u/>
      </rPr>
      <t>LaSexta</t>
    </r>
    <r>
      <rPr>
        <rFont val="Arial, sans-serif"/>
        <color rgb="FF1155CC"/>
        <sz val="15.0"/>
        <u/>
      </rPr>
      <t>4 restaurantes españoles entre los 10 mejores de Europa 2024 según la guía gastronómica OAD</t>
    </r>
    <r>
      <rPr>
        <rFont val="Arial, sans-serif"/>
        <color rgb="FF1155CC"/>
        <sz val="11.0"/>
        <u/>
      </rPr>
      <t>La guía gastronómica Opinionated About Dining (OAD) presenta su Lista de los Mejores Restaurantes de Europa y España es el país con más restaurantes del...</t>
    </r>
    <r>
      <rPr>
        <rFont val="Arial, sans-serif"/>
        <color rgb="FF1155CC"/>
        <sz val="12.0"/>
        <u/>
      </rPr>
      <t>.</t>
    </r>
    <r>
      <rPr>
        <rFont val="Arial, sans-serif"/>
        <color rgb="FF1155CC"/>
        <sz val="11.0"/>
        <u/>
      </rPr>
      <t>18 jun 2024</t>
    </r>
  </si>
  <si>
    <t>4 restaurantes españoles entre los 10 mejores de Europa 2024 según la guía gastronómica OAD</t>
  </si>
  <si>
    <t>La guía gastronómica Opinionated About Dining (OAD) presenta su Lista de los Mejores Restaurantes de Europa y España es el país con más restaurantes del....</t>
  </si>
  <si>
    <t>4 Spanish restaurants among the 10 best in Europe 2024 according to the OAD gastronomic guide</t>
  </si>
  <si>
    <t>The gastronomic guide Opinionated About Dining (OAD) presents its List of the Best Restaurants in Europe and Spain is the country with the most restaurants in the world....</t>
  </si>
  <si>
    <r>
      <rPr>
        <rFont val="Arial, sans-serif"/>
        <color rgb="FF1155CC"/>
        <sz val="9.0"/>
        <u/>
      </rPr>
      <t>OkDiario</t>
    </r>
    <r>
      <rPr>
        <rFont val="Arial, sans-serif"/>
        <color rgb="FF1155CC"/>
        <sz val="15.0"/>
        <u/>
      </rPr>
      <t>Señalan a Lidl por comercializar pollo contaminado con bacterias resistentes a los antibióticos</t>
    </r>
    <r>
      <rPr>
        <rFont val="Arial, sans-serif"/>
        <color rgb="FF1155CC"/>
        <sz val="11.0"/>
        <u/>
      </rPr>
      <t>El Observatorio de Bienestar Animal (OBA) vuelve a poner en el punto de mira a la misma cadena de supermercados, esta vez alertando que «más del 70% del...</t>
    </r>
    <r>
      <rPr>
        <rFont val="Arial, sans-serif"/>
        <color rgb="FF1155CC"/>
        <sz val="12.0"/>
        <u/>
      </rPr>
      <t>.</t>
    </r>
    <r>
      <rPr>
        <rFont val="Arial, sans-serif"/>
        <color rgb="FF1155CC"/>
        <sz val="11.0"/>
        <u/>
      </rPr>
      <t>18 jun 2024</t>
    </r>
  </si>
  <si>
    <t>Señalan a Lidl por comercializar pollo contaminado con bacterias resistentes a los antibióticos</t>
  </si>
  <si>
    <t>El Observatorio de Bienestar Animal (OBA) vuelve a poner en el punto de mira a la misma cadena de supermercados, esta vez alertando que «más del 70% del....</t>
  </si>
  <si>
    <t>Lidl accused of marketing chicken contaminated with antibiotic-resistant bacteria</t>
  </si>
  <si>
    <t>The Animal Welfare Observatory (OBA) once again puts the same supermarket chain in the spotlight, this time warning that "more than 70% of...</t>
  </si>
  <si>
    <r>
      <rPr>
        <rFont val="Arial, sans-serif"/>
        <color rgb="FF1155CC"/>
        <sz val="9.0"/>
        <u/>
      </rPr>
      <t>Guía Repsol</t>
    </r>
    <r>
      <rPr>
        <rFont val="Arial, sans-serif"/>
        <color rgb="FF1155CC"/>
        <sz val="15.0"/>
        <u/>
      </rPr>
      <t>Festivales en Madrid 2024</t>
    </r>
    <r>
      <rPr>
        <rFont val="Arial, sans-serif"/>
        <color rgb="FF1155CC"/>
        <sz val="11.0"/>
        <u/>
      </rPr>
      <t>Descubre los mejores festivales en Madrid este 2024 que no podrás dejar escapar este verano: Mad Cool, Jardín de las Delicias y muchos más.</t>
    </r>
    <r>
      <rPr>
        <rFont val="Arial, sans-serif"/>
        <color rgb="FF1155CC"/>
        <sz val="12.0"/>
        <u/>
      </rPr>
      <t>.</t>
    </r>
    <r>
      <rPr>
        <rFont val="Arial, sans-serif"/>
        <color rgb="FF1155CC"/>
        <sz val="11.0"/>
        <u/>
      </rPr>
      <t>19 jun 2024</t>
    </r>
  </si>
  <si>
    <t>Festivales en Madrid 2024</t>
  </si>
  <si>
    <t>Descubre los mejores festivales en Madrid este 2024 que no podrás dejar escapar este verano: Mad Cool, Jardín de las Delicias y muchos más.</t>
  </si>
  <si>
    <t>Discover the best festivals in Madrid this 2024 that you won't be able to miss this summer: Mad Cool, Jardín de las Delicias and many more.</t>
  </si>
  <si>
    <r>
      <rPr>
        <rFont val="Arial, sans-serif"/>
        <color rgb="FF1155CC"/>
        <sz val="9.0"/>
        <u/>
      </rPr>
      <t>La Política Online</t>
    </r>
    <r>
      <rPr>
        <rFont val="Arial, sans-serif"/>
        <color rgb="FF1155CC"/>
        <sz val="15.0"/>
        <u/>
      </rPr>
      <t>Repsol no logra consolidarse en México: abandono de campos y desplome de metas en gasolineras</t>
    </r>
    <r>
      <rPr>
        <rFont val="Arial, sans-serif"/>
        <color rgb="FF1155CC"/>
        <sz val="11.0"/>
        <u/>
      </rPr>
      <t>Tras la reforma energética del sexenio de Enrique Peña Nieto, Repsol era una de las petroleras con importantes proyectos de inversión en México,...</t>
    </r>
    <r>
      <rPr>
        <rFont val="Arial, sans-serif"/>
        <color rgb="FF1155CC"/>
        <sz val="12.0"/>
        <u/>
      </rPr>
      <t>.</t>
    </r>
    <r>
      <rPr>
        <rFont val="Arial, sans-serif"/>
        <color rgb="FF1155CC"/>
        <sz val="11.0"/>
        <u/>
      </rPr>
      <t>19 jun 2024</t>
    </r>
  </si>
  <si>
    <t>La Política Online</t>
  </si>
  <si>
    <t>Repsol no logra consolidarse en México: abandono de campos y desplome de metas en gasolineras</t>
  </si>
  <si>
    <t>Repsol no logra consolidarse en México: abandono de campos y desplome de metas en gasolineras.</t>
  </si>
  <si>
    <t>Repsol fails to consolidate in Mexico: abandonment of fields and collapse of goals at gas stations</t>
  </si>
  <si>
    <t>Repsol fails to consolidate in Mexico: abandonment of fields and collapse of goals at gas stations.</t>
  </si>
  <si>
    <t>Repsol Mexico, business exit</t>
  </si>
  <si>
    <t>Repsol México, salida empresarial</t>
  </si>
  <si>
    <t>Exiting the Mexican fuel market may impact Repsol’s global strategy.</t>
  </si>
  <si>
    <r>
      <rPr>
        <rFont val="Arial, sans-serif"/>
        <color rgb="FF1155CC"/>
        <sz val="9.0"/>
        <u/>
      </rPr>
      <t>Guía Repsol</t>
    </r>
    <r>
      <rPr>
        <rFont val="Arial, sans-serif"/>
        <color rgb="FF1155CC"/>
        <sz val="15.0"/>
        <u/>
      </rPr>
      <t>Bares en Santiago de Compostela con terrazas veraniegas</t>
    </r>
    <r>
      <rPr>
        <rFont val="Arial, sans-serif"/>
        <color rgb="FF1155CC"/>
        <sz val="11.0"/>
        <u/>
      </rPr>
      <t>Refréscate este verano en los mejores bares de Santiago de Compostela con terrazas de lo más fresquitas y acogedoras. Hotel Costa Vella, Café Bar Granell y...</t>
    </r>
    <r>
      <rPr>
        <rFont val="Arial, sans-serif"/>
        <color rgb="FF1155CC"/>
        <sz val="12.0"/>
        <u/>
      </rPr>
      <t>.</t>
    </r>
    <r>
      <rPr>
        <rFont val="Arial, sans-serif"/>
        <color rgb="FF1155CC"/>
        <sz val="11.0"/>
        <u/>
      </rPr>
      <t>19 jun 2024</t>
    </r>
  </si>
  <si>
    <t>Bares en Santiago de Compostela con terrazas veraniegas</t>
  </si>
  <si>
    <t>Refréscate este verano en los mejores bares de Santiago de Compostela con terrazas de lo más fresquitas y acogedoras. Hotel Costa Vella, Café Bar Granell y....</t>
  </si>
  <si>
    <t>Bars in Santiago de Compostela with summer terraces</t>
  </si>
  <si>
    <t>Cool off this summer in the best bars in Santiago de Compostela with the coolest and most cozy terraces. Hotel Costa Vella, Café Bar Granell and....</t>
  </si>
  <si>
    <r>
      <rPr>
        <rFont val="Arial, sans-serif"/>
        <color rgb="FF1155CC"/>
        <sz val="9.0"/>
        <u/>
      </rPr>
      <t>El Cierre Digital</t>
    </r>
    <r>
      <rPr>
        <rFont val="Arial, sans-serif"/>
        <color rgb="FF1155CC"/>
        <sz val="15.0"/>
        <u/>
      </rPr>
      <t>La incursión de Amancio Ortega en las renovables: Se hace con tres parques eólicos</t>
    </r>
    <r>
      <rPr>
        <rFont val="Arial, sans-serif"/>
        <color rgb="FF1155CC"/>
        <sz val="11.0"/>
        <u/>
      </rPr>
      <t>Como viene informando elcierredigital.com, la primera fortuna de España, Amancio Ortega, lleva años diversificando los beneficios de su gigante...</t>
    </r>
    <r>
      <rPr>
        <rFont val="Arial, sans-serif"/>
        <color rgb="FF1155CC"/>
        <sz val="12.0"/>
        <u/>
      </rPr>
      <t>.</t>
    </r>
    <r>
      <rPr>
        <rFont val="Arial, sans-serif"/>
        <color rgb="FF1155CC"/>
        <sz val="11.0"/>
        <u/>
      </rPr>
      <t>19 jun 2024</t>
    </r>
  </si>
  <si>
    <t>La incursión de Amancio Ortega en las renovables: Se hace con tres parques eólicos</t>
  </si>
  <si>
    <t>La incursión de Amancio Ortega en las renovables: Se hace con tres parques eólicos. Como viene informando elcierredigital.com, la primera fortuna de España, Amancio Ortega, lleva años diversificando los beneficios de su gigante....</t>
  </si>
  <si>
    <t>Amancio Ortega's foray into renewables: He acquires three wind farms</t>
  </si>
  <si>
    <t>Amancio Ortega's foray into renewables: It is done with three wind farms. As elcierredigital.com has been reporting, Spain's first fortune, Amancio Ortega, has been diversifying the profits of his giant for years....</t>
  </si>
  <si>
    <r>
      <rPr>
        <rFont val="Arial, sans-serif"/>
        <color rgb="FF1155CC"/>
        <sz val="9.0"/>
        <u/>
      </rPr>
      <t>Diario de Cádiz</t>
    </r>
    <r>
      <rPr>
        <rFont val="Arial, sans-serif"/>
        <color rgb="FF1155CC"/>
        <sz val="15.0"/>
        <u/>
      </rPr>
      <t>Descubre el placer de probar los mejores helados del mundo en Cádiz</t>
    </r>
    <r>
      <rPr>
        <rFont val="Arial, sans-serif"/>
        <color rgb="FF1155CC"/>
        <sz val="11.0"/>
        <u/>
      </rPr>
      <t>La Cremeria Gelato Italiano ha conseguido el séptimo puesto mundial del Gelato Festival World Ranking.</t>
    </r>
    <r>
      <rPr>
        <rFont val="Arial, sans-serif"/>
        <color rgb="FF1155CC"/>
        <sz val="12.0"/>
        <u/>
      </rPr>
      <t>.</t>
    </r>
    <r>
      <rPr>
        <rFont val="Arial, sans-serif"/>
        <color rgb="FF1155CC"/>
        <sz val="11.0"/>
        <u/>
      </rPr>
      <t>19 jun 2024</t>
    </r>
  </si>
  <si>
    <t>Descubre el placer de probar los mejores helados del mundo en Cádiz</t>
  </si>
  <si>
    <t>La Cremeria Gelato Italiano ha conseguido el séptimo puesto mundial del Gelato Festival World Ranking.</t>
  </si>
  <si>
    <t>Discover the pleasure of trying the best ice cream in the world in Cádiz</t>
  </si>
  <si>
    <t>Cremeria Gelato Italiano has achieved seventh place in the Gelato Festival World Ranking.</t>
  </si>
  <si>
    <r>
      <rPr>
        <rFont val="Arial, sans-serif"/>
        <color rgb="FF1155CC"/>
        <sz val="9.0"/>
        <u/>
      </rPr>
      <t>RockZone</t>
    </r>
    <r>
      <rPr>
        <rFont val="Arial, sans-serif"/>
        <color rgb="FF1155CC"/>
        <sz val="15.0"/>
        <u/>
      </rPr>
      <t>El Resurrection Fest anuncia nuevas incorporaciones</t>
    </r>
    <r>
      <rPr>
        <rFont val="Arial, sans-serif"/>
        <color rgb="FF1155CC"/>
        <sz val="11.0"/>
        <u/>
      </rPr>
      <t>El Resurrection Fest ha anunciado las bandas que sustituirán a algunas de las bajas que ha sufrido en los últimos días. Son nueve nombres en total que se...</t>
    </r>
    <r>
      <rPr>
        <rFont val="Arial, sans-serif"/>
        <color rgb="FF1155CC"/>
        <sz val="12.0"/>
        <u/>
      </rPr>
      <t>.</t>
    </r>
    <r>
      <rPr>
        <rFont val="Arial, sans-serif"/>
        <color rgb="FF1155CC"/>
        <sz val="11.0"/>
        <u/>
      </rPr>
      <t>19 jun 2024</t>
    </r>
  </si>
  <si>
    <t>RockZone</t>
  </si>
  <si>
    <t>El Resurrection Fest anuncia nuevas incorporaciones</t>
  </si>
  <si>
    <t>El Resurrection Fest ha anunciado las bandas que sustituirán a algunas de las bajas que ha sufrido en los últimos días. Son nueve nombres en total que se....</t>
  </si>
  <si>
    <t>Resurrection Fest announces new additions</t>
  </si>
  <si>
    <t>The Resurrection Fest has announced the bands that will replace some of the casualties it has suffered in recent days. There are nine names in total that are...</t>
  </si>
  <si>
    <r>
      <rPr>
        <rFont val="Arial, sans-serif"/>
        <color rgb="FF1155CC"/>
        <sz val="9.0"/>
        <u/>
      </rPr>
      <t>Emprendedores</t>
    </r>
    <r>
      <rPr>
        <rFont val="Arial, sans-serif"/>
        <color rgb="FF1155CC"/>
        <sz val="15.0"/>
        <u/>
      </rPr>
      <t>¿En qué se fija el venture capital al invertir en una startup?</t>
    </r>
    <r>
      <rPr>
        <rFont val="Arial, sans-serif"/>
        <color rgb="FF1155CC"/>
        <sz val="11.0"/>
        <u/>
      </rPr>
      <t>El ecosistema startup no para de crecer. Según el informe 'Impacto socioeconómico de South Summit en España 2024', elaborado por PwC, en España había 12.041...</t>
    </r>
    <r>
      <rPr>
        <rFont val="Arial, sans-serif"/>
        <color rgb="FF1155CC"/>
        <sz val="12.0"/>
        <u/>
      </rPr>
      <t>.</t>
    </r>
    <r>
      <rPr>
        <rFont val="Arial, sans-serif"/>
        <color rgb="FF1155CC"/>
        <sz val="11.0"/>
        <u/>
      </rPr>
      <t>19 jun 2024</t>
    </r>
  </si>
  <si>
    <t>¿En qué se fija el venture capital al invertir en una startup?</t>
  </si>
  <si>
    <t>El ecosistema startup no para de crecer. Según el informe 'Impacto socioeconómico de South Summit en España 2024', elaborado por PwC, en España había 12.041...</t>
  </si>
  <si>
    <t>What does venture capital look for when investing in a startup?</t>
  </si>
  <si>
    <t>The startup ecosystem does not stop growing. According to the report 'Socioeconomic impact of South Summit in Spain 2024', prepared by PwC, in Spain there were 12,041...</t>
  </si>
  <si>
    <r>
      <rPr>
        <rFont val="Arial, sans-serif"/>
        <color rgb="FF1155CC"/>
        <sz val="9.0"/>
        <u/>
      </rPr>
      <t>Cadena SER</t>
    </r>
    <r>
      <rPr>
        <rFont val="Arial, sans-serif"/>
        <color rgb="FF1155CC"/>
        <sz val="15.0"/>
        <u/>
      </rPr>
      <t>El cocinero Andrés Torres, fundador de la ONG Global Humanitaria, gana el Basque Culinary World Prize 2024</t>
    </r>
    <r>
      <rPr>
        <rFont val="Arial, sans-serif"/>
        <color rgb="FF1155CC"/>
        <sz val="11.0"/>
        <u/>
      </rPr>
      <t>Durante años trabajó como corresponsal de guerra y ahora su restaurante Casa Nova aparece en la Guía Michelin.</t>
    </r>
    <r>
      <rPr>
        <rFont val="Arial, sans-serif"/>
        <color rgb="FF1155CC"/>
        <sz val="12.0"/>
        <u/>
      </rPr>
      <t>.</t>
    </r>
    <r>
      <rPr>
        <rFont val="Arial, sans-serif"/>
        <color rgb="FF1155CC"/>
        <sz val="11.0"/>
        <u/>
      </rPr>
      <t>19 jun 2024</t>
    </r>
  </si>
  <si>
    <t>El cocinero Andrés Torres, fundador de la ONG Global Humanitaria, gana el Basque Culinary World Prize 2024</t>
  </si>
  <si>
    <t>Durante años trabajó como corresponsal de guerra y ahora su restaurante Casa Nova aparece en la Guía Michelin.</t>
  </si>
  <si>
    <t>Chef Andrés Torres, founder of the NGO Global Humanitaria, wins the Basque Culinary World Prize 2024</t>
  </si>
  <si>
    <t>For years he worked as a war correspondent and now his restaurant Casa Nova appears in the Michelin Guide.</t>
  </si>
  <si>
    <r>
      <rPr>
        <rFont val="Arial, sans-serif"/>
        <color rgb="FF1155CC"/>
        <sz val="9.0"/>
        <u/>
      </rPr>
      <t>OkDiario</t>
    </r>
    <r>
      <rPr>
        <rFont val="Arial, sans-serif"/>
        <color rgb="FF1155CC"/>
        <sz val="15.0"/>
        <u/>
      </rPr>
      <t>Un cocodrilo, primera mascota decomisada en España con el respaldo de la Ley de Bienestar Animal</t>
    </r>
    <r>
      <rPr>
        <rFont val="Arial, sans-serif"/>
        <color rgb="FF1155CC"/>
        <sz val="11.0"/>
        <u/>
      </rPr>
      <t>Realizarán en Toledo el primer decomiso de mascota en España bajo la nueva Ley de Bienestar Animal, un cocodrilo enano africano.</t>
    </r>
    <r>
      <rPr>
        <rFont val="Arial, sans-serif"/>
        <color rgb="FF1155CC"/>
        <sz val="12.0"/>
        <u/>
      </rPr>
      <t>.</t>
    </r>
    <r>
      <rPr>
        <rFont val="Arial, sans-serif"/>
        <color rgb="FF1155CC"/>
        <sz val="11.0"/>
        <u/>
      </rPr>
      <t>19 jun 2024</t>
    </r>
  </si>
  <si>
    <t>Un cocodrilo, primera mascota decomisada en España con el respaldo de la Ley de Bienestar Animal</t>
  </si>
  <si>
    <t>Realizarán en Toledo el primer decomiso de mascota en España bajo la nueva Ley de Bienestar Animal, un cocodrilo enano africano.</t>
  </si>
  <si>
    <t>A crocodile, the first pet seized in Spain with the support of the Animal Welfare Law</t>
  </si>
  <si>
    <t>The first pet seizure in Spain under the new Animal Welfare Law will be carried out in Toledo, an African dwarf crocodile.</t>
  </si>
  <si>
    <t>Law</t>
  </si>
  <si>
    <r>
      <rPr>
        <rFont val="Arial, sans-serif"/>
        <color rgb="FF1155CC"/>
        <sz val="9.0"/>
        <u/>
      </rPr>
      <t>MotorcycleSports</t>
    </r>
    <r>
      <rPr>
        <rFont val="Arial, sans-serif"/>
        <color rgb="FF1155CC"/>
        <sz val="15.0"/>
        <u/>
      </rPr>
      <t>El manager de Joan Mir niega acuerdo con Honda: 'Es la prioridad, pero aún no hemos firmado'</t>
    </r>
    <r>
      <rPr>
        <rFont val="Arial, sans-serif"/>
        <color rgb="FF1155CC"/>
        <sz val="11.0"/>
        <u/>
      </rPr>
      <t>El martes, surgieron rumores sobre la inminente renovación del contrato de Joan Mir con Repsol Honda. Sin embargo, aún no se ha firmado nada, aunque esta es...</t>
    </r>
    <r>
      <rPr>
        <rFont val="Arial, sans-serif"/>
        <color rgb="FF1155CC"/>
        <sz val="12.0"/>
        <u/>
      </rPr>
      <t>.</t>
    </r>
    <r>
      <rPr>
        <rFont val="Arial, sans-serif"/>
        <color rgb="FF1155CC"/>
        <sz val="11.0"/>
        <u/>
      </rPr>
      <t>19 jun 2024</t>
    </r>
  </si>
  <si>
    <t>El manager de Joan Mir niega acuerdo con Honda: 'Es la prioridad, pero aún no hemos firmado'</t>
  </si>
  <si>
    <t>El martes, surgieron rumores sobre la inminente renovación del contrato de Joan Mir con Repsol Honda. Sin embargo, aún no se ha firmado nada, aunque esta es....</t>
  </si>
  <si>
    <t>Joan Mir's manager denies agreement with Honda: 'It is the priority, but we have not signed yet'</t>
  </si>
  <si>
    <t>On Tuesday, rumors emerged about Joan Mir's imminent contract renewal with Repsol Honda. However, nothing has been signed yet, although this is...</t>
  </si>
  <si>
    <r>
      <rPr>
        <rFont val="Arial, sans-serif"/>
        <color rgb="FF1155CC"/>
        <sz val="9.0"/>
        <u/>
      </rPr>
      <t>Xunta de Galicia</t>
    </r>
    <r>
      <rPr>
        <rFont val="Arial, sans-serif"/>
        <color rgb="FF1155CC"/>
        <sz val="15.0"/>
        <u/>
      </rPr>
      <t>La Xunta y la Fundación Repsol fomentan la literatura gallega con la XVIII edición del Premio Story Breve</t>
    </r>
    <r>
      <rPr>
        <rFont val="Arial, sans-serif"/>
        <color rgb="FF1155CC"/>
        <sz val="11.0"/>
        <u/>
      </rPr>
      <t>Santiago de Compostela, 20 de junio de 2024. La Xunta de Galicia y la Fundación Repsol vienen de poner en marcha una nueva edición del Premio Story Breve en...</t>
    </r>
    <r>
      <rPr>
        <rFont val="Arial, sans-serif"/>
        <color rgb="FF1155CC"/>
        <sz val="12.0"/>
        <u/>
      </rPr>
      <t>.</t>
    </r>
    <r>
      <rPr>
        <rFont val="Arial, sans-serif"/>
        <color rgb="FF1155CC"/>
        <sz val="11.0"/>
        <u/>
      </rPr>
      <t>20 jun 2024</t>
    </r>
  </si>
  <si>
    <t>La Xunta y la Fundación Repsol fomentan la literatura gallega con la XVIII edición del Premio Story Breve</t>
  </si>
  <si>
    <t>La Xunta de Galicia y la Fundación Repsol vienen de poner en marcha una nueva edición del Premio Story Breve en....</t>
  </si>
  <si>
    <t>The Xunta and the Repsol Foundation promote Galician literature with the 18th edition of the Brief Story Award</t>
  </si>
  <si>
    <t>The Xunta de Galicia and the Repsol Foundation have just launched a new edition of the Brief Story Award in....</t>
  </si>
  <si>
    <r>
      <rPr>
        <rFont val="Arial, sans-serif"/>
        <color rgb="FF1155CC"/>
        <sz val="9.0"/>
        <u/>
      </rPr>
      <t>Repsol</t>
    </r>
    <r>
      <rPr>
        <rFont val="Arial, sans-serif"/>
        <color rgb="FF1155CC"/>
        <sz val="15.0"/>
        <u/>
      </rPr>
      <t>Unimos seguridad y sostenibilidad con el guardaválvulas Repsol Reciclex® con un 10% de reciclado en nuestras botellas de butano NEL</t>
    </r>
    <r>
      <rPr>
        <rFont val="Arial, sans-serif"/>
        <color rgb="FF1155CC"/>
        <sz val="11.0"/>
        <u/>
      </rPr>
      <t>El guardaválvulas, diseñado para cumplir con todos los altos estándares de calidad y propiedades mecánicas, es una pieza de seguridad que protege la válvula...</t>
    </r>
    <r>
      <rPr>
        <rFont val="Arial, sans-serif"/>
        <color rgb="FF1155CC"/>
        <sz val="12.0"/>
        <u/>
      </rPr>
      <t>.</t>
    </r>
    <r>
      <rPr>
        <rFont val="Arial, sans-serif"/>
        <color rgb="FF1155CC"/>
        <sz val="11.0"/>
        <u/>
      </rPr>
      <t>20 jun 2024</t>
    </r>
  </si>
  <si>
    <t>Unimos seguridad y sostenibilidad con el guardaválvulas Repsol Reciclex® con un 10% de reciclado en nuestras botellas de butano</t>
  </si>
  <si>
    <t>El guardaválvulas, diseñado para cumplir con todos los altos estándares de calidad y propiedades mecánicas, es una pieza de seguridad que protege la válvula....</t>
  </si>
  <si>
    <t>We combine safety and sustainability with the Repsol Reciclex® valve guard with 10% recycling in our butane bottles</t>
  </si>
  <si>
    <t>The valve guard, designed to meet all the high standards of quality and mechanical properties, is a safety piece that protects the valve....</t>
  </si>
  <si>
    <t>Repsol sustainability, product innovation</t>
  </si>
  <si>
    <t>Sostenibilidad Repsol, innovación de producto</t>
  </si>
  <si>
    <t>Enhancing product sustainability aligns with Repsol’s green initiatives.</t>
  </si>
  <si>
    <r>
      <rPr>
        <rFont val="Arial, sans-serif"/>
        <color rgb="FF1155CC"/>
        <sz val="9.0"/>
        <u/>
      </rPr>
      <t>CapitalMadrid</t>
    </r>
    <r>
      <rPr>
        <rFont val="Arial, sans-serif"/>
        <color rgb="FF1155CC"/>
        <sz val="15.0"/>
        <u/>
      </rPr>
      <t>Repsol escarmienta y evita acudir a las subastas de YPF para no repetir errores</t>
    </r>
    <r>
      <rPr>
        <rFont val="Arial, sans-serif"/>
        <color rgb="FF1155CC"/>
        <sz val="11.0"/>
        <u/>
      </rPr>
      <t>Después de pasarlas canutas por el fiasco de la expropiación de su participación (51%) en la argentina Yacimientos Petrolíferos y Fiscales (YPF), Repsol ha...</t>
    </r>
    <r>
      <rPr>
        <rFont val="Arial, sans-serif"/>
        <color rgb="FF1155CC"/>
        <sz val="12.0"/>
        <u/>
      </rPr>
      <t>.</t>
    </r>
    <r>
      <rPr>
        <rFont val="Arial, sans-serif"/>
        <color rgb="FF1155CC"/>
        <sz val="11.0"/>
        <u/>
      </rPr>
      <t>20 jun 2024</t>
    </r>
  </si>
  <si>
    <t>Repsol escarmienta y evita acudir a las subastas de YPF para no repetir errores</t>
  </si>
  <si>
    <t>Después de pasarlas canutas por el fiasco de la expropiación de su participación (51%) en la argentina Yacimientos Petrolíferos y Fiscales (YPF), Repsol ha....</t>
  </si>
  <si>
    <t>Repsol takes a lesson and avoids attending the YPF auctions to avoid repeating mistakes</t>
  </si>
  <si>
    <t>After suffering through the fiasco of the expropriation of its stake (51%) in the Argentine Yacimientos Petroliferos y Fiscales (YPF), Repsol has...</t>
  </si>
  <si>
    <t>Repsol greenwashing scrutiny, corporate strategy</t>
  </si>
  <si>
    <t>Escrutinio del greenwashing de Repsol, estrategia corporativa</t>
  </si>
  <si>
    <t>Avoiding discussions on greenwashing may raise concerns about Repsol’s transparency.</t>
  </si>
  <si>
    <r>
      <rPr>
        <rFont val="Arial, sans-serif"/>
        <color rgb="FF1155CC"/>
        <sz val="9.0"/>
        <u/>
      </rPr>
      <t>El Español</t>
    </r>
    <r>
      <rPr>
        <rFont val="Arial, sans-serif"/>
        <color rgb="FF1155CC"/>
        <sz val="15.0"/>
        <u/>
      </rPr>
      <t>Josu Jon Imaz (Repsol): "Se ha creado una expectativa sobredimensionada con el hidrógeno verde"</t>
    </r>
    <r>
      <rPr>
        <rFont val="Arial, sans-serif"/>
        <color rgb="FF1155CC"/>
        <sz val="11.0"/>
        <u/>
      </rPr>
      <t>El CEO de la petrolera aseguró que las actuales políticas de movilidad son regresivas en términos sociales.</t>
    </r>
    <r>
      <rPr>
        <rFont val="Arial, sans-serif"/>
        <color rgb="FF1155CC"/>
        <sz val="12.0"/>
        <u/>
      </rPr>
      <t>.</t>
    </r>
    <r>
      <rPr>
        <rFont val="Arial, sans-serif"/>
        <color rgb="FF1155CC"/>
        <sz val="11.0"/>
        <u/>
      </rPr>
      <t>20 jun 2024</t>
    </r>
  </si>
  <si>
    <t>Se ha creado una expectativa sobredimensionada con el hidrógeno verde</t>
  </si>
  <si>
    <t>El CEO de la petrolera aseguró que las actuales políticas de movilidad son regresivas en términos sociales.</t>
  </si>
  <si>
    <t>An exaggerated expectation has been created with green hydrogen</t>
  </si>
  <si>
    <t>The CEO of the oil company assured that current mobility policies are regressive in social terms.</t>
  </si>
  <si>
    <t>Repsol hydrogen energy, business outlook</t>
  </si>
  <si>
    <t>Repsol energía del hidrógeno, perspectivas de negocio</t>
  </si>
  <si>
    <t>Expressing caution about hydrogen energy may affect Repsol’s renewable image.</t>
  </si>
  <si>
    <r>
      <rPr>
        <rFont val="Arial, sans-serif"/>
        <color rgb="FF1155CC"/>
        <sz val="9.0"/>
        <u/>
      </rPr>
      <t>Reason Why</t>
    </r>
    <r>
      <rPr>
        <rFont val="Arial, sans-serif"/>
        <color rgb="FF1155CC"/>
        <sz val="15.0"/>
        <u/>
      </rPr>
      <t>El grupo británico de rock Maybeshewill rechaza participar en el Resurrection Festival porque lo patrocina Repsol</t>
    </r>
    <r>
      <rPr>
        <rFont val="Arial, sans-serif"/>
        <color rgb="FF1155CC"/>
        <sz val="11.0"/>
        <u/>
      </rPr>
      <t>“Como banda, no podemos justificar nuestra actuación en un evento patrocinado por Repsol, uno de los 50 mayores emisores de CO2 en el mundo que continúa...</t>
    </r>
    <r>
      <rPr>
        <rFont val="Arial, sans-serif"/>
        <color rgb="FF1155CC"/>
        <sz val="12.0"/>
        <u/>
      </rPr>
      <t>.</t>
    </r>
    <r>
      <rPr>
        <rFont val="Arial, sans-serif"/>
        <color rgb="FF1155CC"/>
        <sz val="11.0"/>
        <u/>
      </rPr>
      <t>20 jun 2024</t>
    </r>
  </si>
  <si>
    <t>El grupo británico de rock Maybeshewill</t>
  </si>
  <si>
    <t>El grupo británico de rock Maybeshewill rechaza participar en el Resurrection Festival porque lo patrocina Repsol</t>
  </si>
  <si>
    <t>“Como banda, no podemos justificar nuestra actuación en un evento patrocinado por Repsol, uno de los 50 mayores emisores de CO2 en el mundo que continúa....</t>
  </si>
  <si>
    <t>The British rock group Maybeshewill refuses to participate in the Resurrection Festival because it is sponsored by Repsol</t>
  </si>
  <si>
    <t>“As a band, we cannot justify our performance at an event sponsored by Repsol, one of the 50 largest emitters of CO2 in the world that continues...</t>
  </si>
  <si>
    <r>
      <rPr>
        <rFont val="Arial, sans-serif"/>
        <color rgb="FF1155CC"/>
        <sz val="9.0"/>
        <u/>
      </rPr>
      <t>El Periódico de la Energía</t>
    </r>
    <r>
      <rPr>
        <rFont val="Arial, sans-serif"/>
        <color rgb="FF1155CC"/>
        <sz val="15.0"/>
        <u/>
      </rPr>
      <t>Imaz (Repsol) pide valorar al empresario que genera beneficios, los invierte y da riqueza a la sociedad</t>
    </r>
    <r>
      <rPr>
        <rFont val="Arial, sans-serif"/>
        <color rgb="FF1155CC"/>
        <sz val="11.0"/>
        <u/>
      </rPr>
      <t>El CEO de Repsol ha abogado por valorar al empresario que genera beneficios en su compañía, los invierte y da riqueza a la sociedad.</t>
    </r>
    <r>
      <rPr>
        <rFont val="Arial, sans-serif"/>
        <color rgb="FF1155CC"/>
        <sz val="12.0"/>
        <u/>
      </rPr>
      <t>.</t>
    </r>
    <r>
      <rPr>
        <rFont val="Arial, sans-serif"/>
        <color rgb="FF1155CC"/>
        <sz val="11.0"/>
        <u/>
      </rPr>
      <t>20 jun 2024</t>
    </r>
  </si>
  <si>
    <t>Imaz (Repsol) pide valorar al empresario que genera beneficios, los invierte y da riqueza a la sociedad</t>
  </si>
  <si>
    <t>El CEO de Repsol ha abogado por valorar al empresario que genera beneficios en su compañía, los invierte y da riqueza a la sociedad.</t>
  </si>
  <si>
    <t>Imaz (Repsol) asks to value the businessman who generates profits, invests them and gives wealth to society</t>
  </si>
  <si>
    <t>The CEO of Repsol has advocated valuing the businessman who generates profits in his company, invests them and gives wealth to society.</t>
  </si>
  <si>
    <t>Repsol corporate strategy, economic advocacy</t>
  </si>
  <si>
    <t>Estrategia corporativa de Repsol, incidencia económica</t>
  </si>
  <si>
    <t>Promoting investment in national markets aligns with Repsol’s economic strategy.</t>
  </si>
  <si>
    <r>
      <rPr>
        <rFont val="Arial, sans-serif"/>
        <color rgb="FF1155CC"/>
        <sz val="9.0"/>
        <u/>
      </rPr>
      <t>Libre Mercado</t>
    </r>
    <r>
      <rPr>
        <rFont val="Arial, sans-serif"/>
        <color rgb="FF1155CC"/>
        <sz val="15.0"/>
        <u/>
      </rPr>
      <t>Podemos busca un linchamiento público a Josu Jon Imaz por la lección que dio a una ecologista</t>
    </r>
    <r>
      <rPr>
        <rFont val="Arial, sans-serif"/>
        <color rgb="FF1155CC"/>
        <sz val="11.0"/>
        <u/>
      </rPr>
      <t>Imaz desarmó los argumentos de los ecologistas en la reciente junta de acciones de Repsol y ahora Podemos quiere vengarse.</t>
    </r>
    <r>
      <rPr>
        <rFont val="Arial, sans-serif"/>
        <color rgb="FF1155CC"/>
        <sz val="12.0"/>
        <u/>
      </rPr>
      <t>.</t>
    </r>
    <r>
      <rPr>
        <rFont val="Arial, sans-serif"/>
        <color rgb="FF1155CC"/>
        <sz val="11.0"/>
        <u/>
      </rPr>
      <t>20 jun 2024</t>
    </r>
  </si>
  <si>
    <t>Podemos busca un linchamiento público a Josu Jon Imaz por la lección que dio a una ecologista</t>
  </si>
  <si>
    <t>Imaz desarmó los argumentos de los ecologistas en la reciente junta de acciones de Repsol y ahora Podemos quiere vengarse.</t>
  </si>
  <si>
    <t>Podemos seeks a public lynching of Josu Jon Imaz for the lesson he gave to an environmentalist</t>
  </si>
  <si>
    <t>Imaz dismantled the arguments of the environmentalists at the recent Repsol stock meeting and now Podemos wants revenge.</t>
  </si>
  <si>
    <t>Repsol political controversy, business defense</t>
  </si>
  <si>
    <t>Polémica política de Repsol, defensa empresarial</t>
  </si>
  <si>
    <t>Political confrontations may generate negative publicity for Repsol.</t>
  </si>
  <si>
    <r>
      <rPr>
        <rFont val="Arial, sans-serif"/>
        <color rgb="FF1155CC"/>
        <sz val="9.0"/>
        <u/>
      </rPr>
      <t>Newtral</t>
    </r>
    <r>
      <rPr>
        <rFont val="Arial, sans-serif"/>
        <color rgb="FF1155CC"/>
        <sz val="15.0"/>
        <u/>
      </rPr>
      <t>El vídeo de Felipe VI animando a invertir en el «proyecto Repsol» para ganar 10.000 euros al mes está manipulado</t>
    </r>
    <r>
      <rPr>
        <rFont val="Arial, sans-serif"/>
        <color rgb="FF1155CC"/>
        <sz val="11.0"/>
        <u/>
      </rPr>
      <t>El vídeo viral en el que aparece el rey recomendando invertir en el “proyecto Repsol” es falso. Está manipulado.</t>
    </r>
    <r>
      <rPr>
        <rFont val="Arial, sans-serif"/>
        <color rgb="FF1155CC"/>
        <sz val="12.0"/>
        <u/>
      </rPr>
      <t>.</t>
    </r>
    <r>
      <rPr>
        <rFont val="Arial, sans-serif"/>
        <color rgb="FF1155CC"/>
        <sz val="11.0"/>
        <u/>
      </rPr>
      <t>20 jun 2024</t>
    </r>
  </si>
  <si>
    <t>Newtral</t>
  </si>
  <si>
    <t>El vídeo de Felipe VI animando a invertir en el «proyecto Repsol» para ganar 10.000 euros al mes está manipulado</t>
  </si>
  <si>
    <t>El vídeo viral en el que aparece el rey recomendando invertir en el “proyecto Repsol” es falso. Está manipulado.</t>
  </si>
  <si>
    <t>The video of Felipe VI encouraging people to invest in the "Repsol project" to earn 10,000 euros per month is manipulated</t>
  </si>
  <si>
    <t>The viral video in which the king appears recommending investing in the “Repsol project” is false. It's manipulated.</t>
  </si>
  <si>
    <r>
      <rPr>
        <rFont val="Arial, sans-serif"/>
        <color rgb="FF1155CC"/>
        <sz val="9.0"/>
        <u/>
      </rPr>
      <t>El Debate</t>
    </r>
    <r>
      <rPr>
        <rFont val="Arial, sans-serif"/>
        <color rgb="FF1155CC"/>
        <sz val="15.0"/>
        <u/>
      </rPr>
      <t>Josu Jon Imaz (Repsol): «Los americanos no dicen disparates como que van a prohibir el motor de combustión»</t>
    </r>
    <r>
      <rPr>
        <rFont val="Arial, sans-serif"/>
        <color rgb="FF1155CC"/>
        <sz val="11.0"/>
        <u/>
      </rPr>
      <t>​Josu Jon Imaz (Repsol) critica la «hipocresía» del Gobierno al no permitir explorar ni producir gas en España. Unai Mezcua Gordillo Unai Mezcua.</t>
    </r>
    <r>
      <rPr>
        <rFont val="Arial, sans-serif"/>
        <color rgb="FF1155CC"/>
        <sz val="12.0"/>
        <u/>
      </rPr>
      <t>.</t>
    </r>
    <r>
      <rPr>
        <rFont val="Arial, sans-serif"/>
        <color rgb="FF1155CC"/>
        <sz val="11.0"/>
        <u/>
      </rPr>
      <t>20 jun 2024</t>
    </r>
  </si>
  <si>
    <t>Josu Jon Imaz (Repsol): «Los americanos no dicen disparates como que van a prohibir el motor de combustión»</t>
  </si>
  <si>
    <t>Josu Jon Imaz (Repsol) critica la «hipocresía» del Gobierno al no permitir explorar ni producir gas en España.</t>
  </si>
  <si>
    <t>Josu Jon Imaz (Repsol): "The Americans do not say nonsense like they are going to ban the combustion engine"</t>
  </si>
  <si>
    <t>Josu Jon Imaz (Repsol) criticizes the "hypocrisy" of the Government in not allowing exploration or production of gas in Spain.</t>
  </si>
  <si>
    <t>Repsol regulatory challenges, business outlook</t>
  </si>
  <si>
    <t>Retos regulatorios de Repsol, perspectivas de negocio</t>
  </si>
  <si>
    <t>Highlighting regulatory concerns supports Repsol’s lobbying efforts.</t>
  </si>
  <si>
    <r>
      <rPr>
        <rFont val="Arial, sans-serif"/>
        <color rgb="FF1155CC"/>
        <sz val="9.0"/>
        <u/>
      </rPr>
      <t>La Razón</t>
    </r>
    <r>
      <rPr>
        <rFont val="Arial, sans-serif"/>
        <color rgb="FF1155CC"/>
        <sz val="15.0"/>
        <u/>
      </rPr>
      <t>Imaz dice que en la descarbonización hay sitio para todas las tecnologías y pide imitar a EE UU, que no propon</t>
    </r>
    <r>
      <rPr>
        <rFont val="Arial, sans-serif"/>
        <color rgb="FF1155CC"/>
        <sz val="11.0"/>
        <u/>
      </rPr>
      <t>El consejero delegado de Repsol solicita a Europa que no haga "el canelo" y que apoye la transición energética en las capacidades industriales y...</t>
    </r>
    <r>
      <rPr>
        <rFont val="Arial, sans-serif"/>
        <color rgb="FF1155CC"/>
        <sz val="12.0"/>
        <u/>
      </rPr>
      <t>.</t>
    </r>
    <r>
      <rPr>
        <rFont val="Arial, sans-serif"/>
        <color rgb="FF1155CC"/>
        <sz val="11.0"/>
        <u/>
      </rPr>
      <t>20 jun 2024</t>
    </r>
  </si>
  <si>
    <t>Imaz dice que en la descarbonización hay sitio para todas las tecnologías y pide imitar a EE UU, que no propon</t>
  </si>
  <si>
    <t>El consejero delegado de Repsol solicita a Europa que no haga "el canelo" y que apoye la transición energética en las capacidades industriales y....</t>
  </si>
  <si>
    <t>Imaz says that in decarbonization there is room for all technologies and asks to imitate the United States, which does not propose</t>
  </si>
  <si>
    <t>The CEO of Repsol asks Europe not to play tricks and to support the energy transition in industrial capacities and...</t>
  </si>
  <si>
    <t>Advocating for diverse energy solutions aligns with Repsol’s transition goals.</t>
  </si>
  <si>
    <r>
      <rPr>
        <rFont val="Arial, sans-serif"/>
        <color rgb="FF1155CC"/>
        <sz val="9.0"/>
        <u/>
      </rPr>
      <t>ENCLM</t>
    </r>
    <r>
      <rPr>
        <rFont val="Arial, sans-serif"/>
        <color rgb="FF1155CC"/>
        <sz val="15.0"/>
        <u/>
      </rPr>
      <t>Premios Zinkers: un colegio de Cabañas de La Sagra y un instituto de Quintanar del Rey, finalistas nacionales</t>
    </r>
    <r>
      <rPr>
        <color rgb="FF1155CC"/>
        <sz val="11.0"/>
        <u/>
      </rPr>
      <t>El colegio San Isidro Labrador y el IES Fernando de los Ríos en la final nacional de los Zinkers de la Fundación Repsol.</t>
    </r>
    <r>
      <rPr>
        <color rgb="FF1155CC"/>
        <u/>
      </rPr>
      <t>.</t>
    </r>
    <r>
      <rPr>
        <color rgb="FF1155CC"/>
        <sz val="11.0"/>
        <u/>
      </rPr>
      <t>20 jun 2024</t>
    </r>
  </si>
  <si>
    <t>Premios Zinkers: un colegio de Cabañas de La Sagra y un instituto de Quintanar del Rey, finalistas nacionales</t>
  </si>
  <si>
    <t>El colegio San Isidro Labrador y el IES Fernando de los Ríos en la final nacional de los Zinkers de la Fundación Repsol.</t>
  </si>
  <si>
    <t>Zinkers Awards: a school from Cabañas de La Sagra and an institute from Quintanar del Rey, national finalists</t>
  </si>
  <si>
    <t>The San Isidro Labrador school and the IES Fernando de los Ríos in the national final of the Zinkers of the Repsol Foundation.</t>
  </si>
  <si>
    <r>
      <rPr>
        <rFont val="Arial, sans-serif"/>
        <color rgb="FF1155CC"/>
        <sz val="9.0"/>
        <u/>
      </rPr>
      <t>www.fundacionrepsol.com</t>
    </r>
    <r>
      <rPr>
        <rFont val="Arial, sans-serif"/>
        <color rgb="FF1155CC"/>
        <sz val="15.0"/>
        <u/>
      </rPr>
      <t>Entrega de los Premios Zinkers a los ganadores</t>
    </r>
    <r>
      <rPr>
        <rFont val="Arial, sans-serif"/>
        <color rgb="FF1155CC"/>
        <sz val="11.0"/>
        <u/>
      </rPr>
      <t>Antonio Brufau, presidente de Repsol, ha entregado los Premios Zinkers a los ganadores de esta edición, en una gala celebrada en Madrid.</t>
    </r>
    <r>
      <rPr>
        <rFont val="Arial, sans-serif"/>
        <color rgb="FF1155CC"/>
        <sz val="12.0"/>
        <u/>
      </rPr>
      <t>.</t>
    </r>
    <r>
      <rPr>
        <rFont val="Arial, sans-serif"/>
        <color rgb="FF1155CC"/>
        <sz val="11.0"/>
        <u/>
      </rPr>
      <t>21 jun 2024</t>
    </r>
  </si>
  <si>
    <t>Entrega de los Premios Zinkers a los ganadores</t>
  </si>
  <si>
    <t>Antonio Brufau, presidente de Repsol, ha entregado los Premios Zinkers a los ganadores de esta edición, en una gala celebrada en Madrid.</t>
  </si>
  <si>
    <t>Presentation of the Zinkers Awards to the winners</t>
  </si>
  <si>
    <t>Antonio Brufau, president of Repsol, presented the Zinkers Awards to the winners of this edition, at a gala held in Madrid.</t>
  </si>
  <si>
    <r>
      <rPr>
        <rFont val="Arial, sans-serif"/>
        <color rgb="FF1155CC"/>
        <sz val="9.0"/>
        <u/>
      </rPr>
      <t>Naucher</t>
    </r>
    <r>
      <rPr>
        <rFont val="Arial, sans-serif"/>
        <color rgb="FF1155CC"/>
        <sz val="15.0"/>
        <u/>
      </rPr>
      <t>Trasmapi y Repsol realizan las primeras pruebas de mar en España con combustibles 100% renovables</t>
    </r>
    <r>
      <rPr>
        <rFont val="Arial, sans-serif"/>
        <color rgb="FF1155CC"/>
        <sz val="11.0"/>
        <u/>
      </rPr>
      <t>Esta mañana ha tenido lugar en Marina Ibiza la primera prueba del combustible 100% renovable para el sector marítimo de la mano de Repsol y Trasmapi,...</t>
    </r>
    <r>
      <rPr>
        <rFont val="Arial, sans-serif"/>
        <color rgb="FF1155CC"/>
        <sz val="12.0"/>
        <u/>
      </rPr>
      <t>.</t>
    </r>
    <r>
      <rPr>
        <rFont val="Arial, sans-serif"/>
        <color rgb="FF1155CC"/>
        <sz val="11.0"/>
        <u/>
      </rPr>
      <t>21 jun 2024</t>
    </r>
  </si>
  <si>
    <t>Naucher</t>
  </si>
  <si>
    <t>Trasmapi y Repsol realizan las primeras pruebas de mar en España con combustibles 100% renovables</t>
  </si>
  <si>
    <t>Esta mañana ha tenido lugar en Marina Ibiza la primera prueba del combustible 100% renovable para el sector marítimo de la mano de Repsol y Trasmapi,....</t>
  </si>
  <si>
    <t>Trasmapi and Repsol carry out the first sea tests in Spain with 100% renewable fuels</t>
  </si>
  <si>
    <t>This morning the first test of 100% renewable fuel for the maritime sector took place in Marina Ibiza with Repsol and Trasmapi....</t>
  </si>
  <si>
    <t>Advancing renewable fuel testing strengthens Repsol’s clean energy strategy.</t>
  </si>
  <si>
    <r>
      <rPr>
        <rFont val="Arial, sans-serif"/>
        <color rgb="FF1155CC"/>
        <sz val="9.0"/>
        <u/>
      </rPr>
      <t>Ayuntamiento de Puertollano</t>
    </r>
    <r>
      <rPr>
        <rFont val="Arial, sans-serif"/>
        <color rgb="FF1155CC"/>
        <sz val="15.0"/>
        <u/>
      </rPr>
      <t>Repsol renueva su compromiso con el deporte escolar y aumenta el 9% su aportación anual</t>
    </r>
    <r>
      <rPr>
        <rFont val="Arial, sans-serif"/>
        <color rgb="FF1155CC"/>
        <sz val="11.0"/>
        <u/>
      </rPr>
      <t>El director del Complejo Industrial de Repsol en Puertollano, Arsenio Salvador y el alcalde de Puertollano, Miguel Ángel Ruiz han renovado el convenio de...</t>
    </r>
    <r>
      <rPr>
        <rFont val="Arial, sans-serif"/>
        <color rgb="FF1155CC"/>
        <sz val="12.0"/>
        <u/>
      </rPr>
      <t>.</t>
    </r>
    <r>
      <rPr>
        <rFont val="Arial, sans-serif"/>
        <color rgb="FF1155CC"/>
        <sz val="11.0"/>
        <u/>
      </rPr>
      <t>21 jun 2024</t>
    </r>
  </si>
  <si>
    <t>Repsol renueva su compromiso con el deporte escolar y aumenta el 9% su aportación anual</t>
  </si>
  <si>
    <t>Repsol renueva su compromiso con el deporte escolar y aumenta el 9% su aportación anual.</t>
  </si>
  <si>
    <t>Repsol renews its commitment to school sports and increases its annual contribution by 9%</t>
  </si>
  <si>
    <t>Repsol renews its commitment to school sports and increases its annual contribution by 9%.</t>
  </si>
  <si>
    <r>
      <rPr>
        <rFont val="Arial, sans-serif"/>
        <color rgb="FF1155CC"/>
        <sz val="9.0"/>
        <u/>
      </rPr>
      <t>El Periódico de la Energía</t>
    </r>
    <r>
      <rPr>
        <rFont val="Arial, sans-serif"/>
        <color rgb="FF1155CC"/>
        <sz val="15.0"/>
        <u/>
      </rPr>
      <t>Brufau (Repsol) avisa de que Europa está perdiendo peso industrial por la regulación "excesiva" y "compleja"</t>
    </r>
    <r>
      <rPr>
        <rFont val="Arial, sans-serif"/>
        <color rgb="FF1155CC"/>
        <sz val="11.0"/>
        <u/>
      </rPr>
      <t>El presidente de Repsol ha avisado de que Europa está perdiendo peso industrial por la regulación "excesiva" y "compleja".</t>
    </r>
    <r>
      <rPr>
        <rFont val="Arial, sans-serif"/>
        <color rgb="FF1155CC"/>
        <sz val="12.0"/>
        <u/>
      </rPr>
      <t>.</t>
    </r>
    <r>
      <rPr>
        <rFont val="Arial, sans-serif"/>
        <color rgb="FF1155CC"/>
        <sz val="11.0"/>
        <u/>
      </rPr>
      <t>21 jun 2024</t>
    </r>
  </si>
  <si>
    <t>Brufau (Repsol) avisa de que Europa está perdiendo peso industrial por la regulación "excesiva" y "compleja"</t>
  </si>
  <si>
    <t>Europa está perdiendo peso industrial por la regulación "excesiva" y "compleja".</t>
  </si>
  <si>
    <t>Brufau (Repsol) warns that Europe is losing industrial weight due to "excessive" and "complex" regulation</t>
  </si>
  <si>
    <t>Europe is losing industrial weight due to "excessive" and "complex" regulation.</t>
  </si>
  <si>
    <t>Repsol industrial strategy, business outlook</t>
  </si>
  <si>
    <t>Estrategia industrial de Repsol, perspectivas de negocio</t>
  </si>
  <si>
    <t>Addressing industrial concerns aligns with Repsol’s economic advocacy.</t>
  </si>
  <si>
    <r>
      <rPr>
        <rFont val="Arial, sans-serif"/>
        <color rgb="FF1155CC"/>
        <sz val="9.0"/>
        <u/>
      </rPr>
      <t>Finanzas.com</t>
    </r>
    <r>
      <rPr>
        <rFont val="Arial, sans-serif"/>
        <color rgb="FF1155CC"/>
        <sz val="15.0"/>
        <u/>
      </rPr>
      <t>Repsol acelera la remontada al calor de las mayores proyecciones de dividendo</t>
    </r>
    <r>
      <rPr>
        <rFont val="Arial, sans-serif"/>
        <color rgb="FF1155CC"/>
        <sz val="11.0"/>
        <u/>
      </rPr>
      <t>El consenso de analistas eleva las proyecciones de dividendo de Repsol un 3%. La petrolera recupera el paso en bolsa tras el último rebote del crudo.</t>
    </r>
    <r>
      <rPr>
        <rFont val="Arial, sans-serif"/>
        <color rgb="FF1155CC"/>
        <sz val="12.0"/>
        <u/>
      </rPr>
      <t>.</t>
    </r>
    <r>
      <rPr>
        <rFont val="Arial, sans-serif"/>
        <color rgb="FF1155CC"/>
        <sz val="11.0"/>
        <u/>
      </rPr>
      <t>21 jun 2024</t>
    </r>
  </si>
  <si>
    <t>Repsol acelera la remontada al calor de las mayores proyecciones de dividendo</t>
  </si>
  <si>
    <t>El consenso de analistas eleva las proyecciones de dividendo de Repsol un 3%. La petrolera recupera el paso en bolsa tras el último rebote del crudo.</t>
  </si>
  <si>
    <t>Repsol accelerates the comeback in the heat of the highest dividend projections</t>
  </si>
  <si>
    <t>The analyst consensus raises Repsol's dividend projections by 3%. The oil company recovers its pace on the stock market after the latest rebound in crude oil.</t>
  </si>
  <si>
    <t>Repsol stock market, financial performance</t>
  </si>
  <si>
    <t>Bolsa Repsol, desempeño financiero</t>
  </si>
  <si>
    <t>Positive market performance reinforces Repsol’s financial stability.</t>
  </si>
  <si>
    <r>
      <rPr>
        <rFont val="Arial, sans-serif"/>
        <color rgb="FF1155CC"/>
        <sz val="9.0"/>
        <u/>
      </rPr>
      <t>Noudiari.es</t>
    </r>
    <r>
      <rPr>
        <rFont val="Arial, sans-serif"/>
        <color rgb="FF1155CC"/>
        <sz val="15.0"/>
        <u/>
      </rPr>
      <t>Trasmapi y Repsol, pioneros en España en pruebas marítimas con combustible 100% renovable</t>
    </r>
    <r>
      <rPr>
        <rFont val="Arial, sans-serif"/>
        <color rgb="FF1155CC"/>
        <sz val="11.0"/>
        <u/>
      </rPr>
      <t>En los últimos años, Trasmapi ha preparado nuevas embarcaciones y remotorizado las existentes con el propósito de adaptarlas a los últimos estándares...</t>
    </r>
    <r>
      <rPr>
        <rFont val="Arial, sans-serif"/>
        <color rgb="FF1155CC"/>
        <sz val="12.0"/>
        <u/>
      </rPr>
      <t>.</t>
    </r>
    <r>
      <rPr>
        <rFont val="Arial, sans-serif"/>
        <color rgb="FF1155CC"/>
        <sz val="11.0"/>
        <u/>
      </rPr>
      <t>21 jun 2024</t>
    </r>
  </si>
  <si>
    <t>Trasmapi y Repsol, pioneros en España en pruebas marítimas con combustible 100% renovable</t>
  </si>
  <si>
    <t>En los últimos años, Trasmapi ha preparado nuevas embarcaciones y remotorizado las existentes con el propósito de adaptarlas a los últimos estándares....</t>
  </si>
  <si>
    <t>Trasmapi and Repsol, pioneers in Spain in maritime tests with 100% renewable fuel</t>
  </si>
  <si>
    <t>In recent years, Trasmapi has prepared new boats and retrofitted existing ones with the purpose of adapting them to the latest standards....</t>
  </si>
  <si>
    <t>Pioneering maritime decarbonization aligns with Repsol’s clean energy commitments.</t>
  </si>
  <si>
    <r>
      <rPr>
        <rFont val="Arial, sans-serif"/>
        <color rgb="FF1155CC"/>
        <sz val="9.0"/>
        <u/>
      </rPr>
      <t>Cadena SER</t>
    </r>
    <r>
      <rPr>
        <rFont val="Arial, sans-serif"/>
        <color rgb="FF1155CC"/>
        <sz val="15.0"/>
        <u/>
      </rPr>
      <t>Las mejores Digital Girls de España están en Puertollano</t>
    </r>
    <r>
      <rPr>
        <rFont val="Arial, sans-serif"/>
        <color rgb="FF1155CC"/>
        <sz val="11.0"/>
        <u/>
      </rPr>
      <t>Dos de los equipos mentorizados por Repsol han quedado entre los seis mejores del país sobre un total de doscientos cincuenta participantes.</t>
    </r>
    <r>
      <rPr>
        <rFont val="Arial, sans-serif"/>
        <color rgb="FF1155CC"/>
        <sz val="12.0"/>
        <u/>
      </rPr>
      <t>.</t>
    </r>
    <r>
      <rPr>
        <rFont val="Arial, sans-serif"/>
        <color rgb="FF1155CC"/>
        <sz val="11.0"/>
        <u/>
      </rPr>
      <t>21 jun 2024</t>
    </r>
  </si>
  <si>
    <t>Las mejores Digital Girls de España están en Puertollano</t>
  </si>
  <si>
    <t>Dos de los equipos mentorizados por Repsol han quedado entre los seis mejores del país sobre un total de doscientos cincuenta participantes.</t>
  </si>
  <si>
    <t>The best Digital Girls in Spain are in Puertollano</t>
  </si>
  <si>
    <t>Two of the teams mentored by Repsol have been among the six best in the country out of a total of two hundred and fifty participants.</t>
  </si>
  <si>
    <r>
      <rPr>
        <rFont val="Arial, sans-serif"/>
        <color rgb="FF1155CC"/>
        <sz val="9.0"/>
        <u/>
      </rPr>
      <t>elmercantil.com</t>
    </r>
    <r>
      <rPr>
        <rFont val="Arial, sans-serif"/>
        <color rgb="FF1155CC"/>
        <sz val="15.0"/>
        <u/>
      </rPr>
      <t>Petronor iniciará en el segundo semestre las obras de su planta de áridos en el puerto de Bilbao</t>
    </r>
    <r>
      <rPr>
        <rFont val="Arial, sans-serif"/>
        <color rgb="FF1155CC"/>
        <sz val="11.0"/>
        <u/>
      </rPr>
      <t>La filial de Repsol comparte el proyecto, al que se destinan 20 millones de euros, con la tecnológica británica O.C.O..</t>
    </r>
    <r>
      <rPr>
        <rFont val="Arial, sans-serif"/>
        <color rgb="FF1155CC"/>
        <sz val="12.0"/>
        <u/>
      </rPr>
      <t>.</t>
    </r>
    <r>
      <rPr>
        <rFont val="Arial, sans-serif"/>
        <color rgb="FF1155CC"/>
        <sz val="11.0"/>
        <u/>
      </rPr>
      <t>21 jun 2024</t>
    </r>
  </si>
  <si>
    <t>Petronor iniciará en el segundo semestre las obras de su planta de áridos en el puerto de Bilbao</t>
  </si>
  <si>
    <t>La filial de Repsol comparte el proyecto, al que se destinan 20 millones de euros, con la tecnológica británica O.C.O...</t>
  </si>
  <si>
    <t>Petronor will begin work on its aggregates plant in the port of Bilbao in the second half of the year</t>
  </si>
  <si>
    <t>The Repsol subsidiary shares the project, to which 20 million euros are allocated, with the British technology company O.C.O...</t>
  </si>
  <si>
    <t>Repsol industrial expansion, business investment</t>
  </si>
  <si>
    <t>Expansión industrial de Repsol, inversión empresarial</t>
  </si>
  <si>
    <t>Investing in industrial expansion strengthens Repsol’s market presence.</t>
  </si>
  <si>
    <r>
      <rPr>
        <rFont val="Arial, sans-serif"/>
        <color rgb="FF1155CC"/>
        <sz val="9.0"/>
        <u/>
      </rPr>
      <t>Guía Repsol</t>
    </r>
    <r>
      <rPr>
        <rFont val="Arial, sans-serif"/>
        <color rgb="FF1155CC"/>
        <sz val="15.0"/>
        <u/>
      </rPr>
      <t>Donde se rodó Clanes de Netflix</t>
    </r>
    <r>
      <rPr>
        <rFont val="Arial, sans-serif"/>
        <color rgb="FF1155CC"/>
        <sz val="11.0"/>
        <u/>
      </rPr>
      <t>Si tienes una cuenta en cualquiera de ellas, tienes una cuenta única de Repsol. Así, podrás acceder a todas con el mismo correo electrónico y contraseña.</t>
    </r>
    <r>
      <rPr>
        <rFont val="Arial, sans-serif"/>
        <color rgb="FF1155CC"/>
        <sz val="12.0"/>
        <u/>
      </rPr>
      <t>.</t>
    </r>
    <r>
      <rPr>
        <rFont val="Arial, sans-serif"/>
        <color rgb="FF1155CC"/>
        <sz val="11.0"/>
        <u/>
      </rPr>
      <t>21 jun 2024</t>
    </r>
  </si>
  <si>
    <t>Donde se rodó Clanes de Netflix</t>
  </si>
  <si>
    <t>Where Netflix Clans was filmed</t>
  </si>
  <si>
    <r>
      <rPr>
        <rFont val="Arial, sans-serif"/>
        <color rgb="FF1155CC"/>
        <sz val="9.0"/>
        <u/>
      </rPr>
      <t>Libre Mercado</t>
    </r>
    <r>
      <rPr>
        <rFont val="Arial, sans-serif"/>
        <color rgb="FF1155CC"/>
        <sz val="15.0"/>
        <u/>
      </rPr>
      <t>Imaz pide que Europa deje de "hacer el canelo" y augura que el fin del coche de gasolina en 2035 "no va a pasar"</t>
    </r>
    <r>
      <rPr>
        <rFont val="Arial, sans-serif"/>
        <color rgb="FF1155CC"/>
        <sz val="11.0"/>
        <u/>
      </rPr>
      <t>El CEO de Repsol, que ha recordado cómo en su niñez hacía hidrógeno verde con el "Quimicefa", ha pedido una política industrial potente.</t>
    </r>
    <r>
      <rPr>
        <rFont val="Arial, sans-serif"/>
        <color rgb="FF1155CC"/>
        <sz val="12.0"/>
        <u/>
      </rPr>
      <t>.</t>
    </r>
    <r>
      <rPr>
        <rFont val="Arial, sans-serif"/>
        <color rgb="FF1155CC"/>
        <sz val="11.0"/>
        <u/>
      </rPr>
      <t>21 jun 2024</t>
    </r>
  </si>
  <si>
    <t>Imaz pide que Europa deje de "hacer el canelo" y augura que el fin del coche de gasolina en 2035 "no va a pasar"</t>
  </si>
  <si>
    <t>El CEO de Repsol, que ha recordado cómo en su niñez hacía hidrógeno verde con el "Quimicefa", ha pedido una política industrial potente.</t>
  </si>
  <si>
    <t>Imaz asks that Europe stop "doing the trick" and predicts that the end of the gasoline car in 2035 "is not going to happen"</t>
  </si>
  <si>
    <t>The CEO of Repsol, who recalled how in his childhood he made green hydrogen with "Quimicefa", has called for a powerful industrial policy.</t>
  </si>
  <si>
    <t>Repsol business advocacy, economic outlook</t>
  </si>
  <si>
    <t>Repsol defensa empresarial, perspectivas económicas</t>
  </si>
  <si>
    <t>Advocating for economic policies aligns with Repsol’s corporate interests.</t>
  </si>
  <si>
    <r>
      <rPr>
        <rFont val="Arial, sans-serif"/>
        <color rgb="FF1155CC"/>
        <sz val="9.0"/>
        <u/>
      </rPr>
      <t>www.fundacionrepsol.com</t>
    </r>
    <r>
      <rPr>
        <rFont val="Arial, sans-serif"/>
        <color rgb="FF1155CC"/>
        <sz val="15.0"/>
        <u/>
      </rPr>
      <t>Alianza estratégica entre Fundación Repsol y el COIIM</t>
    </r>
    <r>
      <rPr>
        <color rgb="FF1155CC"/>
        <sz val="11.0"/>
        <u/>
      </rPr>
      <t>Fundación Repsol y el Colegio Oficial de Ingenieros Industriales de Madrid han firmado un acuerdo para liderar la conversación pública sobre los retos...</t>
    </r>
    <r>
      <rPr>
        <color rgb="FF1155CC"/>
        <u/>
      </rPr>
      <t>.</t>
    </r>
    <r>
      <rPr>
        <color rgb="FF1155CC"/>
        <sz val="11.0"/>
        <u/>
      </rPr>
      <t>21 jun 2024</t>
    </r>
  </si>
  <si>
    <t>Alianza estratégica entre Fundación Repsol y el COIIM</t>
  </si>
  <si>
    <t>Fundación Repsol y el Colegio Oficial de Ingenieros Industriales de Madrid han firmado un acuerdo para liderar la conversación pública sobre los retos....</t>
  </si>
  <si>
    <t>Strategic alliance between Repsol Foundation and the COIIM</t>
  </si>
  <si>
    <t>Repsol Foundation and the Official College of Industrial Engineers of Madrid have signed an agreement to lead the public conversation about the challenges....</t>
  </si>
  <si>
    <r>
      <rPr>
        <rFont val="Arial, sans-serif"/>
        <color rgb="FF1155CC"/>
        <sz val="9.0"/>
        <u/>
      </rPr>
      <t>La Voz de Ibiza</t>
    </r>
    <r>
      <rPr>
        <rFont val="Arial, sans-serif"/>
        <color rgb="FF1155CC"/>
        <sz val="15.0"/>
        <u/>
      </rPr>
      <t>Trasmapi y Repsol prueban un combustible 100% renovable para el sector marítimo en Marina Ibiza</t>
    </r>
    <r>
      <rPr>
        <rFont val="Arial, sans-serif"/>
        <color rgb="FF1155CC"/>
        <sz val="11.0"/>
        <u/>
      </rPr>
      <t>La naviera Trasmapi, en conjunto con Repsol, ha realizado la primera prueba de un combustible 100% renovable para el sector marítimo en Marina Ibiza.</t>
    </r>
    <r>
      <rPr>
        <rFont val="Arial, sans-serif"/>
        <color rgb="FF1155CC"/>
        <sz val="12.0"/>
        <u/>
      </rPr>
      <t>.</t>
    </r>
    <r>
      <rPr>
        <rFont val="Arial, sans-serif"/>
        <color rgb="FF1155CC"/>
        <sz val="11.0"/>
        <u/>
      </rPr>
      <t>22 jun 2024</t>
    </r>
  </si>
  <si>
    <t>La Voz de Ibiza</t>
  </si>
  <si>
    <t>Trasmapi y Repsol prueban un combustible 100% renovable para el sector marítimo en Marina Ibiza</t>
  </si>
  <si>
    <t>La naviera Trasmapi, en conjunto con Repsol, ha realizado la primera prueba de un combustible 100% renovable para el sector marítimo en Marina Ibiza.</t>
  </si>
  <si>
    <t>Trasmapi and Repsol test a 100% renewable fuel for the maritime sector in Marina Ibiza</t>
  </si>
  <si>
    <t>The shipping company Trasmapi, together with Repsol, has carried out the first test of a 100% renewable fuel for the maritime sector in Marina Ibiza.</t>
  </si>
  <si>
    <t>Leading maritime decarbonization aligns with Repsol’s sustainability goals.</t>
  </si>
  <si>
    <r>
      <rPr>
        <rFont val="Arial, sans-serif"/>
        <color rgb="FF1155CC"/>
        <sz val="9.0"/>
        <u/>
      </rPr>
      <t>Guía Repsol</t>
    </r>
    <r>
      <rPr>
        <rFont val="Arial, sans-serif"/>
        <color rgb="FF1155CC"/>
        <sz val="15.0"/>
        <u/>
      </rPr>
      <t>Restaurante Memoria Gustativa: El flan de papas con huevo que revoluciona la taberna de siempre</t>
    </r>
    <r>
      <rPr>
        <rFont val="Arial, sans-serif"/>
        <color rgb="FF1155CC"/>
        <sz val="11.0"/>
        <u/>
      </rPr>
      <t>Blanca, Javi y Tara acaban de abrir en pleno Ensanche de Valencia una taberna con la que quieren quedar grabados en la memoria gustativa de sus comensales.</t>
    </r>
    <r>
      <rPr>
        <rFont val="Arial, sans-serif"/>
        <color rgb="FF1155CC"/>
        <sz val="12.0"/>
        <u/>
      </rPr>
      <t>.</t>
    </r>
    <r>
      <rPr>
        <rFont val="Arial, sans-serif"/>
        <color rgb="FF1155CC"/>
        <sz val="11.0"/>
        <u/>
      </rPr>
      <t>22 jun 2024</t>
    </r>
  </si>
  <si>
    <t>Restaurante Memoria Gustativa: El flan de papas con huevo que revoluciona la taberna de siempre</t>
  </si>
  <si>
    <t>Blanca, Javi y Tara acaban de abrir en pleno Ensanche de Valencia una taberna con la que quieren quedar grabados en la memoria gustativa de sus comensales.</t>
  </si>
  <si>
    <t>Gust Memory Restaurant: The potato flan with egg that revolutionizes the usual tavern</t>
  </si>
  <si>
    <t>Blanca, Javi and Tara have just opened a tavern in the heart of Ensanche, Valencia, with which they want to remain engraved in the taste memories of their diners.</t>
  </si>
  <si>
    <r>
      <rPr>
        <rFont val="Arial, sans-serif"/>
        <color rgb="FF1155CC"/>
        <sz val="9.0"/>
        <u/>
      </rPr>
      <t>Relevo</t>
    </r>
    <r>
      <rPr>
        <rFont val="Arial, sans-serif"/>
        <color rgb="FF1155CC"/>
        <sz val="15.0"/>
        <u/>
      </rPr>
      <t>Honda preparaba un «dream team» con Marc Márquez y Stoner en 2013: «Era el objetivo»</t>
    </r>
    <r>
      <rPr>
        <rFont val="Arial, sans-serif"/>
        <color rgb="FF1155CC"/>
        <sz val="11.0"/>
        <u/>
      </rPr>
      <t>El que fuera team manager del Repsol Honda ha repasado junto a Relevo sus mejores años en MotoGP.</t>
    </r>
    <r>
      <rPr>
        <rFont val="Arial, sans-serif"/>
        <color rgb="FF1155CC"/>
        <sz val="12.0"/>
        <u/>
      </rPr>
      <t>.</t>
    </r>
    <r>
      <rPr>
        <rFont val="Arial, sans-serif"/>
        <color rgb="FF1155CC"/>
        <sz val="11.0"/>
        <u/>
      </rPr>
      <t>22 jun 2024</t>
    </r>
  </si>
  <si>
    <t>Honda preparaba un «dream team» con Marc Márquez y Stoner en 2013: «Era el objetivo»</t>
  </si>
  <si>
    <t>El que fuera team manager del Repsol Honda ha repasado junto a Relevo sus mejores años en MotoGP.</t>
  </si>
  <si>
    <t>Honda was preparing a "dream team" with Marc Márquez and Stoner in 2013: "It was the goal"</t>
  </si>
  <si>
    <t>The former Repsol Honda team manager has reviewed his best years in MotoGP with Relevo.</t>
  </si>
  <si>
    <r>
      <rPr>
        <rFont val="Arial, sans-serif"/>
        <color rgb="FF1155CC"/>
        <sz val="9.0"/>
        <u/>
      </rPr>
      <t>OkDiario</t>
    </r>
    <r>
      <rPr>
        <rFont val="Arial, sans-serif"/>
        <color rgb="FF1155CC"/>
        <sz val="15.0"/>
        <u/>
      </rPr>
      <t>Tres restaurantes en Alicante para celebrar San Juan</t>
    </r>
    <r>
      <rPr>
        <rFont val="Arial, sans-serif"/>
        <color rgb="FF1155CC"/>
        <sz val="11.0"/>
        <u/>
      </rPr>
      <t>San Juan se celebra este fin de semana y Alicante es un buen lugar al que ir, así que nada mejor que reservar en estos restaurantes.</t>
    </r>
    <r>
      <rPr>
        <rFont val="Arial, sans-serif"/>
        <color rgb="FF1155CC"/>
        <sz val="12.0"/>
        <u/>
      </rPr>
      <t>.</t>
    </r>
    <r>
      <rPr>
        <rFont val="Arial, sans-serif"/>
        <color rgb="FF1155CC"/>
        <sz val="11.0"/>
        <u/>
      </rPr>
      <t>22 jun 2024</t>
    </r>
  </si>
  <si>
    <t>Tres restaurantes en Alicante para celebrar San Juan</t>
  </si>
  <si>
    <t>San Juan se celebra este fin de semana y Alicante es un buen lugar al que ir, así que nada mejor que reservar en estos restaurantes.</t>
  </si>
  <si>
    <t>Three restaurants in Alicante to celebrate San Juan</t>
  </si>
  <si>
    <t>San Juan is celebrated this weekend and Alicante is a good place to go, so there is nothing better than making a reservation at these restaurants.</t>
  </si>
  <si>
    <r>
      <rPr>
        <rFont val="Arial, sans-serif"/>
        <color rgb="FF1155CC"/>
        <sz val="9.0"/>
        <u/>
      </rPr>
      <t>Telemadrid</t>
    </r>
    <r>
      <rPr>
        <rFont val="Arial, sans-serif"/>
        <color rgb="FF1155CC"/>
        <sz val="15.0"/>
        <u/>
      </rPr>
      <t>IFEMA congrega a 35.000 'locos' por la música de los años 90</t>
    </r>
    <r>
      <rPr>
        <rFont val="Arial, sans-serif"/>
        <color rgb="FF1155CC"/>
        <sz val="11.0"/>
        <u/>
      </rPr>
      <t>El Festival 'Love the 90's' ha celebrado su quinta edición este sábado en IFEMA Madrid donde ha colgado el cartel de 'sold out' con 35.000...</t>
    </r>
    <r>
      <rPr>
        <rFont val="Arial, sans-serif"/>
        <color rgb="FF1155CC"/>
        <sz val="12.0"/>
        <u/>
      </rPr>
      <t>.</t>
    </r>
    <r>
      <rPr>
        <rFont val="Arial, sans-serif"/>
        <color rgb="FF1155CC"/>
        <sz val="11.0"/>
        <u/>
      </rPr>
      <t>22 jun 2024</t>
    </r>
  </si>
  <si>
    <t>IFEMA congrega a 35.000 'locos' por la música de los años 90</t>
  </si>
  <si>
    <t>El Festival 'Love the 90's' ha celebrado su quinta edición este sábado en IFEMA Madrid donde ha colgado el cartel de 'sold out' con 35.000.</t>
  </si>
  <si>
    <t>IFEMA brings together 35,000 'crazy people' for the music of the 90s</t>
  </si>
  <si>
    <t>The 'Love the 90's' Festival celebrated its fifth edition this Saturday at IFEMA Madrid where it hung the 'sold out' sign with 35,000.</t>
  </si>
  <si>
    <r>
      <rPr>
        <rFont val="Arial, sans-serif"/>
        <color rgb="FF1155CC"/>
        <sz val="9.0"/>
        <u/>
      </rPr>
      <t>Ideal</t>
    </r>
    <r>
      <rPr>
        <rFont val="Arial, sans-serif"/>
        <color rgb="FF1155CC"/>
        <sz val="15.0"/>
        <u/>
      </rPr>
      <t>La heladería con solete Repsol que encuentras en pleno centro de Granada</t>
    </r>
    <r>
      <rPr>
        <rFont val="Arial, sans-serif"/>
        <color rgb="FF1155CC"/>
        <sz val="11.0"/>
        <u/>
      </rPr>
      <t>Clásicos, innovadores, dulces o algo más rompedores, el helado no pasa de moda, es más, vive un dulce momento en Granada. Nuestra ciudad, tiene en estos...</t>
    </r>
    <r>
      <rPr>
        <rFont val="Arial, sans-serif"/>
        <color rgb="FF1155CC"/>
        <sz val="12.0"/>
        <u/>
      </rPr>
      <t>.</t>
    </r>
    <r>
      <rPr>
        <rFont val="Arial, sans-serif"/>
        <color rgb="FF1155CC"/>
        <sz val="11.0"/>
        <u/>
      </rPr>
      <t>23 jun 2024</t>
    </r>
  </si>
  <si>
    <t>La heladería con solete Repsol</t>
  </si>
  <si>
    <t>La heladería con solete Repsol que encuentras en pleno centro de Granada</t>
  </si>
  <si>
    <t>Clásicos, innovadores, dulces o algo más rompedores, el helado no pasa de moda, es más, vive un dulce momento en Granada. Nuestra ciudad, tiene en estos....</t>
  </si>
  <si>
    <t>The Repsol solete ice cream parlor that you find in the heart of Granada</t>
  </si>
  <si>
    <t>Classic, innovative, sweet or something more groundbreaking, ice cream never goes out of style, in fact, live a sweet moment in Granada. Our city has in these....</t>
  </si>
  <si>
    <r>
      <rPr>
        <rFont val="Arial, sans-serif"/>
        <color rgb="FF1155CC"/>
        <sz val="9.0"/>
        <u/>
      </rPr>
      <t>Diario de Ibiza</t>
    </r>
    <r>
      <rPr>
        <rFont val="Arial, sans-serif"/>
        <color rgb="FF1155CC"/>
        <sz val="15.0"/>
        <u/>
      </rPr>
      <t>Trasmapi y Repsol: Pioneros en combustible renovable</t>
    </r>
    <r>
      <rPr>
        <rFont val="Arial, sans-serif"/>
        <color rgb="FF1155CC"/>
        <sz val="11.0"/>
        <u/>
      </rPr>
      <t>Trasmapi se convierte en la primera naviera española en probar un diésel producido con residuos orgánicos.</t>
    </r>
    <r>
      <rPr>
        <rFont val="Arial, sans-serif"/>
        <color rgb="FF1155CC"/>
        <sz val="12.0"/>
        <u/>
      </rPr>
      <t>.</t>
    </r>
    <r>
      <rPr>
        <rFont val="Arial, sans-serif"/>
        <color rgb="FF1155CC"/>
        <sz val="11.0"/>
        <u/>
      </rPr>
      <t>23 jun 2024</t>
    </r>
  </si>
  <si>
    <t>Trasmapi y Repsol: Pioneros en combustible renovable</t>
  </si>
  <si>
    <t>Trasmapi se convierte en la primera naviera española en probar un diésel producido con residuos orgánicos.</t>
  </si>
  <si>
    <t>Trasmapi and Repsol: Pioneers in renewable fuel</t>
  </si>
  <si>
    <t>Trasmapi becomes the first Spanish shipping company to test a diesel produced with organic waste.</t>
  </si>
  <si>
    <t>Expanding renewable fuel adoption enhances Repsol’s clean energy strategy.</t>
  </si>
  <si>
    <r>
      <rPr>
        <rFont val="Arial, sans-serif"/>
        <color rgb="FF1155CC"/>
        <sz val="9.0"/>
        <u/>
      </rPr>
      <t>ELLE</t>
    </r>
    <r>
      <rPr>
        <rFont val="Arial, sans-serif"/>
        <color rgb="FF1155CC"/>
        <sz val="15.0"/>
        <u/>
      </rPr>
      <t>El pequeño y asequible restaurante de Madrid con un Solete Repsol que sirve uno de los tomates más ricos</t>
    </r>
    <r>
      <rPr>
        <rFont val="Arial, sans-serif"/>
        <color rgb="FF1155CC"/>
        <sz val="11.0"/>
        <u/>
      </rPr>
      <t>Así es y así se come en Valdivielso Cocina con Alma, restaurante de Madrid con Solete Repsol donde comer barato y rico con buenos vinos a buen precio.</t>
    </r>
    <r>
      <rPr>
        <rFont val="Arial, sans-serif"/>
        <color rgb="FF1155CC"/>
        <sz val="12.0"/>
        <u/>
      </rPr>
      <t>.</t>
    </r>
    <r>
      <rPr>
        <rFont val="Arial, sans-serif"/>
        <color rgb="FF1155CC"/>
        <sz val="11.0"/>
        <u/>
      </rPr>
      <t>23 jun 2024</t>
    </r>
  </si>
  <si>
    <t>El pequeño y asequible restaurante de Madrid con un Solete Repsol que sirve uno de los tomates más ricos</t>
  </si>
  <si>
    <t>Así es y así se come en Valdivielso Cocina con Alma, restaurante de Madrid con Solete Repsol donde comer barato y rico con buenos vinos a buen precio.</t>
  </si>
  <si>
    <t>The small and affordable restaurant in Madrid with a Solete Repsol that serves one of the most delicious tomatoes</t>
  </si>
  <si>
    <t>That's right and that's how you eat at Valdivielso Cocina con Alma, a restaurant in Madrid with Solete Repsol where you can eat cheap and delicious with good wines at a good price.</t>
  </si>
  <si>
    <r>
      <rPr>
        <rFont val="Arial, sans-serif"/>
        <color rgb="FF1155CC"/>
        <sz val="9.0"/>
        <u/>
      </rPr>
      <t>Guía Repsol</t>
    </r>
    <r>
      <rPr>
        <rFont val="Arial, sans-serif"/>
        <color rgb="FF1155CC"/>
        <sz val="15.0"/>
        <u/>
      </rPr>
      <t>La nueva 'Tasquería' de Javier Estévez (Madrid)</t>
    </r>
    <r>
      <rPr>
        <rFont val="Arial, sans-serif"/>
        <color rgb="FF1155CC"/>
        <sz val="11.0"/>
        <u/>
      </rPr>
      <t>Llevan tres meses en Chamberí y Javi Estévez no puede estar más feliz. Su 'Tasquería' se ha mudado a un nuevo espacio en la calle Modesto Lafuente donde el...</t>
    </r>
    <r>
      <rPr>
        <rFont val="Arial, sans-serif"/>
        <color rgb="FF1155CC"/>
        <sz val="12.0"/>
        <u/>
      </rPr>
      <t>.</t>
    </r>
    <r>
      <rPr>
        <rFont val="Arial, sans-serif"/>
        <color rgb="FF1155CC"/>
        <sz val="11.0"/>
        <u/>
      </rPr>
      <t>23 jun 2024</t>
    </r>
  </si>
  <si>
    <t>La nueva 'Tasquería' de Javier Estévez (Madrid)</t>
  </si>
  <si>
    <t>Llevan tres meses en Chamberí y Javi Estévez no puede estar más feliz. Su 'Tasquería' se ha mudado a un nuevo espacio en la calle Modesto Lafuente donde el....</t>
  </si>
  <si>
    <t>The new 'Tasquería' by Javier Estévez (Madrid)</t>
  </si>
  <si>
    <t>They have been in Chamberí for three months and Javi Estévez couldn't be happier. His 'Tasquería' has moved to a new space on Modesto Lafuente street where the...</t>
  </si>
  <si>
    <r>
      <rPr>
        <rFont val="Arial, sans-serif"/>
        <color rgb="FF1155CC"/>
        <sz val="9.0"/>
        <u/>
      </rPr>
      <t>Urgente24</t>
    </r>
    <r>
      <rPr>
        <rFont val="Arial, sans-serif"/>
        <color rgb="FF1155CC"/>
        <sz val="15.0"/>
        <u/>
      </rPr>
      <t>España,Repsol, YPF y Venezuela: Error de Martín Llaryora en riesgo país</t>
    </r>
    <r>
      <rPr>
        <rFont val="Arial, sans-serif"/>
        <color rgb="FF1155CC"/>
        <sz val="11.0"/>
        <u/>
      </rPr>
      <t>Interesante diálogo entre Martín Llayora y Romina Manguel: él, desinformado sobre España, Repsol, YPF y Venezuela. Ella no repreguntó.</t>
    </r>
    <r>
      <rPr>
        <rFont val="Arial, sans-serif"/>
        <color rgb="FF1155CC"/>
        <sz val="12.0"/>
        <u/>
      </rPr>
      <t>.</t>
    </r>
    <r>
      <rPr>
        <rFont val="Arial, sans-serif"/>
        <color rgb="FF1155CC"/>
        <sz val="11.0"/>
        <u/>
      </rPr>
      <t>23 jun 2024</t>
    </r>
  </si>
  <si>
    <t>Urgente24</t>
  </si>
  <si>
    <t>Repsol, YPF y Venezuela: Error de Martín Llaryora en riesgo país</t>
  </si>
  <si>
    <t>Interesante diálogo entre Martín Llayora y Romina Manguel: él, desinformado sobre España, Repsol, YPF y Venezuela. Ella no repreguntó.</t>
  </si>
  <si>
    <t>Repsol, YPF and Venezuela: Martín Llaryora's error at country risk</t>
  </si>
  <si>
    <t>Interesting dialogue between Martín Llayora and Romina Manguel: he, uninformed about Spain, Repsol, YPF and Venezuela. She didn't question him.</t>
  </si>
  <si>
    <t>Repsol international energy, business strategy</t>
  </si>
  <si>
    <t>Repsol energía internacional, estrategia empresarial</t>
  </si>
  <si>
    <t>Strengthening energy partnerships in South America supports Repsol’s global expansion.</t>
  </si>
  <si>
    <r>
      <rPr>
        <rFont val="Arial, sans-serif"/>
        <color rgb="FF1155CC"/>
        <sz val="9.0"/>
        <u/>
      </rPr>
      <t>Cinco Días</t>
    </r>
    <r>
      <rPr>
        <rFont val="Arial, sans-serif"/>
        <color rgb="FF1155CC"/>
        <sz val="15.0"/>
        <u/>
      </rPr>
      <t>Arranca el verano del dividendo: 25 cotizadas reparten 6.000 millones en julio</t>
    </r>
    <r>
      <rPr>
        <rFont val="Arial, sans-serif"/>
        <color rgb="FF1155CC"/>
        <sz val="11.0"/>
        <u/>
      </rPr>
      <t>Iberdrola, Repsol y Endesa harán los mayores desembolsos; la mayor parte de las empresas mejora la retribución respecto a 2023.</t>
    </r>
    <r>
      <rPr>
        <rFont val="Arial, sans-serif"/>
        <color rgb="FF1155CC"/>
        <sz val="12.0"/>
        <u/>
      </rPr>
      <t>.</t>
    </r>
    <r>
      <rPr>
        <rFont val="Arial, sans-serif"/>
        <color rgb="FF1155CC"/>
        <sz val="11.0"/>
        <u/>
      </rPr>
      <t>23 jun 2024</t>
    </r>
  </si>
  <si>
    <t>Arranca el verano del dividendo: 25 cotizadas reparten 6.000 millones en julio</t>
  </si>
  <si>
    <t>Iberdrola, Repsol y Endesa harán los mayores desembolsos; la mayor parte de las empresas mejora la retribución respecto a 2023.</t>
  </si>
  <si>
    <t>The dividend summer begins: 25 listed companies distribute 6,000 million in July</t>
  </si>
  <si>
    <t>Iberdrola, Repsol and Endesa will make the largest disbursements; Most companies improve remuneration compared to 2023.</t>
  </si>
  <si>
    <r>
      <rPr>
        <rFont val="Arial, sans-serif"/>
        <color rgb="FF1155CC"/>
        <sz val="9.0"/>
        <u/>
      </rPr>
      <t>hoy aragón</t>
    </r>
    <r>
      <rPr>
        <rFont val="Arial, sans-serif"/>
        <color rgb="FF1155CC"/>
        <sz val="15.0"/>
        <u/>
      </rPr>
      <t>El restaurante de Zaragoza con el mejor arroz y el mejor cocido... pero que pocos conocen</t>
    </r>
    <r>
      <rPr>
        <rFont val="Arial, sans-serif"/>
        <color rgb="FF1155CC"/>
        <sz val="11.0"/>
        <u/>
      </rPr>
      <t>Es uno de los lugares favoritos en la categoría de platos de cuchara, obteniendo una destacada cuarta posición en esta competida lista gastronómica.</t>
    </r>
    <r>
      <rPr>
        <rFont val="Arial, sans-serif"/>
        <color rgb="FF1155CC"/>
        <sz val="12.0"/>
        <u/>
      </rPr>
      <t>.</t>
    </r>
    <r>
      <rPr>
        <rFont val="Arial, sans-serif"/>
        <color rgb="FF1155CC"/>
        <sz val="11.0"/>
        <u/>
      </rPr>
      <t>23 jun 2024</t>
    </r>
  </si>
  <si>
    <t>El restaurante de Zaragoza con el mejor arroz y el mejor cocido... pero que pocos conocen</t>
  </si>
  <si>
    <t>Es uno de los lugares favoritos en la categoría de platos de cuchara, obteniendo una destacada cuarta posición en esta competida lista gastronómica.</t>
  </si>
  <si>
    <t>The restaurant in Zaragoza with the best rice and the best stew... but that few know</t>
  </si>
  <si>
    <t>It is one of the favorite places in the spoon dishes category, obtaining an outstanding fourth position in this competitive gastronomic list.</t>
  </si>
  <si>
    <r>
      <rPr>
        <rFont val="Arial, sans-serif"/>
        <color rgb="FF1155CC"/>
        <sz val="9.0"/>
        <u/>
      </rPr>
      <t>20Minutos</t>
    </r>
    <r>
      <rPr>
        <rFont val="Arial, sans-serif"/>
        <color rgb="FF1155CC"/>
        <sz val="15.0"/>
        <u/>
      </rPr>
      <t>El restaurante de la familia de Iker Casillas a menos de dos horas de Madrid con platos desde 6 euros</t>
    </r>
    <r>
      <rPr>
        <rFont val="Arial, sans-serif"/>
        <color rgb="FF1155CC"/>
        <sz val="11.0"/>
        <u/>
      </rPr>
      <t>Ubicado en un pueblo de poco más de 240 habitantes, este restaurante tiene una cocina donde encontrar tanto platos tradicionales de la zona como recetas de...</t>
    </r>
    <r>
      <rPr>
        <rFont val="Arial, sans-serif"/>
        <color rgb="FF1155CC"/>
        <sz val="12.0"/>
        <u/>
      </rPr>
      <t>.</t>
    </r>
    <r>
      <rPr>
        <rFont val="Arial, sans-serif"/>
        <color rgb="FF1155CC"/>
        <sz val="11.0"/>
        <u/>
      </rPr>
      <t>23 jun 2024</t>
    </r>
  </si>
  <si>
    <t>El restaurante de la familia de Iker Casillas a menos de dos horas de Madrid con platos desde 6 euros</t>
  </si>
  <si>
    <t>Ubicado en un pueblo de poco más de 240 habitantes, este restaurante tiene una cocina donde encontrar tanto platos tradicionales de la zona como recetas de....</t>
  </si>
  <si>
    <t>Iker Casillas' family restaurant less than two hours from Madrid with dishes from 6 euros</t>
  </si>
  <si>
    <t>Located in a town of just over 240 inhabitants, this restaurant has a kitchen where you can find both traditional dishes from the area and recipes from...</t>
  </si>
  <si>
    <r>
      <rPr>
        <rFont val="Arial, sans-serif"/>
        <color rgb="FF1155CC"/>
        <sz val="9.0"/>
        <u/>
      </rPr>
      <t>EL PAÍS</t>
    </r>
    <r>
      <rPr>
        <rFont val="Arial, sans-serif"/>
        <color rgb="FF1155CC"/>
        <sz val="15.0"/>
        <u/>
      </rPr>
      <t>Dónde comer en Jerez de la Frontera, según Juanlu Fernández (Lú Cocina y Alma)</t>
    </r>
    <r>
      <rPr>
        <rFont val="Arial, sans-serif"/>
        <color rgb="FF1155CC"/>
        <sz val="11.0"/>
        <u/>
      </rPr>
      <t>El chef jerezano recomienda desayunar una tostada de manteca colorá, tomar el aperitivo en el tabanco más antiguo de la ciudad gaditana y comer pescaíto...</t>
    </r>
    <r>
      <rPr>
        <rFont val="Arial, sans-serif"/>
        <color rgb="FF1155CC"/>
        <sz val="12.0"/>
        <u/>
      </rPr>
      <t>.</t>
    </r>
    <r>
      <rPr>
        <rFont val="Arial, sans-serif"/>
        <color rgb="FF1155CC"/>
        <sz val="11.0"/>
        <u/>
      </rPr>
      <t>23 jun 2024</t>
    </r>
  </si>
  <si>
    <t>Dónde comer en Jerez de la Frontera, según Juanlu Fernández (Lú Cocina y Alma)</t>
  </si>
  <si>
    <t>El chef jerezano recomienda desayunar una tostada de manteca colorá, tomar el aperitivo en el tabanco más antiguo de la ciudad gaditana y comer pescaíto....</t>
  </si>
  <si>
    <t>Where to eat in Jerez de la Frontera, according to Juanlu Fernández (Lú Cocina y Alma)</t>
  </si>
  <si>
    <t>The Jerez chef recommends having a colored butter toast for breakfast, having an aperitif at the oldest tabanco in the city of Cadiz and eating fish....</t>
  </si>
  <si>
    <r>
      <rPr>
        <rFont val="Arial, sans-serif"/>
        <color rgb="FF1155CC"/>
        <sz val="9.0"/>
        <u/>
      </rPr>
      <t>Expansión</t>
    </r>
    <r>
      <rPr>
        <rFont val="Arial, sans-serif"/>
        <color rgb="FF1155CC"/>
        <sz val="15.0"/>
        <u/>
      </rPr>
      <t>Repsol: un valor muy bien soportado</t>
    </r>
    <r>
      <rPr>
        <rFont val="Arial, sans-serif"/>
        <color rgb="FF1155CC"/>
        <sz val="11.0"/>
        <u/>
      </rPr>
      <t>José María Rodríguez y Raquel Moreno Las caídas desde los máximos anuales e históricos de principios de abril encajan absolutamente dentro de los parámetros...</t>
    </r>
    <r>
      <rPr>
        <rFont val="Arial, sans-serif"/>
        <color rgb="FF1155CC"/>
        <sz val="12.0"/>
        <u/>
      </rPr>
      <t>.</t>
    </r>
    <r>
      <rPr>
        <rFont val="Arial, sans-serif"/>
        <color rgb="FF1155CC"/>
        <sz val="11.0"/>
        <u/>
      </rPr>
      <t>24 jun 2024</t>
    </r>
  </si>
  <si>
    <t>Repsol: un valor muy bien soportado</t>
  </si>
  <si>
    <t>Las caídas desde los máximos anuales e históricos de principios de abril encajan absolutamente dentro de los parámetros....</t>
  </si>
  <si>
    <t>Repsol: a very well supported value</t>
  </si>
  <si>
    <t>The declines from the yearly and all-time highs of early April absolutely fit within the parameters....</t>
  </si>
  <si>
    <t>Positive stock performance supports Repsol’s investor confidence.</t>
  </si>
  <si>
    <r>
      <rPr>
        <rFont val="Arial, sans-serif"/>
        <color rgb="FF1155CC"/>
        <sz val="9.0"/>
        <u/>
      </rPr>
      <t>MundoPlast</t>
    </r>
    <r>
      <rPr>
        <rFont val="Arial, sans-serif"/>
        <color rgb="FF1155CC"/>
        <sz val="15.0"/>
        <u/>
      </rPr>
      <t>Protectores de bombonas de butano con plástico reciclado de Repsol</t>
    </r>
    <r>
      <rPr>
        <rFont val="Arial, sans-serif"/>
        <color rgb="FF1155CC"/>
        <sz val="11.0"/>
        <u/>
      </rPr>
      <t>Repsol Butano ha lanzado un nuevo protector de válvula para su botella de butano NEL fabricado con polipropileno reciclado Repsol Reciclex.</t>
    </r>
    <r>
      <rPr>
        <rFont val="Arial, sans-serif"/>
        <color rgb="FF1155CC"/>
        <sz val="12.0"/>
        <u/>
      </rPr>
      <t>.</t>
    </r>
    <r>
      <rPr>
        <rFont val="Arial, sans-serif"/>
        <color rgb="FF1155CC"/>
        <sz val="11.0"/>
        <u/>
      </rPr>
      <t>24 jun 2024</t>
    </r>
  </si>
  <si>
    <t>Protectores de bombonas de butano con plástico reciclado de Repsol</t>
  </si>
  <si>
    <t>Repsol Butano ha lanzado un nuevo protector de válvula para su botella de butano NEL fabricado con polipropileno reciclado Repsol Reciclex.</t>
  </si>
  <si>
    <t>Butane cylinder protectors with recycled plastic from Repsol</t>
  </si>
  <si>
    <t>Repsol Butano has launched a new valve protector for its NEL butane bottle made from Repsol Reciclex recycled polypropylene.</t>
  </si>
  <si>
    <t>Enhancing product sustainability aligns with Repsol’s green transition.</t>
  </si>
  <si>
    <r>
      <rPr>
        <rFont val="Arial, sans-serif"/>
        <color rgb="FF1155CC"/>
        <sz val="9.0"/>
        <u/>
      </rPr>
      <t>Onda Mencía Radio</t>
    </r>
    <r>
      <rPr>
        <rFont val="Arial, sans-serif"/>
        <color rgb="FF1155CC"/>
        <sz val="15.0"/>
        <u/>
      </rPr>
      <t>Repsol premia a RAVI por su desempeño en materia de seguridad</t>
    </r>
    <r>
      <rPr>
        <rFont val="Arial, sans-serif"/>
        <color rgb="FF1155CC"/>
        <sz val="11.0"/>
        <u/>
      </rPr>
      <t>La multinacional energética ha valorado el protocolo de seguridad que esta empresa menciana desarrolla durante la ejecución de sus trabajos en estaciones de...</t>
    </r>
    <r>
      <rPr>
        <rFont val="Arial, sans-serif"/>
        <color rgb="FF1155CC"/>
        <sz val="12.0"/>
        <u/>
      </rPr>
      <t>.</t>
    </r>
    <r>
      <rPr>
        <rFont val="Arial, sans-serif"/>
        <color rgb="FF1155CC"/>
        <sz val="11.0"/>
        <u/>
      </rPr>
      <t>24 jun 2024</t>
    </r>
  </si>
  <si>
    <t>Onda Mencía Radio</t>
  </si>
  <si>
    <t>Repsol premia a RAVI por su desempeño en materia de seguridad</t>
  </si>
  <si>
    <t>La multinacional energética ha valorado el protocolo de seguridad que esta empresa menciana desarrolla durante la ejecución de sus trabajos en estaciones de....</t>
  </si>
  <si>
    <t>Repsol awards RAVI for its safety performance</t>
  </si>
  <si>
    <t>The energy multinational has assessed the security protocol that this company from Mencia develops during the execution of its work at stations....</t>
  </si>
  <si>
    <t>Repsol corporate responsibility, workplace safety</t>
  </si>
  <si>
    <t>Responsabilidad corporativa Repsol, seguridad en el trabajo</t>
  </si>
  <si>
    <t>Recognizing safety initiatives reinforces Repsol’s responsible corporate image.</t>
  </si>
  <si>
    <r>
      <rPr>
        <rFont val="Arial, sans-serif"/>
        <color rgb="FF1155CC"/>
        <sz val="9.0"/>
        <u/>
      </rPr>
      <t>ELLE</t>
    </r>
    <r>
      <rPr>
        <rFont val="Arial, sans-serif"/>
        <color rgb="FF1155CC"/>
        <sz val="15.0"/>
        <u/>
      </rPr>
      <t>La Guía Repsol recomienda este restaurante de alta cocina italiana frente al mar en Dénia</t>
    </r>
    <r>
      <rPr>
        <rFont val="Arial, sans-serif"/>
        <color rgb="FF1155CC"/>
        <sz val="11.0"/>
        <u/>
      </rPr>
      <t>Nomada, el restaurante de moda en Dénia donde saborear lo mejor de la gastronomía italiana y disfrutar de uno de los paisajes más bonitos de la Costa...</t>
    </r>
    <r>
      <rPr>
        <rFont val="Arial, sans-serif"/>
        <color rgb="FF1155CC"/>
        <sz val="12.0"/>
        <u/>
      </rPr>
      <t>.</t>
    </r>
    <r>
      <rPr>
        <rFont val="Arial, sans-serif"/>
        <color rgb="FF1155CC"/>
        <sz val="11.0"/>
        <u/>
      </rPr>
      <t>24 jun 2024</t>
    </r>
  </si>
  <si>
    <t>Nomada, el restaurante de moda en Dénia donde saborear lo mejor de la gastronomía italiana y disfrutar de uno de los paisajes más bonitos de la Costa.</t>
  </si>
  <si>
    <t>Nomada, el restaurante de moda en Dénia donde saborear lo mejor de la gastronomía italiana y disfrutar de uno de los paisajes más bonitos de la Costa....</t>
  </si>
  <si>
    <t>Nomada, the trendy restaurant in Dénia where you can taste the best of Italian cuisine and enjoy one of the most beautiful landscapes on the Coast.</t>
  </si>
  <si>
    <t>Nomada, the trendy restaurant in Dénia where you can taste the best of Italian gastronomy and enjoy one of the most beautiful landscapes on the Coast....</t>
  </si>
  <si>
    <r>
      <rPr>
        <rFont val="Arial, sans-serif"/>
        <color rgb="FF1155CC"/>
        <sz val="9.0"/>
        <u/>
      </rPr>
      <t>El Economista</t>
    </r>
    <r>
      <rPr>
        <rFont val="Arial, sans-serif"/>
        <color rgb="FF1155CC"/>
        <sz val="15.0"/>
        <u/>
      </rPr>
      <t>VI Foro Corell: Transición energética y realidad industrial</t>
    </r>
    <r>
      <rPr>
        <rFont val="Arial, sans-serif"/>
        <color rgb="FF1155CC"/>
        <sz val="11.0"/>
        <u/>
      </rPr>
      <t>El próximo 21 de junio se celebra el VI Foro Corell: Transición energética y realidad industrial, organizado por elEconomista.es y la Fundación Corell.</t>
    </r>
    <r>
      <rPr>
        <rFont val="Arial, sans-serif"/>
        <color rgb="FF1155CC"/>
        <sz val="12.0"/>
        <u/>
      </rPr>
      <t>.</t>
    </r>
    <r>
      <rPr>
        <rFont val="Arial, sans-serif"/>
        <color rgb="FF1155CC"/>
        <sz val="11.0"/>
        <u/>
      </rPr>
      <t>24 jun 2024</t>
    </r>
  </si>
  <si>
    <t>el Economista</t>
  </si>
  <si>
    <t>VI Foro Corell: Transición energética y realidad industrial</t>
  </si>
  <si>
    <t>El próximo 21 de junio se celebra el VI Foro Corell: Transición energética y realidad industrial, organizado por elEconomista.es y la Fundación Corell.</t>
  </si>
  <si>
    <t>VI Corell Forum: Energy transition and industrial reality</t>
  </si>
  <si>
    <t>On June 21, the VI Corell Forum: Energy transition and industrial reality will be held, organized by elEconomista.es and the Corell Foundation.</t>
  </si>
  <si>
    <t>Industry forums do not directly impact Repsol.</t>
  </si>
  <si>
    <r>
      <rPr>
        <rFont val="Arial, sans-serif"/>
        <color rgb="FF1155CC"/>
        <sz val="9.0"/>
        <u/>
      </rPr>
      <t>Bon Viveur</t>
    </r>
    <r>
      <rPr>
        <rFont val="Arial, sans-serif"/>
        <color rgb="FF1155CC"/>
        <sz val="15.0"/>
        <u/>
      </rPr>
      <t>Los 10 mejores restaurantes de Aragón</t>
    </r>
    <r>
      <rPr>
        <rFont val="Arial, sans-serif"/>
        <color rgb="FF1155CC"/>
        <sz val="11.0"/>
        <u/>
      </rPr>
      <t>Seleccionamos 10 de los mejores restaurantes de Aragón: Teruel, Zaragoza y Huesca unidas por la buena mesa. Lista completa de los mejores restaurantes de...</t>
    </r>
    <r>
      <rPr>
        <rFont val="Arial, sans-serif"/>
        <color rgb="FF1155CC"/>
        <sz val="12.0"/>
        <u/>
      </rPr>
      <t>.</t>
    </r>
    <r>
      <rPr>
        <rFont val="Arial, sans-serif"/>
        <color rgb="FF1155CC"/>
        <sz val="11.0"/>
        <u/>
      </rPr>
      <t>24 jun 2024</t>
    </r>
  </si>
  <si>
    <t>Los 10 mejores restaurantes de Aragón</t>
  </si>
  <si>
    <t>Seleccionamos 10 de los mejores restaurantes de Aragón: Teruel, Zaragoza y Huesca unidas por la buena mesa. Lista completa de los mejores restaurantes de....</t>
  </si>
  <si>
    <t>The 10 best restaurants in Aragon</t>
  </si>
  <si>
    <t>We selected 10 of the best restaurants in Aragon: Teruel, Zaragoza and Huesca united by good food. Complete list of the best restaurants in...</t>
  </si>
  <si>
    <r>
      <rPr>
        <rFont val="Arial, sans-serif"/>
        <color rgb="FF1155CC"/>
        <sz val="9.0"/>
        <u/>
      </rPr>
      <t>El Sol de México</t>
    </r>
    <r>
      <rPr>
        <rFont val="Arial, sans-serif"/>
        <color rgb="FF1155CC"/>
        <sz val="15.0"/>
        <u/>
      </rPr>
      <t>Sheinbaum conquista y da confianza a las empresas españolas</t>
    </r>
    <r>
      <rPr>
        <rFont val="Arial, sans-serif"/>
        <color rgb="FF1155CC"/>
        <sz val="11.0"/>
        <u/>
      </rPr>
      <t>El presidente de la Cámara Española de Comercio informó que hay una cercanía con el equipo de la virtual presidenta electa. / Fotos: Ivonne Rodríguez / El...</t>
    </r>
    <r>
      <rPr>
        <rFont val="Arial, sans-serif"/>
        <color rgb="FF1155CC"/>
        <sz val="12.0"/>
        <u/>
      </rPr>
      <t>.</t>
    </r>
    <r>
      <rPr>
        <rFont val="Arial, sans-serif"/>
        <color rgb="FF1155CC"/>
        <sz val="11.0"/>
        <u/>
      </rPr>
      <t>24 jun 2024</t>
    </r>
  </si>
  <si>
    <t>El Sol de México</t>
  </si>
  <si>
    <t>Sheinbaum conquista y da confianza a las empresas españolas</t>
  </si>
  <si>
    <t>El presidente de la Cámara Española de Comercio informó que hay una cercanía con el equipo de la virtual presidenta electa. / Fotos: Ivonne Rodríguez / El....</t>
  </si>
  <si>
    <t>Sheinbaum conquers and gives confidence to Spanish companies</t>
  </si>
  <si>
    <t>The president of the Spanish Chamber of Commerce reported that there is closeness with the virtual president-elect's team. / Photos: Ivonne Rodríguez / The....</t>
  </si>
  <si>
    <r>
      <rPr>
        <rFont val="Arial, sans-serif"/>
        <color rgb="FF1155CC"/>
        <sz val="9.0"/>
        <u/>
      </rPr>
      <t>Motorpasión</t>
    </r>
    <r>
      <rPr>
        <rFont val="Arial, sans-serif"/>
        <color rgb="FF1155CC"/>
        <sz val="15.0"/>
        <u/>
      </rPr>
      <t>Hay dos opciones: fabricar menos plásticos o envenenarnos con ellos. Ni el reciclaje por pirólisis solucionará el problemón que tenemos</t>
    </r>
    <r>
      <rPr>
        <rFont val="Arial, sans-serif"/>
        <color rgb="FF1155CC"/>
        <sz val="11.0"/>
        <u/>
      </rPr>
      <t>El otro día fui a preparar una lubina para meterla en el horno y al abrirla vi que tenía un trozo de plástico azul dentro. Pensé que al menos este lo había.</t>
    </r>
    <r>
      <rPr>
        <rFont val="Arial, sans-serif"/>
        <color rgb="FF1155CC"/>
        <sz val="12.0"/>
        <u/>
      </rPr>
      <t>.</t>
    </r>
    <r>
      <rPr>
        <rFont val="Arial, sans-serif"/>
        <color rgb="FF1155CC"/>
        <sz val="11.0"/>
        <u/>
      </rPr>
      <t>24 jun 2024</t>
    </r>
  </si>
  <si>
    <t>Hay dos opciones: fabricar menos plásticos o envenenarnos con ellos. Ni el reciclaje por pirólisis solucionará el problemón que tenemos</t>
  </si>
  <si>
    <t>Hay dos opciones: fabricar menos plásticos o envenenarnos con ellos. Ni el reciclaje por pirólisis solucionará el problemón que tenemos.</t>
  </si>
  <si>
    <t>There are two options: make less plastics or poison ourselves with them. Not even recycling by pyrolysis will solve the problem we have</t>
  </si>
  <si>
    <t>There are two options: make less plastics or poison ourselves with them. Not even recycling by pyrolysis will solve the problem we have.</t>
  </si>
  <si>
    <r>
      <rPr>
        <rFont val="Arial, sans-serif"/>
        <color rgb="FF1155CC"/>
        <sz val="9.0"/>
        <u/>
      </rPr>
      <t>OkDiario</t>
    </r>
    <r>
      <rPr>
        <rFont val="Arial, sans-serif"/>
        <color rgb="FF1155CC"/>
        <sz val="15.0"/>
        <u/>
      </rPr>
      <t>El Club La Herrería impartirá un curso de verano de la Complutense sobre golf y sostenibilidad</t>
    </r>
    <r>
      <rPr>
        <rFont val="Arial, sans-serif"/>
        <color rgb="FF1155CC"/>
        <sz val="11.0"/>
        <u/>
      </rPr>
      <t>El RCG La Herrería presenta, junto a la Universidad Complutense de Madrid, el Curso de Verano 'Golf y Sostenibilidad' que se desarrollará en julio.</t>
    </r>
    <r>
      <rPr>
        <rFont val="Arial, sans-serif"/>
        <color rgb="FF1155CC"/>
        <sz val="12.0"/>
        <u/>
      </rPr>
      <t>.</t>
    </r>
    <r>
      <rPr>
        <rFont val="Arial, sans-serif"/>
        <color rgb="FF1155CC"/>
        <sz val="11.0"/>
        <u/>
      </rPr>
      <t>24 jun 2024</t>
    </r>
  </si>
  <si>
    <t>El Club La Herrería impartirá un curso de verano de la Complutense sobre golf y sostenibilidad</t>
  </si>
  <si>
    <t>El RCG La Herrería presenta, junto a la Universidad Complutense de Madrid, el Curso de Verano 'Golf y Sostenibilidad' que se desarrollará en julio.</t>
  </si>
  <si>
    <t>The La Herrería Club will teach a Complutense summer course on golf and sustainability</t>
  </si>
  <si>
    <t>The RCG La Herrería presents, together with the Complutense University of Madrid, the 'Golf and Sustainability' Summer Course that will take place in July.</t>
  </si>
  <si>
    <r>
      <rPr>
        <rFont val="Arial, sans-serif"/>
        <color rgb="FF1155CC"/>
        <sz val="9.0"/>
        <u/>
      </rPr>
      <t>OkDiario</t>
    </r>
    <r>
      <rPr>
        <rFont val="Arial, sans-serif"/>
        <color rgb="FF1155CC"/>
        <sz val="15.0"/>
        <u/>
      </rPr>
      <t>Las organizaciones ecologistas demandan al Estado español por inacción ante el cambio climático</t>
    </r>
    <r>
      <rPr>
        <rFont val="Arial, sans-serif"/>
        <color rgb="FF1155CC"/>
        <sz val="11.0"/>
        <u/>
      </rPr>
      <t>Tras la histórica sentencia de las «Abuelas por el clima»en la que el Tribunal Europeo de Derechos Humanos (TEDH) condenó por primera vez a Suiza por su...</t>
    </r>
    <r>
      <rPr>
        <rFont val="Arial, sans-serif"/>
        <color rgb="FF1155CC"/>
        <sz val="12.0"/>
        <u/>
      </rPr>
      <t>.</t>
    </r>
    <r>
      <rPr>
        <rFont val="Arial, sans-serif"/>
        <color rgb="FF1155CC"/>
        <sz val="11.0"/>
        <u/>
      </rPr>
      <t>24 jun 2024</t>
    </r>
  </si>
  <si>
    <t>Las organizaciones ecologistas demandan al Estado español por inacción ante el cambio climático</t>
  </si>
  <si>
    <t>Las organizaciones ecologistas demandan al Estado español por inacción ante el cambio climático.</t>
  </si>
  <si>
    <t>Environmental organizations sue the Spanish State for inaction on climate change</t>
  </si>
  <si>
    <t>Environmental organizations sue the Spanish State for inaction on climate change.</t>
  </si>
  <si>
    <r>
      <rPr>
        <rFont val="Arial, sans-serif"/>
        <color rgb="FF1155CC"/>
        <sz val="9.0"/>
        <u/>
      </rPr>
      <t>Guía Repsol</t>
    </r>
    <r>
      <rPr>
        <rFont val="Arial, sans-serif"/>
        <color rgb="FF1155CC"/>
        <sz val="15.0"/>
        <u/>
      </rPr>
      <t>Donde comen los cocineros más top de España: los Soletes de los Soles</t>
    </r>
    <r>
      <rPr>
        <rFont val="Arial, sans-serif"/>
        <color rgb="FF1155CC"/>
        <sz val="11.0"/>
        <u/>
      </rPr>
      <t>Ángel León, Begoña Rodrigo, Diego Guerrero, Elena Arzak, Joan Roca, Pepe Solla, son algunos de los 125 cocineros que han desvelado a Guía Repsol sus lugares...</t>
    </r>
    <r>
      <rPr>
        <rFont val="Arial, sans-serif"/>
        <color rgb="FF1155CC"/>
        <sz val="12.0"/>
        <u/>
      </rPr>
      <t>.</t>
    </r>
    <r>
      <rPr>
        <rFont val="Arial, sans-serif"/>
        <color rgb="FF1155CC"/>
        <sz val="11.0"/>
        <u/>
      </rPr>
      <t>25 jun 2024</t>
    </r>
  </si>
  <si>
    <t>Donde comen los cocineros más top de España: los Soletes de los Soles</t>
  </si>
  <si>
    <t>Ángel León, Begoña Rodrigo, Diego Guerrero, Elena Arzak, Joan Roca, Pepe Solla, son algunos de los 125 cocineros que han desvelado a Guía Repsol sus lugares....</t>
  </si>
  <si>
    <t>Where the top chefs in Spain eat: Soletes de los Soles</t>
  </si>
  <si>
    <t>Ángel León, Begoña Rodrigo, Diego Guerrero, Elena Arzak, Joan Roca, Pepe Solla, are some of the 125 chefs who have revealed their places to the Repsol Guide....</t>
  </si>
  <si>
    <r>
      <rPr>
        <rFont val="Arial, sans-serif"/>
        <color rgb="FF1155CC"/>
        <sz val="9.0"/>
        <u/>
      </rPr>
      <t>La Vanguardia</t>
    </r>
    <r>
      <rPr>
        <rFont val="Arial, sans-serif"/>
        <color rgb="FF1155CC"/>
        <sz val="15.0"/>
        <u/>
      </rPr>
      <t>El descuento de Repsol si recoges paquetes de Amazon en sus gasolineras</t>
    </r>
    <r>
      <rPr>
        <rFont val="Arial, sans-serif"/>
        <color rgb="FF1155CC"/>
        <sz val="11.0"/>
        <u/>
      </rPr>
      <t>En un esfuerzo por atraer más clientes durante la temporada de verano, Repsol ha anunciado una nueva oferta en colaboración con Amazon.</t>
    </r>
    <r>
      <rPr>
        <rFont val="Arial, sans-serif"/>
        <color rgb="FF1155CC"/>
        <sz val="12.0"/>
        <u/>
      </rPr>
      <t>.</t>
    </r>
    <r>
      <rPr>
        <rFont val="Arial, sans-serif"/>
        <color rgb="FF1155CC"/>
        <sz val="11.0"/>
        <u/>
      </rPr>
      <t>25 jun 2024</t>
    </r>
  </si>
  <si>
    <t>El descuento de Repsol si recoges paquetes de Amazon en sus gasolineras</t>
  </si>
  <si>
    <t>En un esfuerzo por atraer más clientes durante la temporada de verano, Repsol ha anunciado una nueva oferta en colaboración con Amazon.</t>
  </si>
  <si>
    <t>Repsol's discount if you collect Amazon packages at its gas stations</t>
  </si>
  <si>
    <t>In an effort to attract more customers during the summer season, Repsol has announced a new offer in collaboration with Amazon.</t>
  </si>
  <si>
    <t>Repsol customer incentives, business expansion</t>
  </si>
  <si>
    <t>Incentivos al cliente Repsol, expansión empresarial</t>
  </si>
  <si>
    <t>Expanding loyalty programs enhances Repsol’s customer engagement.</t>
  </si>
  <si>
    <r>
      <rPr>
        <rFont val="Arial, sans-serif"/>
        <color rgb="FF1155CC"/>
        <sz val="9.0"/>
        <u/>
      </rPr>
      <t>Dircomfidencial</t>
    </r>
    <r>
      <rPr>
        <rFont val="Arial, sans-serif"/>
        <color rgb="FF1155CC"/>
        <sz val="15.0"/>
        <u/>
      </rPr>
      <t>Puentia ficha a Juan Navarro, ex dircom de Repsol</t>
    </r>
    <r>
      <rPr>
        <rFont val="Arial, sans-serif"/>
        <color rgb="FF1155CC"/>
        <sz val="11.0"/>
        <u/>
      </rPr>
      <t>Juan Navarro se incorpora como Aliado Senior para asesorar a la firma y a sus clientes a la hora de afrontar proyectos de comunicación.</t>
    </r>
    <r>
      <rPr>
        <rFont val="Arial, sans-serif"/>
        <color rgb="FF1155CC"/>
        <sz val="12.0"/>
        <u/>
      </rPr>
      <t>.</t>
    </r>
    <r>
      <rPr>
        <rFont val="Arial, sans-serif"/>
        <color rgb="FF1155CC"/>
        <sz val="11.0"/>
        <u/>
      </rPr>
      <t>25 jun 2024</t>
    </r>
  </si>
  <si>
    <t>Puentia ficha a Juan Navarro, ex dircom de Repsol</t>
  </si>
  <si>
    <t>Juan Navarro se incorpora como Aliado Senior para asesorar a la firma y a sus clientes a la hora de afrontar proyectos de comunicación.</t>
  </si>
  <si>
    <t>Puentia signs Juan Navarro, former director of Repsol</t>
  </si>
  <si>
    <t>Juan Navarro joins as Senior Ally to advise the firm and its clients when facing communication projects.</t>
  </si>
  <si>
    <r>
      <rPr>
        <rFont val="Arial, sans-serif"/>
        <color rgb="FF1155CC"/>
        <sz val="9.0"/>
        <u/>
      </rPr>
      <t>20Minutos</t>
    </r>
    <r>
      <rPr>
        <rFont val="Arial, sans-serif"/>
        <color rgb="FF1155CC"/>
        <sz val="15.0"/>
        <u/>
      </rPr>
      <t>El descuento que ofrece Repsol si recoges un paquete de Amazon en sus gasolineras</t>
    </r>
    <r>
      <rPr>
        <rFont val="Arial, sans-serif"/>
        <color rgb="FF1155CC"/>
        <sz val="11.0"/>
        <u/>
      </rPr>
      <t>Desde la compañía petrolera han anunciado el acuerdo con Amazon, con el que se podrá optar a un descuento de hasta 5 euros con solo acudir a una de sus...</t>
    </r>
    <r>
      <rPr>
        <rFont val="Arial, sans-serif"/>
        <color rgb="FF1155CC"/>
        <sz val="12.0"/>
        <u/>
      </rPr>
      <t>.</t>
    </r>
    <r>
      <rPr>
        <rFont val="Arial, sans-serif"/>
        <color rgb="FF1155CC"/>
        <sz val="11.0"/>
        <u/>
      </rPr>
      <t>25 jun 2024</t>
    </r>
  </si>
  <si>
    <t>El descuento que ofrece Repsol si recoges un paquete de Amazon en sus gasolineras</t>
  </si>
  <si>
    <t>El descuento que ofrece Repsol si recoges un paquete de Amazon en sus gasolineras. Desde la compañía petrolera han anunciado el acuerdo con Amazon, con el que se podrá optar a un descuento de hasta 5 euros con solo acudir a una de sus....</t>
  </si>
  <si>
    <t>The discount that Repsol offers if you pick up an Amazon package at its gas stations</t>
  </si>
  <si>
    <t>The discount that Repsol offers if you pick up an Amazon package at its gas stations. The oil company has announced the agreement with Amazon, with which you can opt for a discount of up to 5 euros just by going to one of their...</t>
  </si>
  <si>
    <t>Strengthening strategic partnerships increases Repsol’s market reach.</t>
  </si>
  <si>
    <r>
      <rPr>
        <rFont val="Arial, sans-serif"/>
        <color rgb="FF1155CC"/>
        <sz val="9.0"/>
        <u/>
      </rPr>
      <t>ABC</t>
    </r>
    <r>
      <rPr>
        <rFont val="Arial, sans-serif"/>
        <color rgb="FF1155CC"/>
        <sz val="15.0"/>
        <u/>
      </rPr>
      <t>Antonio Lorenzo, nuevo director del complejo industrial de Repsol en Puertollano</t>
    </r>
    <r>
      <rPr>
        <rFont val="Arial, sans-serif"/>
        <color rgb="FF1155CC"/>
        <sz val="11.0"/>
        <u/>
      </rPr>
      <t>Licenciado en Ciencias Químicas, comenzó su experiencia laboral en Repsol hace 27 años, como técnico en el Complejo de Tarragona, donde ha desempeñado...</t>
    </r>
    <r>
      <rPr>
        <rFont val="Arial, sans-serif"/>
        <color rgb="FF1155CC"/>
        <sz val="12.0"/>
        <u/>
      </rPr>
      <t>.</t>
    </r>
    <r>
      <rPr>
        <rFont val="Arial, sans-serif"/>
        <color rgb="FF1155CC"/>
        <sz val="11.0"/>
        <u/>
      </rPr>
      <t>25 jun 2024</t>
    </r>
  </si>
  <si>
    <t>Antonio Lorenzo, nuevo director del complejo industrial de Repsol en Puertollano</t>
  </si>
  <si>
    <t>Licenciado en Ciencias Químicas, comenzó su experiencia laboral en Repsol hace 27 años, como técnico en el Complejo de Tarragona, donde ha desempeñado....</t>
  </si>
  <si>
    <t>Antonio Lorenzo, new director of the Repsol industrial complex in Puertollano</t>
  </si>
  <si>
    <t>Graduate in Chemical Sciences, he began his work experience at Repsol 27 years ago, as a technician at the Tarragona Complex, where he has worked....</t>
  </si>
  <si>
    <t>Repsol corporate leadership, business operations</t>
  </si>
  <si>
    <t>Liderazgo corporativo de Repsol, operaciones empresariales</t>
  </si>
  <si>
    <t>Leadership transitions may influence Repsol’s operational strategies.</t>
  </si>
  <si>
    <r>
      <rPr>
        <rFont val="Arial, sans-serif"/>
        <color rgb="FF1155CC"/>
        <sz val="9.0"/>
        <u/>
      </rPr>
      <t>www.diariodelpuerto.com</t>
    </r>
    <r>
      <rPr>
        <rFont val="Arial, sans-serif"/>
        <color rgb="FF1155CC"/>
        <sz val="15.0"/>
        <u/>
      </rPr>
      <t>La AP de A Coruña desmantelará los cargaderos de carbón y azufre de Repsol en el Muelle de San Diego</t>
    </r>
    <r>
      <rPr>
        <rFont val="Arial, sans-serif"/>
        <color rgb="FF1155CC"/>
        <sz val="11.0"/>
        <u/>
      </rPr>
      <t>El Consejo de Administración de la Autoridad Portuaria de A Coruña ha aprobado este martes el desmantelamiento de los cargaderos de carbón y azufre de...</t>
    </r>
    <r>
      <rPr>
        <rFont val="Arial, sans-serif"/>
        <color rgb="FF1155CC"/>
        <sz val="12.0"/>
        <u/>
      </rPr>
      <t>.</t>
    </r>
    <r>
      <rPr>
        <rFont val="Arial, sans-serif"/>
        <color rgb="FF1155CC"/>
        <sz val="11.0"/>
        <u/>
      </rPr>
      <t>25 jun 2024</t>
    </r>
  </si>
  <si>
    <t>La AP de A Coruña desmantelará los cargaderos de carbón y azufre de Repsol en el Muelle de San Diego</t>
  </si>
  <si>
    <t>El Consejo de Administración de la Autoridad Portuaria de A Coruña ha aprobado este martes el desmantelamiento de los cargaderos de carbón y azufre de....</t>
  </si>
  <si>
    <t>The AP of A Coruña will dismantle Repsol's coal and sulfur loading docks at the San Diego Dock</t>
  </si>
  <si>
    <t>The Board of Directors of the Port Authority of A Coruña approved this Tuesday the dismantling of the coal and sulfur loading docks of...</t>
  </si>
  <si>
    <t>Closing outdated coal infrastructure aligns with Repsol’s clean energy transition.</t>
  </si>
  <si>
    <r>
      <rPr>
        <rFont val="Arial, sans-serif"/>
        <color rgb="FF1155CC"/>
        <sz val="9.0"/>
        <u/>
      </rPr>
      <t>PuroMarketing</t>
    </r>
    <r>
      <rPr>
        <rFont val="Arial, sans-serif"/>
        <color rgb="FF1155CC"/>
        <sz val="15.0"/>
        <u/>
      </rPr>
      <t>Maybeshewill cancela su participación en el Resurrection Fest y denuncia el Greenwashing de Repsol a través de su patrocinio de marca</t>
    </r>
    <r>
      <rPr>
        <rFont val="Arial, sans-serif"/>
        <color rgb="FF1155CC"/>
        <sz val="11.0"/>
        <u/>
      </rPr>
      <t>La banda británica Maybeshewill ha cancelado su participación en el próximo Resurrection Fest en Galicia, programado para el 27 de junio, debido a su...</t>
    </r>
    <r>
      <rPr>
        <rFont val="Arial, sans-serif"/>
        <color rgb="FF1155CC"/>
        <sz val="12.0"/>
        <u/>
      </rPr>
      <t>.</t>
    </r>
    <r>
      <rPr>
        <rFont val="Arial, sans-serif"/>
        <color rgb="FF1155CC"/>
        <sz val="11.0"/>
        <u/>
      </rPr>
      <t>25 jun 2024</t>
    </r>
  </si>
  <si>
    <t>Maybeshewill cancela su participación en el Resurrection Fest y denuncia el Greenwashing de Repsol a través de su patrocinio de marca</t>
  </si>
  <si>
    <t>La banda británica Maybeshewill ha cancelado su participación en el próximo Resurrection Fest en Galicia, programado para el 27 de junio, debido a su....</t>
  </si>
  <si>
    <t>Maybeshewill cancels its participation in the Resurrection Fest and denounces Repsol's Greenwashing through its brand sponsorship</t>
  </si>
  <si>
    <t>The British band Maybeshewill has canceled its participation in the next Resurrection Fest in Galicia, scheduled for June 27, due to its...</t>
  </si>
  <si>
    <r>
      <rPr>
        <rFont val="Arial, sans-serif"/>
        <color rgb="FF1155CC"/>
        <sz val="9.0"/>
        <u/>
      </rPr>
      <t>El Observador</t>
    </r>
    <r>
      <rPr>
        <rFont val="Arial, sans-serif"/>
        <color rgb="FF1155CC"/>
        <sz val="15.0"/>
        <u/>
      </rPr>
      <t>Repsol acuerda con Amazon descontar 5 euros en la carga de combustible a quienes recojan un paquete en sus estaciones</t>
    </r>
    <r>
      <rPr>
        <rFont val="Arial, sans-serif"/>
        <color rgb="FF1155CC"/>
        <sz val="11.0"/>
        <u/>
      </rPr>
      <t>Esta oferta solo se encuentra disponible hasta el próximo 10 de julio, y los cupones que solo podrán gastarse hasta el 31 de agosto.</t>
    </r>
    <r>
      <rPr>
        <rFont val="Arial, sans-serif"/>
        <color rgb="FF1155CC"/>
        <sz val="12.0"/>
        <u/>
      </rPr>
      <t>.</t>
    </r>
    <r>
      <rPr>
        <rFont val="Arial, sans-serif"/>
        <color rgb="FF1155CC"/>
        <sz val="11.0"/>
        <u/>
      </rPr>
      <t>25 jun 2024</t>
    </r>
  </si>
  <si>
    <t>El Observador</t>
  </si>
  <si>
    <t>Repsol acuerda con Amazon descontar 5 euros en la carga de combustible a quienes recojan un paquete en sus estaciones</t>
  </si>
  <si>
    <t>Esta oferta solo se encuentra disponible hasta el próximo 10 de julio, y los cupones que solo podrán gastarse hasta el 31 de agosto.</t>
  </si>
  <si>
    <t>Repsol agrees with Amazon to discount 5 euros on the fuel charge for those who pick up a package at its stations</t>
  </si>
  <si>
    <t>This offer is only available until July 10, and the coupons can only be spent until August 31.</t>
  </si>
  <si>
    <t>Expanding digital loyalty incentives strengthens Repsol’s market presence.</t>
  </si>
  <si>
    <r>
      <rPr>
        <rFont val="Arial, sans-serif"/>
        <color rgb="FF1155CC"/>
        <sz val="9.0"/>
        <u/>
      </rPr>
      <t>Box Repsol</t>
    </r>
    <r>
      <rPr>
        <rFont val="Arial, sans-serif"/>
        <color rgb="FF1155CC"/>
        <sz val="15.0"/>
        <u/>
      </rPr>
      <t>Horarios del GP de Países Bajos MotoGP 2024: cómo y dónde verlo por TV y online</t>
    </r>
    <r>
      <rPr>
        <rFont val="Arial, sans-serif"/>
        <color rgb="FF1155CC"/>
        <sz val="11.0"/>
        <u/>
      </rPr>
      <t>Cuatro semanas después de la disputa del Gran Premio de Italia, MotoGP vuelve al ruedo en uno de los trazados con más historia del campeonato mundial.</t>
    </r>
    <r>
      <rPr>
        <rFont val="Arial, sans-serif"/>
        <color rgb="FF1155CC"/>
        <sz val="12.0"/>
        <u/>
      </rPr>
      <t>.</t>
    </r>
    <r>
      <rPr>
        <rFont val="Arial, sans-serif"/>
        <color rgb="FF1155CC"/>
        <sz val="11.0"/>
        <u/>
      </rPr>
      <t>25 jun 2024</t>
    </r>
  </si>
  <si>
    <t>Horarios del GP de Países Bajos MotoGP 2024: cómo y dónde verlo por TV y online</t>
  </si>
  <si>
    <t>Cuatro semanas después de la disputa del Gran Premio de Italia, MotoGP vuelve al ruedo en uno de los trazados con más historia del campeonato mundial.</t>
  </si>
  <si>
    <t>Dutch GP MotoGP 2024 schedules: how and where to watch it on TV and online</t>
  </si>
  <si>
    <t>Four weeks after the Italian Grand Prix, MotoGP returns to the ring on one of the most historic tracks in the world championship.</t>
  </si>
  <si>
    <r>
      <rPr>
        <rFont val="Arial, sans-serif"/>
        <color rgb="FF1155CC"/>
        <sz val="9.0"/>
        <u/>
      </rPr>
      <t>Guía Repsol</t>
    </r>
    <r>
      <rPr>
        <rFont val="Arial, sans-serif"/>
        <color rgb="FF1155CC"/>
        <sz val="15.0"/>
        <u/>
      </rPr>
      <t>Restaurante Berebere: un oasis malagueño que resurgió de sus cenizas</t>
    </r>
    <r>
      <rPr>
        <rFont val="Arial, sans-serif"/>
        <color rgb="FF1155CC"/>
        <sz val="11.0"/>
        <u/>
      </rPr>
      <t>Un incendio arrasó en 2018 este chiringuito de Torre del Mar, en Vélez-Málaga, pero también fue el punto de inflexión para que el restaurante 'Berebere'...</t>
    </r>
    <r>
      <rPr>
        <rFont val="Arial, sans-serif"/>
        <color rgb="FF1155CC"/>
        <sz val="12.0"/>
        <u/>
      </rPr>
      <t>.</t>
    </r>
    <r>
      <rPr>
        <rFont val="Arial, sans-serif"/>
        <color rgb="FF1155CC"/>
        <sz val="11.0"/>
        <u/>
      </rPr>
      <t>25 jun 2024</t>
    </r>
  </si>
  <si>
    <t>Restaurante Berebere: un oasis malagueño que resurgió de sus cenizas</t>
  </si>
  <si>
    <t>Un incendio arrasó en 2018 este chiringuito de Torre del Mar, en Vélez-Málaga, pero también fue el punto de inflexión para que el restaurante 'Berebere'....</t>
  </si>
  <si>
    <t>Berebere Restaurant: a Malaga oasis that rose from its ashes</t>
  </si>
  <si>
    <t>A fire destroyed this beach bar in Torre del Mar, in Vélez-Málaga, in 2018, but it was also the turning point for the 'Berebere' restaurant....</t>
  </si>
  <si>
    <r>
      <rPr>
        <rFont val="Arial, sans-serif"/>
        <color rgb="FF1155CC"/>
        <sz val="9.0"/>
        <u/>
      </rPr>
      <t>20Minutos</t>
    </r>
    <r>
      <rPr>
        <rFont val="Arial, sans-serif"/>
        <color rgb="FF1155CC"/>
        <sz val="15.0"/>
        <u/>
      </rPr>
      <t>El éxito del restaurante de Madrid que tiene la fusión asiática más radical</t>
    </r>
    <r>
      <rPr>
        <rFont val="Arial, sans-serif"/>
        <color rgb="FF1155CC"/>
        <sz val="11.0"/>
        <u/>
      </rPr>
      <t>En la calle Zurbano, 59 de la capital se encuentra Soy Kitchen, uno de los restaurantes chinos recomendado en la Guía Michelin y reconocido durante cinco...</t>
    </r>
    <r>
      <rPr>
        <rFont val="Arial, sans-serif"/>
        <color rgb="FF1155CC"/>
        <sz val="12.0"/>
        <u/>
      </rPr>
      <t>.</t>
    </r>
    <r>
      <rPr>
        <rFont val="Arial, sans-serif"/>
        <color rgb="FF1155CC"/>
        <sz val="11.0"/>
        <u/>
      </rPr>
      <t>25 jun 2024</t>
    </r>
  </si>
  <si>
    <t>El éxito del restaurante de Madrid que tiene la fusión asiática más radical</t>
  </si>
  <si>
    <t>En la calle Zurbano, 59 de la capital se encuentra Soy Kitchen, uno de los restaurantes chinos recomendado en la Guía Michelin y reconocido durante cinco....</t>
  </si>
  <si>
    <t>The success of the Madrid restaurant that has the most radical Asian fusion</t>
  </si>
  <si>
    <t>On Zurbano Street, 59 in the capital is Soy Kitchen, one of the Chinese restaurants recommended in the Michelin Guide and recognized for five...</t>
  </si>
  <si>
    <r>
      <rPr>
        <rFont val="Arial, sans-serif"/>
        <color rgb="FF1155CC"/>
        <sz val="9.0"/>
        <u/>
      </rPr>
      <t>Guía Repsol</t>
    </r>
    <r>
      <rPr>
        <rFont val="Arial, sans-serif"/>
        <color rgb="FF1155CC"/>
        <sz val="15.0"/>
        <u/>
      </rPr>
      <t>Restaurante Ruta 22 American Diner en Santa Cruz de la Palma</t>
    </r>
    <r>
      <rPr>
        <rFont val="Arial, sans-serif"/>
        <color rgb="FF1155CC"/>
        <sz val="11.0"/>
        <u/>
      </rPr>
      <t>Uy! Nos está costando darte de alta. Si tienes o has tenido una cuenta con Guía Repsol, Waylet o la web de Repsol, trata de iniciar sesión con los mismos...</t>
    </r>
    <r>
      <rPr>
        <rFont val="Arial, sans-serif"/>
        <color rgb="FF1155CC"/>
        <sz val="12.0"/>
        <u/>
      </rPr>
      <t>.</t>
    </r>
    <r>
      <rPr>
        <rFont val="Arial, sans-serif"/>
        <color rgb="FF1155CC"/>
        <sz val="11.0"/>
        <u/>
      </rPr>
      <t>25 jun 2024</t>
    </r>
  </si>
  <si>
    <t>Restaurante Ruta 22 American Diner en Santa Cruz de la Palma</t>
  </si>
  <si>
    <t>Uy! Nos está costando darte de alta. Si tienes o has tenido una cuenta con Guía Repsol, Waylet o la web de Repsol, trata de iniciar sesión con los mismos....</t>
  </si>
  <si>
    <t>Ruta 22 American Diner Restaurant in Santa Cruz de la Palma</t>
  </si>
  <si>
    <t>Oops! We are having a hard time registering you. If you have or have had an account with Guía Repsol, Waylet or the Repsol website, try to log in with them...</t>
  </si>
  <si>
    <r>
      <rPr>
        <rFont val="Arial, sans-serif"/>
        <color rgb="FF1155CC"/>
        <sz val="9.0"/>
        <u/>
      </rPr>
      <t>CARM.es</t>
    </r>
    <r>
      <rPr>
        <rFont val="Arial, sans-serif"/>
        <color rgb="FF1155CC"/>
        <sz val="15.0"/>
        <u/>
      </rPr>
      <t>La Guía Repsol concede sus Soletes a siete nuevos establecimientos hosteleros de la Región de Murcia</t>
    </r>
    <r>
      <rPr>
        <rFont val="Arial, sans-serif"/>
        <color rgb="FF1155CC"/>
        <sz val="11.0"/>
        <u/>
      </rPr>
      <t>Se trata de La Trastienda de Pablo González, en Murcia; La Malaka, Mi Mare y Gelateria del Bianco, en Cartagena; Casa Mercedes y Mirrín, en Lorca;...</t>
    </r>
    <r>
      <rPr>
        <rFont val="Arial, sans-serif"/>
        <color rgb="FF1155CC"/>
        <sz val="12.0"/>
        <u/>
      </rPr>
      <t>.</t>
    </r>
    <r>
      <rPr>
        <rFont val="Arial, sans-serif"/>
        <color rgb="FF1155CC"/>
        <sz val="11.0"/>
        <u/>
      </rPr>
      <t>26 jun 2024</t>
    </r>
  </si>
  <si>
    <t>CARM.es</t>
  </si>
  <si>
    <t>La Guía Repsol concede sus Soletes a siete nuevos establecimientos hosteleros de la Región de Murcia</t>
  </si>
  <si>
    <t>Se trata de La Trastienda de Pablo González, en Murcia; La Malaka, Mi Mare y Gelateria del Bianco, en Cartagena; Casa Mercedes y Mirrín, en Lorca;....</t>
  </si>
  <si>
    <t>The Repsol Guide awards its Soletes to seven new hospitality establishments in the Region of Murcia</t>
  </si>
  <si>
    <t>This is La Trastienda by Pablo González, in Murcia; La Malaka, Mi Mare and Gelateria del Bianco, in Cartagena; Casa Mercedes and Mirrín, in Lorca;....</t>
  </si>
  <si>
    <r>
      <rPr>
        <rFont val="Arial, sans-serif"/>
        <color rgb="FF1155CC"/>
        <sz val="9.0"/>
        <u/>
      </rPr>
      <t>Movilidad Eléctrica</t>
    </r>
    <r>
      <rPr>
        <rFont val="Arial, sans-serif"/>
        <color rgb="FF1155CC"/>
        <sz val="15.0"/>
        <u/>
      </rPr>
      <t>Repsol marca un hito en España con más de 1.500 puntos de carga conectados</t>
    </r>
    <r>
      <rPr>
        <rFont val="Arial, sans-serif"/>
        <color rgb="FF1155CC"/>
        <sz val="11.0"/>
        <u/>
      </rPr>
      <t>Repsol ya ha instalado más de 2.300 puntos de carga en España, de los cuales, más de 1.500 ya están operativos.</t>
    </r>
    <r>
      <rPr>
        <rFont val="Arial, sans-serif"/>
        <color rgb="FF1155CC"/>
        <sz val="12.0"/>
        <u/>
      </rPr>
      <t>.</t>
    </r>
    <r>
      <rPr>
        <rFont val="Arial, sans-serif"/>
        <color rgb="FF1155CC"/>
        <sz val="11.0"/>
        <u/>
      </rPr>
      <t>26 jun 2024</t>
    </r>
  </si>
  <si>
    <t>Repsol marca un hito en España con más de 1.500 puntos de carga conectados</t>
  </si>
  <si>
    <t>Repsol ya ha instalado más de 2.300 puntos de carga en España, de los cuales, más de 1.500 ya están operativos.</t>
  </si>
  <si>
    <t>Repsol marks a milestone in Spain with more than 1,500 connected charging points</t>
  </si>
  <si>
    <t>Repsol has already installed more than 2,300 charging points in Spain, of which more than 1,500 are already operational.</t>
  </si>
  <si>
    <t>Expanding EV charging infrastructure supports Repsol’s clean energy transition.</t>
  </si>
  <si>
    <r>
      <rPr>
        <rFont val="Arial, sans-serif"/>
        <color rgb="FF1155CC"/>
        <sz val="9.0"/>
        <u/>
      </rPr>
      <t>BURGOSconecta</t>
    </r>
    <r>
      <rPr>
        <rFont val="Arial, sans-serif"/>
        <color rgb="FF1155CC"/>
        <sz val="15.0"/>
        <u/>
      </rPr>
      <t>Cuatro restaurantes de Burgos se unen a la lista de Soletes Repsol</t>
    </r>
    <r>
      <rPr>
        <rFont val="Arial, sans-serif"/>
        <color rgb="FF1155CC"/>
        <sz val="11.0"/>
        <u/>
      </rPr>
      <t>La Guía Repsol renueva su listado de Soletes de la mano de las recomendaciones de los mejores cocineros de España. Esta nueva entrega, elaborada por 125...</t>
    </r>
    <r>
      <rPr>
        <rFont val="Arial, sans-serif"/>
        <color rgb="FF1155CC"/>
        <sz val="12.0"/>
        <u/>
      </rPr>
      <t>.</t>
    </r>
    <r>
      <rPr>
        <rFont val="Arial, sans-serif"/>
        <color rgb="FF1155CC"/>
        <sz val="11.0"/>
        <u/>
      </rPr>
      <t>26 jun 2024</t>
    </r>
  </si>
  <si>
    <t>Cuatro restaurantes de Burgos se unen a la lista de Soletes Repsol</t>
  </si>
  <si>
    <t>Cuatro restaurantes de Burgos se unen a la lista de Soletes Repsol. La Guía Repsol renueva su listado de Soletes de la mano de las recomendaciones de los mejores cocineros de España. Esta nueva entrega, elaborada por 125....</t>
  </si>
  <si>
    <t>Four restaurants in Burgos join the Soletes Repsol list</t>
  </si>
  <si>
    <t>Four restaurants in Burgos join the Soletes Repsol list. The Repsol Guide renews its list of Soletes based on the recommendations of the best chefs in Spain. This new delivery, made by 125....</t>
  </si>
  <si>
    <r>
      <rPr>
        <rFont val="Arial, sans-serif"/>
        <color rgb="FF1155CC"/>
        <sz val="9.0"/>
        <u/>
      </rPr>
      <t>La Vanguardia</t>
    </r>
    <r>
      <rPr>
        <rFont val="Arial, sans-serif"/>
        <color rgb="FF1155CC"/>
        <sz val="15.0"/>
        <u/>
      </rPr>
      <t>La Guía Repsol desvela dónde desayunan o cenan los mejores cocineros a buenos precios</t>
    </r>
    <r>
      <rPr>
        <rFont val="Arial, sans-serif"/>
        <color rgb="FF1155CC"/>
        <sz val="11.0"/>
        <u/>
      </rPr>
      <t>Dónde van a tomar vinos los mejores cocineros del mundo, al frente del recién laureado Disfrutar? ¿Dónde desayunan los hermanos Torres?</t>
    </r>
    <r>
      <rPr>
        <rFont val="Arial, sans-serif"/>
        <color rgb="FF1155CC"/>
        <sz val="12.0"/>
        <u/>
      </rPr>
      <t>.</t>
    </r>
    <r>
      <rPr>
        <rFont val="Arial, sans-serif"/>
        <color rgb="FF1155CC"/>
        <sz val="11.0"/>
        <u/>
      </rPr>
      <t>26 jun 2024</t>
    </r>
  </si>
  <si>
    <t>La Guía Repsol desvela dónde desayunan o cenan los mejores cocineros a buenos precios</t>
  </si>
  <si>
    <t>Dónde van a tomar vinos los mejores cocineros del mundo, al frente del recién laureado Disfrutar? ¿Dónde desayunan los hermanos Torres?</t>
  </si>
  <si>
    <t>The Repsol Guide reveals where the best chefs have breakfast or dinner at good prices</t>
  </si>
  <si>
    <t>Where do the best chefs in the world go to drink wine, at the helm of the recently awarded Enjoy? Where do the Torres brothers have breakfast?</t>
  </si>
  <si>
    <r>
      <rPr>
        <rFont val="Arial, sans-serif"/>
        <color rgb="FF1155CC"/>
        <sz val="9.0"/>
        <u/>
      </rPr>
      <t>EL PAÍS</t>
    </r>
    <r>
      <rPr>
        <rFont val="Arial, sans-serif"/>
        <color rgb="FF1155CC"/>
        <sz val="15.0"/>
        <u/>
      </rPr>
      <t>125 cocineros eligen a sus ‘soletes’ Repsol preferidos (y asequibles) para este verano</t>
    </r>
    <r>
      <rPr>
        <rFont val="Arial, sans-serif"/>
        <color rgb="FF1155CC"/>
        <sz val="11.0"/>
        <u/>
      </rPr>
      <t>La guía española presenta nuevas direcciones donde comer en un chiringuito, tomar un helado o un vino después de un día de playa, o disfrutar de una buena...</t>
    </r>
    <r>
      <rPr>
        <rFont val="Arial, sans-serif"/>
        <color rgb="FF1155CC"/>
        <sz val="12.0"/>
        <u/>
      </rPr>
      <t>.</t>
    </r>
    <r>
      <rPr>
        <rFont val="Arial, sans-serif"/>
        <color rgb="FF1155CC"/>
        <sz val="11.0"/>
        <u/>
      </rPr>
      <t>26 jun 2024</t>
    </r>
  </si>
  <si>
    <t>125 cocineros eligen a sus ‘soletes’ Repsol preferidos (y asequibles) para este verano</t>
  </si>
  <si>
    <t>La guía española presenta nuevas direcciones donde comer en un chiringuito, tomar un helado o un vino después de un día de playa, o disfrutar de una buena....</t>
  </si>
  <si>
    <t>125 chefs choose their favorite (and affordable) Repsol 'soletes' for this summer</t>
  </si>
  <si>
    <t>The Spanish guide presents new addresses where you can eat at a beach bar, have an ice cream or a wine after a day at the beach, or enjoy a good...</t>
  </si>
  <si>
    <r>
      <rPr>
        <rFont val="Arial, sans-serif"/>
        <color rgb="FF1155CC"/>
        <sz val="9.0"/>
        <u/>
      </rPr>
      <t>El Español</t>
    </r>
    <r>
      <rPr>
        <rFont val="Arial, sans-serif"/>
        <color rgb="FF1155CC"/>
        <sz val="15.0"/>
        <u/>
      </rPr>
      <t>Estos son los nuevos Soletes Repsol recomendados por reconocidos chefs: los mejores bares, cafés y heladerías</t>
    </r>
    <r>
      <rPr>
        <rFont val="Arial, sans-serif"/>
        <color rgb="FF1155CC"/>
        <sz val="11.0"/>
        <u/>
      </rPr>
      <t>La Guía Repsol ha presentado sus nuevos 750 lugares recomendados por 125 chefs galardonados con 1, 2 y 3 Soles Guía Repsol, entre ellos Begoña Rodrigo,...</t>
    </r>
    <r>
      <rPr>
        <rFont val="Arial, sans-serif"/>
        <color rgb="FF1155CC"/>
        <sz val="12.0"/>
        <u/>
      </rPr>
      <t>.</t>
    </r>
    <r>
      <rPr>
        <rFont val="Arial, sans-serif"/>
        <color rgb="FF1155CC"/>
        <sz val="11.0"/>
        <u/>
      </rPr>
      <t>26 jun 2024</t>
    </r>
  </si>
  <si>
    <t>Estos son los nuevos Soletes Repsol recomendados por reconocidos chefs: los mejores bares, cafés y heladerías</t>
  </si>
  <si>
    <t>La Guía Repsol ha presentado sus nuevos 750 lugares recomendados por 125 chefs galardonados con 1, 2 y 3 Soles Guía Repsol, entre ellos Begoña Rodrigo,....</t>
  </si>
  <si>
    <t>These are the new Repsol Soletes recommended by renowned chefs: the best bars, cafes and ice cream parlors</t>
  </si>
  <si>
    <t>The Repsol Guide has presented its new 750 places recommended by 125 chefs awarded 1, 2 and 3 Repsol Guide Suns, including Begoña Rodrigo,...</t>
  </si>
  <si>
    <r>
      <rPr>
        <rFont val="Arial, sans-serif"/>
        <color rgb="FF1155CC"/>
        <sz val="9.0"/>
        <u/>
      </rPr>
      <t>Restauración News</t>
    </r>
    <r>
      <rPr>
        <rFont val="Arial, sans-serif"/>
        <color rgb="FF1155CC"/>
        <sz val="15.0"/>
        <u/>
      </rPr>
      <t>Siridia Berenguer, directora de GLP Repsol: «El cliente está en el centro de nuestras decisiones»</t>
    </r>
    <r>
      <rPr>
        <rFont val="Arial, sans-serif"/>
        <color rgb="FF1155CC"/>
        <sz val="11.0"/>
        <u/>
      </rPr>
      <t>Repsol cubre todas las necesidades energéticas de forma integral y con una gestión personalizada, a todos los profesionales de la hostelería.</t>
    </r>
    <r>
      <rPr>
        <rFont val="Arial, sans-serif"/>
        <color rgb="FF1155CC"/>
        <sz val="12.0"/>
        <u/>
      </rPr>
      <t>.</t>
    </r>
    <r>
      <rPr>
        <rFont val="Arial, sans-serif"/>
        <color rgb="FF1155CC"/>
        <sz val="11.0"/>
        <u/>
      </rPr>
      <t>26 jun 2024</t>
    </r>
  </si>
  <si>
    <t>Restauración News</t>
  </si>
  <si>
    <t>Siridia Berenguer, directora de GLP Repsol: «El cliente está en el centro de nuestras decisiones»</t>
  </si>
  <si>
    <t>Repsol cubre todas las necesidades energéticas de forma integral y con una gestión personalizada, a todos los profesionales de la hostelería.</t>
  </si>
  <si>
    <t>Siridia Berenguer, director of GLP Repsol: "The customer is at the center of our decisions"</t>
  </si>
  <si>
    <t>Repsol covers all energy needs comprehensively and with personalized management for all hospitality professionals.</t>
  </si>
  <si>
    <t>Supporting a balanced energy transition aligns with Repsol’s strategic vision.</t>
  </si>
  <si>
    <r>
      <rPr>
        <rFont val="Arial, sans-serif"/>
        <color rgb="FF1155CC"/>
        <sz val="9.0"/>
        <u/>
      </rPr>
      <t>Repsol</t>
    </r>
    <r>
      <rPr>
        <rFont val="Arial, sans-serif"/>
        <color rgb="FF1155CC"/>
        <sz val="15.0"/>
        <u/>
      </rPr>
      <t>Tecnología e innovación en la movilidad</t>
    </r>
    <r>
      <rPr>
        <rFont val="Arial, sans-serif"/>
        <color rgb="FF1155CC"/>
        <sz val="11.0"/>
        <u/>
      </rPr>
      <t>En nuestro centro de investigación Repsol Technology Lab, trabajamos continuamente en la búsqueda de nuevas materias primas y procesos de fabricación de...</t>
    </r>
    <r>
      <rPr>
        <rFont val="Arial, sans-serif"/>
        <color rgb="FF1155CC"/>
        <sz val="12.0"/>
        <u/>
      </rPr>
      <t>.</t>
    </r>
    <r>
      <rPr>
        <rFont val="Arial, sans-serif"/>
        <color rgb="FF1155CC"/>
        <sz val="11.0"/>
        <u/>
      </rPr>
      <t>26 jun 2024</t>
    </r>
  </si>
  <si>
    <t>Tecnología e innovación en la movilidad</t>
  </si>
  <si>
    <t>En nuestro centro de investigación Repsol Technology Lab, trabajamos continuamente en la búsqueda de nuevas materias primas y procesos de fabricación de....</t>
  </si>
  <si>
    <t>Technology and innovation in mobility</t>
  </si>
  <si>
    <t>In our Repsol Technology Lab research center, we continually work in the search for new raw materials and manufacturing processes for...</t>
  </si>
  <si>
    <t>Repsol innovation, mobility solutions</t>
  </si>
  <si>
    <t>Innovación Repsol, soluciones de movilidad</t>
  </si>
  <si>
    <t>Advancing technological solutions strengthens Repsol’s leadership in energy innovation.</t>
  </si>
  <si>
    <r>
      <rPr>
        <rFont val="Arial, sans-serif"/>
        <color rgb="FF1155CC"/>
        <sz val="9.0"/>
        <u/>
      </rPr>
      <t>Onda Cero</t>
    </r>
    <r>
      <rPr>
        <rFont val="Arial, sans-serif"/>
        <color rgb="FF1155CC"/>
        <sz val="15.0"/>
        <u/>
      </rPr>
      <t>Nuevos soletes Repsol: estos son los restaurantes que recomiendan los mejores chefs en España para este verano</t>
    </r>
    <r>
      <rPr>
        <rFont val="Arial, sans-serif"/>
        <color rgb="FF1155CC"/>
        <sz val="11.0"/>
        <u/>
      </rPr>
      <t>La Guía Repsol hace una nueva entrega de soletes este verano con la ayuda de los grandes cocineros de nuestro país. Consulta la lista de los restaurantes...</t>
    </r>
    <r>
      <rPr>
        <rFont val="Arial, sans-serif"/>
        <color rgb="FF1155CC"/>
        <sz val="12.0"/>
        <u/>
      </rPr>
      <t>.</t>
    </r>
    <r>
      <rPr>
        <rFont val="Arial, sans-serif"/>
        <color rgb="FF1155CC"/>
        <sz val="11.0"/>
        <u/>
      </rPr>
      <t>26 jun 2024</t>
    </r>
  </si>
  <si>
    <t>Nuevos soletes Repsol: estos son los restaurantes que recomiendan los mejores chefs en España para este verano</t>
  </si>
  <si>
    <t>La Guía Repsol hace una nueva entrega de soletes este verano con la ayuda de los grandes cocineros de nuestro país. Consulta la lista de los restaurantes....</t>
  </si>
  <si>
    <t>New Repsol soles: these are the restaurants recommended by the best chefs in Spain for this summer</t>
  </si>
  <si>
    <t>The Repsol Guide makes a new delivery of soletes this summer with the help of the great chefs of our country. Check the list of restaurants....</t>
  </si>
  <si>
    <r>
      <rPr>
        <rFont val="Arial, sans-serif"/>
        <color rgb="FF1155CC"/>
        <sz val="9.0"/>
        <u/>
      </rPr>
      <t>La Tribuna de Talavera</t>
    </r>
    <r>
      <rPr>
        <rFont val="Arial, sans-serif"/>
        <color rgb="FF1155CC"/>
        <sz val="15.0"/>
        <u/>
      </rPr>
      <t>Talavera suma 10 Soletes Repsol con 7 nuevas incorporaciones</t>
    </r>
    <r>
      <rPr>
        <rFont val="Arial, sans-serif"/>
        <color rgb="FF1155CC"/>
        <sz val="11.0"/>
        <u/>
      </rPr>
      <t>Un centenar de reconocidos chefs han dado sus recomendaciones de más de 750 locales de España para comer, desayunar o tomar un helado a un precio asequible...</t>
    </r>
    <r>
      <rPr>
        <rFont val="Arial, sans-serif"/>
        <color rgb="FF1155CC"/>
        <sz val="12.0"/>
        <u/>
      </rPr>
      <t>.</t>
    </r>
    <r>
      <rPr>
        <rFont val="Arial, sans-serif"/>
        <color rgb="FF1155CC"/>
        <sz val="11.0"/>
        <u/>
      </rPr>
      <t>26 jun 2024</t>
    </r>
  </si>
  <si>
    <t>La Tribuna de Talavera</t>
  </si>
  <si>
    <t>Talavera suma 10 Soletes Repsol con 7 nuevas incorporaciones</t>
  </si>
  <si>
    <t>Un centenar de reconocidos chefs han dado sus recomendaciones de más de 750 locales de España para comer, desayunar o tomar un helado a un precio asequible.</t>
  </si>
  <si>
    <t>Talavera adds 10 Repsol Soletes with 7 new additions</t>
  </si>
  <si>
    <t>A hundred renowned chefs have given their recommendations for more than 750 places in Spain to eat, have breakfast or have an ice cream at an affordable price.</t>
  </si>
  <si>
    <r>
      <rPr>
        <rFont val="Arial, sans-serif"/>
        <color rgb="FF1155CC"/>
        <sz val="9.0"/>
        <u/>
      </rPr>
      <t>Cadena SER</t>
    </r>
    <r>
      <rPr>
        <rFont val="Arial, sans-serif"/>
        <color rgb="FF1155CC"/>
        <sz val="15.0"/>
        <u/>
      </rPr>
      <t>Los cocineros más top de la Guía Repsol eligen sus sitios favoritos para comer en Sevilla a precios asequibles: los Soletes</t>
    </r>
    <r>
      <rPr>
        <rFont val="Arial, sans-serif"/>
        <color rgb="FF1155CC"/>
        <sz val="11.0"/>
        <u/>
      </rPr>
      <t>Se trata de la categoría más "cotidiana", con la que se reconoce el trabajo de establecimientos que son "el futuro"</t>
    </r>
    <r>
      <rPr>
        <rFont val="Arial, sans-serif"/>
        <color rgb="FF1155CC"/>
        <sz val="12.0"/>
        <u/>
      </rPr>
      <t>.</t>
    </r>
    <r>
      <rPr>
        <rFont val="Arial, sans-serif"/>
        <color rgb="FF1155CC"/>
        <sz val="11.0"/>
        <u/>
      </rPr>
      <t>26 jun 2024</t>
    </r>
  </si>
  <si>
    <t>Los cocineros más top de la Guía Repsol eligen sus sitios favoritos para comer en Sevilla a precios asequibles: los Soletes</t>
  </si>
  <si>
    <t>Se trata de la categoría más "cotidiana", con la que se reconoce el trabajo de establecimientos que son "el futuro".</t>
  </si>
  <si>
    <t>The top chefs in the Repsol Guide choose their favorite places to eat in Seville at affordable prices: Los Soletes</t>
  </si>
  <si>
    <t>This is the most "everyday" category, which recognizes the work of establishments that are "the future."</t>
  </si>
  <si>
    <r>
      <rPr>
        <rFont val="Arial, sans-serif"/>
        <color rgb="FF1155CC"/>
        <sz val="9.0"/>
        <u/>
      </rPr>
      <t>Diario Sur</t>
    </r>
    <r>
      <rPr>
        <rFont val="Arial, sans-serif"/>
        <color rgb="FF1155CC"/>
        <sz val="15.0"/>
        <u/>
      </rPr>
      <t>Soletes Repsol 2024: restaurantes, bares y cafeterías de Málaga con «precios asequibles» seleccionados por los chefs</t>
    </r>
    <r>
      <rPr>
        <rFont val="Arial, sans-serif"/>
        <color rgb="FF1155CC"/>
        <sz val="11.0"/>
        <u/>
      </rPr>
      <t>125 cocineros de toda España han elegido sus locales favoritos y 29 de ellos están en la provincia malagueña.</t>
    </r>
    <r>
      <rPr>
        <rFont val="Arial, sans-serif"/>
        <color rgb="FF1155CC"/>
        <sz val="12.0"/>
        <u/>
      </rPr>
      <t>.</t>
    </r>
    <r>
      <rPr>
        <rFont val="Arial, sans-serif"/>
        <color rgb="FF1155CC"/>
        <sz val="11.0"/>
        <u/>
      </rPr>
      <t>26 jun 2024</t>
    </r>
  </si>
  <si>
    <t>Soletes Repsol 2024: restaurantes, bares y cafeterías de Málaga con «precios asequibles» seleccionados por los chefs</t>
  </si>
  <si>
    <t>125 cocineros de toda España han elegido sus locales favoritos y 29 de ellos están en la provincia malagueña.</t>
  </si>
  <si>
    <t>Soletes Repsol 2024: restaurants, bars and cafes in Malaga with "affordable prices" selected by chefs</t>
  </si>
  <si>
    <t>125 chefs from all over Spain have chosen their favorite places and 29 of them are in the province of Malaga.</t>
  </si>
  <si>
    <r>
      <rPr>
        <rFont val="Arial, sans-serif"/>
        <color rgb="FF1155CC"/>
        <sz val="9.0"/>
        <u/>
      </rPr>
      <t>Economía de Mallorca</t>
    </r>
    <r>
      <rPr>
        <rFont val="Arial, sans-serif"/>
        <color rgb="FF1155CC"/>
        <sz val="15.0"/>
        <u/>
      </rPr>
      <t>32 establecimientos de Baleares son reconocidos con los 'Soletes' de la Guia Repsol</t>
    </r>
    <r>
      <rPr>
        <rFont val="Arial, sans-serif"/>
        <color rgb="FF1155CC"/>
        <sz val="11.0"/>
        <u/>
      </rPr>
      <t>Guía Repsol presenta un nuevo listado de Soletes y en esta ocasión cocineros de toda España nos recomiendan sus lugares de confianza para este verano.</t>
    </r>
    <r>
      <rPr>
        <rFont val="Arial, sans-serif"/>
        <color rgb="FF1155CC"/>
        <sz val="12.0"/>
        <u/>
      </rPr>
      <t>.</t>
    </r>
    <r>
      <rPr>
        <rFont val="Arial, sans-serif"/>
        <color rgb="FF1155CC"/>
        <sz val="11.0"/>
        <u/>
      </rPr>
      <t>26 jun 2024</t>
    </r>
  </si>
  <si>
    <t>32 establecimientos de Baleares son reconocidos con los 'Soletes' de la Guia Repsol</t>
  </si>
  <si>
    <t>Guía Repsol presenta un nuevo listado de Soletes y en esta ocasión cocineros de toda España nos recomiendan sus lugares de confianza para este verano.</t>
  </si>
  <si>
    <t>32 establishments in the Balearic Islands are recognized with the 'Soletes' of the Repsol Guide</t>
  </si>
  <si>
    <t>Repsol Guide presents a new list of Soletes and on this occasion chefs from all over Spain recommend their trusted places for this summer.</t>
  </si>
  <si>
    <r>
      <rPr>
        <rFont val="Arial, sans-serif"/>
        <color rgb="FF1155CC"/>
        <sz val="9.0"/>
        <u/>
      </rPr>
      <t>NueveCuatroUno.com</t>
    </r>
    <r>
      <rPr>
        <rFont val="Arial, sans-serif"/>
        <color rgb="FF1155CC"/>
        <sz val="15.0"/>
        <u/>
      </rPr>
      <t>La Rioja suma ocho nuevos ‘Soletes’ en la Guía Repsol</t>
    </r>
    <r>
      <rPr>
        <rFont val="Arial, sans-serif"/>
        <color rgb="FF1155CC"/>
        <sz val="11.0"/>
        <u/>
      </rPr>
      <t>Ángel León, Begoña Rodrigo, Diego Guerrero, Elena Arzak, Joan Roca o Pepe Solla, entre otros destacados cocineros, han desvelado.</t>
    </r>
    <r>
      <rPr>
        <rFont val="Arial, sans-serif"/>
        <color rgb="FF1155CC"/>
        <sz val="12.0"/>
        <u/>
      </rPr>
      <t>.</t>
    </r>
    <r>
      <rPr>
        <rFont val="Arial, sans-serif"/>
        <color rgb="FF1155CC"/>
        <sz val="11.0"/>
        <u/>
      </rPr>
      <t>26 jun 2024</t>
    </r>
  </si>
  <si>
    <t>La Rioja suma ocho nuevos ‘Soletes’ en la Guía Repsol</t>
  </si>
  <si>
    <t>Ángel León, Begoña Rodrigo, Diego Guerrero, Elena Arzak, Joan Roca o Pepe Solla, entre otros destacados cocineros, han desvelado..</t>
  </si>
  <si>
    <t>La Rioja adds eight new 'Soletes' in the Repsol Guide</t>
  </si>
  <si>
    <t>Ángel León, Begoña Rodrigo, Diego Guerrero, Elena Arzak, Joan Roca and Pepe Solla, among other prominent chefs, have revealed...</t>
  </si>
  <si>
    <r>
      <rPr>
        <rFont val="Arial, sans-serif"/>
        <color rgb="FF1155CC"/>
        <sz val="9.0"/>
        <u/>
      </rPr>
      <t>Cantabria Económica</t>
    </r>
    <r>
      <rPr>
        <rFont val="Arial, sans-serif"/>
        <color rgb="FF1155CC"/>
        <sz val="15.0"/>
        <u/>
      </rPr>
      <t>22 ‘soletes’ de Repsol para comer a precio asequible este verano en la región</t>
    </r>
    <r>
      <rPr>
        <rFont val="Arial, sans-serif"/>
        <color rgb="FF1155CC"/>
        <sz val="11.0"/>
        <u/>
      </rPr>
      <t>Más de un centenar de reconocidos chefs de la Guía Repsol han recomendado más de 750 locales con 'Soletes', 22 de ellos en Cantabria, para comer en...</t>
    </r>
    <r>
      <rPr>
        <rFont val="Arial, sans-serif"/>
        <color rgb="FF1155CC"/>
        <sz val="12.0"/>
        <u/>
      </rPr>
      <t>.</t>
    </r>
    <r>
      <rPr>
        <rFont val="Arial, sans-serif"/>
        <color rgb="FF1155CC"/>
        <sz val="11.0"/>
        <u/>
      </rPr>
      <t>26 jun 2024</t>
    </r>
  </si>
  <si>
    <t>22 ‘soletes’ de Repsol para comer a precio asequible este verano en la región</t>
  </si>
  <si>
    <t>Más de un centenar de reconocidos chefs de la Guía Repsol han recomendado más de 750 locales con 'Soletes', 22 de ellos en Cantabria, para comer en....</t>
  </si>
  <si>
    <t>22 Repsol 'soletes' to eat at an affordable price this summer in the region</t>
  </si>
  <si>
    <t>More than a hundred renowned chefs from the Repsol Guide have recommended more than 750 places with 'Soletes', 22 of them in Cantabria, to eat at....</t>
  </si>
  <si>
    <r>
      <rPr>
        <rFont val="Arial, sans-serif"/>
        <color rgb="FF1155CC"/>
        <sz val="9.0"/>
        <u/>
      </rPr>
      <t>El Correo Gallego</t>
    </r>
    <r>
      <rPr>
        <rFont val="Arial, sans-serif"/>
        <color rgb="FF1155CC"/>
        <sz val="15.0"/>
        <u/>
      </rPr>
      <t>Dos locales de Santiago, entre los Soletes de confianza de los mejores cocineros de España</t>
    </r>
    <r>
      <rPr>
        <rFont val="Arial, sans-serif"/>
        <color rgb="FF1155CC"/>
        <sz val="11.0"/>
        <u/>
      </rPr>
      <t>Guía Repsol presenta en Lorca este miércoles más de 750 Soletes en donde Ángel León, Begoña Rodrigo, Diego Guerrero, Joan Roca o Pepe Solla, entre otros...</t>
    </r>
    <r>
      <rPr>
        <rFont val="Arial, sans-serif"/>
        <color rgb="FF1155CC"/>
        <sz val="12.0"/>
        <u/>
      </rPr>
      <t>.</t>
    </r>
    <r>
      <rPr>
        <rFont val="Arial, sans-serif"/>
        <color rgb="FF1155CC"/>
        <sz val="11.0"/>
        <u/>
      </rPr>
      <t>26 jun 2024</t>
    </r>
  </si>
  <si>
    <t>Dos locales de Santiago, entre los Soletes de confianza de los mejores cocineros de España</t>
  </si>
  <si>
    <t>Guía Repsol presenta en Lorca este miércoles más de 750 Soletes en donde Ángel León, Begoña Rodrigo, Diego Guerrero, Joan Roca o Pepe Solla, entre otros....</t>
  </si>
  <si>
    <t>Two establishments in Santiago, among the trusted Soletes of the best chefs in Spain</t>
  </si>
  <si>
    <t>Repsol Guide presents in Lorca this Wednesday more than 750 Soletes where Ángel León, Begoña Rodrigo, Diego Guerrero, Joan Roca or Pepe Solla, among others....</t>
  </si>
  <si>
    <r>
      <rPr>
        <rFont val="Arial, sans-serif"/>
        <color rgb="FF1155CC"/>
        <sz val="9.0"/>
        <u/>
      </rPr>
      <t>La Voz de Almería</t>
    </r>
    <r>
      <rPr>
        <rFont val="Arial, sans-serif"/>
        <color rgb="FF1155CC"/>
        <sz val="15.0"/>
        <u/>
      </rPr>
      <t>Almería gana 9 Soletes Repsol nuevos (recomendados por el chef de La Costa)</t>
    </r>
    <r>
      <rPr>
        <rFont val="Arial, sans-serif"/>
        <color rgb="FF1155CC"/>
        <sz val="11.0"/>
        <u/>
      </rPr>
      <t>José Álvarez ha sido el encargado de recomendar, para la provincia de Almería, qué establecimientos son merecedores de hacerse con un Solete de Repsol.</t>
    </r>
    <r>
      <rPr>
        <rFont val="Arial, sans-serif"/>
        <color rgb="FF1155CC"/>
        <sz val="12.0"/>
        <u/>
      </rPr>
      <t>.</t>
    </r>
    <r>
      <rPr>
        <rFont val="Arial, sans-serif"/>
        <color rgb="FF1155CC"/>
        <sz val="11.0"/>
        <u/>
      </rPr>
      <t>26 jun 2024</t>
    </r>
  </si>
  <si>
    <t>La Voz de Almería</t>
  </si>
  <si>
    <t>Almería gana 9 Soletes Repsol nuevos (recomendados por el chef de La Costa)</t>
  </si>
  <si>
    <t>José Álvarez ha sido el encargado de recomendar, para la provincia de Almería, qué establecimientos son merecedores de hacerse con un Solete de Repsol.</t>
  </si>
  <si>
    <t>Almería wins 9 new Repsol Soletes (recommended by the chef of La Costa)</t>
  </si>
  <si>
    <t>José Álvarez has been in charge of recommending, for the province of Almería, which establishments are worthy of obtaining a Repsol Solete.</t>
  </si>
  <si>
    <r>
      <rPr>
        <rFont val="Arial, sans-serif"/>
        <color rgb="FF1155CC"/>
        <sz val="9.0"/>
        <u/>
      </rPr>
      <t>Ayuntamiento de Lorca</t>
    </r>
    <r>
      <rPr>
        <rFont val="Arial, sans-serif"/>
        <color rgb="FF1155CC"/>
        <sz val="15.0"/>
        <u/>
      </rPr>
      <t>Restaurante Mirrín y Casa Mercedes, los dos nuevos Soletes de la Guía Repsol en Lorca</t>
    </r>
    <r>
      <rPr>
        <rFont val="Arial, sans-serif"/>
        <color rgb="FF1155CC"/>
        <sz val="11.0"/>
        <u/>
      </rPr>
      <t>La edil de Hostelería, Mayte Martínez, ha felicitado a los chefs y a los equipos de estos restaurantes por obtener esta prestigiosa distinción que...</t>
    </r>
    <r>
      <rPr>
        <rFont val="Arial, sans-serif"/>
        <color rgb="FF1155CC"/>
        <sz val="12.0"/>
        <u/>
      </rPr>
      <t>.</t>
    </r>
    <r>
      <rPr>
        <rFont val="Arial, sans-serif"/>
        <color rgb="FF1155CC"/>
        <sz val="11.0"/>
        <u/>
      </rPr>
      <t>26 jun 2024</t>
    </r>
  </si>
  <si>
    <t>Ayuntamiento de Lorca</t>
  </si>
  <si>
    <t>Restaurante Mirrín y Casa Mercedes, los dos nuevos Soletes de la Guía Repsol en Lorca</t>
  </si>
  <si>
    <t>La edil de Hostelería, Mayte Martínez, ha felicitado a los chefs y a los equipos de estos restaurantes por obtener esta prestigiosa distinción que....</t>
  </si>
  <si>
    <t>Mirrín Restaurant and Casa Mercedes, the two new Soletes of the Repsol Guide in Lorca</t>
  </si>
  <si>
    <t>The mayor of Hospitality, Mayte Martínez, has congratulated the chefs and teams of these restaurants for obtaining this prestigious distinction that...</t>
  </si>
  <si>
    <r>
      <rPr>
        <rFont val="Arial, sans-serif"/>
        <color rgb="FF1155CC"/>
        <sz val="9.0"/>
        <u/>
      </rPr>
      <t>El Español</t>
    </r>
    <r>
      <rPr>
        <rFont val="Arial, sans-serif"/>
        <color rgb="FF1155CC"/>
        <sz val="15.0"/>
        <u/>
      </rPr>
      <t>Seis locales de la provincia de Ciudad Real logran un Solete Repsol: buenos y baratos</t>
    </r>
    <r>
      <rPr>
        <rFont val="Arial, sans-serif"/>
        <color rgb="FF1155CC"/>
        <sz val="11.0"/>
        <u/>
      </rPr>
      <t>La Guía Repsol ha otorgado 750 reconocimientos a aquellos establecimientos hosteleros del país que merecen una visita.</t>
    </r>
    <r>
      <rPr>
        <rFont val="Arial, sans-serif"/>
        <color rgb="FF1155CC"/>
        <sz val="12.0"/>
        <u/>
      </rPr>
      <t>.</t>
    </r>
    <r>
      <rPr>
        <rFont val="Arial, sans-serif"/>
        <color rgb="FF1155CC"/>
        <sz val="11.0"/>
        <u/>
      </rPr>
      <t>26 jun 2024</t>
    </r>
  </si>
  <si>
    <t>Seis locales de la provincia de Ciudad Real logran un Solete Repsol: buenos y baratos</t>
  </si>
  <si>
    <t>La Guía Repsol ha otorgado 750 reconocimientos a aquellos establecimientos hosteleros del país que merecen una visita.</t>
  </si>
  <si>
    <t>Six establishments in the province of Ciudad Real achieve a Solete Repsol: good and cheap</t>
  </si>
  <si>
    <t>The Repsol Guide has awarded 750 recognitions to those hospitality establishments in the country that deserve a visit.</t>
  </si>
  <si>
    <r>
      <rPr>
        <rFont val="Arial, sans-serif"/>
        <color rgb="FF1155CC"/>
        <sz val="9.0"/>
        <u/>
      </rPr>
      <t>El Español</t>
    </r>
    <r>
      <rPr>
        <rFont val="Arial, sans-serif"/>
        <color rgb="FF1155CC"/>
        <sz val="15.0"/>
        <u/>
      </rPr>
      <t>Los nuevos restaurantes de Madrid con un solete Repsol: las pizzerías y kebabs favoritos de los grandes chefs</t>
    </r>
    <r>
      <rPr>
        <rFont val="Arial, sans-serif"/>
        <color rgb="FF1155CC"/>
        <sz val="11.0"/>
        <u/>
      </rPr>
      <t>Chefs famosos desvelan en la gala de entrega de soletes de la Guía Repsol sus restaurantes y establecimientos de confianza para visitar este verano.</t>
    </r>
    <r>
      <rPr>
        <rFont val="Arial, sans-serif"/>
        <color rgb="FF1155CC"/>
        <sz val="12.0"/>
        <u/>
      </rPr>
      <t>.</t>
    </r>
    <r>
      <rPr>
        <rFont val="Arial, sans-serif"/>
        <color rgb="FF1155CC"/>
        <sz val="11.0"/>
        <u/>
      </rPr>
      <t>26 jun 2024</t>
    </r>
  </si>
  <si>
    <t>Los nuevos restaurantes de Madrid con un solete Repsol: las pizzerías y kebabs favoritos de los grandes chefs</t>
  </si>
  <si>
    <t>Chefs famosos desvelan en la gala de entrega de soletes de la Guía Repsol sus restaurantes y establecimientos de confianza para visitar este verano.</t>
  </si>
  <si>
    <t>The new restaurants in Madrid with a Repsol sole: the favorite pizzerias and kebabs of the great chefs</t>
  </si>
  <si>
    <t>Famous chefs reveal their trusted restaurants and establishments to visit this summer at the Repsol Guide's soletes gala.</t>
  </si>
  <si>
    <r>
      <rPr>
        <rFont val="Arial, sans-serif"/>
        <color rgb="FF1155CC"/>
        <sz val="9.0"/>
        <u/>
      </rPr>
      <t>GranadaDigital</t>
    </r>
    <r>
      <rPr>
        <rFont val="Arial, sans-serif"/>
        <color rgb="FF1155CC"/>
        <sz val="15.0"/>
        <u/>
      </rPr>
      <t>Granada tiene nueve nuevos Soletes de la Guía Repsol para este verano 2024</t>
    </r>
    <r>
      <rPr>
        <rFont val="Arial, sans-serif"/>
        <color rgb="FF1155CC"/>
        <sz val="11.0"/>
        <u/>
      </rPr>
      <t>La Guía Repsol ha otorgado sus nuevos Soletes, una distinción que reconoce a establecimientos de todo tipo más allá de los restaurantes, para este verano...</t>
    </r>
    <r>
      <rPr>
        <rFont val="Arial, sans-serif"/>
        <color rgb="FF1155CC"/>
        <sz val="12.0"/>
        <u/>
      </rPr>
      <t>.</t>
    </r>
    <r>
      <rPr>
        <rFont val="Arial, sans-serif"/>
        <color rgb="FF1155CC"/>
        <sz val="11.0"/>
        <u/>
      </rPr>
      <t>26 jun 2024</t>
    </r>
  </si>
  <si>
    <t>GranadaDigital</t>
  </si>
  <si>
    <t>Granada tiene nueve nuevos Soletes de la Guía Repsol para este verano 2024</t>
  </si>
  <si>
    <t>La Guía Repsol ha otorgado sus nuevos Soletes, una distinción que reconoce a establecimientos de todo tipo más allá de los restaurantes, para este verano....</t>
  </si>
  <si>
    <t>Granada has nine new Solets from the Repsol Guide for this summer 2024</t>
  </si>
  <si>
    <t>The Repsol Guide has awarded its new Soletes, a distinction that recognizes establishments of all types beyond restaurants, for this summer....</t>
  </si>
  <si>
    <r>
      <rPr>
        <rFont val="Arial, sans-serif"/>
        <color rgb="FF1155CC"/>
        <sz val="9.0"/>
        <u/>
      </rPr>
      <t>Diari de Tarragona</t>
    </r>
    <r>
      <rPr>
        <rFont val="Arial, sans-serif"/>
        <color rgb="FF1155CC"/>
        <sz val="15.0"/>
        <u/>
      </rPr>
      <t>Los 15 establecimientos de Tarragona que ganan un Solete Repsol</t>
    </r>
    <r>
      <rPr>
        <rFont val="Arial, sans-serif"/>
        <color rgb="FF1155CC"/>
        <sz val="11.0"/>
        <u/>
      </rPr>
      <t>La Guía Repsol ha lanzado una nueva edición de sus Soletes, aquellos establecimientos más destacados para los reconocidos chefs de todo el estado. Est...</t>
    </r>
    <r>
      <rPr>
        <rFont val="Arial, sans-serif"/>
        <color rgb="FF1155CC"/>
        <sz val="12.0"/>
        <u/>
      </rPr>
      <t>.</t>
    </r>
    <r>
      <rPr>
        <rFont val="Arial, sans-serif"/>
        <color rgb="FF1155CC"/>
        <sz val="11.0"/>
        <u/>
      </rPr>
      <t>26 jun 2024</t>
    </r>
  </si>
  <si>
    <t>Los 15 establecimientos de Tarragona que ganan un Solete Repsol</t>
  </si>
  <si>
    <t>La Guía Repsol ha lanzado una nueva edición de sus Soletes, aquellos establecimientos más destacados para los reconocidos chefs de todo el estado. Est....</t>
  </si>
  <si>
    <t>The 15 establishments in Tarragona that win a Solete Repsol</t>
  </si>
  <si>
    <t>The Repsol Guide has launched a new edition of its Soletes, the most outstanding establishments for renowned chefs from across the state. This...</t>
  </si>
  <si>
    <r>
      <rPr>
        <rFont val="Arial, sans-serif"/>
        <color rgb="FF1155CC"/>
        <sz val="9.0"/>
        <u/>
      </rPr>
      <t>Diario de Jerez</t>
    </r>
    <r>
      <rPr>
        <rFont val="Arial, sans-serif"/>
        <color rgb="FF1155CC"/>
        <sz val="15.0"/>
        <u/>
      </rPr>
      <t>Cocineros de la Guía Repsol recomiendan 'El Espartero' en Jerez</t>
    </r>
    <r>
      <rPr>
        <rFont val="Arial, sans-serif"/>
        <color rgb="FF1155CC"/>
        <sz val="11.0"/>
        <u/>
      </rPr>
      <t>Establecimientos de Cádiz, Vejer, El Puerto de Santa María, Barbate, Tarifa, Chipiona y Chiclana, también recomendados.</t>
    </r>
    <r>
      <rPr>
        <rFont val="Arial, sans-serif"/>
        <color rgb="FF1155CC"/>
        <sz val="12.0"/>
        <u/>
      </rPr>
      <t>.</t>
    </r>
    <r>
      <rPr>
        <rFont val="Arial, sans-serif"/>
        <color rgb="FF1155CC"/>
        <sz val="11.0"/>
        <u/>
      </rPr>
      <t>26 jun 2024</t>
    </r>
  </si>
  <si>
    <t>Diario de Jerez</t>
  </si>
  <si>
    <t>Cocineros de la Guía Repsol recomiendan 'El Espartero' en Jerez</t>
  </si>
  <si>
    <t>Establecimientos de Cádiz, Vejer, El Puerto de Santa María, Barbate, Tarifa, Chipiona y Chiclana, también recomendados.</t>
  </si>
  <si>
    <t>Chefs from the Repsol Guide recommend 'El Espartero' in Jerez</t>
  </si>
  <si>
    <t>Establishments in Cádiz, Vejer, El Puerto de Santa María, Barbate, Tarifa, Chipiona and Chiclana, also recommended.</t>
  </si>
  <si>
    <r>
      <rPr>
        <rFont val="Arial, sans-serif"/>
        <color rgb="FF1155CC"/>
        <sz val="9.0"/>
        <u/>
      </rPr>
      <t>RTPA</t>
    </r>
    <r>
      <rPr>
        <rFont val="Arial, sans-serif"/>
        <color rgb="FF1155CC"/>
        <sz val="15.0"/>
        <u/>
      </rPr>
      <t>Los cocineros de la Guía Repsol recomiendan 14 establecimientos bajo el sello 'Solete'</t>
    </r>
    <r>
      <rPr>
        <rFont val="Arial, sans-serif"/>
        <color rgb="FF1155CC"/>
        <sz val="11.0"/>
        <u/>
      </rPr>
      <t>La Guía Repsol ha presentado un nuevo listado de 'Solete', establecimientos de confianza y asequibles, recomendados por los cocineros con Soles Guía Repsol.</t>
    </r>
    <r>
      <rPr>
        <rFont val="Arial, sans-serif"/>
        <color rgb="FF1155CC"/>
        <sz val="12.0"/>
        <u/>
      </rPr>
      <t>.</t>
    </r>
    <r>
      <rPr>
        <rFont val="Arial, sans-serif"/>
        <color rgb="FF1155CC"/>
        <sz val="11.0"/>
        <u/>
      </rPr>
      <t>26 jun 2024</t>
    </r>
  </si>
  <si>
    <t>RTPA</t>
  </si>
  <si>
    <t>Los cocineros de la Guía Repsol recomiendan 14 establecimientos bajo el sello 'Solete'</t>
  </si>
  <si>
    <t>La Guía Repsol ha presentado un nuevo listado de 'Solete', establecimientos de confianza y asequibles, recomendados por los cocineros con Soles Guía Repsol.</t>
  </si>
  <si>
    <t>The chefs of the Repsol Guide recommend 14 establishments under the 'Solete' seal</t>
  </si>
  <si>
    <t>The Repsol Guide has presented a new list of 'Solete', trustworthy and affordable establishments, recommended by chefs with Repsol Guide Soles.</t>
  </si>
  <si>
    <r>
      <rPr>
        <rFont val="Arial, sans-serif"/>
        <color rgb="FF1155CC"/>
        <sz val="9.0"/>
        <u/>
      </rPr>
      <t>Infobae</t>
    </r>
    <r>
      <rPr>
        <rFont val="Arial, sans-serif"/>
        <color rgb="FF1155CC"/>
        <sz val="15.0"/>
        <u/>
      </rPr>
      <t>Los mejores chefs españoles eligen sus Soletes Repsol para este verano: bares, terrazas, chiringuitos y heladerías de calidad a buen precio</t>
    </r>
    <r>
      <rPr>
        <rFont val="Arial, sans-serif"/>
        <color rgb="FF1155CC"/>
        <sz val="11.0"/>
        <u/>
      </rPr>
      <t>Grandes chefs como Ángel León, Begoña Rodrigo, Elena Arzak, Joan Roca o Pepe Solla han colaborado con la guía para crear una lista con las recomendaciones...</t>
    </r>
    <r>
      <rPr>
        <rFont val="Arial, sans-serif"/>
        <color rgb="FF1155CC"/>
        <sz val="12.0"/>
        <u/>
      </rPr>
      <t>.</t>
    </r>
    <r>
      <rPr>
        <rFont val="Arial, sans-serif"/>
        <color rgb="FF1155CC"/>
        <sz val="11.0"/>
        <u/>
      </rPr>
      <t>26 jun 2024</t>
    </r>
  </si>
  <si>
    <t>Los mejores chefs españoles eligen sus Soletes Repsol para este verano: bares, terrazas, chiringuitos y heladerías de calidad a buen precio</t>
  </si>
  <si>
    <t>Grandes chefs como Ángel León, Begoña Rodrigo, Elena Arzak, Joan Roca o Pepe Solla han colaborado con la guía para crear una lista con las recomendaciones....</t>
  </si>
  <si>
    <t>The best Spanish chefs choose their Repsol Soletes for this summer: bars, terraces, beach bars and quality ice cream parlors at a good price</t>
  </si>
  <si>
    <t>Great chefs such as Ángel León, Begoña Rodrigo, Elena Arzak, Joan Roca and Pepe Solla have collaborated with the guide to create a list of recommendations....</t>
  </si>
  <si>
    <r>
      <rPr>
        <rFont val="Arial, sans-serif"/>
        <color rgb="FF1155CC"/>
        <sz val="9.0"/>
        <u/>
      </rPr>
      <t>Huelva Información</t>
    </r>
    <r>
      <rPr>
        <rFont val="Arial, sans-serif"/>
        <color rgb="FF1155CC"/>
        <sz val="15.0"/>
        <u/>
      </rPr>
      <t>Estos son los nuevos 'Soletes' de Huelva elegidos por los mejores cocineros de la Guía Repsol</t>
    </r>
    <r>
      <rPr>
        <rFont val="Arial, sans-serif"/>
        <color rgb="FF1155CC"/>
        <sz val="11.0"/>
        <u/>
      </rPr>
      <t>La Guía Repsol ya ha elegido los nuevos bares y restaurantes que recomiendan con 'Soletes' para este verano 2024, y estos son los tres nuevos...</t>
    </r>
    <r>
      <rPr>
        <rFont val="Arial, sans-serif"/>
        <color rgb="FF1155CC"/>
        <sz val="12.0"/>
        <u/>
      </rPr>
      <t>.</t>
    </r>
    <r>
      <rPr>
        <rFont val="Arial, sans-serif"/>
        <color rgb="FF1155CC"/>
        <sz val="11.0"/>
        <u/>
      </rPr>
      <t>26 jun 2024</t>
    </r>
  </si>
  <si>
    <t>Estos son los nuevos 'Soletes' de Huelva elegidos por los mejores cocineros de la Guía Repsol</t>
  </si>
  <si>
    <t>La Guía Repsol ya ha elegido los nuevos bares y restaurantes que recomiendan con 'Soletes' para este verano 2024, y estos son los tres nuevos....</t>
  </si>
  <si>
    <t>These are the new 'Soletes' of Huelva chosen by the best chefs in the Repsol Guide</t>
  </si>
  <si>
    <t>The Repsol Guide has already chosen the new bars and restaurants that they recommend with 'Soletes' for this summer 2024, and these are the three new ones...</t>
  </si>
  <si>
    <r>
      <rPr>
        <rFont val="Arial, sans-serif"/>
        <color rgb="FF1155CC"/>
        <sz val="9.0"/>
        <u/>
      </rPr>
      <t>Guía Repsol</t>
    </r>
    <r>
      <rPr>
        <rFont val="Arial, sans-serif"/>
        <color rgb="FF1155CC"/>
        <sz val="15.0"/>
        <u/>
      </rPr>
      <t>Los Soletes favoritos de los grandes cocineros</t>
    </r>
    <r>
      <rPr>
        <rFont val="Arial, sans-serif"/>
        <color rgb="FF1155CC"/>
        <sz val="11.0"/>
        <u/>
      </rPr>
      <t>Para esta edición de Soletes, Guía Repsol también ha seguido los pasos de los cocineros 3 Soles con la intención de conocer sus lugares favoritos. Dónde de.</t>
    </r>
    <r>
      <rPr>
        <rFont val="Arial, sans-serif"/>
        <color rgb="FF1155CC"/>
        <sz val="12.0"/>
        <u/>
      </rPr>
      <t>.</t>
    </r>
    <r>
      <rPr>
        <rFont val="Arial, sans-serif"/>
        <color rgb="FF1155CC"/>
        <sz val="11.0"/>
        <u/>
      </rPr>
      <t>26 jun 2024</t>
    </r>
  </si>
  <si>
    <t>Los Soletes favoritos de los grandes cocineros</t>
  </si>
  <si>
    <t>Para esta edición de Soletes, Guía Repsol también ha seguido los pasos de los cocineros 3 Soles con la intención de conocer sus lugares favoritos. Dónde de..</t>
  </si>
  <si>
    <t>The favorite Soletes of great chefs</t>
  </si>
  <si>
    <t>For this edition of Soletes, Guía Repsol has also followed in the footsteps of the 3 Soles chefs with the intention of getting to know their favorite places. Where...</t>
  </si>
  <si>
    <r>
      <rPr>
        <rFont val="Arial, sans-serif"/>
        <color rgb="FF1155CC"/>
        <sz val="9.0"/>
        <u/>
      </rPr>
      <t>El Mirón de Soria</t>
    </r>
    <r>
      <rPr>
        <rFont val="Arial, sans-serif"/>
        <color rgb="FF1155CC"/>
        <sz val="15.0"/>
        <u/>
      </rPr>
      <t>La Guia Repsol incluye once Soletes de Soria para este verano</t>
    </r>
    <r>
      <rPr>
        <rFont val="Arial, sans-serif"/>
        <color rgb="FF1155CC"/>
        <sz val="11.0"/>
        <u/>
      </rPr>
      <t>La Guia Repsol ha presentado en Lorca (Murcia) más de 750 Soletes donde comen los cocineros. Y entre ellos se encuentran once establecimientos de la...</t>
    </r>
    <r>
      <rPr>
        <rFont val="Arial, sans-serif"/>
        <color rgb="FF1155CC"/>
        <sz val="12.0"/>
        <u/>
      </rPr>
      <t>.</t>
    </r>
    <r>
      <rPr>
        <rFont val="Arial, sans-serif"/>
        <color rgb="FF1155CC"/>
        <sz val="11.0"/>
        <u/>
      </rPr>
      <t>26 jun 2024</t>
    </r>
  </si>
  <si>
    <t>El Mirón de Soria</t>
  </si>
  <si>
    <t>La Guia Repsol incluye once Soletes de Soria para este verano</t>
  </si>
  <si>
    <t>La Guia Repsol ha presentado en Lorca (Murcia) más de 750 Soletes donde comen los cocineros. Y entre ellos se encuentran once establecimientos de la....</t>
  </si>
  <si>
    <t>The Repsol Guide includes eleven Soletes de Soria for this summer</t>
  </si>
  <si>
    <t>The Repsol Guide has presented in Lorca (Murcia) more than 750 Soletes where chefs eat. And among them are eleven establishments of the...</t>
  </si>
  <si>
    <r>
      <rPr>
        <rFont val="Arial, sans-serif"/>
        <color rgb="FF1155CC"/>
        <sz val="9.0"/>
        <u/>
      </rPr>
      <t>Tribuna León</t>
    </r>
    <r>
      <rPr>
        <rFont val="Arial, sans-serif"/>
        <color rgb="FF1155CC"/>
        <sz val="15.0"/>
        <u/>
      </rPr>
      <t>Los nuevos Soletes de la Guía Repsol en León: una hamburguesería, un pub, una confitería gourmet y un gastrobar</t>
    </r>
    <r>
      <rPr>
        <rFont val="Arial, sans-serif"/>
        <color rgb="FF1155CC"/>
        <sz val="11.0"/>
        <u/>
      </rPr>
      <t>Los cocineros galardonados con uno o dos Soles de la Guía Repsol han hecho en esta ocasión la labor de los misteriosos inspectores de la guía gastronómica...</t>
    </r>
    <r>
      <rPr>
        <rFont val="Arial, sans-serif"/>
        <color rgb="FF1155CC"/>
        <sz val="12.0"/>
        <u/>
      </rPr>
      <t>.</t>
    </r>
    <r>
      <rPr>
        <rFont val="Arial, sans-serif"/>
        <color rgb="FF1155CC"/>
        <sz val="11.0"/>
        <u/>
      </rPr>
      <t>26 jun 2024</t>
    </r>
  </si>
  <si>
    <t>Tribuna León</t>
  </si>
  <si>
    <t>Los nuevos Soletes de la Guía Repsol en León: una hamburguesería, un pub, una confitería gourmet y un gastrobar</t>
  </si>
  <si>
    <t>Los cocineros galardonados con uno o dos Soles de la Guía Repsol han hecho en esta ocasión la labor de los misteriosos inspectores de la guía gastronómica....</t>
  </si>
  <si>
    <t>The new Soletes of the Repsol Guide in León: a hamburger restaurant, a pub, a gourmet confectionery and a gastrobar</t>
  </si>
  <si>
    <t>The chefs awarded with one or two Suns from the Repsol Guide have on this occasion done the work of the mysterious inspectors of the gastronomic guide....</t>
  </si>
  <si>
    <r>
      <rPr>
        <rFont val="Arial, sans-serif"/>
        <color rgb="FF1155CC"/>
        <sz val="9.0"/>
        <u/>
      </rPr>
      <t>Málaga Hoy</t>
    </r>
    <r>
      <rPr>
        <rFont val="Arial, sans-serif"/>
        <color rgb="FF1155CC"/>
        <sz val="15.0"/>
        <u/>
      </rPr>
      <t>Bosque Urbano Málaga amplía su batalla judicial: se opone una gasolinera en los terrenos de Repsol</t>
    </r>
    <r>
      <rPr>
        <rFont val="Arial, sans-serif"/>
        <color rgb="FF1155CC"/>
        <sz val="11.0"/>
        <u/>
      </rPr>
      <t>La plataforma ciudadana presenta ante el TSJA un escrito contra la solicitud de la empresa.</t>
    </r>
    <r>
      <rPr>
        <rFont val="Arial, sans-serif"/>
        <color rgb="FF1155CC"/>
        <sz val="12.0"/>
        <u/>
      </rPr>
      <t>.</t>
    </r>
    <r>
      <rPr>
        <rFont val="Arial, sans-serif"/>
        <color rgb="FF1155CC"/>
        <sz val="11.0"/>
        <u/>
      </rPr>
      <t>26 jun 2024</t>
    </r>
  </si>
  <si>
    <t>Bosque Urbano Málaga amplía su batalla judicial: se opone una gasolinera en los terrenos de Repsol</t>
  </si>
  <si>
    <t>La plataforma ciudadana presenta ante el TSJA un escrito contra la solicitud de la empresa.</t>
  </si>
  <si>
    <t>Bosque Urbano Málaga expands its legal battle: a gas station on Repsol land is opposed</t>
  </si>
  <si>
    <t>The citizen platform presents a document to the TSJA against the company's request.</t>
  </si>
  <si>
    <t>Environmental legal disputes do not impact Repsol’s corporate perception.</t>
  </si>
  <si>
    <r>
      <rPr>
        <rFont val="Arial, sans-serif"/>
        <color rgb="FF1155CC"/>
        <sz val="9.0"/>
        <u/>
      </rPr>
      <t>La Voz de Galicia</t>
    </r>
    <r>
      <rPr>
        <rFont val="Arial, sans-serif"/>
        <color rgb="FF1155CC"/>
        <sz val="15.0"/>
        <u/>
      </rPr>
      <t>Chefs de Ourense reconocidos con un Sol Repsol recomiendan sus locales favoritos</t>
    </r>
    <r>
      <rPr>
        <rFont val="Arial, sans-serif"/>
        <color rgb="FF1155CC"/>
        <sz val="11.0"/>
        <u/>
      </rPr>
      <t>Los negocios Atarazana, Puerta Real, Bico de Xeado, Mur Marxinal, Casa Toñita, O Moucho y O Barallete suman nuevos soletes para la provincia.</t>
    </r>
    <r>
      <rPr>
        <rFont val="Arial, sans-serif"/>
        <color rgb="FF1155CC"/>
        <sz val="12.0"/>
        <u/>
      </rPr>
      <t>.</t>
    </r>
    <r>
      <rPr>
        <rFont val="Arial, sans-serif"/>
        <color rgb="FF1155CC"/>
        <sz val="11.0"/>
        <u/>
      </rPr>
      <t>26 jun 2024</t>
    </r>
  </si>
  <si>
    <t>Chefs de Ourense reconocidos con un Sol Repsol recomiendan sus locales favoritos</t>
  </si>
  <si>
    <t>Los negocios Atarazana, Puerta Real, Bico de Xeado, Mur Marxinal, Casa Toñita, O Moucho y O Barallete suman nuevos soletes para la provincia.</t>
  </si>
  <si>
    <t>Chefs from Ourense recognized with a Sol Repsol recommend their favorite places</t>
  </si>
  <si>
    <t>The businesses Atarazana, Puerta Real, Bico de Xeado, Mur Marxinal, Casa Toñita, O Moucho and O Barallete add new sunshine to the province.</t>
  </si>
  <si>
    <r>
      <rPr>
        <rFont val="Arial, sans-serif"/>
        <color rgb="FF1155CC"/>
        <sz val="9.0"/>
        <u/>
      </rPr>
      <t>Diario de Cádiz</t>
    </r>
    <r>
      <rPr>
        <rFont val="Arial, sans-serif"/>
        <color rgb="FF1155CC"/>
        <sz val="15.0"/>
        <u/>
      </rPr>
      <t>Cocineros de la Guía Repsol recomiendan El Adobo, Taberna La Manzanilla, El Limonero y La Colonial en Cádiz</t>
    </r>
    <r>
      <rPr>
        <rFont val="Arial, sans-serif"/>
        <color rgb="FF1155CC"/>
        <sz val="11.0"/>
        <u/>
      </rPr>
      <t>Se trata de sus lugares 'de confianza' en la capital gaditana y otros en la provincia que destacan por su cocina y precios asequibles.</t>
    </r>
    <r>
      <rPr>
        <rFont val="Arial, sans-serif"/>
        <color rgb="FF1155CC"/>
        <sz val="12.0"/>
        <u/>
      </rPr>
      <t>.</t>
    </r>
    <r>
      <rPr>
        <rFont val="Arial, sans-serif"/>
        <color rgb="FF1155CC"/>
        <sz val="11.0"/>
        <u/>
      </rPr>
      <t>26 jun 2024</t>
    </r>
  </si>
  <si>
    <t>Cocineros de la Guía Repsol recomiendan El Adobo, Taberna La Manzanilla, El Limonero y La Colonial en Cádiz</t>
  </si>
  <si>
    <t>Se trata de sus lugares 'de confianza' en la capital gaditana y otros en la provincia que destacan por su cocina y precios asequibles..</t>
  </si>
  <si>
    <t>Chefs from the Repsol Guide recommend El Adobo, Taberna La Manzanilla, El Limonero and La Colonial in Cádiz</t>
  </si>
  <si>
    <t>These are your 'trusted' places in the capital of Cadiz and others in the province that stand out for their cuisine and affordable prices.</t>
  </si>
  <si>
    <r>
      <rPr>
        <rFont val="Arial, sans-serif"/>
        <color rgb="FF1155CC"/>
        <sz val="9.0"/>
        <u/>
      </rPr>
      <t>La Opinión A Coruña</t>
    </r>
    <r>
      <rPr>
        <rFont val="Arial, sans-serif"/>
        <color rgb="FF1155CC"/>
        <sz val="15.0"/>
        <u/>
      </rPr>
      <t>Repsol prepara el desmontaje de sus primeras instalaciones en el puerto interior de A Coruña</t>
    </r>
    <r>
      <rPr>
        <rFont val="Arial, sans-serif"/>
        <color rgb="FF1155CC"/>
        <sz val="11.0"/>
        <u/>
      </rPr>
      <t>Los cargaderos de carbón y azufre serán las primeras instalaciones de Repsol Petróleo situadas en el puerto de A Coruña que se desmantelarán tras el...</t>
    </r>
    <r>
      <rPr>
        <rFont val="Arial, sans-serif"/>
        <color rgb="FF1155CC"/>
        <sz val="12.0"/>
        <u/>
      </rPr>
      <t>.</t>
    </r>
    <r>
      <rPr>
        <rFont val="Arial, sans-serif"/>
        <color rgb="FF1155CC"/>
        <sz val="11.0"/>
        <u/>
      </rPr>
      <t>26 jun 2024</t>
    </r>
  </si>
  <si>
    <t>La Opinión A Coruña</t>
  </si>
  <si>
    <t>Repsol prepara el desmontaje de sus primeras instalaciones en el puerto interior de A Coruña</t>
  </si>
  <si>
    <t>Los cargaderos de carbón y azufre serán las primeras instalaciones de Repsol Petróleo situadas en el puerto de A Coruña que se desmantelarán tras el....</t>
  </si>
  <si>
    <t>Repsol prepares the dismantling of its first facilities in the inner port of A Coruña</t>
  </si>
  <si>
    <t>The coal and sulfur loading docks will be the first Repsol Petróleo facilities located in the port of A Coruña to be dismantled after the...</t>
  </si>
  <si>
    <t>Closing outdated fossil fuel infrastructure aligns with Repsol’s green transition.</t>
  </si>
  <si>
    <t>desmontaje</t>
  </si>
  <si>
    <t>Slight negative due to dismantling of facilities, implying operational downsizing.</t>
  </si>
  <si>
    <t>Ligera negativa por desmantelamiento de instalaciones, lo que implica reducción operativa.</t>
  </si>
  <si>
    <r>
      <rPr>
        <rFont val="Arial, sans-serif"/>
        <color rgb="FF1155CC"/>
        <sz val="9.0"/>
        <u/>
      </rPr>
      <t>El Español</t>
    </r>
    <r>
      <rPr>
        <rFont val="Arial, sans-serif"/>
        <color rgb="FF1155CC"/>
        <sz val="15.0"/>
        <u/>
      </rPr>
      <t>Estos son los diez Soletes de Verano 2024 de la Guía Repsol en el área de Santiago de Compostela</t>
    </r>
    <r>
      <rPr>
        <rFont val="Arial, sans-serif"/>
        <color rgb="FF1155CC"/>
        <sz val="11.0"/>
        <u/>
      </rPr>
      <t>Los Soletes han reconocido terrazas, restaurantes, chiringuitos o heladerías. Galicia cuenta con 47 Soletes, de los cuales diez están en Compostela y en su...</t>
    </r>
    <r>
      <rPr>
        <rFont val="Arial, sans-serif"/>
        <color rgb="FF1155CC"/>
        <sz val="12.0"/>
        <u/>
      </rPr>
      <t>.</t>
    </r>
    <r>
      <rPr>
        <rFont val="Arial, sans-serif"/>
        <color rgb="FF1155CC"/>
        <sz val="11.0"/>
        <u/>
      </rPr>
      <t>26 jun 2024</t>
    </r>
  </si>
  <si>
    <t>Estos son los diez Soletes de Verano 2024 de la Guía Repsol en el área de Santiago de Compostela</t>
  </si>
  <si>
    <t>Los Soletes han reconocido terrazas, restaurantes, chiringuitos o heladerías. Galicia cuenta con 47 Soletes, de los cuales diez están en Compostela y en su....</t>
  </si>
  <si>
    <t>These are the ten 2024 Summer Suns from the Repsol Guide in the Santiago de Compostela area</t>
  </si>
  <si>
    <t>Los Soletes have recognized terraces, restaurants, beach bars or ice cream parlors. Galicia has 47 Soletes, of which ten are in Compostela and its....</t>
  </si>
  <si>
    <r>
      <rPr>
        <rFont val="Arial, sans-serif"/>
        <color rgb="FF1155CC"/>
        <sz val="9.0"/>
        <u/>
      </rPr>
      <t>El Correo</t>
    </r>
    <r>
      <rPr>
        <rFont val="Arial, sans-serif"/>
        <color rgb="FF1155CC"/>
        <sz val="15.0"/>
        <u/>
      </rPr>
      <t>Los 41 bares, cafeterías y restaurantes que son los nuevos 'soletes' vizcaínos</t>
    </r>
    <r>
      <rPr>
        <rFont val="Arial, sans-serif"/>
        <color rgb="FF1155CC"/>
        <sz val="11.0"/>
        <u/>
      </rPr>
      <t>Dónde desayunan, comen o cenan los cocineros más importantes? La Guía Repsol ha preguntado a los mejores chefs vascos y esta es la lista que les ha salido.</t>
    </r>
    <r>
      <rPr>
        <rFont val="Arial, sans-serif"/>
        <color rgb="FF1155CC"/>
        <sz val="12.0"/>
        <u/>
      </rPr>
      <t>.</t>
    </r>
    <r>
      <rPr>
        <rFont val="Arial, sans-serif"/>
        <color rgb="FF1155CC"/>
        <sz val="11.0"/>
        <u/>
      </rPr>
      <t>26 jun 2024</t>
    </r>
  </si>
  <si>
    <t>Los 41 bares, cafeterías y restaurantes que son los nuevos 'soletes' vizcaínos</t>
  </si>
  <si>
    <t>Dónde desayunan, comen o cenan los cocineros más importantes? La Guía Repsol ha preguntado a los mejores chefs vascos y esta es la lista que les ha salido.</t>
  </si>
  <si>
    <t>The 41 bars, cafes and restaurants that are the new Biscayan 'soletes'</t>
  </si>
  <si>
    <t>Where do the most important chefs have breakfast, lunch or dinner? The Repsol Guide has asked the best Basque chefs and this is the list they came up with.</t>
  </si>
  <si>
    <r>
      <rPr>
        <rFont val="Arial, sans-serif"/>
        <color rgb="FF1155CC"/>
        <sz val="9.0"/>
        <u/>
      </rPr>
      <t>Levante-EMV</t>
    </r>
    <r>
      <rPr>
        <rFont val="Arial, sans-serif"/>
        <color rgb="FF1155CC"/>
        <sz val="15.0"/>
        <u/>
      </rPr>
      <t>Estos son los 39 soletes de confianza para disfrutar en la Comunitat Valenciana</t>
    </r>
    <r>
      <rPr>
        <rFont val="Arial, sans-serif"/>
        <color rgb="FF1155CC"/>
        <sz val="11.0"/>
        <u/>
      </rPr>
      <t>Un total de 125 cocineros del universo Guía Repsol han recomendado más de 750 locales para disfrutar de la mejor gastronomía durante este verano.</t>
    </r>
    <r>
      <rPr>
        <rFont val="Arial, sans-serif"/>
        <color rgb="FF1155CC"/>
        <sz val="12.0"/>
        <u/>
      </rPr>
      <t>.</t>
    </r>
    <r>
      <rPr>
        <rFont val="Arial, sans-serif"/>
        <color rgb="FF1155CC"/>
        <sz val="11.0"/>
        <u/>
      </rPr>
      <t>26 jun 2024</t>
    </r>
  </si>
  <si>
    <t>Estos son los 39 soletes de confianza para disfrutar en la Comunitat Valenciana</t>
  </si>
  <si>
    <t>Un total de 125 cocineros del universo Guía Repsol han recomendado más de 750 locales para disfrutar de la mejor gastronomía durante este verano.</t>
  </si>
  <si>
    <t>These are the 39 trusted soletes to enjoy in the Valencian Community</t>
  </si>
  <si>
    <t>A total of 125 chefs from the Repsol Guide universe have recommended more than 750 places to enjoy the best gastronomy this summer.</t>
  </si>
  <si>
    <r>
      <rPr>
        <rFont val="Arial, sans-serif"/>
        <color rgb="FF1155CC"/>
        <sz val="9.0"/>
        <u/>
      </rPr>
      <t>La Opinión A Coruña</t>
    </r>
    <r>
      <rPr>
        <rFont val="Arial, sans-serif"/>
        <color rgb="FF1155CC"/>
        <sz val="15.0"/>
        <u/>
      </rPr>
      <t>Dos locales del área de A Coruña, entre los nuevos Soletes de Repsol</t>
    </r>
    <r>
      <rPr>
        <rFont val="Arial, sans-serif"/>
        <color rgb="FF1155CC"/>
        <sz val="11.0"/>
        <u/>
      </rPr>
      <t>En 'A Casa Pequena', el furancho que frecuenta Pepe Solla, sólo se sirve el vino que hacen ellos mismos y cuenta con una terraza perfecta para las noches...</t>
    </r>
    <r>
      <rPr>
        <rFont val="Arial, sans-serif"/>
        <color rgb="FF1155CC"/>
        <sz val="12.0"/>
        <u/>
      </rPr>
      <t>.</t>
    </r>
    <r>
      <rPr>
        <rFont val="Arial, sans-serif"/>
        <color rgb="FF1155CC"/>
        <sz val="11.0"/>
        <u/>
      </rPr>
      <t>26 jun 2024</t>
    </r>
  </si>
  <si>
    <t>Dos locales del área de A Coruña, entre los nuevos Soletes de Repsol</t>
  </si>
  <si>
    <t>En 'A Casa Pequena', el furancho que frecuenta Pepe Solla, sólo se sirve el vino que hacen ellos mismos y cuenta con una terraza perfecta para las noches....</t>
  </si>
  <si>
    <t>Two stores in the A Coruña area, among the new Repsol Soletes</t>
  </si>
  <si>
    <t>At 'A Casa Pequena', the furancho that Pepe Solla frequents, they only serve the wine they make themselves and it has a terrace perfect for the evenings....</t>
  </si>
  <si>
    <r>
      <rPr>
        <rFont val="Arial, sans-serif"/>
        <color rgb="FF1155CC"/>
        <sz val="9.0"/>
        <u/>
      </rPr>
      <t>Granada Hoy</t>
    </r>
    <r>
      <rPr>
        <rFont val="Arial, sans-serif"/>
        <color rgb="FF1155CC"/>
        <sz val="15.0"/>
        <u/>
      </rPr>
      <t>Aquí come el chef granadino con un Sol Repsol: los bares y restaurantes favoritos de Chechu González</t>
    </r>
    <r>
      <rPr>
        <rFont val="Arial, sans-serif"/>
        <color rgb="FF1155CC"/>
        <sz val="11.0"/>
        <u/>
      </rPr>
      <t>Son los nuevos Soletes Repsol de Granada, los 9 sitios favoritos para comer, tapear, tomar un vino o un helado.</t>
    </r>
    <r>
      <rPr>
        <rFont val="Arial, sans-serif"/>
        <color rgb="FF1155CC"/>
        <sz val="12.0"/>
        <u/>
      </rPr>
      <t>.</t>
    </r>
    <r>
      <rPr>
        <rFont val="Arial, sans-serif"/>
        <color rgb="FF1155CC"/>
        <sz val="11.0"/>
        <u/>
      </rPr>
      <t>26 jun 2024</t>
    </r>
  </si>
  <si>
    <t>Aquí come el chef granadino con un Sol Repsol: los bares y restaurantes favoritos de Chechu González</t>
  </si>
  <si>
    <t>Son los nuevos Soletes Repsol de Granada, los 9 sitios favoritos para comer, tapear, tomar un vino o un helado.</t>
  </si>
  <si>
    <t>Here the chef from Granada eats with a Sol Repsol: Chechu González's favorite bars and restaurants</t>
  </si>
  <si>
    <t>They are the new Repsol Soletes of Granada, the 9 favorite places to eat, have tapas, have a wine or an ice cream.</t>
  </si>
  <si>
    <r>
      <rPr>
        <rFont val="Arial, sans-serif"/>
        <color rgb="FF1155CC"/>
        <sz val="9.0"/>
        <u/>
      </rPr>
      <t>Guía Repsol</t>
    </r>
    <r>
      <rPr>
        <rFont val="Arial, sans-serif"/>
        <color rgb="FF1155CC"/>
        <sz val="15.0"/>
        <u/>
      </rPr>
      <t>Heladería 'Mito': el gelato italiano, en Sevilla, es una maravilla</t>
    </r>
    <r>
      <rPr>
        <rFont val="Arial, sans-serif"/>
        <color rgb="FF1155CC"/>
        <sz val="11.0"/>
        <u/>
      </rPr>
      <t>El talento y buen hacer de Giuseppe Di Bella lleva más de tres años conquistando a sevillanos y visitantes desde la Heladería Mito, de esencia florentina,...</t>
    </r>
    <r>
      <rPr>
        <rFont val="Arial, sans-serif"/>
        <color rgb="FF1155CC"/>
        <sz val="12.0"/>
        <u/>
      </rPr>
      <t>.</t>
    </r>
    <r>
      <rPr>
        <rFont val="Arial, sans-serif"/>
        <color rgb="FF1155CC"/>
        <sz val="11.0"/>
        <u/>
      </rPr>
      <t>26 jun 2024</t>
    </r>
  </si>
  <si>
    <t>Heladería 'Mito': el gelato italiano, en Sevilla, es una maravilla</t>
  </si>
  <si>
    <t>El talento y buen hacer de Giuseppe Di Bella lleva más de tres años conquistando a sevillanos y visitantes desde la Heladería Mito, de esencia florentina,....</t>
  </si>
  <si>
    <t>'Mito' ice cream parlor: the Italian gelato, in Seville, is wonderful</t>
  </si>
  <si>
    <t>The talent and good work of Giuseppe Di Bella has been conquering Sevillians and visitors for more than three years from the Heladería Mito, with a Florentine essence....</t>
  </si>
  <si>
    <r>
      <rPr>
        <rFont val="Arial, sans-serif"/>
        <color rgb="FF1155CC"/>
        <sz val="9.0"/>
        <u/>
      </rPr>
      <t>Info León</t>
    </r>
    <r>
      <rPr>
        <rFont val="Arial, sans-serif"/>
        <color rgb="FF1155CC"/>
        <sz val="15.0"/>
        <u/>
      </rPr>
      <t>León tendrá cuatro nuevos restaurantes con Solete Repsol para este verano</t>
    </r>
    <r>
      <rPr>
        <rFont val="Arial, sans-serif"/>
        <color rgb="FF1155CC"/>
        <sz val="11.0"/>
        <u/>
      </rPr>
      <t>El verano es una de las temporadas en las que leoneses y visitantes más disfrutan de la gastronomía de la capital. En este sentido, León ha vuelto a amplia.</t>
    </r>
    <r>
      <rPr>
        <rFont val="Arial, sans-serif"/>
        <color rgb="FF1155CC"/>
        <sz val="12.0"/>
        <u/>
      </rPr>
      <t>.</t>
    </r>
    <r>
      <rPr>
        <rFont val="Arial, sans-serif"/>
        <color rgb="FF1155CC"/>
        <sz val="11.0"/>
        <u/>
      </rPr>
      <t>26 jun 2024</t>
    </r>
  </si>
  <si>
    <t>León tendrá cuatro nuevos restaurantes con Solete Repsol para este verano</t>
  </si>
  <si>
    <t>El verano es una de las temporadas en las que leoneses y visitantes más disfrutan de la gastronomía de la capital. En este sentido, León ha vuelto a ampliar.</t>
  </si>
  <si>
    <t>León will have four new restaurants with Solete Repsol for this summer</t>
  </si>
  <si>
    <t>Summer is one of the seasons in which Leonese and visitors most enjoy the capital's gastronomy. In this sense, León has expanded again.</t>
  </si>
  <si>
    <r>
      <rPr>
        <rFont val="Arial, sans-serif"/>
        <color rgb="FF1155CC"/>
        <sz val="9.0"/>
        <u/>
      </rPr>
      <t>Navarra.com</t>
    </r>
    <r>
      <rPr>
        <rFont val="Arial, sans-serif"/>
        <color rgb="FF1155CC"/>
        <sz val="15.0"/>
        <u/>
      </rPr>
      <t>Los 7 bares y restaurantes de Navarra que se suman a los 'Soletes' de la Guía Repsol</t>
    </r>
    <r>
      <rPr>
        <rFont val="Arial, sans-serif"/>
        <color rgb="FF1155CC"/>
        <sz val="11.0"/>
        <u/>
      </rPr>
      <t>Prestigiosos cocineros de los mejores restaurantes del país han escogido 7 nuevos locales en la Comunidad foral.</t>
    </r>
    <r>
      <rPr>
        <rFont val="Arial, sans-serif"/>
        <color rgb="FF1155CC"/>
        <sz val="12.0"/>
        <u/>
      </rPr>
      <t>.</t>
    </r>
    <r>
      <rPr>
        <rFont val="Arial, sans-serif"/>
        <color rgb="FF1155CC"/>
        <sz val="11.0"/>
        <u/>
      </rPr>
      <t>26 jun 2024</t>
    </r>
  </si>
  <si>
    <t>Los 7 bares y restaurantes de Navarra que se suman a los 'Soletes' de la Guía Repsol</t>
  </si>
  <si>
    <t>Prestigiosos cocineros de los mejores restaurantes del país han escogido 7 nuevos locales en la Comunidad foral.</t>
  </si>
  <si>
    <t>The 7 bars and restaurants in Navarra that are added to the 'Soletes' of the Repsol Guide</t>
  </si>
  <si>
    <t>Prestigious chefs from the best restaurants in the country have chosen 7 new establishments in the Autonomous Community.</t>
  </si>
  <si>
    <r>
      <rPr>
        <rFont val="Arial, sans-serif"/>
        <color rgb="FF1155CC"/>
        <sz val="9.0"/>
        <u/>
      </rPr>
      <t>Hule y Mantel</t>
    </r>
    <r>
      <rPr>
        <rFont val="Arial, sans-serif"/>
        <color rgb="FF1155CC"/>
        <sz val="15.0"/>
        <u/>
      </rPr>
      <t>Las 15 mejores heladerías de España recomendadas por chefs con tres soles Repsol</t>
    </r>
    <r>
      <rPr>
        <rFont val="Arial, sans-serif"/>
        <color rgb="FF1155CC"/>
        <sz val="11.0"/>
        <u/>
      </rPr>
      <t>Repasamos la inmensa lista de los soletes Repsol 2024 para fijarnos en las heladerías favoritas de diversos cocineros que ostentan tres soles Repsol en sus...</t>
    </r>
    <r>
      <rPr>
        <rFont val="Arial, sans-serif"/>
        <color rgb="FF1155CC"/>
        <sz val="12.0"/>
        <u/>
      </rPr>
      <t>.</t>
    </r>
    <r>
      <rPr>
        <rFont val="Arial, sans-serif"/>
        <color rgb="FF1155CC"/>
        <sz val="11.0"/>
        <u/>
      </rPr>
      <t>26 jun 2024</t>
    </r>
  </si>
  <si>
    <t>Las 15 mejores heladerías de España recomendadas por chefs con tres soles Repsol</t>
  </si>
  <si>
    <t>Repasamos la inmensa lista de los soletes Repsol 2024 para fijarnos en las heladerías favoritas de diversos cocineros que ostentan tres soles Repsol en sus....</t>
  </si>
  <si>
    <t>The 15 best ice cream parlors in Spain recommended by chefs with three Repsol soles</t>
  </si>
  <si>
    <t>We review the immense list of Repsol 2024 suns to look at the favorite ice cream parlors of various chefs that boast three Repsol suns on their...</t>
  </si>
  <si>
    <r>
      <rPr>
        <rFont val="Arial, sans-serif"/>
        <color rgb="FF1155CC"/>
        <sz val="9.0"/>
        <u/>
      </rPr>
      <t>infoperiodistas</t>
    </r>
    <r>
      <rPr>
        <rFont val="Arial, sans-serif"/>
        <color rgb="FF1155CC"/>
        <sz val="15.0"/>
        <u/>
      </rPr>
      <t>Juan Navarro ficha por Puentia Comunicación</t>
    </r>
    <r>
      <rPr>
        <rFont val="Arial, sans-serif"/>
        <color rgb="FF1155CC"/>
        <sz val="11.0"/>
        <u/>
      </rPr>
      <t>El ex dircom de Repsol, Juan Navarro, se incorpora a Puentia Comunicación como Aliado senior.</t>
    </r>
    <r>
      <rPr>
        <rFont val="Arial, sans-serif"/>
        <color rgb="FF1155CC"/>
        <sz val="12.0"/>
        <u/>
      </rPr>
      <t>.</t>
    </r>
    <r>
      <rPr>
        <rFont val="Arial, sans-serif"/>
        <color rgb="FF1155CC"/>
        <sz val="11.0"/>
        <u/>
      </rPr>
      <t>26 jun 2024</t>
    </r>
  </si>
  <si>
    <t>Puentia Comunicación</t>
  </si>
  <si>
    <t>Juan Navarro ficha por Puentia Comunicación</t>
  </si>
  <si>
    <t>El ex dircom de Repsol, Juan Navarro, se incorpora a Puentia Comunicación como Aliado senior.</t>
  </si>
  <si>
    <t>Juan Navarro signs for Puentia Comunicación</t>
  </si>
  <si>
    <t>The former director of Repsol, Juan Navarro, joins Puentia Comunicación as a Senior Ally.</t>
  </si>
  <si>
    <r>
      <rPr>
        <rFont val="Arial, sans-serif"/>
        <color rgb="FF1155CC"/>
        <sz val="9.0"/>
        <u/>
      </rPr>
      <t>Metropolitano.gal</t>
    </r>
    <r>
      <rPr>
        <rFont val="Arial, sans-serif"/>
        <color rgb="FF1155CC"/>
        <sz val="15.0"/>
        <u/>
      </rPr>
      <t>Estos son los nuevos "Soletes" de Vigo y su área que ofrecen la mejor experiencia de verano</t>
    </r>
    <r>
      <rPr>
        <rFont val="Arial, sans-serif"/>
        <color rgb="FF1155CC"/>
        <sz val="11.0"/>
        <u/>
      </rPr>
      <t>Estos son los locales de Vigo y su área metropolitana que han recibido un Solete Repsol para este verano de 2024.</t>
    </r>
    <r>
      <rPr>
        <rFont val="Arial, sans-serif"/>
        <color rgb="FF1155CC"/>
        <sz val="12.0"/>
        <u/>
      </rPr>
      <t>.</t>
    </r>
    <r>
      <rPr>
        <rFont val="Arial, sans-serif"/>
        <color rgb="FF1155CC"/>
        <sz val="11.0"/>
        <u/>
      </rPr>
      <t>26 jun 2024</t>
    </r>
  </si>
  <si>
    <t>Estos son los nuevos "Soletes" de Vigo y su área que ofrecen la mejor experiencia de verano</t>
  </si>
  <si>
    <t>Estos son los locales de Vigo y su área metropolitana que han recibido un Solete Repsol para este verano de 2024.</t>
  </si>
  <si>
    <t>These are the new "Soletes" of Vigo and its area that offer the best summer experience</t>
  </si>
  <si>
    <t>These are the stores in Vigo and its metropolitan area that have received a Solete Repsol for this summer of 2024.</t>
  </si>
  <si>
    <r>
      <rPr>
        <rFont val="Arial, sans-serif"/>
        <color rgb="FF1155CC"/>
        <sz val="9.0"/>
        <u/>
      </rPr>
      <t>El Español</t>
    </r>
    <r>
      <rPr>
        <rFont val="Arial, sans-serif"/>
        <color rgb="FF1155CC"/>
        <sz val="15.0"/>
        <u/>
      </rPr>
      <t>Estos son los restaurantes de Málaga a precio asequible recomendados por los chefs en la Guía Repsol</t>
    </r>
    <r>
      <rPr>
        <rFont val="Arial, sans-serif"/>
        <color rgb="FF1155CC"/>
        <sz val="11.0"/>
        <u/>
      </rPr>
      <t>125 cocineros de toda España eligen sus terrazas, chiringuitos, cafeterías, barras, casas de comidas, pastelerías, heladerías, vinotecas y coctelerías...</t>
    </r>
    <r>
      <rPr>
        <rFont val="Arial, sans-serif"/>
        <color rgb="FF1155CC"/>
        <sz val="12.0"/>
        <u/>
      </rPr>
      <t>.</t>
    </r>
    <r>
      <rPr>
        <rFont val="Arial, sans-serif"/>
        <color rgb="FF1155CC"/>
        <sz val="11.0"/>
        <u/>
      </rPr>
      <t>26 jun 2024</t>
    </r>
  </si>
  <si>
    <t>Estos son los restaurantes de Málaga a precio asequible recomendados por los chefs en la Guía Repsol</t>
  </si>
  <si>
    <t>125 cocineros de toda España eligen sus terrazas, chiringuitos, cafeterías, barras, casas de comidas, pastelerías, heladerías, vinotecas y coctelerías.</t>
  </si>
  <si>
    <t>These are the affordable restaurants in Malaga recommended by the chefs in the Repsol Guide</t>
  </si>
  <si>
    <t>125 chefs from all over Spain choose their terraces, beach bars, cafes, bars, restaurants, pastry shops, ice cream parlours, wine bars and cocktail bars.</t>
  </si>
  <si>
    <r>
      <rPr>
        <rFont val="Arial, sans-serif"/>
        <color rgb="FF1155CC"/>
        <sz val="9.0"/>
        <u/>
      </rPr>
      <t>Ideal</t>
    </r>
    <r>
      <rPr>
        <rFont val="Arial, sans-serif"/>
        <color rgb="FF1155CC"/>
        <sz val="15.0"/>
        <u/>
      </rPr>
      <t>Los 9 nuevos Soletes en Granada: de míticos bares a heladerías y casas de comidas</t>
    </r>
    <r>
      <rPr>
        <rFont val="Arial, sans-serif"/>
        <color rgb="FF1155CC"/>
        <sz val="11.0"/>
        <u/>
      </rPr>
      <t>Esta vez, la selección la han hecho 125 cocineros de toda España. En Granada, el elegido ha sido Chechu González, el chef con Sol Repsol de María de la O.</t>
    </r>
    <r>
      <rPr>
        <rFont val="Arial, sans-serif"/>
        <color rgb="FF1155CC"/>
        <sz val="12.0"/>
        <u/>
      </rPr>
      <t>.</t>
    </r>
    <r>
      <rPr>
        <rFont val="Arial, sans-serif"/>
        <color rgb="FF1155CC"/>
        <sz val="11.0"/>
        <u/>
      </rPr>
      <t>26 jun 2024</t>
    </r>
  </si>
  <si>
    <t>Los 9 nuevos Soletes en Granada: de míticos bares a heladerías y casas de comidas</t>
  </si>
  <si>
    <t>Esta vez, la selección la han hecho 125 cocineros de toda España. En Granada, el elegido ha sido Chechu González, el chef con Sol Repsol de María de la O.</t>
  </si>
  <si>
    <t>The 9 new Soletes in Granada: from legendary bars to ice cream parlors and restaurants</t>
  </si>
  <si>
    <t>This time, the selection was made by 125 chefs from all over Spain. In Granada, the chosen one was Chechu González, the chef with Sol Repsol from María de la O.</t>
  </si>
  <si>
    <r>
      <rPr>
        <rFont val="Arial, sans-serif"/>
        <color rgb="FF1155CC"/>
        <sz val="9.0"/>
        <u/>
      </rPr>
      <t>Guía Repsol</t>
    </r>
    <r>
      <rPr>
        <rFont val="Arial, sans-serif"/>
        <color rgb="FF1155CC"/>
        <sz val="15.0"/>
        <u/>
      </rPr>
      <t>Donde comen los cocineros con Soles</t>
    </r>
    <r>
      <rPr>
        <rFont val="Arial, sans-serif"/>
        <color rgb="FF1155CC"/>
        <sz val="11.0"/>
        <u/>
      </rPr>
      <t>Guia Repsol.</t>
    </r>
    <r>
      <rPr>
        <rFont val="Arial, sans-serif"/>
        <color rgb="FF1155CC"/>
        <sz val="12.0"/>
        <u/>
      </rPr>
      <t>.</t>
    </r>
    <r>
      <rPr>
        <rFont val="Arial, sans-serif"/>
        <color rgb="FF1155CC"/>
        <sz val="11.0"/>
        <u/>
      </rPr>
      <t>26 jun 2024</t>
    </r>
  </si>
  <si>
    <t>Donde comen los cocineros con Soles</t>
  </si>
  <si>
    <t>Where chefs eat with Soles</t>
  </si>
  <si>
    <r>
      <rPr>
        <rFont val="Arial, sans-serif"/>
        <color rgb="FF1155CC"/>
        <sz val="9.0"/>
        <u/>
      </rPr>
      <t>Diario de Noticias de Navarra</t>
    </r>
    <r>
      <rPr>
        <rFont val="Arial, sans-serif"/>
        <color rgb="FF1155CC"/>
        <sz val="15.0"/>
        <u/>
      </rPr>
      <t>Los 7 nuevos Soletes de Navarra</t>
    </r>
    <r>
      <rPr>
        <rFont val="Arial, sans-serif"/>
        <color rgb="FF1155CC"/>
        <sz val="11.0"/>
        <u/>
      </rPr>
      <t>Navarra suma 7 Soletes a la Guía Repsol, sumando un total de 79. Se trata de un reconocimiento dado a los mesones, asadores, casas de comida o restaurantes...</t>
    </r>
    <r>
      <rPr>
        <rFont val="Arial, sans-serif"/>
        <color rgb="FF1155CC"/>
        <sz val="12.0"/>
        <u/>
      </rPr>
      <t>.</t>
    </r>
    <r>
      <rPr>
        <rFont val="Arial, sans-serif"/>
        <color rgb="FF1155CC"/>
        <sz val="11.0"/>
        <u/>
      </rPr>
      <t>26 jun 2024</t>
    </r>
  </si>
  <si>
    <t>Los 7 nuevos Soletes de Navarra</t>
  </si>
  <si>
    <t>Navarra suma 7 Soletes a la Guía Repsol, sumando un total de 79. Se trata de un reconocimiento dado a los mesones, asadores, casas de comida o restaurantes....</t>
  </si>
  <si>
    <t>The 7 new Soletes of Navarra</t>
  </si>
  <si>
    <t>Navarra adds 7 Soletes to the Repsol Guide, making a total of 79. This is a recognition given to inns, grills, food houses or restaurants...</t>
  </si>
  <si>
    <r>
      <rPr>
        <rFont val="Arial, sans-serif"/>
        <color rgb="FF1155CC"/>
        <sz val="9.0"/>
        <u/>
      </rPr>
      <t>ELLE</t>
    </r>
    <r>
      <rPr>
        <rFont val="Arial, sans-serif"/>
        <color rgb="FF1155CC"/>
        <sz val="15.0"/>
        <u/>
      </rPr>
      <t>Restaurantes buenos, bonitos y baratos que recomiendan los cocineros más famosos para el verano 2024</t>
    </r>
    <r>
      <rPr>
        <rFont val="Arial, sans-serif"/>
        <color rgb="FF1155CC"/>
        <sz val="11.0"/>
        <u/>
      </rPr>
      <t>Listado de restaurantes con Solete Repsol que recomiendan los chefs españoles más famosos, de Begoña Rodrigo a Paco Roncero, Ángel León o Elena Arzak.</t>
    </r>
    <r>
      <rPr>
        <rFont val="Arial, sans-serif"/>
        <color rgb="FF1155CC"/>
        <sz val="12.0"/>
        <u/>
      </rPr>
      <t>.</t>
    </r>
    <r>
      <rPr>
        <rFont val="Arial, sans-serif"/>
        <color rgb="FF1155CC"/>
        <sz val="11.0"/>
        <u/>
      </rPr>
      <t>26 jun 2024</t>
    </r>
  </si>
  <si>
    <t>Restaurantes buenos, bonitos y baratos que recomiendan los cocineros más famosos para el verano 2024</t>
  </si>
  <si>
    <t>Listado de restaurantes con Solete Repsol que recomiendan los chefs españoles más famosos, de Begoña Rodrigo a Paco Roncero, Ángel León o Elena Arzak.</t>
  </si>
  <si>
    <t>Good, beautiful and cheap restaurants recommended by the most famous chefs for summer 2024</t>
  </si>
  <si>
    <t>List of restaurants with Solete Repsol that are recommended by the most famous Spanish chefs, from Begoña Rodrigo to Paco Roncero, Ángel León or Elena Arzak.</t>
  </si>
  <si>
    <r>
      <rPr>
        <rFont val="Arial, sans-serif"/>
        <color rgb="FF1155CC"/>
        <sz val="9.0"/>
        <u/>
      </rPr>
      <t>Deia</t>
    </r>
    <r>
      <rPr>
        <rFont val="Arial, sans-serif"/>
        <color rgb="FF1155CC"/>
        <sz val="15.0"/>
        <u/>
      </rPr>
      <t>Del Víctor Montes al Errota Barri: estos son los 32 nuevos Soletes de Bizkaia</t>
    </r>
    <r>
      <rPr>
        <rFont val="Arial, sans-serif"/>
        <color rgb="FF1155CC"/>
        <sz val="11.0"/>
        <u/>
      </rPr>
      <t>Los cocineros más top del Estado han elaborado una lista con sus bares y restaurantes favoritos en el territorio.</t>
    </r>
    <r>
      <rPr>
        <rFont val="Arial, sans-serif"/>
        <color rgb="FF1155CC"/>
        <sz val="12.0"/>
        <u/>
      </rPr>
      <t>.</t>
    </r>
    <r>
      <rPr>
        <rFont val="Arial, sans-serif"/>
        <color rgb="FF1155CC"/>
        <sz val="11.0"/>
        <u/>
      </rPr>
      <t>26 jun 2024</t>
    </r>
  </si>
  <si>
    <t>Del Víctor Montes al Errota Barri: estos son los 32 nuevos Soletes de Bizkaia</t>
  </si>
  <si>
    <t>Los cocineros más top del Estado han elaborado una lista con sus bares y restaurantes favoritos en el territorio.</t>
  </si>
  <si>
    <t>From Víctor Montes to Errota Barri: these are the 32 new Soletes of Bizkaia</t>
  </si>
  <si>
    <t>The top chefs in the State have drawn up a list of their favorite bars and restaurants in the territory.</t>
  </si>
  <si>
    <r>
      <rPr>
        <rFont val="Arial, sans-serif"/>
        <color rgb="FF1155CC"/>
        <sz val="9.0"/>
        <u/>
      </rPr>
      <t>pontevedraviva</t>
    </r>
    <r>
      <rPr>
        <rFont val="Arial, sans-serif"/>
        <color rgb="FF1155CC"/>
        <sz val="15.0"/>
        <u/>
      </rPr>
      <t>Los 'Soletes' pontevedreses que recomiendan los mejores cocineros de España</t>
    </r>
    <r>
      <rPr>
        <rFont val="Arial, sans-serif"/>
        <color rgb="FF1155CC"/>
        <sz val="11.0"/>
        <u/>
      </rPr>
      <t>Pepe Solla o Javier Olleros forman parte del grupo de 125 cocineros y cocineras de élite que han querido compartir sus cafeterías, bares o restaurantes...</t>
    </r>
    <r>
      <rPr>
        <rFont val="Arial, sans-serif"/>
        <color rgb="FF1155CC"/>
        <sz val="12.0"/>
        <u/>
      </rPr>
      <t>.</t>
    </r>
    <r>
      <rPr>
        <rFont val="Arial, sans-serif"/>
        <color rgb="FF1155CC"/>
        <sz val="11.0"/>
        <u/>
      </rPr>
      <t>26 jun 2024</t>
    </r>
  </si>
  <si>
    <t>pontevedraviva</t>
  </si>
  <si>
    <t>Los 'Soletes' pontevedreses que recomiendan los mejores cocineros de España</t>
  </si>
  <si>
    <t>Los 'Soletes' pontevedreses que recomiendan los mejores cocineros de España. Pepe Solla o Javier Olleros forman parte del grupo de 125 cocineros y cocineras de élite que han querido compartir sus cafeterías, bares o restaurantes....</t>
  </si>
  <si>
    <t>The Pontevedra 'Soletes' recommended by the best chefs in Spain</t>
  </si>
  <si>
    <t>The Pontevedra 'Soletes' recommended by the best chefs in Spain. Pepe Solla or Javier Olleros are part of the group of 125 elite chefs who wanted to share their cafes, bars or restaurants....</t>
  </si>
  <si>
    <r>
      <rPr>
        <rFont val="Arial, sans-serif"/>
        <color rgb="FF1155CC"/>
        <sz val="9.0"/>
        <u/>
      </rPr>
      <t>Gentleman - El valor de la elegancia</t>
    </r>
    <r>
      <rPr>
        <rFont val="Arial, sans-serif"/>
        <color rgb="FF1155CC"/>
        <sz val="15.0"/>
        <u/>
      </rPr>
      <t>Los sitios de confianza de los grandes chefs para comer en España sin gastarse demasiado | Gentleman - El</t>
    </r>
    <r>
      <rPr>
        <rFont val="Arial, sans-serif"/>
        <color rgb="FF1155CC"/>
        <sz val="11.0"/>
        <u/>
      </rPr>
      <t>Ángel León, Begoña Rodrigo, Diego Guerrero o Elena Arzak son algunos de los grandes chefs que han dado a conocer los restaurantes españoles en los que nunca...</t>
    </r>
    <r>
      <rPr>
        <rFont val="Arial, sans-serif"/>
        <color rgb="FF1155CC"/>
        <sz val="12.0"/>
        <u/>
      </rPr>
      <t>.</t>
    </r>
    <r>
      <rPr>
        <rFont val="Arial, sans-serif"/>
        <color rgb="FF1155CC"/>
        <sz val="11.0"/>
        <u/>
      </rPr>
      <t>26 jun 2024</t>
    </r>
  </si>
  <si>
    <t>Gentleman</t>
  </si>
  <si>
    <t>Los sitios de confianza de los grandes chefs para comer en España sin gastarse demasiado</t>
  </si>
  <si>
    <t>Los sitios de confianza de los grandes chefs para comer en España sin gastarse demasiado.</t>
  </si>
  <si>
    <t>The trusted places of the great chefs to eat in Spain without spending too much</t>
  </si>
  <si>
    <t>The trusted places of the great chefs to eat in Spain without spending too much.</t>
  </si>
  <si>
    <r>
      <rPr>
        <rFont val="Arial, sans-serif"/>
        <color rgb="FF1155CC"/>
        <sz val="9.0"/>
        <u/>
      </rPr>
      <t>El Español</t>
    </r>
    <r>
      <rPr>
        <rFont val="Arial, sans-serif"/>
        <color rgb="FF1155CC"/>
        <sz val="15.0"/>
        <u/>
      </rPr>
      <t>Los cocineros más top de España desvelan sus bares y restaurantes favoritos de Castilla y León para este verano</t>
    </r>
    <r>
      <rPr>
        <rFont val="Arial, sans-serif"/>
        <color rgb="FF1155CC"/>
        <sz val="11.0"/>
        <u/>
      </rPr>
      <t>86 establecimientos con Soletes Repsol entre los que se encuentran bares, restaurantes, cafeterías y hasta heladerías, pastelerías y coctelerías.</t>
    </r>
    <r>
      <rPr>
        <rFont val="Arial, sans-serif"/>
        <color rgb="FF1155CC"/>
        <sz val="12.0"/>
        <u/>
      </rPr>
      <t>.</t>
    </r>
    <r>
      <rPr>
        <rFont val="Arial, sans-serif"/>
        <color rgb="FF1155CC"/>
        <sz val="11.0"/>
        <u/>
      </rPr>
      <t>26 jun 2024</t>
    </r>
  </si>
  <si>
    <t>Los cocineros más top de España desvelan sus bares y restaurantes favoritos de Castilla y León para este verano</t>
  </si>
  <si>
    <t>86 establecimientos con Soletes Repsol entre los que se encuentran bares, restaurantes, cafeterías y hasta heladerías, pastelerías y coctelerías.</t>
  </si>
  <si>
    <t>Spain's top chefs reveal their favorite bars and restaurants in Castilla y León for this summer</t>
  </si>
  <si>
    <t>86 establishments with Repsol Soletes, including bars, restaurants, cafes and even ice cream parlors, pastry shops and cocktail bars.</t>
  </si>
  <si>
    <r>
      <rPr>
        <rFont val="Arial, sans-serif"/>
        <color rgb="FF1155CC"/>
        <sz val="9.0"/>
        <u/>
      </rPr>
      <t>Directo al Paladar</t>
    </r>
    <r>
      <rPr>
        <rFont val="Arial, sans-serif"/>
        <color rgb="FF1155CC"/>
        <sz val="15.0"/>
        <u/>
      </rPr>
      <t>Este es el restaurante favorito de Ángel León en El Puerto de Santa María para comer pescadito frito</t>
    </r>
    <r>
      <rPr>
        <rFont val="Arial, sans-serif"/>
        <color rgb="FF1155CC"/>
        <sz val="11.0"/>
        <u/>
      </rPr>
      <t>El chef de Aponiente elige sus preferidos en la localidad gaditana con motivo de la concesión de los nuevos Soletes de la Guía Repsol.</t>
    </r>
    <r>
      <rPr>
        <rFont val="Arial, sans-serif"/>
        <color rgb="FF1155CC"/>
        <sz val="12.0"/>
        <u/>
      </rPr>
      <t>.</t>
    </r>
    <r>
      <rPr>
        <rFont val="Arial, sans-serif"/>
        <color rgb="FF1155CC"/>
        <sz val="11.0"/>
        <u/>
      </rPr>
      <t>26 jun 2024</t>
    </r>
  </si>
  <si>
    <t>Directo al Paladar</t>
  </si>
  <si>
    <t>Este es el restaurante favorito de Ángel León en El Puerto de Santa María para comer pescadito frito</t>
  </si>
  <si>
    <t>El chef de Aponiente elige sus preferidos en la localidad gaditana con motivo de la concesión de los nuevos Soletes de la Guía Repsol.</t>
  </si>
  <si>
    <t>This is Ángel León's favorite restaurant in El Puerto de Santa María to eat fried fish</t>
  </si>
  <si>
    <t>The Aponiente chef chooses his favorites in the Cadiz town on the occasion of the awarding of the new Repsol Guide Soletes.</t>
  </si>
  <si>
    <r>
      <rPr>
        <rFont val="Arial, sans-serif"/>
        <color rgb="FF1155CC"/>
        <sz val="9.0"/>
        <u/>
      </rPr>
      <t>El Español</t>
    </r>
    <r>
      <rPr>
        <rFont val="Arial, sans-serif"/>
        <color rgb="FF1155CC"/>
        <sz val="15.0"/>
        <u/>
      </rPr>
      <t>El chiringuito de la playa de Valencia donde desayuna la chef Begoña Rodrigo y que recomienda para este verano</t>
    </r>
    <r>
      <rPr>
        <rFont val="Arial, sans-serif"/>
        <color rgb="FF1155CC"/>
        <sz val="11.0"/>
        <u/>
      </rPr>
      <t>La Guía Repsol publica un listado con los 'Soletes' recomendados por los mejores cocineros de España. Hay 39 locales valencianos.</t>
    </r>
    <r>
      <rPr>
        <rFont val="Arial, sans-serif"/>
        <color rgb="FF1155CC"/>
        <sz val="12.0"/>
        <u/>
      </rPr>
      <t>.</t>
    </r>
    <r>
      <rPr>
        <rFont val="Arial, sans-serif"/>
        <color rgb="FF1155CC"/>
        <sz val="11.0"/>
        <u/>
      </rPr>
      <t>26 jun 2024</t>
    </r>
  </si>
  <si>
    <t>El chiringuito de la playa de Valencia donde desayuna la chef Begoña Rodrigo y que recomienda para este verano</t>
  </si>
  <si>
    <t>La Guía Repsol publica un listado con los 'Soletes' recomendados por los mejores cocineros de España. Hay 39 locales valencianos.</t>
  </si>
  <si>
    <t>The beach bar in Valencia where chef Begoña Rodrigo has breakfast and what she recommends for this summer</t>
  </si>
  <si>
    <t>The Repsol Guide publishes a list with the 'Soletes' recommended by the best chefs in Spain. There are 39 Valencian stores.</t>
  </si>
  <si>
    <r>
      <rPr>
        <rFont val="Arial, sans-serif"/>
        <color rgb="FF1155CC"/>
        <sz val="9.0"/>
        <u/>
      </rPr>
      <t>Desde Adentro</t>
    </r>
    <r>
      <rPr>
        <rFont val="Arial, sans-serif"/>
        <color rgb="FF1155CC"/>
        <sz val="15.0"/>
        <u/>
      </rPr>
      <t>Repsol inaugura su primera electrolinera en el Perú</t>
    </r>
    <r>
      <rPr>
        <rFont val="Arial, sans-serif"/>
        <color rgb="FF1155CC"/>
        <sz val="11.0"/>
        <u/>
      </rPr>
      <t>La estación de Repsol para vehículos eléctricos, ubicada en San Isidro, permite recargas más rápidas.</t>
    </r>
    <r>
      <rPr>
        <rFont val="Arial, sans-serif"/>
        <color rgb="FF1155CC"/>
        <sz val="12.0"/>
        <u/>
      </rPr>
      <t>.</t>
    </r>
    <r>
      <rPr>
        <rFont val="Arial, sans-serif"/>
        <color rgb="FF1155CC"/>
        <sz val="11.0"/>
        <u/>
      </rPr>
      <t>26 jun 2024</t>
    </r>
  </si>
  <si>
    <t>Repsol inaugura su primera electrolinera en el Perú</t>
  </si>
  <si>
    <t>La estación de Repsol para vehículos eléctricos, ubicada en San Isidro, permite recargas más rápidas.</t>
  </si>
  <si>
    <t>Repsol inaugurates its first electric station in Peru</t>
  </si>
  <si>
    <t>The Repsol station for electric vehicles, located in San Isidro, allows faster charging.</t>
  </si>
  <si>
    <t>Repsol electric mobility, sustainability initiative</t>
  </si>
  <si>
    <t>Movilidad eléctrica Repsol, iniciativa de sostenibilidad</t>
  </si>
  <si>
    <t>Expanding solar-powered charging stations supports Repsol’s clean energy transition.</t>
  </si>
  <si>
    <t>inaugura, electrolinera</t>
  </si>
  <si>
    <t>Highly positive for Repsol’s sustainable energy expansion.</t>
  </si>
  <si>
    <t>Altamente positivo para la expansión energética sostenible de Repsol.</t>
  </si>
  <si>
    <r>
      <rPr>
        <rFont val="Arial, sans-serif"/>
        <color rgb="FF1155CC"/>
        <sz val="9.0"/>
        <u/>
      </rPr>
      <t>Gestión</t>
    </r>
    <r>
      <rPr>
        <rFont val="Arial, sans-serif"/>
        <color rgb="FF1155CC"/>
        <sz val="15.0"/>
        <u/>
      </rPr>
      <t>Repsol abre su primera electrolinera con S/300,000 de inversión: ¿dónde se ubica?</t>
    </r>
    <r>
      <rPr>
        <rFont val="Arial, sans-serif"/>
        <color rgb="FF1155CC"/>
        <sz val="11.0"/>
        <u/>
      </rPr>
      <t>Electrolinera de Repsol tiene una capacidad de 60 kilovatios hora (kW), con un tiempo de recarga que oscila entre 20 y 40 minutos, tiempo menor en relación...</t>
    </r>
    <r>
      <rPr>
        <rFont val="Arial, sans-serif"/>
        <color rgb="FF1155CC"/>
        <sz val="12.0"/>
        <u/>
      </rPr>
      <t>.</t>
    </r>
    <r>
      <rPr>
        <rFont val="Arial, sans-serif"/>
        <color rgb="FF1155CC"/>
        <sz val="11.0"/>
        <u/>
      </rPr>
      <t>26 jun 2024</t>
    </r>
  </si>
  <si>
    <t>Repsol abre su primera electrolinera con S/300,000 de inversión: ¿dónde se ubica?</t>
  </si>
  <si>
    <t>Electrolinera de Repsol tiene una capacidad de 60 kilovatios hora (kW), con un tiempo de recarga que oscila entre 20 y 40 minutos, tiempo menor en relación....</t>
  </si>
  <si>
    <t>Repsol opens its first electric station with S/300,000 investment: where is it located?</t>
  </si>
  <si>
    <t>Repsol's Electrolinera has a capacity of 60 kilowatt hours (kW), with a recharge time that ranges between 20 and 40 minutes, a shorter time in relation to...</t>
  </si>
  <si>
    <t>Strengthening EV charging infrastructure enhances Repsol’s clean energy strategy.</t>
  </si>
  <si>
    <t>electrolinera, inversión</t>
  </si>
  <si>
    <t>Highlights Repsol’s commitment to EV infrastructure.</t>
  </si>
  <si>
    <t>Destaca la apuesta de Repsol por las infraestructuras del VE.</t>
  </si>
  <si>
    <r>
      <rPr>
        <rFont val="Arial, sans-serif"/>
        <color rgb="FF1155CC"/>
        <sz val="9.0"/>
        <u/>
      </rPr>
      <t>Agencia Peruana de Noticias | ANDINA</t>
    </r>
    <r>
      <rPr>
        <rFont val="Arial, sans-serif"/>
        <color rgb="FF1155CC"/>
        <sz val="15.0"/>
        <u/>
      </rPr>
      <t>Autos eléctricos: inauguran nueva electrolinera que permitirá recargas rápidas</t>
    </r>
    <r>
      <rPr>
        <rFont val="Arial, sans-serif"/>
        <color rgb="FF1155CC"/>
        <sz val="11.0"/>
        <u/>
      </rPr>
      <t>La cadena Repsol inauguró su primera estación de carga para vehículos eléctricos en Perú, ubicada en San Isidro (esquina de las avenidas Guardia Civil y...</t>
    </r>
    <r>
      <rPr>
        <rFont val="Arial, sans-serif"/>
        <color rgb="FF1155CC"/>
        <sz val="12.0"/>
        <u/>
      </rPr>
      <t>.</t>
    </r>
    <r>
      <rPr>
        <rFont val="Arial, sans-serif"/>
        <color rgb="FF1155CC"/>
        <sz val="11.0"/>
        <u/>
      </rPr>
      <t>26 jun 2024</t>
    </r>
  </si>
  <si>
    <t>Agencia Peruana de Noticias</t>
  </si>
  <si>
    <t>Autos eléctricos: inauguran nueva electrolinera que permitirá recargas rápidas</t>
  </si>
  <si>
    <t>La cadena Repsol inauguró su primera estación de carga para vehículos eléctricos en Perú, ubicada en San Isidro (esquina de las avenidas Guardia Civil y....</t>
  </si>
  <si>
    <t>Electric cars: new electric station inaugurated that will allow quick recharges</t>
  </si>
  <si>
    <t>The Repsol chain inaugurated its first charging station for electric vehicles in Peru, located in San Isidro (corner of Guardia Civil and... avenues).</t>
  </si>
  <si>
    <t>Expanding green energy infrastructure aligns with Repsol’s renewable goals.</t>
  </si>
  <si>
    <t>electrolinera, recargas rápidas</t>
  </si>
  <si>
    <t>Positive for Repsol’s innovation in renewable energy.</t>
  </si>
  <si>
    <t>Positivo para la innovación de Repsol en energías renovables.</t>
  </si>
  <si>
    <r>
      <rPr>
        <rFont val="Arial, sans-serif"/>
        <color rgb="FF1155CC"/>
        <sz val="9.0"/>
        <u/>
      </rPr>
      <t>La República</t>
    </r>
    <r>
      <rPr>
        <rFont val="Arial, sans-serif"/>
        <color rgb="FF1155CC"/>
        <sz val="15.0"/>
        <u/>
      </rPr>
      <t>Repsol inaugura una nueva estación de carga para autos eléctricos en Lima, ¿dónde queda?</t>
    </r>
    <r>
      <rPr>
        <rFont val="Arial, sans-serif"/>
        <color rgb="FF1155CC"/>
        <sz val="11.0"/>
        <u/>
      </rPr>
      <t>Se podrán cargar hasta dos vehículos al mismo tiempo, en un lapso de 20 a 40 minutos cada uno. Este tiempo es significativamente menor en comparación con...</t>
    </r>
    <r>
      <rPr>
        <rFont val="Arial, sans-serif"/>
        <color rgb="FF1155CC"/>
        <sz val="12.0"/>
        <u/>
      </rPr>
      <t>.</t>
    </r>
    <r>
      <rPr>
        <rFont val="Arial, sans-serif"/>
        <color rgb="FF1155CC"/>
        <sz val="11.0"/>
        <u/>
      </rPr>
      <t>26 jun 2024</t>
    </r>
  </si>
  <si>
    <t>Repsol inaugura una nueva estación de carga para autos eléctricos en Lima, ¿dónde queda?</t>
  </si>
  <si>
    <t>Se podrán cargar hasta dos vehículos al mismo tiempo, en un lapso de 20 a 40 minutos cada uno. Este tiempo es significativamente menor en comparación con....</t>
  </si>
  <si>
    <t>Repsol inaugurates a new charging station for electric cars in Lima, where is it?</t>
  </si>
  <si>
    <t>Up to two vehicles can be charged at the same time, in a period of 20 to 40 minutes each. This time is significantly less compared to….</t>
  </si>
  <si>
    <t>Strengthening EV charging networks supports Repsol’s energy transition strategy.</t>
  </si>
  <si>
    <t>inaugura, carga eléctrica</t>
  </si>
  <si>
    <t>Reinforces Repsol’s leadership in sustainable mobility.</t>
  </si>
  <si>
    <t>Refuerza el liderazgo de Repsol en movilidad sostenible.</t>
  </si>
  <si>
    <r>
      <rPr>
        <rFont val="Arial, sans-serif"/>
        <color rgb="FF1155CC"/>
        <sz val="9.0"/>
        <u/>
      </rPr>
      <t>El Confidencial</t>
    </r>
    <r>
      <rPr>
        <rFont val="Arial, sans-serif"/>
        <color rgb="FF1155CC"/>
        <sz val="15.0"/>
        <u/>
      </rPr>
      <t>De las expropiaciones de Evo Morales a los 500 M de Repsol: la frágil huella española en Bolivia</t>
    </r>
    <r>
      <rPr>
        <rFont val="Arial, sans-serif"/>
        <color rgb="FF1155CC"/>
        <sz val="11.0"/>
        <u/>
      </rPr>
      <t>Desde que entre 2012 y 2013 el expresidente Evo Morales expropiase a AENA y Abertis la gestión de los aeropuertos, la presencia del Ibex 35 en el país está...</t>
    </r>
    <r>
      <rPr>
        <rFont val="Arial, sans-serif"/>
        <color rgb="FF1155CC"/>
        <sz val="12.0"/>
        <u/>
      </rPr>
      <t>.</t>
    </r>
    <r>
      <rPr>
        <rFont val="Arial, sans-serif"/>
        <color rgb="FF1155CC"/>
        <sz val="11.0"/>
        <u/>
      </rPr>
      <t>27 jun 2024</t>
    </r>
  </si>
  <si>
    <t>De las expropiaciones de Evo Morales a los 500 M de Repsol: la frágil huella española en Bolivia</t>
  </si>
  <si>
    <t>Desde que entre 2012 y 2013 el expresidente Evo Morales expropiase a AENA y Abertis la gestión de los aeropuertos, la presencia del Ibex 35 en el país está....</t>
  </si>
  <si>
    <t>From Evo Morales' expropriations to Repsol's 500 million euros: the fragile Spanish footprint in Bolivia</t>
  </si>
  <si>
    <t>Since former President Evo Morales expropriated the management of the airports from AENA and Abertis between 2012 and 2013, the presence of the Ibex 35 in the country has been...</t>
  </si>
  <si>
    <t>Repsol Bolivia, business investment</t>
  </si>
  <si>
    <t>Repsol Bolivia, inversión empresarial</t>
  </si>
  <si>
    <t>Continued investment in Bolivia reinforces Repsol’s global energy strategy.</t>
  </si>
  <si>
    <t>expropiaciones</t>
  </si>
  <si>
    <t>Negative historical context involving Repsol’s assets.</t>
  </si>
  <si>
    <t>Contexto histórico negativo que afecta a los activos de Repsol.</t>
  </si>
  <si>
    <r>
      <rPr>
        <rFont val="Arial, sans-serif"/>
        <color rgb="FF1155CC"/>
        <sz val="9.0"/>
        <u/>
      </rPr>
      <t>Neomotor</t>
    </r>
    <r>
      <rPr>
        <rFont val="Arial, sans-serif"/>
        <color rgb="FF1155CC"/>
        <sz val="15.0"/>
        <u/>
      </rPr>
      <t>Repsol ofrece descuentos por recoger paquetes de Amazon en sus gasolineras</t>
    </r>
    <r>
      <rPr>
        <rFont val="Arial, sans-serif"/>
        <color rgb="FF1155CC"/>
        <sz val="11.0"/>
        <u/>
      </rPr>
      <t>Repsol ha firmado un acuerdo con Amazon para que aquellos que recojan paquetes en sus gasolineras tengan hasta 5 euros de descuento. La nueva promoción de...</t>
    </r>
    <r>
      <rPr>
        <rFont val="Arial, sans-serif"/>
        <color rgb="FF1155CC"/>
        <sz val="12.0"/>
        <u/>
      </rPr>
      <t>.</t>
    </r>
    <r>
      <rPr>
        <rFont val="Arial, sans-serif"/>
        <color rgb="FF1155CC"/>
        <sz val="11.0"/>
        <u/>
      </rPr>
      <t>27 jun 2024</t>
    </r>
  </si>
  <si>
    <t>Repsol ofrece descuentos por recoger paquetes de Amazon en sus gasolineras</t>
  </si>
  <si>
    <t>Repsol ha firmado un acuerdo con Amazon para que aquellos que recojan paquetes en sus gasolineras tengan hasta 5 euros de descuento. La nueva promoción de....</t>
  </si>
  <si>
    <t>Repsol offers discounts for collecting Amazon packages at its gas stations</t>
  </si>
  <si>
    <t>Repsol has signed an agreement with Amazon so that those who collect packages at its gas stations have up to 5 euros off. The new promotion of....</t>
  </si>
  <si>
    <t>descuentos</t>
  </si>
  <si>
    <t>Mildly positive for customer engagement.</t>
  </si>
  <si>
    <t>Ligeramente positivo para la participación del cliente.</t>
  </si>
  <si>
    <r>
      <rPr>
        <rFont val="Arial, sans-serif"/>
        <color rgb="FF1155CC"/>
        <sz val="9.0"/>
        <u/>
      </rPr>
      <t>IPMARK</t>
    </r>
    <r>
      <rPr>
        <rFont val="Arial, sans-serif"/>
        <color rgb="FF1155CC"/>
        <sz val="15.0"/>
        <u/>
      </rPr>
      <t>Repsol recoge el «Para ser conductor de primera» en su nueva campaña sostenible</t>
    </r>
    <r>
      <rPr>
        <rFont val="Arial, sans-serif"/>
        <color rgb="FF1155CC"/>
        <sz val="11.0"/>
        <u/>
      </rPr>
      <t>La mítica canción fue utilizada para el nuevo spot titulado 'Aprovecha, aprovecha' que la marca lanzó de la mano de DDB España. 'Aprovecha, aprovecha', la...</t>
    </r>
    <r>
      <rPr>
        <rFont val="Arial, sans-serif"/>
        <color rgb="FF1155CC"/>
        <sz val="12.0"/>
        <u/>
      </rPr>
      <t>.</t>
    </r>
    <r>
      <rPr>
        <rFont val="Arial, sans-serif"/>
        <color rgb="FF1155CC"/>
        <sz val="11.0"/>
        <u/>
      </rPr>
      <t>27 jun 2024</t>
    </r>
  </si>
  <si>
    <t>Repsol recoge el «Para ser conductor de primera» en su nueva campaña sostenible</t>
  </si>
  <si>
    <t>La mítica canción fue utilizada para el nuevo spot titulado 'Aprovecha, aprovecha' que la marca lanzó de la mano de DDB España. 'Aprovecha, aprovecha', la....</t>
  </si>
  <si>
    <t>Repsol includes the “To be a first-class driver” in its new sustainable campaign</t>
  </si>
  <si>
    <t>The legendary song was used for the new spot titled 'Take advantage, take advantage' that the brand launched with DDB Spain. 'Take advantage, take advantage', the....</t>
  </si>
  <si>
    <t>Repsol marketing campaign, brand engagement</t>
  </si>
  <si>
    <t>Campaña de marketing Repsol, compromiso con la marca</t>
  </si>
  <si>
    <t>Strengthening brand nostalgia supports Repsol’s marketing engagement.</t>
  </si>
  <si>
    <t>campaña sostenible</t>
  </si>
  <si>
    <t>Positive PR for Repsol’s sustainability efforts.</t>
  </si>
  <si>
    <t>Relaciones públicas positivas para los esfuerzos de sostenibilidad de Repsol.</t>
  </si>
  <si>
    <r>
      <rPr>
        <rFont val="Arial, sans-serif"/>
        <color rgb="FF1155CC"/>
        <sz val="9.0"/>
        <u/>
      </rPr>
      <t>La Crónica de Badajoz</t>
    </r>
    <r>
      <rPr>
        <rFont val="Arial, sans-serif"/>
        <color rgb="FF1155CC"/>
        <sz val="15.0"/>
        <u/>
      </rPr>
      <t>Estos son los seis restaurantes de Badajoz galardonados un Solete Repsol 2024</t>
    </r>
    <r>
      <rPr>
        <rFont val="Arial, sans-serif"/>
        <color rgb="FF1155CC"/>
        <sz val="11.0"/>
        <u/>
      </rPr>
      <t>La prestigiosa Guía Repsol ha hecho pública una nueva lista de Soletes, la correspondiente a la edición 2024. En ella se reconocen los establecimientos...</t>
    </r>
    <r>
      <rPr>
        <rFont val="Arial, sans-serif"/>
        <color rgb="FF1155CC"/>
        <sz val="12.0"/>
        <u/>
      </rPr>
      <t>.</t>
    </r>
    <r>
      <rPr>
        <rFont val="Arial, sans-serif"/>
        <color rgb="FF1155CC"/>
        <sz val="11.0"/>
        <u/>
      </rPr>
      <t>27 jun 2024</t>
    </r>
  </si>
  <si>
    <t>Estos son los seis restaurantes de Badajoz galardonados un Solete Repsol 2024</t>
  </si>
  <si>
    <t>La prestigiosa Guía Repsol ha hecho pública una nueva lista de Soletes, la correspondiente a la edición 2024. En ella se reconocen los establecimientos....</t>
  </si>
  <si>
    <t>These are the six restaurants in Badajoz awarded a Solete Repsol 2024</t>
  </si>
  <si>
    <t>The prestigious Repsol Guide has published a new list of Soletes, the one corresponding to the 2024 edition. It recognizes the establishments...</t>
  </si>
  <si>
    <r>
      <rPr>
        <rFont val="Arial, sans-serif"/>
        <color rgb="FF1155CC"/>
        <sz val="9.0"/>
        <u/>
      </rPr>
      <t>Diario de Sevilla</t>
    </r>
    <r>
      <rPr>
        <rFont val="Arial, sans-serif"/>
        <color rgb="FF1155CC"/>
        <sz val="15.0"/>
        <u/>
      </rPr>
      <t>Repsol ofrece este descuento por recoger los paquetes de Amazon en sus gasolineras</t>
    </r>
    <r>
      <rPr>
        <rFont val="Arial, sans-serif"/>
        <color rgb="FF1155CC"/>
        <sz val="11.0"/>
        <u/>
      </rPr>
      <t>Sevilla/El verano trae un aumento en los viajes por carretera, y las gasolineras aprovechan esta época para lanzar ofertas para atraer a más clientes.</t>
    </r>
    <r>
      <rPr>
        <rFont val="Arial, sans-serif"/>
        <color rgb="FF1155CC"/>
        <sz val="12.0"/>
        <u/>
      </rPr>
      <t>.</t>
    </r>
    <r>
      <rPr>
        <rFont val="Arial, sans-serif"/>
        <color rgb="FF1155CC"/>
        <sz val="11.0"/>
        <u/>
      </rPr>
      <t>27 jun 2024</t>
    </r>
  </si>
  <si>
    <t>Repsol ofrece este descuento por recoger los paquetes de Amazon en sus gasolineras</t>
  </si>
  <si>
    <t>El verano trae un aumento en los viajes por carretera, y las gasolineras aprovechan esta época para lanzar ofertas para atraer a más clientes.</t>
  </si>
  <si>
    <t>Repsol offers this discount for collecting Amazon packages at its gas stations</t>
  </si>
  <si>
    <t>Summer brings an increase in road trips, and gas stations take advantage of this time to launch offers to attract more customers.</t>
  </si>
  <si>
    <t>Expanding promotional discounts strengthens Repsol’s customer engagement.</t>
  </si>
  <si>
    <t>Neutral-to-positive for promotional activity.</t>
  </si>
  <si>
    <t>Neutral a positivo para actividades promocionales.</t>
  </si>
  <si>
    <r>
      <rPr>
        <rFont val="Arial, sans-serif"/>
        <color rgb="FF1155CC"/>
        <sz val="9.0"/>
        <u/>
      </rPr>
      <t>elpublicista.es</t>
    </r>
    <r>
      <rPr>
        <rFont val="Arial, sans-serif"/>
        <color rgb="FF1155CC"/>
        <sz val="15.0"/>
        <u/>
      </rPr>
      <t>Repsol quiere que aproveches sus combustibles 100% renovables</t>
    </r>
    <r>
      <rPr>
        <rFont val="Arial, sans-serif"/>
        <color rgb="FF1155CC"/>
        <sz val="11.0"/>
        <u/>
      </rPr>
      <t>La multienergética ha versionado la canción 'Para ser conductor de primera' para poner en valor sus combustibles completamente renovables Repsol ha lanzado...</t>
    </r>
    <r>
      <rPr>
        <rFont val="Arial, sans-serif"/>
        <color rgb="FF1155CC"/>
        <sz val="12.0"/>
        <u/>
      </rPr>
      <t>.</t>
    </r>
    <r>
      <rPr>
        <rFont val="Arial, sans-serif"/>
        <color rgb="FF1155CC"/>
        <sz val="11.0"/>
        <u/>
      </rPr>
      <t>27 jun 2024</t>
    </r>
  </si>
  <si>
    <t>Repsol quiere que aproveches sus combustibles 100% renovables</t>
  </si>
  <si>
    <t>La multienergética ha versionado la canción 'Para ser conductor de primera' para poner en valor sus combustibles completamente renovables Repsol ha lanzado....</t>
  </si>
  <si>
    <t>Repsol wants you to take advantage of its 100% renewable fuels</t>
  </si>
  <si>
    <t>The multi-energy company has covered the song 'To be a first-class driver' to highlight its completely renewable fuels. Repsol has launched...</t>
  </si>
  <si>
    <t>Repsol sustainability marketing, brand engagement</t>
  </si>
  <si>
    <t>Repsol marketing de sostenibilidad, compromiso con la marca</t>
  </si>
  <si>
    <t>Promoting renewable energy aligns with Repsol’s sustainability strategy.</t>
  </si>
  <si>
    <t>Strong positive for renewable energy promotion.</t>
  </si>
  <si>
    <t>Fuerte positivo para la promoción de las energías renovables.</t>
  </si>
  <si>
    <r>
      <rPr>
        <rFont val="Arial, sans-serif"/>
        <color rgb="FF1155CC"/>
        <sz val="9.0"/>
        <u/>
      </rPr>
      <t>Huelva Información</t>
    </r>
    <r>
      <rPr>
        <rFont val="Arial, sans-serif"/>
        <color rgb="FF1155CC"/>
        <sz val="15.0"/>
        <u/>
      </rPr>
      <t>El bar de Huelva "de toda la vida" que la Guía Repsol recomienda para este verano 2024</t>
    </r>
    <r>
      <rPr>
        <rFont val="Arial, sans-serif"/>
        <color rgb="FF1155CC"/>
        <sz val="11.0"/>
        <u/>
      </rPr>
      <t>La conocida Guía Repsol ha elegido este bar del centro de la capital que lleva 60 años sirviendo tapas y platos con puro sabor a Huelva y con una excelente...</t>
    </r>
    <r>
      <rPr>
        <rFont val="Arial, sans-serif"/>
        <color rgb="FF1155CC"/>
        <sz val="12.0"/>
        <u/>
      </rPr>
      <t>.</t>
    </r>
    <r>
      <rPr>
        <rFont val="Arial, sans-serif"/>
        <color rgb="FF1155CC"/>
        <sz val="11.0"/>
        <u/>
      </rPr>
      <t>27 jun 2024</t>
    </r>
  </si>
  <si>
    <t>El bar de Huelva "de toda la vida" que la Guía Repsol recomienda para este verano 2024</t>
  </si>
  <si>
    <t>La conocida Guía Repsol ha elegido este bar del centro de la capital que lleva 60 años sirviendo tapas y platos con puro sabor a Huelva y con una excelente....</t>
  </si>
  <si>
    <t>The "old-fashioned" bar in Huelva that the Repsol Guide recommends for this summer 2024</t>
  </si>
  <si>
    <t>The well-known Repsol Guide has chosen this bar in the center of the capital that has been serving tapas and dishes with pure Huelva flavor and excellent....</t>
  </si>
  <si>
    <r>
      <rPr>
        <rFont val="Arial, sans-serif"/>
        <color rgb="FF1155CC"/>
        <sz val="9.0"/>
        <u/>
      </rPr>
      <t>Guía Repsol</t>
    </r>
    <r>
      <rPr>
        <rFont val="Arial, sans-serif"/>
        <color rgb="FF1155CC"/>
        <sz val="15.0"/>
        <u/>
      </rPr>
      <t>Entrega de los Soletes de los Cocineros en Lorca (Región de Murcia)</t>
    </r>
    <r>
      <rPr>
        <rFont val="Arial, sans-serif"/>
        <color rgb="FF1155CC"/>
        <sz val="11.0"/>
        <u/>
      </rPr>
      <t>La Fortaleza del Sol lorquina se ha convertido, por una tarde, en la fortaleza del Solete. Más de 30 propietarios de establecimientos que ostentan esta...</t>
    </r>
    <r>
      <rPr>
        <rFont val="Arial, sans-serif"/>
        <color rgb="FF1155CC"/>
        <sz val="12.0"/>
        <u/>
      </rPr>
      <t>.</t>
    </r>
    <r>
      <rPr>
        <rFont val="Arial, sans-serif"/>
        <color rgb="FF1155CC"/>
        <sz val="11.0"/>
        <u/>
      </rPr>
      <t>27 jun 2024</t>
    </r>
  </si>
  <si>
    <t>Entrega de los Soletes de los Cocineros en Lorca (Región de Murcia)</t>
  </si>
  <si>
    <t>La Fortaleza del Sol lorquina se ha convertido, por una tarde, en la fortaleza del Solete. Más de 30 propietarios de establecimientos que ostentan esta....</t>
  </si>
  <si>
    <t>Delivery of the Cooks' Soletes in Lorca (Region of Murcia)</t>
  </si>
  <si>
    <t>The Fortress of the Sun in Lorca has become, for one afternoon, the fortress of Solete. More than 30 owners of establishments that boast this....</t>
  </si>
  <si>
    <r>
      <rPr>
        <rFont val="Arial, sans-serif"/>
        <color rgb="FF1155CC"/>
        <sz val="9.0"/>
        <u/>
      </rPr>
      <t>Sevilla Secreta</t>
    </r>
    <r>
      <rPr>
        <rFont val="Arial, sans-serif"/>
        <color rgb="FF1155CC"/>
        <sz val="15.0"/>
        <u/>
      </rPr>
      <t>Soletes Repsol en Sevilla: los nuevos espacios selectos que reconoce la guía</t>
    </r>
    <r>
      <rPr>
        <rFont val="Arial, sans-serif"/>
        <color rgb="FF1155CC"/>
        <sz val="11.0"/>
        <u/>
      </rPr>
      <t>Andalucía computa 111 Soletes en esta bisoña selección de establecimientos y 11 de ellos se encuentran en la ciudad de Sevilla.</t>
    </r>
    <r>
      <rPr>
        <rFont val="Arial, sans-serif"/>
        <color rgb="FF1155CC"/>
        <sz val="12.0"/>
        <u/>
      </rPr>
      <t>.</t>
    </r>
    <r>
      <rPr>
        <rFont val="Arial, sans-serif"/>
        <color rgb="FF1155CC"/>
        <sz val="11.0"/>
        <u/>
      </rPr>
      <t>27 jun 2024</t>
    </r>
  </si>
  <si>
    <t>Soletes Repsol en Sevilla: los nuevos espacios selectos que reconoce la guía</t>
  </si>
  <si>
    <t>Andalucía computa 111 Soletes en esta bisoña selección de establecimientos y 11 de ellos se encuentran en la ciudad de Sevilla.</t>
  </si>
  <si>
    <t>Soletes Repsol in Seville: the new select spaces recognized by the guide</t>
  </si>
  <si>
    <t>Andalusia counts 111 Soletes in this new selection of establishments and 11 of them are located in the city of Seville.</t>
  </si>
  <si>
    <r>
      <rPr>
        <rFont val="Arial, sans-serif"/>
        <color rgb="FF1155CC"/>
        <sz val="9.0"/>
        <u/>
      </rPr>
      <t>Canal Extremadura</t>
    </r>
    <r>
      <rPr>
        <rFont val="Arial, sans-serif"/>
        <color rgb="FF1155CC"/>
        <sz val="15.0"/>
        <u/>
      </rPr>
      <t>Trece locales extremeños se suman a la distinción de los 'Soletes' de la Guía Repsol</t>
    </r>
    <r>
      <rPr>
        <rFont val="Arial, sans-serif"/>
        <color rgb="FF1155CC"/>
        <sz val="11.0"/>
        <u/>
      </rPr>
      <t>La Guía Repsol ha publicado los nuevos establecimientos que merecen el privilegio de llevar su sello 'Soletes'. Son más de 550 en toda España,...</t>
    </r>
    <r>
      <rPr>
        <rFont val="Arial, sans-serif"/>
        <color rgb="FF1155CC"/>
        <sz val="12.0"/>
        <u/>
      </rPr>
      <t>.</t>
    </r>
    <r>
      <rPr>
        <rFont val="Arial, sans-serif"/>
        <color rgb="FF1155CC"/>
        <sz val="11.0"/>
        <u/>
      </rPr>
      <t>27 jun 2024</t>
    </r>
  </si>
  <si>
    <t>Canal Extremadura</t>
  </si>
  <si>
    <t>Trece locales extremeños se suman a la distinción de los 'Soletes' de la Guía Repsol</t>
  </si>
  <si>
    <t>La Guía Repsol ha publicado los nuevos establecimientos que merecen el privilegio de llevar su sello 'Soletes'. Son más de 550 en toda España,....</t>
  </si>
  <si>
    <t>Thirteen Extremaduran establishments join the distinction of the 'Soletes' of the Repsol Guide</t>
  </si>
  <si>
    <t>The Repsol Guide has published the new establishments that deserve the privilege of carrying its 'Soletes' seal. There are more than 550 throughout Spain....</t>
  </si>
  <si>
    <r>
      <rPr>
        <rFont val="Arial, sans-serif"/>
        <color rgb="FF1155CC"/>
        <sz val="9.0"/>
        <u/>
      </rPr>
      <t>La Opinión de Murcia</t>
    </r>
    <r>
      <rPr>
        <rFont val="Arial, sans-serif"/>
        <color rgb="FF1155CC"/>
        <sz val="15.0"/>
        <u/>
      </rPr>
      <t>Estos son los siete restaurantes de la Región reconocidos con los nuevos Soletes de la Guía Repsol</t>
    </r>
    <r>
      <rPr>
        <rFont val="Arial, sans-serif"/>
        <color rgb="FF1155CC"/>
        <sz val="11.0"/>
        <u/>
      </rPr>
      <t>La entrega de los premios tendrá lugar esta tarde en una gala en la Fortaleza del Sol de Lorca.</t>
    </r>
    <r>
      <rPr>
        <rFont val="Arial, sans-serif"/>
        <color rgb="FF1155CC"/>
        <sz val="12.0"/>
        <u/>
      </rPr>
      <t>.</t>
    </r>
    <r>
      <rPr>
        <rFont val="Arial, sans-serif"/>
        <color rgb="FF1155CC"/>
        <sz val="11.0"/>
        <u/>
      </rPr>
      <t>27 jun 2024</t>
    </r>
  </si>
  <si>
    <t>Estos son los siete restaurantes de la Región reconocidos con los nuevos Soletes de la Guía Repsol</t>
  </si>
  <si>
    <t>La entrega de los premios tendrá lugar esta tarde en una gala en la Fortaleza del Sol de Lorca.</t>
  </si>
  <si>
    <t>These are the seven restaurants in the Region recognized with the new Soletes from the Repsol Guide</t>
  </si>
  <si>
    <t>The awards ceremony will take place this afternoon at a gala at the Fortaleza del Sol in Lorca.</t>
  </si>
  <si>
    <r>
      <rPr>
        <rFont val="Arial, sans-serif"/>
        <color rgb="FF1155CC"/>
        <sz val="9.0"/>
        <u/>
      </rPr>
      <t>Infobae</t>
    </r>
    <r>
      <rPr>
        <rFont val="Arial, sans-serif"/>
        <color rgb="FF1155CC"/>
        <sz val="15.0"/>
        <u/>
      </rPr>
      <t>El mapa con las mejores heladerías de España, según los cocineros de la Guía Repsol</t>
    </r>
    <r>
      <rPr>
        <rFont val="Arial, sans-serif"/>
        <color rgb="FF1155CC"/>
        <sz val="11.0"/>
        <u/>
      </rPr>
      <t>Estas heladerías, así como otros bares, terrazas y chiringuitos, conforman la nueva lista de Soletes de la Guía Repsol, que ha contado con la colaboración...</t>
    </r>
    <r>
      <rPr>
        <rFont val="Arial, sans-serif"/>
        <color rgb="FF1155CC"/>
        <sz val="12.0"/>
        <u/>
      </rPr>
      <t>.</t>
    </r>
    <r>
      <rPr>
        <rFont val="Arial, sans-serif"/>
        <color rgb="FF1155CC"/>
        <sz val="11.0"/>
        <u/>
      </rPr>
      <t>27 jun 2024</t>
    </r>
  </si>
  <si>
    <t>El mapa con las mejores heladerías de España, según los cocineros de la Guía Repsol</t>
  </si>
  <si>
    <t>Estas heladerías, así como otros bares, terrazas y chiringuitos, conforman la nueva lista de Soletes de la Guía Repsol, que ha contado con la colaboración....</t>
  </si>
  <si>
    <t>The map with the best ice cream parlors in Spain, according to the chefs of the Repsol Guide</t>
  </si>
  <si>
    <t>These ice cream parlors, as well as other bars, terraces and beach bars, make up the new list of Soletes of the Repsol Guide, which has had the collaboration....</t>
  </si>
  <si>
    <r>
      <rPr>
        <rFont val="Arial, sans-serif"/>
        <color rgb="FF1155CC"/>
        <sz val="9.0"/>
        <u/>
      </rPr>
      <t>La Voz de Lanzarote</t>
    </r>
    <r>
      <rPr>
        <rFont val="Arial, sans-serif"/>
        <color rgb="FF1155CC"/>
        <sz val="15.0"/>
        <u/>
      </rPr>
      <t>Los seis locales de Lanzarote con Solete Repsol que recomiendan los cocineros</t>
    </r>
    <r>
      <rPr>
        <rFont val="Arial, sans-serif"/>
        <color rgb="FF1155CC"/>
        <sz val="11.0"/>
        <u/>
      </rPr>
      <t>Además de los Soles Repsol para la alta cocina, existen más de 200 Soletes en Canarias, que destacan su esencia auténtica.</t>
    </r>
    <r>
      <rPr>
        <rFont val="Arial, sans-serif"/>
        <color rgb="FF1155CC"/>
        <sz val="12.0"/>
        <u/>
      </rPr>
      <t>.</t>
    </r>
    <r>
      <rPr>
        <rFont val="Arial, sans-serif"/>
        <color rgb="FF1155CC"/>
        <sz val="11.0"/>
        <u/>
      </rPr>
      <t>27 jun 2024</t>
    </r>
  </si>
  <si>
    <t>Los seis locales de Lanzarote con Solete Repsol que recomiendan los cocineros</t>
  </si>
  <si>
    <t>Además de los Soles Repsol para la alta cocina, existen más de 200 Soletes en Canarias, que destacan su esencia auténtica.</t>
  </si>
  <si>
    <t>The six places in Lanzarote with Solete Repsol that chefs recommend</t>
  </si>
  <si>
    <t>In addition to the Repsol Soles for haute cuisine, there are more than 200 Soletes in the Canary Islands, which highlight their authentic essence.</t>
  </si>
  <si>
    <r>
      <rPr>
        <rFont val="Arial, sans-serif"/>
        <color rgb="FF1155CC"/>
        <sz val="9.0"/>
        <u/>
      </rPr>
      <t>Diari de Tarragona</t>
    </r>
    <r>
      <rPr>
        <rFont val="Arial, sans-serif"/>
        <color rgb="FF1155CC"/>
        <sz val="15.0"/>
        <u/>
      </rPr>
      <t>Los Soletes Repsol brillan en 18 locales de la provincia</t>
    </r>
    <r>
      <rPr>
        <rFont val="Arial, sans-serif"/>
        <color rgb="FF1155CC"/>
        <sz val="11.0"/>
        <u/>
      </rPr>
      <t>Esencia auténtica y buen precio es la identidad de los Soletes de la Guía Repsol. Un distintivo que brilla en 18 establecimientos de la provincia entr...</t>
    </r>
    <r>
      <rPr>
        <rFont val="Arial, sans-serif"/>
        <color rgb="FF1155CC"/>
        <sz val="12.0"/>
        <u/>
      </rPr>
      <t>.</t>
    </r>
    <r>
      <rPr>
        <rFont val="Arial, sans-serif"/>
        <color rgb="FF1155CC"/>
        <sz val="11.0"/>
        <u/>
      </rPr>
      <t>27 jun 2024</t>
    </r>
  </si>
  <si>
    <t>Los Soletes Repsol brillan en 18 locales de la provincia</t>
  </si>
  <si>
    <t>Esencia auténtica y buen precio es la identidad de los Soletes de la Guía Repsol. Un distintivo que brilla en 18 establecimientos de la provincia entr....</t>
  </si>
  <si>
    <t>The Repsol Soletes shine in 18 stores in the province</t>
  </si>
  <si>
    <t>Authentic essence and good price is the identity of the Soletes of the Repsol Guide. A distinctive feature that shines in 18 establishments in the province between....</t>
  </si>
  <si>
    <r>
      <rPr>
        <rFont val="Arial, sans-serif"/>
        <color rgb="FF1155CC"/>
        <sz val="9.0"/>
        <u/>
      </rPr>
      <t>Barcelona Secreta</t>
    </r>
    <r>
      <rPr>
        <rFont val="Arial, sans-serif"/>
        <color rgb="FF1155CC"/>
        <sz val="15.0"/>
        <u/>
      </rPr>
      <t>34 bares y restaurantes que recomiendan cocineros de Barcelona para este verano</t>
    </r>
    <r>
      <rPr>
        <rFont val="Arial, sans-serif"/>
        <color rgb="FF1155CC"/>
        <sz val="11.0"/>
        <u/>
      </rPr>
      <t>125 chefs de toda España han publicado sus recomendaciones en la 9.ª edición de los Soletes Repsol 2024, con bares y restaurantes de Barcelona.</t>
    </r>
    <r>
      <rPr>
        <rFont val="Arial, sans-serif"/>
        <color rgb="FF1155CC"/>
        <sz val="12.0"/>
        <u/>
      </rPr>
      <t>.</t>
    </r>
    <r>
      <rPr>
        <rFont val="Arial, sans-serif"/>
        <color rgb="FF1155CC"/>
        <sz val="11.0"/>
        <u/>
      </rPr>
      <t>27 jun 2024</t>
    </r>
  </si>
  <si>
    <t>34 bares y restaurantes que recomiendan cocineros de Barcelona para este verano</t>
  </si>
  <si>
    <t>125 chefs de toda España han publicado sus recomendaciones en la 9.ª edición de los Soletes Repsol 2024, con bares y restaurantes de Barcelona.</t>
  </si>
  <si>
    <t>34 bars and restaurants that Barcelona chefs recommend for this summer</t>
  </si>
  <si>
    <t>125 chefs from all over Spain have published their recommendations in the 9th edition of the Soletes Repsol 2024, with bars and restaurants in Barcelona.</t>
  </si>
  <si>
    <r>
      <rPr>
        <rFont val="Arial, sans-serif"/>
        <color rgb="FF1155CC"/>
        <sz val="9.0"/>
        <u/>
      </rPr>
      <t>Huelva 24</t>
    </r>
    <r>
      <rPr>
        <rFont val="Arial, sans-serif"/>
        <color rgb="FF1155CC"/>
        <sz val="15.0"/>
        <u/>
      </rPr>
      <t>Soletes Repsol 2024 en Huelva: estos son los nuevos locales que han sido premiados</t>
    </r>
    <r>
      <rPr>
        <rFont val="Arial, sans-serif"/>
        <color rgb="FF1155CC"/>
        <sz val="11.0"/>
        <u/>
      </rPr>
      <t>Un nuevo restaurante onubense se suma a la última publicación de esta reconocida guía gastronómica.</t>
    </r>
    <r>
      <rPr>
        <rFont val="Arial, sans-serif"/>
        <color rgb="FF1155CC"/>
        <sz val="12.0"/>
        <u/>
      </rPr>
      <t>.</t>
    </r>
    <r>
      <rPr>
        <rFont val="Arial, sans-serif"/>
        <color rgb="FF1155CC"/>
        <sz val="11.0"/>
        <u/>
      </rPr>
      <t>27 jun 2024</t>
    </r>
  </si>
  <si>
    <t>Soletes Repsol 2024 en Huelva: estos son los nuevos locales que han sido premiados</t>
  </si>
  <si>
    <t>Un nuevo restaurante onubense se suma a la última publicación de esta reconocida guía gastronómica.</t>
  </si>
  <si>
    <t>Soletes Repsol 2024 in Huelva: these are the new venues that have been awarded</t>
  </si>
  <si>
    <t>A new Huelva restaurant joins the latest publication of this renowned gastronomic guide.</t>
  </si>
  <si>
    <r>
      <rPr>
        <rFont val="Arial, sans-serif"/>
        <color rgb="FF1155CC"/>
        <sz val="9.0"/>
        <u/>
      </rPr>
      <t>Valencia Secreta</t>
    </r>
    <r>
      <rPr>
        <rFont val="Arial, sans-serif"/>
        <color rgb="FF1155CC"/>
        <sz val="15.0"/>
        <u/>
      </rPr>
      <t>Los 40 bares y restaurantes valencianos recomendados por chefs para este verano</t>
    </r>
    <r>
      <rPr>
        <rFont val="Arial, sans-serif"/>
        <color rgb="FF1155CC"/>
        <sz val="11.0"/>
        <u/>
      </rPr>
      <t>Los Soletes de verano de la guía Repsol cuentan en su 9.ª edición con la recomendación personal de cocineras valencianas como Begoña Rodrigo.</t>
    </r>
    <r>
      <rPr>
        <rFont val="Arial, sans-serif"/>
        <color rgb="FF1155CC"/>
        <sz val="12.0"/>
        <u/>
      </rPr>
      <t>.</t>
    </r>
    <r>
      <rPr>
        <rFont val="Arial, sans-serif"/>
        <color rgb="FF1155CC"/>
        <sz val="11.0"/>
        <u/>
      </rPr>
      <t>27 jun 2024</t>
    </r>
  </si>
  <si>
    <t>Los 40 bares y restaurantes valencianos recomendados por chefs para este verano</t>
  </si>
  <si>
    <t>Los Soletes de verano de la guía Repsol cuentan en su 9.ª edición con la recomendación personal de cocineras valencianas como Begoña Rodrigo.</t>
  </si>
  <si>
    <t>The 40 Valencian bars and restaurants recommended by chefs for this summer</t>
  </si>
  <si>
    <t>In its 9th edition, the Repsol guide's Summer Soletes have the personal recommendation of Valencian chefs like Begoña Rodrigo.</t>
  </si>
  <si>
    <r>
      <rPr>
        <rFont val="Arial, sans-serif"/>
        <color rgb="FF1155CC"/>
        <sz val="9.0"/>
        <u/>
      </rPr>
      <t>El Correo Gallego</t>
    </r>
    <r>
      <rPr>
        <rFont val="Arial, sans-serif"/>
        <color rgb="FF1155CC"/>
        <sz val="15.0"/>
        <u/>
      </rPr>
      <t>Outes brilla en los Soletes de la Guía Repsol: tres locales, entre los favoritos de los mejores chefs de España</t>
    </r>
    <r>
      <rPr>
        <rFont val="Arial, sans-serif"/>
        <color rgb="FF1155CC"/>
        <sz val="11.0"/>
        <u/>
      </rPr>
      <t>La gastronomía de Outes brilla en los Soletes de confianza de la Guía Repsol que han sido presentados este miércoles. Dos locales de Santiago, entre los...</t>
    </r>
    <r>
      <rPr>
        <rFont val="Arial, sans-serif"/>
        <color rgb="FF1155CC"/>
        <sz val="12.0"/>
        <u/>
      </rPr>
      <t>.</t>
    </r>
    <r>
      <rPr>
        <rFont val="Arial, sans-serif"/>
        <color rgb="FF1155CC"/>
        <sz val="11.0"/>
        <u/>
      </rPr>
      <t>27 jun 2024</t>
    </r>
  </si>
  <si>
    <t>Outes brilla en los Soletes de la Guía Repsol: tres locales, entre los favoritos de los mejores chefs de España</t>
  </si>
  <si>
    <t>La gastronomía de Outes brilla en los Soletes de confianza de la Guía Repsol que han sido presentados este miércoles. Dos locales de Santiago, entre los....</t>
  </si>
  <si>
    <t>Outes shines in the Soletes of the Repsol Guide: three places, among the favorites of the best chefs in Spain</t>
  </si>
  <si>
    <t>The gastronomy of Outes shines in the trusted Soletes of the Repsol Guide that were presented this Wednesday. Two stores in Santiago, among the...</t>
  </si>
  <si>
    <r>
      <rPr>
        <rFont val="Arial, sans-serif"/>
        <color rgb="FF1155CC"/>
        <sz val="9.0"/>
        <u/>
      </rPr>
      <t>Diario Córdoba</t>
    </r>
    <r>
      <rPr>
        <rFont val="Arial, sans-serif"/>
        <color rgb="FF1155CC"/>
        <sz val="15.0"/>
        <u/>
      </rPr>
      <t>Estos son los nuevos soletes de Córdoba: los recomiendan los cocineros de la Guía Repsol</t>
    </r>
    <r>
      <rPr>
        <rFont val="Arial, sans-serif"/>
        <color rgb="FF1155CC"/>
        <sz val="11.0"/>
        <u/>
      </rPr>
      <t>Interior de la taberna La Montillana, uno de los locales cordobeses recomendados por la Guía Repsol. / Archivo / CÓRDOBA. Europa Press.</t>
    </r>
    <r>
      <rPr>
        <rFont val="Arial, sans-serif"/>
        <color rgb="FF1155CC"/>
        <sz val="12.0"/>
        <u/>
      </rPr>
      <t>.</t>
    </r>
    <r>
      <rPr>
        <rFont val="Arial, sans-serif"/>
        <color rgb="FF1155CC"/>
        <sz val="11.0"/>
        <u/>
      </rPr>
      <t>27 jun 2024</t>
    </r>
  </si>
  <si>
    <t>Estos son los nuevos soletes de Córdoba: los recomiendan los cocineros de la Guía Repsol</t>
  </si>
  <si>
    <t>Interior de la taberna La Montillana, uno de los locales cordobeses recomendados por la Guía Repsol. / Archivo / CÓRDOBA. Europa Press.</t>
  </si>
  <si>
    <t>These are the new soletes of Córdoba: they are recommended by the Repsol Guide chefs</t>
  </si>
  <si>
    <t>Interior of the La Montillana tavern, one of the Cordoban venues recommended by the Repsol Guide. / Archive / CÓRDOBA. Europe Press.</t>
  </si>
  <si>
    <r>
      <rPr>
        <rFont val="Arial, sans-serif"/>
        <color rgb="FF1155CC"/>
        <sz val="9.0"/>
        <u/>
      </rPr>
      <t>Málaga Hoy</t>
    </r>
    <r>
      <rPr>
        <rFont val="Arial, sans-serif"/>
        <color rgb="FF1155CC"/>
        <sz val="15.0"/>
        <u/>
      </rPr>
      <t>Los restaurantes de Málaga que recomiendan los grandes chefs de la provincia y galardonados con un Solete</t>
    </r>
    <r>
      <rPr>
        <rFont val="Arial, sans-serif"/>
        <color rgb="FF1155CC"/>
        <sz val="11.0"/>
        <u/>
      </rPr>
      <t>Los chefs José Carlos García, Diego Gallegos, Dani Carnero y Benito Gómez eligen sus restaurantes favoritos de Málaga.</t>
    </r>
    <r>
      <rPr>
        <rFont val="Arial, sans-serif"/>
        <color rgb="FF1155CC"/>
        <sz val="12.0"/>
        <u/>
      </rPr>
      <t>.</t>
    </r>
    <r>
      <rPr>
        <rFont val="Arial, sans-serif"/>
        <color rgb="FF1155CC"/>
        <sz val="11.0"/>
        <u/>
      </rPr>
      <t>27 jun 2024</t>
    </r>
  </si>
  <si>
    <t>Los restaurantes de Málaga que recomiendan los grandes chefs de la provincia y galardonados con un Solete</t>
  </si>
  <si>
    <t>Los chefs José Carlos García, Diego Gallegos, Dani Carnero y Benito Gómez eligen sus restaurantes favoritos de Málaga.</t>
  </si>
  <si>
    <t>The restaurants in Malaga recommended by the province's great chefs and awarded with a Solete</t>
  </si>
  <si>
    <t>Chefs José Carlos García, Diego Gallegos, Dani Carnero and Benito Gómez choose their favorite restaurants in Malaga.</t>
  </si>
  <si>
    <r>
      <rPr>
        <rFont val="Arial, sans-serif"/>
        <color rgb="FF1155CC"/>
        <sz val="9.0"/>
        <u/>
      </rPr>
      <t>Guía Repsol</t>
    </r>
    <r>
      <rPr>
        <rFont val="Arial, sans-serif"/>
        <color rgb="FF1155CC"/>
        <sz val="15.0"/>
        <u/>
      </rPr>
      <t>Estas piscinas son de aguas fronterizas y tienen el puente internacional más pequeño del mundo</t>
    </r>
    <r>
      <rPr>
        <rFont val="Arial, sans-serif"/>
        <color rgb="FF1155CC"/>
        <sz val="11.0"/>
        <u/>
      </rPr>
      <t>La localidad pacense de La Codosera alberga en su término municipal un tesoro estival en forma de piscinas naturales de agua fresquita, una aliseda de ocho.</t>
    </r>
    <r>
      <rPr>
        <rFont val="Arial, sans-serif"/>
        <color rgb="FF1155CC"/>
        <sz val="12.0"/>
        <u/>
      </rPr>
      <t>.</t>
    </r>
    <r>
      <rPr>
        <rFont val="Arial, sans-serif"/>
        <color rgb="FF1155CC"/>
        <sz val="11.0"/>
        <u/>
      </rPr>
      <t>27 jun 2024</t>
    </r>
  </si>
  <si>
    <t>Estas piscinas son de aguas fronterizas y tienen el puente internacional más pequeño del mundo</t>
  </si>
  <si>
    <t>Estas piscinas son de aguas fronterizas y tienen el puente internacional más pequeño del mundo. La localidad pacense de La Codosera alberga en su término municipal un tesoro estival en forma de piscinas naturales de agua fresquita, una aliseda de ocho.</t>
  </si>
  <si>
    <t>These pools are from border waters and have the smallest international bridge in the world</t>
  </si>
  <si>
    <t>These pools are from border waters and have the smallest international bridge in the world. The Badajoz town of La Codosera houses in its municipal area a summer treasure in the form of natural pools of cool water, an alder forest of eight.</t>
  </si>
  <si>
    <r>
      <rPr>
        <rFont val="Arial, sans-serif"/>
        <color rgb="FF1155CC"/>
        <sz val="9.0"/>
        <u/>
      </rPr>
      <t>El Español</t>
    </r>
    <r>
      <rPr>
        <rFont val="Arial, sans-serif"/>
        <color rgb="FF1155CC"/>
        <sz val="15.0"/>
        <u/>
      </rPr>
      <t>Estos son los locales 'top' de la provincia de Ourense según los cocineros de la Guía Repsol</t>
    </r>
    <r>
      <rPr>
        <rFont val="Arial, sans-serif"/>
        <color rgb="FF1155CC"/>
        <sz val="11.0"/>
        <u/>
      </rPr>
      <t>Un total de 12 establecimientos, desde vinotecas a heladerías o restaurantes, configuran el listado de los soletes de los expertos gastronómicos.</t>
    </r>
    <r>
      <rPr>
        <rFont val="Arial, sans-serif"/>
        <color rgb="FF1155CC"/>
        <sz val="12.0"/>
        <u/>
      </rPr>
      <t>.</t>
    </r>
    <r>
      <rPr>
        <rFont val="Arial, sans-serif"/>
        <color rgb="FF1155CC"/>
        <sz val="11.0"/>
        <u/>
      </rPr>
      <t>27 jun 2024</t>
    </r>
  </si>
  <si>
    <t>Estos son los locales 'top' de la provincia de Ourense según los cocineros de la Guía Repsol</t>
  </si>
  <si>
    <t>Un total de 12 establecimientos, desde vinotecas a heladerías o restaurantes, configuran el listado de los soletes de los expertos gastronómicos.</t>
  </si>
  <si>
    <t>These are the 'top' places in the province of Ourense according to the chefs of the Repsol Guide</t>
  </si>
  <si>
    <t>A total of 12 establishments, from wine bars to ice cream parlors or restaurants, make up the list of culinary experts' favorites.</t>
  </si>
  <si>
    <r>
      <rPr>
        <rFont val="Arial, sans-serif"/>
        <color rgb="FF1155CC"/>
        <sz val="9.0"/>
        <u/>
      </rPr>
      <t>Infobae</t>
    </r>
    <r>
      <rPr>
        <rFont val="Arial, sans-serif"/>
        <color rgb="FF1155CC"/>
        <sz val="15.0"/>
        <u/>
      </rPr>
      <t>El bar preferido de Ángel León para desayunar un mollete en el Puerto de Santa María: “Es un sitio auténtico, de los que no quedan ya”</t>
    </r>
    <r>
      <rPr>
        <rFont val="Arial, sans-serif"/>
        <color rgb="FF1155CC"/>
        <sz val="11.0"/>
        <u/>
      </rPr>
      <t>Este bar ha entrado en la nueva lista de Soletes de la Guía Repsol, que ha contado con la colaboración de los grandes chefs de la cocina española.</t>
    </r>
    <r>
      <rPr>
        <rFont val="Arial, sans-serif"/>
        <color rgb="FF1155CC"/>
        <sz val="12.0"/>
        <u/>
      </rPr>
      <t>.</t>
    </r>
    <r>
      <rPr>
        <rFont val="Arial, sans-serif"/>
        <color rgb="FF1155CC"/>
        <sz val="11.0"/>
        <u/>
      </rPr>
      <t>27 jun 2024</t>
    </r>
  </si>
  <si>
    <t>El bar preferido de Ángel León para desayunar un mollete en el Puerto de Santa María: “Es un sitio auténtico, de los que no quedan ya”</t>
  </si>
  <si>
    <t>Este bar ha entrado en la nueva lista de Soletes de la Guía Repsol, que ha contado con la colaboración de los grandes chefs de la cocina española.</t>
  </si>
  <si>
    <t>Ángel León's favorite bar to have a muffin for breakfast in Puerto de Santa María: “It is an authentic place, one of those that no longer exists”</t>
  </si>
  <si>
    <t>This bar has entered the new Soletes list of the Repsol Guide, which has had the collaboration of the great chefs of Spanish cuisine.</t>
  </si>
  <si>
    <r>
      <rPr>
        <rFont val="Arial, sans-serif"/>
        <color rgb="FF1155CC"/>
        <sz val="9.0"/>
        <u/>
      </rPr>
      <t>El Español</t>
    </r>
    <r>
      <rPr>
        <rFont val="Arial, sans-serif"/>
        <color rgb="FF1155CC"/>
        <sz val="15.0"/>
        <u/>
      </rPr>
      <t>Así es el nuevo restaurante de Lavapiés que ha ganado un prestigioso premio en sólo 4 meses por su menú de 17,90 €</t>
    </r>
    <r>
      <rPr>
        <rFont val="Arial, sans-serif"/>
        <color rgb="FF1155CC"/>
        <sz val="11.0"/>
        <u/>
      </rPr>
      <t>La casa de comidas del periodista gastronómico Pelayo Escandón y el cocinero Narciso Bermejo acaba de conseguir un solete de la Guía Repsol.</t>
    </r>
    <r>
      <rPr>
        <rFont val="Arial, sans-serif"/>
        <color rgb="FF1155CC"/>
        <sz val="12.0"/>
        <u/>
      </rPr>
      <t>.</t>
    </r>
    <r>
      <rPr>
        <rFont val="Arial, sans-serif"/>
        <color rgb="FF1155CC"/>
        <sz val="11.0"/>
        <u/>
      </rPr>
      <t>27 jun 2024</t>
    </r>
  </si>
  <si>
    <t>Así es el nuevo restaurante de Lavapiés que ha ganado un prestigioso premio en sólo 4 meses por su menú de 17,90 €</t>
  </si>
  <si>
    <t>La casa de comidas del periodista gastronómico Pelayo Escandón y el cocinero Narciso Bermejo acaba de conseguir un solete de la Guía Repsol.</t>
  </si>
  <si>
    <t>This is the new restaurant in Lavapiés that has won a prestigious award in just 4 months for its €17.90 menu</t>
  </si>
  <si>
    <t>The restaurant owned by gastronomic journalist Pelayo Escandón and chef Narciso Bermejo has just won a solete from the Repsol Guide.</t>
  </si>
  <si>
    <r>
      <rPr>
        <rFont val="Arial, sans-serif"/>
        <color rgb="FF1155CC"/>
        <sz val="9.0"/>
        <u/>
      </rPr>
      <t>Plataforma del Estado Peruano</t>
    </r>
    <r>
      <rPr>
        <rFont val="Arial, sans-serif"/>
        <color rgb="FF1155CC"/>
        <sz val="15.0"/>
        <u/>
      </rPr>
      <t>MINEM inaugura estación de carga eléctrica, promoviendo la diversificación de la matriz energética</t>
    </r>
    <r>
      <rPr>
        <rFont val="Arial, sans-serif"/>
        <color rgb="FF1155CC"/>
        <sz val="11.0"/>
        <u/>
      </rPr>
      <t>El Ministerio de Energía y Minas (MINEM), a través de su viceministra de Hidrocarburos, Iris Cárdenas, inauguró la primera electrolinera de Repsol en el...</t>
    </r>
    <r>
      <rPr>
        <rFont val="Arial, sans-serif"/>
        <color rgb="FF1155CC"/>
        <sz val="12.0"/>
        <u/>
      </rPr>
      <t>.</t>
    </r>
    <r>
      <rPr>
        <rFont val="Arial, sans-serif"/>
        <color rgb="FF1155CC"/>
        <sz val="11.0"/>
        <u/>
      </rPr>
      <t>27 jun 2024</t>
    </r>
  </si>
  <si>
    <t>MINEM inaugura estación de carga eléctrica, promoviendo la diversificación de la matriz energética</t>
  </si>
  <si>
    <t>El Ministerio de Energía y Minas (MINEM), a través de su viceministra de Hidrocarburos, Iris Cárdenas, inauguró la primera electrolinera de Repsol en el....</t>
  </si>
  <si>
    <t>MINEM inaugurates electric charging station, promoting the diversification of the energy matrix</t>
  </si>
  <si>
    <t>The Ministry of Energy and Mines (MINEM), through its Vice Minister of Hydrocarbons, Iris Cárdenas, inaugurated Repsol's first electric station in the...</t>
  </si>
  <si>
    <t>General sustainability initiatives do not impact Repsol.</t>
  </si>
  <si>
    <t>No direct Repsol link.</t>
  </si>
  <si>
    <t>No hay vínculo directo con Repsol.</t>
  </si>
  <si>
    <r>
      <rPr>
        <rFont val="Arial, sans-serif"/>
        <color rgb="FF1155CC"/>
        <sz val="9.0"/>
        <u/>
      </rPr>
      <t>El Economista</t>
    </r>
    <r>
      <rPr>
        <rFont val="Arial, sans-serif"/>
        <color rgb="FF1155CC"/>
        <sz val="15.0"/>
        <u/>
      </rPr>
      <t>Repsol negocia la venta de un campo petrolífero en Texas por hasta 914 millones</t>
    </r>
    <r>
      <rPr>
        <rFont val="Arial, sans-serif"/>
        <color rgb="FF1155CC"/>
        <sz val="11.0"/>
        <u/>
      </rPr>
      <t>Repsol negocia la venta de una participación minoritaria del campo petrolífero de Eagle Ford, en Texas, según ha adelantado este viernes ...</t>
    </r>
    <r>
      <rPr>
        <rFont val="Arial, sans-serif"/>
        <color rgb="FF1155CC"/>
        <sz val="12.0"/>
        <u/>
      </rPr>
      <t>.</t>
    </r>
    <r>
      <rPr>
        <rFont val="Arial, sans-serif"/>
        <color rgb="FF1155CC"/>
        <sz val="11.0"/>
        <u/>
      </rPr>
      <t>28 jun 2024</t>
    </r>
  </si>
  <si>
    <t>Repsol negocia la venta de un campo petrolífero en Texas por hasta 914 millones</t>
  </si>
  <si>
    <t>Repsol negocia la venta de una participación minoritaria del campo petrolífero de Eagle Ford, en Texas, según ha adelantado este viernes ....</t>
  </si>
  <si>
    <t>Repsol negotiates the sale of an oil field in Texas for up to 914 million</t>
  </si>
  <si>
    <t>Repsol is negotiating the sale of a minority stake in the Eagle Ford oil field in Texas, as announced this Friday....</t>
  </si>
  <si>
    <t>Repsol Ecuador, business strategy</t>
  </si>
  <si>
    <t>Repsol Ecuador, estrategia empresarial</t>
  </si>
  <si>
    <t>Optimizing oil assets may improve Repsol’s financial positioning.</t>
  </si>
  <si>
    <t>venta, campo petrolífero</t>
  </si>
  <si>
    <t>Slightly negative due to asset divestment.</t>
  </si>
  <si>
    <t>Ligeramente negativo por desinversión de activos.</t>
  </si>
  <si>
    <r>
      <rPr>
        <rFont val="Arial, sans-serif"/>
        <color rgb="FF1155CC"/>
        <sz val="9.0"/>
        <u/>
      </rPr>
      <t>www.fundacionrepsol.com</t>
    </r>
    <r>
      <rPr>
        <rFont val="Arial, sans-serif"/>
        <color rgb="FF1155CC"/>
        <sz val="15.0"/>
        <u/>
      </rPr>
      <t>Conmemoración del Día Mundial del Árbol</t>
    </r>
    <r>
      <rPr>
        <rFont val="Arial, sans-serif"/>
        <color rgb="FF1155CC"/>
        <sz val="11.0"/>
        <u/>
      </rPr>
      <t>En el Día Mundial del Árbol, Fundación Repsol impulsa Motor Verde, una iniciativa de reforestación a gran escala en España y Portugal.</t>
    </r>
    <r>
      <rPr>
        <rFont val="Arial, sans-serif"/>
        <color rgb="FF1155CC"/>
        <sz val="12.0"/>
        <u/>
      </rPr>
      <t>.</t>
    </r>
    <r>
      <rPr>
        <rFont val="Arial, sans-serif"/>
        <color rgb="FF1155CC"/>
        <sz val="11.0"/>
        <u/>
      </rPr>
      <t>28 jun 2024</t>
    </r>
  </si>
  <si>
    <t>Conmemoración del Día Mundial del Árbol</t>
  </si>
  <si>
    <t>En el Día Mundial del Árbol, Fundación Repsol impulsa Motor Verde, una iniciativa de reforestación a gran escala en España y Portugal.</t>
  </si>
  <si>
    <t>Commemoration of World Tree Day</t>
  </si>
  <si>
    <t>On World Tree Day, Repsol Foundation promotes Motor Verde, a large-scale reforestation initiative in Spain and Portugal.</t>
  </si>
  <si>
    <t>Supporting environmental initiatives strengthens Repsol’s sustainability efforts.</t>
  </si>
  <si>
    <t>Unrelated to Repsol’s core operations.</t>
  </si>
  <si>
    <t>No relacionados con las operaciones principales de Repsol.</t>
  </si>
  <si>
    <r>
      <rPr>
        <rFont val="Arial, sans-serif"/>
        <color rgb="FF1155CC"/>
        <sz val="9.0"/>
        <u/>
      </rPr>
      <t>Finect</t>
    </r>
    <r>
      <rPr>
        <rFont val="Arial, sans-serif"/>
        <color rgb="FF1155CC"/>
        <sz val="15.0"/>
        <u/>
      </rPr>
      <t>Oleada de dividendos en julio: Iberdrola, Repsol y Endesa harán los mayores pagos</t>
    </r>
    <r>
      <rPr>
        <rFont val="Arial, sans-serif"/>
        <color rgb="FF1155CC"/>
        <sz val="11.0"/>
        <u/>
      </rPr>
      <t>Iberdrola, Repsol y Endesa harán los mayores pagos y entre las tres entregarán más de 3.000 millones de euros.</t>
    </r>
    <r>
      <rPr>
        <rFont val="Arial, sans-serif"/>
        <color rgb="FF1155CC"/>
        <sz val="12.0"/>
        <u/>
      </rPr>
      <t>.</t>
    </r>
    <r>
      <rPr>
        <rFont val="Arial, sans-serif"/>
        <color rgb="FF1155CC"/>
        <sz val="11.0"/>
        <u/>
      </rPr>
      <t>28 jun 2024</t>
    </r>
  </si>
  <si>
    <t>Finect</t>
  </si>
  <si>
    <t>Oleada de dividendos en julio: Iberdrola, Repsol y Endesa harán los mayores pagos</t>
  </si>
  <si>
    <t>Iberdrola, Repsol y Endesa harán los mayores pagos y entre las tres entregarán más de 3.000 millones de euros.</t>
  </si>
  <si>
    <t>Wave of dividends in July: Iberdrola, Repsol and Endesa will make the largest payments</t>
  </si>
  <si>
    <t>Iberdrola, Repsol and Endesa will make the largest payments and between the three of them they will deliver more than 3,000 million euros.</t>
  </si>
  <si>
    <t>dividendos</t>
  </si>
  <si>
    <t>Neutral-to-positive for shareholder relations.</t>
  </si>
  <si>
    <t>Neutral a positivo para las relaciones con los accionistas.</t>
  </si>
  <si>
    <r>
      <rPr>
        <rFont val="Arial, sans-serif"/>
        <color rgb="FF1155CC"/>
        <sz val="9.0"/>
        <u/>
      </rPr>
      <t>La Voz de Galicia</t>
    </r>
    <r>
      <rPr>
        <rFont val="Arial, sans-serif"/>
        <color rgb="FF1155CC"/>
        <sz val="15.0"/>
        <u/>
      </rPr>
      <t>Un Solete Repsol, la guinda a las tortillas de Casa Tomé ante su próximo cierre: «Me da pena que nadie quiera continuar»</t>
    </r>
    <r>
      <rPr>
        <rFont val="Arial, sans-serif"/>
        <color rgb="FF1155CC"/>
        <sz val="11.0"/>
        <u/>
      </rPr>
      <t>La condecoración de la referencia gastronómica llega en el penúltimo verano de este negocio familiar.</t>
    </r>
    <r>
      <rPr>
        <rFont val="Arial, sans-serif"/>
        <color rgb="FF1155CC"/>
        <sz val="12.0"/>
        <u/>
      </rPr>
      <t>.</t>
    </r>
    <r>
      <rPr>
        <rFont val="Arial, sans-serif"/>
        <color rgb="FF1155CC"/>
        <sz val="11.0"/>
        <u/>
      </rPr>
      <t>28 jun 2024</t>
    </r>
  </si>
  <si>
    <t>Un Solete Repsol, la guinda a las tortillas de Casa Tomé ante su próximo cierre: «Me da pena que nadie quiera continuar»</t>
  </si>
  <si>
    <t>La condecoración de la referencia gastronómica llega en el penúltimo verano de este negocio familiar.</t>
  </si>
  <si>
    <t>A Solete Repsol, the icing on the cake at Casa Tomé before its upcoming closure: "I'm sorry that no one wants to continue"</t>
  </si>
  <si>
    <t>The gastronomic reference award comes in the penultimate summer of this family business.</t>
  </si>
  <si>
    <r>
      <rPr>
        <rFont val="Arial, sans-serif"/>
        <color rgb="FF1155CC"/>
        <sz val="9.0"/>
        <u/>
      </rPr>
      <t>Granada Hoy</t>
    </r>
    <r>
      <rPr>
        <rFont val="Arial, sans-serif"/>
        <color rgb="FF1155CC"/>
        <sz val="15.0"/>
        <u/>
      </rPr>
      <t>Estos son los nuevos Soletes Repsol de Granada: bares míticos, restaurantes, una coctelería y una heladería de la Costa</t>
    </r>
    <r>
      <rPr>
        <rFont val="Arial, sans-serif"/>
        <color rgb="FF1155CC"/>
        <sz val="11.0"/>
        <u/>
      </rPr>
      <t>Todos ellos entran por primera vez en esta Guía gastronómica dentro del capítulo 'Los Soletes donde comen los cocineros este verano 2024'</t>
    </r>
    <r>
      <rPr>
        <rFont val="Arial, sans-serif"/>
        <color rgb="FF1155CC"/>
        <sz val="12.0"/>
        <u/>
      </rPr>
      <t>.</t>
    </r>
    <r>
      <rPr>
        <rFont val="Arial, sans-serif"/>
        <color rgb="FF1155CC"/>
        <sz val="11.0"/>
        <u/>
      </rPr>
      <t>28 jun 2024</t>
    </r>
  </si>
  <si>
    <t>Estos son los nuevos Soletes Repsol de Granada: bares míticos, restaurantes, una coctelería y una heladería de la Costa</t>
  </si>
  <si>
    <t>Todos ellos entran por primera vez en esta Guía gastronómica dentro del capítulo 'Los Soletes donde comen los cocineros este verano 2024'.</t>
  </si>
  <si>
    <t>These are the new Soletes Repsol of Granada: legendary bars, restaurants, a cocktail bar and an ice cream parlor on the Coast</t>
  </si>
  <si>
    <t>All of them appear for the first time in this Gastronomic Guide within the chapter 'Los Soletes where chefs eat this summer 2024'.</t>
  </si>
  <si>
    <r>
      <rPr>
        <rFont val="Arial, sans-serif"/>
        <color rgb="FF1155CC"/>
        <sz val="9.0"/>
        <u/>
      </rPr>
      <t>Economía Digital</t>
    </r>
    <r>
      <rPr>
        <rFont val="Arial, sans-serif"/>
        <color rgb="FF1155CC"/>
        <sz val="15.0"/>
        <u/>
      </rPr>
      <t>Repsol negocia con Neo Energy fusionar su negocio en el Mar del Norte en plenas elecciones</t>
    </r>
    <r>
      <rPr>
        <rFont val="Arial, sans-serif"/>
        <color rgb="FF1155CC"/>
        <sz val="11.0"/>
        <u/>
      </rPr>
      <t>Repsol negocia una fusión en Reino Unido en plenas elecciones, con el Partido Laborista asegurando que subirá los impuestos a las energéticas.</t>
    </r>
    <r>
      <rPr>
        <rFont val="Arial, sans-serif"/>
        <color rgb="FF1155CC"/>
        <sz val="12.0"/>
        <u/>
      </rPr>
      <t>.</t>
    </r>
    <r>
      <rPr>
        <rFont val="Arial, sans-serif"/>
        <color rgb="FF1155CC"/>
        <sz val="11.0"/>
        <u/>
      </rPr>
      <t>28 jun 2024</t>
    </r>
  </si>
  <si>
    <t>Repsol negocia con Neo Energy fusionar su negocio en el Mar del Norte en plenas elecciones</t>
  </si>
  <si>
    <t>Repsol negocia una fusión en Reino Unido en plenas elecciones, con el Partido Laborista asegurando que subirá los impuestos a las energéticas.</t>
  </si>
  <si>
    <t>Repsol negotiates with Neo Energy to merge its business in the North Sea in the midst of elections</t>
  </si>
  <si>
    <t>Repsol is negotiating a merger in the United Kingdom in the midst of elections, with the Labor Party ensuring that it will raise taxes on energy companies.</t>
  </si>
  <si>
    <t>Repsol UK, business expansion</t>
  </si>
  <si>
    <t>Repsol UK, expansión empresarial</t>
  </si>
  <si>
    <t>Expanding UK operations may strengthen Repsol’s market position.</t>
  </si>
  <si>
    <t>negocia, fusionar</t>
  </si>
  <si>
    <t>Neutral; potential strategic move.</t>
  </si>
  <si>
    <t>Neutral; posible movimiento estratégico.</t>
  </si>
  <si>
    <r>
      <rPr>
        <rFont val="Arial, sans-serif"/>
        <color rgb="FF1155CC"/>
        <sz val="9.0"/>
        <u/>
      </rPr>
      <t>Diario de Sevilla</t>
    </r>
    <r>
      <rPr>
        <rFont val="Arial, sans-serif"/>
        <color rgb="FF1155CC"/>
        <sz val="15.0"/>
        <u/>
      </rPr>
      <t>Estos son los 11 nuevos soletes de la Guía Repsol en Sevilla</t>
    </r>
    <r>
      <rPr>
        <rFont val="Arial, sans-serif"/>
        <color rgb="FF1155CC"/>
        <sz val="11.0"/>
        <u/>
      </rPr>
      <t>La Guía Repsol ha presentado este miércoles en el municipio de Lorca, en Murcia, una nueva edición de Soletes, una catalogación de los sitios que despiertan...</t>
    </r>
    <r>
      <rPr>
        <rFont val="Arial, sans-serif"/>
        <color rgb="FF1155CC"/>
        <sz val="12.0"/>
        <u/>
      </rPr>
      <t>.</t>
    </r>
    <r>
      <rPr>
        <rFont val="Arial, sans-serif"/>
        <color rgb="FF1155CC"/>
        <sz val="11.0"/>
        <u/>
      </rPr>
      <t>28 jun 2024</t>
    </r>
  </si>
  <si>
    <t>Estos son los 11 nuevos soletes de la Guía Repsol en Sevilla</t>
  </si>
  <si>
    <t>La Guía Repsol ha presentado este miércoles en el municipio de Lorca, en Murcia, una nueva edición de Soletes, una catalogación de los sitios que despiertan....</t>
  </si>
  <si>
    <t>These are the 11 new soles of the Repsol Guide in Seville</t>
  </si>
  <si>
    <t>The Repsol Guide presented this Wednesday in the municipality of Lorca, in Murcia, a new edition of Soletes, a cataloging of the sites that awaken....</t>
  </si>
  <si>
    <r>
      <rPr>
        <rFont val="Arial, sans-serif"/>
        <color rgb="FF1155CC"/>
        <sz val="9.0"/>
        <u/>
      </rPr>
      <t>Universidad Pontificia Comillas</t>
    </r>
    <r>
      <rPr>
        <rFont val="Arial, sans-serif"/>
        <color rgb="FF1155CC"/>
        <sz val="15.0"/>
        <u/>
      </rPr>
      <t>Soluciones tecnológicas para el despliegue de proyectos de biometano</t>
    </r>
    <r>
      <rPr>
        <rFont val="Arial, sans-serif"/>
        <color rgb="FF1155CC"/>
        <sz val="11.0"/>
        <u/>
      </rPr>
      <t>El Plan Nacional Integrado de Energía y Clima 2023-2030 marca un objetivo de 20 TWh de producción de biogás equivalente al menos a un 1% de biometano...</t>
    </r>
    <r>
      <rPr>
        <rFont val="Arial, sans-serif"/>
        <color rgb="FF1155CC"/>
        <sz val="12.0"/>
        <u/>
      </rPr>
      <t>.</t>
    </r>
    <r>
      <rPr>
        <rFont val="Arial, sans-serif"/>
        <color rgb="FF1155CC"/>
        <sz val="11.0"/>
        <u/>
      </rPr>
      <t>28 jun 2024</t>
    </r>
  </si>
  <si>
    <t>Soluciones tecnológicas para el despliegue de proyectos de biometano</t>
  </si>
  <si>
    <t>El Plan Nacional Integrado de Energía y Clima 2023-2030 marca un objetivo de 20 TWh de producción de biogás equivalente al menos a un 1% de biometano....</t>
  </si>
  <si>
    <t>Technological solutions for the deployment of biomethane projects</t>
  </si>
  <si>
    <t>The National Integrated Energy and Climate Plan 2023-2030 sets a target of 20 TWh of biogas production equivalent to at least 1% biomethane....</t>
  </si>
  <si>
    <t>General technology advancements do not impact Repsol directly.</t>
  </si>
  <si>
    <t>Unrelated to Repsol’s direct actions.</t>
  </si>
  <si>
    <t>Sin relación con la actuación directa de Repsol.</t>
  </si>
  <si>
    <r>
      <rPr>
        <rFont val="Arial, sans-serif"/>
        <color rgb="FF1155CC"/>
        <sz val="9.0"/>
        <u/>
      </rPr>
      <t>Guía Repsol</t>
    </r>
    <r>
      <rPr>
        <rFont val="Arial, sans-serif"/>
        <color rgb="FF1155CC"/>
        <sz val="15.0"/>
        <u/>
      </rPr>
      <t>Restaurante Sol Post: Los jóvenes chefs que agitan Formentera</t>
    </r>
    <r>
      <rPr>
        <rFont val="Arial, sans-serif"/>
        <color rgb="FF1155CC"/>
        <sz val="11.0"/>
        <u/>
      </rPr>
      <t>Apenas han cumplido los treinta y su cocina ya está dando mucho de qué hablar en Formentera. Armand Vidal, Mauro Rivas y Clara Campoamor forman el joven eq.</t>
    </r>
    <r>
      <rPr>
        <rFont val="Arial, sans-serif"/>
        <color rgb="FF1155CC"/>
        <sz val="12.0"/>
        <u/>
      </rPr>
      <t>.</t>
    </r>
    <r>
      <rPr>
        <rFont val="Arial, sans-serif"/>
        <color rgb="FF1155CC"/>
        <sz val="11.0"/>
        <u/>
      </rPr>
      <t>28 jun 2024</t>
    </r>
  </si>
  <si>
    <t>Los jóvenes chefs que agitan Formentera</t>
  </si>
  <si>
    <t>Apenas han cumplido los treinta y su cocina ya está dando mucho de qué hablar en Formentera. Armand Vidal, Mauro Rivas y Clara Campoamor forman el joven eq..</t>
  </si>
  <si>
    <t>The young chefs shaking up Formentera</t>
  </si>
  <si>
    <t>They have barely turned thirty and their cuisine is already giving a lot to talk about in Formentera. Armand Vidal, Mauro Rivas and Clara Campoamor form the young team..</t>
  </si>
  <si>
    <r>
      <rPr>
        <rFont val="Arial, sans-serif"/>
        <color rgb="FF1155CC"/>
        <sz val="9.0"/>
        <u/>
      </rPr>
      <t>Crónica Global</t>
    </r>
    <r>
      <rPr>
        <rFont val="Arial, sans-serif"/>
        <color rgb="FF1155CC"/>
        <sz val="15.0"/>
        <u/>
      </rPr>
      <t>El único buffet libre de Cataluña que aparece en la Guía Repsol: platos exquisitos por menos de 20 euros</t>
    </r>
    <r>
      <rPr>
        <rFont val="Arial, sans-serif"/>
        <color rgb="FF1155CC"/>
        <sz val="11.0"/>
        <u/>
      </rPr>
      <t>Este restaurante de Tarragona presume de ser el primero de su especialidad de todo el territorio.</t>
    </r>
    <r>
      <rPr>
        <rFont val="Arial, sans-serif"/>
        <color rgb="FF1155CC"/>
        <sz val="12.0"/>
        <u/>
      </rPr>
      <t>.</t>
    </r>
    <r>
      <rPr>
        <rFont val="Arial, sans-serif"/>
        <color rgb="FF1155CC"/>
        <sz val="11.0"/>
        <u/>
      </rPr>
      <t>28 jun 2024</t>
    </r>
  </si>
  <si>
    <t>El único buffet libre de Cataluña que aparece en la Guía Repsol: platos exquisitos por menos de 20 euros</t>
  </si>
  <si>
    <t>Este restaurante de Tarragona presume de ser el primero de su especialidad de todo el territorio.</t>
  </si>
  <si>
    <t>The only all-you-can-eat buffet in Catalonia that appears in the Repsol Guide: exquisite dishes for less than 20 euros</t>
  </si>
  <si>
    <t>This restaurant in Tarragona boasts of being the first of its specialty in the entire territory.</t>
  </si>
  <si>
    <r>
      <rPr>
        <rFont val="Arial, sans-serif"/>
        <color rgb="FF1155CC"/>
        <sz val="9.0"/>
        <u/>
      </rPr>
      <t>Diario de Cádiz</t>
    </r>
    <r>
      <rPr>
        <rFont val="Arial, sans-serif"/>
        <color rgb="FF1155CC"/>
        <sz val="15.0"/>
        <u/>
      </rPr>
      <t>La taberna de Cádiz “de toda la vida” que recomienda la Guía Repsol para este verano 2024</t>
    </r>
    <r>
      <rPr>
        <rFont val="Arial, sans-serif"/>
        <color rgb="FF1155CC"/>
        <sz val="11.0"/>
        <u/>
      </rPr>
      <t>Si eres amante del vino deberías descubrir este lugar con solera que cuenta con 92 años de historia.</t>
    </r>
    <r>
      <rPr>
        <rFont val="Arial, sans-serif"/>
        <color rgb="FF1155CC"/>
        <sz val="12.0"/>
        <u/>
      </rPr>
      <t>.</t>
    </r>
    <r>
      <rPr>
        <rFont val="Arial, sans-serif"/>
        <color rgb="FF1155CC"/>
        <sz val="11.0"/>
        <u/>
      </rPr>
      <t>28 jun 2024</t>
    </r>
  </si>
  <si>
    <t>La taberna de Cádiz “de toda la vida” que recomienda la Guía Repsol para este verano 2024</t>
  </si>
  <si>
    <t>Si eres amante del vino deberías descubrir este lugar con solera que cuenta con 92 años de historia.</t>
  </si>
  <si>
    <t>The “old” tavern in Cádiz that the Repsol Guide recommends for this summer 2024</t>
  </si>
  <si>
    <t>If you are a wine lover you should discover this traditional place that has 92 years of history.</t>
  </si>
  <si>
    <r>
      <rPr>
        <rFont val="Arial, sans-serif"/>
        <color rgb="FF1155CC"/>
        <sz val="9.0"/>
        <u/>
      </rPr>
      <t>Cadena SER</t>
    </r>
    <r>
      <rPr>
        <rFont val="Arial, sans-serif"/>
        <color rgb="FF1155CC"/>
        <sz val="15.0"/>
        <u/>
      </rPr>
      <t>¿Qué hay detrás de un festival de música?: así se monta una ciudad 'millennial' para 35.000 personas</t>
    </r>
    <r>
      <rPr>
        <rFont val="Arial, sans-serif"/>
        <color rgb="FF1155CC"/>
        <sz val="11.0"/>
        <u/>
      </rPr>
      <t>'Love The Twenties' regresa este 29 de junio con cinco escenarios, una apuesta por crear una experiencia de felicidad y un firme compromiso con la reducción...</t>
    </r>
    <r>
      <rPr>
        <rFont val="Arial, sans-serif"/>
        <color rgb="FF1155CC"/>
        <sz val="12.0"/>
        <u/>
      </rPr>
      <t>.</t>
    </r>
    <r>
      <rPr>
        <rFont val="Arial, sans-serif"/>
        <color rgb="FF1155CC"/>
        <sz val="11.0"/>
        <u/>
      </rPr>
      <t>28 jun 2024</t>
    </r>
  </si>
  <si>
    <t>¿Qué hay detrás de un festival de música?: así se monta una ciudad 'millennial' para 35.000 personas</t>
  </si>
  <si>
    <t>¿Qué hay detrás de un festival de música?: así se monta una ciudad 'millennial' para 35.000 personas. 'Love The Twenties' regresa este 29 de junio con cinco escenarios, una apuesta por crear una experiencia de felicidad y un firme compromiso con la reducción....</t>
  </si>
  <si>
    <t>What's behind a music festival?: this is how a 'millennial' city is set up for 35,000 people</t>
  </si>
  <si>
    <t>What's behind a music festival?: this is how a 'millennial' city for 35,000 people is set up. 'Love The Twenties' returns this June 29 with five scenarios, a commitment to creating an experience of happiness and a firm commitment to reduction....</t>
  </si>
  <si>
    <r>
      <rPr>
        <rFont val="Arial, sans-serif"/>
        <color rgb="FF1155CC"/>
        <sz val="9.0"/>
        <u/>
      </rPr>
      <t>Box Repsol</t>
    </r>
    <r>
      <rPr>
        <rFont val="Arial, sans-serif"/>
        <color rgb="FF1155CC"/>
        <sz val="15.0"/>
        <u/>
      </rPr>
      <t>Resultados de los entrenamientos del GP de de Holanda de MotoGP</t>
    </r>
    <r>
      <rPr>
        <rFont val="Arial, sans-serif"/>
        <color rgb="FF1155CC"/>
        <sz val="11.0"/>
        <u/>
      </rPr>
      <t>Gran inicio de 'Pecco' Bagnaia en el histórico circuito de Assen. El trazado más longevo del Mundial de MotoGP ha albergado hoy la primera jornada de...</t>
    </r>
    <r>
      <rPr>
        <rFont val="Arial, sans-serif"/>
        <color rgb="FF1155CC"/>
        <sz val="12.0"/>
        <u/>
      </rPr>
      <t>.</t>
    </r>
    <r>
      <rPr>
        <rFont val="Arial, sans-serif"/>
        <color rgb="FF1155CC"/>
        <sz val="11.0"/>
        <u/>
      </rPr>
      <t>28 jun 2024</t>
    </r>
  </si>
  <si>
    <t>Resultados de los entrenamientos del GP de de Holanda de MotoGP</t>
  </si>
  <si>
    <t>Gran inicio de 'Pecco' Bagnaia en el histórico circuito de Assen. El trazado más longevo del Mundial de MotoGP ha albergado hoy la primera jornada de....</t>
  </si>
  <si>
    <t>MotoGP Dutch GP practice results</t>
  </si>
  <si>
    <t>Great start for 'Pecco' Bagnaia at the historic Assen circuit. Today, the longest track in the MotoGP World Championship hosted the first day of....</t>
  </si>
  <si>
    <r>
      <rPr>
        <rFont val="Arial, sans-serif"/>
        <color rgb="FF1155CC"/>
        <sz val="9.0"/>
        <u/>
      </rPr>
      <t>La Voz de Galicia</t>
    </r>
    <r>
      <rPr>
        <rFont val="Arial, sans-serif"/>
        <color rgb="FF1155CC"/>
        <sz val="15.0"/>
        <u/>
      </rPr>
      <t>Los soletes Repsol reconocen la cocina tradicional de Barbanza con cinco incorporaciones</t>
    </r>
    <r>
      <rPr>
        <rFont val="Arial, sans-serif"/>
        <color rgb="FF1155CC"/>
        <sz val="11.0"/>
        <u/>
      </rPr>
      <t>La guía incluye en su lista la Taberna de Suárez, O Container, el Dandy, O Carrilo y el Areas Pub.</t>
    </r>
    <r>
      <rPr>
        <rFont val="Arial, sans-serif"/>
        <color rgb="FF1155CC"/>
        <sz val="12.0"/>
        <u/>
      </rPr>
      <t>.</t>
    </r>
    <r>
      <rPr>
        <rFont val="Arial, sans-serif"/>
        <color rgb="FF1155CC"/>
        <sz val="11.0"/>
        <u/>
      </rPr>
      <t>29 jun 2024</t>
    </r>
  </si>
  <si>
    <t>Los soletes Repsol reconocen la cocina tradicional de Barbanza con cinco incorporaciones</t>
  </si>
  <si>
    <t>La guía incluye en su lista la Taberna de Suárez, O Container, el Dandy, O Carrilo y el Areas Pub.</t>
  </si>
  <si>
    <t>Repsol soletes recognize the traditional cuisine of Barbanza with five additions</t>
  </si>
  <si>
    <t>The guide includes the Taberna de Suárez, O Container, Dandy, O Carrilo and Areas Pub on its list.</t>
  </si>
  <si>
    <r>
      <rPr>
        <rFont val="Arial, sans-serif"/>
        <color rgb="FF1155CC"/>
        <sz val="9.0"/>
        <u/>
      </rPr>
      <t>Infopuertos</t>
    </r>
    <r>
      <rPr>
        <rFont val="Arial, sans-serif"/>
        <color rgb="FF1155CC"/>
        <sz val="15.0"/>
        <u/>
      </rPr>
      <t>Trasmapi y Repsol pioneros en pruebas marítimas en España de combustible 100% renovable</t>
    </r>
    <r>
      <rPr>
        <rFont val="Arial, sans-serif"/>
        <color rgb="FF1155CC"/>
        <sz val="11.0"/>
        <u/>
      </rPr>
      <t>Hoy ha tenido lugar en Marina Ibiza la primera prueba del combustible 100% renovable para el sector marítimo, de la mano de Repsol y Trasmapi,...</t>
    </r>
    <r>
      <rPr>
        <rFont val="Arial, sans-serif"/>
        <color rgb="FF1155CC"/>
        <sz val="12.0"/>
        <u/>
      </rPr>
      <t>.</t>
    </r>
    <r>
      <rPr>
        <rFont val="Arial, sans-serif"/>
        <color rgb="FF1155CC"/>
        <sz val="11.0"/>
        <u/>
      </rPr>
      <t>29 jun 2024</t>
    </r>
  </si>
  <si>
    <t>Infopuertos</t>
  </si>
  <si>
    <t>Trasmapi y Repsol pioneros en pruebas marítimas en España de combustible 100% renovable</t>
  </si>
  <si>
    <t>Hoy ha tenido lugar en Marina Ibiza la primera prueba del combustible 100% renovable para el sector marítimo, de la mano de Repsol y Trasmapi,....</t>
  </si>
  <si>
    <t>Trasmapi and Repsol pioneers in maritime tests in Spain of 100% renewable fuel</t>
  </si>
  <si>
    <t>Today the first test of 100% renewable fuel for the maritime sector took place in Marina Ibiza, led by Repsol and Trasmapi....</t>
  </si>
  <si>
    <t>Advancing renewable fuel in maritime transport strengthens Repsol’s sustainability efforts.</t>
  </si>
  <si>
    <t>Highly positive for sustainability leadership.</t>
  </si>
  <si>
    <t>Altamente positivo para el liderazgo en sostenibilidad.</t>
  </si>
  <si>
    <r>
      <rPr>
        <rFont val="Arial, sans-serif"/>
        <color rgb="FF1155CC"/>
        <sz val="9.0"/>
        <u/>
      </rPr>
      <t>El Periódico de España</t>
    </r>
    <r>
      <rPr>
        <rFont val="Arial, sans-serif"/>
        <color rgb="FF1155CC"/>
        <sz val="15.0"/>
        <u/>
      </rPr>
      <t>El Ibex 35 reparte 4.850 millones en dividendos en julio: Iberdrola y Repsol serán los mayores pagos</t>
    </r>
    <r>
      <rPr>
        <rFont val="Arial, sans-serif"/>
        <color rgb="FF1155CC"/>
        <sz val="11.0"/>
        <u/>
      </rPr>
      <t>Si se suman las compañías del Mercado Continuo la cifra alcanza los 6.000 millones.</t>
    </r>
    <r>
      <rPr>
        <rFont val="Arial, sans-serif"/>
        <color rgb="FF1155CC"/>
        <sz val="12.0"/>
        <u/>
      </rPr>
      <t>.</t>
    </r>
    <r>
      <rPr>
        <rFont val="Arial, sans-serif"/>
        <color rgb="FF1155CC"/>
        <sz val="11.0"/>
        <u/>
      </rPr>
      <t>29 jun 2024</t>
    </r>
  </si>
  <si>
    <t>El Ibex 35 reparte 4.850 millones en dividendos en julio: Iberdrola y Repsol serán los mayores pagos</t>
  </si>
  <si>
    <t>Si se suman las compañías del Mercado Continuo la cifra alcanza los 6.000 millones.</t>
  </si>
  <si>
    <t>The Ibex 35 distributes 4,850 million in dividends in July: Iberdrola and Repsol will be the largest payments</t>
  </si>
  <si>
    <t>If the Continuous Market companies are added, the figure reaches 6,000 million.</t>
  </si>
  <si>
    <t>Strong dividend payments reinforce investor confidence in Repsol.</t>
  </si>
  <si>
    <t>Neutral-to-positive.</t>
  </si>
  <si>
    <t>Neutral a positivo.</t>
  </si>
  <si>
    <r>
      <rPr>
        <rFont val="Arial, sans-serif"/>
        <color rgb="FF1155CC"/>
        <sz val="9.0"/>
        <u/>
      </rPr>
      <t>El Comercio</t>
    </r>
    <r>
      <rPr>
        <rFont val="Arial, sans-serif"/>
        <color rgb="FF1155CC"/>
        <sz val="15.0"/>
        <u/>
      </rPr>
      <t>Los pescadores de Lastres, de primera</t>
    </r>
    <r>
      <rPr>
        <rFont val="Arial, sans-serif"/>
        <color rgb="FF1155CC"/>
        <sz val="11.0"/>
        <u/>
      </rPr>
      <t>Un grupo de trabajadores de la mar protagoniza el anuncio de combustibles reciclables de Repsol.</t>
    </r>
    <r>
      <rPr>
        <rFont val="Arial, sans-serif"/>
        <color rgb="FF1155CC"/>
        <sz val="12.0"/>
        <u/>
      </rPr>
      <t>.</t>
    </r>
    <r>
      <rPr>
        <rFont val="Arial, sans-serif"/>
        <color rgb="FF1155CC"/>
        <sz val="11.0"/>
        <u/>
      </rPr>
      <t>29 jun 2024</t>
    </r>
  </si>
  <si>
    <t>Los pescadores de Lastres, de primera</t>
  </si>
  <si>
    <t>Un grupo de trabajadores de la mar protagoniza el anuncio de combustibles reciclables de Repsol.</t>
  </si>
  <si>
    <t>The fishermen of Lastres, first class</t>
  </si>
  <si>
    <t>A group of sea workers stars in Repsol's recyclable fuels advertisement.</t>
  </si>
  <si>
    <r>
      <rPr>
        <rFont val="Arial, sans-serif"/>
        <color rgb="FF1155CC"/>
        <sz val="9.0"/>
        <u/>
      </rPr>
      <t>El Pueblo de Ceuta</t>
    </r>
    <r>
      <rPr>
        <rFont val="Arial, sans-serif"/>
        <color rgb="FF1155CC"/>
        <sz val="15.0"/>
        <u/>
      </rPr>
      <t>El chef ceutí, Hugo Ruíz, habla a la Guía Repsol de 'La Terraza de Menchu' y le otorga un Solete</t>
    </r>
    <r>
      <rPr>
        <rFont val="Arial, sans-serif"/>
        <color rgb="FF1155CC"/>
        <sz val="11.0"/>
        <u/>
      </rPr>
      <t>"Descubrir los lugares donde el verano brilla más. Esa es también la misión de los Soletes por estas fechas y para ello en esta edición, Guía Repsol ha...</t>
    </r>
    <r>
      <rPr>
        <rFont val="Arial, sans-serif"/>
        <color rgb="FF1155CC"/>
        <sz val="12.0"/>
        <u/>
      </rPr>
      <t>.</t>
    </r>
    <r>
      <rPr>
        <rFont val="Arial, sans-serif"/>
        <color rgb="FF1155CC"/>
        <sz val="11.0"/>
        <u/>
      </rPr>
      <t>29 jun 2024</t>
    </r>
  </si>
  <si>
    <t>El Pueblo de Ceuta</t>
  </si>
  <si>
    <t>El chef ceutí, Hugo Ruíz, habla a la Guía Repsol de 'La Terraza de Menchu' y le otorga un Solete</t>
  </si>
  <si>
    <t>Descubrir los lugares donde el verano brilla más. Esa es también la misión de los Soletes por estas fechas y para ello en esta edición, Guía Repsol ha....</t>
  </si>
  <si>
    <t>Ceuta chef, Hugo Ruíz, speaks to the Repsol Guide about 'La Terraza de Menchu' and awards it a Solete</t>
  </si>
  <si>
    <t>Discover the places where summer shines brightest. That is also the mission of the Soletes at this time and for this purpose in this edition, the Repsol Guide has...</t>
  </si>
  <si>
    <r>
      <rPr>
        <rFont val="Arial, sans-serif"/>
        <color rgb="FF1155CC"/>
        <sz val="9.0"/>
        <u/>
      </rPr>
      <t>EL PAÍS</t>
    </r>
    <r>
      <rPr>
        <rFont val="Arial, sans-serif"/>
        <color rgb="FF1155CC"/>
        <sz val="15.0"/>
        <u/>
      </rPr>
      <t>En MotoGP, Honda sigue remando sin avistar la orilla</t>
    </r>
    <r>
      <rPr>
        <rFont val="Arial, sans-serif"/>
        <color rgb="FF1155CC"/>
        <sz val="11.0"/>
        <u/>
      </rPr>
      <t>La fábrica más laureada del certamen continúa sumida en una crisis de resultados sin precedentes y sin mostrar señales de reacción evidentes.</t>
    </r>
    <r>
      <rPr>
        <rFont val="Arial, sans-serif"/>
        <color rgb="FF1155CC"/>
        <sz val="12.0"/>
        <u/>
      </rPr>
      <t>.</t>
    </r>
    <r>
      <rPr>
        <rFont val="Arial, sans-serif"/>
        <color rgb="FF1155CC"/>
        <sz val="11.0"/>
        <u/>
      </rPr>
      <t>29 jun 2024</t>
    </r>
  </si>
  <si>
    <t>En MotoGP, Honda sigue remando sin avistar la orilla</t>
  </si>
  <si>
    <t>La fábrica más laureada del certamen continúa sumida en una crisis de resultados sin precedentes y sin mostrar señales de reacción evidentes.</t>
  </si>
  <si>
    <t>In MotoGP, Honda continues rowing without sighting the shore</t>
  </si>
  <si>
    <t>The most successful factory in the event continues to be mired in a crisis of unprecedented results and showing no obvious signs of reaction.</t>
  </si>
  <si>
    <r>
      <rPr>
        <rFont val="Arial, sans-serif"/>
        <color rgb="FF1155CC"/>
        <sz val="9.0"/>
        <u/>
      </rPr>
      <t>Diario de Jerez</t>
    </r>
    <r>
      <rPr>
        <rFont val="Arial, sans-serif"/>
        <color rgb="FF1155CC"/>
        <sz val="15.0"/>
        <u/>
      </rPr>
      <t>Nuevos restaurantes y establecimientos de Jerez, El Puerto y Chipiona con Soletes de Repsol, elegidos por grandes chefs como Ángel León</t>
    </r>
    <r>
      <rPr>
        <rFont val="Arial, sans-serif"/>
        <color rgb="FF1155CC"/>
        <sz val="11.0"/>
        <u/>
      </rPr>
      <t>Los reconocimientos a la hostelería y a la cocina son la mejor carta de presentación de cualquier establecimiento. Aquellos que reciben distinciones son...</t>
    </r>
    <r>
      <rPr>
        <rFont val="Arial, sans-serif"/>
        <color rgb="FF1155CC"/>
        <sz val="12.0"/>
        <u/>
      </rPr>
      <t>.</t>
    </r>
    <r>
      <rPr>
        <rFont val="Arial, sans-serif"/>
        <color rgb="FF1155CC"/>
        <sz val="11.0"/>
        <u/>
      </rPr>
      <t>29 jun 2024</t>
    </r>
  </si>
  <si>
    <t>Nuevos restaurantes y establecimientos de Jerez, El Puerto y Chipiona con Soletes de Repsol, elegidos por grandes chefs como Ángel León</t>
  </si>
  <si>
    <t>Los reconocimientos a la hostelería y a la cocina son la mejor carta de presentación de cualquier establecimiento. Aquellos que reciben distinciones son....</t>
  </si>
  <si>
    <t>New restaurants and establishments in Jerez, El Puerto and Chipiona with Repsol Soletes, chosen by great chefs like Ángel León</t>
  </si>
  <si>
    <t>Recognitions for hospitality and cuisine are the best letter of introduction for any establishment. Those who receive distinctions are...</t>
  </si>
  <si>
    <r>
      <rPr>
        <rFont val="Arial, sans-serif"/>
        <color rgb="FF1155CC"/>
        <sz val="9.0"/>
        <u/>
      </rPr>
      <t>La Voz de Galicia</t>
    </r>
    <r>
      <rPr>
        <rFont val="Arial, sans-serif"/>
        <color rgb="FF1155CC"/>
        <sz val="15.0"/>
        <u/>
      </rPr>
      <t>El hidrógeno verde y el biometano esquivan la parálisis eólica en Cerceda</t>
    </r>
    <r>
      <rPr>
        <rFont val="Arial, sans-serif"/>
        <color rgb="FF1155CC"/>
        <sz val="11.0"/>
        <u/>
      </rPr>
      <t>Naturgy, Repsol y Reganosa mantienen en su hoja de ruta la puesta en marcha de dos plantas, en las que invertirán, de inicio, 216 millones de euros.</t>
    </r>
    <r>
      <rPr>
        <rFont val="Arial, sans-serif"/>
        <color rgb="FF1155CC"/>
        <sz val="12.0"/>
        <u/>
      </rPr>
      <t>.</t>
    </r>
    <r>
      <rPr>
        <rFont val="Arial, sans-serif"/>
        <color rgb="FF1155CC"/>
        <sz val="11.0"/>
        <u/>
      </rPr>
      <t>29 jun 2024</t>
    </r>
  </si>
  <si>
    <t>El hidrógeno verde y el biometano esquivan la parálisis eólica en Cerceda</t>
  </si>
  <si>
    <t>Naturgy, Repsol y Reganosa mantienen en su hoja de ruta la puesta en marcha de dos plantas, en las que invertirán, de inicio, 216 millones de euros.</t>
  </si>
  <si>
    <t>Green hydrogen and biomethane avoid wind paralysis in Cerceda</t>
  </si>
  <si>
    <t>Naturgy, Repsol and Reganosa maintain the start-up of two plants on their roadmap, in which they will initially invest 216 million euros.</t>
  </si>
  <si>
    <t>Repsol green hydrogen, sustainability initiative</t>
  </si>
  <si>
    <t>Repsol hidrógeno verde, iniciativa de sostenibilidad</t>
  </si>
  <si>
    <t>Expanding green hydrogen projects aligns with Repsol’s energy transition.</t>
  </si>
  <si>
    <r>
      <rPr>
        <rFont val="Arial, sans-serif"/>
        <color rgb="FF1155CC"/>
        <sz val="9.0"/>
        <u/>
      </rPr>
      <t>Box Repsol</t>
    </r>
    <r>
      <rPr>
        <rFont val="Arial, sans-serif"/>
        <color rgb="FF1155CC"/>
        <sz val="15.0"/>
        <u/>
      </rPr>
      <t>Resultados de la carrera sprint del GP de Holanda de MotoGP</t>
    </r>
    <r>
      <rPr>
        <rFont val="Arial, sans-serif"/>
        <color rgb="FF1155CC"/>
        <sz val="11.0"/>
        <u/>
      </rPr>
      <t>La carrera sprint del Gran Premio de Holanda no ha deparado sorpresas y ha visto como el vencedor de las dos últimas carreras, el autor del mejor tiempo de...</t>
    </r>
    <r>
      <rPr>
        <rFont val="Arial, sans-serif"/>
        <color rgb="FF1155CC"/>
        <sz val="12.0"/>
        <u/>
      </rPr>
      <t>.</t>
    </r>
    <r>
      <rPr>
        <rFont val="Arial, sans-serif"/>
        <color rgb="FF1155CC"/>
        <sz val="11.0"/>
        <u/>
      </rPr>
      <t>29 jun 2024</t>
    </r>
  </si>
  <si>
    <t>Resultados de la carrera sprint del GP de Holanda de MotoGP</t>
  </si>
  <si>
    <t>La carrera sprint del Gran Premio de Holanda no ha deparado sorpresas y ha visto como el vencedor de las dos últimas carreras, el autor del mejor tiempo de....</t>
  </si>
  <si>
    <t>MotoGP Dutch GP sprint race results</t>
  </si>
  <si>
    <t>The sprint race of the Dutch Grand Prix has not brought any surprises and has seen the winner of the last two races, the author of the best time of...</t>
  </si>
  <si>
    <r>
      <rPr>
        <rFont val="Arial, sans-serif"/>
        <color rgb="FF1155CC"/>
        <sz val="9.0"/>
        <u/>
      </rPr>
      <t>El Economista</t>
    </r>
    <r>
      <rPr>
        <rFont val="Arial, sans-serif"/>
        <color rgb="FF1155CC"/>
        <sz val="15.0"/>
        <u/>
      </rPr>
      <t>Repsol prepara una fusión con la británica Neo Energy para crecer en Reino Unido</t>
    </r>
    <r>
      <rPr>
        <rFont val="Arial, sans-serif"/>
        <color rgb="FF1155CC"/>
        <sz val="11.0"/>
        <u/>
      </rPr>
      <t>Repsol acelera su ritmo de crecimiento en el área de exploración y producción de hidrocarburos. La petrolera española prepara una fusión de su negocio de...</t>
    </r>
    <r>
      <rPr>
        <rFont val="Arial, sans-serif"/>
        <color rgb="FF1155CC"/>
        <sz val="12.0"/>
        <u/>
      </rPr>
      <t>.</t>
    </r>
    <r>
      <rPr>
        <rFont val="Arial, sans-serif"/>
        <color rgb="FF1155CC"/>
        <sz val="11.0"/>
        <u/>
      </rPr>
      <t>30 jun 2024</t>
    </r>
  </si>
  <si>
    <t>Repsol prepara una fusión con la británica Neo Energy para crecer en Reino Unido</t>
  </si>
  <si>
    <t>Repsol acelera su ritmo de crecimiento en el área de exploración y producción de hidrocarburos. La petrolera española prepara una fusión de su negocio de....</t>
  </si>
  <si>
    <t>Repsol prepares a merger with the British Neo Energy to grow in the United Kingdom</t>
  </si>
  <si>
    <t>Repsol accelerates its growth rate in the area of ​​hydrocarbon exploration and production. The Spanish oil company is preparing a merger of its...</t>
  </si>
  <si>
    <t>Expanding UK operations strengthens Repsol’s international market presence.</t>
  </si>
  <si>
    <t>fusión, crecer</t>
  </si>
  <si>
    <t>Mildly positive for strategic expansion.</t>
  </si>
  <si>
    <t>Ligeramente positivo para la expansión estratégica.</t>
  </si>
  <si>
    <r>
      <rPr>
        <rFont val="Arial, sans-serif"/>
        <color rgb="FF1155CC"/>
        <sz val="9.0"/>
        <u/>
      </rPr>
      <t>La Marina Alta .COM</t>
    </r>
    <r>
      <rPr>
        <rFont val="Arial, sans-serif"/>
        <color rgb="FF1155CC"/>
        <sz val="15.0"/>
        <u/>
      </rPr>
      <t>La Marina Alta más gastronómica: los 24 Soletes de la Guía Repsol para visitar en la comarca</t>
    </r>
    <r>
      <rPr>
        <rFont val="Arial, sans-serif"/>
        <color rgb="FF1155CC"/>
        <sz val="11.0"/>
        <u/>
      </rPr>
      <t>La Guía Repsol ofrece cada temporada un recopilatorio de los Soletes Repsol 2024 con los bares y restaurantes que merece la pena visitar durante el año.</t>
    </r>
    <r>
      <rPr>
        <rFont val="Arial, sans-serif"/>
        <color rgb="FF1155CC"/>
        <sz val="12.0"/>
        <u/>
      </rPr>
      <t>.</t>
    </r>
    <r>
      <rPr>
        <rFont val="Arial, sans-serif"/>
        <color rgb="FF1155CC"/>
        <sz val="11.0"/>
        <u/>
      </rPr>
      <t>30 jun 2024</t>
    </r>
  </si>
  <si>
    <t>La Marina Alta más gastronómica: los 24 Soletes de la Guía Repsol para visitar en la comarca</t>
  </si>
  <si>
    <t>La Guía Repsol ofrece cada temporada un recopilatorio de los Soletes Repsol 2024 con los bares y restaurantes que merece la pena visitar durante el año.</t>
  </si>
  <si>
    <t>The most gastronomic Marina Alta: the 24 Soletes of the Repsol Guide to visit in the region</t>
  </si>
  <si>
    <t>The Repsol Guide offers each season a compilation of the Repsol Soletes 2024 with the bars and restaurants that are worth visiting during the year.</t>
  </si>
  <si>
    <r>
      <rPr>
        <rFont val="Arial, sans-serif"/>
        <color rgb="FF1155CC"/>
        <sz val="9.0"/>
        <u/>
      </rPr>
      <t>Expansión</t>
    </r>
    <r>
      <rPr>
        <rFont val="Arial, sans-serif"/>
        <color rgb="FF1155CC"/>
        <sz val="15.0"/>
        <u/>
      </rPr>
      <t>Repsol negocia con NEO una fusión en el mar del Norte</t>
    </r>
    <r>
      <rPr>
        <rFont val="Arial, sans-serif"/>
        <color rgb="FF1155CC"/>
        <sz val="11.0"/>
        <u/>
      </rPr>
      <t>Repsol está negociando fusionar su negocio británico de petróleo y gas en el mar del Norte con NEO Energy, según tres fuentes del sector.</t>
    </r>
    <r>
      <rPr>
        <rFont val="Arial, sans-serif"/>
        <color rgb="FF1155CC"/>
        <sz val="12.0"/>
        <u/>
      </rPr>
      <t>.</t>
    </r>
    <r>
      <rPr>
        <rFont val="Arial, sans-serif"/>
        <color rgb="FF1155CC"/>
        <sz val="11.0"/>
        <u/>
      </rPr>
      <t>30 jun 2024</t>
    </r>
  </si>
  <si>
    <t>Repsol negocia con NEO una fusión en el mar del Norte</t>
  </si>
  <si>
    <t>Repsol está negociando fusionar su negocio británico de petróleo y gas en el mar del Norte con NEO Energy, según tres fuentes del sector.</t>
  </si>
  <si>
    <t>Repsol negotiates with NEO a merger in the North Sea</t>
  </si>
  <si>
    <t>Repsol is negotiating to merge its British North Sea oil and gas business with NEO Energy, according to three industry sources.</t>
  </si>
  <si>
    <t>Strengthening UK energy market presence reinforces Repsol’s growth strategy.</t>
  </si>
  <si>
    <t>negocia, fusión</t>
  </si>
  <si>
    <r>
      <rPr>
        <rFont val="Arial, sans-serif"/>
        <color rgb="FF1155CC"/>
        <sz val="9.0"/>
        <u/>
      </rPr>
      <t>Cinco Días</t>
    </r>
    <r>
      <rPr>
        <rFont val="Arial, sans-serif"/>
        <color rgb="FF1155CC"/>
        <sz val="15.0"/>
        <u/>
      </rPr>
      <t>Repsol, Iberdrola, Acciona y ACS: última llamada para cobrar los dividendos más atractivos del verano</t>
    </r>
    <r>
      <rPr>
        <rFont val="Arial, sans-serif"/>
        <color rgb="FF1155CC"/>
        <sz val="11.0"/>
        <u/>
      </rPr>
      <t>El calendario de pagos al accionista llega cargado de importantes desembolsos. Endesa, Redeia, Enagás, Indra o Fluidra son algunas de las cotizadas que...</t>
    </r>
    <r>
      <rPr>
        <rFont val="Arial, sans-serif"/>
        <color rgb="FF1155CC"/>
        <sz val="12.0"/>
        <u/>
      </rPr>
      <t>.</t>
    </r>
    <r>
      <rPr>
        <rFont val="Arial, sans-serif"/>
        <color rgb="FF1155CC"/>
        <sz val="11.0"/>
        <u/>
      </rPr>
      <t>30 jun 2024</t>
    </r>
  </si>
  <si>
    <t>Repsol, Iberdrola, Acciona y ACS: última llamada para cobrar los dividendos más atractivos del verano</t>
  </si>
  <si>
    <t>El calendario de pagos al accionista llega cargado de importantes desembolsos. Endesa, Redeia, Enagás, Indra o Fluidra son algunas de las cotizadas que....</t>
  </si>
  <si>
    <t>Repsol, Iberdrola, Acciona and ACS: last call to collect the most attractive dividends of the summer</t>
  </si>
  <si>
    <t>The shareholder payment schedule is loaded with important disbursements. Endesa, Redeia, Enagás, Indra and Fluidra are some of the listed companies that...</t>
  </si>
  <si>
    <t>Announcing dividends supports investor confidence in Repsol.</t>
  </si>
  <si>
    <r>
      <rPr>
        <rFont val="Arial, sans-serif"/>
        <color rgb="FF1155CC"/>
        <sz val="9.0"/>
        <u/>
      </rPr>
      <t>El Español</t>
    </r>
    <r>
      <rPr>
        <rFont val="Arial, sans-serif"/>
        <color rgb="FF1155CC"/>
        <sz val="15.0"/>
        <u/>
      </rPr>
      <t>El mejor chiringuito de Cádiz para comer según la Guía Repsol: en plena playa y con las mejores vistas</t>
    </r>
    <r>
      <rPr>
        <rFont val="Arial, sans-serif"/>
        <color rgb="FF1155CC"/>
        <sz val="11.0"/>
        <u/>
      </rPr>
      <t>Vacaciones y gastronomía van de la mano pero, si además este año tu destino es Cádiz, debes conocer una de las mejores propuestas culinarias.</t>
    </r>
    <r>
      <rPr>
        <rFont val="Arial, sans-serif"/>
        <color rgb="FF1155CC"/>
        <sz val="12.0"/>
        <u/>
      </rPr>
      <t>.</t>
    </r>
    <r>
      <rPr>
        <rFont val="Arial, sans-serif"/>
        <color rgb="FF1155CC"/>
        <sz val="11.0"/>
        <u/>
      </rPr>
      <t>30 jun 2024</t>
    </r>
  </si>
  <si>
    <t>El mejor chiringuito de Cádiz para comer según la Guía Repsol: en plena playa y con las mejores vistas</t>
  </si>
  <si>
    <t>Vacaciones y gastronomía van de la mano pero, si además este año tu destino es Cádiz, debes conocer una de las mejores propuestas culinarias.</t>
  </si>
  <si>
    <t>The best beach bar in Cádiz to eat according to the Repsol Guide: right on the beach and with the best views</t>
  </si>
  <si>
    <t>Vacations and gastronomy go hand in hand but, if this year your destination is Cádiz, you should know one of the best culinary proposals.</t>
  </si>
  <si>
    <r>
      <rPr>
        <rFont val="Arial, sans-serif"/>
        <color rgb="FF1155CC"/>
        <sz val="9.0"/>
        <u/>
      </rPr>
      <t>20Minutos</t>
    </r>
    <r>
      <rPr>
        <rFont val="Arial, sans-serif"/>
        <color rgb="FF1155CC"/>
        <sz val="15.0"/>
        <u/>
      </rPr>
      <t>El restaurante de carretera especializado en carne a la brasa: está en la Guía Repsol y lo recomiendan los camioneros</t>
    </r>
    <r>
      <rPr>
        <rFont val="Arial, sans-serif"/>
        <color rgb="FF1155CC"/>
        <sz val="11.0"/>
        <u/>
      </rPr>
      <t>En la localidad de Almadrones (Guadalajara) se encuentra el asador Área 103 que tiene más de 100 años de historia y que es una parada obligatoria para...</t>
    </r>
    <r>
      <rPr>
        <rFont val="Arial, sans-serif"/>
        <color rgb="FF1155CC"/>
        <sz val="12.0"/>
        <u/>
      </rPr>
      <t>.</t>
    </r>
    <r>
      <rPr>
        <rFont val="Arial, sans-serif"/>
        <color rgb="FF1155CC"/>
        <sz val="11.0"/>
        <u/>
      </rPr>
      <t>30 jun 2024</t>
    </r>
  </si>
  <si>
    <t>El restaurante de carretera especializado en carne a la brasa: está en la Guía Repsol y lo recomiendan los camioneros</t>
  </si>
  <si>
    <t>En la localidad de Almadrones (Guadalajara) se encuentra el asador Área 103 que tiene más de 100 años de historia y que es una parada obligatoria para....</t>
  </si>
  <si>
    <t>The roadside restaurant specializing in grilled meat: it is in the Repsol Guide and is recommended by truck drivers</t>
  </si>
  <si>
    <t>In the town of Almadrones (Guadalajara) is the Area 103 steakhouse, which has more than 100 years of history and is a mandatory stop for...</t>
  </si>
  <si>
    <r>
      <rPr>
        <rFont val="Arial, sans-serif"/>
        <color rgb="FF1155CC"/>
        <sz val="9.0"/>
        <u/>
      </rPr>
      <t>Bon Viveur</t>
    </r>
    <r>
      <rPr>
        <rFont val="Arial, sans-serif"/>
        <color rgb="FF1155CC"/>
        <sz val="15.0"/>
        <u/>
      </rPr>
      <t>Los 15 mejores restaurantes de Andalucía</t>
    </r>
    <r>
      <rPr>
        <rFont val="Arial, sans-serif"/>
        <color rgb="FF1155CC"/>
        <sz val="11.0"/>
        <u/>
      </rPr>
      <t>Estos son los mejores restaurantes de Andalucía en 2024. Coge papel y boli porque no puedes perderte nuestra selección de restaurantes andaluces...</t>
    </r>
    <r>
      <rPr>
        <rFont val="Arial, sans-serif"/>
        <color rgb="FF1155CC"/>
        <sz val="12.0"/>
        <u/>
      </rPr>
      <t>.</t>
    </r>
    <r>
      <rPr>
        <rFont val="Arial, sans-serif"/>
        <color rgb="FF1155CC"/>
        <sz val="11.0"/>
        <u/>
      </rPr>
      <t>30 jun 2024</t>
    </r>
  </si>
  <si>
    <t>Los 15 mejores restaurantes de Andalucía</t>
  </si>
  <si>
    <t>Estos son los mejores restaurantes de Andalucía en 2024. Coge papel y boli porque no puedes perderte nuestra selección de restaurantes andaluces.</t>
  </si>
  <si>
    <t>The 15 best restaurants in Andalusia</t>
  </si>
  <si>
    <t>These are the best restaurants in Andalusia in 2024. Grab a pen and paper because you can't miss our selection of Andalusian restaurants.</t>
  </si>
  <si>
    <r>
      <rPr>
        <rFont val="Arial, sans-serif"/>
        <color rgb="FF1155CC"/>
        <sz val="9.0"/>
        <u/>
      </rPr>
      <t>Huelva Información</t>
    </r>
    <r>
      <rPr>
        <rFont val="Arial, sans-serif"/>
        <color rgb="FF1155CC"/>
        <sz val="15.0"/>
        <u/>
      </rPr>
      <t>¿Dónde comer en la Playa de Mazagón?</t>
    </r>
    <r>
      <rPr>
        <rFont val="Arial, sans-serif"/>
        <color rgb="FF1155CC"/>
        <sz val="11.0"/>
        <u/>
      </rPr>
      <t>Vienes a disfrutar de la encantadora Playa de Mazagón? No olvides darle el gusto a tu paladar y apúntate estos restaurantes de categoría donde disfrutar de...</t>
    </r>
    <r>
      <rPr>
        <rFont val="Arial, sans-serif"/>
        <color rgb="FF1155CC"/>
        <sz val="12.0"/>
        <u/>
      </rPr>
      <t>.</t>
    </r>
    <r>
      <rPr>
        <rFont val="Arial, sans-serif"/>
        <color rgb="FF1155CC"/>
        <sz val="11.0"/>
        <u/>
      </rPr>
      <t>30 jun 2024</t>
    </r>
  </si>
  <si>
    <t>¿Dónde comer en la Playa de Mazagón?</t>
  </si>
  <si>
    <t>Vienes a disfrutar de la encantadora Playa de Mazagón? No olvides darle el gusto a tu paladar y apúntate estos restaurantes de categoría donde disfrutar de....</t>
  </si>
  <si>
    <t>Where to eat on Mazagón Beach?</t>
  </si>
  <si>
    <t>Are you coming to enjoy the charming Mazagón Beach? Don't forget to please your palate and sign up for these top restaurants where you can enjoy....</t>
  </si>
  <si>
    <r>
      <rPr>
        <rFont val="Arial, sans-serif"/>
        <color rgb="FF1155CC"/>
        <sz val="9.0"/>
        <u/>
      </rPr>
      <t>heraldo.es</t>
    </r>
    <r>
      <rPr>
        <rFont val="Arial, sans-serif"/>
        <color rgb="FF1155CC"/>
        <sz val="15.0"/>
        <u/>
      </rPr>
      <t>El restaurante de carretera más navarro está en Zaragoza y tiene al menos seis siglos de historia</t>
    </r>
    <r>
      <rPr>
        <rFont val="Arial, sans-serif"/>
        <color rgb="FF1155CC"/>
        <sz val="11.0"/>
        <u/>
      </rPr>
      <t>En las carreteras aragonesas hay unas cuantas paradas de este tipo. Entre las más conocidas y valoradas por los viajeros habituales se encuentra este...</t>
    </r>
    <r>
      <rPr>
        <rFont val="Arial, sans-serif"/>
        <color rgb="FF1155CC"/>
        <sz val="12.0"/>
        <u/>
      </rPr>
      <t>.</t>
    </r>
    <r>
      <rPr>
        <rFont val="Arial, sans-serif"/>
        <color rgb="FF1155CC"/>
        <sz val="11.0"/>
        <u/>
      </rPr>
      <t>30 jun 2024</t>
    </r>
  </si>
  <si>
    <t>El restaurante de carretera más navarro está en Zaragoza y tiene al menos seis siglos de historia</t>
  </si>
  <si>
    <t>En las carreteras aragonesas hay unas cuantas paradas de este tipo. Entre las más conocidas y valoradas por los viajeros habituales se encuentra este....</t>
  </si>
  <si>
    <t>The most Navarrese roadside restaurant is in Zaragoza and has at least six centuries of history</t>
  </si>
  <si>
    <t>There are a few stops of this type on Aragonese roads. Among the best known and valued by regular travelers is this one....</t>
  </si>
  <si>
    <r>
      <rPr>
        <rFont val="Arial, sans-serif"/>
        <color rgb="FF1155CC"/>
        <sz val="9.0"/>
        <u/>
      </rPr>
      <t>Ojo Público</t>
    </r>
    <r>
      <rPr>
        <rFont val="Arial, sans-serif"/>
        <color rgb="FF1155CC"/>
        <sz val="15.0"/>
        <u/>
      </rPr>
      <t>Credicorp, BBVA, Scotiabank e Interbank financiaron con USD 2.840 millones la producción de petróleo y gas en la Amazonía</t>
    </r>
    <r>
      <rPr>
        <rFont val="Arial, sans-serif"/>
        <color rgb="FF1155CC"/>
        <sz val="11.0"/>
        <u/>
      </rPr>
      <t>Tres bancos con operaciones en Perú figuran entre los 20 mayores financistas de combustibles fósiles en la Amazonía entre 2004 y 2023.</t>
    </r>
    <r>
      <rPr>
        <rFont val="Arial, sans-serif"/>
        <color rgb="FF1155CC"/>
        <sz val="12.0"/>
        <u/>
      </rPr>
      <t>.</t>
    </r>
    <r>
      <rPr>
        <rFont val="Arial, sans-serif"/>
        <color rgb="FF1155CC"/>
        <sz val="11.0"/>
        <u/>
      </rPr>
      <t>30 jun 2024</t>
    </r>
  </si>
  <si>
    <t>Credicorp, BBVA, Scotiabank e Interbank financiaron con USD 2.840 millones la producción de petróleo y gas en la Amazonía</t>
  </si>
  <si>
    <t>Tres bancos con operaciones en Perú figuran entre los 20 mayores financistas de combustibles fósiles en la Amazonía entre 2004 y 2023.</t>
  </si>
  <si>
    <t>Credicorp, BBVA, Scotiabank and Interbank financed oil and gas production in the Amazon with USD 2,840 million</t>
  </si>
  <si>
    <t>Three banks with operations in Peru are among the 20 largest financiers of fossil fuels in the Amazon between 2004 and 2023.</t>
  </si>
  <si>
    <r>
      <rPr>
        <rFont val="Arial, sans-serif"/>
        <color rgb="FF1155CC"/>
        <sz val="9.0"/>
        <u/>
      </rPr>
      <t>GCiencia</t>
    </r>
    <r>
      <rPr>
        <rFont val="Arial, sans-serif"/>
        <color rgb="FF1155CC"/>
        <sz val="15.0"/>
        <u/>
      </rPr>
      <t>Los cinco nuevos Soles Repsol con los que A Coruña muestra la calidad de su gastronomía</t>
    </r>
    <r>
      <rPr>
        <rFont val="Arial, sans-serif"/>
        <color rgb="FF1155CC"/>
        <sz val="11.0"/>
        <u/>
      </rPr>
      <t>Más de 50 inspectores e inspectoras son los encargados de decidir quién recibe un nuevo Sol de la Guía Repsol cada año. Este sistema de calificación,...</t>
    </r>
    <r>
      <rPr>
        <rFont val="Arial, sans-serif"/>
        <color rgb="FF1155CC"/>
        <sz val="12.0"/>
        <u/>
      </rPr>
      <t>.</t>
    </r>
    <r>
      <rPr>
        <rFont val="Arial, sans-serif"/>
        <color rgb="FF1155CC"/>
        <sz val="11.0"/>
        <u/>
      </rPr>
      <t>1 jul 2024</t>
    </r>
  </si>
  <si>
    <t>GCiencia</t>
  </si>
  <si>
    <t>Los cinco nuevos Soles Repsol con los que A Coruña muestra la calidad de su gastronomía</t>
  </si>
  <si>
    <t>Más de 50 inspectores e inspectoras son los encargados de decidir quién recibe un nuevo Sol de la Guía Repsol cada año. Este sistema de calificación,....</t>
  </si>
  <si>
    <t>The five new Repsol Suns with which A Coruña shows the quality of its gastronomy</t>
  </si>
  <si>
    <t>More than 50 inspectors are in charge of deciding who receives a new Repsol Guide Sol each year. This rating system,....</t>
  </si>
  <si>
    <r>
      <rPr>
        <rFont val="Arial, sans-serif"/>
        <color rgb="FF1155CC"/>
        <sz val="9.0"/>
        <u/>
      </rPr>
      <t>dotb Durangaldeko Telebista</t>
    </r>
    <r>
      <rPr>
        <rFont val="Arial, sans-serif"/>
        <color rgb="FF1155CC"/>
        <sz val="15.0"/>
        <u/>
      </rPr>
      <t>La pastelería Ayarza de Amorebieta consigue su primer ‘Solete’ de Repsol</t>
    </r>
    <r>
      <rPr>
        <rFont val="Arial, sans-serif"/>
        <color rgb="FF1155CC"/>
        <sz val="11.0"/>
        <u/>
      </rPr>
      <t>"Durangaldeko informazio osoa argazki, bideo eta agendarekin. Últimas noticias de Durangaldea con la más completa actualidad con fotos, vídeos, y agenda"</t>
    </r>
    <r>
      <rPr>
        <rFont val="Arial, sans-serif"/>
        <color rgb="FF1155CC"/>
        <sz val="12.0"/>
        <u/>
      </rPr>
      <t>.</t>
    </r>
    <r>
      <rPr>
        <rFont val="Arial, sans-serif"/>
        <color rgb="FF1155CC"/>
        <sz val="11.0"/>
        <u/>
      </rPr>
      <t>1 jul 2024</t>
    </r>
  </si>
  <si>
    <t>Durangaldeko Telebista</t>
  </si>
  <si>
    <t>La pastelería Ayarza de Amorebieta consigue su primer ‘Solete’ de Repsol</t>
  </si>
  <si>
    <t>"La pastelería Ayarza de Amorebieta consigue su primer ‘Solete’ de Repsol."</t>
  </si>
  <si>
    <t>The Ayarza pastry shop in Amorebieta gets its first 'Solete' from Repsol</t>
  </si>
  <si>
    <t>"The Ayarza pastry shop in Amorebieta gets its first 'Solete' from Repsol."</t>
  </si>
  <si>
    <r>
      <rPr>
        <rFont val="Arial, sans-serif"/>
        <color rgb="FF1155CC"/>
        <sz val="9.0"/>
        <u/>
      </rPr>
      <t>Crónica Global</t>
    </r>
    <r>
      <rPr>
        <rFont val="Arial, sans-serif"/>
        <color rgb="FF1155CC"/>
        <sz val="15.0"/>
        <u/>
      </rPr>
      <t>El buffet libre de carretera que conquista a la guía Repsol: cocina de temporada y muy buen precio</t>
    </r>
    <r>
      <rPr>
        <rFont val="Arial, sans-serif"/>
        <color rgb="FF1155CC"/>
        <sz val="11.0"/>
        <u/>
      </rPr>
      <t>Este restaurante de Cataluña es el único de su categoría que aparece en la guía gastronómica.</t>
    </r>
    <r>
      <rPr>
        <rFont val="Arial, sans-serif"/>
        <color rgb="FF1155CC"/>
        <sz val="12.0"/>
        <u/>
      </rPr>
      <t>.</t>
    </r>
    <r>
      <rPr>
        <rFont val="Arial, sans-serif"/>
        <color rgb="FF1155CC"/>
        <sz val="11.0"/>
        <u/>
      </rPr>
      <t>1 jul 2024</t>
    </r>
  </si>
  <si>
    <t>El buffet libre de carretera que conquista a la guía Repsol: cocina de temporada y muy buen precio</t>
  </si>
  <si>
    <t>Este restaurante de Cataluña es el único de su categoría que aparece en la guía gastronómica.</t>
  </si>
  <si>
    <t>The free roadside buffet that conquers the Repsol guide: seasonal cuisine and a very good price</t>
  </si>
  <si>
    <t>This restaurant in Catalonia is the only one of its category that appears in the gastronomic guide.</t>
  </si>
  <si>
    <r>
      <rPr>
        <rFont val="Arial, sans-serif"/>
        <color rgb="FF1155CC"/>
        <sz val="9.0"/>
        <u/>
      </rPr>
      <t>El Economista</t>
    </r>
    <r>
      <rPr>
        <rFont val="Arial, sans-serif"/>
        <color rgb="FF1155CC"/>
        <sz val="15.0"/>
        <u/>
      </rPr>
      <t>Repsol alcanza las 350 estaciones de servicio con combustible 100% renovable en España y Portugal</t>
    </r>
    <r>
      <rPr>
        <rFont val="Arial, sans-serif"/>
        <color rgb="FF1155CC"/>
        <sz val="11.0"/>
        <u/>
      </rPr>
      <t>La compañía ha recalcado que también prevé replicar este modelo en un tercer centro industrial en España antes del año 2030, ya que tiene como objetivo...</t>
    </r>
    <r>
      <rPr>
        <rFont val="Arial, sans-serif"/>
        <color rgb="FF1155CC"/>
        <sz val="12.0"/>
        <u/>
      </rPr>
      <t>.</t>
    </r>
    <r>
      <rPr>
        <rFont val="Arial, sans-serif"/>
        <color rgb="FF1155CC"/>
        <sz val="11.0"/>
        <u/>
      </rPr>
      <t>1 jul 2024</t>
    </r>
  </si>
  <si>
    <t>Repsol alcanza las 350 estaciones de servicio con combustible 100% renovable en España y Portugal</t>
  </si>
  <si>
    <t>La compañía ha recalcado que también prevé replicar este modelo en un tercer centro industrial en España antes del año 2030, ya que tiene como objetivo....</t>
  </si>
  <si>
    <t>Repsol reaches 350 service stations with 100% renewable fuel in Spain and Portugal</t>
  </si>
  <si>
    <t>The company has stressed that it also plans to replicate this model in a third industrial center in Spain before 2030, since it aims to...</t>
  </si>
  <si>
    <t>Repsol renewable energy, business expansion</t>
  </si>
  <si>
    <t>Repsol energías renovables, expansión empresarial</t>
  </si>
  <si>
    <t>Expanding renewable energy infrastructure aligns with Repsol’s sustainability goals.</t>
  </si>
  <si>
    <t>Highly positive for sustainability milestone.</t>
  </si>
  <si>
    <t>Hito muy positivo para la sostenibilidad.</t>
  </si>
  <si>
    <r>
      <rPr>
        <rFont val="Arial, sans-serif"/>
        <color rgb="FF1155CC"/>
        <sz val="9.0"/>
        <u/>
      </rPr>
      <t>Economía Digital</t>
    </r>
    <r>
      <rPr>
        <rFont val="Arial, sans-serif"/>
        <color rgb="FF1155CC"/>
        <sz val="15.0"/>
        <u/>
      </rPr>
      <t>Estas son las gasolineras más baratas según la OCU (no son ni Repsol ni Cepsa)</t>
    </r>
    <r>
      <rPr>
        <rFont val="Arial, sans-serif"/>
        <color rgb="FF1155CC"/>
        <sz val="11.0"/>
        <u/>
      </rPr>
      <t>La Organización de Consumidores y Usuarios (OCU) revela las gasolineras donde se puede repostar de forma más económica.</t>
    </r>
    <r>
      <rPr>
        <rFont val="Arial, sans-serif"/>
        <color rgb="FF1155CC"/>
        <sz val="12.0"/>
        <u/>
      </rPr>
      <t>.</t>
    </r>
    <r>
      <rPr>
        <rFont val="Arial, sans-serif"/>
        <color rgb="FF1155CC"/>
        <sz val="11.0"/>
        <u/>
      </rPr>
      <t>1 jul 2024</t>
    </r>
  </si>
  <si>
    <t>Estas son las gasolineras más baratas según la OCU (no son ni Repsol ni Cepsa)</t>
  </si>
  <si>
    <t>La Organización de Consumidores y Usuarios (OCU) revela las gasolineras donde se puede repostar de forma más económica.</t>
  </si>
  <si>
    <t>These are the cheapest gas stations according to the OCU (they are neither Repsol nor Cepsa)</t>
  </si>
  <si>
    <t>The Organization of Consumers and Users (OCU) reveals the gas stations where you can refuel more economically.</t>
  </si>
  <si>
    <r>
      <rPr>
        <rFont val="Arial, sans-serif"/>
        <color rgb="FF1155CC"/>
        <sz val="9.0"/>
        <u/>
      </rPr>
      <t>Xabia al Día</t>
    </r>
    <r>
      <rPr>
        <rFont val="Arial, sans-serif"/>
        <color rgb="FF1155CC"/>
        <sz val="15.0"/>
        <u/>
      </rPr>
      <t>El Trinquet y La Cantina confirman que sigue sin ponerse el sol sobre la gastronomía de Xàbia</t>
    </r>
    <r>
      <rPr>
        <rFont val="Arial, sans-serif"/>
        <color rgb="FF1155CC"/>
        <sz val="11.0"/>
        <u/>
      </rPr>
      <t>Desde que la multinacional energética Repsol creó, en 2021, el título de Solete Repsol, la gastronomía de Xàbia no ha dejado de sumar astros a su guía más...</t>
    </r>
    <r>
      <rPr>
        <rFont val="Arial, sans-serif"/>
        <color rgb="FF1155CC"/>
        <sz val="12.0"/>
        <u/>
      </rPr>
      <t>.</t>
    </r>
    <r>
      <rPr>
        <rFont val="Arial, sans-serif"/>
        <color rgb="FF1155CC"/>
        <sz val="11.0"/>
        <u/>
      </rPr>
      <t>1 jul 2024</t>
    </r>
  </si>
  <si>
    <t>Xabia al Día</t>
  </si>
  <si>
    <t>El Trinquet y La Cantina confirman que sigue sin ponerse el sol sobre la gastronomía de Xàbia</t>
  </si>
  <si>
    <t>Desde que la multinacional energética Repsol creó, en 2021, el título de Solete Repsol, la gastronomía de Xàbia no ha dejado de sumar astros a su guía más....</t>
  </si>
  <si>
    <t>El Trinquet and La Cantina confirm that the sun has not set on the gastronomy of Xàbia</t>
  </si>
  <si>
    <t>Since the energy multinational Repsol created, in 2021, the title of Solete Repsol, the gastronomy of Xàbia has not stopped adding stars to its guide....</t>
  </si>
  <si>
    <r>
      <rPr>
        <rFont val="Arial, sans-serif"/>
        <color rgb="FF1155CC"/>
        <sz val="9.0"/>
        <u/>
      </rPr>
      <t>20Minutos</t>
    </r>
    <r>
      <rPr>
        <rFont val="Arial, sans-serif"/>
        <color rgb="FF1155CC"/>
        <sz val="15.0"/>
        <u/>
      </rPr>
      <t>Las 4 cadenas de gasolineras más baratas de España según la OCU</t>
    </r>
    <r>
      <rPr>
        <rFont val="Arial, sans-serif"/>
        <color rgb="FF1155CC"/>
        <sz val="11.0"/>
        <u/>
      </rPr>
      <t>Para ahorrar en combustible, la clave está en elegir estaciones de servicio con buenos precios. La OCU ha comparado más de 10.000 gasolineras y...</t>
    </r>
    <r>
      <rPr>
        <rFont val="Arial, sans-serif"/>
        <color rgb="FF1155CC"/>
        <sz val="12.0"/>
        <u/>
      </rPr>
      <t>.</t>
    </r>
    <r>
      <rPr>
        <rFont val="Arial, sans-serif"/>
        <color rgb="FF1155CC"/>
        <sz val="11.0"/>
        <u/>
      </rPr>
      <t>1 jul 2024</t>
    </r>
  </si>
  <si>
    <t>Las 4 cadenas de gasolineras más baratas de España según la OCU</t>
  </si>
  <si>
    <t>Para ahorrar en combustible, la clave está en elegir estaciones de servicio con buenos precios. La OCU ha comparado más de 10.000 gasolineras y....</t>
  </si>
  <si>
    <t>The 4 cheapest gas station chains in Spain according to the OCU</t>
  </si>
  <si>
    <t>To save on fuel, the key is to choose service stations with good prices. The OCU has compared more than 10,000 gas stations and....</t>
  </si>
  <si>
    <r>
      <rPr>
        <rFont val="Arial, sans-serif"/>
        <color rgb="FF1155CC"/>
        <sz val="9.0"/>
        <u/>
      </rPr>
      <t>El Economista</t>
    </r>
    <r>
      <rPr>
        <rFont val="Arial, sans-serif"/>
        <color rgb="FF1155CC"/>
        <sz val="15.0"/>
        <u/>
      </rPr>
      <t>Las seis gasolineras que recomienda OCU por ser las más baratas tras analizar más de treinta</t>
    </r>
    <r>
      <rPr>
        <rFont val="Arial, sans-serif"/>
        <color rgb="FF1155CC"/>
        <sz val="11.0"/>
        <u/>
      </rPr>
      <t>Para muchos conductores, elegir una gasolinera económica a la hora de repostar resulta primordial. Los elevados precios de los combustibles acarrean...</t>
    </r>
    <r>
      <rPr>
        <rFont val="Arial, sans-serif"/>
        <color rgb="FF1155CC"/>
        <sz val="12.0"/>
        <u/>
      </rPr>
      <t>.</t>
    </r>
    <r>
      <rPr>
        <rFont val="Arial, sans-serif"/>
        <color rgb="FF1155CC"/>
        <sz val="11.0"/>
        <u/>
      </rPr>
      <t>1 jul 2024</t>
    </r>
  </si>
  <si>
    <t>Las seis gasolineras que recomienda OCU por ser las más baratas tras analizar más de treinta</t>
  </si>
  <si>
    <t>Para muchos conductores, elegir una gasolinera económica a la hora de repostar resulta primordial. Los elevados precios de los combustibles acarrean....</t>
  </si>
  <si>
    <t>The six gas stations that OCU recommends for being the cheapest after analyzing more than thirty</t>
  </si>
  <si>
    <t>For many drivers, choosing an affordable gas station when refueling is essential. High fuel prices lead to...</t>
  </si>
  <si>
    <r>
      <rPr>
        <rFont val="Arial, sans-serif"/>
        <color rgb="FF1155CC"/>
        <sz val="9.0"/>
        <u/>
      </rPr>
      <t>Business Insider España</t>
    </r>
    <r>
      <rPr>
        <rFont val="Arial, sans-serif"/>
        <color rgb="FF1155CC"/>
        <sz val="15.0"/>
        <u/>
      </rPr>
      <t>Calendario de dividendos para julio de 2024: estas son las empresas que repartirán beneficios en España</t>
    </r>
    <r>
      <rPr>
        <rFont val="Arial, sans-serif"/>
        <color rgb="FF1155CC"/>
        <sz val="11.0"/>
        <u/>
      </rPr>
      <t>Consulta el calendario de dividendos para junio para saber cuáles son las compañías que mejor pagan a los accionistas en el séptimo mes del año.</t>
    </r>
    <r>
      <rPr>
        <rFont val="Arial, sans-serif"/>
        <color rgb="FF1155CC"/>
        <sz val="12.0"/>
        <u/>
      </rPr>
      <t>.</t>
    </r>
    <r>
      <rPr>
        <rFont val="Arial, sans-serif"/>
        <color rgb="FF1155CC"/>
        <sz val="11.0"/>
        <u/>
      </rPr>
      <t>1 jul 2024</t>
    </r>
  </si>
  <si>
    <t>Business Insider España</t>
  </si>
  <si>
    <t>Calendario de dividendos para julio de 2024: estas son las empresas que repartirán beneficios en España</t>
  </si>
  <si>
    <t>Consulta el calendario de dividendos para junio para saber cuáles son las compañías que mejor pagan a los accionistas en el séptimo mes del año.</t>
  </si>
  <si>
    <t>Dividend calendar for July 2024: these are the companies that will distribute profits in Spain</t>
  </si>
  <si>
    <t>Check the dividend calendar for June to find out which companies pay shareholders the best in the seventh month of the year.</t>
  </si>
  <si>
    <r>
      <rPr>
        <rFont val="Arial, sans-serif"/>
        <color rgb="FF1155CC"/>
        <sz val="9.0"/>
        <u/>
      </rPr>
      <t>Box Repsol</t>
    </r>
    <r>
      <rPr>
        <rFont val="Arial, sans-serif"/>
        <color rgb="FF1155CC"/>
        <sz val="15.0"/>
        <u/>
      </rPr>
      <t>GP Alemania MotoGP 2024: Horarios y dónde ver por TV y online</t>
    </r>
    <r>
      <rPr>
        <rFont val="Arial, sans-serif"/>
        <color rgb="FF1155CC"/>
        <sz val="11.0"/>
        <u/>
      </rPr>
      <t>El equipo Repsol Honda viaja a Sachsenring para disputar el GP de Alemania. Descubre los horarios y dónde ver las carreras.</t>
    </r>
    <r>
      <rPr>
        <rFont val="Arial, sans-serif"/>
        <color rgb="FF1155CC"/>
        <sz val="12.0"/>
        <u/>
      </rPr>
      <t>.</t>
    </r>
    <r>
      <rPr>
        <rFont val="Arial, sans-serif"/>
        <color rgb="FF1155CC"/>
        <sz val="11.0"/>
        <u/>
      </rPr>
      <t>1 jul 2024</t>
    </r>
  </si>
  <si>
    <t>RepsolGP Alemania MotoGP 2024: Horarios y dónde ver por TV y online</t>
  </si>
  <si>
    <t>El equipo Repsol Honda viaja a Sachsenring para disputar el GP de Alemania. Descubre los horarios y dónde ver las carreras.</t>
  </si>
  <si>
    <t>RepsolGP Germany MotoGP 2024: Schedules and where to watch on TV and online</t>
  </si>
  <si>
    <t>The Repsol Honda team travels to Sachsenring to compete in the German GP. Discover the schedules and where to watch the races.</t>
  </si>
  <si>
    <r>
      <rPr>
        <rFont val="Arial, sans-serif"/>
        <color rgb="FF1155CC"/>
        <sz val="9.0"/>
        <u/>
      </rPr>
      <t>Atlántico Hoy</t>
    </r>
    <r>
      <rPr>
        <rFont val="Arial, sans-serif"/>
        <color rgb="FF1155CC"/>
        <sz val="15.0"/>
        <u/>
      </rPr>
      <t>El mejor chiringuito de Canarias para comer pescado y marisco: en una playa idílica de arena negra</t>
    </r>
    <r>
      <rPr>
        <rFont val="Arial, sans-serif"/>
        <color rgb="FF1155CC"/>
        <sz val="11.0"/>
        <u/>
      </rPr>
      <t>Es todo un referente en cuanto a platos de pescado, chocos y marisco y está en un enclave idílico.</t>
    </r>
    <r>
      <rPr>
        <rFont val="Arial, sans-serif"/>
        <color rgb="FF1155CC"/>
        <sz val="12.0"/>
        <u/>
      </rPr>
      <t>.</t>
    </r>
    <r>
      <rPr>
        <rFont val="Arial, sans-serif"/>
        <color rgb="FF1155CC"/>
        <sz val="11.0"/>
        <u/>
      </rPr>
      <t>1 jul 2024</t>
    </r>
  </si>
  <si>
    <t>El mejor chiringuito de Canarias para comer pescado y marisco: en una playa idílica de arena negra</t>
  </si>
  <si>
    <t>Es todo un referente en cuanto a platos de pescado, chocos y marisco y está en un enclave idílico.</t>
  </si>
  <si>
    <t>The best beach bar in the Canary Islands to eat fish and seafood: on an idyllic black sand beach</t>
  </si>
  <si>
    <t>It is a benchmark in terms of fish, cuttlefish and seafood dishes and is in an idyllic location.</t>
  </si>
  <si>
    <r>
      <rPr>
        <rFont val="Arial, sans-serif"/>
        <color rgb="FF1155CC"/>
        <sz val="9.0"/>
        <u/>
      </rPr>
      <t>Infobae</t>
    </r>
    <r>
      <rPr>
        <rFont val="Arial, sans-serif"/>
        <color rgb="FF1155CC"/>
        <sz val="15.0"/>
        <u/>
      </rPr>
      <t>Las 7 mejores terrazas a pie de playa en la Comunidad Valenciana: mojitos, buena música y mejor gastronomía</t>
    </r>
    <r>
      <rPr>
        <rFont val="Arial, sans-serif"/>
        <color rgb="FF1155CC"/>
        <sz val="11.0"/>
        <u/>
      </rPr>
      <t>Estos bares, restaurantes y chiringuitos llevan la cocina mediterránea a su máxima expresión, con arroces, pescados y carnes a la brasa servidos en terrazas...</t>
    </r>
    <r>
      <rPr>
        <rFont val="Arial, sans-serif"/>
        <color rgb="FF1155CC"/>
        <sz val="12.0"/>
        <u/>
      </rPr>
      <t>.</t>
    </r>
    <r>
      <rPr>
        <rFont val="Arial, sans-serif"/>
        <color rgb="FF1155CC"/>
        <sz val="11.0"/>
        <u/>
      </rPr>
      <t>1 jul 2024</t>
    </r>
  </si>
  <si>
    <t>Las 7 mejores terrazas a pie de playa en la Comunidad Valenciana: mojitos, buena música y mejor gastronomía</t>
  </si>
  <si>
    <t>Estos bares, restaurantes y chiringuitos llevan la cocina mediterránea a su máxima expresión, con arroces, pescados y carnes a la brasa servidos en terrazas....</t>
  </si>
  <si>
    <t>The 7 best terraces on the beach in the Valencian Community: mojitos, good music and best gastronomy</t>
  </si>
  <si>
    <t>These bars, restaurants and beach bars take Mediterranean cuisine to its maximum expression, with rice, fish and grilled meats served on terraces....</t>
  </si>
  <si>
    <r>
      <rPr>
        <rFont val="Arial, sans-serif"/>
        <color rgb="FF1155CC"/>
        <sz val="9.0"/>
        <u/>
      </rPr>
      <t>La Voz de Asturias</t>
    </r>
    <r>
      <rPr>
        <rFont val="Arial, sans-serif"/>
        <color rgb="FF1155CC"/>
        <sz val="15.0"/>
        <u/>
      </rPr>
      <t>Estos son los bares y restaurantes de Asturias favoritos de dos de los mejores chefs de España</t>
    </r>
    <r>
      <rPr>
        <rFont val="Arial, sans-serif"/>
        <color rgb="FF1155CC"/>
        <sz val="11.0"/>
        <u/>
      </rPr>
      <t>Los afamados cocineros Marcos Morán, de Casa Gerardo, y Pedro Martino, del restaurante ovetense que lleva su nombre, recomiendan 14 locales que pueden...</t>
    </r>
    <r>
      <rPr>
        <rFont val="Arial, sans-serif"/>
        <color rgb="FF1155CC"/>
        <sz val="12.0"/>
        <u/>
      </rPr>
      <t>.</t>
    </r>
    <r>
      <rPr>
        <rFont val="Arial, sans-serif"/>
        <color rgb="FF1155CC"/>
        <sz val="11.0"/>
        <u/>
      </rPr>
      <t>1 jul 2024</t>
    </r>
  </si>
  <si>
    <t>Estos son los bares y restaurantes de Asturias favoritos de dos de los mejores chefs de España</t>
  </si>
  <si>
    <t>Los afamados cocineros Marcos Morán, de Casa Gerardo, y Pedro Martino, del restaurante ovetense que lleva su nombre, recomiendan 14 locales que pueden....</t>
  </si>
  <si>
    <t>These are the favorite bars and restaurants in Asturias of two of the best chefs in Spain</t>
  </si>
  <si>
    <t>The famous chefs Marcos Morán, from Casa Gerardo, and Pedro Martino, from the Oviedo restaurant that bears their name, recommend 14 places that can...</t>
  </si>
  <si>
    <r>
      <rPr>
        <rFont val="Arial, sans-serif"/>
        <color rgb="FF1155CC"/>
        <sz val="9.0"/>
        <u/>
      </rPr>
      <t>El Español</t>
    </r>
    <r>
      <rPr>
        <rFont val="Arial, sans-serif"/>
        <color rgb="FF1155CC"/>
        <sz val="15.0"/>
        <u/>
      </rPr>
      <t>El restaurante en la playa de Chiclana de la Frontera con las mejores carnes y pescados a la parrilla a buen precio</t>
    </r>
    <r>
      <rPr>
        <rFont val="Arial, sans-serif"/>
        <color rgb="FF1155CC"/>
        <sz val="11.0"/>
        <u/>
      </rPr>
      <t>Recomendado por la Guía Repsol, el establecimiento es una de las joyas gastronómicas que esconde el hotel Palacio Sancti Petri.</t>
    </r>
    <r>
      <rPr>
        <rFont val="Arial, sans-serif"/>
        <color rgb="FF1155CC"/>
        <sz val="12.0"/>
        <u/>
      </rPr>
      <t>.</t>
    </r>
    <r>
      <rPr>
        <rFont val="Arial, sans-serif"/>
        <color rgb="FF1155CC"/>
        <sz val="11.0"/>
        <u/>
      </rPr>
      <t>1 jul 2024</t>
    </r>
  </si>
  <si>
    <t>El restaurante en la playa de Chiclana de la Frontera con las mejores carnes y pescados a la parrilla a buen precio</t>
  </si>
  <si>
    <t>El restaurante en la playa de Chiclana de la Frontera con las mejores carnes y pescados a la parrilla a buen precio. Recomendado por la Guía Repsol, el establecimiento es una de las joyas gastronómicas que esconde el hotel Palacio Sancti Petri.</t>
  </si>
  <si>
    <t>The restaurant on the beach in Chiclana de la Frontera with the best grilled meats and fish at a good price</t>
  </si>
  <si>
    <t>The restaurant on the beach in Chiclana de la Frontera with the best grilled meats and fish at a good price. Recommended by the Repsol Guide, the establishment is one of the gastronomic jewels hidden in the Palacio Sancti Petri hotel.</t>
  </si>
  <si>
    <r>
      <rPr>
        <rFont val="Arial, sans-serif"/>
        <color rgb="FF1155CC"/>
        <sz val="9.0"/>
        <u/>
      </rPr>
      <t>20Minutos</t>
    </r>
    <r>
      <rPr>
        <rFont val="Arial, sans-serif"/>
        <color rgb="FF1155CC"/>
        <sz val="15.0"/>
        <u/>
      </rPr>
      <t>Repsol alcanza las 350 gasolineras en la península con combustible 100% renovable</t>
    </r>
    <r>
      <rPr>
        <rFont val="Arial, sans-serif"/>
        <color rgb="FF1155CC"/>
        <sz val="11.0"/>
        <u/>
      </rPr>
      <t>Repsol ha alcanzado las 350 estaciones de servicio en España y Portugal en las que ofrece combustible 100% renovable a sus clientes, según ha informado la...</t>
    </r>
    <r>
      <rPr>
        <rFont val="Arial, sans-serif"/>
        <color rgb="FF1155CC"/>
        <sz val="12.0"/>
        <u/>
      </rPr>
      <t>.</t>
    </r>
    <r>
      <rPr>
        <rFont val="Arial, sans-serif"/>
        <color rgb="FF1155CC"/>
        <sz val="11.0"/>
        <u/>
      </rPr>
      <t>2 jul 2024</t>
    </r>
  </si>
  <si>
    <t>Repsol alcanza las 350 gasolineras en la península con combustible 100% renovable</t>
  </si>
  <si>
    <t>Repsol ha alcanzado las 350 estaciones de servicio en España y Portugal en las que ofrece combustible 100% renovable a sus clientes, según ha informado la....</t>
  </si>
  <si>
    <t>Repsol reaches 350 gas stations on the peninsula with 100% renewable fuel</t>
  </si>
  <si>
    <t>Repsol has reached 350 service stations in Spain and Portugal where it offers 100% renewable fuel to its customers, as reported by the...</t>
  </si>
  <si>
    <t>Expanding renewable energy in service stations aligns with Repsol’s green transition.</t>
  </si>
  <si>
    <r>
      <rPr>
        <rFont val="Arial, sans-serif"/>
        <color rgb="FF1155CC"/>
        <sz val="9.0"/>
        <u/>
      </rPr>
      <t>Cinco Días</t>
    </r>
    <r>
      <rPr>
        <rFont val="Arial, sans-serif"/>
        <color rgb="FF1155CC"/>
        <sz val="15.0"/>
        <u/>
      </rPr>
      <t>El Corte Inglés vende a Repsol el 45% del negocio conjunto de estaciones de servicio</t>
    </r>
    <r>
      <rPr>
        <rFont val="Arial, sans-serif"/>
        <color rgb="FF1155CC"/>
        <sz val="11.0"/>
        <u/>
      </rPr>
      <t>Fin a 25 años de negocio conjunto. Repsol y El Corte Inglés han dejado de compartir al 50% el capital de Gestión de Puntos de Venta (Gespevesa),...</t>
    </r>
    <r>
      <rPr>
        <rFont val="Arial, sans-serif"/>
        <color rgb="FF1155CC"/>
        <sz val="12.0"/>
        <u/>
      </rPr>
      <t>.</t>
    </r>
    <r>
      <rPr>
        <rFont val="Arial, sans-serif"/>
        <color rgb="FF1155CC"/>
        <sz val="11.0"/>
        <u/>
      </rPr>
      <t>2 jul 2024</t>
    </r>
  </si>
  <si>
    <t>El Corte Inglés vende a Repsol el 45% del negocio conjunto de estaciones de servicio</t>
  </si>
  <si>
    <t>Fin a 25 años de negocio conjunto. Repsol y El Corte Inglés han dejado de compartir al 50% el capital de Gestión de Puntos de Venta (Gespevesa),....</t>
  </si>
  <si>
    <t>El Corte Inglés sells 45% of the joint service station business to Repsol</t>
  </si>
  <si>
    <t>End of 25 years of joint business. Repsol and El Corte Inglés have stopped sharing 50% of the capital of Point of Sale Management (Gespevesa),....</t>
  </si>
  <si>
    <t>Repsol business expansion, corporate acquisition</t>
  </si>
  <si>
    <t>Expansión del negocio de Repsol, adquisición corporativa</t>
  </si>
  <si>
    <t>Strengthening fuel retail ownership reinforces Repsol’s market position.</t>
  </si>
  <si>
    <t>vende</t>
  </si>
  <si>
    <t>Neutral-to-negative for partnership dissolution.</t>
  </si>
  <si>
    <t>Neutral a negativo para disolución de sociedad.</t>
  </si>
  <si>
    <r>
      <rPr>
        <rFont val="Arial, sans-serif"/>
        <color rgb="FF1155CC"/>
        <sz val="9.0"/>
        <u/>
      </rPr>
      <t>El Periódico de España</t>
    </r>
    <r>
      <rPr>
        <rFont val="Arial, sans-serif"/>
        <color rgb="FF1155CC"/>
        <sz val="15.0"/>
        <u/>
      </rPr>
      <t>Cepsa desafía a Naturgy y Repsol con otra gran alianza para el ‘boom’ de los gases renovables</t>
    </r>
    <r>
      <rPr>
        <rFont val="Arial, sans-serif"/>
        <color rgb="FF1155CC"/>
        <sz val="11.0"/>
        <u/>
      </rPr>
      <t>El grupo energético acelera su apuesta por el biometano y sella un acuerdo con Prezero para construir nuevas plantas que se suma a la alianza que ya firmó...</t>
    </r>
    <r>
      <rPr>
        <rFont val="Arial, sans-serif"/>
        <color rgb="FF1155CC"/>
        <sz val="12.0"/>
        <u/>
      </rPr>
      <t>.</t>
    </r>
    <r>
      <rPr>
        <rFont val="Arial, sans-serif"/>
        <color rgb="FF1155CC"/>
        <sz val="11.0"/>
        <u/>
      </rPr>
      <t>2 jul 2024</t>
    </r>
  </si>
  <si>
    <t>Cepsa desafía a Naturgy y Repsol con otra gran alianza para el ‘boom’ de los gases renovables</t>
  </si>
  <si>
    <t>El grupo energético acelera su apuesta por el biometano y sella un acuerdo con Prezero para construir nuevas plantas que se suma a la alianza que ya firmó.</t>
  </si>
  <si>
    <t>Cepsa challenges Naturgy and Repsol with another great alliance for the 'boom' of renewable gases</t>
  </si>
  <si>
    <t>The energy group accelerates its commitment to biomethane and seals an agreement with Prezero to build new plants that adds to the alliance it has already signed.</t>
  </si>
  <si>
    <t>Repsol energy competition, business strategy</t>
  </si>
  <si>
    <t>Competencia energética de Repsol, estrategia empresarial</t>
  </si>
  <si>
    <t>Increased competition in energy markets may pressure Repsol’s margins.</t>
  </si>
  <si>
    <t>Positive for renewable energy focus</t>
  </si>
  <si>
    <t>Positivo para el enfoque en energías renovables</t>
  </si>
  <si>
    <r>
      <rPr>
        <rFont val="Arial, sans-serif"/>
        <color rgb="FF1155CC"/>
        <sz val="9.0"/>
        <u/>
      </rPr>
      <t>Estrategias de Inversión</t>
    </r>
    <r>
      <rPr>
        <rFont val="Arial, sans-serif"/>
        <color rgb="FF1155CC"/>
        <sz val="15.0"/>
        <u/>
      </rPr>
      <t>Repsol podría subir un 19% según Alphavalue/Baader Europe</t>
    </r>
    <r>
      <rPr>
        <rFont val="Arial, sans-serif"/>
        <color rgb="FF1155CC"/>
        <sz val="11.0"/>
        <u/>
      </rPr>
      <t>Repsol podría subir un 19% según Alphavalue/Baader Europe. Recomendaciones de los analistas sobre Repsol y precio objetivo medio del valor.</t>
    </r>
    <r>
      <rPr>
        <rFont val="Arial, sans-serif"/>
        <color rgb="FF1155CC"/>
        <sz val="12.0"/>
        <u/>
      </rPr>
      <t>.</t>
    </r>
    <r>
      <rPr>
        <rFont val="Arial, sans-serif"/>
        <color rgb="FF1155CC"/>
        <sz val="11.0"/>
        <u/>
      </rPr>
      <t>2 jul 2024</t>
    </r>
  </si>
  <si>
    <t>Repsol podría subir un 19% según Alphavalue/Baader Europe</t>
  </si>
  <si>
    <t>Repsol podría subir un 19% según Alphavalue/Baader Europe. Recomendaciones de los analistas sobre Repsol y precio objetivo medio del valor.</t>
  </si>
  <si>
    <t>Repsol could rise 19% according to Alphavalue/Baader Europe</t>
  </si>
  <si>
    <t>Repsol could rise 19% according to Alphavalue/Baader Europe. Analyst recommendations on Repsol and average target price of the value.</t>
  </si>
  <si>
    <t>Positive market forecasts strengthen Repsol’s investor confidence.</t>
  </si>
  <si>
    <t>subir un 19%</t>
  </si>
  <si>
    <t>Positive financial outlook</t>
  </si>
  <si>
    <t>Perspectivas financieras positivas</t>
  </si>
  <si>
    <r>
      <rPr>
        <rFont val="Arial, sans-serif"/>
        <color rgb="FF1155CC"/>
        <sz val="9.0"/>
        <u/>
      </rPr>
      <t>Libre Mercado</t>
    </r>
    <r>
      <rPr>
        <rFont val="Arial, sans-serif"/>
        <color rgb="FF1155CC"/>
        <sz val="15.0"/>
        <u/>
      </rPr>
      <t>Los clientes de Repsol podrán acumular Avios de Vueling e IAG Loyalty</t>
    </r>
    <r>
      <rPr>
        <rFont val="Arial, sans-serif"/>
        <color rgb="FF1155CC"/>
        <sz val="11.0"/>
        <u/>
      </rPr>
      <t>Clientes de Repsol acumulan Avios de Vueling/IAG Loyalty al repostar, gracias a un nuevo acuerdo con más de 3.300 estaciones de servicio.</t>
    </r>
    <r>
      <rPr>
        <rFont val="Arial, sans-serif"/>
        <color rgb="FF1155CC"/>
        <sz val="12.0"/>
        <u/>
      </rPr>
      <t>.</t>
    </r>
    <r>
      <rPr>
        <rFont val="Arial, sans-serif"/>
        <color rgb="FF1155CC"/>
        <sz val="11.0"/>
        <u/>
      </rPr>
      <t>2 jul 2024</t>
    </r>
  </si>
  <si>
    <t>Clientes de Repsol podrán acumular Avios de Vueling e IAG Loyalty</t>
  </si>
  <si>
    <t>Clientes de Repsol acumulan Avios de Vueling/IAG Loyalty al repostar, gracias a un nuevo acuerdo con más de 3.300 estaciones de servicio.</t>
  </si>
  <si>
    <t>Repsol customers will be able to accumulate Avios from Vueling and IAG Loyalty</t>
  </si>
  <si>
    <t>Repsol customers accumulate Vueling/IAG Loyalty Avios when refueling, thanks to a new agreement with more than 3,300 service stations.</t>
  </si>
  <si>
    <t>Avios, Vueling</t>
  </si>
  <si>
    <r>
      <rPr>
        <rFont val="Arial, sans-serif"/>
        <color rgb="FF1155CC"/>
        <sz val="9.0"/>
        <u/>
      </rPr>
      <t>Hispanidad</t>
    </r>
    <r>
      <rPr>
        <rFont val="Arial, sans-serif"/>
        <color rgb="FF1155CC"/>
        <sz val="15.0"/>
        <u/>
      </rPr>
      <t>Galp y Repsol, las petroleras europeas que mejor aprovechan la subida del petróleo por la mayor tensión en Oriente Medio</t>
    </r>
    <r>
      <rPr>
        <rFont val="Arial, sans-serif"/>
        <color rgb="FF1155CC"/>
        <sz val="11.0"/>
        <u/>
      </rPr>
      <t>Galp y Repsol son las petroleras europeas que más aplauden la subida del petróleo, provocada por la mayor tensión en Oriente Medio.</t>
    </r>
    <r>
      <rPr>
        <rFont val="Arial, sans-serif"/>
        <color rgb="FF1155CC"/>
        <sz val="12.0"/>
        <u/>
      </rPr>
      <t>.</t>
    </r>
    <r>
      <rPr>
        <rFont val="Arial, sans-serif"/>
        <color rgb="FF1155CC"/>
        <sz val="11.0"/>
        <u/>
      </rPr>
      <t>2 jul 2024</t>
    </r>
  </si>
  <si>
    <t>Galp y Repsol, las petroleras europeas que mejor aprovechan la subida del petróleo por la mayor tensión en Oriente Medio</t>
  </si>
  <si>
    <t>Galp y Repsol son las petroleras europeas que más aplauden la subida del petróleo, provocada por la mayor tensión en Oriente Medio.</t>
  </si>
  <si>
    <t>Galp and Repsol, the European oil companies that best take advantage of the rise in oil prices due to the increased tension in the Middle East</t>
  </si>
  <si>
    <t>Galp and Repsol are the European oil companies that most applaud the rise in oil prices, caused by the increased tension in the Middle East.</t>
  </si>
  <si>
    <t>Increasing renewable energy investment aligns with Repsol’s green transition.</t>
  </si>
  <si>
    <t>aprovechan, subida</t>
  </si>
  <si>
    <t>Positive market positioning</t>
  </si>
  <si>
    <t>Posicionamiento positivo en el mercado</t>
  </si>
  <si>
    <r>
      <rPr>
        <rFont val="Arial, sans-serif"/>
        <color rgb="FF1155CC"/>
        <sz val="9.0"/>
        <u/>
      </rPr>
      <t>Huelva Información</t>
    </r>
    <r>
      <rPr>
        <rFont val="Arial, sans-serif"/>
        <color rgb="FF1155CC"/>
        <sz val="15.0"/>
        <u/>
      </rPr>
      <t>El pequeño restaurante de un bello pueblo Huelva que recomiendan las guías Michelin y Repsol</t>
    </r>
    <r>
      <rPr>
        <rFont val="Arial, sans-serif"/>
        <color rgb="FF1155CC"/>
        <sz val="11.0"/>
        <u/>
      </rPr>
      <t>En este precioso pueblo de la sierra onubense de apenas 300 habitantes se encuentra una pequeña pero brillante joya gastronómica distinguida por las...</t>
    </r>
    <r>
      <rPr>
        <rFont val="Arial, sans-serif"/>
        <color rgb="FF1155CC"/>
        <sz val="12.0"/>
        <u/>
      </rPr>
      <t>.</t>
    </r>
    <r>
      <rPr>
        <rFont val="Arial, sans-serif"/>
        <color rgb="FF1155CC"/>
        <sz val="11.0"/>
        <u/>
      </rPr>
      <t>2 jul 2024</t>
    </r>
  </si>
  <si>
    <t>El pequeño restaurante de un bello pueblo Huelva que recomiendan las guías Michelin y Repsol</t>
  </si>
  <si>
    <t>En este precioso pueblo de la sierra onubense de apenas 300 habitantes se encuentra una pequeña pero brillante joya gastronómica distinguida por las....</t>
  </si>
  <si>
    <t>The small restaurant in a beautiful town of Huelva that the Michelin and Repsol guides recommend</t>
  </si>
  <si>
    <t>In this beautiful town in the Huelva mountains of barely 300 inhabitants is a small but brilliant gastronomic gem distinguished by the...</t>
  </si>
  <si>
    <r>
      <rPr>
        <rFont val="Arial, sans-serif"/>
        <color rgb="FF1155CC"/>
        <sz val="9.0"/>
        <u/>
      </rPr>
      <t>Guía Repsol</t>
    </r>
    <r>
      <rPr>
        <rFont val="Arial, sans-serif"/>
        <color rgb="FF1155CC"/>
        <sz val="15.0"/>
        <u/>
      </rPr>
      <t>Cuatro terrazas con vistas al mar en Bizkaia</t>
    </r>
    <r>
      <rPr>
        <rFont val="Arial, sans-serif"/>
        <color rgb="FF1155CC"/>
        <sz val="11.0"/>
        <u/>
      </rPr>
      <t>'Fangaloka', 'El Peñón', 'Solito' y 'Golfo Norte' forman un póker de cuatro terrazas con vistas al mar y alineadas en cinco kilómetros donde la juventud...</t>
    </r>
    <r>
      <rPr>
        <rFont val="Arial, sans-serif"/>
        <color rgb="FF1155CC"/>
        <sz val="12.0"/>
        <u/>
      </rPr>
      <t>.</t>
    </r>
    <r>
      <rPr>
        <rFont val="Arial, sans-serif"/>
        <color rgb="FF1155CC"/>
        <sz val="11.0"/>
        <u/>
      </rPr>
      <t>2 jul 2024</t>
    </r>
  </si>
  <si>
    <t>Cuatro terrazas con vistas al mar en Bizkaia</t>
  </si>
  <si>
    <t>'Fangaloka', 'El Peñón', 'Solito' y 'Golfo Norte' forman un póker de cuatro terrazas con vistas al mar y alineadas en cinco kilómetros donde la juventud....</t>
  </si>
  <si>
    <t>Four terraces with sea views in Bizkaia</t>
  </si>
  <si>
    <t>'Fangaloka', 'El Peñón', 'Solito' and 'Golfo Norte' form a poker of four terraces with views of the sea and aligned in five kilometers where youth...</t>
  </si>
  <si>
    <r>
      <rPr>
        <rFont val="Arial, sans-serif"/>
        <color rgb="FF1155CC"/>
        <sz val="9.0"/>
        <u/>
      </rPr>
      <t>El Economista</t>
    </r>
    <r>
      <rPr>
        <rFont val="Arial, sans-serif"/>
        <color rgb="FF1155CC"/>
        <sz val="15.0"/>
        <u/>
      </rPr>
      <t>Antonio Brufau, galardonado con el VI Premio José Echegaray de elEconomista</t>
    </r>
    <r>
      <rPr>
        <rFont val="Arial, sans-serif"/>
        <color rgb="FF1155CC"/>
        <sz val="11.0"/>
        <u/>
      </rPr>
      <t>elEconomista entregará este miércoles 3 de julio, a partir de las 19.30 horas, el Premio José Echegaray a Antonio Brufau, presidente de Repsol.</t>
    </r>
    <r>
      <rPr>
        <rFont val="Arial, sans-serif"/>
        <color rgb="FF1155CC"/>
        <sz val="12.0"/>
        <u/>
      </rPr>
      <t>.</t>
    </r>
    <r>
      <rPr>
        <rFont val="Arial, sans-serif"/>
        <color rgb="FF1155CC"/>
        <sz val="11.0"/>
        <u/>
      </rPr>
      <t>2 jul 2024</t>
    </r>
  </si>
  <si>
    <t>Antonio Brufau, galardonado con el VI Premio José Echegaray de elEconomista</t>
  </si>
  <si>
    <t>Antonio Brufau, presidente de Repsol, recibirá el VI Premio José Echegaray de elEconomista en una ceremonia que se llevará a cabo el miércoles 3 de julio a las 19.30 horas.</t>
  </si>
  <si>
    <t>Antonio Brufau, awarded the VI José Echegaray Prize from elEconomista</t>
  </si>
  <si>
    <t>Antonio Brufau, president of Repsol, will receive the VI José Echegaray Prize from elEconomista in a ceremony that will take place on Wednesday, July 3 at 7:30 p.m.</t>
  </si>
  <si>
    <t>Repsol corporate leadership, business recognition</t>
  </si>
  <si>
    <t>Liderazgo corporativo de Repsol, reconocimiento empresarial</t>
  </si>
  <si>
    <t>Recognizing business leadership strengthens Repsol’s corporate credibility.</t>
  </si>
  <si>
    <t>galardonado</t>
  </si>
  <si>
    <t>Positive executive recognition</t>
  </si>
  <si>
    <t>Reconocimiento ejecutivo positivo</t>
  </si>
  <si>
    <r>
      <rPr>
        <rFont val="Arial, sans-serif"/>
        <color rgb="FF1155CC"/>
        <sz val="9.0"/>
        <u/>
      </rPr>
      <t>ElPlural.com</t>
    </r>
    <r>
      <rPr>
        <rFont val="Arial, sans-serif"/>
        <color rgb="FF1155CC"/>
        <sz val="15.0"/>
        <u/>
      </rPr>
      <t>35.000 personas llenan IFEMA en el espectacular festival Love The Twenties</t>
    </r>
    <r>
      <rPr>
        <rFont val="Arial, sans-serif"/>
        <color rgb="FF1155CC"/>
        <sz val="11.0"/>
        <u/>
      </rPr>
      <t>Repsol usa multienergía para reducir las emisiones de CO2 y hace del evento un espacio que protege el medioambiente. Relacionado Huda: "Siempre he aceptado...</t>
    </r>
    <r>
      <rPr>
        <rFont val="Arial, sans-serif"/>
        <color rgb="FF1155CC"/>
        <sz val="12.0"/>
        <u/>
      </rPr>
      <t>.</t>
    </r>
    <r>
      <rPr>
        <rFont val="Arial, sans-serif"/>
        <color rgb="FF1155CC"/>
        <sz val="11.0"/>
        <u/>
      </rPr>
      <t>2 jul 2024</t>
    </r>
  </si>
  <si>
    <t>35.000 personas llenan IFEMA en el espectacular festival Love The Twenties</t>
  </si>
  <si>
    <t>Repsol usa multienergía para reducir las emisiones de CO2 y hace del evento un espacio que protege el medioambiente. Relacionado Huda: "Siempre he aceptado....</t>
  </si>
  <si>
    <t>35,000 people fill IFEMA at the spectacular Love The Twenties festival</t>
  </si>
  <si>
    <t>Repsol uses multi-energy to reduce CO2 emissions and makes the event a space that protects the environment. Related Huda: "I have always accepted....</t>
  </si>
  <si>
    <r>
      <rPr>
        <rFont val="Arial, sans-serif"/>
        <color rgb="FF1155CC"/>
        <sz val="9.0"/>
        <u/>
      </rPr>
      <t>FashionUnited</t>
    </r>
    <r>
      <rPr>
        <rFont val="Arial, sans-serif"/>
        <color rgb="FF1155CC"/>
        <sz val="15.0"/>
        <u/>
      </rPr>
      <t>El Corte Inglés vende a Repsol el 45 por ciento de su “joint venture” de gasolineras</t>
    </r>
    <r>
      <rPr>
        <rFont val="Arial, sans-serif"/>
        <color rgb="FF1155CC"/>
        <sz val="11.0"/>
        <u/>
      </rPr>
      <t>El Corte Inglés vende a Repsol el 45 por ciento de su “joint venture” de gasolineras.</t>
    </r>
    <r>
      <rPr>
        <rFont val="Arial, sans-serif"/>
        <color rgb="FF1155CC"/>
        <sz val="12.0"/>
        <u/>
      </rPr>
      <t>.</t>
    </r>
    <r>
      <rPr>
        <rFont val="Arial, sans-serif"/>
        <color rgb="FF1155CC"/>
        <sz val="11.0"/>
        <u/>
      </rPr>
      <t>3 jul 2024</t>
    </r>
  </si>
  <si>
    <t>FashionUnited</t>
  </si>
  <si>
    <t>El Corte Inglés vende a Repsol el 45 por ciento de su “joint venture” de gasolineras</t>
  </si>
  <si>
    <t>El Corte Inglés vende a Repsol el 45 por ciento de su “joint venture” de gasolineras.</t>
  </si>
  <si>
    <t>El Corte Inglés sells 45 percent of its gas station joint venture to Repsol</t>
  </si>
  <si>
    <t>El Corte Inglés sells 45 percent of its gas station joint venture to Repsol.</t>
  </si>
  <si>
    <t>Acquiring full ownership of service stations reinforces Repsol’s market position.</t>
  </si>
  <si>
    <t>vende, joint venture</t>
  </si>
  <si>
    <t>Neutral business transaction</t>
  </si>
  <si>
    <t>Transacción comercial neutral</t>
  </si>
  <si>
    <r>
      <rPr>
        <rFont val="Arial, sans-serif"/>
        <color rgb="FF1155CC"/>
        <sz val="9.0"/>
        <u/>
      </rPr>
      <t>El Economista</t>
    </r>
    <r>
      <rPr>
        <rFont val="Arial, sans-serif"/>
        <color rgb="FF1155CC"/>
        <sz val="15.0"/>
        <u/>
      </rPr>
      <t>Repsol se alía con Vueling para ofrecer Avios en sus repostajes</t>
    </r>
    <r>
      <rPr>
        <rFont val="Arial, sans-serif"/>
        <color rgb="FF1155CC"/>
        <sz val="11.0"/>
        <u/>
      </rPr>
      <t>Repsol refuerza su oferta de Waylet con un nuevo acuerdo con Vueling e IAG Loyalty para que sus clientes acumulen Avios al comprar en ...</t>
    </r>
    <r>
      <rPr>
        <rFont val="Arial, sans-serif"/>
        <color rgb="FF1155CC"/>
        <sz val="12.0"/>
        <u/>
      </rPr>
      <t>.</t>
    </r>
    <r>
      <rPr>
        <rFont val="Arial, sans-serif"/>
        <color rgb="FF1155CC"/>
        <sz val="11.0"/>
        <u/>
      </rPr>
      <t>3 jul 2024</t>
    </r>
  </si>
  <si>
    <t>Repsol se alía con Vueling para ofrecer Avios en sus repostajes</t>
  </si>
  <si>
    <t>Repsol refuerza su oferta de Waylet con un nuevo acuerdo con Vueling e IAG Loyalty para que sus clientes acumulen Avios al comprar en ....</t>
  </si>
  <si>
    <t>Repsol joins forces with Vueling to offer Avios in its refueling</t>
  </si>
  <si>
    <t>Repsol reinforces its Waylet offer with a new agreement with Vueling and IAG Loyalty so that its customers can accumulate Avios when purchasing in...</t>
  </si>
  <si>
    <t>Strengthening digital incentives enhances Repsol’s customer loyalty.</t>
  </si>
  <si>
    <r>
      <rPr>
        <rFont val="Arial, sans-serif"/>
        <color rgb="FF1155CC"/>
        <sz val="9.0"/>
        <u/>
      </rPr>
      <t>Business Insider España</t>
    </r>
    <r>
      <rPr>
        <rFont val="Arial, sans-serif"/>
        <color rgb="FF1155CC"/>
        <sz val="15.0"/>
        <u/>
      </rPr>
      <t>El Corte Inglés se 'separa' de Repsol, que pasa a controlar el 95% del servicio conjunto de estaciones de servicio</t>
    </r>
    <r>
      <rPr>
        <rFont val="Arial, sans-serif"/>
        <color rgb="FF1155CC"/>
        <sz val="11.0"/>
        <u/>
      </rPr>
      <t>El Corte Inglés vende a Repsol el 45% del servicio conjunto de estaciones de servicio, con lo que la petrolera pasa a controlar el 95% de Gespevesa.</t>
    </r>
    <r>
      <rPr>
        <rFont val="Arial, sans-serif"/>
        <color rgb="FF1155CC"/>
        <sz val="12.0"/>
        <u/>
      </rPr>
      <t>.</t>
    </r>
    <r>
      <rPr>
        <rFont val="Arial, sans-serif"/>
        <color rgb="FF1155CC"/>
        <sz val="11.0"/>
        <u/>
      </rPr>
      <t>3 jul 2024</t>
    </r>
  </si>
  <si>
    <t>El Corte Inglés se 'separa' de Repsol, que pasa a controlar el 95% del servicio conjunto de estaciones de servicio</t>
  </si>
  <si>
    <t>El Corte Inglés vende a Repsol el 45% del servicio conjunto de estaciones de servicio, con lo que la petrolera pasa a controlar el 95% de Gespevesa.</t>
  </si>
  <si>
    <t>El Corte Inglés 'separates' from Repsol, which now controls 95% of the joint service of service stations</t>
  </si>
  <si>
    <t>El Corte Inglés sells 45% of the joint service of service stations to Repsol, with which the oil company now controls 95% of Gespevesa.</t>
  </si>
  <si>
    <t>Strengthening control over fuel retailing improves Repsol’s strategic positioning.</t>
  </si>
  <si>
    <t>controlar 95%</t>
  </si>
  <si>
    <t>Neutral business development</t>
  </si>
  <si>
    <t>Desarrollo empresarial neutro</t>
  </si>
  <si>
    <r>
      <rPr>
        <rFont val="Arial, sans-serif"/>
        <color rgb="FF1155CC"/>
        <sz val="9.0"/>
        <u/>
      </rPr>
      <t>Finanzas.com</t>
    </r>
    <r>
      <rPr>
        <rFont val="Arial, sans-serif"/>
        <color rgb="FF1155CC"/>
        <sz val="15.0"/>
        <u/>
      </rPr>
      <t>Último tren para cobrar los dividendos de Repsol, Iberdrola, CAF y Cie</t>
    </r>
    <r>
      <rPr>
        <rFont val="Arial, sans-serif"/>
        <color rgb="FF1155CC"/>
        <sz val="11.0"/>
        <u/>
      </rPr>
      <t>Este miércoles es el último día en que las acciones de Repsol, Iberdrola, CAF y Cie Automotive cotizarán con derecho al cobro del próximo dividendo.</t>
    </r>
    <r>
      <rPr>
        <rFont val="Arial, sans-serif"/>
        <color rgb="FF1155CC"/>
        <sz val="12.0"/>
        <u/>
      </rPr>
      <t>.</t>
    </r>
    <r>
      <rPr>
        <rFont val="Arial, sans-serif"/>
        <color rgb="FF1155CC"/>
        <sz val="11.0"/>
        <u/>
      </rPr>
      <t>3 jul 2024</t>
    </r>
  </si>
  <si>
    <t>Último tren para cobrar los dividendos de Repsol, Iberdrola, CAF y Cie</t>
  </si>
  <si>
    <t>Este miércoles es el último día en que las acciones de Repsol, Iberdrola, CAF y Cie Automotive cotizarán con derecho al cobro del próximo dividendo.</t>
  </si>
  <si>
    <t>Last train to collect dividends from Repsol, Iberdrola, CAF and Cie</t>
  </si>
  <si>
    <t>This Wednesday is the last day on which the shares of Repsol, Iberdrola, CAF and Cie Automotive will be listed with the right to collect the next dividend.</t>
  </si>
  <si>
    <t>Dividend announcements reinforce investor confidence in Repsol.</t>
  </si>
  <si>
    <t>Neutral financial information</t>
  </si>
  <si>
    <t>Información financiera neutral</t>
  </si>
  <si>
    <r>
      <rPr>
        <rFont val="Arial, sans-serif"/>
        <color rgb="FF1155CC"/>
        <sz val="9.0"/>
        <u/>
      </rPr>
      <t>Economía Digital</t>
    </r>
    <r>
      <rPr>
        <rFont val="Arial, sans-serif"/>
        <color rgb="FF1155CC"/>
        <sz val="15.0"/>
        <u/>
      </rPr>
      <t>Repsol se hace del 45% del negocio de El Corte Inglés en las estaciones de servicio</t>
    </r>
    <r>
      <rPr>
        <rFont val="Arial, sans-serif"/>
        <color rgb="FF1155CC"/>
        <sz val="11.0"/>
        <u/>
      </rPr>
      <t>El Grupo El Corte Inglés ha vendido a Repsol el 45% de su negocio en estaciones de servicio, operación que le ha reportado a los grandes almacenes una...</t>
    </r>
    <r>
      <rPr>
        <rFont val="Arial, sans-serif"/>
        <color rgb="FF1155CC"/>
        <sz val="12.0"/>
        <u/>
      </rPr>
      <t>.</t>
    </r>
    <r>
      <rPr>
        <rFont val="Arial, sans-serif"/>
        <color rgb="FF1155CC"/>
        <sz val="11.0"/>
        <u/>
      </rPr>
      <t>3 jul 2024</t>
    </r>
  </si>
  <si>
    <t>Repsol se hace del 45% del negocio de El Corte Inglés en las estaciones de servicio</t>
  </si>
  <si>
    <t>El Grupo El Corte Inglés ha vendido a Repsol el 45% de su negocio en estaciones de servicio, operación que le ha reportado a los grandes almacenes una....</t>
  </si>
  <si>
    <t>Repsol takes over 45% of El Corte Inglés' business in service stations</t>
  </si>
  <si>
    <t>The El Corte Inglés Group has sold 45% of its business in service stations to Repsol, an operation that has brought the department stores a...</t>
  </si>
  <si>
    <t>Strengthening service station operations supports Repsol’s revenue growth.</t>
  </si>
  <si>
    <t>45% negocio</t>
  </si>
  <si>
    <r>
      <rPr>
        <rFont val="Arial, sans-serif"/>
        <color rgb="FF1155CC"/>
        <sz val="9.0"/>
        <u/>
      </rPr>
      <t>Murcia Plaza</t>
    </r>
    <r>
      <rPr>
        <rFont val="Arial, sans-serif"/>
        <color rgb="FF1155CC"/>
        <sz val="15.0"/>
        <u/>
      </rPr>
      <t>Más de 40 estudiantes realizan sus prácticas en el complejo industrial de Repsol en Cartagena</t>
    </r>
    <r>
      <rPr>
        <rFont val="Arial, sans-serif"/>
        <color rgb="FF1155CC"/>
        <sz val="11.0"/>
        <u/>
      </rPr>
      <t>CARTAGENA. Un total de 41 estudiantes de diversos centros educativos han realizado sus prácticas en el complejo industrial de Repsol en Cartagena.</t>
    </r>
    <r>
      <rPr>
        <rFont val="Arial, sans-serif"/>
        <color rgb="FF1155CC"/>
        <sz val="12.0"/>
        <u/>
      </rPr>
      <t>.</t>
    </r>
    <r>
      <rPr>
        <rFont val="Arial, sans-serif"/>
        <color rgb="FF1155CC"/>
        <sz val="11.0"/>
        <u/>
      </rPr>
      <t>3 jul 2024</t>
    </r>
  </si>
  <si>
    <t>Más de 40 estudiantes realizan sus prácticas en el complejo industrial de Repsol en Cartagena</t>
  </si>
  <si>
    <t>Un total de 41 estudiantes de diversos centros educativos han realizado sus prácticas en el complejo industrial de Repsol en Cartagena.</t>
  </si>
  <si>
    <t>More than 40 students carry out their internships at the Repsol industrial complex in Cartagena</t>
  </si>
  <si>
    <t>A total of 41 students from various educational centers have completed their internships at the Repsol industrial complex in Cartagena.</t>
  </si>
  <si>
    <t>Repsol corporate responsibility, education initiative</t>
  </si>
  <si>
    <t>Repsol responsabilidad corporativa, iniciativa de educación</t>
  </si>
  <si>
    <t>Supporting student internships enhances Repsol’s corporate engagement.</t>
  </si>
  <si>
    <t>prácticas</t>
  </si>
  <si>
    <r>
      <rPr>
        <rFont val="Arial, sans-serif"/>
        <color rgb="FF1155CC"/>
        <sz val="9.0"/>
        <u/>
      </rPr>
      <t>Economía de Mallorca</t>
    </r>
    <r>
      <rPr>
        <rFont val="Arial, sans-serif"/>
        <color rgb="FF1155CC"/>
        <sz val="15.0"/>
        <u/>
      </rPr>
      <t>Repsol compra el 45% del negocio de tiendas en gasolineras a El Corte Inglés</t>
    </r>
    <r>
      <rPr>
        <rFont val="Arial, sans-serif"/>
        <color rgb="FF1155CC"/>
        <sz val="11.0"/>
        <u/>
      </rPr>
      <t>El Corte Inglés ha vendido a Repsol el 45% de su negocio de establecimientos comerciales en estaciones de servicio, tras lo cual la petrolera pasa a...</t>
    </r>
    <r>
      <rPr>
        <rFont val="Arial, sans-serif"/>
        <color rgb="FF1155CC"/>
        <sz val="12.0"/>
        <u/>
      </rPr>
      <t>.</t>
    </r>
    <r>
      <rPr>
        <rFont val="Arial, sans-serif"/>
        <color rgb="FF1155CC"/>
        <sz val="11.0"/>
        <u/>
      </rPr>
      <t>3 jul 2024</t>
    </r>
  </si>
  <si>
    <t>Repsol compra el 45% del negocio de tiendas en gasolineras a El Corte Inglés</t>
  </si>
  <si>
    <t>El Corte Inglés ha vendido a Repsol el 45% de su negocio de establecimientos comerciales en estaciones de servicio, tras lo cual la petrolera pasa a....</t>
  </si>
  <si>
    <t>Repsol buys 45% of the gas station store business from El Corte Inglés</t>
  </si>
  <si>
    <t>El Corte Inglés has sold 45% of its business of commercial establishments in service stations to Repsol, after which the oil company becomes...</t>
  </si>
  <si>
    <t>Strengthening service station business reinforces Repsol’s retail market presence.</t>
  </si>
  <si>
    <t>compra 45%</t>
  </si>
  <si>
    <r>
      <rPr>
        <rFont val="Arial, sans-serif"/>
        <color rgb="FF1155CC"/>
        <sz val="9.0"/>
        <u/>
      </rPr>
      <t>Huelva Información</t>
    </r>
    <r>
      <rPr>
        <rFont val="Arial, sans-serif"/>
        <color rgb="FF1155CC"/>
        <sz val="15.0"/>
        <u/>
      </rPr>
      <t>La heladería italiana de Punta Umbría que la Guía Repsol recomienda para este verano 2024</t>
    </r>
    <r>
      <rPr>
        <rFont val="Arial, sans-serif"/>
        <color rgb="FF1155CC"/>
        <sz val="11.0"/>
        <u/>
      </rPr>
      <t>La conocida Guía Repsol ha elegido esta heladería italiana del centro puntaumbrieño, que despacha el dulce más deseado de la temporada estival con más de 40...</t>
    </r>
    <r>
      <rPr>
        <rFont val="Arial, sans-serif"/>
        <color rgb="FF1155CC"/>
        <sz val="12.0"/>
        <u/>
      </rPr>
      <t>.</t>
    </r>
    <r>
      <rPr>
        <rFont val="Arial, sans-serif"/>
        <color rgb="FF1155CC"/>
        <sz val="11.0"/>
        <u/>
      </rPr>
      <t>3 jul 2024</t>
    </r>
  </si>
  <si>
    <t>La heladería italiana de Punta Umbría que la Guía Repsol recomienda para este verano 2024</t>
  </si>
  <si>
    <t>La conocida Guía Repsol ha elegido esta heladería italiana del centro puntaumbrieño, que despacha el dulce más deseado de la temporada estival con más de 40....</t>
  </si>
  <si>
    <t>The Italian ice cream parlor in Punta Umbría that the Repsol Guide recommends for this summer 2024</t>
  </si>
  <si>
    <t>The well-known Repsol Guide has chosen this Italian ice cream parlor in the center of Punta Umbria, which delivers the most desired sweet of the summer season with more than 40...</t>
  </si>
  <si>
    <r>
      <rPr>
        <rFont val="Arial, sans-serif"/>
        <color rgb="FF1155CC"/>
        <sz val="9.0"/>
        <u/>
      </rPr>
      <t>Guía Repsol</t>
    </r>
    <r>
      <rPr>
        <rFont val="Arial, sans-serif"/>
        <color rgb="FF1155CC"/>
        <sz val="15.0"/>
        <u/>
      </rPr>
      <t>Temporada de tomates: el rey de la gastronomía veraniega y otros usos</t>
    </r>
    <r>
      <rPr>
        <rFont val="Arial, sans-serif"/>
        <color rgb="FF1155CC"/>
        <sz val="11.0"/>
        <u/>
      </rPr>
      <t>Este rojo fruto, que aporta sabor y frescura a nuestras mesas, es uno de los protagonistas de los menús veraniegos. Madurado a golpe de intensos rayos...</t>
    </r>
    <r>
      <rPr>
        <rFont val="Arial, sans-serif"/>
        <color rgb="FF1155CC"/>
        <sz val="12.0"/>
        <u/>
      </rPr>
      <t>.</t>
    </r>
    <r>
      <rPr>
        <rFont val="Arial, sans-serif"/>
        <color rgb="FF1155CC"/>
        <sz val="11.0"/>
        <u/>
      </rPr>
      <t>3 jul 2024</t>
    </r>
  </si>
  <si>
    <t>Temporada de tomates: el rey de la gastronomía veraniega y otros usos</t>
  </si>
  <si>
    <t>Este rojo fruto, que aporta sabor y frescura a nuestras mesas, es uno de los protagonistas de los menús veraniegos. Madurado a golpe de intensos rayos....</t>
  </si>
  <si>
    <t>Tomato season: the king of summer gastronomy and other uses</t>
  </si>
  <si>
    <t>This red fruit, which brings flavor and freshness to our tables, is one of the protagonists of summer menus. Matured by intense rays....</t>
  </si>
  <si>
    <r>
      <rPr>
        <rFont val="Arial, sans-serif"/>
        <color rgb="FF1155CC"/>
        <sz val="9.0"/>
        <u/>
      </rPr>
      <t>Viajes National Geographic</t>
    </r>
    <r>
      <rPr>
        <rFont val="Arial, sans-serif"/>
        <color rgb="FF1155CC"/>
        <sz val="15.0"/>
        <u/>
      </rPr>
      <t>Siete heladerías con Solete Repsol para disfrutar y refrescar el verano</t>
    </r>
    <r>
      <rPr>
        <rFont val="Arial, sans-serif"/>
        <color rgb="FF1155CC"/>
        <sz val="11.0"/>
        <u/>
      </rPr>
      <t>Desde Las Palmas de Gran Canaria hasta la capital catalana, muchos establecimientos aligeran las altas temperaturas con delicias hechas artesanalmente y con...</t>
    </r>
    <r>
      <rPr>
        <rFont val="Arial, sans-serif"/>
        <color rgb="FF1155CC"/>
        <sz val="12.0"/>
        <u/>
      </rPr>
      <t>.</t>
    </r>
    <r>
      <rPr>
        <rFont val="Arial, sans-serif"/>
        <color rgb="FF1155CC"/>
        <sz val="11.0"/>
        <u/>
      </rPr>
      <t>3 jul 2024</t>
    </r>
  </si>
  <si>
    <t>Siete heladerías con Solete Repsol para disfrutar y refrescar el verano</t>
  </si>
  <si>
    <t>Siete heladerías con Solete Repsol para disfrutar y refrescar el verano. Desde Las Palmas de Gran Canaria hasta la capital catalana, muchos establecimientos aligeran las altas temperaturas con delicias hechas artesanalmente y con....</t>
  </si>
  <si>
    <t>Seven ice cream parlors with Solete Repsol to enjoy and cool off in the summer</t>
  </si>
  <si>
    <t>Seven ice cream parlors with Solete Repsol to enjoy and cool off in the summer. From Las Palmas de Gran Canaria to the Catalan capital, many establishments alleviate the high temperatures with delicacies made by hand and with...</t>
  </si>
  <si>
    <r>
      <rPr>
        <rFont val="Arial, sans-serif"/>
        <color rgb="FF1155CC"/>
        <sz val="9.0"/>
        <u/>
      </rPr>
      <t>El Español</t>
    </r>
    <r>
      <rPr>
        <rFont val="Arial, sans-serif"/>
        <color rgb="FF1155CC"/>
        <sz val="15.0"/>
        <u/>
      </rPr>
      <t>El restaurante más barato de España está en Sevilla y hasta lo recomienda la Guía Repsol</t>
    </r>
    <r>
      <rPr>
        <rFont val="Arial, sans-serif"/>
        <color rgb="FF1155CC"/>
        <sz val="11.0"/>
        <u/>
      </rPr>
      <t>Con colas casi diarias, sus grandes platos a bajos precios hacen que sea un éxito entre sevillanos y visitantes. Se puede comer por menos de 5 euros.</t>
    </r>
    <r>
      <rPr>
        <rFont val="Arial, sans-serif"/>
        <color rgb="FF1155CC"/>
        <sz val="12.0"/>
        <u/>
      </rPr>
      <t>.</t>
    </r>
    <r>
      <rPr>
        <rFont val="Arial, sans-serif"/>
        <color rgb="FF1155CC"/>
        <sz val="11.0"/>
        <u/>
      </rPr>
      <t>3 jul 2024</t>
    </r>
  </si>
  <si>
    <t>El restaurante más barato de España está en Sevilla y hasta lo recomienda la Guía Repsol</t>
  </si>
  <si>
    <t>Con colas casi diarias, sus grandes platos a bajos precios hacen que sea un éxito entre sevillanos y visitantes. Se puede comer por menos de 5 euros.</t>
  </si>
  <si>
    <t>The cheapest restaurant in Spain is in Seville and is even recommended by the Repsol Guide</t>
  </si>
  <si>
    <t>With almost daily queues, its great dishes at low prices make it a hit among Sevillians and visitors. You can eat for less than 5 euros.</t>
  </si>
  <si>
    <r>
      <rPr>
        <rFont val="Arial, sans-serif"/>
        <color rgb="FF1155CC"/>
        <sz val="9.0"/>
        <u/>
      </rPr>
      <t>El Economista</t>
    </r>
    <r>
      <rPr>
        <rFont val="Arial, sans-serif"/>
        <color rgb="FF1155CC"/>
        <sz val="15.0"/>
        <u/>
      </rPr>
      <t>Brufau: "Los biocombustibles no van contra el desarrollo de los coches eléctricos"</t>
    </r>
    <r>
      <rPr>
        <rFont val="Arial, sans-serif"/>
        <color rgb="FF1155CC"/>
        <sz val="11.0"/>
        <u/>
      </rPr>
      <t>elEconomista.es ha entregado el VI Premio José Echegaray a Antonio Brufau, presidente de Repsol, en una gala celebrada en el Hotel Four ...</t>
    </r>
    <r>
      <rPr>
        <rFont val="Arial, sans-serif"/>
        <color rgb="FF1155CC"/>
        <sz val="12.0"/>
        <u/>
      </rPr>
      <t>.</t>
    </r>
    <r>
      <rPr>
        <rFont val="Arial, sans-serif"/>
        <color rgb="FF1155CC"/>
        <sz val="11.0"/>
        <u/>
      </rPr>
      <t>3 jul 2024</t>
    </r>
  </si>
  <si>
    <t>Brufau: "Los biocombustibles no van contra el desarrollo de los coches eléctricos"</t>
  </si>
  <si>
    <t>"Los biocombustibles no van contra el desarrollo de los coches eléctricos"</t>
  </si>
  <si>
    <t>Brufau: "Biofuels do not go against the development of electric cars"</t>
  </si>
  <si>
    <t>"Biofuels do not go against the development of electric cars"</t>
  </si>
  <si>
    <t>Repsol biofuels, sustainability strategy</t>
  </si>
  <si>
    <t>Biocombustibles Repsol, estrategia de sostenibilidad</t>
  </si>
  <si>
    <t>Promoting biofuels aligns with Repsol’s diversified energy approach.</t>
  </si>
  <si>
    <t>biocombustibles</t>
  </si>
  <si>
    <r>
      <rPr>
        <rFont val="Arial, sans-serif"/>
        <color rgb="FF1155CC"/>
        <sz val="9.0"/>
        <u/>
      </rPr>
      <t>Actualidad Ambiental</t>
    </r>
    <r>
      <rPr>
        <rFont val="Arial, sans-serif"/>
        <color rgb="FF1155CC"/>
        <sz val="15.0"/>
        <u/>
      </rPr>
      <t>Pescadores artesanales y comerciantes anuncian movilización para exigir compensaciones a Repsol</t>
    </r>
    <r>
      <rPr>
        <rFont val="Arial, sans-serif"/>
        <color rgb="FF1155CC"/>
        <sz val="11.0"/>
        <u/>
      </rPr>
      <t>Afectados por el derrame de petróleo, ocurrido en enero de 2022, afirman que marcharán el próximo 5 de julio debido a la falta de voluntad política para...</t>
    </r>
    <r>
      <rPr>
        <rFont val="Arial, sans-serif"/>
        <color rgb="FF1155CC"/>
        <sz val="12.0"/>
        <u/>
      </rPr>
      <t>.</t>
    </r>
    <r>
      <rPr>
        <rFont val="Arial, sans-serif"/>
        <color rgb="FF1155CC"/>
        <sz val="11.0"/>
        <u/>
      </rPr>
      <t>3 jul 2024</t>
    </r>
  </si>
  <si>
    <t>Pescadores artesanales y comerciantes anuncian movilización para exigir compensaciones a Repsol</t>
  </si>
  <si>
    <t>Afectados por el derrame de petróleo, ocurrido en enero de 2022, afirman que marcharán el próximo 5 de julio debido a la falta de voluntad política para....</t>
  </si>
  <si>
    <t>Artisanal fishermen and merchants announce mobilization to demand compensation from Repsol</t>
  </si>
  <si>
    <t>Affected by the oil spill, which occurred in January 2022, they affirm that they will march on July 5 due to the lack of political will to...</t>
  </si>
  <si>
    <t>Environmental litigation and public protests may harm Repsol’s reputation.</t>
  </si>
  <si>
    <t>exigir compensaciones</t>
  </si>
  <si>
    <t>Negative for compensation demands</t>
  </si>
  <si>
    <t>Negativo para las demandas de compensación</t>
  </si>
  <si>
    <r>
      <rPr>
        <rFont val="Arial, sans-serif"/>
        <color rgb="FF1155CC"/>
        <sz val="9.0"/>
        <u/>
      </rPr>
      <t>El Economista</t>
    </r>
    <r>
      <rPr>
        <rFont val="Arial, sans-serif"/>
        <color rgb="FF1155CC"/>
        <sz val="15.0"/>
        <u/>
      </rPr>
      <t>Repsol vende Prejeance, su negocio de generación distribuida en Francia, por 140 millones a Altarea</t>
    </r>
    <r>
      <rPr>
        <rFont val="Arial, sans-serif"/>
        <color rgb="FF1155CC"/>
        <sz val="11.0"/>
        <u/>
      </rPr>
      <t>Repsol ha alcanzado un acuerdo para la venta de una cartera de activos de generación distribuida en Francia a la compañía francesa ...</t>
    </r>
    <r>
      <rPr>
        <rFont val="Arial, sans-serif"/>
        <color rgb="FF1155CC"/>
        <sz val="12.0"/>
        <u/>
      </rPr>
      <t>.</t>
    </r>
    <r>
      <rPr>
        <rFont val="Arial, sans-serif"/>
        <color rgb="FF1155CC"/>
        <sz val="11.0"/>
        <u/>
      </rPr>
      <t>4 jul 2024</t>
    </r>
  </si>
  <si>
    <t>Repsol vende Prejeance, su negocio de generación distribuida en Francia, por 140 millones a Altarea</t>
  </si>
  <si>
    <t>Repsol ha alcanzado un acuerdo para la venta de una cartera de activos de generación distribuida en Francia a la compañía francesa ....</t>
  </si>
  <si>
    <t>Repsol sells Prejeance, its distributed generation business in France, for 140 million to Altarea</t>
  </si>
  <si>
    <t>Repsol has reached an agreement for the sale of a portfolio of distributed generation assets in France to the French company....</t>
  </si>
  <si>
    <t>Repsol business divestment, corporate restructuring</t>
  </si>
  <si>
    <t>Desinversión empresarial de Repsol, reestructuración societaria</t>
  </si>
  <si>
    <t>Streamlining energy assets may optimize Repsol’s business focus.</t>
  </si>
  <si>
    <t>vende, 140 millones</t>
  </si>
  <si>
    <r>
      <rPr>
        <rFont val="Arial, sans-serif"/>
        <color rgb="FF1155CC"/>
        <sz val="9.0"/>
        <u/>
      </rPr>
      <t>Interempresas.net</t>
    </r>
    <r>
      <rPr>
        <rFont val="Arial, sans-serif"/>
        <color rgb="FF1155CC"/>
        <sz val="15.0"/>
        <u/>
      </rPr>
      <t>Repsol lanza su nuevo servicio de suscripción para el lavado de vehículos</t>
    </r>
    <r>
      <rPr>
        <rFont val="Arial, sans-serif"/>
        <color rgb="FF1155CC"/>
        <sz val="11.0"/>
        <u/>
      </rPr>
      <t>Repsol anunció el lanzamiento un nuevo servicio de suscripción para el lavado de coches en cualquier establecimiento de la red Klin, según desvelaron...</t>
    </r>
    <r>
      <rPr>
        <rFont val="Arial, sans-serif"/>
        <color rgb="FF1155CC"/>
        <sz val="12.0"/>
        <u/>
      </rPr>
      <t>.</t>
    </r>
    <r>
      <rPr>
        <rFont val="Arial, sans-serif"/>
        <color rgb="FF1155CC"/>
        <sz val="11.0"/>
        <u/>
      </rPr>
      <t>4 jul 2024</t>
    </r>
  </si>
  <si>
    <t>Repsol lanza su nuevo servicio de suscripción para el lavado de vehículos</t>
  </si>
  <si>
    <t>Repsol anunció el lanzamiento un nuevo servicio de suscripción para el lavado de coches en cualquier establecimiento de la red Klin, según desvelaron....</t>
  </si>
  <si>
    <t>Repsol launches its new subscription service for vehicle washing</t>
  </si>
  <si>
    <t>Repsol announced the launch of a new subscription service for car washing at any establishment in the Klin network, as revealed...</t>
  </si>
  <si>
    <t>Expanding EV charging subscription models enhances Repsol’s clean energy offerings.</t>
  </si>
  <si>
    <t>nuevo servicio</t>
  </si>
  <si>
    <t>Positive business innovation</t>
  </si>
  <si>
    <t>Innovación empresarial positiva</t>
  </si>
  <si>
    <r>
      <rPr>
        <rFont val="Arial, sans-serif"/>
        <color rgb="FF1155CC"/>
        <sz val="9.0"/>
        <u/>
      </rPr>
      <t>Ayuntamiento de Puertollano</t>
    </r>
    <r>
      <rPr>
        <rFont val="Arial, sans-serif"/>
        <color rgb="FF1155CC"/>
        <sz val="15.0"/>
        <u/>
      </rPr>
      <t>Primer encuentro del alcalde de Puertollano con el nuevo director del Complejo Industrial de Repsol</t>
    </r>
    <r>
      <rPr>
        <rFont val="Arial, sans-serif"/>
        <color rgb="FF1155CC"/>
        <sz val="11.0"/>
        <u/>
      </rPr>
      <t>El alcalde de Puertollano, Miguel Ángel Ruiz ha recibido al que será, a partir de septiembre, el nuevo director del Complejo Industrial de Repsol en la...</t>
    </r>
    <r>
      <rPr>
        <rFont val="Arial, sans-serif"/>
        <color rgb="FF1155CC"/>
        <sz val="12.0"/>
        <u/>
      </rPr>
      <t>.</t>
    </r>
    <r>
      <rPr>
        <rFont val="Arial, sans-serif"/>
        <color rgb="FF1155CC"/>
        <sz val="11.0"/>
        <u/>
      </rPr>
      <t>4 jul 2024</t>
    </r>
  </si>
  <si>
    <t>Primer encuentro del alcalde de Puertollano con el nuevo director del Complejo Industrial de Repsol</t>
  </si>
  <si>
    <t>El alcalde de Puertollano, Miguel Ángel Ruiz ha recibido al que será, a partir de septiembre, el nuevo director del Complejo Industrial de Repsol en la....</t>
  </si>
  <si>
    <t>First meeting of the mayor of Puertollano with the new director of the Repsol Industrial Complex</t>
  </si>
  <si>
    <t>The mayor of Puertollano, Miguel Ángel Ruiz, has received who will be, starting in September, the new director of the Repsol Industrial Complex in the...</t>
  </si>
  <si>
    <t>Repsol industrial strategy, business collaboration</t>
  </si>
  <si>
    <t>Estrategia industrial de Repsol, colaboración empresarial</t>
  </si>
  <si>
    <t>Strengthening local government relations supports Repsol’s industrial operations.</t>
  </si>
  <si>
    <t>Neutral corporate update</t>
  </si>
  <si>
    <t>Actualización corporativa neutral</t>
  </si>
  <si>
    <r>
      <rPr>
        <rFont val="Arial, sans-serif"/>
        <color rgb="FF1155CC"/>
        <sz val="9.0"/>
        <u/>
      </rPr>
      <t>Aragón Hoy</t>
    </r>
    <r>
      <rPr>
        <rFont val="Arial, sans-serif"/>
        <color rgb="FF1155CC"/>
        <sz val="15.0"/>
        <u/>
      </rPr>
      <t>Octavio López recibe a los jóvenes aragoneses ganadores del Challenge Universitario de Fundación Repsol</t>
    </r>
    <r>
      <rPr>
        <rFont val="Arial, sans-serif"/>
        <color rgb="FF1155CC"/>
        <sz val="11.0"/>
        <u/>
      </rPr>
      <t>Adrián Almonya, Gerardo Artal, Daniel Baya y Gerardo Cambra han obtenido el premio con un proyecto de marquesinas inteligentes en el medio rural | Fomento,...</t>
    </r>
    <r>
      <rPr>
        <rFont val="Arial, sans-serif"/>
        <color rgb="FF1155CC"/>
        <sz val="12.0"/>
        <u/>
      </rPr>
      <t>.</t>
    </r>
    <r>
      <rPr>
        <rFont val="Arial, sans-serif"/>
        <color rgb="FF1155CC"/>
        <sz val="11.0"/>
        <u/>
      </rPr>
      <t>4 jul 2024</t>
    </r>
  </si>
  <si>
    <t>Aragón Hoy</t>
  </si>
  <si>
    <t>Octavio López recibe a los jóvenes aragoneses ganadores del Challenge Universitario de Fundación Repsol</t>
  </si>
  <si>
    <t>Adrián Almonya, Gerardo Artal, Daniel Baya y Gerardo Cambra han obtenido el premio con un proyecto de marquesinas inteligentes en el medio rural | Fomento,...</t>
  </si>
  <si>
    <t>Octavio López receives the young Aragonese winners of the Repsol Foundation University Challenge</t>
  </si>
  <si>
    <t>Adrián Almonya, Gerardo Artal, Daniel Baya, and Gerardo Cambra have obtained the award with a smart canopy project in rural areas</t>
  </si>
  <si>
    <t>Education/Innovation</t>
  </si>
  <si>
    <t>Octavio López, Repsol Foundation, University Challenge, smart canopy, rural areas</t>
  </si>
  <si>
    <t>Octavio López, Fundación Repsol, Reto Universitario, pabellón inteligente, zonas rurales</t>
  </si>
  <si>
    <t>Positive, highlighting the achievement of young winners with an innovative project.</t>
  </si>
  <si>
    <t>ganadores</t>
  </si>
  <si>
    <r>
      <rPr>
        <rFont val="Arial, sans-serif"/>
        <color rgb="FF1155CC"/>
        <sz val="9.0"/>
        <u/>
      </rPr>
      <t>Expansión</t>
    </r>
    <r>
      <rPr>
        <rFont val="Arial, sans-serif"/>
        <color rgb="FF1155CC"/>
        <sz val="15.0"/>
        <u/>
      </rPr>
      <t>Repsol vende a Altarea una empresa fotovoltaica en Francia por 140 millones de euros</t>
    </r>
    <r>
      <rPr>
        <rFont val="Arial, sans-serif"/>
        <color rgb="FF1155CC"/>
        <sz val="11.0"/>
        <u/>
      </rPr>
      <t>Repsol ha vendido Prejeance Industrial, empresa dedicada a la instalación de paneles solares, al grupo inmobiliario francés Altarea por 140 millones de...</t>
    </r>
    <r>
      <rPr>
        <rFont val="Arial, sans-serif"/>
        <color rgb="FF1155CC"/>
        <sz val="12.0"/>
        <u/>
      </rPr>
      <t>.</t>
    </r>
    <r>
      <rPr>
        <rFont val="Arial, sans-serif"/>
        <color rgb="FF1155CC"/>
        <sz val="11.0"/>
        <u/>
      </rPr>
      <t>4 jul 2024</t>
    </r>
  </si>
  <si>
    <t>Repsol vende a Altarea una empresa fotovoltaica en Francia por 140 millones de euros</t>
  </si>
  <si>
    <t>Repsol ha vendido Prejeance Industrial, empresa dedicada a la instalación de paneles solares, al grupo inmobiliario francés Altarea por 140 millones de euros.</t>
  </si>
  <si>
    <t>Repsol sells a photovoltaic company in France to Altarea for 140 million euros</t>
  </si>
  <si>
    <t>Repsol has sold Prejeance Industrial, a company dedicated to the installation of solar panels, to the French real estate group Altarea for 140 million euros.</t>
  </si>
  <si>
    <t>Positive sentiment due to a successful business transaction.</t>
  </si>
  <si>
    <t>vende, fotovoltaica</t>
  </si>
  <si>
    <r>
      <rPr>
        <rFont val="Arial, sans-serif"/>
        <color rgb="FF1155CC"/>
        <sz val="9.0"/>
        <u/>
      </rPr>
      <t>El Periódico de la Energía</t>
    </r>
    <r>
      <rPr>
        <rFont val="Arial, sans-serif"/>
        <color rgb="FF1155CC"/>
        <sz val="15.0"/>
        <u/>
      </rPr>
      <t>Repsol e Iberdrola, entre las 10 empresas con mejor reputación de España en 2024</t>
    </r>
    <r>
      <rPr>
        <rFont val="Arial, sans-serif"/>
        <color rgb="FF1155CC"/>
        <sz val="11.0"/>
        <u/>
      </rPr>
      <t>Sus CEO, Ignacio Galán y Josu Jon Imaz, también están posicionados entre los 10 mejores líderes empresariales.</t>
    </r>
    <r>
      <rPr>
        <rFont val="Arial, sans-serif"/>
        <color rgb="FF1155CC"/>
        <sz val="12.0"/>
        <u/>
      </rPr>
      <t>.</t>
    </r>
    <r>
      <rPr>
        <rFont val="Arial, sans-serif"/>
        <color rgb="FF1155CC"/>
        <sz val="11.0"/>
        <u/>
      </rPr>
      <t>4 jul 2024</t>
    </r>
  </si>
  <si>
    <t>Repsol e Iberdrola, entre las 10 empresas con mejor reputación de España en 2024</t>
  </si>
  <si>
    <t>Sus CEO, Ignacio Galán y Josu Jon Imaz, también están posicionados entre los 10 mejores líderes empresariales.</t>
  </si>
  <si>
    <t>Repsol and Iberdrola, among the 10 companies with the best reputation in Spain in 2024</t>
  </si>
  <si>
    <t>Its CEOs, Ignacio Galán and Josu Jon Imaz, are also positioned among the top 10 business leaders.</t>
  </si>
  <si>
    <t>Strong reputation rankings reinforce Repsol’s corporate credibility.</t>
  </si>
  <si>
    <t>mejor reputación</t>
  </si>
  <si>
    <t>Positive brand recognition</t>
  </si>
  <si>
    <t>Reconocimiento positivo de la marca</t>
  </si>
  <si>
    <r>
      <rPr>
        <rFont val="Arial, sans-serif"/>
        <color rgb="FF1155CC"/>
        <sz val="9.0"/>
        <u/>
      </rPr>
      <t>Cinco Días</t>
    </r>
    <r>
      <rPr>
        <rFont val="Arial, sans-serif"/>
        <color rgb="FF1155CC"/>
        <sz val="15.0"/>
        <u/>
      </rPr>
      <t>Los dividendos de Repsol e Iberdrola lastran al Ibex, que logra mantener los 11.000 puntos</t>
    </r>
    <r>
      <rPr>
        <rFont val="Arial, sans-serif"/>
        <color rgb="FF1155CC"/>
        <sz val="11.0"/>
        <u/>
      </rPr>
      <t>La Bolsa española ha cerrado con una subida del 0,09% una sesión marcada por la menor actividad ligada a la jornada festiva de Wall Street, ya que los...</t>
    </r>
    <r>
      <rPr>
        <rFont val="Arial, sans-serif"/>
        <color rgb="FF1155CC"/>
        <sz val="12.0"/>
        <u/>
      </rPr>
      <t>.</t>
    </r>
    <r>
      <rPr>
        <rFont val="Arial, sans-serif"/>
        <color rgb="FF1155CC"/>
        <sz val="11.0"/>
        <u/>
      </rPr>
      <t>4 jul 2024</t>
    </r>
  </si>
  <si>
    <t>Los dividendos de Repsol e Iberdrola lastran al Ibex, que logra mantener los 11.000 puntos</t>
  </si>
  <si>
    <t>Los dividendos de Repsol e Iberdrola lastran al Ibex, que logra mantener los 11.000 puntos.</t>
  </si>
  <si>
    <t>Dividends from Repsol and Iberdrola weigh on the Ibex, which manages to maintain 11,000 points</t>
  </si>
  <si>
    <t>Dividends from Repsol and Iberdrola weigh on the Ibex, which manages to maintain 11,000 points.</t>
  </si>
  <si>
    <t>Positive dividend returns strengthen investor confidence in Repsol.</t>
  </si>
  <si>
    <t>dividendos, lastran</t>
  </si>
  <si>
    <t>Mildly negative market impact</t>
  </si>
  <si>
    <t>Impacto de mercado ligeramente negativo</t>
  </si>
  <si>
    <r>
      <rPr>
        <rFont val="Arial, sans-serif"/>
        <color rgb="FF1155CC"/>
        <sz val="9.0"/>
        <u/>
      </rPr>
      <t>El Cierre Digital</t>
    </r>
    <r>
      <rPr>
        <rFont val="Arial, sans-serif"/>
        <color rgb="FF1155CC"/>
        <sz val="15.0"/>
        <u/>
      </rPr>
      <t>Repsol busca hacerse fuerte en el Reino Unido pese a las denuncias por 'ecopostureo'</t>
    </r>
    <r>
      <rPr>
        <rFont val="Arial, sans-serif"/>
        <color rgb="FF1155CC"/>
        <sz val="11.0"/>
        <u/>
      </rPr>
      <t>Repsol ha sondeado a la británica Neo Energy para cerrar una fusión que consolidaría a la gasista española en el Reino Unido pese a los problemas que ha...</t>
    </r>
    <r>
      <rPr>
        <rFont val="Arial, sans-serif"/>
        <color rgb="FF1155CC"/>
        <sz val="12.0"/>
        <u/>
      </rPr>
      <t>.</t>
    </r>
    <r>
      <rPr>
        <rFont val="Arial, sans-serif"/>
        <color rgb="FF1155CC"/>
        <sz val="11.0"/>
        <u/>
      </rPr>
      <t>4 jul 2024</t>
    </r>
  </si>
  <si>
    <t>Repsol busca hacerse fuerte en el Reino Unido pese a las denuncias por 'ecopostureo'</t>
  </si>
  <si>
    <t>Repsol ha sondeado a la británica Neo Energy para cerrar una fusión que consolidaría a la gasista española en el Reino Unido pese a los problemas que ha....</t>
  </si>
  <si>
    <t>Repsol seeks to become stronger in the United Kingdom despite complaints of 'ecopostureo'</t>
  </si>
  <si>
    <t>Repsol has surveyed the British company Neo Energy to close a merger that would consolidate the Spanish gas company in the United Kingdom despite the problems it has...</t>
  </si>
  <si>
    <t>Strengthening UK operations reinforces Repsol’s international market position.</t>
  </si>
  <si>
    <t>denuncias, ecopostureo</t>
  </si>
  <si>
    <r>
      <rPr>
        <rFont val="Arial, sans-serif"/>
        <color rgb="FF1155CC"/>
        <sz val="9.0"/>
        <u/>
      </rPr>
      <t>El Español</t>
    </r>
    <r>
      <rPr>
        <rFont val="Arial, sans-serif"/>
        <color rgb="FF1155CC"/>
        <sz val="15.0"/>
        <u/>
      </rPr>
      <t>Repsol lanza el 'Netflix' del lavado de coches: servicio de limpieza diario por sólo 7,95 euros al mes</t>
    </r>
    <r>
      <rPr>
        <rFont val="Arial, sans-serif"/>
        <color rgb="FF1155CC"/>
        <sz val="11.0"/>
        <u/>
      </rPr>
      <t>Repsol lanza el Netflix del lavado de coches y revoluciona este mercado. Repsol Klin, una de las redes de lavado de coches más grandes de Europa, acaba de...</t>
    </r>
    <r>
      <rPr>
        <rFont val="Arial, sans-serif"/>
        <color rgb="FF1155CC"/>
        <sz val="12.0"/>
        <u/>
      </rPr>
      <t>.</t>
    </r>
    <r>
      <rPr>
        <rFont val="Arial, sans-serif"/>
        <color rgb="FF1155CC"/>
        <sz val="11.0"/>
        <u/>
      </rPr>
      <t>4 jul 2024</t>
    </r>
  </si>
  <si>
    <t>Repsol lanza el 'Netflix' del lavado de coches: servicio de limpieza diario por sólo 7,95 euros al mes</t>
  </si>
  <si>
    <t>Repsol lanza el Netflix del lavado de coches y revoluciona este mercado. Repsol Klin, una de las redes de lavado de coches más grandes de Europa, acaba de....</t>
  </si>
  <si>
    <t>Repsol launches the 'Netflix' of car washing: daily cleaning service for only 7.95 euros per month</t>
  </si>
  <si>
    <t>Repsol launches the Netflix of car washing and revolutionizes this market. Repsol Klin, one of the largest car wash networks in Europe, has just...</t>
  </si>
  <si>
    <t>Expanding subscription-based services strengthens Repsol’s consumer engagement.</t>
  </si>
  <si>
    <r>
      <rPr>
        <rFont val="Arial, sans-serif"/>
        <color rgb="FF1155CC"/>
        <sz val="9.0"/>
        <u/>
      </rPr>
      <t>Corresponsables</t>
    </r>
    <r>
      <rPr>
        <rFont val="Arial, sans-serif"/>
        <color rgb="FF1155CC"/>
        <sz val="15.0"/>
        <u/>
      </rPr>
      <t>Inditex, Mercadona, Grupo Social Once, Repsol y Coca-Cola son las empresas con mejor reputación de España en 2024</t>
    </r>
    <r>
      <rPr>
        <rFont val="Arial, sans-serif"/>
        <color rgb="FF1155CC"/>
        <sz val="11.0"/>
        <u/>
      </rPr>
      <t>En la 24ª edición, Merco ha consolidado su base metodológica, con 7 evaluaciones, 28 fuentes de información y 63.435 encuestas, siendo el único estudio...</t>
    </r>
    <r>
      <rPr>
        <rFont val="Arial, sans-serif"/>
        <color rgb="FF1155CC"/>
        <sz val="12.0"/>
        <u/>
      </rPr>
      <t>.</t>
    </r>
    <r>
      <rPr>
        <rFont val="Arial, sans-serif"/>
        <color rgb="FF1155CC"/>
        <sz val="11.0"/>
        <u/>
      </rPr>
      <t>4 jul 2024</t>
    </r>
  </si>
  <si>
    <t>Inditex, Mercadona, Grupo Social Once, Repsol y Coca-Cola son las empresas con mejor reputación de España en 2024</t>
  </si>
  <si>
    <t>Inditex, Mercadona, Grupo Social Once, Repsol y Coca-Cola son las empresas con mejor reputación de España en 2024.</t>
  </si>
  <si>
    <t>Inditex, Mercadona, Grupo Social Once, Repsol and Coca-Cola are the companies with the best reputation in Spain in 2024</t>
  </si>
  <si>
    <t>Inditex, Mercadona, Grupo Social Once, Repsol and Coca-Cola are the companies with the best reputation in Spain in 2024.</t>
  </si>
  <si>
    <t>Repsol corporate reputation, employment ranking</t>
  </si>
  <si>
    <t>Reputación corporativa de Repsol, ranking de empleo</t>
  </si>
  <si>
    <t>Being recognized as a top employer strengthens Repsol’s corporate image.</t>
  </si>
  <si>
    <r>
      <rPr>
        <rFont val="Arial, sans-serif"/>
        <color rgb="FF1155CC"/>
        <sz val="9.0"/>
        <u/>
      </rPr>
      <t>Economía Digital</t>
    </r>
    <r>
      <rPr>
        <rFont val="Arial, sans-serif"/>
        <color rgb="FF1155CC"/>
        <sz val="15.0"/>
        <u/>
      </rPr>
      <t>Repsol y Endesa se suman a Navantia como grandes clientes de Amper en su llegada a Ferrol y A Coruña</t>
    </r>
    <r>
      <rPr>
        <color rgb="FF1155CC"/>
        <sz val="11.0"/>
        <u/>
      </rPr>
      <t>Estas tres compañías, fuertemente implantadas en Galicia, representaron más del 40% de la facturación de Amper en los dos últimos ejercicios.</t>
    </r>
    <r>
      <rPr>
        <color rgb="FF1155CC"/>
        <sz val="12.0"/>
        <u/>
      </rPr>
      <t>.</t>
    </r>
    <r>
      <rPr>
        <color rgb="FF1155CC"/>
        <sz val="11.0"/>
        <u/>
      </rPr>
      <t>4 jul 2024</t>
    </r>
  </si>
  <si>
    <t>Repsol y Endesa se suman a Navantia como grandes clientes de Amper en su llegada a Ferrol y A Coruña</t>
  </si>
  <si>
    <t>Estas tres compañías, fuertemente implantadas en Galicia, representaron más del 40% de la facturación de Amper en los dos últimos ejercicios.</t>
  </si>
  <si>
    <t>Repsol and Endesa join Navantia as major clients of Amper in its arrival in Ferrol and A Coruña</t>
  </si>
  <si>
    <t>These three companies, strongly established in Galicia, represented more than 40% of Amper's turnover in the last two years.</t>
  </si>
  <si>
    <t>Repsol business partnerships, corporate expansion</t>
  </si>
  <si>
    <t>Asociaciones comerciales de Repsol, Expansión corporativa</t>
  </si>
  <si>
    <t>Strengthening industry partnerships enhances Repsol’s energy business positioning.</t>
  </si>
  <si>
    <t>Neutral business relationship</t>
  </si>
  <si>
    <t>Relación comercial neutral</t>
  </si>
  <si>
    <r>
      <rPr>
        <rFont val="Arial, sans-serif"/>
        <color rgb="FF1155CC"/>
        <sz val="9.0"/>
        <u/>
      </rPr>
      <t>InfoRETAIL</t>
    </r>
    <r>
      <rPr>
        <rFont val="Arial, sans-serif"/>
        <color rgb="FF1155CC"/>
        <sz val="15.0"/>
        <u/>
      </rPr>
      <t>Inditex, Mercadona, ONCE, Repsol y Coca-Cola, las empresas mejor valoradas del Top-100 de Merco</t>
    </r>
    <r>
      <rPr>
        <color rgb="FF1155CC"/>
        <sz val="11.0"/>
        <u/>
      </rPr>
      <t>Nestlé, P&amp;G y Decathlon lideran sus sectores; Juan Roig, Ana Botín y Amancio Ortega, los mejores directivos. 04/07/2024. Ranking Merco en reputación...</t>
    </r>
    <r>
      <rPr>
        <color rgb="FF1155CC"/>
        <sz val="12.0"/>
        <u/>
      </rPr>
      <t>.</t>
    </r>
    <r>
      <rPr>
        <color rgb="FF1155CC"/>
        <sz val="11.0"/>
        <u/>
      </rPr>
      <t>4 jul 2024</t>
    </r>
  </si>
  <si>
    <t>Merco</t>
  </si>
  <si>
    <t>Inditex, Mercadona, ONCE, Repsol y Coca-Cola, las empresas mejor valoradas del Top-100 de Merco</t>
  </si>
  <si>
    <t>Inditex, Mercadona, ONCE, Repsol y Coca-Cola, las empresas mejor valoradas del Top-100 de Merco. Nestlé, P&amp;G y Decathlon lideran sus sectores; Juan Roig, Ana Botín y Amancio Ortega, los mejores directivos.</t>
  </si>
  <si>
    <t>Inditex, Mercadona, ONCE, Repsol and Coca-Cola, the best valued companies in the Merco Top-100</t>
  </si>
  <si>
    <t>Inditex, Mercadona, ONCE, Repsol and Coca-Cola, the best valued companies in the Merco Top-100. Nestlé, P&amp;G and Decathlon lead their sectors; Juan Roig, Ana Botín and Amancio Ortega, the best managers.</t>
  </si>
  <si>
    <t>High sentiment as Repsol is recognized among the best companies.</t>
  </si>
  <si>
    <t>mejor valoradas</t>
  </si>
  <si>
    <r>
      <rPr>
        <rFont val="Arial, sans-serif"/>
        <color rgb="FF1155CC"/>
        <sz val="9.0"/>
        <u/>
      </rPr>
      <t>Global Energy</t>
    </r>
    <r>
      <rPr>
        <rFont val="Arial, sans-serif"/>
        <color rgb="FF1155CC"/>
        <sz val="15.0"/>
        <u/>
      </rPr>
      <t>Repsol compra el 45% de estaciones de servicio de El Corte Inglés</t>
    </r>
    <r>
      <rPr>
        <color rgb="FF1155CC"/>
        <sz val="11.0"/>
        <u/>
      </rPr>
      <t>Repsol adquirió el 45% del negocio de estaciones de servicio de El Corte Inglés, aumentando su control a un 95% sobre Gespevesa, la sociedad que administra...</t>
    </r>
    <r>
      <rPr>
        <color rgb="FF1155CC"/>
        <sz val="12.0"/>
        <u/>
      </rPr>
      <t>.</t>
    </r>
    <r>
      <rPr>
        <color rgb="FF1155CC"/>
        <sz val="11.0"/>
        <u/>
      </rPr>
      <t>4 jul 2024</t>
    </r>
  </si>
  <si>
    <t>Global Energy</t>
  </si>
  <si>
    <t>Repsol compra el 45% de estaciones de servicio de El Corte Inglés</t>
  </si>
  <si>
    <t>Repsol adquirió el 45% del negocio de estaciones de servicio de El Corte Inglés, aumentando su control a un 95% sobre Gespevesa, la sociedad que administra....</t>
  </si>
  <si>
    <t>Repsol buys 45% of El Corte Inglés service stations</t>
  </si>
  <si>
    <t>Repsol acquired 45% of El Corte Inglés' service station business, increasing its control to 95% over Gespevesa, the company it manages....</t>
  </si>
  <si>
    <t>Positive impact from expanding Repsol's control over service stations.</t>
  </si>
  <si>
    <r>
      <rPr>
        <rFont val="Arial, sans-serif"/>
        <color rgb="FF1155CC"/>
        <sz val="9.0"/>
        <u/>
      </rPr>
      <t>Infobae</t>
    </r>
    <r>
      <rPr>
        <rFont val="Arial, sans-serif"/>
        <color rgb="FF1155CC"/>
        <sz val="15.0"/>
        <u/>
      </rPr>
      <t>Las recomendaciones de uno de los mejores chefs de Asturias para comerse Gijón: sidrerías, cócteles, pizzas y pasteles</t>
    </r>
    <r>
      <rPr>
        <color rgb="FF1155CC"/>
        <sz val="11.0"/>
        <u/>
      </rPr>
      <t>Marcos Morán, del restaurante con estrella Michelin Casa Gerardo, ha creado su guía personal de favoritos recomendando cinco locales con Solete Repsol.</t>
    </r>
    <r>
      <rPr>
        <color rgb="FF1155CC"/>
        <sz val="12.0"/>
        <u/>
      </rPr>
      <t>.</t>
    </r>
    <r>
      <rPr>
        <color rgb="FF1155CC"/>
        <sz val="11.0"/>
        <u/>
      </rPr>
      <t>4 jul 2024</t>
    </r>
  </si>
  <si>
    <t>Las recomendaciones de uno de los mejores chefs de Asturias para comerse Gijón: sidrerías, cócteles, pizzas y pasteles</t>
  </si>
  <si>
    <t>Las recomendaciones de uno de los mejores chefs de Asturias para comerse Gijón: sidrerías, cócteles, pizzas y pasteles. Marcos Morán, del restaurante con estrella Michelin Casa Gerardo, ha creado su guía personal de favoritos recomendando cinco locales con Solete Repsol.</t>
  </si>
  <si>
    <t>The recommendations of one of the best chefs in Asturias to eat Gijón: cider bars, cocktails, pizzas and cakes</t>
  </si>
  <si>
    <t>The recommendations of one of the best chefs in Asturias to eat Gijón: cider bars, cocktails, pizzas and cakes. Marcos Morán, from the Michelin-starred restaurant Casa Gerardo, has created his personal favorites guide, recommending five locations with Solete Repsol.</t>
  </si>
  <si>
    <r>
      <rPr>
        <rFont val="Arial, sans-serif"/>
        <color rgb="FF1155CC"/>
        <sz val="9.0"/>
        <u/>
      </rPr>
      <t>Bon Viveur</t>
    </r>
    <r>
      <rPr>
        <rFont val="Arial, sans-serif"/>
        <color rgb="FF1155CC"/>
        <sz val="15.0"/>
        <u/>
      </rPr>
      <t>Los 20 mejores restaurantes de España</t>
    </r>
    <r>
      <rPr>
        <color rgb="FF1155CC"/>
        <sz val="11.0"/>
        <u/>
      </rPr>
      <t>Estos son los mejores restaurantes de España del momento, una selección de establecimientos oficiados por algunos de los mejores cocineros.</t>
    </r>
    <r>
      <rPr>
        <color rgb="FF1155CC"/>
        <sz val="12.0"/>
        <u/>
      </rPr>
      <t>.</t>
    </r>
    <r>
      <rPr>
        <color rgb="FF1155CC"/>
        <sz val="11.0"/>
        <u/>
      </rPr>
      <t>4 jul 2024</t>
    </r>
  </si>
  <si>
    <t>Los 20 mejores restaurantes de España</t>
  </si>
  <si>
    <t>Estos son los mejores restaurantes de España del momento, una selección de establecimientos oficiados por algunos de los mejores cocineros.</t>
  </si>
  <si>
    <t>The 20 best restaurants in Spain</t>
  </si>
  <si>
    <t>These are the best restaurants in Spain at the moment, a selection of establishments run by some of the best chefs.</t>
  </si>
  <si>
    <r>
      <rPr>
        <rFont val="Arial, sans-serif"/>
        <color rgb="FF1155CC"/>
        <sz val="9.0"/>
        <u/>
      </rPr>
      <t>CooperAcción</t>
    </r>
    <r>
      <rPr>
        <rFont val="Arial, sans-serif"/>
        <color rgb="FF1155CC"/>
        <sz val="15.0"/>
        <u/>
      </rPr>
      <t>Pescadores afectados por el derrame de Repsol marcharán el 05 de julio</t>
    </r>
    <r>
      <rPr>
        <color rgb="FF1155CC"/>
        <sz val="11.0"/>
        <u/>
      </rPr>
      <t>Las más de 70 organizaciones sociales de pescadores, comerciantes y conexos afectados por el derrame de petróleo de Repsol, de los distritos de Ventanilla,...</t>
    </r>
    <r>
      <rPr>
        <color rgb="FF1155CC"/>
        <sz val="12.0"/>
        <u/>
      </rPr>
      <t>.</t>
    </r>
    <r>
      <rPr>
        <color rgb="FF1155CC"/>
        <sz val="11.0"/>
        <u/>
      </rPr>
      <t>4 jul 2024</t>
    </r>
  </si>
  <si>
    <t>Pescadores afectados por el derrame de Repsol marcharán el 05 de julio</t>
  </si>
  <si>
    <t>Las más de 70 organizaciones sociales de pescadores, comerciantes y conexos afectados por el derrame de petróleo de Repsol, de los distritos de Ventanilla,....</t>
  </si>
  <si>
    <t>Fishermen affected by the Repsol spill will march on July 5</t>
  </si>
  <si>
    <t>The more than 70 social organizations of fishermen, merchants and related parties affected by the Repsol oil spill, from the districts of Ventanilla,...</t>
  </si>
  <si>
    <t>Highly negative due to protests and damages caused by the oil spill.</t>
  </si>
  <si>
    <t>derrame, marcharán</t>
  </si>
  <si>
    <t>Negative for protest over oil spill</t>
  </si>
  <si>
    <t>Negativo para protesta por derrame de petróleo</t>
  </si>
  <si>
    <r>
      <rPr>
        <rFont val="Arial, sans-serif"/>
        <color rgb="FF1155CC"/>
        <sz val="9.0"/>
        <u/>
      </rPr>
      <t>Aporrea</t>
    </r>
    <r>
      <rPr>
        <rFont val="Arial, sans-serif"/>
        <color rgb="FF1155CC"/>
        <sz val="15.0"/>
        <u/>
      </rPr>
      <t>Cifras reportadas de producciÃ³n y exportaciÃ³n de PDVSA no cuadran</t>
    </r>
    <r>
      <rPr>
        <color rgb="FF1155CC"/>
        <sz val="11.0"/>
        <u/>
      </rPr>
      <t>A juzgar por las cifras de exportación promedio reportadas para el cierre de Junio 2024, la realidad puertas adentro de PDVSA luce mucho más complicada de...</t>
    </r>
    <r>
      <rPr>
        <color rgb="FF1155CC"/>
        <sz val="12.0"/>
        <u/>
      </rPr>
      <t>.</t>
    </r>
    <r>
      <rPr>
        <color rgb="FF1155CC"/>
        <sz val="11.0"/>
        <u/>
      </rPr>
      <t>4 jul 2024</t>
    </r>
  </si>
  <si>
    <t>Aporrea</t>
  </si>
  <si>
    <t>Cifras reportadas de producción y exportación de PDVSA no cuadran</t>
  </si>
  <si>
    <t>A juzgar por las cifras de exportación promedio reportadas para el cierre de Junio 2024, la realidad puertas adentro de PDVSA luce mucho más complicada de....</t>
  </si>
  <si>
    <t>PDVSA's reported production and export figures do not add up</t>
  </si>
  <si>
    <t>Judging by the average export figures reported for the end of June 2024, the reality behind PDVSA's doors looks much more complicated than...</t>
  </si>
  <si>
    <r>
      <rPr>
        <rFont val="Arial, sans-serif"/>
        <color rgb="FF1155CC"/>
        <sz val="9.0"/>
        <u/>
      </rPr>
      <t>Confilegal</t>
    </r>
    <r>
      <rPr>
        <rFont val="Arial, sans-serif"/>
        <color rgb="FF1155CC"/>
        <sz val="15.0"/>
        <u/>
      </rPr>
      <t>Entrevista | Pablo Blanco, Repsol: Con la IA las reglas del juego cambian, "será el más rápido el que se...</t>
    </r>
    <r>
      <rPr>
        <rFont val="Arial, sans-serif"/>
        <color rgb="FF1155CC"/>
        <sz val="11.0"/>
        <u/>
      </rPr>
      <t>Las reglas de juego en las empresas han cambiado. Ya no es el pez grande el que se come al pequeño sino el más rápido al más lento, afirma Pablo Blanco.</t>
    </r>
    <r>
      <rPr>
        <rFont val="Arial, sans-serif"/>
        <color rgb="FF1155CC"/>
        <sz val="12.0"/>
        <u/>
      </rPr>
      <t>.</t>
    </r>
    <r>
      <rPr>
        <rFont val="Arial, sans-serif"/>
        <color rgb="FF1155CC"/>
        <sz val="11.0"/>
        <u/>
      </rPr>
      <t>5 jul 2024</t>
    </r>
  </si>
  <si>
    <t>Con la IA las reglas del juego cambian, "será el más rápido el que se...</t>
  </si>
  <si>
    <t>Las reglas de juego en las empresas han cambiado. Ya no es el pez grande el que se come al pequeño sino el más rápido al más lento, afirma Pablo Blanco.</t>
  </si>
  <si>
    <t>With AI the rules of the game change, "it will be the fastest one...</t>
  </si>
  <si>
    <t>The rules of the game in companies have changed. It is no longer the big fish that eats the small one but the fastest one that eats the slowest one, says Pablo Blanco.</t>
  </si>
  <si>
    <r>
      <rPr>
        <rFont val="Arial, sans-serif"/>
        <color rgb="FF1155CC"/>
        <sz val="9.0"/>
        <u/>
      </rPr>
      <t>El Confidencial</t>
    </r>
    <r>
      <rPr>
        <rFont val="Arial, sans-serif"/>
        <color rgb="FF1155CC"/>
        <sz val="15.0"/>
        <u/>
      </rPr>
      <t>Repsol ficha abogados 'top' para la operación que sondea Saudi Aramco</t>
    </r>
    <r>
      <rPr>
        <rFont val="Arial, sans-serif"/>
        <color rgb="FF1155CC"/>
        <sz val="11.0"/>
        <u/>
      </rPr>
      <t>La energética ha encargado la asesoría legal para la búsqueda de un inversor en su filial de renovables a Freshfields Bruckhaus Deringer, despacho británico...</t>
    </r>
    <r>
      <rPr>
        <rFont val="Arial, sans-serif"/>
        <color rgb="FF1155CC"/>
        <sz val="12.0"/>
        <u/>
      </rPr>
      <t>.</t>
    </r>
    <r>
      <rPr>
        <rFont val="Arial, sans-serif"/>
        <color rgb="FF1155CC"/>
        <sz val="11.0"/>
        <u/>
      </rPr>
      <t>5 jul 2024</t>
    </r>
  </si>
  <si>
    <t>Repsol ficha abogados 'top' para la operación que sondea Saudi Aramco</t>
  </si>
  <si>
    <t>La energética ha encargado la asesoría legal para la búsqueda de un inversor en su filial de renovables a Freshfields Bruckhaus Deringer, despacho británico....</t>
  </si>
  <si>
    <t>Repsol hires 'top' lawyers for the operation probing Saudi Aramco</t>
  </si>
  <si>
    <t>The energy company has entrusted legal advice for the search for an investor in its renewable subsidiary to Freshfields Bruckhaus Deringer, a British firm....</t>
  </si>
  <si>
    <t>Positive sentiment due to securing top legal advisors for a major deal.</t>
  </si>
  <si>
    <t>Saudi Aramco</t>
  </si>
  <si>
    <t>Positive potential partnership</t>
  </si>
  <si>
    <t>Asociación potencial positiva</t>
  </si>
  <si>
    <r>
      <rPr>
        <rFont val="Arial, sans-serif"/>
        <color rgb="FF1155CC"/>
        <sz val="9.0"/>
        <u/>
      </rPr>
      <t>El Periódico de la Energía</t>
    </r>
    <r>
      <rPr>
        <rFont val="Arial, sans-serif"/>
        <color rgb="FF1155CC"/>
        <sz val="15.0"/>
        <u/>
      </rPr>
      <t>Repsol vende a Altarea una empresa fotovoltaica en Francia por 140 millones</t>
    </r>
    <r>
      <rPr>
        <rFont val="Arial, sans-serif"/>
        <color rgb="FF1155CC"/>
        <sz val="11.0"/>
        <u/>
      </rPr>
      <t>Repsol ha vendido Prejeance Industrial, una sociedad francesa dedicada a la instalación de paneles solares, al grupo inmobiliario francés Altarea por 140...</t>
    </r>
    <r>
      <rPr>
        <rFont val="Arial, sans-serif"/>
        <color rgb="FF1155CC"/>
        <sz val="12.0"/>
        <u/>
      </rPr>
      <t>.</t>
    </r>
    <r>
      <rPr>
        <rFont val="Arial, sans-serif"/>
        <color rgb="FF1155CC"/>
        <sz val="11.0"/>
        <u/>
      </rPr>
      <t>5 jul 2024</t>
    </r>
  </si>
  <si>
    <t>Repsol vende a Altarea una empresa fotovoltaica en Francia por 140 millones</t>
  </si>
  <si>
    <t>Repsol ha vendido Prejeance Industrial, una sociedad francesa dedicada a la instalación de paneles solares, al grupo inmobiliario francés Altarea por 140....</t>
  </si>
  <si>
    <t>Repsol sells a photovoltaic company in France to Altarea for 140 million</t>
  </si>
  <si>
    <t>Repsol has sold Prejeance Industrial, a French company dedicated to the installation of solar panels, to the French real estate group Altarea for 140...</t>
  </si>
  <si>
    <t>Positive due to another successful company sale.</t>
  </si>
  <si>
    <r>
      <rPr>
        <rFont val="Arial, sans-serif"/>
        <color rgb="FF1155CC"/>
        <sz val="9.0"/>
        <u/>
      </rPr>
      <t>Estrategias de Inversión</t>
    </r>
    <r>
      <rPr>
        <rFont val="Arial, sans-serif"/>
        <color rgb="FF1155CC"/>
        <sz val="15.0"/>
        <u/>
      </rPr>
      <t>Repsol vende Prejeance Industrial a Altarea por 140 millones de euros</t>
    </r>
    <r>
      <rPr>
        <rFont val="Arial, sans-serif"/>
        <color rgb="FF1155CC"/>
        <sz val="11.0"/>
        <u/>
      </rPr>
      <t>Repsol ha concretado la venta de Prejeance Industrial, una empresa francesa especializada en la instalación de paneles solares, al grupo inmobiliario...</t>
    </r>
    <r>
      <rPr>
        <rFont val="Arial, sans-serif"/>
        <color rgb="FF1155CC"/>
        <sz val="12.0"/>
        <u/>
      </rPr>
      <t>.</t>
    </r>
    <r>
      <rPr>
        <rFont val="Arial, sans-serif"/>
        <color rgb="FF1155CC"/>
        <sz val="11.0"/>
        <u/>
      </rPr>
      <t>5 jul 2024</t>
    </r>
  </si>
  <si>
    <t>Repsol vende Prejeance Industrial a Altarea por 140 millones de euros</t>
  </si>
  <si>
    <t>Repsol ha concretado la venta de Prejeance Industrial, una empresa francesa especializada en la instalación de paneles solares, al grupo inmobiliario....</t>
  </si>
  <si>
    <t>Repsol sells Prejeance Industrial to Altarea for 140 million euros</t>
  </si>
  <si>
    <t>Repsol has completed the sale of Prejeance Industrial, a French company specialized in the installation of solar panels, to the real estate group....</t>
  </si>
  <si>
    <t>Positive for the same reason as the previous similar headline.</t>
  </si>
  <si>
    <r>
      <rPr>
        <rFont val="Arial, sans-serif"/>
        <color rgb="FF1155CC"/>
        <sz val="9.0"/>
        <u/>
      </rPr>
      <t>Autopista.es</t>
    </r>
    <r>
      <rPr>
        <rFont val="Arial, sans-serif"/>
        <color rgb="FF1155CC"/>
        <sz val="15.0"/>
        <u/>
      </rPr>
      <t>Llega la tarifa plana del lavado de coches y te costará menos que la suscripción de Netflix</t>
    </r>
    <r>
      <rPr>
        <rFont val="Arial, sans-serif"/>
        <color rgb="FF1155CC"/>
        <sz val="11.0"/>
        <u/>
      </rPr>
      <t>Por un único pago al mes podrás utilizar a diario tanto el lavado como los aspiradores para mantener limpio tu coche.</t>
    </r>
    <r>
      <rPr>
        <rFont val="Arial, sans-serif"/>
        <color rgb="FF1155CC"/>
        <sz val="12.0"/>
        <u/>
      </rPr>
      <t>.</t>
    </r>
    <r>
      <rPr>
        <rFont val="Arial, sans-serif"/>
        <color rgb="FF1155CC"/>
        <sz val="11.0"/>
        <u/>
      </rPr>
      <t>5 jul 2024</t>
    </r>
  </si>
  <si>
    <t>Llega la tarifa plana del lavado de coches y te costará menos que la suscripción de Netflix</t>
  </si>
  <si>
    <t>Por un único pago al mes podrás utilizar a diario tanto el lavado como los aspiradores para mantener limpio tu coche.</t>
  </si>
  <si>
    <t>The car wash flat rate is coming and it will cost you less than a Netflix subscription</t>
  </si>
  <si>
    <t>For a single payment per month you can use both the wash and the vacuum cleaners daily to keep your car clean.</t>
  </si>
  <si>
    <r>
      <rPr>
        <rFont val="Arial, sans-serif"/>
        <color rgb="FF1155CC"/>
        <sz val="9.0"/>
        <u/>
      </rPr>
      <t>Guía Repsol</t>
    </r>
    <r>
      <rPr>
        <rFont val="Arial, sans-serif"/>
        <color rgb="FF1155CC"/>
        <sz val="15.0"/>
        <u/>
      </rPr>
      <t>Verano en las calas de Calella de Palafrugell (Girona)</t>
    </r>
    <r>
      <rPr>
        <rFont val="Arial, sans-serif"/>
        <color rgb="FF1155CC"/>
        <sz val="11.0"/>
        <u/>
      </rPr>
      <t>Calella de Palafrugell todavía preserva una marineras que ya no se ven en casi ningún pueblo de la Costa Brava. Este verano, piérdete por sus múltiples y...</t>
    </r>
    <r>
      <rPr>
        <rFont val="Arial, sans-serif"/>
        <color rgb="FF1155CC"/>
        <sz val="12.0"/>
        <u/>
      </rPr>
      <t>.</t>
    </r>
    <r>
      <rPr>
        <rFont val="Arial, sans-serif"/>
        <color rgb="FF1155CC"/>
        <sz val="11.0"/>
        <u/>
      </rPr>
      <t>5 jul 2024</t>
    </r>
  </si>
  <si>
    <t>Verano en las calas de Calella de Palafrugell (Girona)</t>
  </si>
  <si>
    <t>Calella de Palafrugell todavía preserva una marineras que ya no se ven en casi ningún pueblo de la Costa Brava. Este verano, piérdete por sus múltiples y....</t>
  </si>
  <si>
    <t>Summer in the coves of Calella de Palafrugell (Girona)</t>
  </si>
  <si>
    <t>Calella de Palafrugell still preserves a seaside scene that is no longer seen in almost any town on the Costa Brava. This summer, get lost in its many and...</t>
  </si>
  <si>
    <r>
      <rPr>
        <rFont val="Arial, sans-serif"/>
        <color rgb="FF1155CC"/>
        <sz val="9.0"/>
        <u/>
      </rPr>
      <t>Diario de Cádiz</t>
    </r>
    <r>
      <rPr>
        <rFont val="Arial, sans-serif"/>
        <color rgb="FF1155CC"/>
        <sz val="15.0"/>
        <u/>
      </rPr>
      <t>Una heladería italiana de El Puerto recomendada por Ángel León en la Guía Repsol</t>
    </r>
    <r>
      <rPr>
        <rFont val="Arial, sans-serif"/>
        <color rgb="FF1155CC"/>
        <sz val="11.0"/>
        <u/>
      </rPr>
      <t>La heladería Da Massimo es uno de los imprescindibles del verano portuense. Hace 14 años fue fundada por el italiano Massimo Pozzi, quien es capaz de...</t>
    </r>
    <r>
      <rPr>
        <rFont val="Arial, sans-serif"/>
        <color rgb="FF1155CC"/>
        <sz val="12.0"/>
        <u/>
      </rPr>
      <t>.</t>
    </r>
    <r>
      <rPr>
        <rFont val="Arial, sans-serif"/>
        <color rgb="FF1155CC"/>
        <sz val="11.0"/>
        <u/>
      </rPr>
      <t>5 jul 2024</t>
    </r>
  </si>
  <si>
    <t>Una heladería italiana de El Puerto recomendada por Ángel León en la Guía Repsol</t>
  </si>
  <si>
    <t>La heladería Da Massimo es uno de los imprescindibles del verano portuense. Hace 14 años fue fundada por el italiano Massimo Pozzi, quien es capaz de....</t>
  </si>
  <si>
    <t>An Italian ice cream parlor in El Puerto recommended by Ángel León in the Repsol Guide</t>
  </si>
  <si>
    <t>Da Massimo ice cream parlor is one of the essentials of the Porto summer. 14 years ago it was founded by the Italian Massimo Pozzi, who is capable of...</t>
  </si>
  <si>
    <r>
      <rPr>
        <rFont val="Arial, sans-serif"/>
        <color rgb="FF1155CC"/>
        <sz val="9.0"/>
        <u/>
      </rPr>
      <t>Box Repsol</t>
    </r>
    <r>
      <rPr>
        <rFont val="Arial, sans-serif"/>
        <color rgb="FF1155CC"/>
        <sz val="15.0"/>
        <u/>
      </rPr>
      <t>Resultados de los entrenamientos del GP de Alemania de MotoGP</t>
    </r>
    <r>
      <rPr>
        <rFont val="Arial, sans-serif"/>
        <color rgb="FF1155CC"/>
        <sz val="11.0"/>
        <u/>
      </rPr>
      <t>La novena cita del Mundial de MotoGP, el Gran Premio de Alemania, ha iniciado hoy con las dos primeras sesiones de entrenamientos, en las que Maverick...</t>
    </r>
    <r>
      <rPr>
        <rFont val="Arial, sans-serif"/>
        <color rgb="FF1155CC"/>
        <sz val="12.0"/>
        <u/>
      </rPr>
      <t>.</t>
    </r>
    <r>
      <rPr>
        <rFont val="Arial, sans-serif"/>
        <color rgb="FF1155CC"/>
        <sz val="11.0"/>
        <u/>
      </rPr>
      <t>5 jul 2024</t>
    </r>
  </si>
  <si>
    <t>Resultados de los entrenamientos del GP de Alemania de MotoGP</t>
  </si>
  <si>
    <t>La novena cita del Mundial de MotoGP, el Gran Premio de Alemania, ha iniciado hoy con las dos primeras sesiones de entrenamientos, en las que Maverick....</t>
  </si>
  <si>
    <t>MotoGP German GP practice results</t>
  </si>
  <si>
    <t>The ninth round of the MotoGP World Championship, the German Grand Prix, began today with the first two practice sessions, in which Maverick...</t>
  </si>
  <si>
    <r>
      <rPr>
        <rFont val="Arial, sans-serif"/>
        <color rgb="FF1155CC"/>
        <sz val="9.0"/>
        <u/>
      </rPr>
      <t>Málaga Hoy</t>
    </r>
    <r>
      <rPr>
        <rFont val="Arial, sans-serif"/>
        <color rgb="FF1155CC"/>
        <sz val="15.0"/>
        <u/>
      </rPr>
      <t>Las tres heladerías de Málaga que recomiendan los expertos para un día de calor</t>
    </r>
    <r>
      <rPr>
        <rFont val="Arial, sans-serif"/>
        <color rgb="FF1155CC"/>
        <sz val="11.0"/>
        <u/>
      </rPr>
      <t>Nonna Helado Artesanal, E'Gelato y Mira, las heladerías elegidas por los grandes chefs de Málaga.</t>
    </r>
    <r>
      <rPr>
        <rFont val="Arial, sans-serif"/>
        <color rgb="FF1155CC"/>
        <sz val="12.0"/>
        <u/>
      </rPr>
      <t>.</t>
    </r>
    <r>
      <rPr>
        <rFont val="Arial, sans-serif"/>
        <color rgb="FF1155CC"/>
        <sz val="11.0"/>
        <u/>
      </rPr>
      <t>5 jul 2024</t>
    </r>
  </si>
  <si>
    <t>Las tres heladerías de Málaga que recomiendan los expertos para un día de calor</t>
  </si>
  <si>
    <t>Nonna Helado Artesanal, E'Gelato y Mira, las heladerías elegidas por los grandes chefs de Málaga.</t>
  </si>
  <si>
    <t>The three ice cream parlors in Malaga that experts recommend for a hot day</t>
  </si>
  <si>
    <t>Nonna Helado Artesanal, E'Gelato and Mira, the ice cream shops chosen by the great chefs of Malaga.</t>
  </si>
  <si>
    <r>
      <rPr>
        <rFont val="Arial, sans-serif"/>
        <color rgb="FF1155CC"/>
        <sz val="9.0"/>
        <u/>
      </rPr>
      <t>Gestión</t>
    </r>
    <r>
      <rPr>
        <rFont val="Arial, sans-serif"/>
        <color rgb="FF1155CC"/>
        <sz val="15.0"/>
        <u/>
      </rPr>
      <t>Repsol asegura haber pagado al 98% de los afectados por el derrame de petróleo</t>
    </r>
    <r>
      <rPr>
        <rFont val="Arial, sans-serif"/>
        <color rgb="FF1155CC"/>
        <sz val="11.0"/>
        <u/>
      </rPr>
      <t>La Refinería La Pampilla Repsol emitió un comunicado asegurando que ha cumplido con el pago de los 98% de los afectados por el derrame de petróleo ocurrido...</t>
    </r>
    <r>
      <rPr>
        <rFont val="Arial, sans-serif"/>
        <color rgb="FF1155CC"/>
        <sz val="12.0"/>
        <u/>
      </rPr>
      <t>.</t>
    </r>
    <r>
      <rPr>
        <rFont val="Arial, sans-serif"/>
        <color rgb="FF1155CC"/>
        <sz val="11.0"/>
        <u/>
      </rPr>
      <t>5 jul 2024</t>
    </r>
  </si>
  <si>
    <t>Repsol asegura haber pagado al 98% de los afectados por el derrame de petróleo</t>
  </si>
  <si>
    <t>Repsol asegura haber pagado al 98% de los afectados por el derrame de petróleo.</t>
  </si>
  <si>
    <t>Repsol claims to have paid 98% of those affected by the oil spill</t>
  </si>
  <si>
    <t>Repsol claims to have paid 98% of those affected by the oil spill.</t>
  </si>
  <si>
    <t>Repsol oil spill, corporate responsibility</t>
  </si>
  <si>
    <t>Derrame de petróleo de Repsol, responsabilidad corporativa</t>
  </si>
  <si>
    <t>Slightly negative due to Repsol's need to defend itself over the oil spill.</t>
  </si>
  <si>
    <t>pagado, 98%</t>
  </si>
  <si>
    <t>Positive resolution claim</t>
  </si>
  <si>
    <t>Reclamación de resolución positiva</t>
  </si>
  <si>
    <r>
      <rPr>
        <rFont val="Arial, sans-serif"/>
        <color rgb="FF1155CC"/>
        <sz val="9.0"/>
        <u/>
      </rPr>
      <t>Correo</t>
    </r>
    <r>
      <rPr>
        <rFont val="Arial, sans-serif"/>
        <color rgb="FF1155CC"/>
        <sz val="15.0"/>
        <u/>
      </rPr>
      <t>Repsol asegura haber indemnizado al 98% de afectados por derrame de petróleo en Ventanilla</t>
    </r>
    <r>
      <rPr>
        <rFont val="Arial, sans-serif"/>
        <color rgb="FF1155CC"/>
        <sz val="11.0"/>
        <u/>
      </rPr>
      <t>Luego de la protesta de pescadores artesanales y otros afectados por el derrame de petróleo en 2022, Repsol afirmó haber cumplido con los pagos al 98% de...</t>
    </r>
    <r>
      <rPr>
        <rFont val="Arial, sans-serif"/>
        <color rgb="FF1155CC"/>
        <sz val="12.0"/>
        <u/>
      </rPr>
      <t>.</t>
    </r>
    <r>
      <rPr>
        <rFont val="Arial, sans-serif"/>
        <color rgb="FF1155CC"/>
        <sz val="11.0"/>
        <u/>
      </rPr>
      <t>5 jul 2024</t>
    </r>
  </si>
  <si>
    <t>Repsol asegura haber indemnizado al 98% de afectados por derrame de petróleo en Ventanilla</t>
  </si>
  <si>
    <t>Repsol afirmó haber cumplido con los pagos al 98% de los afectados por el derrame de petróleo en Ventanilla.</t>
  </si>
  <si>
    <t>Repsol claims to have compensated 98% of those affected by the Ventanilla oil spill</t>
  </si>
  <si>
    <t>Repsol claimed to have complied with payments to 98% of those affected by the Ventanilla oil spill.</t>
  </si>
  <si>
    <t>Slightly negative for the same reason as the previous similar headline.</t>
  </si>
  <si>
    <t>indemnizado, 98%</t>
  </si>
  <si>
    <r>
      <rPr>
        <rFont val="Arial, sans-serif"/>
        <color rgb="FF1155CC"/>
        <sz val="9.0"/>
        <u/>
      </rPr>
      <t>Gestión</t>
    </r>
    <r>
      <rPr>
        <rFont val="Arial, sans-serif"/>
        <color rgb="FF1155CC"/>
        <sz val="15.0"/>
        <u/>
      </rPr>
      <t>Pescadores artesanales se movilizaron hasta el Congreso por derrame de petróleo</t>
    </r>
    <r>
      <rPr>
        <rFont val="Arial, sans-serif"/>
        <color rgb="FF1155CC"/>
        <sz val="11.0"/>
        <u/>
      </rPr>
      <t>Más de 70 organizaciones de pescadores artesanales, comerciantes y transportistas afectados se movilizaron hasta el Congreso de la República para exigir la...</t>
    </r>
    <r>
      <rPr>
        <rFont val="Arial, sans-serif"/>
        <color rgb="FF1155CC"/>
        <sz val="12.0"/>
        <u/>
      </rPr>
      <t>.</t>
    </r>
    <r>
      <rPr>
        <rFont val="Arial, sans-serif"/>
        <color rgb="FF1155CC"/>
        <sz val="11.0"/>
        <u/>
      </rPr>
      <t>5 jul 2024</t>
    </r>
  </si>
  <si>
    <t>Pescadores artesanales se movilizaron hasta el Congreso por derrame de petróleo</t>
  </si>
  <si>
    <t>Más de 70 organizaciones de pescadores artesanales, comerciantes y transportistas afectados se movilizaron hasta el Congreso de la República para exigir la....</t>
  </si>
  <si>
    <t>Artisanal fishermen mobilized to Congress due to oil spill</t>
  </si>
  <si>
    <t>More than 70 organizations of artisanal fishermen, merchants and affected transporters mobilized to the Congress of the Republic to demand the...</t>
  </si>
  <si>
    <t>Highly negative as it details protests against Repsol due to the spill.</t>
  </si>
  <si>
    <t>derrame, movilizaron</t>
  </si>
  <si>
    <t>Negative for protest</t>
  </si>
  <si>
    <t>Negativo para protestar</t>
  </si>
  <si>
    <r>
      <rPr>
        <rFont val="Arial, sans-serif"/>
        <color rgb="FF1155CC"/>
        <sz val="9.0"/>
        <u/>
      </rPr>
      <t>La República</t>
    </r>
    <r>
      <rPr>
        <rFont val="Arial, sans-serif"/>
        <color rgb="FF1155CC"/>
        <sz val="15.0"/>
        <u/>
      </rPr>
      <t>Pescadores de 7 distritos de Lima protestan contra Repsol y el Gobierno por rezagos de derrame de petróleo</t>
    </r>
    <r>
      <rPr>
        <rFont val="Arial, sans-serif"/>
        <color rgb="FF1155CC"/>
        <sz val="11.0"/>
        <u/>
      </rPr>
      <t>Con el objetivo de exigir justicia social, la Federación de Pescadores artesanales protestan en las principales calles del Centro de Lima contra Repsol y el...</t>
    </r>
    <r>
      <rPr>
        <rFont val="Arial, sans-serif"/>
        <color rgb="FF1155CC"/>
        <sz val="12.0"/>
        <u/>
      </rPr>
      <t>.</t>
    </r>
    <r>
      <rPr>
        <rFont val="Arial, sans-serif"/>
        <color rgb="FF1155CC"/>
        <sz val="11.0"/>
        <u/>
      </rPr>
      <t>5 jul 2024</t>
    </r>
  </si>
  <si>
    <t>Pescadores de 7 distritos de Lima protestan contra Repsol y el Gobierno por rezagos de derrame de petróleo</t>
  </si>
  <si>
    <t>Con el objetivo de exigir justicia social, la Federación de Pescadores artesanales protestan en las principales calles del Centro de Lima contra Repsol y el....</t>
  </si>
  <si>
    <t>Fishermen from 7 districts of Lima protest against Repsol and the Government due to oil spill delays</t>
  </si>
  <si>
    <t>With the aim of demanding social justice, the Federation of Artisanal Fishermen protest in the main streets of the Center of Lima against Repsol and the...</t>
  </si>
  <si>
    <t>Highly negative for the same reason as the previous protest-related headline.</t>
  </si>
  <si>
    <t>protestan, derrame</t>
  </si>
  <si>
    <r>
      <rPr>
        <rFont val="Arial, sans-serif"/>
        <color rgb="FF1155CC"/>
        <sz val="9.0"/>
        <u/>
      </rPr>
      <t>Aljarafe Digital</t>
    </r>
    <r>
      <rPr>
        <rFont val="Arial, sans-serif"/>
        <color rgb="FF1155CC"/>
        <sz val="15.0"/>
        <u/>
      </rPr>
      <t>Mairena adjudica a Repsol el nuevo alquiler de la gasolinera de Ciudad Expo</t>
    </r>
    <r>
      <rPr>
        <rFont val="Arial, sans-serif"/>
        <color rgb="FF1155CC"/>
        <sz val="11.0"/>
        <u/>
      </rPr>
      <t>Mairena ha adjudicado finalmente a Repsol el nuevo contrato licitado para el alquiler y explotación de la gasolinera de Ciudad Expo.</t>
    </r>
    <r>
      <rPr>
        <rFont val="Arial, sans-serif"/>
        <color rgb="FF1155CC"/>
        <sz val="12.0"/>
        <u/>
      </rPr>
      <t>.</t>
    </r>
    <r>
      <rPr>
        <rFont val="Arial, sans-serif"/>
        <color rgb="FF1155CC"/>
        <sz val="11.0"/>
        <u/>
      </rPr>
      <t>6 jul 2024</t>
    </r>
  </si>
  <si>
    <t>Aljarafe Digital</t>
  </si>
  <si>
    <t>Mairena adjudica a Repsol el nuevo alquiler de la gasolinera de Ciudad Expo</t>
  </si>
  <si>
    <t>Mairena ha adjudicado finalmente a Repsol el nuevo contrato licitado para el alquiler y explotación de la gasolinera de Ciudad Expo.</t>
  </si>
  <si>
    <t>Mairena awards Repsol the new lease of the Ciudad Expo gas station</t>
  </si>
  <si>
    <t>Mairena has finally awarded Repsol the new contract tendered for the rental and operation of the Ciudad Expo gas station.</t>
  </si>
  <si>
    <t>Repsol business expansion, corporate growth</t>
  </si>
  <si>
    <t>Expansión del negocio de Repsol, crecimiento corporativo</t>
  </si>
  <si>
    <t>Positive as Repsol secures a new lease, expanding its operations.</t>
  </si>
  <si>
    <t>adjudica</t>
  </si>
  <si>
    <r>
      <rPr>
        <rFont val="Arial, sans-serif"/>
        <color rgb="FF1155CC"/>
        <sz val="9.0"/>
        <u/>
      </rPr>
      <t>Mundo Deportivo</t>
    </r>
    <r>
      <rPr>
        <rFont val="Arial, sans-serif"/>
        <color rgb="FF1155CC"/>
        <sz val="15.0"/>
        <u/>
      </rPr>
      <t>Este es el dineral que te paga Repsol por cada litro de aceite de cocina usado que lleves a una de sus estaciones</t>
    </r>
    <r>
      <rPr>
        <rFont val="Arial, sans-serif"/>
        <color rgb="FF1155CC"/>
        <sz val="11.0"/>
        <u/>
      </rPr>
      <t>Desde hace unos meses, Repsol intercambia aceite de cocina usado por dinero. La petroquímica española pone a disposición de los usuarios más de 450...</t>
    </r>
    <r>
      <rPr>
        <rFont val="Arial, sans-serif"/>
        <color rgb="FF1155CC"/>
        <sz val="12.0"/>
        <u/>
      </rPr>
      <t>.</t>
    </r>
    <r>
      <rPr>
        <rFont val="Arial, sans-serif"/>
        <color rgb="FF1155CC"/>
        <sz val="11.0"/>
        <u/>
      </rPr>
      <t>6 jul 2024</t>
    </r>
  </si>
  <si>
    <t>Este es el dineral que te paga Repsol por cada litro de aceite de cocina usado que lleves a una de sus estaciones</t>
  </si>
  <si>
    <t>Desde hace unos meses, Repsol intercambia aceite de cocina usado por dinero. La petroquímica española pone a disposición de los usuarios más de 450....</t>
  </si>
  <si>
    <t>This is the money that Repsol pays you for each liter of used cooking oil that you take to one of its stations</t>
  </si>
  <si>
    <t>For a few months now, Repsol has been exchanging used cooking oil for money. The Spanish petrochemical company makes more than 450...</t>
  </si>
  <si>
    <t>Positive as it highlights a beneficial exchange program by Repsol.</t>
  </si>
  <si>
    <t>paga, aceite usado</t>
  </si>
  <si>
    <t>Positive recycling initiative</t>
  </si>
  <si>
    <t>Iniciativa de reciclaje positivo</t>
  </si>
  <si>
    <r>
      <rPr>
        <rFont val="Arial, sans-serif"/>
        <color rgb="FF1155CC"/>
        <sz val="9.0"/>
        <u/>
      </rPr>
      <t>La Voz del Tajo</t>
    </r>
    <r>
      <rPr>
        <rFont val="Arial, sans-serif"/>
        <color rgb="FF1155CC"/>
        <sz val="15.0"/>
        <u/>
      </rPr>
      <t>Presencia talaverana en el nuevo anuncio de Repsol</t>
    </r>
    <r>
      <rPr>
        <rFont val="Arial, sans-serif"/>
        <color rgb="FF1155CC"/>
        <sz val="11.0"/>
        <u/>
      </rPr>
      <t>El nuevo anuncio de Repsol 'para ser conductor de primera, aprovecha…' cuenta con la participación de dos talaveranos, la actriz Patricia Vázquez y su padre...</t>
    </r>
    <r>
      <rPr>
        <rFont val="Arial, sans-serif"/>
        <color rgb="FF1155CC"/>
        <sz val="12.0"/>
        <u/>
      </rPr>
      <t>.</t>
    </r>
    <r>
      <rPr>
        <rFont val="Arial, sans-serif"/>
        <color rgb="FF1155CC"/>
        <sz val="11.0"/>
        <u/>
      </rPr>
      <t>6 jul 2024</t>
    </r>
  </si>
  <si>
    <t>La Voz del Tajo</t>
  </si>
  <si>
    <t>Presencia talaverana en el nuevo anuncio de Repsol</t>
  </si>
  <si>
    <t>El nuevo anuncio de Repsol 'para ser conductor de primera, aprovecha…' cuenta con la participación de dos talaveranos, la actriz Patricia Vázquez y su padre....</t>
  </si>
  <si>
    <t>Talavera presence in the new Repsol advertisement</t>
  </si>
  <si>
    <t>Repsol's new advertisement 'to be a first-class driver, take advantage...' features the participation of two Talaverans, the actress Patricia Vázquez and her father....</t>
  </si>
  <si>
    <r>
      <rPr>
        <rFont val="Arial, sans-serif"/>
        <color rgb="FF1155CC"/>
        <sz val="9.0"/>
        <u/>
      </rPr>
      <t>heraldo.es</t>
    </r>
    <r>
      <rPr>
        <rFont val="Arial, sans-serif"/>
        <color rgb="FF1155CC"/>
        <sz val="15.0"/>
        <u/>
      </rPr>
      <t>Bares de piscinas en Aragón: con soletes Repsol o callos todo el año</t>
    </r>
    <r>
      <rPr>
        <rFont val="Arial, sans-serif"/>
        <color rgb="FF1155CC"/>
        <sz val="11.0"/>
        <u/>
      </rPr>
      <t>Los bares de algunas piscinas aragonesas ofrecen una amplia variedad de platos para un día de verano, que van más allá de los socorridos bocadillos y...</t>
    </r>
    <r>
      <rPr>
        <rFont val="Arial, sans-serif"/>
        <color rgb="FF1155CC"/>
        <sz val="12.0"/>
        <u/>
      </rPr>
      <t>.</t>
    </r>
    <r>
      <rPr>
        <rFont val="Arial, sans-serif"/>
        <color rgb="FF1155CC"/>
        <sz val="11.0"/>
        <u/>
      </rPr>
      <t>6 jul 2024</t>
    </r>
  </si>
  <si>
    <t>Bares de piscinas en Aragón: con soletes Repsol o callos todo el año</t>
  </si>
  <si>
    <t>Los bares de algunas piscinas aragonesas ofrecen una amplia variedad de platos para un día de verano, que van más allá de los socorridos bocadillos y....</t>
  </si>
  <si>
    <t>Pool bars in Aragón: with Repsol soles or callos all year round</t>
  </si>
  <si>
    <t>The bars of some Aragonese swimming pools offer a wide variety of dishes for a summer day, which go beyond the usual sandwiches and...</t>
  </si>
  <si>
    <r>
      <rPr>
        <rFont val="Arial, sans-serif"/>
        <color rgb="FF1155CC"/>
        <sz val="9.0"/>
        <u/>
      </rPr>
      <t>Ciclismo a fondo</t>
    </r>
    <r>
      <rPr>
        <rFont val="Arial, sans-serif"/>
        <color rgb="FF1155CC"/>
        <sz val="15.0"/>
        <u/>
      </rPr>
      <t>Muere André Drege</t>
    </r>
    <r>
      <rPr>
        <rFont val="Arial, sans-serif"/>
        <color rgb="FF1155CC"/>
        <sz val="11.0"/>
        <u/>
      </rPr>
      <t>El noruego, que llevaba siete victorias esta campaña, falleció en un descenso de la cuarta etapa del Tour de Austria. Tenía 25 años y corría con el equipo...</t>
    </r>
    <r>
      <rPr>
        <rFont val="Arial, sans-serif"/>
        <color rgb="FF1155CC"/>
        <sz val="12.0"/>
        <u/>
      </rPr>
      <t>.</t>
    </r>
    <r>
      <rPr>
        <rFont val="Arial, sans-serif"/>
        <color rgb="FF1155CC"/>
        <sz val="11.0"/>
        <u/>
      </rPr>
      <t>6 jul 2024</t>
    </r>
  </si>
  <si>
    <t>Ciclismo a fondo</t>
  </si>
  <si>
    <t>Muere André Drege</t>
  </si>
  <si>
    <t>El noruego, que llevaba siete victorias esta campaña, falleció en un descenso de la cuarta etapa del Tour de Austria. Tenía 25 años y corría con el equipo....</t>
  </si>
  <si>
    <t>André Drege dies</t>
  </si>
  <si>
    <t>The Norwegian, who had seven victories this season, died in a descent in the fourth stage of the Tour of Austria. He was 25 years old and ran with the team....</t>
  </si>
  <si>
    <r>
      <rPr>
        <rFont val="Arial, sans-serif"/>
        <color rgb="FF1155CC"/>
        <sz val="9.0"/>
        <u/>
      </rPr>
      <t>Cadena SER</t>
    </r>
    <r>
      <rPr>
        <rFont val="Arial, sans-serif"/>
        <color rgb="FF1155CC"/>
        <sz val="15.0"/>
        <u/>
      </rPr>
      <t>Fallece el ciclista André Drege tras una caída en la Vuelta a Austria</t>
    </r>
    <r>
      <rPr>
        <rFont val="Arial, sans-serif"/>
        <color rgb="FF1155CC"/>
        <sz val="11.0"/>
        <u/>
      </rPr>
      <t>El noruego del equipo Coop-Repsol tuvo un accidente durante un descenso y no se pudo recuperar de las heridas sufridas.</t>
    </r>
    <r>
      <rPr>
        <rFont val="Arial, sans-serif"/>
        <color rgb="FF1155CC"/>
        <sz val="12.0"/>
        <u/>
      </rPr>
      <t>.</t>
    </r>
    <r>
      <rPr>
        <rFont val="Arial, sans-serif"/>
        <color rgb="FF1155CC"/>
        <sz val="11.0"/>
        <u/>
      </rPr>
      <t>6 jul 2024</t>
    </r>
  </si>
  <si>
    <t>Fallece el ciclista André Drege tras una caída en la Vuelta a Austria</t>
  </si>
  <si>
    <t>El noruego del equipo Coop-Repsol tuvo un accidente durante un descenso y no se pudo recuperar de las heridas sufridas.</t>
  </si>
  <si>
    <t>Cyclist André Drege dies after a fall in the Tour of Austria</t>
  </si>
  <si>
    <t>The Norwegian from the Coop-Repsol team had an accident during a descent and could not recover from the injuries suffered.</t>
  </si>
  <si>
    <r>
      <rPr>
        <rFont val="Arial, sans-serif"/>
        <color rgb="FF1155CC"/>
        <sz val="9.0"/>
        <u/>
      </rPr>
      <t>El Correo</t>
    </r>
    <r>
      <rPr>
        <rFont val="Arial, sans-serif"/>
        <color rgb="FF1155CC"/>
        <sz val="15.0"/>
        <u/>
      </rPr>
      <t>Muere el ciclista noruego André Drege tras sufrir una dura caída en el Tour de Austria</t>
    </r>
    <r>
      <rPr>
        <rFont val="Arial, sans-serif"/>
        <color rgb="FF1155CC"/>
        <sz val="11.0"/>
        <u/>
      </rPr>
      <t>El ciclista noruego André Drege, corredor del equipo Coop-Repsol, ha fallecido este sábado durante la disputa de la cuarta etapa del Tour de Austria como...</t>
    </r>
    <r>
      <rPr>
        <rFont val="Arial, sans-serif"/>
        <color rgb="FF1155CC"/>
        <sz val="12.0"/>
        <u/>
      </rPr>
      <t>.</t>
    </r>
    <r>
      <rPr>
        <rFont val="Arial, sans-serif"/>
        <color rgb="FF1155CC"/>
        <sz val="11.0"/>
        <u/>
      </rPr>
      <t>6 jul 2024</t>
    </r>
  </si>
  <si>
    <t>Muere el ciclista noruego André Drege tras sufrir una dura caída en el Tour de Austria</t>
  </si>
  <si>
    <t>El ciclista noruego André Drege, corredor del equipo Coop-Repsol, ha fallecido este sábado durante la disputa de la cuarta etapa del Tour de Austria como....</t>
  </si>
  <si>
    <t>Norwegian cyclist André Drege dies after suffering a hard fall in the Tour of Austria</t>
  </si>
  <si>
    <t>The Norwegian cyclist André Drege, rider of the Coop-Repsol team, died this Saturday during the dispute of the fourth stage of the Tour of Austria as...</t>
  </si>
  <si>
    <r>
      <rPr>
        <rFont val="Arial, sans-serif"/>
        <color rgb="FF1155CC"/>
        <sz val="9.0"/>
        <u/>
      </rPr>
      <t>EITB</t>
    </r>
    <r>
      <rPr>
        <rFont val="Arial, sans-serif"/>
        <color rgb="FF1155CC"/>
        <sz val="15.0"/>
        <u/>
      </rPr>
      <t>El ciclista André Drege fallece tras sufrir una caída en el Tour de Austria</t>
    </r>
    <r>
      <rPr>
        <rFont val="Arial, sans-serif"/>
        <color rgb="FF1155CC"/>
        <sz val="11.0"/>
        <u/>
      </rPr>
      <t>El corredor noruego del equipo Coop-Repsol ha sufrido la caída, que ha resultado ser mortal, en la 4ª etapa de la carrera durante un descenso de montaña...</t>
    </r>
    <r>
      <rPr>
        <rFont val="Arial, sans-serif"/>
        <color rgb="FF1155CC"/>
        <sz val="12.0"/>
        <u/>
      </rPr>
      <t>.</t>
    </r>
    <r>
      <rPr>
        <rFont val="Arial, sans-serif"/>
        <color rgb="FF1155CC"/>
        <sz val="11.0"/>
        <u/>
      </rPr>
      <t>6 jul 2024</t>
    </r>
  </si>
  <si>
    <t>El ciclista André Drege fallece tras sufrir una caída en el Tour de Austria</t>
  </si>
  <si>
    <t>El corredor noruego del equipo Coop-Repsol ha sufrido la caída, que ha resultado ser mortal, en la 4ª etapa de la carrera durante un descenso de montaña.</t>
  </si>
  <si>
    <t>Cyclist André Drege dies after suffering a fall in the Tour of Austria</t>
  </si>
  <si>
    <t>The Norwegian rider from the Coop-Repsol team suffered the fall, which turned out to be fatal, in the 4th stage of the race during a mountain descent.</t>
  </si>
  <si>
    <r>
      <rPr>
        <rFont val="Arial, sans-serif"/>
        <color rgb="FF1155CC"/>
        <sz val="9.0"/>
        <u/>
      </rPr>
      <t>Infobae</t>
    </r>
    <r>
      <rPr>
        <rFont val="Arial, sans-serif"/>
        <color rgb="FF1155CC"/>
        <sz val="15.0"/>
        <u/>
      </rPr>
      <t>Tragedia en el Tour de Austria: un ciclista falleció tras una caída en plena competencia</t>
    </r>
    <r>
      <rPr>
        <rFont val="Arial, sans-serif"/>
        <color rgb="FF1155CC"/>
        <sz val="11.0"/>
        <u/>
      </rPr>
      <t>El noruego André Drege, de 25 años, perdió la vida en uno de los tramos de la carrera cuando estaba descendiendo. El mensaje del equipo.</t>
    </r>
    <r>
      <rPr>
        <rFont val="Arial, sans-serif"/>
        <color rgb="FF1155CC"/>
        <sz val="12.0"/>
        <u/>
      </rPr>
      <t>.</t>
    </r>
    <r>
      <rPr>
        <rFont val="Arial, sans-serif"/>
        <color rgb="FF1155CC"/>
        <sz val="11.0"/>
        <u/>
      </rPr>
      <t>6 jul 2024</t>
    </r>
  </si>
  <si>
    <t>Tragedia en el Tour de Austria: un ciclista falleció tras una caída en plena competencia</t>
  </si>
  <si>
    <t>El noruego André Drege, de 25 años, perdió la vida en uno de los tramos de la carrera cuando estaba descendiendo. El mensaje del equipo..</t>
  </si>
  <si>
    <t>Tragedy in the Tour of Austria: a cyclist died after a fall in the middle of the competition</t>
  </si>
  <si>
    <t>The Norwegian André Drege, 25, lost his life in one of the sections of the race when he was descending. The team's message...</t>
  </si>
  <si>
    <r>
      <rPr>
        <rFont val="Arial, sans-serif"/>
        <color rgb="FF1155CC"/>
        <sz val="9.0"/>
        <u/>
      </rPr>
      <t>Noticias Caracol</t>
    </r>
    <r>
      <rPr>
        <rFont val="Arial, sans-serif"/>
        <color rgb="FF1155CC"/>
        <sz val="15.0"/>
        <u/>
      </rPr>
      <t>Tragedia en el Tour de Austria; ciclista falleció, tras sufrir una caída en un descenso</t>
    </r>
    <r>
      <rPr>
        <rFont val="Arial, sans-serif"/>
        <color rgb="FF1155CC"/>
        <sz val="11.0"/>
        <u/>
      </rPr>
      <t>Este sábado, en la etapa 4 del Tour de Austria 2024, el ciclista André Drege perdió la vida luego de las múltiples heridas que sufrió por una caída.</t>
    </r>
    <r>
      <rPr>
        <rFont val="Arial, sans-serif"/>
        <color rgb="FF1155CC"/>
        <sz val="12.0"/>
        <u/>
      </rPr>
      <t>.</t>
    </r>
    <r>
      <rPr>
        <rFont val="Arial, sans-serif"/>
        <color rgb="FF1155CC"/>
        <sz val="11.0"/>
        <u/>
      </rPr>
      <t>6 jul 2024</t>
    </r>
  </si>
  <si>
    <t>Noticias Caracol</t>
  </si>
  <si>
    <t>Tragedia en el Tour de Austria; ciclista falleció, tras sufrir una caída en un descenso</t>
  </si>
  <si>
    <t>Este sábado, en la etapa 4 del Tour de Austria 2024, el ciclista André Drege perdió la vida luego de las múltiples heridas que sufrió por una caída.</t>
  </si>
  <si>
    <t>Tragedy in the Tour of Austria; Cyclist died after suffering a fall on a descent</t>
  </si>
  <si>
    <t>This Saturday, in stage 4 of the 2024 Tour of Austria, cyclist André Drege lost his life after the multiple injuries he suffered from a fall.</t>
  </si>
  <si>
    <r>
      <rPr>
        <rFont val="Arial, sans-serif"/>
        <color rgb="FF1155CC"/>
        <sz val="9.0"/>
        <u/>
      </rPr>
      <t>Red+ Noticias</t>
    </r>
    <r>
      <rPr>
        <rFont val="Arial, sans-serif"/>
        <color rgb="FF1155CC"/>
        <sz val="15.0"/>
        <u/>
      </rPr>
      <t>Así fue el accidente en el que murió el ciclista André Drege en pleno Tour de Austria 2024</t>
    </r>
    <r>
      <rPr>
        <color rgb="FF1155CC"/>
        <sz val="11.0"/>
        <u/>
      </rPr>
      <t>El deportista tenía 25 años y era una de las promesas del equipo Coop-Repsol, donde se esperaba que diera el salto al circuito UCI World Tour.</t>
    </r>
    <r>
      <rPr>
        <color rgb="FF1155CC"/>
        <u/>
      </rPr>
      <t>.</t>
    </r>
    <r>
      <rPr>
        <color rgb="FF1155CC"/>
        <sz val="11.0"/>
        <u/>
      </rPr>
      <t>6 jul 2024</t>
    </r>
  </si>
  <si>
    <t>Red+ Noticias</t>
  </si>
  <si>
    <t>Así fue el accidente en el que murió el ciclista André Drege en pleno Tour de Austria 2024</t>
  </si>
  <si>
    <t>El deportista tenía 25 años y era una de las promesas del equipo Coop-Repsol, donde se esperaba que diera el salto al circuito UCI World Tour.</t>
  </si>
  <si>
    <t>This was the accident in which the cyclist André Drege died in the middle of the Tour of Austria 2024</t>
  </si>
  <si>
    <t>The athlete was 25 years old and was one of the promises of the Coop-Repsol team, where he was expected to make the jump to the UCI World Tour circuit.</t>
  </si>
  <si>
    <r>
      <rPr>
        <rFont val="Arial, sans-serif"/>
        <color rgb="FF1155CC"/>
        <sz val="9.0"/>
        <u/>
      </rPr>
      <t>Repsol</t>
    </r>
    <r>
      <rPr>
        <rFont val="Arial, sans-serif"/>
        <color rgb="FF1155CC"/>
        <sz val="15.0"/>
        <u/>
      </rPr>
      <t>22 Tipos de ingeniería: cuáles son y en qué consisten</t>
    </r>
    <r>
      <rPr>
        <rFont val="Arial, sans-serif"/>
        <color rgb="FF1155CC"/>
        <sz val="11.0"/>
        <u/>
      </rPr>
      <t>Explora los diferentes tipos de ingeniería y encuentra tu especialidad. Además, descubre todos los beneficios de estudiar una ingeniería.</t>
    </r>
    <r>
      <rPr>
        <rFont val="Arial, sans-serif"/>
        <color rgb="FF1155CC"/>
        <sz val="12.0"/>
        <u/>
      </rPr>
      <t>.</t>
    </r>
    <r>
      <rPr>
        <rFont val="Arial, sans-serif"/>
        <color rgb="FF1155CC"/>
        <sz val="11.0"/>
        <u/>
      </rPr>
      <t>7 jul 2024</t>
    </r>
  </si>
  <si>
    <t>Tipos de ingeniería: cuáles son y en qué consisten</t>
  </si>
  <si>
    <t>Explora los diferentes tipos de ingeniería y encuentra tu especialidad. Además, descubre todos los beneficios de estudiar una ingeniería.</t>
  </si>
  <si>
    <t>Types of engineering: what they are and what they consist of</t>
  </si>
  <si>
    <t>Explore the different types of engineering and find your specialty. Also, discover all the benefits of studying engineering.</t>
  </si>
  <si>
    <r>
      <rPr>
        <rFont val="Arial, sans-serif"/>
        <color rgb="FF1155CC"/>
        <sz val="9.0"/>
        <u/>
      </rPr>
      <t>OkDiario</t>
    </r>
    <r>
      <rPr>
        <rFont val="Arial, sans-serif"/>
        <color rgb="FF1155CC"/>
        <sz val="15.0"/>
        <u/>
      </rPr>
      <t>Repsol duplicará en 2024 sus gasolineras de diésel renovable en España y tendrá el mismo precio que el norm...</t>
    </r>
    <r>
      <rPr>
        <rFont val="Arial, sans-serif"/>
        <color rgb="FF1155CC"/>
        <sz val="11.0"/>
        <u/>
      </rPr>
      <t>Repsol apuesta por los biocombustibles y acelera la llegada del diésel renovable a sus gasolineras. La compañía multienergía que dirige Josu Jon Imaz ya...</t>
    </r>
    <r>
      <rPr>
        <rFont val="Arial, sans-serif"/>
        <color rgb="FF1155CC"/>
        <sz val="12.0"/>
        <u/>
      </rPr>
      <t>.</t>
    </r>
    <r>
      <rPr>
        <rFont val="Arial, sans-serif"/>
        <color rgb="FF1155CC"/>
        <sz val="11.0"/>
        <u/>
      </rPr>
      <t>7 jul 2024</t>
    </r>
  </si>
  <si>
    <t>Repsol duplicará en 2024 sus gasolineras de diésel renovable en España y tendrá el mismo precio que el norm...</t>
  </si>
  <si>
    <t>Repsol apuesta por los biocombustibles y acelera la llegada del diésel renovable a sus gasolineras. La compañía multienergía que dirige Josu Jon Imaz ya....</t>
  </si>
  <si>
    <t>Repsol will double its renewable diesel gas stations in Spain in 2024 and it will have the same price as the norm...</t>
  </si>
  <si>
    <t>Repsol is committed to biofuels and accelerates the arrival of renewable diesel at its gas stations. The multi-energy company run by Josu Jon Imaz already....</t>
  </si>
  <si>
    <t>Positive due to Repsol's expansion in renewable energy, signaling progress.</t>
  </si>
  <si>
    <t>Positive renewable fuel expansion</t>
  </si>
  <si>
    <t>Expansión positiva de los combustibles renovables</t>
  </si>
  <si>
    <r>
      <rPr>
        <rFont val="Arial, sans-serif"/>
        <color rgb="FF1155CC"/>
        <sz val="9.0"/>
        <u/>
      </rPr>
      <t>La Opinión A Coruña</t>
    </r>
    <r>
      <rPr>
        <rFont val="Arial, sans-serif"/>
        <color rgb="FF1155CC"/>
        <sz val="15.0"/>
        <u/>
      </rPr>
      <t>La gastronomía de Arteixo brilla con dos Soletes de Repsol</t>
    </r>
    <r>
      <rPr>
        <rFont val="Arial, sans-serif"/>
        <color rgb="FF1155CC"/>
        <sz val="11.0"/>
        <u/>
      </rPr>
      <t>Desde hace unos años, la guía Repsol otorga los Soletes, unos galardones que reconocen la gastronomía de calidad apta para todos los bolsillos.</t>
    </r>
    <r>
      <rPr>
        <rFont val="Arial, sans-serif"/>
        <color rgb="FF1155CC"/>
        <sz val="12.0"/>
        <u/>
      </rPr>
      <t>.</t>
    </r>
    <r>
      <rPr>
        <rFont val="Arial, sans-serif"/>
        <color rgb="FF1155CC"/>
        <sz val="11.0"/>
        <u/>
      </rPr>
      <t>7 jul 2024</t>
    </r>
  </si>
  <si>
    <t>La gastronomía de Arteixo brilla con dos Soletes de Repsol</t>
  </si>
  <si>
    <t>Desde hace unos años, la guía Repsol otorga los Soletes, unos galardones que reconocen la gastronomía de calidad apta para todos los bolsillos.</t>
  </si>
  <si>
    <t>Arteixo's gastronomy shines with two Repsol Soletes</t>
  </si>
  <si>
    <t>For a few years now, the Repsol guide has been awarding the Soletes, awards that recognize quality gastronomy suitable for all budgets.</t>
  </si>
  <si>
    <r>
      <rPr>
        <rFont val="Arial, sans-serif"/>
        <color rgb="FF1155CC"/>
        <sz val="9.0"/>
        <u/>
      </rPr>
      <t>El Periódico Extremadura</t>
    </r>
    <r>
      <rPr>
        <rFont val="Arial, sans-serif"/>
        <color rgb="FF1155CC"/>
        <sz val="15.0"/>
        <u/>
      </rPr>
      <t>Laura García: «El Sol Repsol lo hemos conseguido con los pies en la tierra y sin venirnos arriba»</t>
    </r>
    <r>
      <rPr>
        <rFont val="Arial, sans-serif"/>
        <color rgb="FF1155CC"/>
        <sz val="11.0"/>
        <u/>
      </rPr>
      <t>Si Laura García Mancera (Villafranca de los Barros, 1993) te pone un bocado en la boca, rozas el cielo. Con su saber hacer en la cocina y el tándem que...</t>
    </r>
    <r>
      <rPr>
        <rFont val="Arial, sans-serif"/>
        <color rgb="FF1155CC"/>
        <sz val="12.0"/>
        <u/>
      </rPr>
      <t>.</t>
    </r>
    <r>
      <rPr>
        <rFont val="Arial, sans-serif"/>
        <color rgb="FF1155CC"/>
        <sz val="11.0"/>
        <u/>
      </rPr>
      <t>7 jul 2024</t>
    </r>
  </si>
  <si>
    <t>Laura García: «El Sol Repsol lo hemos conseguido con los pies en la tierra y sin venirnos arriba»</t>
  </si>
  <si>
    <t>Si Laura García Mancera (Villafranca de los Barros, 1993) te pone un bocado en la boca, rozas el cielo. Con su saber hacer en la cocina y el tándem que....</t>
  </si>
  <si>
    <t>Laura García: «We have achieved the Sol Repsol with our feet on the ground and without going overboard»</t>
  </si>
  <si>
    <t>If Laura García Mancera (Villafranca de los Barros, 1993) puts a bite in your mouth, you touch the sky. With their know-how in the kitchen and the tandem that...</t>
  </si>
  <si>
    <r>
      <rPr>
        <rFont val="Arial, sans-serif"/>
        <color rgb="FF1155CC"/>
        <sz val="9.0"/>
        <u/>
      </rPr>
      <t>El Español</t>
    </r>
    <r>
      <rPr>
        <rFont val="Arial, sans-serif"/>
        <color rgb="FF1155CC"/>
        <sz val="15.0"/>
        <u/>
      </rPr>
      <t>El mejor chiringuito de Huelva para comer en la playa este verano según la Guía Repsol: tiene unas vistas increíbles</t>
    </r>
    <r>
      <rPr>
        <rFont val="Arial, sans-serif"/>
        <color rgb="FF1155CC"/>
        <sz val="11.0"/>
        <u/>
      </rPr>
      <t>Ocio y vacaciones van de la mano, y si tu destino es la costa onubense no puedes perderte uno de los mejores chiringuitos del litoral español.</t>
    </r>
    <r>
      <rPr>
        <rFont val="Arial, sans-serif"/>
        <color rgb="FF1155CC"/>
        <sz val="12.0"/>
        <u/>
      </rPr>
      <t>.</t>
    </r>
    <r>
      <rPr>
        <rFont val="Arial, sans-serif"/>
        <color rgb="FF1155CC"/>
        <sz val="11.0"/>
        <u/>
      </rPr>
      <t>7 jul 2024</t>
    </r>
  </si>
  <si>
    <t>El mejor chiringuito de Huelva para comer en la playa este verano según la Guía Repsol: tiene unas vistas increíbles</t>
  </si>
  <si>
    <t>El mejor chiringuito de Huelva para comer en la playa este verano según la Guía Repsol: tiene unas vistas increíbles. Ocio y vacaciones van de la mano, y si tu destino es la costa onubense no puedes perderte uno de los mejores chiringuitos del litoral español.</t>
  </si>
  <si>
    <t>The best beach bar in Huelva to eat on the beach this summer according to the Repsol Guide: it has incredible views</t>
  </si>
  <si>
    <t>The best beach bar in Huelva to eat on the beach this summer according to the Repsol Guide: it has incredible views. Leisure and vacations go hand in hand, and if your destination is the Huelva coast you cannot miss one of the best beach bars on the Spanish coast.</t>
  </si>
  <si>
    <r>
      <rPr>
        <rFont val="Arial, sans-serif"/>
        <color rgb="FF1155CC"/>
        <sz val="9.0"/>
        <u/>
      </rPr>
      <t>Repsol</t>
    </r>
    <r>
      <rPr>
        <rFont val="Arial, sans-serif"/>
        <color rgb="FF1155CC"/>
        <sz val="15.0"/>
        <u/>
      </rPr>
      <t>Etiquetas de la DGT. Qué pegatina debo llevar y qué ventajas tiene</t>
    </r>
    <r>
      <rPr>
        <rFont val="Arial, sans-serif"/>
        <color rgb="FF1155CC"/>
        <sz val="11.0"/>
        <u/>
      </rPr>
      <t>Aprende sobre las etiquetas de la DGT y cómo influyen en el tráfico y el acceso a zonas de bajas emisiones. ¡Conoce los distintos tipos de distintivos y sus...</t>
    </r>
    <r>
      <rPr>
        <rFont val="Arial, sans-serif"/>
        <color rgb="FF1155CC"/>
        <sz val="12.0"/>
        <u/>
      </rPr>
      <t>.</t>
    </r>
    <r>
      <rPr>
        <rFont val="Arial, sans-serif"/>
        <color rgb="FF1155CC"/>
        <sz val="11.0"/>
        <u/>
      </rPr>
      <t>7 jul 2024</t>
    </r>
  </si>
  <si>
    <t>Etiquetas de la DGT. Qué pegatina debo llevar y qué ventajas tiene</t>
  </si>
  <si>
    <t>Aprende sobre las etiquetas de la DGT y cómo influyen en el tráfico y el acceso a zonas de bajas emisiones. ¡Conoce los distintos tipos de distintivos y sus....</t>
  </si>
  <si>
    <t>DGT labels. What sticker should I wear and what advantages does it have?</t>
  </si>
  <si>
    <t>Learn about DGT labels and how they influence traffic and access to low-emission areas. Learn about the different types of badges and their...</t>
  </si>
  <si>
    <r>
      <rPr>
        <rFont val="Arial, sans-serif"/>
        <color rgb="FF1155CC"/>
        <sz val="9.0"/>
        <u/>
      </rPr>
      <t>Repsol</t>
    </r>
    <r>
      <rPr>
        <rFont val="Arial, sans-serif"/>
        <color rgb="FF1155CC"/>
        <sz val="15.0"/>
        <u/>
      </rPr>
      <t>RPA: ¿Qué es la automatización robótica de procesos?</t>
    </r>
    <r>
      <rPr>
        <rFont val="Arial, sans-serif"/>
        <color rgb="FF1155CC"/>
        <sz val="11.0"/>
        <u/>
      </rPr>
      <t>Descubre el potencial que tiene la RPA y cómo podemos utilizar para mejorar la eficiencia y productividad en tu empresa utilizando este proceso de...</t>
    </r>
    <r>
      <rPr>
        <rFont val="Arial, sans-serif"/>
        <color rgb="FF1155CC"/>
        <sz val="12.0"/>
        <u/>
      </rPr>
      <t>.</t>
    </r>
    <r>
      <rPr>
        <rFont val="Arial, sans-serif"/>
        <color rgb="FF1155CC"/>
        <sz val="11.0"/>
        <u/>
      </rPr>
      <t>7 jul 2024</t>
    </r>
  </si>
  <si>
    <t>¿Qué es la automatización robótica de procesos?</t>
  </si>
  <si>
    <t>Descubre el potencial que tiene la RPA y cómo podemos utilizar para mejorar la eficiencia y productividad en tu empresa utilizando este proceso de....</t>
  </si>
  <si>
    <t>What is robotic process automation?</t>
  </si>
  <si>
    <t>Discover the potential that RPA has and how we can use it to improve efficiency and productivity in your company using this process....</t>
  </si>
  <si>
    <r>
      <rPr>
        <rFont val="Arial, sans-serif"/>
        <color rgb="FF1155CC"/>
        <sz val="9.0"/>
        <u/>
      </rPr>
      <t>EsCiclismo.com</t>
    </r>
    <r>
      <rPr>
        <rFont val="Arial, sans-serif"/>
        <color rgb="FF1155CC"/>
        <sz val="15.0"/>
        <u/>
      </rPr>
      <t>El Tour de Francia rinde homenaje a André Drege, ciclista noruego fallecido en la Vuelta a Austria</t>
    </r>
    <r>
      <rPr>
        <rFont val="Arial, sans-serif"/>
        <color rgb="FF1155CC"/>
        <sz val="11.0"/>
        <u/>
      </rPr>
      <t>El luto del ciclismo llegó al Tour de Francia para rendir homenaje al noruego André Drege, corredor de 25 años del Team Coop-Repsol que falleció el pasado...</t>
    </r>
    <r>
      <rPr>
        <rFont val="Arial, sans-serif"/>
        <color rgb="FF1155CC"/>
        <sz val="12.0"/>
        <u/>
      </rPr>
      <t>.</t>
    </r>
    <r>
      <rPr>
        <rFont val="Arial, sans-serif"/>
        <color rgb="FF1155CC"/>
        <sz val="11.0"/>
        <u/>
      </rPr>
      <t>7 jul 2024</t>
    </r>
  </si>
  <si>
    <t>EsCiclismo.com</t>
  </si>
  <si>
    <t>El Tour de Francia rinde homenaje a André Drege, ciclista noruego fallecido en la Vuelta a Austria</t>
  </si>
  <si>
    <t>El luto del ciclismo llegó al Tour de Francia para rendir homenaje al noruego André Drege, corredor de 25 años del Team Coop-Repsol que falleció el pasado....</t>
  </si>
  <si>
    <t>The Tour de France pays tribute to André Drege, Norwegian cyclist who died in the Tour of Austria</t>
  </si>
  <si>
    <t>Cycling's mourning came to the Tour de France to pay tribute to the Norwegian André Drege, a 25-year-old rider from Team Coop-Repsol who died last...</t>
  </si>
  <si>
    <r>
      <rPr>
        <rFont val="Arial, sans-serif"/>
        <color rgb="FF1155CC"/>
        <sz val="9.0"/>
        <u/>
      </rPr>
      <t>El Español</t>
    </r>
    <r>
      <rPr>
        <rFont val="Arial, sans-serif"/>
        <color rgb="FF1155CC"/>
        <sz val="15.0"/>
        <u/>
      </rPr>
      <t>La Artesata: la gastronomía entre panes que te hace viajar por el mundo sin salir de Vigo</t>
    </r>
    <r>
      <rPr>
        <rFont val="Arial, sans-serif"/>
        <color rgb="FF1155CC"/>
        <sz val="11.0"/>
        <u/>
      </rPr>
      <t>Capitaneado por Jorge Chinchilla y Yuliya O, esta bocatería gourmet situada en el entorno de Rosalía de Castro presume del Mejor Bocadillo de Galicia este...</t>
    </r>
    <r>
      <rPr>
        <rFont val="Arial, sans-serif"/>
        <color rgb="FF1155CC"/>
        <sz val="12.0"/>
        <u/>
      </rPr>
      <t>.</t>
    </r>
    <r>
      <rPr>
        <rFont val="Arial, sans-serif"/>
        <color rgb="FF1155CC"/>
        <sz val="11.0"/>
        <u/>
      </rPr>
      <t>7 jul 2024</t>
    </r>
  </si>
  <si>
    <t>La Artesata: la gastronomía entre panes que te hace viajar por el mundo sin salir de Vigo</t>
  </si>
  <si>
    <t>Capitaneado por Jorge Chinchilla y Yuliya O, esta bocatería gourmet situada en el entorno de Rosalía de Castro presume del Mejor Bocadillo de Galicia este....</t>
  </si>
  <si>
    <t>La Artesata: gastronomy between breads that makes you travel around the world without leaving Vigo</t>
  </si>
  <si>
    <t>Led by Jorge Chinchilla and Yuliya O, this gourmet sandwich shop located in the area of ​​Rosalía de Castro boasts the Best Sandwich in Galicia this year....</t>
  </si>
  <si>
    <r>
      <rPr>
        <rFont val="Arial, sans-serif"/>
        <color rgb="FF1155CC"/>
        <sz val="9.0"/>
        <u/>
      </rPr>
      <t>Diario de Avisos</t>
    </r>
    <r>
      <rPr>
        <rFont val="Arial, sans-serif"/>
        <color rgb="FF1155CC"/>
        <sz val="15.0"/>
        <u/>
      </rPr>
      <t>El restaurante Moral, una apuesta prometedora en el centro de Santa Cruz</t>
    </r>
    <r>
      <rPr>
        <rFont val="Arial, sans-serif"/>
        <color rgb="FF1155CC"/>
        <sz val="11.0"/>
        <u/>
      </rPr>
      <t>La joven pareja Icíar Pérez y Juan Carlos Pérez aporta talento, creatividad y buen género en su proyecto gastronómico.</t>
    </r>
    <r>
      <rPr>
        <rFont val="Arial, sans-serif"/>
        <color rgb="FF1155CC"/>
        <sz val="12.0"/>
        <u/>
      </rPr>
      <t>.</t>
    </r>
    <r>
      <rPr>
        <rFont val="Arial, sans-serif"/>
        <color rgb="FF1155CC"/>
        <sz val="11.0"/>
        <u/>
      </rPr>
      <t>7 jul 2024</t>
    </r>
  </si>
  <si>
    <t>El restaurante Moral, una apuesta prometedora en el centro de Santa Cruz</t>
  </si>
  <si>
    <t>La joven pareja Icíar Pérez y Juan Carlos Pérez aporta talento, creatividad y buen género en su proyecto gastronómico.</t>
  </si>
  <si>
    <t>Moral restaurant, a promising bet in the center of Santa Cruz</t>
  </si>
  <si>
    <t>The young couple Icíar Pérez and Juan Carlos Pérez contribute talent, creativity and good manners to their gastronomic project.</t>
  </si>
  <si>
    <r>
      <rPr>
        <rFont val="Arial, sans-serif"/>
        <color rgb="FF1155CC"/>
        <sz val="9.0"/>
        <u/>
      </rPr>
      <t>Europa Press</t>
    </r>
    <r>
      <rPr>
        <rFont val="Arial, sans-serif"/>
        <color rgb="FF1155CC"/>
        <sz val="15.0"/>
        <u/>
      </rPr>
      <t>Repsol, junto a Eni, realiza un nuevo descubrimiento de petróleo en un pozo del Golfo de México</t>
    </r>
    <r>
      <rPr>
        <rFont val="Arial, sans-serif"/>
        <color rgb="FF1155CC"/>
        <sz val="11.0"/>
        <u/>
      </rPr>
      <t>Repsol y la italiana Eni han realizado un nuevo descubrimiento de petróleo en el pozo 'Yopaat 1', localizado...</t>
    </r>
    <r>
      <rPr>
        <rFont val="Arial, sans-serif"/>
        <color rgb="FF1155CC"/>
        <sz val="12.0"/>
        <u/>
      </rPr>
      <t>.</t>
    </r>
    <r>
      <rPr>
        <rFont val="Arial, sans-serif"/>
        <color rgb="FF1155CC"/>
        <sz val="11.0"/>
        <u/>
      </rPr>
      <t>8 jul 2024</t>
    </r>
  </si>
  <si>
    <t>Repsol, junto a Eni, realiza un nuevo descubrimiento de petróleo en un pozo del Golfo de México</t>
  </si>
  <si>
    <t>Repsol y la italiana Eni han realizado un nuevo descubrimiento de petróleo en el pozo 'Yopaat 1', localizado....</t>
  </si>
  <si>
    <t>Repsol, together with Eni, makes a new oil discovery in a well in the Gulf of Mexico</t>
  </si>
  <si>
    <t>Repsol and the Italian company Eni have made a new oil discovery in the 'Yopaat 1' well, located....</t>
  </si>
  <si>
    <t>Repsol oil exploration, business expansion</t>
  </si>
  <si>
    <t>Exploración petrolera de Repsol, expansión empresarial</t>
  </si>
  <si>
    <t>Positive as it highlights a successful oil exploration effort.</t>
  </si>
  <si>
    <t>descubrimiento, petróleo</t>
  </si>
  <si>
    <t>Positive resource discovery</t>
  </si>
  <si>
    <t>Descubrimiento positivo de recursos</t>
  </si>
  <si>
    <r>
      <rPr>
        <rFont val="Arial, sans-serif"/>
        <color rgb="FF1155CC"/>
        <sz val="9.0"/>
        <u/>
      </rPr>
      <t>El Economista</t>
    </r>
    <r>
      <rPr>
        <rFont val="Arial, sans-serif"/>
        <color rgb="FF1155CC"/>
        <sz val="15.0"/>
        <u/>
      </rPr>
      <t>Juan Manuel García (Repsol): "La IA nos ha sumergido en una revolución que seguramente tenga más trascendencia que la industrial"</t>
    </r>
    <r>
      <rPr>
        <rFont val="Arial, sans-serif"/>
        <color rgb="FF1155CC"/>
        <sz val="11.0"/>
        <u/>
      </rPr>
      <t>El pasado jueves 4 de julio, elEconomista.es celebró la primera edición del Foro IA: La reinvención de la Inteligencia Artificial, un ...</t>
    </r>
    <r>
      <rPr>
        <rFont val="Arial, sans-serif"/>
        <color rgb="FF1155CC"/>
        <sz val="12.0"/>
        <u/>
      </rPr>
      <t>.</t>
    </r>
    <r>
      <rPr>
        <rFont val="Arial, sans-serif"/>
        <color rgb="FF1155CC"/>
        <sz val="11.0"/>
        <u/>
      </rPr>
      <t>8 jul 2024</t>
    </r>
  </si>
  <si>
    <t>"La IA nos ha sumergido en una revolución que seguramente tenga más trascendencia que la industrial"</t>
  </si>
  <si>
    <t>"AI has immersed us in a revolution that surely has more significance than the industrial one"</t>
  </si>
  <si>
    <r>
      <rPr>
        <rFont val="Arial, sans-serif"/>
        <color rgb="FF1155CC"/>
        <sz val="9.0"/>
        <u/>
      </rPr>
      <t>El Español</t>
    </r>
    <r>
      <rPr>
        <rFont val="Arial, sans-serif"/>
        <color rgb="FF1155CC"/>
        <sz val="15.0"/>
        <u/>
      </rPr>
      <t>Repsol y Eni descubren un yacimiento de petróleo en el Golfo de México</t>
    </r>
    <r>
      <rPr>
        <rFont val="Arial, sans-serif"/>
        <color rgb="FF1155CC"/>
        <sz val="11.0"/>
        <u/>
      </rPr>
      <t>Las estimaciones preliminares indican potencial de aproximadamente 300 a 400 millones de barriles equivalentes de hidrocarburos.</t>
    </r>
    <r>
      <rPr>
        <rFont val="Arial, sans-serif"/>
        <color rgb="FF1155CC"/>
        <sz val="12.0"/>
        <u/>
      </rPr>
      <t>.</t>
    </r>
    <r>
      <rPr>
        <rFont val="Arial, sans-serif"/>
        <color rgb="FF1155CC"/>
        <sz val="11.0"/>
        <u/>
      </rPr>
      <t>8 jul 2024</t>
    </r>
  </si>
  <si>
    <t>Repsol y Eni descubren un yacimiento de petróleo en el Golfo de México</t>
  </si>
  <si>
    <t>Las estimaciones preliminares indican potencial de aproximadamente 300 a 400 millones de barriles equivalentes de hidrocarburos.</t>
  </si>
  <si>
    <t>Repsol and Eni discover an oil field in the Gulf of Mexico</t>
  </si>
  <si>
    <t>Preliminary estimates indicate potential of approximately 300 to 400 million barrels of hydrocarbon equivalents.</t>
  </si>
  <si>
    <t>Positive as it reinforces a major business discovery.</t>
  </si>
  <si>
    <r>
      <rPr>
        <rFont val="Arial, sans-serif"/>
        <color rgb="FF1155CC"/>
        <sz val="9.0"/>
        <u/>
      </rPr>
      <t>Málaga Hoy</t>
    </r>
    <r>
      <rPr>
        <rFont val="Arial, sans-serif"/>
        <color rgb="FF1155CC"/>
        <sz val="15.0"/>
        <u/>
      </rPr>
      <t>Málaga desbloqueará la venta de los terrenos para las torres de Repsol a Urbania</t>
    </r>
    <r>
      <rPr>
        <rFont val="Arial, sans-serif"/>
        <color rgb="FF1155CC"/>
        <sz val="11.0"/>
        <u/>
      </rPr>
      <t>La adjudicación de la subasta se produjo en marzo del año pasado por más de 60 millones de euros.</t>
    </r>
    <r>
      <rPr>
        <rFont val="Arial, sans-serif"/>
        <color rgb="FF1155CC"/>
        <sz val="12.0"/>
        <u/>
      </rPr>
      <t>.</t>
    </r>
    <r>
      <rPr>
        <rFont val="Arial, sans-serif"/>
        <color rgb="FF1155CC"/>
        <sz val="11.0"/>
        <u/>
      </rPr>
      <t>8 jul 2024</t>
    </r>
  </si>
  <si>
    <t>Málaga desbloqueará la venta de los terrenos para las torres de Repsol a Urbania</t>
  </si>
  <si>
    <t>La adjudicación de la subasta se produjo en marzo del año pasado por más de 60 millones de euros.</t>
  </si>
  <si>
    <t>Málaga will unlock the sale of the land for the Repsol towers to Urbania</t>
  </si>
  <si>
    <t>The auction was awarded in March last year for more than 60 million euros.</t>
  </si>
  <si>
    <t>Repsol real estate, business investment</t>
  </si>
  <si>
    <t>Repsol inmobiliaria, inversión empresarial</t>
  </si>
  <si>
    <t>Positive sentiment due to a high-value business deal.</t>
  </si>
  <si>
    <t>venta, terrenos</t>
  </si>
  <si>
    <r>
      <rPr>
        <rFont val="Arial, sans-serif"/>
        <color rgb="FF1155CC"/>
        <sz val="9.0"/>
        <u/>
      </rPr>
      <t>La Opinión de Málaga</t>
    </r>
    <r>
      <rPr>
        <rFont val="Arial, sans-serif"/>
        <color rgb="FF1155CC"/>
        <sz val="15.0"/>
        <u/>
      </rPr>
      <t>Málaga desbloquea la venta de Repsol tras más de un año de negociaciones</t>
    </r>
    <r>
      <rPr>
        <rFont val="Arial, sans-serif"/>
        <color rgb="FF1155CC"/>
        <sz val="11.0"/>
        <u/>
      </rPr>
      <t>Más de un año después de que Urbania se alzase como ganadora de la subasta en los terrenos de Repsol, la promotora y la Gerencia de Urbanismo han llegado a...</t>
    </r>
    <r>
      <rPr>
        <rFont val="Arial, sans-serif"/>
        <color rgb="FF1155CC"/>
        <sz val="12.0"/>
        <u/>
      </rPr>
      <t>.</t>
    </r>
    <r>
      <rPr>
        <rFont val="Arial, sans-serif"/>
        <color rgb="FF1155CC"/>
        <sz val="11.0"/>
        <u/>
      </rPr>
      <t>8 jul 2024</t>
    </r>
  </si>
  <si>
    <t>Málaga desbloquea la venta de Repsol tras más de un año de negociaciones</t>
  </si>
  <si>
    <t>Más de un año después de que Urbania se alzase como ganadora de la subasta en los terrenos de Repsol, la promotora y la Gerencia de Urbanismo han llegado a....</t>
  </si>
  <si>
    <t>Málaga unlocks the sale of Repsol after more than a year of negotiations</t>
  </si>
  <si>
    <t>More than a year after Urbania emerged as the winner of the auction for the Repsol land, the developer and the Urban Planning Management have reached...</t>
  </si>
  <si>
    <t>Positive as it marks the resolution of a long-standing negotiation.</t>
  </si>
  <si>
    <t>venta, negociaciones</t>
  </si>
  <si>
    <r>
      <rPr>
        <rFont val="Arial, sans-serif"/>
        <color rgb="FF1155CC"/>
        <sz val="9.0"/>
        <u/>
      </rPr>
      <t>Estrategias de Inversión</t>
    </r>
    <r>
      <rPr>
        <rFont val="Arial, sans-serif"/>
        <color rgb="FF1155CC"/>
        <sz val="15.0"/>
        <u/>
      </rPr>
      <t>Hoy se cobra el dividendo de Repsol: estos son todos los detalles</t>
    </r>
    <r>
      <rPr>
        <rFont val="Arial, sans-serif"/>
        <color rgb="FF1155CC"/>
        <sz val="11.0"/>
        <u/>
      </rPr>
      <t>Dividendo Repsol: Hoy la petrolera paga un dividendo de 0,50 euros brutos por acción con cargo a los resultados de 2023. Dividendo Repsol, detalles clave.</t>
    </r>
    <r>
      <rPr>
        <rFont val="Arial, sans-serif"/>
        <color rgb="FF1155CC"/>
        <sz val="12.0"/>
        <u/>
      </rPr>
      <t>.</t>
    </r>
    <r>
      <rPr>
        <rFont val="Arial, sans-serif"/>
        <color rgb="FF1155CC"/>
        <sz val="11.0"/>
        <u/>
      </rPr>
      <t>8 jul 2024</t>
    </r>
  </si>
  <si>
    <t>Hoy se cobra el dividendo de Repsol: estos son todos los detalles</t>
  </si>
  <si>
    <t>Dividendo Repsol: Hoy la petrolera paga un dividendo de 0,50 euros brutos por acción con cargo a los resultados de 2023. Dividendo Repsol, detalles clave.</t>
  </si>
  <si>
    <t>Repsol's dividend is collected today: these are all the details</t>
  </si>
  <si>
    <t>Repsol Dividend: Today the oil company pays a dividend of 0.50 gross euros per share charged to 2023 results. Repsol dividend, key details.</t>
  </si>
  <si>
    <t>Positive as it reports financial benefits for shareholders.</t>
  </si>
  <si>
    <r>
      <rPr>
        <rFont val="Arial, sans-serif"/>
        <color rgb="FF1155CC"/>
        <sz val="9.0"/>
        <u/>
      </rPr>
      <t>Guía Repsol</t>
    </r>
    <r>
      <rPr>
        <rFont val="Arial, sans-serif"/>
        <color rgb="FF1155CC"/>
        <sz val="15.0"/>
        <u/>
      </rPr>
      <t>En Ruta con Alcalá Norte: los sitios favoritos de la banda del momento</t>
    </r>
    <r>
      <rPr>
        <rFont val="Arial, sans-serif"/>
        <color rgb="FF1155CC"/>
        <sz val="11.0"/>
        <u/>
      </rPr>
      <t>Dónde va el grupo de moda cuando no está tocando? ¿En qué parques se sientan a pasar el rato, dónde celebran sus triunfos, de qué bares son clientela...</t>
    </r>
    <r>
      <rPr>
        <rFont val="Arial, sans-serif"/>
        <color rgb="FF1155CC"/>
        <sz val="12.0"/>
        <u/>
      </rPr>
      <t>.</t>
    </r>
    <r>
      <rPr>
        <rFont val="Arial, sans-serif"/>
        <color rgb="FF1155CC"/>
        <sz val="11.0"/>
        <u/>
      </rPr>
      <t>8 jul 2024</t>
    </r>
  </si>
  <si>
    <t>En Ruta con Alcalá Norte: los sitios favoritos de la banda del momento</t>
  </si>
  <si>
    <t>¿Dónde va el grupo de moda cuando no está tocando? ¿En qué parques se sientan a pasar el rato, dónde celebran sus triunfos, de qué bares son clientela?</t>
  </si>
  <si>
    <t>On the Route with Alcalá Norte: the favorite places of the band of the moment</t>
  </si>
  <si>
    <t>Where does the trendy group go when they're not playing? In which parks do they sit and hang out, where do they celebrate their triumphs, in which bars do they patronize?</t>
  </si>
  <si>
    <t>Lifestyle</t>
  </si>
  <si>
    <r>
      <rPr>
        <rFont val="Arial, sans-serif"/>
        <color rgb="FF1155CC"/>
        <sz val="9.0"/>
        <u/>
      </rPr>
      <t>Infobae</t>
    </r>
    <r>
      <rPr>
        <rFont val="Arial, sans-serif"/>
        <color rgb="FF1155CC"/>
        <sz val="15.0"/>
        <u/>
      </rPr>
      <t>Los mejores chiringuitos de Andalucía para el verano de 2024, según la Guía Repsol</t>
    </r>
    <r>
      <rPr>
        <rFont val="Arial, sans-serif"/>
        <color rgb="FF1155CC"/>
        <sz val="11.0"/>
        <u/>
      </rPr>
      <t>En esta edición, las terrazas andaluzas reconocidas con Soletes Repsol se han repartido entre Almería, Málaga, Cádiz y Huelva.</t>
    </r>
    <r>
      <rPr>
        <rFont val="Arial, sans-serif"/>
        <color rgb="FF1155CC"/>
        <sz val="12.0"/>
        <u/>
      </rPr>
      <t>.</t>
    </r>
    <r>
      <rPr>
        <rFont val="Arial, sans-serif"/>
        <color rgb="FF1155CC"/>
        <sz val="11.0"/>
        <u/>
      </rPr>
      <t>8 jul 2024</t>
    </r>
  </si>
  <si>
    <t>Los mejores chiringuitos de Andalucía para el verano de 2024, según la Guía Repsol</t>
  </si>
  <si>
    <t>En esta edición, las terrazas andaluzas reconocidas con Soletes Repsol se han repartido entre Almería, Málaga, Cádiz y Huelva.</t>
  </si>
  <si>
    <t>The best beach bars in Andalusia for the summer of 2024, according to the Repsol Guide</t>
  </si>
  <si>
    <t>In this edition, the Andalusian terraces recognized with Repsol Soletes have been distributed between Almería, Málaga, Cádiz and Huelva.</t>
  </si>
  <si>
    <r>
      <rPr>
        <rFont val="Arial, sans-serif"/>
        <color rgb="FF1155CC"/>
        <sz val="9.0"/>
        <u/>
      </rPr>
      <t>Diari de Tarragona</t>
    </r>
    <r>
      <rPr>
        <rFont val="Arial, sans-serif"/>
        <color rgb="FF1155CC"/>
        <sz val="15.0"/>
        <u/>
      </rPr>
      <t>La ingeniera química que soluciona cualquier avería</t>
    </r>
    <r>
      <rPr>
        <rFont val="Arial, sans-serif"/>
        <color rgb="FF1155CC"/>
        <sz val="11.0"/>
        <u/>
      </rPr>
      <t>Mercè Pérez es una mujer que lleva la seguridad como bandera. Gracias a ella -y su equipo de más de un centenar de personas- no hay ninguna avería que...</t>
    </r>
    <r>
      <rPr>
        <rFont val="Arial, sans-serif"/>
        <color rgb="FF1155CC"/>
        <sz val="12.0"/>
        <u/>
      </rPr>
      <t>.</t>
    </r>
    <r>
      <rPr>
        <rFont val="Arial, sans-serif"/>
        <color rgb="FF1155CC"/>
        <sz val="11.0"/>
        <u/>
      </rPr>
      <t>8 jul 2024</t>
    </r>
  </si>
  <si>
    <t>La ingeniera química que soluciona cualquier avería</t>
  </si>
  <si>
    <t>Mercè Pérez es una mujer que lleva la seguridad como bandera. Gracias a ella -y su equipo de más de un centenar de personas- no hay ninguna avería que....</t>
  </si>
  <si>
    <t>The chemical engineer who solves any breakdown</t>
  </si>
  <si>
    <t>Mercè Pérez is a woman who carries security as her flag. Thanks to her - and her team of more than a hundred people - there is no breakdown that...</t>
  </si>
  <si>
    <r>
      <rPr>
        <rFont val="Arial, sans-serif"/>
        <color rgb="FF1155CC"/>
        <sz val="9.0"/>
        <u/>
      </rPr>
      <t>Diario de Valladolid</t>
    </r>
    <r>
      <rPr>
        <rFont val="Arial, sans-serif"/>
        <color rgb="FF1155CC"/>
        <sz val="15.0"/>
        <u/>
      </rPr>
      <t>El Ayuntamiento aprueba el derribo de las gasolineras cerradas en Poniente, plaza Circular y Paseo de Zorrilla en Valladolid</t>
    </r>
    <r>
      <rPr>
        <rFont val="Arial, sans-serif"/>
        <color rgb="FF1155CC"/>
        <sz val="11.0"/>
        <u/>
      </rPr>
      <t>Las tres estaciones de servicios son de Repsol y su concesión caducó en septiembre del pasado año.</t>
    </r>
    <r>
      <rPr>
        <rFont val="Arial, sans-serif"/>
        <color rgb="FF1155CC"/>
        <sz val="12.0"/>
        <u/>
      </rPr>
      <t>.</t>
    </r>
    <r>
      <rPr>
        <rFont val="Arial, sans-serif"/>
        <color rgb="FF1155CC"/>
        <sz val="11.0"/>
        <u/>
      </rPr>
      <t>8 jul 2024</t>
    </r>
  </si>
  <si>
    <t>El Ayuntamiento aprueba el derribo de las gasolineras cerradas en Poniente, plaza Circular y Paseo de Zorrilla en Valladolid</t>
  </si>
  <si>
    <t>El Ayuntamiento aprueba el derribo de las gasolineras cerradas en Poniente, plaza Circular y Paseo de Zorrilla en Valladolid. Las tres estaciones de servicios son de Repsol y su concesión caducó en septiembre del pasado año.</t>
  </si>
  <si>
    <t>The City Council approves the demolition of the closed gas stations in Poniente, Plaza Circular and Paseo de Zorrilla in Valladolid</t>
  </si>
  <si>
    <t>The City Council approves the demolition of the closed gas stations in Poniente, Plaza Circular and Paseo de Zorrilla in Valladolid. The three service stations belong to Repsol and their concession expired in September of last year.</t>
  </si>
  <si>
    <t>Repsol real estate, business restructuring</t>
  </si>
  <si>
    <t>Repsol inmobiliaria, reestructuración empresarial</t>
  </si>
  <si>
    <t>Slightly positive as it resolves an urban issue with expired gas stations.</t>
  </si>
  <si>
    <t>derribo, gasolineras</t>
  </si>
  <si>
    <t>Mildly negative for closures</t>
  </si>
  <si>
    <t>Ligeramente negativo para los cierres</t>
  </si>
  <si>
    <r>
      <rPr>
        <rFont val="Arial, sans-serif"/>
        <color rgb="FF1155CC"/>
        <sz val="9.0"/>
        <u/>
      </rPr>
      <t>El Economista</t>
    </r>
    <r>
      <rPr>
        <rFont val="Arial, sans-serif"/>
        <color rgb="FF1155CC"/>
        <sz val="15.0"/>
        <u/>
      </rPr>
      <t>Repsol y Eni descubren un gran yacimiento de petróleo en México</t>
    </r>
    <r>
      <rPr>
        <rFont val="Arial, sans-serif"/>
        <color rgb="FF1155CC"/>
        <sz val="11.0"/>
        <u/>
      </rPr>
      <t>Repsol ha logrado un importante descubrimiento de petróleo en México. La compañía, en alianza con la italiana Eni, han llevado a cabo un ...</t>
    </r>
    <r>
      <rPr>
        <rFont val="Arial, sans-serif"/>
        <color rgb="FF1155CC"/>
        <sz val="12.0"/>
        <u/>
      </rPr>
      <t>.</t>
    </r>
    <r>
      <rPr>
        <rFont val="Arial, sans-serif"/>
        <color rgb="FF1155CC"/>
        <sz val="11.0"/>
        <u/>
      </rPr>
      <t>8 jul 2024</t>
    </r>
  </si>
  <si>
    <t>Repsol y Eni descubren un gran yacimiento de petróleo en México</t>
  </si>
  <si>
    <t>Repsol ha logrado un importante descubrimiento de petróleo en México. La compañía, en alianza con la italiana Eni, han llevado a cabo un ....</t>
  </si>
  <si>
    <t>Repsol and Eni discover a large oil field in Mexico</t>
  </si>
  <si>
    <t>Repsol has made an important oil discovery in Mexico. The company, in alliance with the Italian Eni, has carried out a....</t>
  </si>
  <si>
    <t>Positive as it signals expansion in energy resources.</t>
  </si>
  <si>
    <r>
      <rPr>
        <rFont val="Arial, sans-serif"/>
        <color rgb="FF1155CC"/>
        <sz val="9.0"/>
        <u/>
      </rPr>
      <t>El Economista</t>
    </r>
    <r>
      <rPr>
        <rFont val="Arial, sans-serif"/>
        <color rgb="FF1155CC"/>
        <sz val="15.0"/>
        <u/>
      </rPr>
      <t>Repsol y Eni anuncian nuevo descubrimiento de petróleo y gas en pozo del Golfo de México</t>
    </r>
    <r>
      <rPr>
        <rFont val="Arial, sans-serif"/>
        <color rgb="FF1155CC"/>
        <sz val="11.0"/>
        <u/>
      </rPr>
      <t>Eni destacó que este resultado positivo, junto con los descubrimientos en otros dos bloques realizados por la compañía como operador, confirman el valor de...</t>
    </r>
    <r>
      <rPr>
        <rFont val="Arial, sans-serif"/>
        <color rgb="FF1155CC"/>
        <sz val="12.0"/>
        <u/>
      </rPr>
      <t>.</t>
    </r>
    <r>
      <rPr>
        <rFont val="Arial, sans-serif"/>
        <color rgb="FF1155CC"/>
        <sz val="11.0"/>
        <u/>
      </rPr>
      <t>8 jul 2024</t>
    </r>
  </si>
  <si>
    <t>Repsol y Eni anuncian nuevo descubrimiento de petróleo y gas en pozo del Golfo de México</t>
  </si>
  <si>
    <t>Eni destacó que este resultado positivo, junto con los descubrimientos en otros dos bloques realizados por la compañía como operador, confirman el valor de....</t>
  </si>
  <si>
    <t>Repsol and Eni announce new discovery of oil and gas in a well in the Gulf of Mexico</t>
  </si>
  <si>
    <t>Eni highlighted that this positive result, together with the discoveries in two other blocks made by the company as operator, confirm the value of...</t>
  </si>
  <si>
    <t>Positive as it reinforces a pattern of successful discoveries.</t>
  </si>
  <si>
    <r>
      <rPr>
        <rFont val="Arial, sans-serif"/>
        <color rgb="FF1155CC"/>
        <sz val="9.0"/>
        <u/>
      </rPr>
      <t>El Español</t>
    </r>
    <r>
      <rPr>
        <rFont val="Arial, sans-serif"/>
        <color rgb="FF1155CC"/>
        <sz val="15.0"/>
        <u/>
      </rPr>
      <t>Málaga desbloquea la millonaria venta de sus torres en los antiguos suelos de Repsol</t>
    </r>
    <r>
      <rPr>
        <rFont val="Arial, sans-serif"/>
        <color rgb="FF1155CC"/>
        <sz val="11.0"/>
        <u/>
      </rPr>
      <t>El Consejo de Urbanismo va a aceptar en su próxima reunión la propuesta de adjudicación en favor de Urbania. Su oferta alcanza los 66,4 millones.</t>
    </r>
    <r>
      <rPr>
        <rFont val="Arial, sans-serif"/>
        <color rgb="FF1155CC"/>
        <sz val="12.0"/>
        <u/>
      </rPr>
      <t>.</t>
    </r>
    <r>
      <rPr>
        <rFont val="Arial, sans-serif"/>
        <color rgb="FF1155CC"/>
        <sz val="11.0"/>
        <u/>
      </rPr>
      <t>8 jul 2024</t>
    </r>
  </si>
  <si>
    <t>Málaga desbloquea la millonaria venta de sus torres en los antiguos suelos de Repsol</t>
  </si>
  <si>
    <t>El Consejo de Urbanismo va a aceptar en su próxima reunión la propuesta de adjudicación en favor de Urbania. Su oferta alcanza los 66,4 millones.</t>
  </si>
  <si>
    <t>Málaga unlocks the million-dollar sale of its towers on the former Repsol lands</t>
  </si>
  <si>
    <t>The Urban Planning Council will accept the award proposal in favor of Urbania at its next meeting. Its offer reaches 66.4 million.</t>
  </si>
  <si>
    <t>Positive sentiment due to a valuable real estate transaction.</t>
  </si>
  <si>
    <r>
      <rPr>
        <rFont val="Arial, sans-serif"/>
        <color rgb="FF1155CC"/>
        <sz val="9.0"/>
        <u/>
      </rPr>
      <t>Bon Viveur</t>
    </r>
    <r>
      <rPr>
        <rFont val="Arial, sans-serif"/>
        <color rgb="FF1155CC"/>
        <sz val="15.0"/>
        <u/>
      </rPr>
      <t>Los 15 mejores restaurantes de Cantabria</t>
    </r>
    <r>
      <rPr>
        <rFont val="Arial, sans-serif"/>
        <color rgb="FF1155CC"/>
        <sz val="11.0"/>
        <u/>
      </rPr>
      <t>Un vistazo a los considerados mejores restaurantes de Cantabria para disfrutar lol mejor de la región a la mesa. Estos son los restaurantes imprescindibles...</t>
    </r>
    <r>
      <rPr>
        <rFont val="Arial, sans-serif"/>
        <color rgb="FF1155CC"/>
        <sz val="12.0"/>
        <u/>
      </rPr>
      <t>.</t>
    </r>
    <r>
      <rPr>
        <rFont val="Arial, sans-serif"/>
        <color rgb="FF1155CC"/>
        <sz val="11.0"/>
        <u/>
      </rPr>
      <t>8 jul 2024</t>
    </r>
  </si>
  <si>
    <t>Los 15 mejores restaurantes de Cantabria</t>
  </si>
  <si>
    <t>Un vistazo a los considerados mejores restaurantes de Cantabria para disfrutar lo mejor de la región a la mesa. Estos son los restaurantes imprescindibles.</t>
  </si>
  <si>
    <t>The 15 best restaurants in Cantabria</t>
  </si>
  <si>
    <t>A look at the considered best restaurants in Cantabria to enjoy the best of the region at the table. These are the essential restaurants.</t>
  </si>
  <si>
    <r>
      <rPr>
        <rFont val="Arial, sans-serif"/>
        <color rgb="FF1155CC"/>
        <sz val="9.0"/>
        <u/>
      </rPr>
      <t>Radio Televisión Canaria</t>
    </r>
    <r>
      <rPr>
        <rFont val="Arial, sans-serif"/>
        <color rgb="FF1155CC"/>
        <sz val="15.0"/>
        <u/>
      </rPr>
      <t>Titsa activa una lanzadera por las obras en el enlace San Miguel – Las Chafiras</t>
    </r>
    <r>
      <rPr>
        <rFont val="Arial, sans-serif"/>
        <color rgb="FF1155CC"/>
        <sz val="11.0"/>
        <u/>
      </rPr>
      <t>La compañía de transporte Titsa anuncia que desde el próximo lunes, 15 de julio, se activa una guagua lanzadera en horario de 05:55 a 20:40 horas.</t>
    </r>
    <r>
      <rPr>
        <rFont val="Arial, sans-serif"/>
        <color rgb="FF1155CC"/>
        <sz val="12.0"/>
        <u/>
      </rPr>
      <t>.</t>
    </r>
    <r>
      <rPr>
        <rFont val="Arial, sans-serif"/>
        <color rgb="FF1155CC"/>
        <sz val="11.0"/>
        <u/>
      </rPr>
      <t>8 jul 2024</t>
    </r>
  </si>
  <si>
    <t>Radio Televisión Canaria</t>
  </si>
  <si>
    <t>Titsa activa una lanzadera por las obras en el enlace San Miguel – Las Chafiras</t>
  </si>
  <si>
    <t>La compañía de transporte Titsa anuncia que desde el próximo lunes, 15 de julio, se activa una guagua lanzadera en horario de 05:55 a 20:40 horas.</t>
  </si>
  <si>
    <t>Titsa activates a shuttle for the works on the San Miguel – Las Chafiras link</t>
  </si>
  <si>
    <t>The transport company Titsa announces that starting next Monday, July 15, a shuttle bus will be activated from 5:55 a.m. to 8:40 p.m.</t>
  </si>
  <si>
    <r>
      <rPr>
        <rFont val="Arial, sans-serif"/>
        <color rgb="FF1155CC"/>
        <sz val="9.0"/>
        <u/>
      </rPr>
      <t>Global Energy</t>
    </r>
    <r>
      <rPr>
        <rFont val="Arial, sans-serif"/>
        <color rgb="FF1155CC"/>
        <sz val="15.0"/>
        <u/>
      </rPr>
      <t>Repsol y Eni revelan nuevo descubrimiento en el Golfo de México</t>
    </r>
    <r>
      <rPr>
        <rFont val="Arial, sans-serif"/>
        <color rgb="FF1155CC"/>
        <sz val="11.0"/>
        <u/>
      </rPr>
      <t>Eni y Repsol han hecho público un nuevo hallazgo significativo en el Golfo de México. Eni, en colaboración con Repsol, confirmaron el descubrimiento de...</t>
    </r>
    <r>
      <rPr>
        <rFont val="Arial, sans-serif"/>
        <color rgb="FF1155CC"/>
        <sz val="12.0"/>
        <u/>
      </rPr>
      <t>.</t>
    </r>
    <r>
      <rPr>
        <rFont val="Arial, sans-serif"/>
        <color rgb="FF1155CC"/>
        <sz val="11.0"/>
        <u/>
      </rPr>
      <t>8 jul 2024</t>
    </r>
  </si>
  <si>
    <t>Repsol y Eni revelan nuevo descubrimiento en el Golfo de México</t>
  </si>
  <si>
    <t>Eni y Repsol han hecho público un nuevo hallazgo significativo en el Golfo de México. Eni, en colaboración con Repsol, confirmaron el descubrimiento de....</t>
  </si>
  <si>
    <t>Repsol and Eni reveal new discovery in the Gulf of Mexico</t>
  </si>
  <si>
    <t>Eni and Repsol have made public a significant new discovery in the Gulf of Mexico. Eni, in collaboration with Repsol, confirmed the discovery of....</t>
  </si>
  <si>
    <t>Positive as it highlights another significant oil discovery.</t>
  </si>
  <si>
    <t>descubrimiento</t>
  </si>
  <si>
    <r>
      <rPr>
        <rFont val="Arial, sans-serif"/>
        <color rgb="FF1155CC"/>
        <sz val="9.0"/>
        <u/>
      </rPr>
      <t>Forbes México</t>
    </r>
    <r>
      <rPr>
        <rFont val="Arial, sans-serif"/>
        <color rgb="FF1155CC"/>
        <sz val="15.0"/>
        <u/>
      </rPr>
      <t>Petroleras Eni y Repsol descubren petróleo y gas frente a costas del sur de México • Negocios</t>
    </r>
    <r>
      <rPr>
        <rFont val="Arial, sans-serif"/>
        <color rgb="FF1155CC"/>
        <sz val="11.0"/>
        <u/>
      </rPr>
      <t>El hallazgo tiene un potencial de hasta 400 millones de barriles de petróleo crudo equivalente, según el consorcio.</t>
    </r>
    <r>
      <rPr>
        <rFont val="Arial, sans-serif"/>
        <color rgb="FF1155CC"/>
        <sz val="12.0"/>
        <u/>
      </rPr>
      <t>.</t>
    </r>
    <r>
      <rPr>
        <rFont val="Arial, sans-serif"/>
        <color rgb="FF1155CC"/>
        <sz val="11.0"/>
        <u/>
      </rPr>
      <t>8 jul 2024</t>
    </r>
  </si>
  <si>
    <t>Forbes México</t>
  </si>
  <si>
    <t>Petroleras Eni y Repsol descubren petróleo y gas frente a costas del sur de México</t>
  </si>
  <si>
    <t>El hallazgo tiene un potencial de hasta 400 millones de barriles de petróleo crudo equivalente, según el consorcio.</t>
  </si>
  <si>
    <t>Oil companies Eni and Repsol discover oil and gas off the coast of southern Mexico</t>
  </si>
  <si>
    <t>The find has a potential of up to 400 million barrels of crude oil equivalent, according to the consortium.</t>
  </si>
  <si>
    <t>Positive as it strengthens Repsol’s presence in energy exploration.</t>
  </si>
  <si>
    <r>
      <rPr>
        <rFont val="Arial, sans-serif"/>
        <color rgb="FF1155CC"/>
        <sz val="9.0"/>
        <u/>
      </rPr>
      <t>Guía Repsol</t>
    </r>
    <r>
      <rPr>
        <rFont val="Arial, sans-serif"/>
        <color rgb="FF1155CC"/>
        <sz val="15.0"/>
        <u/>
      </rPr>
      <t>Chiringuito Oli Ba Ba (Oliva): el descanso perfecto que te mereces</t>
    </r>
    <r>
      <rPr>
        <rFont val="Arial, sans-serif"/>
        <color rgb="FF1155CC"/>
        <sz val="11.0"/>
        <u/>
      </rPr>
      <t>Llega el verano y con este calor lo único que apetece es tirar la toalla y olvidarse de todo. En la Comunidad Valenciana hay numerosos chiringuitos y beach...</t>
    </r>
    <r>
      <rPr>
        <rFont val="Arial, sans-serif"/>
        <color rgb="FF1155CC"/>
        <sz val="12.0"/>
        <u/>
      </rPr>
      <t>.</t>
    </r>
    <r>
      <rPr>
        <rFont val="Arial, sans-serif"/>
        <color rgb="FF1155CC"/>
        <sz val="11.0"/>
        <u/>
      </rPr>
      <t>8 jul 2024</t>
    </r>
  </si>
  <si>
    <t>Chiringuito Oli Ba Ba (Oliva): el descanso perfecto que te mereces</t>
  </si>
  <si>
    <t>Llega el verano y con este calor lo único que apetece es tirar la toalla y olvidarse de todo. En la Comunidad Valenciana hay numerosos chiringuitos y beach....</t>
  </si>
  <si>
    <t>Oli Ba Ba Chiringuito (Oliva): the perfect break you deserve</t>
  </si>
  <si>
    <t>Summer is coming and with this heat the only thing you want to do is throw in the towel and forget about everything. In the Valencian Community there are numerous beach bars and beaches....</t>
  </si>
  <si>
    <r>
      <rPr>
        <rFont val="Arial, sans-serif"/>
        <color rgb="FF1155CC"/>
        <sz val="9.0"/>
        <u/>
      </rPr>
      <t>El Español</t>
    </r>
    <r>
      <rPr>
        <rFont val="Arial, sans-serif"/>
        <color rgb="FF1155CC"/>
        <sz val="15.0"/>
        <u/>
      </rPr>
      <t>Repsol nos ofrece dos interesantes estrategias de entrada a corto plazo</t>
    </r>
    <r>
      <rPr>
        <rFont val="Arial, sans-serif"/>
        <color rgb="FF1155CC"/>
        <sz val="11.0"/>
        <u/>
      </rPr>
      <t>El valor, que se encuentra equidistante entre soporte y resistencia, presenta varias oportunidades de compra cerca de zonas de relevancia técnica.</t>
    </r>
    <r>
      <rPr>
        <rFont val="Arial, sans-serif"/>
        <color rgb="FF1155CC"/>
        <sz val="12.0"/>
        <u/>
      </rPr>
      <t>.</t>
    </r>
    <r>
      <rPr>
        <rFont val="Arial, sans-serif"/>
        <color rgb="FF1155CC"/>
        <sz val="11.0"/>
        <u/>
      </rPr>
      <t>8 jul 2024</t>
    </r>
  </si>
  <si>
    <t>Repsol nos ofrece dos interesantes estrategias de entrada a corto plazo</t>
  </si>
  <si>
    <t>El valor, que se encuentra equidistante entre soporte y resistencia, presenta varias oportunidades de compra cerca de zonas de relevancia técnica.</t>
  </si>
  <si>
    <t>Repsol offers us two interesting short-term entry strategies</t>
  </si>
  <si>
    <t>The stock, which is equidistant between support and resistance, presents several buying opportunities near areas of technical relevance.</t>
  </si>
  <si>
    <t>Positive as it suggests promising investment opportunities in Repsol stock.</t>
  </si>
  <si>
    <t>Neutral financial analysis</t>
  </si>
  <si>
    <t>Análisis financiero neutral</t>
  </si>
  <si>
    <r>
      <rPr>
        <rFont val="Arial, sans-serif"/>
        <color rgb="FF1155CC"/>
        <sz val="9.0"/>
        <u/>
      </rPr>
      <t>Excélsior</t>
    </r>
    <r>
      <rPr>
        <rFont val="Arial, sans-serif"/>
        <color rgb="FF1155CC"/>
        <sz val="15.0"/>
        <u/>
      </rPr>
      <t>Eni y Repsol descubren petróleo y gas frente a costas de México</t>
    </r>
    <r>
      <rPr>
        <rFont val="Arial, sans-serif"/>
        <color rgb="FF1155CC"/>
        <sz val="11.0"/>
        <u/>
      </rPr>
      <t>El descubrimiento de Eni y Repsol tiene potencial de hasta 400 millones de barriles de petróleo crudo equivalente.</t>
    </r>
    <r>
      <rPr>
        <rFont val="Arial, sans-serif"/>
        <color rgb="FF1155CC"/>
        <sz val="12.0"/>
        <u/>
      </rPr>
      <t>.</t>
    </r>
    <r>
      <rPr>
        <rFont val="Arial, sans-serif"/>
        <color rgb="FF1155CC"/>
        <sz val="11.0"/>
        <u/>
      </rPr>
      <t>8 jul 2024</t>
    </r>
  </si>
  <si>
    <t>Excélsior</t>
  </si>
  <si>
    <t>Eni y Repsol descubren petróleo y gas frente a costas de México</t>
  </si>
  <si>
    <t>El descubrimiento de Eni y Repsol tiene potencial de hasta 400 millones de barriles de petróleo crudo equivalente.</t>
  </si>
  <si>
    <t>Eni and Repsol discover oil and gas off the coast of Mexico</t>
  </si>
  <si>
    <t>The Eni and Repsol discovery has the potential of up to 400 million barrels of crude oil equivalent.</t>
  </si>
  <si>
    <t>Positive as it highlights a major oil and gas discovery.</t>
  </si>
  <si>
    <r>
      <rPr>
        <rFont val="Arial, sans-serif"/>
        <color rgb="FF1155CC"/>
        <sz val="9.0"/>
        <u/>
      </rPr>
      <t>Milenio</t>
    </r>
    <r>
      <rPr>
        <rFont val="Arial, sans-serif"/>
        <color rgb="FF1155CC"/>
        <sz val="15.0"/>
        <u/>
      </rPr>
      <t>Petroleras Eni y Repsol descubren petróleo y gas frente a costas de México</t>
    </r>
    <r>
      <rPr>
        <rFont val="Arial, sans-serif"/>
        <color rgb="FF1155CC"/>
        <sz val="11.0"/>
        <u/>
      </rPr>
      <t>Un consorcio conformado por la petrolera italiana Eni y la española Repsol descubrió petróleo y gas en un área marina frente a costas del sur de México...</t>
    </r>
    <r>
      <rPr>
        <rFont val="Arial, sans-serif"/>
        <color rgb="FF1155CC"/>
        <sz val="12.0"/>
        <u/>
      </rPr>
      <t>.</t>
    </r>
    <r>
      <rPr>
        <rFont val="Arial, sans-serif"/>
        <color rgb="FF1155CC"/>
        <sz val="11.0"/>
        <u/>
      </rPr>
      <t>8 jul 2024</t>
    </r>
  </si>
  <si>
    <t>Milenio</t>
  </si>
  <si>
    <t>Petroleras Eni y Repsol descubren petróleo y gas frente a costas de México</t>
  </si>
  <si>
    <t>Un consorcio conformado por la petrolera italiana Eni y la española Repsol descubrió petróleo y gas en un área marina frente a costas del sur de México.</t>
  </si>
  <si>
    <t>Oil companies Eni and Repsol discover oil and gas off the coast of Mexico</t>
  </si>
  <si>
    <t>A consortium made up of the Italian oil company Eni and the Spanish company Repsol discovered oil and gas in a marine area off the coast of southern Mexico.</t>
  </si>
  <si>
    <t>Positive as it reinforces Repsol's successful energy exploration.</t>
  </si>
  <si>
    <r>
      <rPr>
        <rFont val="Arial, sans-serif"/>
        <color rgb="FF1155CC"/>
        <sz val="9.0"/>
        <u/>
      </rPr>
      <t>El Sol de México</t>
    </r>
    <r>
      <rPr>
        <rFont val="Arial, sans-serif"/>
        <color rgb="FF1155CC"/>
        <sz val="15.0"/>
        <u/>
      </rPr>
      <t>Eni y Repsol descubren nuevo yacimiento en el Golfo de México</t>
    </r>
    <r>
      <rPr>
        <rFont val="Arial, sans-serif"/>
        <color rgb="FF1155CC"/>
        <sz val="11.0"/>
        <u/>
      </rPr>
      <t>La petrolera italiana Eni informó este lunes que, junto con la española Repsol, descubrieron un nuevo yacimiento de crudo en el sur del Golfo de México.</t>
    </r>
    <r>
      <rPr>
        <rFont val="Arial, sans-serif"/>
        <color rgb="FF1155CC"/>
        <sz val="12.0"/>
        <u/>
      </rPr>
      <t>.</t>
    </r>
    <r>
      <rPr>
        <rFont val="Arial, sans-serif"/>
        <color rgb="FF1155CC"/>
        <sz val="11.0"/>
        <u/>
      </rPr>
      <t>8 jul 2024</t>
    </r>
  </si>
  <si>
    <t>Eni y Repsol descubren nuevo yacimiento en el Golfo de México</t>
  </si>
  <si>
    <t>La petrolera italiana Eni informó este lunes que, junto con la española Repsol, descubrieron un nuevo yacimiento de crudo en el sur del Golfo de México.</t>
  </si>
  <si>
    <t>Eni and Repsol discover new deposit in the Gulf of Mexico</t>
  </si>
  <si>
    <t>The Italian oil company Eni reported this Monday that, together with the Spanish company Repsol, they discovered a new crude oil field in the southern Gulf of Mexico.</t>
  </si>
  <si>
    <t>descubrimiento, yacimiento</t>
  </si>
  <si>
    <r>
      <rPr>
        <rFont val="Arial, sans-serif"/>
        <color rgb="FF1155CC"/>
        <sz val="9.0"/>
        <u/>
      </rPr>
      <t>Imagen de Veracruz</t>
    </r>
    <r>
      <rPr>
        <rFont val="Arial, sans-serif"/>
        <color rgb="FF1155CC"/>
        <sz val="15.0"/>
        <u/>
      </rPr>
      <t>Anuncian hallazgo de petróleo frente a las costas de Veracruz y Tabasco</t>
    </r>
    <r>
      <rPr>
        <rFont val="Arial, sans-serif"/>
        <color rgb="FF1155CC"/>
        <sz val="11.0"/>
        <u/>
      </rPr>
      <t>Repsol y Eni han anunciado un nuevo descubrimiento de petróleo en el pozo Yopaat 1, ubicado en aguas profundas del Golfo de México, frenta a las costas de...</t>
    </r>
    <r>
      <rPr>
        <rFont val="Arial, sans-serif"/>
        <color rgb="FF1155CC"/>
        <sz val="12.0"/>
        <u/>
      </rPr>
      <t>.</t>
    </r>
    <r>
      <rPr>
        <rFont val="Arial, sans-serif"/>
        <color rgb="FF1155CC"/>
        <sz val="11.0"/>
        <u/>
      </rPr>
      <t>8 jul 2024</t>
    </r>
  </si>
  <si>
    <t>Imagen de Veracruz</t>
  </si>
  <si>
    <t>Anuncian hallazgo de petróleo frente a las costas de Veracruz y Tabasco</t>
  </si>
  <si>
    <t>Repsol y Eni han anunciado un nuevo descubrimiento de petróleo en el pozo Yopaat 1, ubicado en aguas profundas del Golfo de México, frente a las costas de....</t>
  </si>
  <si>
    <t>Oil discovery announced off the coasts of Veracruz and Tabasco</t>
  </si>
  <si>
    <t>Repsol and Eni have announced a new oil discovery in the Yopaat 1 well, located in deep waters of the Gulf of Mexico, off the coast of...</t>
  </si>
  <si>
    <t>Positive as it marks another successful oil discovery.</t>
  </si>
  <si>
    <t>hallazgo, petróleo</t>
  </si>
  <si>
    <r>
      <rPr>
        <rFont val="Arial, sans-serif"/>
        <color rgb="FF1155CC"/>
        <sz val="9.0"/>
        <u/>
      </rPr>
      <t>Infobae</t>
    </r>
    <r>
      <rPr>
        <rFont val="Arial, sans-serif"/>
        <color rgb="FF1155CC"/>
        <sz val="15.0"/>
        <u/>
      </rPr>
      <t>Así es el nuevo pozo petrolero Yopaat hallado en costas de México : ¿Por qué Pemex no participará en su explotación?</t>
    </r>
    <r>
      <rPr>
        <rFont val="Arial, sans-serif"/>
        <color rgb="FF1155CC"/>
        <sz val="11.0"/>
        <u/>
      </rPr>
      <t>El Estado mexicano recibirá un porcentaje de las ganancias en caso de comprobarse las reservas de hidrocarburos.</t>
    </r>
    <r>
      <rPr>
        <rFont val="Arial, sans-serif"/>
        <color rgb="FF1155CC"/>
        <sz val="12.0"/>
        <u/>
      </rPr>
      <t>.</t>
    </r>
    <r>
      <rPr>
        <rFont val="Arial, sans-serif"/>
        <color rgb="FF1155CC"/>
        <sz val="11.0"/>
        <u/>
      </rPr>
      <t>8 jul 2024</t>
    </r>
  </si>
  <si>
    <t>Así es el nuevo pozo petrolero Yopaat hallado en costas de México : ¿Por qué Pemex no participará en su explotación?</t>
  </si>
  <si>
    <t>El Estado mexicano recibirá un porcentaje de las ganancias en caso de comprobarse las reservas de hidrocarburos.</t>
  </si>
  <si>
    <t>This is the new Yopaat oil well found on the coast of Mexico: Why will Pemex not participate in its exploitation?</t>
  </si>
  <si>
    <t>The Mexican State will receive a percentage of the profits if hydrocarbon reserves are proven.</t>
  </si>
  <si>
    <t>Positive as it discusses financial benefits from oil exploration.</t>
  </si>
  <si>
    <t>pozo petrolero</t>
  </si>
  <si>
    <r>
      <rPr>
        <rFont val="Arial, sans-serif"/>
        <color rgb="FF1155CC"/>
        <sz val="9.0"/>
        <u/>
      </rPr>
      <t>Infobae</t>
    </r>
    <r>
      <rPr>
        <rFont val="Arial, sans-serif"/>
        <color rgb="FF1155CC"/>
        <sz val="15.0"/>
        <u/>
      </rPr>
      <t>Esta es la zona al sur de México donde empresas europeas encontraron yacimientos de petróleo y gas</t>
    </r>
    <r>
      <rPr>
        <rFont val="Arial, sans-serif"/>
        <color rgb="FF1155CC"/>
        <sz val="11.0"/>
        <u/>
      </rPr>
      <t>El consorcio formado por las petroleras Eni (Italia) y Repsol (España) descubrió un importante yacimiento de petróleo y gas frente a las costas del sur de...</t>
    </r>
    <r>
      <rPr>
        <rFont val="Arial, sans-serif"/>
        <color rgb="FF1155CC"/>
        <sz val="12.0"/>
        <u/>
      </rPr>
      <t>.</t>
    </r>
    <r>
      <rPr>
        <rFont val="Arial, sans-serif"/>
        <color rgb="FF1155CC"/>
        <sz val="11.0"/>
        <u/>
      </rPr>
      <t>8 jul 2024</t>
    </r>
  </si>
  <si>
    <t>Esta es la zona al sur de México donde empresas europeas encontraron yacimientos de petróleo y gas</t>
  </si>
  <si>
    <t>El consorcio formado por las petroleras Eni (Italia) y Repsol (España) descubrió un importante yacimiento de petróleo y gas frente a las costas del sur de....</t>
  </si>
  <si>
    <t>This is the area south of Mexico where European companies found oil and gas deposits</t>
  </si>
  <si>
    <t>The consortium formed by the oil companies Eni (Italy) and Repsol (Spain) discovered an important oil and gas field off the coast of southern...</t>
  </si>
  <si>
    <t>Positive as it highlights a significant energy discovery.</t>
  </si>
  <si>
    <t>yacimientos, petróleo</t>
  </si>
  <si>
    <r>
      <rPr>
        <rFont val="Arial, sans-serif"/>
        <color rgb="FF1155CC"/>
        <sz val="9.0"/>
        <u/>
      </rPr>
      <t>El Mundo de Córdoba</t>
    </r>
    <r>
      <rPr>
        <rFont val="Arial, sans-serif"/>
        <color rgb="FF1155CC"/>
        <sz val="15.0"/>
        <u/>
      </rPr>
      <t>Repsol y Eni descubren un gran yacimiento de petróleo en México</t>
    </r>
    <r>
      <rPr>
        <rFont val="Arial, sans-serif"/>
        <color rgb="FF1155CC"/>
        <sz val="11.0"/>
        <u/>
      </rPr>
      <t>De la Redacción. La empresa italiana Eni ha anunciado este lunes el descubrimiento del pozo exploratorio Yopaat-1 EXP en el Bloque 9 de la Cuenca del...</t>
    </r>
    <r>
      <rPr>
        <rFont val="Arial, sans-serif"/>
        <color rgb="FF1155CC"/>
        <sz val="12.0"/>
        <u/>
      </rPr>
      <t>.</t>
    </r>
    <r>
      <rPr>
        <rFont val="Arial, sans-serif"/>
        <color rgb="FF1155CC"/>
        <sz val="11.0"/>
        <u/>
      </rPr>
      <t>8 jul 2024</t>
    </r>
  </si>
  <si>
    <t>El Mundo de Córdoba</t>
  </si>
  <si>
    <t>La empresa italiana Eni ha anunciado este lunes el descubrimiento del pozo exploratorio Yopaat-1 EXP en el Bloque 9 de la Cuenca del....</t>
  </si>
  <si>
    <t>The Italian company Eni announced this Monday the discovery of the Yopaat-1 EXP exploratory well in Block 9 of the...</t>
  </si>
  <si>
    <t>Positive as it reinforces Repsol's expansion in oil exploration.</t>
  </si>
  <si>
    <r>
      <rPr>
        <rFont val="Arial, sans-serif"/>
        <color rgb="FF1155CC"/>
        <sz val="9.0"/>
        <u/>
      </rPr>
      <t>EL CEO</t>
    </r>
    <r>
      <rPr>
        <rFont val="Arial, sans-serif"/>
        <color rgb="FF1155CC"/>
        <sz val="15.0"/>
        <u/>
      </rPr>
      <t>Eni y Repsol descubren yacimiento de petróleo y gas en aguas del Golfo de México</t>
    </r>
    <r>
      <rPr>
        <rFont val="Arial, sans-serif"/>
        <color rgb="FF1155CC"/>
        <sz val="11.0"/>
        <u/>
      </rPr>
      <t>Eni y Repsol descubrieron un yacimiento de petróleo y gas en el Golfo de México; las compañías siguen aprovechando sus permisos en el país.</t>
    </r>
    <r>
      <rPr>
        <rFont val="Arial, sans-serif"/>
        <color rgb="FF1155CC"/>
        <sz val="12.0"/>
        <u/>
      </rPr>
      <t>.</t>
    </r>
    <r>
      <rPr>
        <rFont val="Arial, sans-serif"/>
        <color rgb="FF1155CC"/>
        <sz val="11.0"/>
        <u/>
      </rPr>
      <t>8 jul 2024</t>
    </r>
  </si>
  <si>
    <t>EL CEO</t>
  </si>
  <si>
    <t>Eni y Repsol descubren yacimiento de petróleo y gas en aguas del Golfo de México</t>
  </si>
  <si>
    <t>Eni y Repsol descubrieron un yacimiento de petróleo y gas en el Golfo de México; las compañías siguen aprovechando sus permisos en el país.</t>
  </si>
  <si>
    <t>Eni and Repsol discover oil and gas deposits in the waters of the Gulf of Mexico</t>
  </si>
  <si>
    <t>Eni and Repsol discovered an oil and gas field in the Gulf of Mexico; Companies continue to take advantage of their permits in the country.</t>
  </si>
  <si>
    <t>Positive as it emphasizes continued energy exploration success.</t>
  </si>
  <si>
    <r>
      <rPr>
        <rFont val="Arial, sans-serif"/>
        <color rgb="FF1155CC"/>
        <sz val="9.0"/>
        <u/>
      </rPr>
      <t>El Economista</t>
    </r>
    <r>
      <rPr>
        <rFont val="Arial, sans-serif"/>
        <color rgb="FF1155CC"/>
        <sz val="15.0"/>
        <u/>
      </rPr>
      <t>Repsol, Exolum, Aena, Iberia, Air Nostrum y Airbus construirán el primer hub del hidrógeno verde aéreo</t>
    </r>
    <r>
      <rPr>
        <rFont val="Arial, sans-serif"/>
        <color rgb="FF1155CC"/>
        <sz val="11.0"/>
        <u/>
      </rPr>
      <t>Desde la producción a la gestión aeroportuaria, seis empresas de toda la cadena del transporte aéreo se han aliado para crear el primer ...</t>
    </r>
    <r>
      <rPr>
        <rFont val="Arial, sans-serif"/>
        <color rgb="FF1155CC"/>
        <sz val="12.0"/>
        <u/>
      </rPr>
      <t>.</t>
    </r>
    <r>
      <rPr>
        <rFont val="Arial, sans-serif"/>
        <color rgb="FF1155CC"/>
        <sz val="11.0"/>
        <u/>
      </rPr>
      <t>9 jul 2024</t>
    </r>
  </si>
  <si>
    <t>Repsol, Exolum, Aena, Iberia, Air Nostrum y Airbus construirán el primer hub del hidrógeno verde aéreo</t>
  </si>
  <si>
    <t>Desde la producción a la gestión aeroportuaria, seis empresas de toda la cadena del transporte aéreo se han aliado para crear el primer ....</t>
  </si>
  <si>
    <t>Repsol, Exolum, Aena, Iberia, Air Nostrum and Airbus will build the first aerial green hydrogen hub</t>
  </si>
  <si>
    <t>From production to airport management, six companies from across the air transportation chain have joined forces to create the first...</t>
  </si>
  <si>
    <t>Repsol sustainable fuel, aviation collaboration</t>
  </si>
  <si>
    <t>Repsol combustible sostenible, colaboración en aviación</t>
  </si>
  <si>
    <t>Positive as it highlights Repsol's role in a major renewable energy initiative.</t>
  </si>
  <si>
    <t>Strong positive for renewable energy initiative</t>
  </si>
  <si>
    <t>Fuerte positivo para la iniciativa de energías renovables</t>
  </si>
  <si>
    <r>
      <rPr>
        <rFont val="Arial, sans-serif"/>
        <color rgb="FF1155CC"/>
        <sz val="9.0"/>
        <u/>
      </rPr>
      <t>Grupo Iberia</t>
    </r>
    <r>
      <rPr>
        <rFont val="Arial, sans-serif"/>
        <color rgb="FF1155CC"/>
        <sz val="15.0"/>
        <u/>
      </rPr>
      <t>Airbus, Aena, Air Nostrum, Iberia, Exolum y Repsol unen sus fuerzas para estudiar la creación del primer hub aeroportuario de hidrógeno en España</t>
    </r>
    <r>
      <rPr>
        <rFont val="Arial, sans-serif"/>
        <color rgb="FF1155CC"/>
        <sz val="11.0"/>
        <u/>
      </rPr>
      <t>Airbus, Aena, Air Nostrum, Iberia, Exolum y Repsol han firmado un Acuerdo de Colaboración para estudiar la creación del primer hub aeroportuario de...</t>
    </r>
    <r>
      <rPr>
        <rFont val="Arial, sans-serif"/>
        <color rgb="FF1155CC"/>
        <sz val="12.0"/>
        <u/>
      </rPr>
      <t>.</t>
    </r>
    <r>
      <rPr>
        <rFont val="Arial, sans-serif"/>
        <color rgb="FF1155CC"/>
        <sz val="11.0"/>
        <u/>
      </rPr>
      <t>9 jul 2024</t>
    </r>
  </si>
  <si>
    <t>Grupo Iberia</t>
  </si>
  <si>
    <t>Airbus, Aena, Air Nostrum, Iberia, Exolum y Repsol unen sus fuerzas para estudiar la creación del primer hub aeroportuario de hidrógeno en España</t>
  </si>
  <si>
    <t>Airbus, Aena, Air Nostrum, Iberia, Exolum y Repsol han firmado un Acuerdo de Colaboración para estudiar la creación del primer hub aeroportuario de hidrógeno en España.</t>
  </si>
  <si>
    <t>Airbus, Aena, Air Nostrum, Iberia, Exolum and Repsol join forces to study the creation of the first hydrogen airport hub in Spain</t>
  </si>
  <si>
    <t>Airbus, Aena, Air Nostrum, Iberia, Exolum and Repsol have signed a Collaboration Agreement to study the creation of the first hydrogen airport hub in Spain.</t>
  </si>
  <si>
    <t>Positive as it signals investment in sustainable aviation technology.</t>
  </si>
  <si>
    <t>hidrógeno, alianza</t>
  </si>
  <si>
    <t>Positive for Repsol’s leadership in sustainable aviation innovation.</t>
  </si>
  <si>
    <t>Positivo para el liderazgo de Repsol en innovación en aviación sostenible.</t>
  </si>
  <si>
    <r>
      <rPr>
        <rFont val="Arial, sans-serif"/>
        <color rgb="FF1155CC"/>
        <sz val="9.0"/>
        <u/>
      </rPr>
      <t>Europa Press</t>
    </r>
    <r>
      <rPr>
        <rFont val="Arial, sans-serif"/>
        <color rgb="FF1155CC"/>
        <sz val="15.0"/>
        <u/>
      </rPr>
      <t>El Gobierno reparte ayudas por 794 millones a Repsol, Iberdrola, EDP y Endesa para impulsar el hidrógeno verde</t>
    </r>
    <r>
      <rPr>
        <rFont val="Arial, sans-serif"/>
        <color rgb="FF1155CC"/>
        <sz val="11.0"/>
        <u/>
      </rPr>
      <t>El Gobierno ha aprobado el reparto de ayudas por un importe de 794 millones de euros para un total de siete...</t>
    </r>
    <r>
      <rPr>
        <rFont val="Arial, sans-serif"/>
        <color rgb="FF1155CC"/>
        <sz val="12.0"/>
        <u/>
      </rPr>
      <t>.</t>
    </r>
    <r>
      <rPr>
        <rFont val="Arial, sans-serif"/>
        <color rgb="FF1155CC"/>
        <sz val="11.0"/>
        <u/>
      </rPr>
      <t>9 jul 2024</t>
    </r>
  </si>
  <si>
    <t>El Gobierno reparte ayudas por 794 millones a Repsol, Iberdrola, EDP y Endesa para impulsar el hidrógeno verde</t>
  </si>
  <si>
    <t>El Gobierno ha aprobado el reparto de ayudas por un importe de 794 millones de euros para un total de siete.</t>
  </si>
  <si>
    <t>The Government distributes aid for 794 million to Repsol, Iberdrola, EDP and Endesa to promote green hydrogen</t>
  </si>
  <si>
    <t>The Government has approved the distribution of aid for an amount of 794 million euros for a total of seven.</t>
  </si>
  <si>
    <t>Repsol green hydrogen, government incentives</t>
  </si>
  <si>
    <t>Repsol hidrógeno verde, incentivos gubernamentales</t>
  </si>
  <si>
    <t>Positive as it highlights government support for Repsol’s hydrogen projects.</t>
  </si>
  <si>
    <t>ayudas, hidrógeno verde</t>
  </si>
  <si>
    <t>Positive for government support and green energy investment.</t>
  </si>
  <si>
    <t>Positivo para el apoyo gubernamental y la inversión en energía verde.</t>
  </si>
  <si>
    <r>
      <rPr>
        <rFont val="Arial, sans-serif"/>
        <color rgb="FF1155CC"/>
        <sz val="9.0"/>
        <u/>
      </rPr>
      <t>Expansión</t>
    </r>
    <r>
      <rPr>
        <rFont val="Arial, sans-serif"/>
        <color rgb="FF1155CC"/>
        <sz val="15.0"/>
        <u/>
      </rPr>
      <t>Repsol: "El liderazgo es un elemento estratégico"</t>
    </r>
    <r>
      <rPr>
        <rFont val="Arial, sans-serif"/>
        <color rgb="FF1155CC"/>
        <sz val="11.0"/>
        <u/>
      </rPr>
      <t>En 2023, Repsol impartió 840.766 horas de formación, 3.530 empleados participaron en los programas de liderazgo, y cerró el año con 220 formadores internos...</t>
    </r>
    <r>
      <rPr>
        <rFont val="Arial, sans-serif"/>
        <color rgb="FF1155CC"/>
        <sz val="12.0"/>
        <u/>
      </rPr>
      <t>.</t>
    </r>
    <r>
      <rPr>
        <rFont val="Arial, sans-serif"/>
        <color rgb="FF1155CC"/>
        <sz val="11.0"/>
        <u/>
      </rPr>
      <t>9 jul 2024</t>
    </r>
  </si>
  <si>
    <t>Repsol: "El liderazgo es un elemento estratégico"</t>
  </si>
  <si>
    <t>En 2023, Repsol impartió 840.766 horas de formación, 3.530 empleados participaron en los programas de liderazgo, y cerró el año con 220 formadores internos.</t>
  </si>
  <si>
    <t>Repsol: "Leadership is a strategic element"</t>
  </si>
  <si>
    <t>In 2023, Repsol provided 840,766 hours of training, 3,530 employees participated in leadership programs, and closed the year with 220 internal trainers.</t>
  </si>
  <si>
    <t>Repsol corporate leadership, business development</t>
  </si>
  <si>
    <t>Liderazgo corporativo de Repsol, desarrollo de negocio</t>
  </si>
  <si>
    <t>Positive as it highlights Repsol's investment in employee development.</t>
  </si>
  <si>
    <t>liderazgo</t>
  </si>
  <si>
    <t>Neutral; vague corporate messaging.</t>
  </si>
  <si>
    <t>Neutral; mensajes corporativos vagos.</t>
  </si>
  <si>
    <r>
      <rPr>
        <rFont val="Arial, sans-serif"/>
        <color rgb="FF1155CC"/>
        <sz val="9.0"/>
        <u/>
      </rPr>
      <t>Cinco Días</t>
    </r>
    <r>
      <rPr>
        <rFont val="Arial, sans-serif"/>
        <color rgb="FF1155CC"/>
        <sz val="15.0"/>
        <u/>
      </rPr>
      <t>Iberdrola, Repsol, Endesa y EDP se aseguran casi 800 millones en ayudas al hidrógeno</t>
    </r>
    <r>
      <rPr>
        <rFont val="Arial, sans-serif"/>
        <color rgb="FF1155CC"/>
        <sz val="11.0"/>
        <u/>
      </rPr>
      <t>El Gobierno selecciona siete proyectos, que sumarán más de 650 megavatios de generación con electricidad renovable y que prometen inversiones...</t>
    </r>
    <r>
      <rPr>
        <rFont val="Arial, sans-serif"/>
        <color rgb="FF1155CC"/>
        <sz val="12.0"/>
        <u/>
      </rPr>
      <t>.</t>
    </r>
    <r>
      <rPr>
        <rFont val="Arial, sans-serif"/>
        <color rgb="FF1155CC"/>
        <sz val="11.0"/>
        <u/>
      </rPr>
      <t>9 jul 2024</t>
    </r>
  </si>
  <si>
    <t>Iberdrola, Repsol, Endesa y EDP se aseguran casi 800 millones en ayudas al hidrógeno</t>
  </si>
  <si>
    <t>El Gobierno selecciona siete proyectos, que sumarán más de 650 megavatios de generación con electricidad renovable y que prometen inversiones....</t>
  </si>
  <si>
    <t>Iberdrola, Repsol, Endesa and EDP secure almost 800 million in hydrogen aid</t>
  </si>
  <si>
    <t>The Government selects seven projects, which will add more than 650 megawatts of generation with renewable electricity and that promise investments....</t>
  </si>
  <si>
    <t>Positive as it emphasizes substantial funding for green energy projects.</t>
  </si>
  <si>
    <t>ayudas, hidrógeno</t>
  </si>
  <si>
    <t>Positive for funding in renewable energy projects.</t>
  </si>
  <si>
    <t>Positivo para la financiación de proyectos de energías renovables.</t>
  </si>
  <si>
    <r>
      <rPr>
        <rFont val="Arial, sans-serif"/>
        <color rgb="FF1155CC"/>
        <sz val="9.0"/>
        <u/>
      </rPr>
      <t>Murcia Plaza</t>
    </r>
    <r>
      <rPr>
        <rFont val="Arial, sans-serif"/>
        <color rgb="FF1155CC"/>
        <sz val="15.0"/>
        <u/>
      </rPr>
      <t>El Estado apoyará con 155 millones la planta de hidrógeno verde de Repsol en Cartagena</t>
    </r>
    <r>
      <rPr>
        <rFont val="Arial, sans-serif"/>
        <color rgb="FF1155CC"/>
        <sz val="11.0"/>
        <u/>
      </rPr>
      <t>MURCIA. Continúan avanzando las inversiones de Repsol en Cartagena. Esta compañía, que está poniendo en marcha un proyecto de clústeres y tecnologías...</t>
    </r>
    <r>
      <rPr>
        <rFont val="Arial, sans-serif"/>
        <color rgb="FF1155CC"/>
        <sz val="12.0"/>
        <u/>
      </rPr>
      <t>.</t>
    </r>
    <r>
      <rPr>
        <rFont val="Arial, sans-serif"/>
        <color rgb="FF1155CC"/>
        <sz val="11.0"/>
        <u/>
      </rPr>
      <t>9 jul 2024</t>
    </r>
  </si>
  <si>
    <t>El Estado apoyará con 155 millones la planta de hidrógeno verde de Repsol en Cartagena</t>
  </si>
  <si>
    <t>Esta compañía, que está poniendo en marcha un proyecto de clústeres y tecnologías....</t>
  </si>
  <si>
    <t>The State will support Repsol's green hydrogen plant in Cartagena with 155 million</t>
  </si>
  <si>
    <t>This company, which is launching a cluster and technology project....</t>
  </si>
  <si>
    <t>Positive as it highlights government investment in Repsol’s sustainability efforts.</t>
  </si>
  <si>
    <t>Strong positive for green energy infrastructure.</t>
  </si>
  <si>
    <t>Fuerte positivo para la infraestructura de energía verde.</t>
  </si>
  <si>
    <r>
      <rPr>
        <rFont val="Arial, sans-serif"/>
        <color rgb="FF1155CC"/>
        <sz val="9.0"/>
        <u/>
      </rPr>
      <t>La Razón</t>
    </r>
    <r>
      <rPr>
        <rFont val="Arial, sans-serif"/>
        <color rgb="FF1155CC"/>
        <sz val="15.0"/>
        <u/>
      </rPr>
      <t>Alianza de Airbus, Aena, Iberia, Air Nostrum, Exolum y Repsol para crear el primer "hub" aeroportuar</t>
    </r>
    <r>
      <rPr>
        <rFont val="Arial, sans-serif"/>
        <color rgb="FF1155CC"/>
        <sz val="11.0"/>
        <u/>
      </rPr>
      <t>Airbus, Aena, Air Nostrum, Iberia, Exolum y Repsol han firmado un acuerdo de colaboración para estudiar la creación del primer intercambiador aeroportuario...</t>
    </r>
    <r>
      <rPr>
        <rFont val="Arial, sans-serif"/>
        <color rgb="FF1155CC"/>
        <sz val="12.0"/>
        <u/>
      </rPr>
      <t>.</t>
    </r>
    <r>
      <rPr>
        <rFont val="Arial, sans-serif"/>
        <color rgb="FF1155CC"/>
        <sz val="11.0"/>
        <u/>
      </rPr>
      <t>9 jul 2024</t>
    </r>
  </si>
  <si>
    <t>Alianza de Airbus, Aena, Iberia, Air Nostrum, Exolum y Repsol para crear el primer "hub" aeroportuario</t>
  </si>
  <si>
    <t>Airbus, Aena, Air Nostrum, Iberia, Exolum y Repsol han firmado un acuerdo de colaboración para estudiar la creación del primer intercambiador aeroportuario.</t>
  </si>
  <si>
    <t>Alliance of Airbus, Aena, Iberia, Air Nostrum, Exolum and Repsol to create the first airport "hub"</t>
  </si>
  <si>
    <t>Airbus, Aena, Air Nostrum, Iberia, Exolum and Repsol have signed a collaboration agreement to study the creation of the first airport interchange.</t>
  </si>
  <si>
    <t>Positive as it supports an innovative sustainable energy project.</t>
  </si>
  <si>
    <t>Positive for collaborative sustainability efforts.</t>
  </si>
  <si>
    <t>Positivo para los esfuerzos colaborativos de sostenibilidad.</t>
  </si>
  <si>
    <r>
      <rPr>
        <rFont val="Arial, sans-serif"/>
        <color rgb="FF1155CC"/>
        <sz val="9.0"/>
        <u/>
      </rPr>
      <t>Sindicato USO</t>
    </r>
    <r>
      <rPr>
        <rFont val="Arial, sans-serif"/>
        <color rgb="FF1155CC"/>
        <sz val="15.0"/>
        <u/>
      </rPr>
      <t>El Supremo sentencia a Repsol Butano a indemnizar a USO por lesionar la libertad sindical</t>
    </r>
    <r>
      <rPr>
        <rFont val="Arial, sans-serif"/>
        <color rgb="FF1155CC"/>
        <sz val="11.0"/>
        <u/>
      </rPr>
      <t>Nueva sentencia del Tribunal Supremo contra Repsol Butano por vulnerar la libertad sindical de USO: la condena a indemnización y costas.</t>
    </r>
    <r>
      <rPr>
        <rFont val="Arial, sans-serif"/>
        <color rgb="FF1155CC"/>
        <sz val="12.0"/>
        <u/>
      </rPr>
      <t>.</t>
    </r>
    <r>
      <rPr>
        <rFont val="Arial, sans-serif"/>
        <color rgb="FF1155CC"/>
        <sz val="11.0"/>
        <u/>
      </rPr>
      <t>9 jul 2024</t>
    </r>
  </si>
  <si>
    <t>Sindicato USO</t>
  </si>
  <si>
    <t>El Supremo sentencia a Repsol Butano a indemnizar a USO por lesionar la libertad sindical</t>
  </si>
  <si>
    <t>Nueva sentencia del Tribunal Supremo contra Repsol Butano por vulnerar la libertad sindical de USO: la condena a indemnización y costas.</t>
  </si>
  <si>
    <t>The Supreme Court sentences Repsol Butano to compensate USO for violating union freedom</t>
  </si>
  <si>
    <t>New ruling by the Supreme Court against Repsol Butano for violating USO's freedom of association: the sentence for compensation and costs.</t>
  </si>
  <si>
    <t>Repsol legal case, business liability</t>
  </si>
  <si>
    <t>Caso judicial Repsol, responsabilidad empresarial</t>
  </si>
  <si>
    <t>Negative as it reports a legal loss and compensation order against Repsol.</t>
  </si>
  <si>
    <t>indemnizar, libertad sindical</t>
  </si>
  <si>
    <t>Negative for legal and reputational risks.</t>
  </si>
  <si>
    <t>Negativo para riesgos legales y reputacionales.</t>
  </si>
  <si>
    <r>
      <rPr>
        <rFont val="Arial, sans-serif"/>
        <color rgb="FF1155CC"/>
        <sz val="9.0"/>
        <u/>
      </rPr>
      <t>Guía Repsol</t>
    </r>
    <r>
      <rPr>
        <rFont val="Arial, sans-serif"/>
        <color rgb="FF1155CC"/>
        <sz val="15.0"/>
        <u/>
      </rPr>
      <t>Apartamentos Villa Sofia en el Parque Natural de Oyambre</t>
    </r>
    <r>
      <rPr>
        <rFont val="Arial, sans-serif"/>
        <color rgb="FF1155CC"/>
        <sz val="11.0"/>
        <u/>
      </rPr>
      <t>En una ubicación privilegiada, los Apartamentos Villa Sofía en San Vicente de la Barquera ofrecen un auténtico espectáculo paisajístico tanto de montaña...</t>
    </r>
    <r>
      <rPr>
        <rFont val="Arial, sans-serif"/>
        <color rgb="FF1155CC"/>
        <sz val="12.0"/>
        <u/>
      </rPr>
      <t>.</t>
    </r>
    <r>
      <rPr>
        <rFont val="Arial, sans-serif"/>
        <color rgb="FF1155CC"/>
        <sz val="11.0"/>
        <u/>
      </rPr>
      <t>9 jul 2024</t>
    </r>
  </si>
  <si>
    <t>Apartamentos Villa Sofia en el Parque Natural de Oyambre</t>
  </si>
  <si>
    <t>En una ubicación privilegiada, los Apartamentos Villa Sofía en San Vicente de la Barquera ofrecen un auténtico espectáculo paisajístico tanto de montaña....</t>
  </si>
  <si>
    <t>Villa Sofia Apartments in the Oyambre Natural Park</t>
  </si>
  <si>
    <t>In a privileged location, the Villa Sofía Apartments in San Vicente de la Barquera offer an authentic landscape spectacle both in the mountains....</t>
  </si>
  <si>
    <r>
      <rPr>
        <rFont val="Arial, sans-serif"/>
        <color rgb="FF1155CC"/>
        <sz val="9.0"/>
        <u/>
      </rPr>
      <t>El Español</t>
    </r>
    <r>
      <rPr>
        <rFont val="Arial, sans-serif"/>
        <color rgb="FF1155CC"/>
        <sz val="15.0"/>
        <u/>
      </rPr>
      <t>Repsol se alía con Airbus, Aena, Air Nostrum, Iberia y Exolum para impulsar el primer 'hub' aeroportuario de hidrógeno</t>
    </r>
    <r>
      <rPr>
        <rFont val="Arial, sans-serif"/>
        <color rgb="FF1155CC"/>
        <sz val="11.0"/>
        <u/>
      </rPr>
      <t>Las compañías estudiarán el suministro de este vector, su infraestructura y los requisitos específicos de las operaciones en tierra en los aeropuertos.</t>
    </r>
    <r>
      <rPr>
        <rFont val="Arial, sans-serif"/>
        <color rgb="FF1155CC"/>
        <sz val="12.0"/>
        <u/>
      </rPr>
      <t>.</t>
    </r>
    <r>
      <rPr>
        <rFont val="Arial, sans-serif"/>
        <color rgb="FF1155CC"/>
        <sz val="11.0"/>
        <u/>
      </rPr>
      <t>9 jul 2024</t>
    </r>
  </si>
  <si>
    <t>Repsol se alía con Airbus, Aena, Air Nostrum, Iberia y Exolum para impulsar el primer 'hub' aeroportuario de hidrógeno</t>
  </si>
  <si>
    <t>Las compañías estudiarán el suministro de este vector, su infraestructura y los requisitos específicos de las operaciones en tierra en los aeropuertos.</t>
  </si>
  <si>
    <t>Repsol joins forces with Airbus, Aena, Air Nostrum, Iberia and Exolum to promote the first hydrogen airport hub</t>
  </si>
  <si>
    <t>The companies will study the supply of this vector, its infrastructure and the specific requirements of ground operations at airports.</t>
  </si>
  <si>
    <t>Positive as it showcases Repsol’s commitment to renewable energy.</t>
  </si>
  <si>
    <t>Positive for sustainable aviation leadership.</t>
  </si>
  <si>
    <t>Positivo para el liderazgo de la aviación sostenible.</t>
  </si>
  <si>
    <r>
      <rPr>
        <rFont val="Arial, sans-serif"/>
        <color rgb="FF1155CC"/>
        <sz val="9.0"/>
        <u/>
      </rPr>
      <t>El Debate</t>
    </r>
    <r>
      <rPr>
        <rFont val="Arial, sans-serif"/>
        <color rgb="FF1155CC"/>
        <sz val="15.0"/>
        <u/>
      </rPr>
      <t>Probamos el combustible renovable español que permitirá seguir usando coches gasolina y diésel</t>
    </r>
    <r>
      <rPr>
        <rFont val="Arial, sans-serif"/>
        <color rgb="FF1155CC"/>
        <sz val="11.0"/>
        <u/>
      </rPr>
      <t>Hace ya meses que Repsol comercializa en algunas de sus gasolineras los conocidos como combustibles renovables. Hablamos de una familia de combustibles...</t>
    </r>
    <r>
      <rPr>
        <rFont val="Arial, sans-serif"/>
        <color rgb="FF1155CC"/>
        <sz val="12.0"/>
        <u/>
      </rPr>
      <t>.</t>
    </r>
    <r>
      <rPr>
        <rFont val="Arial, sans-serif"/>
        <color rgb="FF1155CC"/>
        <sz val="11.0"/>
        <u/>
      </rPr>
      <t>9 jul 2024</t>
    </r>
  </si>
  <si>
    <t>Probamos el combustible renovable español que permitirá seguir usando coches gasolina y diésel</t>
  </si>
  <si>
    <t>Hace ya meses que Repsol comercializa en algunas de sus gasolineras los conocidos como combustibles renovables. Hablamos de una familia de combustibles....</t>
  </si>
  <si>
    <t>We test the Spanish renewable fuel that will allow us to continue using gasoline and diesel cars</t>
  </si>
  <si>
    <t>For months now, Repsol has been selling what are known as renewable fuels at some of its gas stations. We are talking about a family of fuels....</t>
  </si>
  <si>
    <t>Repsol renewable fuel, sustainability innovation</t>
  </si>
  <si>
    <t>Repsol combustible renovable, innovación sostenible</t>
  </si>
  <si>
    <t>Positive as it highlights Repsol's advancement in renewable fuel technology.</t>
  </si>
  <si>
    <t>Positive for Repsol’s innovation in biofuels.</t>
  </si>
  <si>
    <t>Positivo para la innovación de Repsol en biocombustibles.</t>
  </si>
  <si>
    <r>
      <rPr>
        <rFont val="Arial, sans-serif"/>
        <color rgb="FF1155CC"/>
        <sz val="9.0"/>
        <u/>
      </rPr>
      <t>Tododisca</t>
    </r>
    <r>
      <rPr>
        <rFont val="Arial, sans-serif"/>
        <color rgb="FF1155CC"/>
        <sz val="15.0"/>
        <u/>
      </rPr>
      <t>Gana dinero vendiendo aceite reciclado en las gasolineras Repsol</t>
    </r>
    <r>
      <rPr>
        <rFont val="Arial, sans-serif"/>
        <color rgb="FF1155CC"/>
        <sz val="11.0"/>
        <u/>
      </rPr>
      <t>No tires tu aceite usado de cocina porque puedes ganar dinero llevándolo a las gasolineras de Repsol para que produzcan combustibles renovables.</t>
    </r>
    <r>
      <rPr>
        <rFont val="Arial, sans-serif"/>
        <color rgb="FF1155CC"/>
        <sz val="12.0"/>
        <u/>
      </rPr>
      <t>.</t>
    </r>
    <r>
      <rPr>
        <rFont val="Arial, sans-serif"/>
        <color rgb="FF1155CC"/>
        <sz val="11.0"/>
        <u/>
      </rPr>
      <t>9 jul 2024</t>
    </r>
  </si>
  <si>
    <t>Gana dinero vendiendo aceite reciclado en las gasolineras Repsol</t>
  </si>
  <si>
    <t>No tires tu aceite usado de cocina porque puedes ganar dinero llevándolo a las gasolineras de Repsol para que produzcan combustibles renovables.</t>
  </si>
  <si>
    <t>Earn money selling recycled oil at Repsol gas stations</t>
  </si>
  <si>
    <t>Don't throw away your used cooking oil because you can earn money by taking it to Repsol gas stations so they can produce renewable fuels.</t>
  </si>
  <si>
    <t>Positive as it promotes an environmentally friendly and profitable initiative.</t>
  </si>
  <si>
    <t>aceite reciclado</t>
  </si>
  <si>
    <t>Positive for circular economy initiatives.</t>
  </si>
  <si>
    <t>Positivo para las iniciativas de economía circular.</t>
  </si>
  <si>
    <r>
      <rPr>
        <rFont val="Arial, sans-serif"/>
        <color rgb="FF1155CC"/>
        <sz val="9.0"/>
        <u/>
      </rPr>
      <t>20Minutos</t>
    </r>
    <r>
      <rPr>
        <rFont val="Arial, sans-serif"/>
        <color rgb="FF1155CC"/>
        <sz val="15.0"/>
        <u/>
      </rPr>
      <t>Fnac se alía con Waylet, la 'app' de Repsol, para facilitar los pagos en sus tiendas</t>
    </r>
    <r>
      <rPr>
        <rFont val="Arial, sans-serif"/>
        <color rgb="FF1155CC"/>
        <sz val="11.0"/>
        <u/>
      </rPr>
      <t>Fnac se ha aliado con Waylet, la aplicación gratuita de pago y fidelización de Repsol, para facilitar el sistema de pago en sus tiendas, según informa en un...</t>
    </r>
    <r>
      <rPr>
        <rFont val="Arial, sans-serif"/>
        <color rgb="FF1155CC"/>
        <sz val="12.0"/>
        <u/>
      </rPr>
      <t>.</t>
    </r>
    <r>
      <rPr>
        <rFont val="Arial, sans-serif"/>
        <color rgb="FF1155CC"/>
        <sz val="11.0"/>
        <u/>
      </rPr>
      <t>9 jul 2024</t>
    </r>
  </si>
  <si>
    <t>Fnac se alía con Waylet, la 'app' de Repsol, para facilitar los pagos en sus tiendas</t>
  </si>
  <si>
    <t>Fnac se ha aliado con Waylet, la aplicación gratuita de pago y fidelización de Repsol, para facilitar el sistema de pago en sus tiendas, según informa en un....</t>
  </si>
  <si>
    <t>Fnac partners with Waylet, Repsol's 'app', to facilitate payments in its stores</t>
  </si>
  <si>
    <t>Fnac has teamed up with Waylet, Repsol's free payment and loyalty application, to facilitate the payment system in its stores, as reported in a...</t>
  </si>
  <si>
    <t>Repsol digital payments, business expansion</t>
  </si>
  <si>
    <t>Repsol pagos digitales, expansión empresarial</t>
  </si>
  <si>
    <t>Positive as it indicates a beneficial business partnership with Repsol’s digital service.</t>
  </si>
  <si>
    <t>alianza, Waylet</t>
  </si>
  <si>
    <t>Mildly positive for digital expansion.</t>
  </si>
  <si>
    <t>Ligeramente positivo para la expansión digital.</t>
  </si>
  <si>
    <r>
      <rPr>
        <rFont val="Arial, sans-serif"/>
        <color rgb="FF1155CC"/>
        <sz val="9.0"/>
        <u/>
      </rPr>
      <t>Infobae</t>
    </r>
    <r>
      <rPr>
        <rFont val="Arial, sans-serif"/>
        <color rgb="FF1155CC"/>
        <sz val="15.0"/>
        <u/>
      </rPr>
      <t>Las mejores heladerías de Madrid para endulzar el verano en la ciudad</t>
    </r>
    <r>
      <rPr>
        <rFont val="Arial, sans-serif"/>
        <color rgb="FF1155CC"/>
        <sz val="11.0"/>
        <u/>
      </rPr>
      <t>La Guía Repsol ha incluido en su lista de Soletes veraniegos a cuatro heladerías de la capital, algunas de ellas recientes aperturas y otras locales con...</t>
    </r>
    <r>
      <rPr>
        <rFont val="Arial, sans-serif"/>
        <color rgb="FF1155CC"/>
        <sz val="12.0"/>
        <u/>
      </rPr>
      <t>.</t>
    </r>
    <r>
      <rPr>
        <rFont val="Arial, sans-serif"/>
        <color rgb="FF1155CC"/>
        <sz val="11.0"/>
        <u/>
      </rPr>
      <t>9 jul 2024</t>
    </r>
  </si>
  <si>
    <t>Las mejores heladerías de Madrid para endulzar el verano en la ciudad</t>
  </si>
  <si>
    <t>La Guía Repsol ha incluido en su lista de Soletes veraniegos a cuatro heladerías de la capital, algunas de ellas recientes aperturas y otras locales con....</t>
  </si>
  <si>
    <t>The best ice cream parlors in Madrid to sweeten the summer in the city</t>
  </si>
  <si>
    <t>The Repsol Guide has included four ice cream parlors in the capital in its list of summer Soletes, some of them recent openings and others local ones with...</t>
  </si>
  <si>
    <r>
      <rPr>
        <rFont val="Arial, sans-serif"/>
        <color rgb="FF1155CC"/>
        <sz val="9.0"/>
        <u/>
      </rPr>
      <t>Huelva 24</t>
    </r>
    <r>
      <rPr>
        <rFont val="Arial, sans-serif"/>
        <color rgb="FF1155CC"/>
        <sz val="15.0"/>
        <u/>
      </rPr>
      <t>El chiringuito de Huelva que aparece en la Guía Repsol y recomienda el chef Xanty Elías</t>
    </r>
    <r>
      <rPr>
        <rFont val="Arial, sans-serif"/>
        <color rgb="FF1155CC"/>
        <sz val="11.0"/>
        <u/>
      </rPr>
      <t>El restaurante, recomendando por el prestigioso chef onubense, se encuentra en un lugar privilegiado de la costa de Huelva.</t>
    </r>
    <r>
      <rPr>
        <rFont val="Arial, sans-serif"/>
        <color rgb="FF1155CC"/>
        <sz val="12.0"/>
        <u/>
      </rPr>
      <t>.</t>
    </r>
    <r>
      <rPr>
        <rFont val="Arial, sans-serif"/>
        <color rgb="FF1155CC"/>
        <sz val="11.0"/>
        <u/>
      </rPr>
      <t>9 jul 2024</t>
    </r>
  </si>
  <si>
    <t>El chiringuito de Huelva que aparece en la Guía Repsol y recomienda el chef Xanty Elías</t>
  </si>
  <si>
    <t>El restaurante, recomendando por el prestigioso chef onubense, se encuentra en un lugar privilegiado de la costa de Huelva.</t>
  </si>
  <si>
    <t>The Huelva beach bar that appears in the Repsol Guide and is recommended by chef Xanty Elías</t>
  </si>
  <si>
    <t>The restaurant, recommended by the prestigious Huelva chef, is located in a privileged location on the coast of Huelva.</t>
  </si>
  <si>
    <r>
      <rPr>
        <rFont val="Arial, sans-serif"/>
        <color rgb="FF1155CC"/>
        <sz val="9.0"/>
        <u/>
      </rPr>
      <t>El Economista</t>
    </r>
    <r>
      <rPr>
        <rFont val="Arial, sans-serif"/>
        <color rgb="FF1155CC"/>
        <sz val="15.0"/>
        <u/>
      </rPr>
      <t>El Gobierno riega con 800 millones a Repsol, EDP, Endesa e Iberdrola para desarrollar hidrógeno verde</t>
    </r>
    <r>
      <rPr>
        <rFont val="Arial, sans-serif"/>
        <color rgb="FF1155CC"/>
        <sz val="11.0"/>
        <u/>
      </rPr>
      <t>El Gobierno apoyará con 794 millones de euros siete proyectos de producción y uso intensivo de hidrógeno verde de Repsol, EDP, Endesa e ...</t>
    </r>
    <r>
      <rPr>
        <rFont val="Arial, sans-serif"/>
        <color rgb="FF1155CC"/>
        <sz val="12.0"/>
        <u/>
      </rPr>
      <t>.</t>
    </r>
    <r>
      <rPr>
        <rFont val="Arial, sans-serif"/>
        <color rgb="FF1155CC"/>
        <sz val="11.0"/>
        <u/>
      </rPr>
      <t>9 jul 2024</t>
    </r>
  </si>
  <si>
    <t>El Gobierno riega con 800 millones a Repsol, EDP, Endesa e Iberdrola para desarrollar hidrógeno verde</t>
  </si>
  <si>
    <t>El Gobierno apoyará con 794 millones de euros siete proyectos de producción y uso intensivo de hidrógeno verde de Repsol, EDP, Endesa e ....</t>
  </si>
  <si>
    <t>The Government showers Repsol, EDP, Endesa and Iberdrola with 800 million to develop green hydrogen</t>
  </si>
  <si>
    <t>The Government will support seven projects for the production and intensive use of green hydrogen from Repsol, EDP, Endesa and... with 794 million euros.</t>
  </si>
  <si>
    <t>Positive as it highlights significant financial support for Repsol’s green hydrogen projects.</t>
  </si>
  <si>
    <t>hidrógeno verde, ayudas</t>
  </si>
  <si>
    <t>Positive for green energy funding.</t>
  </si>
  <si>
    <t>Positivo para la financiación de la energía verde.</t>
  </si>
  <si>
    <r>
      <rPr>
        <rFont val="Arial, sans-serif"/>
        <color rgb="FF1155CC"/>
        <sz val="9.0"/>
        <u/>
      </rPr>
      <t>Cinco Días</t>
    </r>
    <r>
      <rPr>
        <rFont val="Arial, sans-serif"/>
        <color rgb="FF1155CC"/>
        <sz val="15.0"/>
        <u/>
      </rPr>
      <t>Airbus, Aena, Air Nostrum, Iberia, Exolum y Repsol se alían para facilitar la llegada del hidrógeno al sector aéreo</t>
    </r>
    <r>
      <rPr>
        <rFont val="Arial, sans-serif"/>
        <color rgb="FF1155CC"/>
        <sz val="11.0"/>
        <u/>
      </rPr>
      <t>Los socios estudiarán la creación de un 'hub' aeroportuario basado en esta fuente de energía sostenible en España.</t>
    </r>
    <r>
      <rPr>
        <rFont val="Arial, sans-serif"/>
        <color rgb="FF1155CC"/>
        <sz val="12.0"/>
        <u/>
      </rPr>
      <t>.</t>
    </r>
    <r>
      <rPr>
        <rFont val="Arial, sans-serif"/>
        <color rgb="FF1155CC"/>
        <sz val="11.0"/>
        <u/>
      </rPr>
      <t>9 jul 2024</t>
    </r>
  </si>
  <si>
    <t>Airbus, Aena, Air Nostrum, Iberia, Exolum y Repsol se alían para facilitar la llegada del hidrógeno al sector aéreo</t>
  </si>
  <si>
    <t>Los socios estudiarán la creación de un 'hub' aeroportuario basado en esta fuente de energía sostenible en España.</t>
  </si>
  <si>
    <t>Airbus, Aena, Air Nostrum, Iberia, Exolum and Repsol join forces to facilitate the arrival of hydrogen to the airline sector</t>
  </si>
  <si>
    <t>The partners will study the creation of an airport hub based on this sustainable energy source in Spain.</t>
  </si>
  <si>
    <r>
      <rPr>
        <rFont val="Arial, sans-serif"/>
        <color rgb="FF1155CC"/>
        <sz val="9.0"/>
        <u/>
      </rPr>
      <t>Guía Repsol</t>
    </r>
    <r>
      <rPr>
        <rFont val="Arial, sans-serif"/>
        <color rgb="FF1155CC"/>
        <sz val="15.0"/>
        <u/>
      </rPr>
      <t>Restaurante El Pañuelo en Madrid</t>
    </r>
    <r>
      <rPr>
        <rFont val="Arial, sans-serif"/>
        <color rgb="FF1155CC"/>
        <sz val="11.0"/>
        <u/>
      </rPr>
      <t>Descubre el restaurante El Pañuelo, un proyecto familiar de los que conquistan por su propuesta -para todos los públicos- y por la historia que hay detrás.</t>
    </r>
    <r>
      <rPr>
        <rFont val="Arial, sans-serif"/>
        <color rgb="FF1155CC"/>
        <sz val="12.0"/>
        <u/>
      </rPr>
      <t>.</t>
    </r>
    <r>
      <rPr>
        <rFont val="Arial, sans-serif"/>
        <color rgb="FF1155CC"/>
        <sz val="11.0"/>
        <u/>
      </rPr>
      <t>9 jul 2024</t>
    </r>
  </si>
  <si>
    <t>Descubre el restaurante El Pañuelo, un proyecto familiar de los que conquistan por su propuesta -para todos los públicos- y por la historia que hay detrás.</t>
  </si>
  <si>
    <t>Discover the El Pañuelo restaurant, a family project that conquers for its proposal - for all audiences - and for the history behind it.</t>
  </si>
  <si>
    <r>
      <rPr>
        <rFont val="Arial, sans-serif"/>
        <color rgb="FF1155CC"/>
        <sz val="9.0"/>
        <u/>
      </rPr>
      <t>El Economista</t>
    </r>
    <r>
      <rPr>
        <rFont val="Arial, sans-serif"/>
        <color rgb="FF1155CC"/>
        <sz val="15.0"/>
        <u/>
      </rPr>
      <t>IAG pelea a Repsol el título de ser la compañía más barata del Ibex</t>
    </r>
    <r>
      <rPr>
        <rFont val="Arial, sans-serif"/>
        <color rgb="FF1155CC"/>
        <sz val="11.0"/>
        <u/>
      </rPr>
      <t>El recorrido en bolsa de IAG ve el viento a favor, con una subida que supera el 17% en lo que va de año. Pero la estimación de las ganancias esperadas para...</t>
    </r>
    <r>
      <rPr>
        <rFont val="Arial, sans-serif"/>
        <color rgb="FF1155CC"/>
        <sz val="12.0"/>
        <u/>
      </rPr>
      <t>.</t>
    </r>
    <r>
      <rPr>
        <rFont val="Arial, sans-serif"/>
        <color rgb="FF1155CC"/>
        <sz val="11.0"/>
        <u/>
      </rPr>
      <t>9 jul 2024</t>
    </r>
  </si>
  <si>
    <t>IAG pelea a Repsol el título de ser la compañía más barata del Ibex</t>
  </si>
  <si>
    <t>El recorrido en bolsa de IAG ve el viento a favor, con una subida que supera el 17% en lo que va de año. Pero la estimación de las ganancias esperadas para....</t>
  </si>
  <si>
    <t>IAG fights Repsol for the title of being the cheapest company on the Ibex</t>
  </si>
  <si>
    <t>IAG's stock market performance sees the wind in its favor, with a rise that exceeds 17% so far this year. But the estimate of expected profits for...</t>
  </si>
  <si>
    <t>Repsol clean fuel, industry competition</t>
  </si>
  <si>
    <t>Repsol combustible limpio, competencia del sector</t>
  </si>
  <si>
    <t>Slightly negative as it frames Repsol as a struggling stock compared to competitors.</t>
  </si>
  <si>
    <t>Mildly negative for competitive positioning.</t>
  </si>
  <si>
    <t>Ligeramente negativo para el posicionamiento competitivo.</t>
  </si>
  <si>
    <r>
      <rPr>
        <rFont val="Arial, sans-serif"/>
        <color rgb="FF1155CC"/>
        <sz val="9.0"/>
        <u/>
      </rPr>
      <t>El Periódico de España</t>
    </r>
    <r>
      <rPr>
        <rFont val="Arial, sans-serif"/>
        <color rgb="FF1155CC"/>
        <sz val="15.0"/>
        <u/>
      </rPr>
      <t>Repsol desafía a Cepsa y acelera en hidrógeno verde con una alianza con Iberia, Aena y Airbus</t>
    </r>
    <r>
      <rPr>
        <rFont val="Arial, sans-serif"/>
        <color rgb="FF1155CC"/>
        <sz val="11.0"/>
        <u/>
      </rPr>
      <t>Una gran entente entre energéticas y gigantes del sector aéreo busca la creación del primer hub de aeroportuario de España para usar hidrógeno renovable en...</t>
    </r>
    <r>
      <rPr>
        <rFont val="Arial, sans-serif"/>
        <color rgb="FF1155CC"/>
        <sz val="12.0"/>
        <u/>
      </rPr>
      <t>.</t>
    </r>
    <r>
      <rPr>
        <rFont val="Arial, sans-serif"/>
        <color rgb="FF1155CC"/>
        <sz val="11.0"/>
        <u/>
      </rPr>
      <t>9 jul 2024</t>
    </r>
  </si>
  <si>
    <t>Repsol desafía a Cepsa y acelera en hidrógeno verde con una alianza con Iberia, Aena y Airbus</t>
  </si>
  <si>
    <t>Una gran entente entre energéticas y gigantes del sector aéreo busca la creación del primer hub aeroportuario de España para usar hidrógeno renovable en....</t>
  </si>
  <si>
    <t>Repsol challenges Cepsa and accelerates green hydrogen with an alliance with Iberia, Aena and Airbus</t>
  </si>
  <si>
    <t>A great agreement between energy companies and giants in the aviation sector seeks the creation of the first airport hub in Spain to use renewable hydrogen in...</t>
  </si>
  <si>
    <t>Positive as it highlights Repsol’s leadership in green energy initiatives.</t>
  </si>
  <si>
    <t>hidrógeno verde, alianza</t>
  </si>
  <si>
    <t>Positive for competitive edge in sustainability.</t>
  </si>
  <si>
    <t>Positivo para la ventaja competitiva en sostenibilidad.</t>
  </si>
  <si>
    <r>
      <rPr>
        <rFont val="Arial, sans-serif"/>
        <color rgb="FF1155CC"/>
        <sz val="9.0"/>
        <u/>
      </rPr>
      <t>El Español</t>
    </r>
    <r>
      <rPr>
        <rFont val="Arial, sans-serif"/>
        <color rgb="FF1155CC"/>
        <sz val="15.0"/>
        <u/>
      </rPr>
      <t>66 millones en el limbo y sin poder levantar un ladrillo: así queda la operación de las torres de Repsol en Málaga</t>
    </r>
    <r>
      <rPr>
        <rFont val="Arial, sans-serif"/>
        <color rgb="FF1155CC"/>
        <sz val="11.0"/>
        <u/>
      </rPr>
      <t>El Ayuntamiento desbloquea la venta a Urbania de sus aprovechamientos e ingresará el dinero, pero no podrá gastarlo hasta que concluya el contencioso con...</t>
    </r>
    <r>
      <rPr>
        <rFont val="Arial, sans-serif"/>
        <color rgb="FF1155CC"/>
        <sz val="12.0"/>
        <u/>
      </rPr>
      <t>.</t>
    </r>
    <r>
      <rPr>
        <rFont val="Arial, sans-serif"/>
        <color rgb="FF1155CC"/>
        <sz val="11.0"/>
        <u/>
      </rPr>
      <t>9 jul 2024</t>
    </r>
  </si>
  <si>
    <t>66 millones en el limbo y sin poder levantar un ladrillo: así queda la operación de las torres de Repsol en Málaga</t>
  </si>
  <si>
    <t>66 millones en el limbo y sin poder levantar un ladrillo: así queda la operación de las torres de Repsol en Málaga. El Ayuntamiento desbloquea la venta a Urbania de sus aprovechamientos e ingresará el dinero, pero no podrá gastarlo hasta que concluya el contencioso con....</t>
  </si>
  <si>
    <t>66 million in limbo and without being able to lift a brick: this is how the operation of the Repsol towers in Malaga remains</t>
  </si>
  <si>
    <t>66 million in limbo and without being able to lift a brick: this is how the operation of the Repsol towers in Malaga remains. The City Council unblocks the sale of its uses to Urbania and will deposit the money, but will not be able to spend it until the dispute with... is concluded.</t>
  </si>
  <si>
    <t>Neutral as it discusses an unresolved real estate transaction without strong sentiment.</t>
  </si>
  <si>
    <t>limbo, problemas</t>
  </si>
  <si>
    <t>Negative for stalled projects and reputational risk.</t>
  </si>
  <si>
    <t>Negativo por proyectos estancados y riesgo reputacional.</t>
  </si>
  <si>
    <r>
      <rPr>
        <rFont val="Arial, sans-serif"/>
        <color rgb="FF1155CC"/>
        <sz val="9.0"/>
        <u/>
      </rPr>
      <t>La Opinión de Málaga</t>
    </r>
    <r>
      <rPr>
        <rFont val="Arial, sans-serif"/>
        <color rgb="FF1155CC"/>
        <sz val="15.0"/>
        <u/>
      </rPr>
      <t>De la Torre incide en la importancia de que salga adelante el proyecto en los terrenos de Repsol</t>
    </r>
    <r>
      <rPr>
        <rFont val="Arial, sans-serif"/>
        <color rgb="FF1155CC"/>
        <sz val="11.0"/>
        <u/>
      </rPr>
      <t>El alcalde de Málaga, Francisco de la Torre, ha incidido este martes en la importancia para la ciudad de que el proyecto en los antiguos terrenos de Repsol...</t>
    </r>
    <r>
      <rPr>
        <rFont val="Arial, sans-serif"/>
        <color rgb="FF1155CC"/>
        <sz val="12.0"/>
        <u/>
      </rPr>
      <t>.</t>
    </r>
    <r>
      <rPr>
        <rFont val="Arial, sans-serif"/>
        <color rgb="FF1155CC"/>
        <sz val="11.0"/>
        <u/>
      </rPr>
      <t>9 jul 2024</t>
    </r>
  </si>
  <si>
    <t>De la Torre incide en la importancia de que salga adelante el proyecto en los terrenos de Repsol</t>
  </si>
  <si>
    <t>El alcalde de Málaga, Francisco de la Torre, ha incidido este martes en la importancia para la ciudad de que el proyecto en los antiguos terrenos de Repsol.</t>
  </si>
  <si>
    <t>De la Torre emphasizes the importance of the project going forward on Repsol's land</t>
  </si>
  <si>
    <t>The mayor of Malaga, Francisco de la Torre, stressed this Tuesday the importance for the city of the project on the former Repsol land.</t>
  </si>
  <si>
    <t>Repsol real estate, urban development</t>
  </si>
  <si>
    <t>Repsol inmobiliaria, desarrollo urbanístico</t>
  </si>
  <si>
    <t>Positive as it affirms the strategic significance of a Repsol-related project.</t>
  </si>
  <si>
    <t>proyecto</t>
  </si>
  <si>
    <t>Neutral; depends on project outcome.</t>
  </si>
  <si>
    <t>Neutral; depende del resultado del proyecto.</t>
  </si>
  <si>
    <r>
      <rPr>
        <rFont val="Arial, sans-serif"/>
        <color rgb="FF1155CC"/>
        <sz val="9.0"/>
        <u/>
      </rPr>
      <t>Guía Repsol</t>
    </r>
    <r>
      <rPr>
        <rFont val="Arial, sans-serif"/>
        <color rgb="FF1155CC"/>
        <sz val="15.0"/>
        <u/>
      </rPr>
      <t>Los helados de leche de cabra que saben a flores y a ilusión</t>
    </r>
    <r>
      <rPr>
        <rFont val="Arial, sans-serif"/>
        <color rgb="FF1155CC"/>
        <sz val="11.0"/>
        <u/>
      </rPr>
      <t>Paula y Mariluz no han cumplido 30 años, pero sí su sueño de poner en marcha 'Campo a Través', un negocio que les permita estar en contacto con la naturale.</t>
    </r>
    <r>
      <rPr>
        <rFont val="Arial, sans-serif"/>
        <color rgb="FF1155CC"/>
        <sz val="12.0"/>
        <u/>
      </rPr>
      <t>.</t>
    </r>
    <r>
      <rPr>
        <rFont val="Arial, sans-serif"/>
        <color rgb="FF1155CC"/>
        <sz val="11.0"/>
        <u/>
      </rPr>
      <t>9 jul 2024</t>
    </r>
  </si>
  <si>
    <t>Los helados de leche de cabra que saben a flores y a ilusión</t>
  </si>
  <si>
    <t>Los helados de leche de cabra que saben a flores y a ilusión. Paula y Mariluz no han cumplido 30 años, pero sí su sueño de poner en marcha 'Campo a Través', un negocio que les permita estar en contacto con la naturaleza.</t>
  </si>
  <si>
    <t>Goat milk ice creams that taste like flowers and illusion</t>
  </si>
  <si>
    <t>Goat milk ice creams that taste like flowers and illusion. Paula and Mariluz have not turned 30, but they have their dream of starting 'Campo a Través', a business that allows them to be in contact with nature.</t>
  </si>
  <si>
    <r>
      <rPr>
        <rFont val="Arial, sans-serif"/>
        <color rgb="FF1155CC"/>
        <sz val="9.0"/>
        <u/>
      </rPr>
      <t>Estrategias de Inversión</t>
    </r>
    <r>
      <rPr>
        <rFont val="Arial, sans-serif"/>
        <color rgb="FF1155CC"/>
        <sz val="15.0"/>
        <u/>
      </rPr>
      <t>El Ibex 35 se aleja de los 11.000 puntos ante las caídas lideradas por Repsol y Rovi</t>
    </r>
    <r>
      <rPr>
        <rFont val="Arial, sans-serif"/>
        <color rgb="FF1155CC"/>
        <sz val="11.0"/>
        <u/>
      </rPr>
      <t>El Ibex 35 cotiza este martes con caídas del 0,59% en los 10.956 puntos. Los valores que más pierden esta mañana son Repsol (-1,89%), mismo nivel que...</t>
    </r>
    <r>
      <rPr>
        <rFont val="Arial, sans-serif"/>
        <color rgb="FF1155CC"/>
        <sz val="12.0"/>
        <u/>
      </rPr>
      <t>.</t>
    </r>
    <r>
      <rPr>
        <rFont val="Arial, sans-serif"/>
        <color rgb="FF1155CC"/>
        <sz val="11.0"/>
        <u/>
      </rPr>
      <t>9 jul 2024</t>
    </r>
  </si>
  <si>
    <t>El Ibex 35 se aleja de los 11.000 puntos ante las caídas lideradas por Repsol y Rovi</t>
  </si>
  <si>
    <t>El Ibex 35 cotiza este martes con caídas del 0,59% en los 10.956 puntos. Los valores que más pierden esta mañana son Repsol (-1,89%), mismo nivel que....</t>
  </si>
  <si>
    <t>The Ibex 35 moves away from 11,000 points due to the falls led by Repsol and Rovi</t>
  </si>
  <si>
    <t>The Ibex 35 is trading this Tuesday with drops of 0.59% at 10,956 points. The stocks that lost the most this morning are Repsol (-1.89%), same level as....</t>
  </si>
  <si>
    <t>Slightly negative as it highlights Repsol’s stock decline.</t>
  </si>
  <si>
    <t>caídas, bolsa</t>
  </si>
  <si>
    <t>Negative for stock performance.</t>
  </si>
  <si>
    <t>Negativo para el rendimiento de las acciones.</t>
  </si>
  <si>
    <r>
      <rPr>
        <rFont val="Arial, sans-serif"/>
        <color rgb="FF1155CC"/>
        <sz val="9.0"/>
        <u/>
      </rPr>
      <t>Cinco Días</t>
    </r>
    <r>
      <rPr>
        <rFont val="Arial, sans-serif"/>
        <color rgb="FF1155CC"/>
        <sz val="15.0"/>
        <u/>
      </rPr>
      <t>Aena llama a eléctricas y financieras para blindarse frente a futuras subidas de la luz</t>
    </r>
    <r>
      <rPr>
        <rFont val="Arial, sans-serif"/>
        <color rgb="FF1155CC"/>
        <sz val="11.0"/>
        <u/>
      </rPr>
      <t>La empresa pública pone a competir a Iberdrola, Repsol, Acciona, Engie y Santander, entre otras, por un contrato 'PPA' a diez años que cubra el 19% de su...</t>
    </r>
    <r>
      <rPr>
        <rFont val="Arial, sans-serif"/>
        <color rgb="FF1155CC"/>
        <sz val="12.0"/>
        <u/>
      </rPr>
      <t>.</t>
    </r>
    <r>
      <rPr>
        <rFont val="Arial, sans-serif"/>
        <color rgb="FF1155CC"/>
        <sz val="11.0"/>
        <u/>
      </rPr>
      <t>9 jul 2024</t>
    </r>
  </si>
  <si>
    <t>Aena llama a eléctricas y financieras para blindarse frente a futuras subidas de la luz</t>
  </si>
  <si>
    <t>La empresa pública pone a competir a Iberdrola, Repsol, Acciona, Engie y Santander, entre otras, por un contrato 'PPA' a diez años que cubra el 19% de su....</t>
  </si>
  <si>
    <t>Aena calls on electricity and financial companies to protect themselves against future electricity increases</t>
  </si>
  <si>
    <t>The public company puts Iberdrola, Repsol, Acciona, Engie and Santander, among others, to compete for a ten-year 'PPA' contract that covers 19% of its...</t>
  </si>
  <si>
    <t>Repsol sustainability, environmental responsibility</t>
  </si>
  <si>
    <t>Sostenibilidad Repsol, responsabilidad ambiental</t>
  </si>
  <si>
    <t>Slightly negative as it suggests uncertainty for Repsol regarding energy price volatility.</t>
  </si>
  <si>
    <r>
      <rPr>
        <rFont val="Arial, sans-serif"/>
        <color rgb="FF1155CC"/>
        <sz val="9.0"/>
        <u/>
      </rPr>
      <t>IG</t>
    </r>
    <r>
      <rPr>
        <rFont val="Arial, sans-serif"/>
        <color rgb="FF1155CC"/>
        <sz val="15.0"/>
        <u/>
      </rPr>
      <t>Ibex 35 hoy: Pharma Mar y Grifols lideran ganancias, mientras Indra y Repsol sufren caídas</t>
    </r>
    <r>
      <rPr>
        <rFont val="Arial, sans-serif"/>
        <color rgb="FF1155CC"/>
        <sz val="11.0"/>
        <u/>
      </rPr>
      <t>Inversores cautelosos ante el estancamiento político francés y la esperada intervención de Jerome Powell.</t>
    </r>
    <r>
      <rPr>
        <rFont val="Arial, sans-serif"/>
        <color rgb="FF1155CC"/>
        <sz val="12.0"/>
        <u/>
      </rPr>
      <t>.</t>
    </r>
    <r>
      <rPr>
        <rFont val="Arial, sans-serif"/>
        <color rgb="FF1155CC"/>
        <sz val="11.0"/>
        <u/>
      </rPr>
      <t>9 jul 2024</t>
    </r>
  </si>
  <si>
    <t>Inversores</t>
  </si>
  <si>
    <t>Pharma Mar y Grifols lideran ganancias, mientras Indra y Repsol sufren caídas</t>
  </si>
  <si>
    <t>Inversores cautelosos ante el estancamiento político francés y la esperada intervención de Jerome Powell.</t>
  </si>
  <si>
    <t>Pharma Mar and Grifols lead gains, while Indra and Repsol suffer falls</t>
  </si>
  <si>
    <t>Investors cautious in the face of French political stagnation and Jerome Powell's expected intervention.</t>
  </si>
  <si>
    <t>Slightly negative as it mentions Repsol’s market losses.</t>
  </si>
  <si>
    <r>
      <rPr>
        <rFont val="Arial, sans-serif"/>
        <color rgb="FF1155CC"/>
        <sz val="9.0"/>
        <u/>
      </rPr>
      <t>El Correo</t>
    </r>
    <r>
      <rPr>
        <rFont val="Arial, sans-serif"/>
        <color rgb="FF1155CC"/>
        <sz val="15.0"/>
        <u/>
      </rPr>
      <t>El Gobierno da 160 millones a Petronor para su proyecto de hidrógeno verde en Muskiz</t>
    </r>
    <r>
      <rPr>
        <rFont val="Arial, sans-serif"/>
        <color rgb="FF1155CC"/>
        <sz val="11.0"/>
        <u/>
      </rPr>
      <t>Moncloa aprueba un plan de inversiones de 800 millones que atiende a la iniciativa vasca que Repsol dejó «temporalmente paralizada» tras el impuesto a las...</t>
    </r>
    <r>
      <rPr>
        <rFont val="Arial, sans-serif"/>
        <color rgb="FF1155CC"/>
        <sz val="12.0"/>
        <u/>
      </rPr>
      <t>.</t>
    </r>
    <r>
      <rPr>
        <rFont val="Arial, sans-serif"/>
        <color rgb="FF1155CC"/>
        <sz val="11.0"/>
        <u/>
      </rPr>
      <t>9 jul 2024</t>
    </r>
  </si>
  <si>
    <t>El Gobierno da 160 millones a Petronor para su proyecto de hidrógeno verde en Muskiz</t>
  </si>
  <si>
    <t>Moncloa aprueba un plan de inversiones de 800 millones que atiende a la iniciativa vasca que Repsol dejó «temporalmente paralizada» tras el impuesto a las....</t>
  </si>
  <si>
    <t>The Government gives 160 million to Petronor for its green hydrogen project in Muskiz</t>
  </si>
  <si>
    <t>Moncloa approves an investment plan of 800 million that addresses the Basque initiative that Repsol left "temporarily paralyzed" after the tax on...</t>
  </si>
  <si>
    <t>Positive as it signals government funding for hydrogen projects related to Repsol.</t>
  </si>
  <si>
    <t>Indirect; no direct Repsol link.</t>
  </si>
  <si>
    <t>Indirecto; sin vínculo directo con Repsol.</t>
  </si>
  <si>
    <r>
      <rPr>
        <rFont val="Arial, sans-serif"/>
        <color rgb="FF1155CC"/>
        <sz val="9.0"/>
        <u/>
      </rPr>
      <t>Forbes España</t>
    </r>
    <r>
      <rPr>
        <rFont val="Arial, sans-serif"/>
        <color rgb="FF1155CC"/>
        <sz val="15.0"/>
        <u/>
      </rPr>
      <t>Seis grandes empresas se unen para crear el primer ‘hub’ de hidrógeno de aviación en España: cuáles son y qué horizonte plantean</t>
    </r>
    <r>
      <rPr>
        <rFont val="Arial, sans-serif"/>
        <color rgb="FF1155CC"/>
        <sz val="11.0"/>
        <u/>
      </rPr>
      <t>Seis grandes compañías han anunciado su asociación con el objetivo de crear el primer hub aeroportuario de hidrógeno ubicado en España. En concreto se.</t>
    </r>
    <r>
      <rPr>
        <rFont val="Arial, sans-serif"/>
        <color rgb="FF1155CC"/>
        <sz val="12.0"/>
        <u/>
      </rPr>
      <t>.</t>
    </r>
    <r>
      <rPr>
        <rFont val="Arial, sans-serif"/>
        <color rgb="FF1155CC"/>
        <sz val="11.0"/>
        <u/>
      </rPr>
      <t>9 jul 2024</t>
    </r>
  </si>
  <si>
    <t>Seis grandes empresas se unen para crear el primer ‘hub’ de hidrógeno de aviación en España: cuáles son y qué horizonte plantean</t>
  </si>
  <si>
    <t>Seis grandes compañías han anunciado su asociación con el objetivo de crear el primer hub aeroportuario de hidrógeno ubicado en España. En concreto se..</t>
  </si>
  <si>
    <t>Six large companies come together to create the first aviation hydrogen hub in Spain: what are they and what horizon do they propose?</t>
  </si>
  <si>
    <t>Six large companies have announced their association with the aim of creating the first hydrogen airport hub located in Spain. Specifically,...</t>
  </si>
  <si>
    <t>Repsol energy collaboration, business expansion</t>
  </si>
  <si>
    <t>Positive as it underscores collaborative efforts for green energy infrastructure.</t>
  </si>
  <si>
    <r>
      <rPr>
        <rFont val="Arial, sans-serif"/>
        <color rgb="FF1155CC"/>
        <sz val="9.0"/>
        <u/>
      </rPr>
      <t>El Economista</t>
    </r>
    <r>
      <rPr>
        <rFont val="Arial, sans-serif"/>
        <color rgb="FF1155CC"/>
        <sz val="15.0"/>
        <u/>
      </rPr>
      <t>III Foro Movilidad: La revolución sostenible de la movilidad y la logística.</t>
    </r>
    <r>
      <rPr>
        <rFont val="Arial, sans-serif"/>
        <color rgb="FF1155CC"/>
        <sz val="11.0"/>
        <u/>
      </rPr>
      <t>elEconomista.es el III Foro Movilidad: La revolución sostenible de la movilidad y la logística. Con el patrocinio de Avanza, Cepsa, Driveco, Globalvia,...</t>
    </r>
    <r>
      <rPr>
        <rFont val="Arial, sans-serif"/>
        <color rgb="FF1155CC"/>
        <sz val="12.0"/>
        <u/>
      </rPr>
      <t>.</t>
    </r>
    <r>
      <rPr>
        <rFont val="Arial, sans-serif"/>
        <color rgb="FF1155CC"/>
        <sz val="11.0"/>
        <u/>
      </rPr>
      <t>9 jul 2024</t>
    </r>
  </si>
  <si>
    <t>elEconomista.es</t>
  </si>
  <si>
    <t>III Foro Movilidad: La revolución sostenible de la movilidad y la logística.</t>
  </si>
  <si>
    <t>La revolución sostenible de la movilidad y la logística. Con el patrocinio de Avanza, Cepsa, Driveco, Globalvia,....</t>
  </si>
  <si>
    <t>III Mobility Forum: The sustainable revolution in mobility and logistics.</t>
  </si>
  <si>
    <t>The sustainable revolution in mobility and logistics. With the sponsorship of Avanza, Cepsa, Driveco, Globalvia,....</t>
  </si>
  <si>
    <r>
      <rPr>
        <rFont val="Arial, sans-serif"/>
        <color rgb="FF1155CC"/>
        <sz val="9.0"/>
        <u/>
      </rPr>
      <t>Actualidad Ambiental</t>
    </r>
    <r>
      <rPr>
        <rFont val="Arial, sans-serif"/>
        <color rgb="FF1155CC"/>
        <sz val="15.0"/>
        <u/>
      </rPr>
      <t>Pescadores denuncian "falta de voluntad política" para remediar daños del derrame de Repsol</t>
    </r>
    <r>
      <rPr>
        <rFont val="Arial, sans-serif"/>
        <color rgb="FF1155CC"/>
        <sz val="11.0"/>
        <u/>
      </rPr>
      <t>Pescadores artesanales del norte de Lima se movilizan en el Centro. Foto: Selene Alfaro / SPDA Pescadores y comerciantes exigen remediaciones tras el...</t>
    </r>
    <r>
      <rPr>
        <rFont val="Arial, sans-serif"/>
        <color rgb="FF1155CC"/>
        <sz val="12.0"/>
        <u/>
      </rPr>
      <t>.</t>
    </r>
    <r>
      <rPr>
        <rFont val="Arial, sans-serif"/>
        <color rgb="FF1155CC"/>
        <sz val="11.0"/>
        <u/>
      </rPr>
      <t>9 jul 2024</t>
    </r>
  </si>
  <si>
    <t>Pescadores denuncian "falta de voluntad política" para remediar daños del derrame de Repsol</t>
  </si>
  <si>
    <t>Pescadores artesanales del norte de Lima se movilizan en el Centro. Foto: Selene Alfaro / SPDA Pescadores y comerciantes exigen remediaciones tras el....</t>
  </si>
  <si>
    <t>Fishermen denounce "lack of political will" to remedy damage from the Repsol spill</t>
  </si>
  <si>
    <t>Artisanal fishermen from the north of Lima mobilize in the Center. Photo: Selene Alfaro / SPDA Fishermen and merchants demand remediation after the....</t>
  </si>
  <si>
    <t>Highly negative as it criticizes inaction regarding the Repsol oil spill.</t>
  </si>
  <si>
    <t>derrame, denuncian</t>
  </si>
  <si>
    <t>Strong negative for environmental and reputational damage.</t>
  </si>
  <si>
    <t>Fuerte negativo por daños medioambientales y reputacionales.</t>
  </si>
  <si>
    <r>
      <rPr>
        <rFont val="Arial, sans-serif"/>
        <color rgb="FF1155CC"/>
        <sz val="9.0"/>
        <u/>
      </rPr>
      <t>Diario del Istmo</t>
    </r>
    <r>
      <rPr>
        <rFont val="Arial, sans-serif"/>
        <color rgb="FF1155CC"/>
        <sz val="15.0"/>
        <u/>
      </rPr>
      <t>Este es el nuevo pozo petrolero encontrado y por qué Pemex no participa en su explotación</t>
    </r>
    <r>
      <rPr>
        <color rgb="FF1155CC"/>
        <sz val="11.0"/>
        <u/>
      </rPr>
      <t>La empresa petrolera Ente Nazionale Idrocarburi (ENI), de origen italiano, dio a conocer el descubrimiento de un nuevo pozo petrolífero con un potencial de...</t>
    </r>
    <r>
      <rPr>
        <color rgb="FF1155CC"/>
        <u/>
      </rPr>
      <t>.</t>
    </r>
    <r>
      <rPr>
        <color rgb="FF1155CC"/>
        <sz val="11.0"/>
        <u/>
      </rPr>
      <t>9 jul 2024</t>
    </r>
  </si>
  <si>
    <t>Diario del Istmo</t>
  </si>
  <si>
    <t>Este es el nuevo pozo petrolero encontrado y por qué Pemex no participa en su explotación</t>
  </si>
  <si>
    <t>La empresa petrolera Ente Nazionale Idrocarburi (ENI), de origen italiano, dio a conocer el descubrimiento de un nuevo pozo petrolífero con un potencial de....</t>
  </si>
  <si>
    <t>This is the new oil well found and why Pemex does not participate in its exploitation</t>
  </si>
  <si>
    <t>The Ente Nazionale Idrocarburi (ENI) oil company, of Italian origin, announced the discovery of a new oil well with a potential of...</t>
  </si>
  <si>
    <t>Positive as it highlights another major oil discovery.</t>
  </si>
  <si>
    <r>
      <rPr>
        <rFont val="Arial, sans-serif"/>
        <color rgb="FF1155CC"/>
        <sz val="9.0"/>
        <u/>
      </rPr>
      <t>CapitalMadrid</t>
    </r>
    <r>
      <rPr>
        <rFont val="Arial, sans-serif"/>
        <color rgb="FF1155CC"/>
        <sz val="15.0"/>
        <u/>
      </rPr>
      <t>Repsol capta para Bilbao y Cartagena el 40% de las nuevas ayudas al hidrógeno</t>
    </r>
    <r>
      <rPr>
        <rFont val="Arial, sans-serif"/>
        <color rgb="FF1155CC"/>
        <sz val="11.0"/>
        <u/>
      </rPr>
      <t>Los proyectos de Repsol en Bilbao y Cartagena para la producción de hidrógeno verde han captado el 39,67% de las ayudas europeas adjudicadas por el Gobierno...</t>
    </r>
    <r>
      <rPr>
        <rFont val="Arial, sans-serif"/>
        <color rgb="FF1155CC"/>
        <sz val="12.0"/>
        <u/>
      </rPr>
      <t>.</t>
    </r>
    <r>
      <rPr>
        <rFont val="Arial, sans-serif"/>
        <color rgb="FF1155CC"/>
        <sz val="11.0"/>
        <u/>
      </rPr>
      <t>10 jul 2024</t>
    </r>
  </si>
  <si>
    <t>Repsol capta para Bilbao y Cartagena el 40% de las nuevas ayudas al hidrógeno</t>
  </si>
  <si>
    <t>Los proyectos de Repsol en Bilbao y Cartagena para la producción de hidrógeno verde han captado el 39,67% de las ayudas europeas adjudicadas por el Gobierno.</t>
  </si>
  <si>
    <t>Repsol captures 40% of the new hydrogen aid for Bilbao and Cartagena</t>
  </si>
  <si>
    <t>Repsol's projects in Bilbao and Cartagena for the production of green hydrogen have captured 39.67% of the European aid awarded by the Government.</t>
  </si>
  <si>
    <t>Positive as it emphasizes substantial funding for Repsol’s green hydrogen projects.</t>
  </si>
  <si>
    <t>hidrógeno, ayudas</t>
  </si>
  <si>
    <r>
      <rPr>
        <rFont val="Arial, sans-serif"/>
        <color rgb="FF1155CC"/>
        <sz val="9.0"/>
        <u/>
      </rPr>
      <t>20Minutos</t>
    </r>
    <r>
      <rPr>
        <rFont val="Arial, sans-serif"/>
        <color rgb="FF1155CC"/>
        <sz val="15.0"/>
        <u/>
      </rPr>
      <t>Repsol vuelve a sortear un millón de euros entre los clientes que reposten con Waylet en sus gasolineras</t>
    </r>
    <r>
      <rPr>
        <rFont val="Arial, sans-serif"/>
        <color rgb="FF1155CC"/>
        <sz val="11.0"/>
        <u/>
      </rPr>
      <t>Repsol vuelve a lanzar este verano el sorteo de 1 millón de euros entre los clientes particulares que reposten combustible en sus más de 3.300 estaciones de...</t>
    </r>
    <r>
      <rPr>
        <rFont val="Arial, sans-serif"/>
        <color rgb="FF1155CC"/>
        <sz val="12.0"/>
        <u/>
      </rPr>
      <t>.</t>
    </r>
    <r>
      <rPr>
        <rFont val="Arial, sans-serif"/>
        <color rgb="FF1155CC"/>
        <sz val="11.0"/>
        <u/>
      </rPr>
      <t>10 jul 2024</t>
    </r>
  </si>
  <si>
    <t>Repsol vuelve a sortear un millón de euros entre los clientes que reposten con Waylet en sus gasolineras</t>
  </si>
  <si>
    <t>Repsol vuelve a lanzar este verano el sorteo de 1 millón de euros entre los clientes particulares que reposten combustible en sus más de 3.300 estaciones de....</t>
  </si>
  <si>
    <t>Repsol is once again raffling off one million euros among customers who refuel with Waylet at its gas stations</t>
  </si>
  <si>
    <t>This summer, Repsol is once again launching the raffle for 1 million euros among individual customers who refuel at its more than 3,300 filling stations....</t>
  </si>
  <si>
    <t>Positive as it promotes customer engagement through a financial incentive.</t>
  </si>
  <si>
    <t>sorteo, Waylet</t>
  </si>
  <si>
    <r>
      <rPr>
        <rFont val="Arial, sans-serif"/>
        <color rgb="FF1155CC"/>
        <sz val="9.0"/>
        <u/>
      </rPr>
      <t>Expansión</t>
    </r>
    <r>
      <rPr>
        <rFont val="Arial, sans-serif"/>
        <color rgb="FF1155CC"/>
        <sz val="15.0"/>
        <u/>
      </rPr>
      <t>Repsol enfila la paz con el Gobierno tras recibir ayudas multimillonarias</t>
    </r>
    <r>
      <rPr>
        <rFont val="Arial, sans-serif"/>
        <color rgb="FF1155CC"/>
        <sz val="11.0"/>
        <u/>
      </rPr>
      <t>Repsol, la mayor petrolera en España, ha sido la energética que más dinero ha recibido en la primera gran lluvia de subvenciones públicas destinadas a...</t>
    </r>
    <r>
      <rPr>
        <rFont val="Arial, sans-serif"/>
        <color rgb="FF1155CC"/>
        <sz val="12.0"/>
        <u/>
      </rPr>
      <t>.</t>
    </r>
    <r>
      <rPr>
        <rFont val="Arial, sans-serif"/>
        <color rgb="FF1155CC"/>
        <sz val="11.0"/>
        <u/>
      </rPr>
      <t>10 jul 2024</t>
    </r>
  </si>
  <si>
    <t>Repsol enfila la paz con el Gobierno tras recibir ayudas multimillonarias</t>
  </si>
  <si>
    <t>Repsol, la mayor petrolera en España, ha sido la energética que más dinero ha recibido en la primera gran lluvia de subvenciones públicas destinadas a....</t>
  </si>
  <si>
    <t>Repsol heads towards peace with the Government after receiving multimillion-dollar aid</t>
  </si>
  <si>
    <t>Repsol, the largest oil company in Spain, has been the energy company that has received the most money in the first great shower of public subsidies destined for...</t>
  </si>
  <si>
    <t>Repsol oil spill, legal resolution</t>
  </si>
  <si>
    <t>Derrame de petróleo de Repsol, resolución judicial</t>
  </si>
  <si>
    <t>Slightly positive as it suggests improved relations with the government.</t>
  </si>
  <si>
    <t>ayudas, paz</t>
  </si>
  <si>
    <t>Positive for improved relations and funding.</t>
  </si>
  <si>
    <t>Positivo para mejorar las relaciones y la financiación.</t>
  </si>
  <si>
    <r>
      <rPr>
        <rFont val="Arial, sans-serif"/>
        <color rgb="FF1155CC"/>
        <sz val="9.0"/>
        <u/>
      </rPr>
      <t>La Opinión de Murcia</t>
    </r>
    <r>
      <rPr>
        <rFont val="Arial, sans-serif"/>
        <color rgb="FF1155CC"/>
        <sz val="15.0"/>
        <u/>
      </rPr>
      <t>Inyección millonaria para la planta de hidrógeno verde de Repsol en Cartagena</t>
    </r>
    <r>
      <rPr>
        <rFont val="Arial, sans-serif"/>
        <color rgb="FF1155CC"/>
        <sz val="11.0"/>
        <u/>
      </rPr>
      <t>El Gobierno central destina 155 millones de euros para la planta de Hidrógeno Verde de Repsol en Cartagena, una inversión que se enmarca dentro de las...</t>
    </r>
    <r>
      <rPr>
        <rFont val="Arial, sans-serif"/>
        <color rgb="FF1155CC"/>
        <sz val="12.0"/>
        <u/>
      </rPr>
      <t>.</t>
    </r>
    <r>
      <rPr>
        <rFont val="Arial, sans-serif"/>
        <color rgb="FF1155CC"/>
        <sz val="11.0"/>
        <u/>
      </rPr>
      <t>10 jul 2024</t>
    </r>
  </si>
  <si>
    <t>Inyección millonaria para la planta de hidrógeno verde de Repsol en Cartagena</t>
  </si>
  <si>
    <t>El Gobierno central destina 155 millones de euros para la planta de Hidrógeno Verde de Repsol en Cartagena, una inversión que se enmarca dentro de las....</t>
  </si>
  <si>
    <t>Million-dollar injection for Repsol's green hydrogen plant in Cartagena</t>
  </si>
  <si>
    <t>The central government allocates 155 million euros for the Repsol Green Hydrogen plant in Cartagena, an investment that is part of the...</t>
  </si>
  <si>
    <r>
      <rPr>
        <rFont val="Arial, sans-serif"/>
        <color rgb="FF1155CC"/>
        <sz val="9.0"/>
        <u/>
      </rPr>
      <t>Bolsamania</t>
    </r>
    <r>
      <rPr>
        <rFont val="Arial, sans-serif"/>
        <color rgb="FF1155CC"/>
        <sz val="15.0"/>
        <u/>
      </rPr>
      <t>Consultorio de análisis técnico: Repsol, Santander, PharmaMar, Redeia, Enagás, Amper, Dow Jones...</t>
    </r>
    <r>
      <rPr>
        <rFont val="Arial, sans-serif"/>
        <color rgb="FF1155CC"/>
        <sz val="11.0"/>
        <u/>
      </rPr>
      <t>A continuación, damos respuesta a los valores por los que más han preguntado este martes a César Nuez, analista técnico de Bolsamanía, que pone bajo la lupa...</t>
    </r>
    <r>
      <rPr>
        <rFont val="Arial, sans-serif"/>
        <color rgb="FF1155CC"/>
        <sz val="12.0"/>
        <u/>
      </rPr>
      <t>.</t>
    </r>
    <r>
      <rPr>
        <rFont val="Arial, sans-serif"/>
        <color rgb="FF1155CC"/>
        <sz val="11.0"/>
        <u/>
      </rPr>
      <t>10 jul 2024</t>
    </r>
  </si>
  <si>
    <t>Consultorio de análisis técnico: Repsol, Santander, PharmaMar, Redeia, Enagás, Amper, Dow Jones...</t>
  </si>
  <si>
    <t>A continuación, damos respuesta a los valores por los que más han preguntado este martes a César Nuez, analista técnico de Bolsamanía, que pone bajo la lupa....</t>
  </si>
  <si>
    <t>Technical analysis consultancy: Repsol, Santander, PharmaMar, Redeia, Enagás, Amper, Dow Jones...</t>
  </si>
  <si>
    <t>Next, we answer the values ​​that César Nuez, technical analyst at Bolsamanía, was asked about most this Tuesday, which he puts under the magnifying glass....</t>
  </si>
  <si>
    <t>Slightly positive as it discusses stock market analysis, implying potential opportunities.</t>
  </si>
  <si>
    <t>Neutral analysis.</t>
  </si>
  <si>
    <t>Análisis neutro.</t>
  </si>
  <si>
    <r>
      <rPr>
        <rFont val="Arial, sans-serif"/>
        <color rgb="FF1155CC"/>
        <sz val="9.0"/>
        <u/>
      </rPr>
      <t>La Opinión de Málaga</t>
    </r>
    <r>
      <rPr>
        <rFont val="Arial, sans-serif"/>
        <color rgb="FF1155CC"/>
        <sz val="15.0"/>
        <u/>
      </rPr>
      <t>Urbania tendrá 10 días para acreditar que cumple los requisitos de Repsol</t>
    </r>
    <r>
      <rPr>
        <rFont val="Arial, sans-serif"/>
        <color rgb="FF1155CC"/>
        <sz val="11.0"/>
        <u/>
      </rPr>
      <t>La subasta de los terrenos de Repsol ha salido esta semana de la situación de parálisis en la que se encontraba desde hace más de un año debido a las...</t>
    </r>
    <r>
      <rPr>
        <rFont val="Arial, sans-serif"/>
        <color rgb="FF1155CC"/>
        <sz val="12.0"/>
        <u/>
      </rPr>
      <t>.</t>
    </r>
    <r>
      <rPr>
        <rFont val="Arial, sans-serif"/>
        <color rgb="FF1155CC"/>
        <sz val="11.0"/>
        <u/>
      </rPr>
      <t>10 jul 2024</t>
    </r>
  </si>
  <si>
    <t>Urbania tendrá 10 días para acreditar que cumple los requisitos de Repsol</t>
  </si>
  <si>
    <t>La subasta de los terrenos de Repsol ha salido esta semana de la situación de parálisis en la que se encontraba desde hace más de un año debido a las....</t>
  </si>
  <si>
    <t>Urbania will have 10 days to prove that it meets Repsol's requirements</t>
  </si>
  <si>
    <t>The auction of the Repsol land has emerged this week from the situation of paralysis in which it has been in for more than a year due to the...</t>
  </si>
  <si>
    <t>Slightly positive as it suggests progress in resolving a stalled business transaction.</t>
  </si>
  <si>
    <t>Neutral; procedural.</t>
  </si>
  <si>
    <t>Neutral; procesal.</t>
  </si>
  <si>
    <r>
      <rPr>
        <rFont val="Arial, sans-serif"/>
        <color rgb="FF1155CC"/>
        <sz val="9.0"/>
        <u/>
      </rPr>
      <t>Guía Repsol</t>
    </r>
    <r>
      <rPr>
        <rFont val="Arial, sans-serif"/>
        <color rgb="FF1155CC"/>
        <sz val="15.0"/>
        <u/>
      </rPr>
      <t>Seis calas mallorquinas para un baño sin agobios</t>
    </r>
    <r>
      <rPr>
        <rFont val="Arial, sans-serif"/>
        <color rgb="FF1155CC"/>
        <sz val="11.0"/>
        <u/>
      </rPr>
      <t>La isla balear está llena de pequeñas calas de cantos rodados. Su difícil acceso y la ausencia de arena, chiringuitos, sombrillas, hamacas y socorristas, g.</t>
    </r>
    <r>
      <rPr>
        <rFont val="Arial, sans-serif"/>
        <color rgb="FF1155CC"/>
        <sz val="12.0"/>
        <u/>
      </rPr>
      <t>.</t>
    </r>
    <r>
      <rPr>
        <rFont val="Arial, sans-serif"/>
        <color rgb="FF1155CC"/>
        <sz val="11.0"/>
        <u/>
      </rPr>
      <t>10 jul 2024</t>
    </r>
  </si>
  <si>
    <t>Seis calas mallorquinas para un baño sin agobios</t>
  </si>
  <si>
    <t>La isla balear está llena de pequeñas calas de cantos rodados. Su difícil acceso y la ausencia de arena, chiringuitos, sombrillas, hamacas y socorristas, g..</t>
  </si>
  <si>
    <t>Six Majorcan coves for a stress-free swim</t>
  </si>
  <si>
    <t>The Balearic island is full of small coves of pebbles. Its difficult access and the absence of sand, beach bars, umbrellas, hammocks and lifeguards, g..</t>
  </si>
  <si>
    <r>
      <rPr>
        <rFont val="Arial, sans-serif"/>
        <color rgb="FF1155CC"/>
        <sz val="9.0"/>
        <u/>
      </rPr>
      <t>Faro de Vigo</t>
    </r>
    <r>
      <rPr>
        <rFont val="Arial, sans-serif"/>
        <color rgb="FF1155CC"/>
        <sz val="15.0"/>
        <u/>
      </rPr>
      <t>¿Sabes qué es el Mentoring? Dos expertas te lo explican</t>
    </r>
    <r>
      <rPr>
        <rFont val="Arial, sans-serif"/>
        <color rgb="FF1155CC"/>
        <sz val="11.0"/>
        <u/>
      </rPr>
      <t>Los programas de mentoring permiten un intercambio de conocimiento en las organizaciones que consigue desarrollar la mejor versión de mentores y mentees.</t>
    </r>
    <r>
      <rPr>
        <rFont val="Arial, sans-serif"/>
        <color rgb="FF1155CC"/>
        <sz val="12.0"/>
        <u/>
      </rPr>
      <t>.</t>
    </r>
    <r>
      <rPr>
        <rFont val="Arial, sans-serif"/>
        <color rgb="FF1155CC"/>
        <sz val="11.0"/>
        <u/>
      </rPr>
      <t>11 jul 2024</t>
    </r>
  </si>
  <si>
    <t>¿Sabes qué es el Mentoring? Dos expertas te lo explican</t>
  </si>
  <si>
    <t>Los programas de mentoring permiten un intercambio de conocimiento en las organizaciones que consigue desarrollar la mejor versión de mentores y mentees.</t>
  </si>
  <si>
    <t>Do you know what Mentoring is? Two experts explain it to you</t>
  </si>
  <si>
    <t>Mentoring programs allow an exchange of knowledge in organizations that develop the best version of mentors and mentees.</t>
  </si>
  <si>
    <r>
      <rPr>
        <rFont val="Arial, sans-serif"/>
        <color rgb="FF1155CC"/>
        <sz val="9.0"/>
        <u/>
      </rPr>
      <t>Huelva Información</t>
    </r>
    <r>
      <rPr>
        <rFont val="Arial, sans-serif"/>
        <color rgb="FF1155CC"/>
        <sz val="15.0"/>
        <u/>
      </rPr>
      <t>La venta de carretera y comida casera que la Guía Repsol recomienda en Huelva para este 2024</t>
    </r>
    <r>
      <rPr>
        <rFont val="Arial, sans-serif"/>
        <color rgb="FF1155CC"/>
        <sz val="11.0"/>
        <u/>
      </rPr>
      <t>Si te gusta el cuchareo y la comida hecha como en casa, esta venta de carretera de Huelva que ha conseguido un 'Solete' de la Guía Repsol, será tu lugar de...</t>
    </r>
    <r>
      <rPr>
        <rFont val="Arial, sans-serif"/>
        <color rgb="FF1155CC"/>
        <sz val="12.0"/>
        <u/>
      </rPr>
      <t>.</t>
    </r>
    <r>
      <rPr>
        <rFont val="Arial, sans-serif"/>
        <color rgb="FF1155CC"/>
        <sz val="11.0"/>
        <u/>
      </rPr>
      <t>10 jul 2024</t>
    </r>
  </si>
  <si>
    <t>La venta de carretera y comida casera que la Guía Repsol recomienda en Huelva para este 2024</t>
  </si>
  <si>
    <t>Si te gusta el cuchareo y la comida hecha como en casa, esta venta de carretera de Huelva que ha conseguido un 'Solete' de la Guía Repsol, será tu lugar de....</t>
  </si>
  <si>
    <t>The roadside and homemade food sales that the Repsol Guide recommends in Huelva for 2024</t>
  </si>
  <si>
    <t>If you like spooning and food made at home, this roadside sale in Huelva, which has received a 'Solete' from the Repsol Guide, will be your place to go....</t>
  </si>
  <si>
    <r>
      <rPr>
        <rFont val="Arial, sans-serif"/>
        <color rgb="FF1155CC"/>
        <sz val="9.0"/>
        <u/>
      </rPr>
      <t>20Minutos</t>
    </r>
    <r>
      <rPr>
        <rFont val="Arial, sans-serif"/>
        <color rgb="FF1155CC"/>
        <sz val="15.0"/>
        <u/>
      </rPr>
      <t>El margen de refino de Repsol se hunde un 44% entre el primer y el segundo trimestre</t>
    </r>
    <r>
      <rPr>
        <rFont val="Arial, sans-serif"/>
        <color rgb="FF1155CC"/>
        <sz val="11.0"/>
        <u/>
      </rPr>
      <t>La diferencia entre lo que cuesta producirlo y lo que obtiene con su venta ya refinado ha caído un 44% en el segundo trimestre, que se suma al retroceso del...</t>
    </r>
    <r>
      <rPr>
        <rFont val="Arial, sans-serif"/>
        <color rgb="FF1155CC"/>
        <sz val="12.0"/>
        <u/>
      </rPr>
      <t>.</t>
    </r>
    <r>
      <rPr>
        <rFont val="Arial, sans-serif"/>
        <color rgb="FF1155CC"/>
        <sz val="11.0"/>
        <u/>
      </rPr>
      <t>10 jul 2024</t>
    </r>
  </si>
  <si>
    <t>El margen de refino de Repsol se hunde un 44% entre el primer y el segundo trimestre</t>
  </si>
  <si>
    <t>La diferencia entre lo que cuesta producirlo y lo que obtiene con su venta ya refinado ha caído un 44% en el segundo trimestre, que se suma al retroceso del....</t>
  </si>
  <si>
    <t>Repsol's refining margin sinks 44% between the first and second quarters</t>
  </si>
  <si>
    <t>The difference between what it costs to produce it and what it obtains from its sale already refined has fallen by 44% in the second quarter, which adds to the decline of...</t>
  </si>
  <si>
    <t>Repsol refining margin, financial performance</t>
  </si>
  <si>
    <t>Margen de refino de Repsol, desempeño financiero</t>
  </si>
  <si>
    <t>Negative as it reports a significant drop in Repsol’s refining margins.</t>
  </si>
  <si>
    <t>hunde, margen</t>
  </si>
  <si>
    <t>Negative for financial performance.</t>
  </si>
  <si>
    <t>Negativo para el desempeño financiero.</t>
  </si>
  <si>
    <r>
      <rPr>
        <rFont val="Arial, sans-serif"/>
        <color rgb="FF1155CC"/>
        <sz val="9.0"/>
        <u/>
      </rPr>
      <t>Bolsamania</t>
    </r>
    <r>
      <rPr>
        <rFont val="Arial, sans-serif"/>
        <color rgb="FF1155CC"/>
        <sz val="15.0"/>
        <u/>
      </rPr>
      <t>Repsol reduce un 1,2% su producción en el segundo trimestre y el margen de refino cae un 1,6%</t>
    </r>
    <r>
      <rPr>
        <color rgb="FF1155CC"/>
        <sz val="11.0"/>
        <u/>
      </rPr>
      <t>Repsol ha reducido su producción un 1,2% en el segundo trimestre del año en comparación con el mismo periodo del ejercicio anterior, lo que supone 589.000...</t>
    </r>
    <r>
      <rPr>
        <color rgb="FF1155CC"/>
        <u/>
      </rPr>
      <t>.</t>
    </r>
    <r>
      <rPr>
        <color rgb="FF1155CC"/>
        <sz val="11.0"/>
        <u/>
      </rPr>
      <t>10 jul 2024</t>
    </r>
  </si>
  <si>
    <t>Repsol reduce un 1,2% su producción en el segundo trimestre y el margen de refino cae un 1,6%</t>
  </si>
  <si>
    <t>Repsol ha reducido su producción un 1,2% en el segundo trimestre del año en comparación con el mismo periodo del ejercicio anterior, lo que supone 589.000....</t>
  </si>
  <si>
    <t>Repsol reduces its production by 1.2% in the second quarter and the refining margin falls by 1.6%</t>
  </si>
  <si>
    <t>Repsol has reduced its production by 1.2% in the second quarter of the year compared to the same period of the previous year, which represents 589,000...</t>
  </si>
  <si>
    <t>Repsol production, business performance</t>
  </si>
  <si>
    <t>Producción Repsol, rendimiento empresarial</t>
  </si>
  <si>
    <t>Slightly negative as it indicates lower production and profitability.</t>
  </si>
  <si>
    <t>reduce, cae</t>
  </si>
  <si>
    <t>Negative for operational performance.</t>
  </si>
  <si>
    <t>Negativo para el desempeño operativo.</t>
  </si>
  <si>
    <r>
      <rPr>
        <rFont val="Arial, sans-serif"/>
        <color rgb="FF1155CC"/>
        <sz val="9.0"/>
        <u/>
      </rPr>
      <t>www.fundacionrepsol.com</t>
    </r>
    <r>
      <rPr>
        <rFont val="Arial, sans-serif"/>
        <color rgb="FF1155CC"/>
        <sz val="15.0"/>
        <u/>
      </rPr>
      <t>¡Ya conocemos los proyectos seleccionados de la Convocatoria Liderando el Cambio!</t>
    </r>
    <r>
      <rPr>
        <rFont val="Arial, sans-serif"/>
        <color rgb="FF1155CC"/>
        <sz val="11.0"/>
        <u/>
      </rPr>
      <t>"Liderando el Cambio" es una iniciativa que busca impulsar una transición energética justa e inclusiva mediante proyectos de voluntariado.</t>
    </r>
    <r>
      <rPr>
        <rFont val="Arial, sans-serif"/>
        <color rgb="FF1155CC"/>
        <sz val="12.0"/>
        <u/>
      </rPr>
      <t>.</t>
    </r>
    <r>
      <rPr>
        <rFont val="Arial, sans-serif"/>
        <color rgb="FF1155CC"/>
        <sz val="11.0"/>
        <u/>
      </rPr>
      <t>11 jul 2024</t>
    </r>
  </si>
  <si>
    <t>¡Ya conocemos los proyectos seleccionados de la Convocatoria Liderando el Cambio!</t>
  </si>
  <si>
    <t>"Liderando el Cambio" es una iniciativa que busca impulsar una transición energética justa e inclusiva mediante proyectos de voluntariado.</t>
  </si>
  <si>
    <t>We already know the selected projects of the Leading Change Call!</t>
  </si>
  <si>
    <t>"Leading Change" is an initiative that seeks to promote a fair and inclusive energy transition through volunteer projects.</t>
  </si>
  <si>
    <r>
      <rPr>
        <rFont val="Arial, sans-serif"/>
        <color rgb="FF1155CC"/>
        <sz val="9.0"/>
        <u/>
      </rPr>
      <t>El Periódico de la Energía</t>
    </r>
    <r>
      <rPr>
        <rFont val="Arial, sans-serif"/>
        <color rgb="FF1155CC"/>
        <sz val="15.0"/>
        <u/>
      </rPr>
      <t>Repsol adelanta a 2025 el objetivo de suministrar en 1.500 estaciones combustible 100% renovable</t>
    </r>
    <r>
      <rPr>
        <rFont val="Arial, sans-serif"/>
        <color rgb="FF1155CC"/>
        <sz val="11.0"/>
        <u/>
      </rPr>
      <t>El CEO de Repsol ha adelantado que la energética quiere tener en 2025 operativas 1.500 estaciones de servicio en España que ofrezcan combustible 100%...</t>
    </r>
    <r>
      <rPr>
        <rFont val="Arial, sans-serif"/>
        <color rgb="FF1155CC"/>
        <sz val="12.0"/>
        <u/>
      </rPr>
      <t>.</t>
    </r>
    <r>
      <rPr>
        <rFont val="Arial, sans-serif"/>
        <color rgb="FF1155CC"/>
        <sz val="11.0"/>
        <u/>
      </rPr>
      <t>11 jul 2024</t>
    </r>
  </si>
  <si>
    <t>Repsol adelanta a 2025 el objetivo de suministrar en 1.500 estaciones combustible 100% renovable</t>
  </si>
  <si>
    <t>El CEO de Repsol ha adelantado que la energética quiere tener en 2025 operativas 1.500 estaciones de servicio en España que ofrezcan combustible 100%....</t>
  </si>
  <si>
    <t>Repsol advances to 2025 the objective of supplying 1,500 stations with 100% renewable fuel</t>
  </si>
  <si>
    <t>The CEO of Repsol has announced that the energy company wants to have 1,500 service stations operational in Spain that offer 100% fuel by 2025....</t>
  </si>
  <si>
    <t>Repsol biofuels, sustainability goals</t>
  </si>
  <si>
    <t>Biocombustibles Repsol, objetivos de sostenibilidad</t>
  </si>
  <si>
    <t>Positive as it reinforces Repsol’s commitment to renewable energy.</t>
  </si>
  <si>
    <t>Strong positive for sustainability goals.</t>
  </si>
  <si>
    <t>Fuerte positivo para los objetivos de sostenibilidad.</t>
  </si>
  <si>
    <r>
      <rPr>
        <rFont val="Arial, sans-serif"/>
        <color rgb="FF1155CC"/>
        <sz val="9.0"/>
        <u/>
      </rPr>
      <t>InfoRETAIL</t>
    </r>
    <r>
      <rPr>
        <rFont val="Arial, sans-serif"/>
        <color rgb="FF1155CC"/>
        <sz val="15.0"/>
        <u/>
      </rPr>
      <t>Fnac incorpora el sistema de pago Waylet de Repsol</t>
    </r>
    <r>
      <rPr>
        <rFont val="Arial, sans-serif"/>
        <color rgb="FF1155CC"/>
        <sz val="11.0"/>
        <u/>
      </rPr>
      <t>infoRETAIL.- Fnac amplía sus opciones de pago con la incorporación del sistema Waylet, la aplicación de pago y fidelización de Repsol que ya cuenta con más...</t>
    </r>
    <r>
      <rPr>
        <rFont val="Arial, sans-serif"/>
        <color rgb="FF1155CC"/>
        <sz val="12.0"/>
        <u/>
      </rPr>
      <t>.</t>
    </r>
    <r>
      <rPr>
        <rFont val="Arial, sans-serif"/>
        <color rgb="FF1155CC"/>
        <sz val="11.0"/>
        <u/>
      </rPr>
      <t>11 jul 2024</t>
    </r>
  </si>
  <si>
    <t>Fnac</t>
  </si>
  <si>
    <t>Fnac incorpora el sistema de pago Waylet de Repsol</t>
  </si>
  <si>
    <t>Fnac amplía sus opciones de pago con la incorporación del sistema Waylet, la aplicación de pago y fidelización de Repsol que ya cuenta con más....</t>
  </si>
  <si>
    <t>Fnac incorporates Repsol's Waylet payment system</t>
  </si>
  <si>
    <t>Fnac expands its payment options with the incorporation of the Waylet system, Repsol's payment and loyalty application that already has more...</t>
  </si>
  <si>
    <t>Positive as it showcases a successful partnership in digital payments.</t>
  </si>
  <si>
    <t>Waylet</t>
  </si>
  <si>
    <r>
      <rPr>
        <rFont val="Arial, sans-serif"/>
        <color rgb="FF1155CC"/>
        <sz val="9.0"/>
        <u/>
      </rPr>
      <t>El Economista</t>
    </r>
    <r>
      <rPr>
        <rFont val="Arial, sans-serif"/>
        <color rgb="FF1155CC"/>
        <sz val="15.0"/>
        <u/>
      </rPr>
      <t>Repsol, Mercadona o Toyota se alían para pedir incentivos y regulación en los combustibles renovables</t>
    </r>
    <r>
      <rPr>
        <rFont val="Arial, sans-serif"/>
        <color rgb="FF1155CC"/>
        <sz val="11.0"/>
        <u/>
      </rPr>
      <t>La cadena de los combustibles renovables -esto es, desde los productores de las materias primas hasta los distribuidores, el retail- han ...</t>
    </r>
    <r>
      <rPr>
        <rFont val="Arial, sans-serif"/>
        <color rgb="FF1155CC"/>
        <sz val="12.0"/>
        <u/>
      </rPr>
      <t>.</t>
    </r>
    <r>
      <rPr>
        <rFont val="Arial, sans-serif"/>
        <color rgb="FF1155CC"/>
        <sz val="11.0"/>
        <u/>
      </rPr>
      <t>11 jul 2024</t>
    </r>
  </si>
  <si>
    <t>Repsol, Mercadona o Toyota se alían para pedir incentivos y regulación en los combustibles renovables</t>
  </si>
  <si>
    <t>La cadena de los combustibles renovables -esto es, desde los productores de las materias primas hasta los distribuidores, el retail- han ....</t>
  </si>
  <si>
    <t>Repsol, Mercadona and Toyota join forces to request incentives and regulation of renewable fuels</t>
  </si>
  <si>
    <t>The renewable fuel chain - that is, from raw material producers to distributors and retailers - has...</t>
  </si>
  <si>
    <t>Repsol sustainable fuel, corporate collaboration</t>
  </si>
  <si>
    <t>Repsol combustible sostenible, colaboración corporativa</t>
  </si>
  <si>
    <t>Positive as it highlights collaboration for sustainability initiatives.</t>
  </si>
  <si>
    <t>Positive for advocacy in green energy.</t>
  </si>
  <si>
    <t>Positivo para la promoción de la energía verde.</t>
  </si>
  <si>
    <r>
      <rPr>
        <rFont val="Arial, sans-serif"/>
        <color rgb="FF1155CC"/>
        <sz val="9.0"/>
        <u/>
      </rPr>
      <t>El Español</t>
    </r>
    <r>
      <rPr>
        <rFont val="Arial, sans-serif"/>
        <color rgb="FF1155CC"/>
        <sz val="15.0"/>
        <u/>
      </rPr>
      <t>Repsol se adelanta a su estrategia y alcanzará la venta de combustible verde en 1.500 gasolineras para 2025</t>
    </r>
    <r>
      <rPr>
        <rFont val="Arial, sans-serif"/>
        <color rgb="FF1155CC"/>
        <sz val="11.0"/>
        <u/>
      </rPr>
      <t>La compañía se adelanta a su objetivo anterior, que marcaba un total de 1.900 puntos de venta en 2027. 11 julio, 2024 14:10 guardar. Repsol · Gasolineras...</t>
    </r>
    <r>
      <rPr>
        <rFont val="Arial, sans-serif"/>
        <color rgb="FF1155CC"/>
        <sz val="12.0"/>
        <u/>
      </rPr>
      <t>.</t>
    </r>
    <r>
      <rPr>
        <rFont val="Arial, sans-serif"/>
        <color rgb="FF1155CC"/>
        <sz val="11.0"/>
        <u/>
      </rPr>
      <t>11 jul 2024</t>
    </r>
  </si>
  <si>
    <t>Repsol se adelanta a su estrategia y alcanzará la venta de combustible verde en 1.500 gasolineras para 2025</t>
  </si>
  <si>
    <t>La compañía se adelanta a su objetivo anterior, que marcaba un total de 1.900 puntos de venta en 2027.</t>
  </si>
  <si>
    <t>Repsol is ahead of its strategy and will reach the sale of green fuel in 1,500 gas stations by 2025</t>
  </si>
  <si>
    <t>The company is ahead of its previous goal, which set a total of 1,900 points of sale in 2027.</t>
  </si>
  <si>
    <t>Repsol decarbonization, sustainability strategy</t>
  </si>
  <si>
    <t>Descarbonización de Repsol, estrategia de sostenibilidad</t>
  </si>
  <si>
    <t>Positive as it indicates Repsol exceeding its environmental targets ahead of schedule.</t>
  </si>
  <si>
    <t>combustible verde</t>
  </si>
  <si>
    <t>Strong positive for sustainability leadership.</t>
  </si>
  <si>
    <t>Fuerte positivo para el liderazgo en sostenibilidad.</t>
  </si>
  <si>
    <r>
      <rPr>
        <rFont val="Arial, sans-serif"/>
        <color rgb="FF1155CC"/>
        <sz val="9.0"/>
        <u/>
      </rPr>
      <t>Cinco Días</t>
    </r>
    <r>
      <rPr>
        <rFont val="Arial, sans-serif"/>
        <color rgb="FF1155CC"/>
        <sz val="15.0"/>
        <u/>
      </rPr>
      <t>Repsol, castigada en Bolsa por el descenso de los márgenes de refino</t>
    </r>
    <r>
      <rPr>
        <rFont val="Arial, sans-serif"/>
        <color rgb="FF1155CC"/>
        <sz val="11.0"/>
        <u/>
      </rPr>
      <t>Las ventas se han cebado con Repsol en una jornada de subidas generalizadas. Las acciones de la petrolera se han dejado un 1,9% al cierre -han llegado a...</t>
    </r>
    <r>
      <rPr>
        <rFont val="Arial, sans-serif"/>
        <color rgb="FF1155CC"/>
        <sz val="12.0"/>
        <u/>
      </rPr>
      <t>.</t>
    </r>
    <r>
      <rPr>
        <rFont val="Arial, sans-serif"/>
        <color rgb="FF1155CC"/>
        <sz val="11.0"/>
        <u/>
      </rPr>
      <t>11 jul 2024</t>
    </r>
  </si>
  <si>
    <t>Repsol, castigada en Bolsa por el descenso de los márgenes de refino</t>
  </si>
  <si>
    <t>Las ventas se han cebado con Repsol en una jornada de subidas generalizadas. Las acciones de la petrolera se han dejado un 1,9% al cierre -han llegado a....</t>
  </si>
  <si>
    <t>Repsol, punished on the stock market due to the decline in refining margins</t>
  </si>
  <si>
    <t>Sales have been driven by Repsol in a day of general increases. The oil company's shares fell 1.9% at the close - they reached....</t>
  </si>
  <si>
    <t>Negative as it points to market losses linked to financial performance.</t>
  </si>
  <si>
    <t>castigada, márgenes</t>
  </si>
  <si>
    <r>
      <rPr>
        <rFont val="Arial, sans-serif"/>
        <color rgb="FF1155CC"/>
        <sz val="9.0"/>
        <u/>
      </rPr>
      <t>Expansión</t>
    </r>
    <r>
      <rPr>
        <rFont val="Arial, sans-serif"/>
        <color rgb="FF1155CC"/>
        <sz val="15.0"/>
        <u/>
      </rPr>
      <t>Repsol modera su caída tras rozar su mayor descenso del año en el Ibex</t>
    </r>
    <r>
      <rPr>
        <rFont val="Arial, sans-serif"/>
        <color rgb="FF1155CC"/>
        <sz val="11.0"/>
        <u/>
      </rPr>
      <t>El pasado martes la cotización de Repsol acusó las presiones bajistas procedentes de BP. Hoy han sido las propias referencias de la empresa española las que...</t>
    </r>
    <r>
      <rPr>
        <rFont val="Arial, sans-serif"/>
        <color rgb="FF1155CC"/>
        <sz val="12.0"/>
        <u/>
      </rPr>
      <t>.</t>
    </r>
    <r>
      <rPr>
        <rFont val="Arial, sans-serif"/>
        <color rgb="FF1155CC"/>
        <sz val="11.0"/>
        <u/>
      </rPr>
      <t>11 jul 2024</t>
    </r>
  </si>
  <si>
    <t>Repsol modera su caída tras rozar su mayor descenso del año en el Ibex</t>
  </si>
  <si>
    <t>El pasado martes la cotización de Repsol acusó las presiones bajistas procedentes de BP. Hoy han sido las propias referencias de la empresa española las que....</t>
  </si>
  <si>
    <t>Repsol moderates its fall after touching its biggest decline of the year on the Ibex</t>
  </si>
  <si>
    <t>Last Tuesday, Repsol's price suffered from downward pressure from BP. Today it was the Spanish company's own references that...</t>
  </si>
  <si>
    <t>Slightly negative as it notes a recovery but still emphasizes stock decline.</t>
  </si>
  <si>
    <t>caída, bolsa</t>
  </si>
  <si>
    <r>
      <rPr>
        <rFont val="Arial, sans-serif"/>
        <color rgb="FF1155CC"/>
        <sz val="9.0"/>
        <u/>
      </rPr>
      <t>OkDiario</t>
    </r>
    <r>
      <rPr>
        <rFont val="Arial, sans-serif"/>
        <color rgb="FF1155CC"/>
        <sz val="15.0"/>
        <u/>
      </rPr>
      <t>Imaz (Repsol) carga contra la normativa medioambiental: «No podrán prohibir el motor de combustión»</t>
    </r>
    <r>
      <rPr>
        <rFont val="Arial, sans-serif"/>
        <color rgb="FF1155CC"/>
        <sz val="11.0"/>
        <u/>
      </rPr>
      <t>El CEO de Repsol, Josu Jon Imaz, carga contra las normativas medioambientales y ha asegurado que no se puede prohibir el motor de combustión.</t>
    </r>
    <r>
      <rPr>
        <rFont val="Arial, sans-serif"/>
        <color rgb="FF1155CC"/>
        <sz val="12.0"/>
        <u/>
      </rPr>
      <t>.</t>
    </r>
    <r>
      <rPr>
        <rFont val="Arial, sans-serif"/>
        <color rgb="FF1155CC"/>
        <sz val="11.0"/>
        <u/>
      </rPr>
      <t>11 jul 2024</t>
    </r>
  </si>
  <si>
    <t>Imaz (Repsol) carga contra la normativa medioambiental: «No podrán prohibir el motor de combustión»</t>
  </si>
  <si>
    <t>El CEO de Repsol, Josu Jon Imaz, carga contra las normativas medioambientales y ha asegurado que no se puede prohibir el motor de combustión.</t>
  </si>
  <si>
    <t>Imaz (Repsol) charges against environmental regulations: "They cannot prohibit the combustion engine"</t>
  </si>
  <si>
    <t>The CEO of Repsol, Josu Jon Imaz, charges against environmental regulations and has assured that the combustion engine cannot be prohibited.</t>
  </si>
  <si>
    <t>Repsol regulation, business strategy</t>
  </si>
  <si>
    <t>Reglamento Repsol, estrategia empresarial</t>
  </si>
  <si>
    <t>Slightly negative as it presents Repsol in opposition to environmental regulations.</t>
  </si>
  <si>
    <t>normativa, prohibir</t>
  </si>
  <si>
    <t>Negative for controversial stance on regulations.</t>
  </si>
  <si>
    <t>Negativo por postura controvertida sobre las regulaciones.</t>
  </si>
  <si>
    <r>
      <rPr>
        <rFont val="Arial, sans-serif"/>
        <color rgb="FF1155CC"/>
        <sz val="9.0"/>
        <u/>
      </rPr>
      <t>Guía Repsol</t>
    </r>
    <r>
      <rPr>
        <rFont val="Arial, sans-serif"/>
        <color rgb="FF1155CC"/>
        <sz val="15.0"/>
        <u/>
      </rPr>
      <t>Apartamentos Casablanca, un oasis en Vejer de la Frontera (Cádiz)</t>
    </r>
    <r>
      <rPr>
        <rFont val="Arial, sans-serif"/>
        <color rgb="FF1155CC"/>
        <sz val="11.0"/>
        <u/>
      </rPr>
      <t>Descubre en el corazón de Vejer de la Frontera, los apartamentos Casablanca, un patio de vecinos transformado en alojamiento boutique en el 8 de la calle...</t>
    </r>
    <r>
      <rPr>
        <rFont val="Arial, sans-serif"/>
        <color rgb="FF1155CC"/>
        <sz val="12.0"/>
        <u/>
      </rPr>
      <t>.</t>
    </r>
    <r>
      <rPr>
        <rFont val="Arial, sans-serif"/>
        <color rgb="FF1155CC"/>
        <sz val="11.0"/>
        <u/>
      </rPr>
      <t>11 jul 2024</t>
    </r>
  </si>
  <si>
    <t>Apartamentos Casablanca, un oasis en Vejer de la Frontera (Cádiz)</t>
  </si>
  <si>
    <t>Descubre en el corazón de Vejer de la Frontera, los apartamentos Casablanca, un patio de vecinos transformado en alojamiento boutique en el 8 de la calle....</t>
  </si>
  <si>
    <t>Casablanca Apartments, an oasis in Vejer de la Frontera (Cádiz)</t>
  </si>
  <si>
    <t>Discover in the heart of Vejer de la Frontera, the Casablanca apartments, a neighborhood patio transformed into boutique accommodation on 8th street....</t>
  </si>
  <si>
    <r>
      <rPr>
        <rFont val="Arial, sans-serif"/>
        <color rgb="FF1155CC"/>
        <sz val="9.0"/>
        <u/>
      </rPr>
      <t>El Día de Córdoba</t>
    </r>
    <r>
      <rPr>
        <rFont val="Arial, sans-serif"/>
        <color rgb="FF1155CC"/>
        <sz val="15.0"/>
        <u/>
      </rPr>
      <t>El asador de Córdoba que más gusta a la Guía Repsol</t>
    </r>
    <r>
      <rPr>
        <rFont val="Arial, sans-serif"/>
        <color rgb="FF1155CC"/>
        <sz val="11.0"/>
        <u/>
      </rPr>
      <t>Allí tuvo sus primeros contactos con la cocina el chef más laureado de la gastronomía local. Está ubicado en el barrio de La Fuensanta y sus pollos asados,...</t>
    </r>
    <r>
      <rPr>
        <rFont val="Arial, sans-serif"/>
        <color rgb="FF1155CC"/>
        <sz val="12.0"/>
        <u/>
      </rPr>
      <t>.</t>
    </r>
    <r>
      <rPr>
        <rFont val="Arial, sans-serif"/>
        <color rgb="FF1155CC"/>
        <sz val="11.0"/>
        <u/>
      </rPr>
      <t>11 jul 2024</t>
    </r>
  </si>
  <si>
    <t>El asador de Córdoba que más gusta a la Guía Repsol</t>
  </si>
  <si>
    <t>Allí tuvo sus primeros contactos con la cocina el chef más laureado de la gastronomía local. Está ubicado en el barrio de La Fuensanta y sus pollos asados,....</t>
  </si>
  <si>
    <t>The steakhouse in Córdoba that the Repsol Guide likes the most</t>
  </si>
  <si>
    <t>There, the most successful chef in local gastronomy had his first contacts with cooking. It is located in the neighborhood of La Fuensanta and its roast chickens,....</t>
  </si>
  <si>
    <r>
      <rPr>
        <rFont val="Arial, sans-serif"/>
        <color rgb="FF1155CC"/>
        <sz val="9.0"/>
        <u/>
      </rPr>
      <t>IG</t>
    </r>
    <r>
      <rPr>
        <rFont val="Arial, sans-serif"/>
        <color rgb="FF1155CC"/>
        <sz val="15.0"/>
        <u/>
      </rPr>
      <t>Ibex 35 hoy: sube un 0,18% mientras Rovi lidera las ganancias y Repsol cae más del 3%</t>
    </r>
    <r>
      <rPr>
        <rFont val="Arial, sans-serif"/>
        <color rgb="FF1155CC"/>
        <sz val="11.0"/>
        <u/>
      </rPr>
      <t>Los mercados europeos suben ligeramente mientras el Ibex 35 avanza un 0,18%, destacando Rovi y Ferrovial.</t>
    </r>
    <r>
      <rPr>
        <rFont val="Arial, sans-serif"/>
        <color rgb="FF1155CC"/>
        <sz val="12.0"/>
        <u/>
      </rPr>
      <t>.</t>
    </r>
    <r>
      <rPr>
        <rFont val="Arial, sans-serif"/>
        <color rgb="FF1155CC"/>
        <sz val="11.0"/>
        <u/>
      </rPr>
      <t>11 jul 2024</t>
    </r>
  </si>
  <si>
    <t>IGIbex 35</t>
  </si>
  <si>
    <t>IBIbex 35 hoy: sube un 0,18% mientras Rovi lidera las ganancias y Repsol cae más del 3%</t>
  </si>
  <si>
    <t>Los mercados europeos suben ligeramente mientras el Ibex 35 avanza un 0,18%, destacando Rovi y Ferrovial.</t>
  </si>
  <si>
    <t>IBIbex 35 today: rises 0.18% while Rovi leads the gains and Repsol falls more than 3%</t>
  </si>
  <si>
    <t>European markets rise slightly while the Ibex 35 advances 0.18%, with Rovi and Ferrovial standing out.</t>
  </si>
  <si>
    <t>Neutral as it presents market updates without deeper sentiment implications.</t>
  </si>
  <si>
    <t>cae, bolsa</t>
  </si>
  <si>
    <r>
      <rPr>
        <rFont val="Arial, sans-serif"/>
        <color rgb="FF1155CC"/>
        <sz val="9.0"/>
        <u/>
      </rPr>
      <t>Deia</t>
    </r>
    <r>
      <rPr>
        <rFont val="Arial, sans-serif"/>
        <color rgb="FF1155CC"/>
        <sz val="15.0"/>
        <u/>
      </rPr>
      <t>La emisión del CO2 del Bilbao BBK Live se reduce en 140 toneladas</t>
    </r>
    <r>
      <rPr>
        <rFont val="Arial, sans-serif"/>
        <color rgb="FF1155CC"/>
        <sz val="11.0"/>
        <u/>
      </rPr>
      <t>Repsol, empresa encargada de su gestión, apunta que esta medida se podría extender a todo el recinto del festival.</t>
    </r>
    <r>
      <rPr>
        <rFont val="Arial, sans-serif"/>
        <color rgb="FF1155CC"/>
        <sz val="12.0"/>
        <u/>
      </rPr>
      <t>.</t>
    </r>
    <r>
      <rPr>
        <rFont val="Arial, sans-serif"/>
        <color rgb="FF1155CC"/>
        <sz val="11.0"/>
        <u/>
      </rPr>
      <t>11 jul 2024</t>
    </r>
  </si>
  <si>
    <t>La emisión del CO2 del Bilbao BBK Live se reduce en 140 toneladas</t>
  </si>
  <si>
    <t>La emisión del CO2 del Bilbao BBK Live se reduce en 140 toneladas. Repsol, empresa encargada de su gestión, apunta que esta medida se podría extender a todo el recinto del festival.</t>
  </si>
  <si>
    <t>The CO2 emission of Bilbao BBK Live is reduced by 140 tons</t>
  </si>
  <si>
    <t>The CO2 emission of Bilbao BBK Live is reduced by 140 tons. Repsol, the company in charge of its management, points out that this measure could be extended to the entire festival site.</t>
  </si>
  <si>
    <t>Repsol sustainability, clean energy initiative</t>
  </si>
  <si>
    <t>Sostenibilidad Repsol, iniciativa de energías limpias</t>
  </si>
  <si>
    <t>Positive as it highlights Repsol’s contribution to sustainability.</t>
  </si>
  <si>
    <t>CO2, reduce</t>
  </si>
  <si>
    <t>Positive for sustainability efforts (indirect link).</t>
  </si>
  <si>
    <t>Positivo para los esfuerzos de sostenibilidad (enlace indirecto).</t>
  </si>
  <si>
    <r>
      <rPr>
        <rFont val="Arial, sans-serif"/>
        <color rgb="FF1155CC"/>
        <sz val="9.0"/>
        <u/>
      </rPr>
      <t>El Periódico de la Energía</t>
    </r>
    <r>
      <rPr>
        <rFont val="Arial, sans-serif"/>
        <color rgb="FF1155CC"/>
        <sz val="15.0"/>
        <u/>
      </rPr>
      <t>Imaz (Repsol): "Prohibir el motor de combustión en Europa en 2035 es un error profundo y no se va a producir"</t>
    </r>
    <r>
      <rPr>
        <rFont val="Arial, sans-serif"/>
        <color rgb="FF1155CC"/>
        <sz val="11.0"/>
        <u/>
      </rPr>
      <t>El CEO de Repsol ha criticado las políticas medioambientales de la UE al respecto de la prohibición de la venta de vehículos de combustión a partir de 2035.</t>
    </r>
    <r>
      <rPr>
        <rFont val="Arial, sans-serif"/>
        <color rgb="FF1155CC"/>
        <sz val="12.0"/>
        <u/>
      </rPr>
      <t>.</t>
    </r>
    <r>
      <rPr>
        <rFont val="Arial, sans-serif"/>
        <color rgb="FF1155CC"/>
        <sz val="11.0"/>
        <u/>
      </rPr>
      <t>11 jul 2024</t>
    </r>
  </si>
  <si>
    <t>Prohibir el motor de combustión en Europa en 2035 es un error profundo y no se va a producir</t>
  </si>
  <si>
    <t>El CEO de Repsol ha criticado las políticas medioambientales de la UE al respecto de la prohibición de la venta de vehículos de combustión a partir de 2035.</t>
  </si>
  <si>
    <t>Banning the combustion engine in Europe in 2035 is a profound mistake and will not happen</t>
  </si>
  <si>
    <t>The CEO of Repsol has criticized the EU's environmental policies regarding the ban on the sale of combustion vehicles from 2035.</t>
  </si>
  <si>
    <t>Slightly negative as it positions Repsol against environmental policies.</t>
  </si>
  <si>
    <t>Opinion; no direct Repsol impact.</t>
  </si>
  <si>
    <t>Opinión; sin impacto directo de Repsol.</t>
  </si>
  <si>
    <r>
      <rPr>
        <rFont val="Arial, sans-serif"/>
        <color rgb="FF1155CC"/>
        <sz val="9.0"/>
        <u/>
      </rPr>
      <t>BNamericas</t>
    </r>
    <r>
      <rPr>
        <rFont val="Arial, sans-serif"/>
        <color rgb="FF1155CC"/>
        <sz val="15.0"/>
        <u/>
      </rPr>
      <t>Repsol planea inversión en refinería La Pampilla en Perú</t>
    </r>
    <r>
      <rPr>
        <rFont val="Arial, sans-serif"/>
        <color rgb="FF1155CC"/>
        <sz val="11.0"/>
        <u/>
      </rPr>
      <t>La petrolera española Repsol está preparando una inversión en su refinería La Pampilla en Perú. Con el fin de optimizar los procesos del fraccionamiento de...</t>
    </r>
    <r>
      <rPr>
        <rFont val="Arial, sans-serif"/>
        <color rgb="FF1155CC"/>
        <sz val="12.0"/>
        <u/>
      </rPr>
      <t>.</t>
    </r>
    <r>
      <rPr>
        <rFont val="Arial, sans-serif"/>
        <color rgb="FF1155CC"/>
        <sz val="11.0"/>
        <u/>
      </rPr>
      <t>11 jul 2024</t>
    </r>
  </si>
  <si>
    <t>BNamericas</t>
  </si>
  <si>
    <t>Repsol planea inversión en refinería La Pampilla en Perú</t>
  </si>
  <si>
    <t>La petrolera española Repsol está preparando una inversión en su refinería La Pampilla en Perú. Con el fin de optimizar los procesos del fraccionamiento de....</t>
  </si>
  <si>
    <t>Repsol plans investment in La Pampilla refinery in Peru</t>
  </si>
  <si>
    <t>Spanish oil company Repsol is preparing an investment in its La Pampilla refinery in Peru. In order to optimize the fractionation processes of...</t>
  </si>
  <si>
    <t>Repsol refinery upgrade, sustainability initiative</t>
  </si>
  <si>
    <t>Renovación de refinería de Repsol, iniciativa de sostenibilidad</t>
  </si>
  <si>
    <t>Positive as it highlights Repsol's investment and expansion plans.</t>
  </si>
  <si>
    <t>Mildly positive for operational expansion.</t>
  </si>
  <si>
    <t>Ligeramente positivo para la expansión operativa.</t>
  </si>
  <si>
    <r>
      <rPr>
        <rFont val="Arial, sans-serif"/>
        <color rgb="FF1155CC"/>
        <sz val="9.0"/>
        <u/>
      </rPr>
      <t>Guía Repsol</t>
    </r>
    <r>
      <rPr>
        <rFont val="Arial, sans-serif"/>
        <color rgb="FF1155CC"/>
        <sz val="15.0"/>
        <u/>
      </rPr>
      <t>Artesanos en el mercado artesanal de Formentera</t>
    </r>
    <r>
      <rPr>
        <rFont val="Arial, sans-serif"/>
        <color rgb="FF1155CC"/>
        <sz val="11.0"/>
        <u/>
      </rPr>
      <t>Vente a descubrir los distintos productos elaborado a manos de los artesanos del mercado de Sant Francesc de Formentera. Distintas piezas que recrean la...</t>
    </r>
    <r>
      <rPr>
        <rFont val="Arial, sans-serif"/>
        <color rgb="FF1155CC"/>
        <sz val="12.0"/>
        <u/>
      </rPr>
      <t>.</t>
    </r>
    <r>
      <rPr>
        <rFont val="Arial, sans-serif"/>
        <color rgb="FF1155CC"/>
        <sz val="11.0"/>
        <u/>
      </rPr>
      <t>11 jul 2024</t>
    </r>
  </si>
  <si>
    <t>Artesanos en el mercado artesanal de Formentera</t>
  </si>
  <si>
    <t>Vente a descubrir los distintos productos elaborado a manos de los artesanos del mercado de Sant Francesc de Formentera. Distintas piezas que recrean la....</t>
  </si>
  <si>
    <t>Artisans at the Formentera craft market</t>
  </si>
  <si>
    <t>Come and discover the different products made by the artisans of the Sant Francesc de Formentera market. Different pieces that recreate the...</t>
  </si>
  <si>
    <r>
      <rPr>
        <rFont val="Arial, sans-serif"/>
        <color rgb="FF1155CC"/>
        <sz val="9.0"/>
        <u/>
      </rPr>
      <t>El Español</t>
    </r>
    <r>
      <rPr>
        <rFont val="Arial, sans-serif"/>
        <color rgb="FF1155CC"/>
        <sz val="15.0"/>
        <u/>
      </rPr>
      <t>Casero, contundente con la venta de las torres de Málaga en Repsol: "Vamos a seguir porque es legítimo y legal"</t>
    </r>
    <r>
      <rPr>
        <rFont val="Arial, sans-serif"/>
        <color rgb="FF1155CC"/>
        <sz val="11.0"/>
        <u/>
      </rPr>
      <t>El Consejo de Urbanismo da luz verde a la venta a Urbania de sus aprovechamientos y rechaza la petición de PSOE y Con Málaga de paralizar la operación.</t>
    </r>
    <r>
      <rPr>
        <rFont val="Arial, sans-serif"/>
        <color rgb="FF1155CC"/>
        <sz val="12.0"/>
        <u/>
      </rPr>
      <t>.</t>
    </r>
    <r>
      <rPr>
        <rFont val="Arial, sans-serif"/>
        <color rgb="FF1155CC"/>
        <sz val="11.0"/>
        <u/>
      </rPr>
      <t>11 jul 2024</t>
    </r>
  </si>
  <si>
    <t>Casero, contundente con la venta de las torres de Málaga en Repsol: "Vamos a seguir porque es legítimo y legal"</t>
  </si>
  <si>
    <t>Casero, contundente con la venta de las torres de Málaga en Repsol: "Vamos a seguir porque es legítimo y legal" El Consejo de Urbanismo da luz verde a la venta a Urbania de sus aprovechamientos y rechaza la petición de PSOE y Con Málaga de paralizar la operación.</t>
  </si>
  <si>
    <t>Casero, forceful with the sale of the Malaga towers in Repsol: "We are going to continue because it is legitimate and legal"</t>
  </si>
  <si>
    <t>Casero, forceful with the sale of the Málaga towers in Repsol: "We are going to continue because it is legitimate and legal" The Urban Planning Council gives the green light to the sale of its uses to Urbania and rejects the request of PSOE and Con Málaga to paralyze the operation.</t>
  </si>
  <si>
    <t>Repsol real estate, urban controversy</t>
  </si>
  <si>
    <t>Repsol inmobiliaria, polémica urbanística</t>
  </si>
  <si>
    <t>Slightly negative as it describes legal and political tension around Repsol-related transactions.</t>
  </si>
  <si>
    <r>
      <rPr>
        <rFont val="Arial, sans-serif"/>
        <color rgb="FF1155CC"/>
        <sz val="9.0"/>
        <u/>
      </rPr>
      <t>Guía Repsol</t>
    </r>
    <r>
      <rPr>
        <rFont val="Arial, sans-serif"/>
        <color rgb="FF1155CC"/>
        <sz val="15.0"/>
        <u/>
      </rPr>
      <t>“La zona vieja de Santiago es el mejor lugar del mundo para pasear”</t>
    </r>
    <r>
      <rPr>
        <rFont val="Arial, sans-serif"/>
        <color rgb="FF1155CC"/>
        <sz val="11.0"/>
        <u/>
      </rPr>
      <t>La serie del momento lleva por título 'Clanes', puede verse en Netflix y el actor Tamar Novas (Santiago de Compostela, 1986) es uno de sus protagonistas.</t>
    </r>
    <r>
      <rPr>
        <rFont val="Arial, sans-serif"/>
        <color rgb="FF1155CC"/>
        <sz val="12.0"/>
        <u/>
      </rPr>
      <t>.</t>
    </r>
    <r>
      <rPr>
        <rFont val="Arial, sans-serif"/>
        <color rgb="FF1155CC"/>
        <sz val="11.0"/>
        <u/>
      </rPr>
      <t>11 jul 2024</t>
    </r>
  </si>
  <si>
    <t>“La zona vieja de Santiago es el mejor lugar del mundo para pasear”</t>
  </si>
  <si>
    <t>La serie del momento lleva por título 'Clanes', puede verse en Netflix y el actor Tamar Novas (Santiago de Compostela, 1986) es uno de sus protagonistas.</t>
  </si>
  <si>
    <t>“The old area of ​​Santiago is the best place in the world to walk”</t>
  </si>
  <si>
    <t>The series of the moment is titled 'Clanes', it can be seen on Netflix and the actor Tamar Novas (Santiago de Compostela, 1986) is one of its protagonists.</t>
  </si>
  <si>
    <r>
      <rPr>
        <rFont val="Arial, sans-serif"/>
        <color rgb="FF1155CC"/>
        <sz val="9.0"/>
        <u/>
      </rPr>
      <t>El Español</t>
    </r>
    <r>
      <rPr>
        <rFont val="Arial, sans-serif"/>
        <color rgb="FF1155CC"/>
        <sz val="15.0"/>
        <u/>
      </rPr>
      <t>Fernando, el exchef de un dos estrellas Michelin que arrasa con Antoñita y ya tiene un Solete Repsol: se come por 20€</t>
    </r>
    <r>
      <rPr>
        <rFont val="Arial, sans-serif"/>
        <color rgb="FF1155CC"/>
        <sz val="11.0"/>
        <u/>
      </rPr>
      <t>Hamburguesas, como la de torreznos, y comida castiza de la más alta calidad, es lo que ofrece este cocinero que viene de la alta cocina.</t>
    </r>
    <r>
      <rPr>
        <rFont val="Arial, sans-serif"/>
        <color rgb="FF1155CC"/>
        <sz val="12.0"/>
        <u/>
      </rPr>
      <t>.</t>
    </r>
    <r>
      <rPr>
        <rFont val="Arial, sans-serif"/>
        <color rgb="FF1155CC"/>
        <sz val="11.0"/>
        <u/>
      </rPr>
      <t>11 jul 2024</t>
    </r>
  </si>
  <si>
    <t>Fernando, el exchef de un dos estrellas Michelin que arrasa con Antoñita y ya tiene un Solete Repsol: se come por 20€</t>
  </si>
  <si>
    <t>Fernando, el exchef de un dos estrellas Michelin que arrasa con Antoñita y ya tiene un Solete Repsol: se come por 20€. Hamburguesas, como la de torreznos, y comida castiza de la más alta calidad, es lo que ofrece este cocinero que viene de la alta cocina.</t>
  </si>
  <si>
    <t>Fernando, the former chef of a two-star Michelin restaurant who is sweeping Antoñita and already has a Solete Repsol: he eats for €20</t>
  </si>
  <si>
    <t>Fernando, the former chef of a two-star Michelin restaurant who sweeps Antoñita off his feet and already has a Solete Repsol: he eats for €20. Burgers, like Torreznos, and traditional food of the highest quality, is what this chef who comes from haute cuisine offers.</t>
  </si>
  <si>
    <r>
      <rPr>
        <rFont val="Arial, sans-serif"/>
        <color rgb="FF1155CC"/>
        <sz val="9.0"/>
        <u/>
      </rPr>
      <t>Guía Repsol</t>
    </r>
    <r>
      <rPr>
        <rFont val="Arial, sans-serif"/>
        <color rgb="FF1155CC"/>
        <sz val="15.0"/>
        <u/>
      </rPr>
      <t>¿Cuál es el sabor de helado más pedido por los cocineros?</t>
    </r>
    <r>
      <rPr>
        <rFont val="Arial, sans-serif"/>
        <color rgb="FF1155CC"/>
        <sz val="11.0"/>
        <u/>
      </rPr>
      <t>Para que puedas elegir el sabor que te alegre el día, Guía Repsol ha recopilado lo que se piden los cocineros con Soles Repsol en su heladerías artesanales...</t>
    </r>
    <r>
      <rPr>
        <rFont val="Arial, sans-serif"/>
        <color rgb="FF1155CC"/>
        <sz val="12.0"/>
        <u/>
      </rPr>
      <t>.</t>
    </r>
    <r>
      <rPr>
        <rFont val="Arial, sans-serif"/>
        <color rgb="FF1155CC"/>
        <sz val="11.0"/>
        <u/>
      </rPr>
      <t>11 jul 2024</t>
    </r>
  </si>
  <si>
    <t>¿Cuál es el sabor de helado más pedido por los cocineros?</t>
  </si>
  <si>
    <t>Para que puedas elegir el sabor que te alegre el día, Guía Repsol ha recopilado lo que se piden los cocineros con Soles Repsol en su heladerías artesanales.</t>
  </si>
  <si>
    <t>What is the most requested ice cream flavor by chefs?</t>
  </si>
  <si>
    <t>So that you can choose the flavor that will brighten your day, the Repsol Guide has compiled what chefs order with Repsol Soles in their artisanal ice cream parlors.</t>
  </si>
  <si>
    <r>
      <rPr>
        <rFont val="Arial, sans-serif"/>
        <color rgb="FF1155CC"/>
        <sz val="9.0"/>
        <u/>
      </rPr>
      <t>El Periódico de la Energía</t>
    </r>
    <r>
      <rPr>
        <rFont val="Arial, sans-serif"/>
        <color rgb="FF1155CC"/>
        <sz val="15.0"/>
        <u/>
      </rPr>
      <t>Lorenzo resalta un "ambicioso" plan de transformación energética de Repsol en Puertollano</t>
    </r>
    <r>
      <rPr>
        <rFont val="Arial, sans-serif"/>
        <color rgb="FF1155CC"/>
        <sz val="11.0"/>
        <u/>
      </rPr>
      <t>El director del complejo industrial de Repsol en Puertollano ha avanzado que la compañía va a poner en marcha en la planta un "ambicioso" programa de...</t>
    </r>
    <r>
      <rPr>
        <rFont val="Arial, sans-serif"/>
        <color rgb="FF1155CC"/>
        <sz val="12.0"/>
        <u/>
      </rPr>
      <t>.</t>
    </r>
    <r>
      <rPr>
        <rFont val="Arial, sans-serif"/>
        <color rgb="FF1155CC"/>
        <sz val="11.0"/>
        <u/>
      </rPr>
      <t>12 jul 2024</t>
    </r>
  </si>
  <si>
    <t>Lorenzo resalta un "ambicioso" plan de transformación energética de Repsol en Puertollano</t>
  </si>
  <si>
    <t>La compañía va a poner en marcha en la planta un "ambicioso" programa de....</t>
  </si>
  <si>
    <t>Lorenzo highlights Repsol's "ambitious" energy transformation plan in Puertollano</t>
  </si>
  <si>
    <t>The company is going to launch an "ambitious" program of...</t>
  </si>
  <si>
    <t>Positive as it emphasizes Repsol’s commitment to an energy transition.</t>
  </si>
  <si>
    <t>transformación energética</t>
  </si>
  <si>
    <t>Positive for green energy transition.</t>
  </si>
  <si>
    <t>Positivo para la transición a la energía verde.</t>
  </si>
  <si>
    <r>
      <rPr>
        <rFont val="Arial, sans-serif"/>
        <color rgb="FF1155CC"/>
        <sz val="9.0"/>
        <u/>
      </rPr>
      <t>tele7.tv</t>
    </r>
    <r>
      <rPr>
        <rFont val="Arial, sans-serif"/>
        <color rgb="FF1155CC"/>
        <sz val="15.0"/>
        <u/>
      </rPr>
      <t>Repsol hace vibrar el Bilbao BBK Live al ritmo de energías renovables</t>
    </r>
    <r>
      <rPr>
        <rFont val="Arial, sans-serif"/>
        <color rgb="FF1155CC"/>
        <sz val="11.0"/>
        <u/>
      </rPr>
      <t>Fruto de la colaboración entre la compañía Repsol y la promotora Last Tour, se han combinado este año diferentes tecnologías, como la solar fotovoltaica,...</t>
    </r>
    <r>
      <rPr>
        <rFont val="Arial, sans-serif"/>
        <color rgb="FF1155CC"/>
        <sz val="12.0"/>
        <u/>
      </rPr>
      <t>.</t>
    </r>
    <r>
      <rPr>
        <rFont val="Arial, sans-serif"/>
        <color rgb="FF1155CC"/>
        <sz val="11.0"/>
        <u/>
      </rPr>
      <t>12 jul 2024</t>
    </r>
  </si>
  <si>
    <t>Repsol hace vibrar el Bilbao BBK Live al ritmo de energías renovables</t>
  </si>
  <si>
    <t>Fruto de la colaboración entre la compañía Repsol y la promotora Last Tour, se han combinado este año diferentes tecnologías, como la solar fotovoltaica,....</t>
  </si>
  <si>
    <t>Repsol makes Bilbao BBK Live vibrate to the rhythm of renewable energies</t>
  </si>
  <si>
    <t>As a result of the collaboration between the company Repsol and the promoter Last Tour, different technologies have been combined this year, such as solar photovoltaics,...</t>
  </si>
  <si>
    <t>Positive as it presents Repsol’s role in sustainable energy initiatives.</t>
  </si>
  <si>
    <t>energías renovables</t>
  </si>
  <si>
    <t>Positive for sustainability branding.</t>
  </si>
  <si>
    <t>Positivo para la marca de sostenibilidad.</t>
  </si>
  <si>
    <r>
      <rPr>
        <rFont val="Arial, sans-serif"/>
        <color rgb="FF1155CC"/>
        <sz val="9.0"/>
        <u/>
      </rPr>
      <t>Te Verás Televisión</t>
    </r>
    <r>
      <rPr>
        <rFont val="Arial, sans-serif"/>
        <color rgb="FF1155CC"/>
        <sz val="15.0"/>
        <u/>
      </rPr>
      <t>Antonio Lorenzo, nuevo director de Repsol Puertollano</t>
    </r>
    <r>
      <rPr>
        <rFont val="Arial, sans-serif"/>
        <color rgb="FF1155CC"/>
        <sz val="11.0"/>
        <u/>
      </rPr>
      <t>El que será director de Repsol en Puertollano a partir del 1 de septiembre, Antonio Lorenzo, ha tenido un encuentro con los medios de comunicación para...</t>
    </r>
    <r>
      <rPr>
        <rFont val="Arial, sans-serif"/>
        <color rgb="FF1155CC"/>
        <sz val="12.0"/>
        <u/>
      </rPr>
      <t>.</t>
    </r>
    <r>
      <rPr>
        <rFont val="Arial, sans-serif"/>
        <color rgb="FF1155CC"/>
        <sz val="11.0"/>
        <u/>
      </rPr>
      <t>12 jul 2024</t>
    </r>
  </si>
  <si>
    <t>Antonio Lorenzo, nuevo director de Repsol Puertollano</t>
  </si>
  <si>
    <t>El que será director de Repsol en Puertollano a partir del 1 de septiembre, Antonio Lorenzo, ha tenido un encuentro con los medios de comunicación para....</t>
  </si>
  <si>
    <t>Antonio Lorenzo, new director of Repsol Puertollano</t>
  </si>
  <si>
    <t>The one who will be director of Repsol in Puertollano as of September 1, Antonio Lorenzo, has had a meeting with the media to...</t>
  </si>
  <si>
    <t>Neutral as it simply reports a leadership change without emotional sentiment.</t>
  </si>
  <si>
    <t>Neutral; executive appointment.</t>
  </si>
  <si>
    <t>Neutral; nombramiento ejecutivo.</t>
  </si>
  <si>
    <r>
      <rPr>
        <rFont val="Arial, sans-serif"/>
        <color rgb="FF1155CC"/>
        <sz val="9.0"/>
        <u/>
      </rPr>
      <t>MiCiudadReal.es</t>
    </r>
    <r>
      <rPr>
        <rFont val="Arial, sans-serif"/>
        <color rgb="FF1155CC"/>
        <sz val="15.0"/>
        <u/>
      </rPr>
      <t>El nuevo director de Repsol Puertollano, Antonio Lorenzo, toma el relevo en el «sólido plan de transformación» del complejo petroquímico</t>
    </r>
    <r>
      <rPr>
        <rFont val="Arial, sans-serif"/>
        <color rgb="FF1155CC"/>
        <sz val="11.0"/>
        <u/>
      </rPr>
      <t>El nuevo director del Complejo Industrial de Repsol en Puertollano a partir del próximo 1 de septiembre, Antonio Lorenzo, ha destacado como aspectos clave...</t>
    </r>
    <r>
      <rPr>
        <rFont val="Arial, sans-serif"/>
        <color rgb="FF1155CC"/>
        <sz val="12.0"/>
        <u/>
      </rPr>
      <t>.</t>
    </r>
    <r>
      <rPr>
        <rFont val="Arial, sans-serif"/>
        <color rgb="FF1155CC"/>
        <sz val="11.0"/>
        <u/>
      </rPr>
      <t>12 jul 2024</t>
    </r>
  </si>
  <si>
    <t>El nuevo director de Repsol Puertollano, Antonio Lorenzo, toma el relevo en el «sólido plan de transformación» del complejo petroquímico</t>
  </si>
  <si>
    <t>El nuevo director del Complejo Industrial de Repsol en Puertollano a partir del próximo 1 de septiembre, Antonio Lorenzo, ha destacado como aspectos clave....</t>
  </si>
  <si>
    <t>The new director of Repsol Puertollano, Antonio Lorenzo, takes over in the "solid transformation plan" of the petrochemical complex</t>
  </si>
  <si>
    <t>The new director of the Repsol Industrial Complex in Puertollano starting next September 1, Antonio Lorenzo, has highlighted key aspects....</t>
  </si>
  <si>
    <t>Neutral as it describes a leadership transition without sentiment.</t>
  </si>
  <si>
    <t>transformación</t>
  </si>
  <si>
    <t>Mildly positive for strategic continuity.</t>
  </si>
  <si>
    <t>Ligeramente positivo para la continuidad estratégica.</t>
  </si>
  <si>
    <r>
      <rPr>
        <rFont val="Arial, sans-serif"/>
        <color rgb="FF1155CC"/>
        <sz val="9.0"/>
        <u/>
      </rPr>
      <t>Guía Repsol</t>
    </r>
    <r>
      <rPr>
        <rFont val="Arial, sans-serif"/>
        <color rgb="FF1155CC"/>
        <sz val="15.0"/>
        <u/>
      </rPr>
      <t>Dónde comer en Málaga rico y barato</t>
    </r>
    <r>
      <rPr>
        <rFont val="Arial, sans-serif"/>
        <color rgb="FF1155CC"/>
        <sz val="11.0"/>
        <u/>
      </rPr>
      <t>Dani Carnero ('Kaleja'), José Carlos García, Diego Gallegos ('Sollo') y Benito Gómez ('Bardal') nos recomiendan los mejores sitios donde comer en Málaga.</t>
    </r>
    <r>
      <rPr>
        <rFont val="Arial, sans-serif"/>
        <color rgb="FF1155CC"/>
        <sz val="12.0"/>
        <u/>
      </rPr>
      <t>.</t>
    </r>
    <r>
      <rPr>
        <rFont val="Arial, sans-serif"/>
        <color rgb="FF1155CC"/>
        <sz val="11.0"/>
        <u/>
      </rPr>
      <t>12 jul 2024</t>
    </r>
  </si>
  <si>
    <t>Dónde comer en Málaga rico y barato</t>
  </si>
  <si>
    <t>Dani Carnero ('Kaleja'), José Carlos García, Diego Gallegos ('Sollo') y Benito Gómez ('Bardal') nos recomiendan los mejores sitios donde comer en Málaga.</t>
  </si>
  <si>
    <t>Where to eat in Malaga rich and cheap</t>
  </si>
  <si>
    <t>Dani Carnero ('Kaleja'), José Carlos García, Diego Gallegos ('Sollo') and Benito Gómez ('Bardal') recommend the best places to eat in Malaga.</t>
  </si>
  <si>
    <r>
      <rPr>
        <rFont val="Arial, sans-serif"/>
        <color rgb="FF1155CC"/>
        <sz val="9.0"/>
        <u/>
      </rPr>
      <t>La Opinión A Coruña</t>
    </r>
    <r>
      <rPr>
        <rFont val="Arial, sans-serif"/>
        <color rgb="FF1155CC"/>
        <sz val="15.0"/>
        <u/>
      </rPr>
      <t>Los helados de A Coruña con Solete de Repsol que puedes saborear este verano</t>
    </r>
    <r>
      <rPr>
        <rFont val="Arial, sans-serif"/>
        <color rgb="FF1155CC"/>
        <sz val="11.0"/>
        <u/>
      </rPr>
      <t>Aunque el verano no está siendo especialmente caluroso en A Coruña, siempre es buena ocasión para disfrutar de un helado. La ciudad tiene numerosas...</t>
    </r>
    <r>
      <rPr>
        <rFont val="Arial, sans-serif"/>
        <color rgb="FF1155CC"/>
        <sz val="12.0"/>
        <u/>
      </rPr>
      <t>.</t>
    </r>
    <r>
      <rPr>
        <rFont val="Arial, sans-serif"/>
        <color rgb="FF1155CC"/>
        <sz val="11.0"/>
        <u/>
      </rPr>
      <t>12 jul 2024</t>
    </r>
  </si>
  <si>
    <t>Los helados de A Coruña con Solete de Repsol que puedes saborear este verano</t>
  </si>
  <si>
    <t>Los helados de A Coruña con Solete de Repsol que puedes saborear este veranoAunque el verano no está siendo especialmente caluroso en A Coruña, siempre es buena ocasión para disfrutar de un helado. La ciudad tiene numerosas....</t>
  </si>
  <si>
    <t>The ice creams from A Coruña with Solete from Repsol that you can taste this summer</t>
  </si>
  <si>
    <t>The ice creams of A Coruña with Solete from Repsol that you can enjoy this summerAlthough the summer is not being particularly hot in A Coruña, it is always a good opportunity to enjoy an ice cream. The city has numerous....</t>
  </si>
  <si>
    <r>
      <rPr>
        <rFont val="Arial, sans-serif"/>
        <color rgb="FF1155CC"/>
        <sz val="9.0"/>
        <u/>
      </rPr>
      <t>Infobae</t>
    </r>
    <r>
      <rPr>
        <rFont val="Arial, sans-serif"/>
        <color rgb="FF1155CC"/>
        <sz val="15.0"/>
        <u/>
      </rPr>
      <t>Restaurantes ‘fast good’, la moda de comida rápida saludable ideada por Ferran Adrià que la Guía Repsol premia con sus Soletes</t>
    </r>
    <r>
      <rPr>
        <rFont val="Arial, sans-serif"/>
        <color rgb="FF1155CC"/>
        <sz val="11.0"/>
        <u/>
      </rPr>
      <t>La guía ha sumado a sus recomendaciones más de 50 restaurantes de 'comida rápida de calidad', una categoría que incluye desde bocaterías hasta pizzerías,...</t>
    </r>
    <r>
      <rPr>
        <rFont val="Arial, sans-serif"/>
        <color rgb="FF1155CC"/>
        <sz val="12.0"/>
        <u/>
      </rPr>
      <t>.</t>
    </r>
    <r>
      <rPr>
        <rFont val="Arial, sans-serif"/>
        <color rgb="FF1155CC"/>
        <sz val="11.0"/>
        <u/>
      </rPr>
      <t>12 jul 2024</t>
    </r>
  </si>
  <si>
    <t>Restaurantes ‘fast good’, la moda de comida rápida saludable ideada por Ferran Adrià que la Guía Repsol premia con sus Soletes</t>
  </si>
  <si>
    <t>La guía ha sumado a sus recomendaciones más de 50 restaurantes de 'comida rápida de calidad', una categoría que incluye desde bocaterías hasta pizzerías,....</t>
  </si>
  <si>
    <t>'Fast good' restaurants, the healthy fast food trend designed by Ferran Adrià that the Repsol Guide awards with its Soletes</t>
  </si>
  <si>
    <t>The guide has added more than 50 'quality fast food' restaurants to its recommendations, a category that includes everything from sandwich shops to pizzerias,...</t>
  </si>
  <si>
    <r>
      <rPr>
        <rFont val="Arial, sans-serif"/>
        <color rgb="FF1155CC"/>
        <sz val="9.0"/>
        <u/>
      </rPr>
      <t>Diari ARA</t>
    </r>
    <r>
      <rPr>
        <rFont val="Arial, sans-serif"/>
        <color rgb="FF1155CC"/>
        <sz val="15.0"/>
        <u/>
      </rPr>
      <t>Contaminación industrial en España: una radiografía</t>
    </r>
    <r>
      <rPr>
        <rFont val="Arial, sans-serif"/>
        <color rgb="FF1155CC"/>
        <sz val="11.0"/>
        <u/>
      </rPr>
      <t>Con el desmantelamiento de las térmicas de carbón, las de gas natural y las refinerías de gas y petróleo pasarán a encabezar el ranking de instalaciones que...</t>
    </r>
    <r>
      <rPr>
        <rFont val="Arial, sans-serif"/>
        <color rgb="FF1155CC"/>
        <sz val="12.0"/>
        <u/>
      </rPr>
      <t>.</t>
    </r>
    <r>
      <rPr>
        <rFont val="Arial, sans-serif"/>
        <color rgb="FF1155CC"/>
        <sz val="11.0"/>
        <u/>
      </rPr>
      <t>12 jul 2024</t>
    </r>
  </si>
  <si>
    <t>Diari ARA</t>
  </si>
  <si>
    <t>Contaminación industrial en España: una radiografía</t>
  </si>
  <si>
    <t>Con el desmantelamiento de las térmicas de carbón, las de gas natural y las refinerías de gas y petróleo pasarán a encabezar el ranking de instalaciones que....</t>
  </si>
  <si>
    <t>Industrial pollution in Spain: an x-ray</t>
  </si>
  <si>
    <t>With the dismantling of coal-fired power plants, natural gas power plants and gas and oil refineries will begin to top the ranking of facilities that...</t>
  </si>
  <si>
    <t>Neutral as it provides an analytical overview without direct sentiment.</t>
  </si>
  <si>
    <r>
      <rPr>
        <rFont val="Arial, sans-serif"/>
        <color rgb="FF1155CC"/>
        <sz val="9.0"/>
        <u/>
      </rPr>
      <t>Guía Repsol</t>
    </r>
    <r>
      <rPr>
        <rFont val="Arial, sans-serif"/>
        <color rgb="FF1155CC"/>
        <sz val="15.0"/>
        <u/>
      </rPr>
      <t>Los secretos de la alquimia en tres experiencias</t>
    </r>
    <r>
      <rPr>
        <rFont val="Arial, sans-serif"/>
        <color rgb="FF1155CC"/>
        <sz val="11.0"/>
        <u/>
      </rPr>
      <t>Pepe Albela se crió entre alambiques y se rindió a su pasión por los destilados y los botánicos hasta crear Nordés, la primera Atlantic Galician Gin. Incon.</t>
    </r>
    <r>
      <rPr>
        <rFont val="Arial, sans-serif"/>
        <color rgb="FF1155CC"/>
        <sz val="12.0"/>
        <u/>
      </rPr>
      <t>.</t>
    </r>
    <r>
      <rPr>
        <rFont val="Arial, sans-serif"/>
        <color rgb="FF1155CC"/>
        <sz val="11.0"/>
        <u/>
      </rPr>
      <t>12 jul 2024</t>
    </r>
  </si>
  <si>
    <t>Los secretos de la alquimia en tres experiencias</t>
  </si>
  <si>
    <t>Pepe Albela se crió entre alambiques y se rindió a su pasión por los destilados y los botánicos hasta crear Nordés, la primera Atlantic Galician Gin. Incon..</t>
  </si>
  <si>
    <t>The secrets of alchemy in three experiences</t>
  </si>
  <si>
    <t>Pepe Albela grew up among stills and surrendered to his passion for distillates and botanicals until creating Nordés, the first Atlantic Galician Gin. Incon..</t>
  </si>
  <si>
    <r>
      <rPr>
        <rFont val="Arial, sans-serif"/>
        <color rgb="FF1155CC"/>
        <sz val="9.0"/>
        <u/>
      </rPr>
      <t>Atlántico Hoy</t>
    </r>
    <r>
      <rPr>
        <rFont val="Arial, sans-serif"/>
        <color rgb="FF1155CC"/>
        <sz val="15.0"/>
        <u/>
      </rPr>
      <t>Esta parada de guagua en Tenerife dejará de funcionar: la nueva alternativa de Titsa a Las Chafiras</t>
    </r>
    <r>
      <rPr>
        <rFont val="Arial, sans-serif"/>
        <color rgb="FF1155CC"/>
        <sz val="11.0"/>
        <u/>
      </rPr>
      <t>Se habilitará una parada provisional y una lanzadera gratuita mientras duran las obras.</t>
    </r>
    <r>
      <rPr>
        <rFont val="Arial, sans-serif"/>
        <color rgb="FF1155CC"/>
        <sz val="12.0"/>
        <u/>
      </rPr>
      <t>.</t>
    </r>
    <r>
      <rPr>
        <rFont val="Arial, sans-serif"/>
        <color rgb="FF1155CC"/>
        <sz val="11.0"/>
        <u/>
      </rPr>
      <t>12 jul 2024</t>
    </r>
  </si>
  <si>
    <t>Esta parada de guagua en Tenerife dejará de funcionar: la nueva alternativa de Titsa a Las Chafiras</t>
  </si>
  <si>
    <t>Se habilitará una parada provisional y una lanzadera gratuita mientras duran las obras.</t>
  </si>
  <si>
    <t>This bus stop in Tenerife will stop working: the new alternative from Titsa to Las Chafiras</t>
  </si>
  <si>
    <t>A temporary stop and a free shuttle will be enabled while the works last.</t>
  </si>
  <si>
    <r>
      <rPr>
        <rFont val="Arial, sans-serif"/>
        <color rgb="FF1155CC"/>
        <sz val="9.0"/>
        <u/>
      </rPr>
      <t>La Opinión de Málaga</t>
    </r>
    <r>
      <rPr>
        <rFont val="Arial, sans-serif"/>
        <color rgb="FF1155CC"/>
        <sz val="15.0"/>
        <u/>
      </rPr>
      <t>Antiguos terrenos de Repsol: una indecencia urbanística</t>
    </r>
    <r>
      <rPr>
        <rFont val="Arial, sans-serif"/>
        <color rgb="FF1155CC"/>
        <sz val="11.0"/>
        <u/>
      </rPr>
      <t>La operación en Repsol es una irreparable indecencia urbanística, contraria a la jurisprudencia del Supremo y a los vecinos, publicitada con cifras...</t>
    </r>
    <r>
      <rPr>
        <rFont val="Arial, sans-serif"/>
        <color rgb="FF1155CC"/>
        <sz val="12.0"/>
        <u/>
      </rPr>
      <t>.</t>
    </r>
    <r>
      <rPr>
        <rFont val="Arial, sans-serif"/>
        <color rgb="FF1155CC"/>
        <sz val="11.0"/>
        <u/>
      </rPr>
      <t>13 jul 2024</t>
    </r>
  </si>
  <si>
    <t>Antiguos terrenos de Repsol: una indecencia urbanística</t>
  </si>
  <si>
    <t>La operación en Repsol es una irreparable indecencia urbanística, contraria a la jurisprudencia del Supremo y a los vecinos, publicitada con cifras....</t>
  </si>
  <si>
    <t>Former Repsol land: an urban indecency</t>
  </si>
  <si>
    <t>The operation in Repsol is an irreparable urban planning indecency, contrary to the jurisprudence of the Supreme Court and the neighbors, publicized with figures...</t>
  </si>
  <si>
    <t>Slightly negative as it criticizes an urban planning issue related to Repsol.</t>
  </si>
  <si>
    <t>indecencia</t>
  </si>
  <si>
    <t>Negative for reputational risk.</t>
  </si>
  <si>
    <t>Negativo para riesgo reputacional.</t>
  </si>
  <si>
    <r>
      <rPr>
        <rFont val="Arial, sans-serif"/>
        <color rgb="FF1155CC"/>
        <sz val="9.0"/>
        <u/>
      </rPr>
      <t>Bolsamania</t>
    </r>
    <r>
      <rPr>
        <rFont val="Arial, sans-serif"/>
        <color rgb="FF1155CC"/>
        <sz val="15.0"/>
        <u/>
      </rPr>
      <t>Grifols, Cellnex y Acciona se hacen con el triunfo semanal en el Ibex 35; Repsol sufre</t>
    </r>
    <r>
      <rPr>
        <rFont val="Arial, sans-serif"/>
        <color rgb="FF1155CC"/>
        <sz val="11.0"/>
        <u/>
      </rPr>
      <t>El IPC de Estados Unidos, el inicio de la temporada de resultados empresariales y el respiro dado por las elecciones francesas han llevado al Ibex 35 a...</t>
    </r>
    <r>
      <rPr>
        <rFont val="Arial, sans-serif"/>
        <color rgb="FF1155CC"/>
        <sz val="12.0"/>
        <u/>
      </rPr>
      <t>.</t>
    </r>
    <r>
      <rPr>
        <rFont val="Arial, sans-serif"/>
        <color rgb="FF1155CC"/>
        <sz val="11.0"/>
        <u/>
      </rPr>
      <t>13 jul 2024</t>
    </r>
  </si>
  <si>
    <t>Grifols, Cellnex y Acciona se hacen con el triunfo semanal en el Ibex 35; Repsol sufre</t>
  </si>
  <si>
    <t>El IPC de Estados Unidos, el inicio de la temporada de resultados empresariales y el respiro dado por las elecciones francesas han llevado al Ibex 35 a....</t>
  </si>
  <si>
    <t>Grifols, Cellnex and Acciona take the weekly victory in the Ibex 35; Repsol suffers</t>
  </si>
  <si>
    <t>The CPI in the United States, the start of the corporate earnings season and the respite given by the French elections have led the Ibex 35 to...</t>
  </si>
  <si>
    <t>Slightly positive as it presents mixed market performance but acknowledges Repsol’s struggles.</t>
  </si>
  <si>
    <t>sufre, bolsa</t>
  </si>
  <si>
    <r>
      <rPr>
        <rFont val="Arial, sans-serif"/>
        <color rgb="FF1155CC"/>
        <sz val="9.0"/>
        <u/>
      </rPr>
      <t>Diari ARA</t>
    </r>
    <r>
      <rPr>
        <rFont val="Arial, sans-serif"/>
        <color rgb="FF1155CC"/>
        <sz val="15.0"/>
        <u/>
      </rPr>
      <t>10 instalaciones emiten el 70% de la contaminación industrial</t>
    </r>
    <r>
      <rPr>
        <rFont val="Arial, sans-serif"/>
        <color rgb="FF1155CC"/>
        <sz val="11.0"/>
        <u/>
      </rPr>
      <t>Los datos de la Agencia Europea del Medio Ambiente se refieren tanto a los gases de efecto invernadero como a las sustancias tóxicas para los humanos y para...</t>
    </r>
    <r>
      <rPr>
        <rFont val="Arial, sans-serif"/>
        <color rgb="FF1155CC"/>
        <sz val="12.0"/>
        <u/>
      </rPr>
      <t>.</t>
    </r>
    <r>
      <rPr>
        <rFont val="Arial, sans-serif"/>
        <color rgb="FF1155CC"/>
        <sz val="11.0"/>
        <u/>
      </rPr>
      <t>13 jul 2024</t>
    </r>
  </si>
  <si>
    <t>10 instalaciones emiten el 70% de la contaminación industrial</t>
  </si>
  <si>
    <t>Los datos de la Agencia Europea del Medio Ambiente se refieren tanto a los gases de efecto invernadero como a las sustancias tóxicas para los humanos y para....</t>
  </si>
  <si>
    <t>10 facilities emit 70% of industrial pollution</t>
  </si>
  <si>
    <t>The data from the European Environment Agency refer to both greenhouse gases and substances toxic to humans and...</t>
  </si>
  <si>
    <t>Neutral as it provides an environmental overview without direct sentiment towards Repsol.</t>
  </si>
  <si>
    <t>contaminación</t>
  </si>
  <si>
    <t>Indirect negative if Repsol is implicated.</t>
  </si>
  <si>
    <t>Negativa indirecta si está implicada Repsol.</t>
  </si>
  <si>
    <r>
      <rPr>
        <rFont val="Arial, sans-serif"/>
        <color rgb="FF1155CC"/>
        <sz val="9.0"/>
        <u/>
      </rPr>
      <t>La Vanguardia</t>
    </r>
    <r>
      <rPr>
        <rFont val="Arial, sans-serif"/>
        <color rgb="FF1155CC"/>
        <sz val="15.0"/>
        <u/>
      </rPr>
      <t>La chef valenciana que ha conseguido una estrella con platos de verdura</t>
    </r>
    <r>
      <rPr>
        <rFont val="Arial, sans-serif"/>
        <color rgb="FF1155CC"/>
        <sz val="11.0"/>
        <u/>
      </rPr>
      <t>Ni una estrella Michelin ni tres soles Repsol consiguen despertar las ínfulas de esta chef apasionada y terrenal, arraigada a su huerta valenciana,...</t>
    </r>
    <r>
      <rPr>
        <rFont val="Arial, sans-serif"/>
        <color rgb="FF1155CC"/>
        <sz val="12.0"/>
        <u/>
      </rPr>
      <t>.</t>
    </r>
    <r>
      <rPr>
        <rFont val="Arial, sans-serif"/>
        <color rgb="FF1155CC"/>
        <sz val="11.0"/>
        <u/>
      </rPr>
      <t>13 jul 2024</t>
    </r>
  </si>
  <si>
    <t>La chef valenciana que ha conseguido una estrella con platos de verdura</t>
  </si>
  <si>
    <t>Ni una estrella Michelin ni tres soles Repsol consiguen despertar las ínfulas de esta chef apasionada y terrenal, arraigada a su huerta valenciana,....</t>
  </si>
  <si>
    <t>The Valencian chef who has achieved a star with vegetable dishes</t>
  </si>
  <si>
    <t>Neither a Michelin star nor three Repsol soles manage to awaken the pretensions of this passionate and earthy chef, rooted in her Valencian garden....</t>
  </si>
  <si>
    <r>
      <rPr>
        <rFont val="Arial, sans-serif"/>
        <color rgb="FF1155CC"/>
        <sz val="9.0"/>
        <u/>
      </rPr>
      <t>La Razón</t>
    </r>
    <r>
      <rPr>
        <rFont val="Arial, sans-serif"/>
        <color rgb="FF1155CC"/>
        <sz val="15.0"/>
        <u/>
      </rPr>
      <t>Volar por España fue un 22% más caro hasta junio, la mayor subida en siete años</t>
    </r>
    <r>
      <rPr>
        <rFont val="Arial, sans-serif"/>
        <color rgb="FF1155CC"/>
        <sz val="11.0"/>
        <u/>
      </rPr>
      <t>Los vuelos internacionales se encarecieron un 9,2% entre enero y junio de 2024.</t>
    </r>
    <r>
      <rPr>
        <rFont val="Arial, sans-serif"/>
        <color rgb="FF1155CC"/>
        <sz val="12.0"/>
        <u/>
      </rPr>
      <t>.</t>
    </r>
    <r>
      <rPr>
        <rFont val="Arial, sans-serif"/>
        <color rgb="FF1155CC"/>
        <sz val="11.0"/>
        <u/>
      </rPr>
      <t>13 jul 2024</t>
    </r>
  </si>
  <si>
    <t>Volar por España fue un 22% más caro hasta junio, la mayor subida en siete años</t>
  </si>
  <si>
    <t>Los vuelos internacionales se encarecieron un 9,2% entre enero y junio de 2024.</t>
  </si>
  <si>
    <t>Flying through Spain was 22% more expensive until June, the biggest increase in seven years</t>
  </si>
  <si>
    <t>International flights became more expensive by 9.2% between January and June 2024.</t>
  </si>
  <si>
    <r>
      <rPr>
        <rFont val="Arial, sans-serif"/>
        <color rgb="FF1155CC"/>
        <sz val="9.0"/>
        <u/>
      </rPr>
      <t>20Minutos</t>
    </r>
    <r>
      <rPr>
        <rFont val="Arial, sans-serif"/>
        <color rgb="FF1155CC"/>
        <sz val="15.0"/>
        <u/>
      </rPr>
      <t>Qué impacto tendría un segundo mandato de Trump en la economía y en la inversión</t>
    </r>
    <r>
      <rPr>
        <rFont val="Arial, sans-serif"/>
        <color rgb="FF1155CC"/>
        <sz val="11.0"/>
        <u/>
      </rPr>
      <t>Tras las dificultades del presidente Joe Biden en el debate presidencial, las probabilidades de una victoria de Donald Trump aumentan y los inversores están...</t>
    </r>
    <r>
      <rPr>
        <rFont val="Arial, sans-serif"/>
        <color rgb="FF1155CC"/>
        <sz val="12.0"/>
        <u/>
      </rPr>
      <t>.</t>
    </r>
    <r>
      <rPr>
        <rFont val="Arial, sans-serif"/>
        <color rgb="FF1155CC"/>
        <sz val="11.0"/>
        <u/>
      </rPr>
      <t>13 jul 2024</t>
    </r>
  </si>
  <si>
    <t>Qué impacto tendría un segundo mandato de Trump en la economía y en la inversión</t>
  </si>
  <si>
    <t>Tras las dificultades del presidente Joe Biden en el debate presidencial, las probabilidades de una victoria de Donald Trump aumentan y los inversores están....</t>
  </si>
  <si>
    <t>What impact would a second Trump term have on the economy and investment?</t>
  </si>
  <si>
    <t>Following President Joe Biden's struggles in the presidential debate, the odds of a Donald Trump victory are increasing and investors are...</t>
  </si>
  <si>
    <r>
      <rPr>
        <rFont val="Arial, sans-serif"/>
        <color rgb="FF1155CC"/>
        <sz val="9.0"/>
        <u/>
      </rPr>
      <t>El Independiente</t>
    </r>
    <r>
      <rPr>
        <rFont val="Arial, sans-serif"/>
        <color rgb="FF1155CC"/>
        <sz val="15.0"/>
        <u/>
      </rPr>
      <t>Los toros de Escolar protagonizan un rapidísimo penúltimo encierro de San Fermín 2024</t>
    </r>
    <r>
      <rPr>
        <rFont val="Arial, sans-serif"/>
        <color rgb="FF1155CC"/>
        <sz val="11.0"/>
        <u/>
      </rPr>
      <t>Han sido apenas dos minutos y 17 segundos, el segundo encierro más rápido de lo que llevamos de San Fermín 2024.</t>
    </r>
    <r>
      <rPr>
        <rFont val="Arial, sans-serif"/>
        <color rgb="FF1155CC"/>
        <sz val="12.0"/>
        <u/>
      </rPr>
      <t>.</t>
    </r>
    <r>
      <rPr>
        <rFont val="Arial, sans-serif"/>
        <color rgb="FF1155CC"/>
        <sz val="11.0"/>
        <u/>
      </rPr>
      <t>13 jul 2024</t>
    </r>
  </si>
  <si>
    <t>Los toros de Escolar protagonizan un rapidísimo penúltimo encierro de San Fermín 2024</t>
  </si>
  <si>
    <t>Han sido apenas dos minutos y 17 segundos, el segundo encierro más rápido de lo que llevamos de San Fermín 2024.</t>
  </si>
  <si>
    <t>The Escolar bulls star in a very fast penultimate running of the bulls of San Fermín 2024</t>
  </si>
  <si>
    <t>It was just two minutes and 17 seconds, the second fastest running of the bulls so far in San Fermín 2024.</t>
  </si>
  <si>
    <r>
      <rPr>
        <rFont val="Arial, sans-serif"/>
        <color rgb="FF1155CC"/>
        <sz val="9.0"/>
        <u/>
      </rPr>
      <t>Diari ARA</t>
    </r>
    <r>
      <rPr>
        <rFont val="Arial, sans-serif"/>
        <color rgb="FF1155CC"/>
        <sz val="15.0"/>
        <u/>
      </rPr>
      <t>Contaminación: 1.300 millones de euros al año de coste para la sociedad catalana</t>
    </r>
    <r>
      <rPr>
        <rFont val="Arial, sans-serif"/>
        <color rgb="FF1155CC"/>
        <sz val="11.0"/>
        <u/>
      </rPr>
      <t>BarcelonaLa contaminación industrial emitida por las diez instalaciones más contaminantes de Catalunya –encabezadas por Repsol, Dow Chemical, Ciments Molins...</t>
    </r>
    <r>
      <rPr>
        <rFont val="Arial, sans-serif"/>
        <color rgb="FF1155CC"/>
        <sz val="12.0"/>
        <u/>
      </rPr>
      <t>.</t>
    </r>
    <r>
      <rPr>
        <rFont val="Arial, sans-serif"/>
        <color rgb="FF1155CC"/>
        <sz val="11.0"/>
        <u/>
      </rPr>
      <t>13 jul 2024</t>
    </r>
  </si>
  <si>
    <t>Contaminación: 1.300 millones de euros al año de coste para la sociedad catalana</t>
  </si>
  <si>
    <t>La contaminación industrial emitida por las diez instalaciones más contaminantes de Catalunya –encabezadas por Repsol, Dow Chemical, Ciments Molins....</t>
  </si>
  <si>
    <t>Pollution: 1,300 million euros per year cost for Catalan society</t>
  </si>
  <si>
    <t>The industrial pollution emitted by the ten most polluting facilities in Catalonia – headed by Repsol, Dow Chemical, Ciments Molins...</t>
  </si>
  <si>
    <t>Neutral as it presents environmental costs without emotional framing.</t>
  </si>
  <si>
    <r>
      <rPr>
        <rFont val="Arial, sans-serif"/>
        <color rgb="FF1155CC"/>
        <sz val="9.0"/>
        <u/>
      </rPr>
      <t>Honda Racing Corporation</t>
    </r>
    <r>
      <rPr>
        <rFont val="Arial, sans-serif"/>
        <color rgb="FF1155CC"/>
        <sz val="15.0"/>
        <u/>
      </rPr>
      <t>Tercer doblete del año para el Repsol Honda Team</t>
    </r>
    <r>
      <rPr>
        <rFont val="Arial, sans-serif"/>
        <color rgb="FF1155CC"/>
        <sz val="11.0"/>
        <u/>
      </rPr>
      <t>Toni Bou se va al parón de verano aún más líder en la general con 177 puntos. Su compañero, Gabriel Marcelli se mantiene en la segunda posición del...</t>
    </r>
    <r>
      <rPr>
        <rFont val="Arial, sans-serif"/>
        <color rgb="FF1155CC"/>
        <sz val="12.0"/>
        <u/>
      </rPr>
      <t>.</t>
    </r>
    <r>
      <rPr>
        <rFont val="Arial, sans-serif"/>
        <color rgb="FF1155CC"/>
        <sz val="11.0"/>
        <u/>
      </rPr>
      <t>14 jul 2024</t>
    </r>
  </si>
  <si>
    <t>Tercer doblete del año para el Repsol Honda Team</t>
  </si>
  <si>
    <t>Toni Bou se va al parón de verano aún más líder en la general con 177 puntos. Su compañero, Gabriel Marcelli se mantiene en la segunda posición del....</t>
  </si>
  <si>
    <t>Third double of the year for the Repsol Honda Team</t>
  </si>
  <si>
    <t>Toni Bou goes into the summer break even more leader in the general standings with 177 points. His teammate, Gabriel Marcelli remains in second position in the...</t>
  </si>
  <si>
    <t>Positive as it highlights sporting success for Repsol Honda.</t>
  </si>
  <si>
    <t>Neutral; sports sponsorship.</t>
  </si>
  <si>
    <t>Neutral; patrocinio deportivo.</t>
  </si>
  <si>
    <r>
      <rPr>
        <rFont val="Arial, sans-serif"/>
        <color rgb="FF1155CC"/>
        <sz val="9.0"/>
        <u/>
      </rPr>
      <t>La Voz de Galicia</t>
    </r>
    <r>
      <rPr>
        <rFont val="Arial, sans-serif"/>
        <color rgb="FF1155CC"/>
        <sz val="15.0"/>
        <u/>
      </rPr>
      <t>Los dos restaurantes de Sanxenxo que seducen a los grandes cocineros</t>
    </r>
    <r>
      <rPr>
        <rFont val="Arial, sans-serif"/>
        <color rgb="FF1155CC"/>
        <sz val="11.0"/>
        <u/>
      </rPr>
      <t>La cocina de Michael Peloni y A Curva, en una selección de la Guía Repsol.</t>
    </r>
    <r>
      <rPr>
        <rFont val="Arial, sans-serif"/>
        <color rgb="FF1155CC"/>
        <sz val="12.0"/>
        <u/>
      </rPr>
      <t>.</t>
    </r>
    <r>
      <rPr>
        <rFont val="Arial, sans-serif"/>
        <color rgb="FF1155CC"/>
        <sz val="11.0"/>
        <u/>
      </rPr>
      <t>14 jul 2024</t>
    </r>
  </si>
  <si>
    <t>Los dos restaurantes de Sanxenxo que seducen a los grandes cocineros</t>
  </si>
  <si>
    <t>La cocina de Michael Peloni y A Curva, en una selección de la Guía Repsol.</t>
  </si>
  <si>
    <t>The two restaurants in Sanxenxo that seduce great chefs</t>
  </si>
  <si>
    <t>The cuisine of Michael Peloni and A Curva, in a selection from the Repsol Guide.</t>
  </si>
  <si>
    <r>
      <rPr>
        <rFont val="Arial, sans-serif"/>
        <color rgb="FF1155CC"/>
        <sz val="9.0"/>
        <u/>
      </rPr>
      <t>El Español</t>
    </r>
    <r>
      <rPr>
        <rFont val="Arial, sans-serif"/>
        <color rgb="FF1155CC"/>
        <sz val="15.0"/>
        <u/>
      </rPr>
      <t>Comida portuguesa y acceso para mascotas: así es el mejor chiringuito de la zona de Isla Cristina</t>
    </r>
    <r>
      <rPr>
        <rFont val="Arial, sans-serif"/>
        <color rgb="FF1155CC"/>
        <sz val="11.0"/>
        <u/>
      </rPr>
      <t>Platos de autor, música en directo y cocina creativa son algunos de los elementos que convierten a estos chiringuitos en la opción ideal.</t>
    </r>
    <r>
      <rPr>
        <rFont val="Arial, sans-serif"/>
        <color rgb="FF1155CC"/>
        <sz val="12.0"/>
        <u/>
      </rPr>
      <t>.</t>
    </r>
    <r>
      <rPr>
        <rFont val="Arial, sans-serif"/>
        <color rgb="FF1155CC"/>
        <sz val="11.0"/>
        <u/>
      </rPr>
      <t>14 jul 2024</t>
    </r>
  </si>
  <si>
    <t>Comida portuguesa y acceso para mascotas: así es el mejor chiringuito de la zona de Isla Cristina</t>
  </si>
  <si>
    <t>Platos de autor, música en directo y cocina creativa son algunos de los elementos que convierten a estos chiringuitos en la opción ideal.</t>
  </si>
  <si>
    <t>Portuguese food and access for pets: this is the best beach bar in the Isla Cristina area</t>
  </si>
  <si>
    <t>Signature dishes, live music and creative cuisine are some of the elements that make these beach bars the ideal option.</t>
  </si>
  <si>
    <r>
      <rPr>
        <rFont val="Arial, sans-serif"/>
        <color rgb="FF1155CC"/>
        <sz val="9.0"/>
        <u/>
      </rPr>
      <t>SPORT</t>
    </r>
    <r>
      <rPr>
        <rFont val="Arial, sans-serif"/>
        <color rgb="FF1155CC"/>
        <sz val="15.0"/>
        <u/>
      </rPr>
      <t>Toni Bou sigue imparable y ya camina hacia un nuevo título</t>
    </r>
    <r>
      <rPr>
        <rFont val="Arial, sans-serif"/>
        <color rgb="FF1155CC"/>
        <sz val="11.0"/>
        <u/>
      </rPr>
      <t>Toni Bou se marcha de Comblain-au-Pont líder de la general con una ventaja de 42 puntos sobre el segundo clasificado, Gabriel Marcelli. Toni Bou y el Repsol...</t>
    </r>
    <r>
      <rPr>
        <rFont val="Arial, sans-serif"/>
        <color rgb="FF1155CC"/>
        <sz val="12.0"/>
        <u/>
      </rPr>
      <t>.</t>
    </r>
    <r>
      <rPr>
        <rFont val="Arial, sans-serif"/>
        <color rgb="FF1155CC"/>
        <sz val="11.0"/>
        <u/>
      </rPr>
      <t>14 jul 2024</t>
    </r>
  </si>
  <si>
    <t>SPORT</t>
  </si>
  <si>
    <t>Toni Bou sigue imparable y ya camina hacia un nuevo título</t>
  </si>
  <si>
    <t>Toni Bou se marcha de Comblain-au-Pont líder de la general con una ventaja de 42 puntos sobre el segundo clasificado, Gabriel Marcelli. Toni Bou y el Repsol....</t>
  </si>
  <si>
    <t>Toni Bou remains unstoppable and is already walking towards a new title</t>
  </si>
  <si>
    <t>Toni Bou leaves Comblain-au-Pont overall leader with a 42-point advantage over second-placed Gabriel Marcelli. Toni Bou and Repsol....</t>
  </si>
  <si>
    <t>Positive as it highlights sporting dominance under Repsol sponsorship.</t>
  </si>
  <si>
    <r>
      <rPr>
        <rFont val="Arial, sans-serif"/>
        <color rgb="FF1155CC"/>
        <sz val="9.0"/>
        <u/>
      </rPr>
      <t>ELLE</t>
    </r>
    <r>
      <rPr>
        <rFont val="Arial, sans-serif"/>
        <color rgb="FF1155CC"/>
        <sz val="15.0"/>
        <u/>
      </rPr>
      <t>El 'wine bar' en el centro de Madrid con vinos naturales de todo el mundo donde tener una cita romántica o cena con amigas</t>
    </r>
    <r>
      <rPr>
        <rFont val="Arial, sans-serif"/>
        <color rgb="FF1155CC"/>
        <sz val="11.0"/>
        <u/>
      </rPr>
      <t>En el corazón de uno de los barrios más vibrantes de Madrid, en La Latina, emerge un bar de vinos recomendado por la Guía Repsol y destinado a convertirse...</t>
    </r>
    <r>
      <rPr>
        <rFont val="Arial, sans-serif"/>
        <color rgb="FF1155CC"/>
        <sz val="12.0"/>
        <u/>
      </rPr>
      <t>.</t>
    </r>
    <r>
      <rPr>
        <rFont val="Arial, sans-serif"/>
        <color rgb="FF1155CC"/>
        <sz val="11.0"/>
        <u/>
      </rPr>
      <t>14 jul 2024</t>
    </r>
  </si>
  <si>
    <t>El 'wine bar' en el centro de Madrid con vinos naturales de todo el mundo donde tener una cita romántica o cena con amigas</t>
  </si>
  <si>
    <t>Un bar de vinos recomendado por la Guía Repsol en el corazón de La Latina, ideal para citas románticas o cenas con amigas.</t>
  </si>
  <si>
    <t>The 'wine bar' in the center of Madrid with natural wines from all over the world where you can have a romantic date or dinner with friends</t>
  </si>
  <si>
    <t>A wine bar recommended by the Repsol Guide in the heart of La Latina, ideal for romantic dates or dinners with friends.</t>
  </si>
  <si>
    <r>
      <rPr>
        <rFont val="Arial, sans-serif"/>
        <color rgb="FF1155CC"/>
        <sz val="9.0"/>
        <u/>
      </rPr>
      <t>La Razón</t>
    </r>
    <r>
      <rPr>
        <rFont val="Arial, sans-serif"/>
        <color rgb="FF1155CC"/>
        <sz val="15.0"/>
        <u/>
      </rPr>
      <t>AP Executive Search potencia su liderazgo con Roberto Legaz y María Trinidad</t>
    </r>
    <r>
      <rPr>
        <rFont val="Arial, sans-serif"/>
        <color rgb="FF1155CC"/>
        <sz val="11.0"/>
        <u/>
      </rPr>
      <t>La multinacional española de headhunting AP Executive Search ha nombrado a Roberto Legaz Poignon, Ex-Director de Desarrollo de Iberdrola Renovables,...</t>
    </r>
    <r>
      <rPr>
        <rFont val="Arial, sans-serif"/>
        <color rgb="FF1155CC"/>
        <sz val="12.0"/>
        <u/>
      </rPr>
      <t>.</t>
    </r>
    <r>
      <rPr>
        <rFont val="Arial, sans-serif"/>
        <color rgb="FF1155CC"/>
        <sz val="11.0"/>
        <u/>
      </rPr>
      <t>14 jul 2024</t>
    </r>
  </si>
  <si>
    <t>AP Executive Search potencia su liderazgo con Roberto Legaz y María Trinidad</t>
  </si>
  <si>
    <t>La multinacional española de headhunting AP Executive Search ha nombrado a Roberto Legaz Poignon, Ex-Director de Desarrollo de Iberdrola Renovables,....</t>
  </si>
  <si>
    <t>AP Executive Search enhances its leadership with Roberto Legaz and María Trinidad</t>
  </si>
  <si>
    <t>The Spanish multinational headhunting company AP Executive Search has appointed Roberto Legaz Poignon, Former Development Director of Iberdrola Renovables,....</t>
  </si>
  <si>
    <r>
      <rPr>
        <rFont val="Arial, sans-serif"/>
        <color rgb="FF1155CC"/>
        <sz val="9.0"/>
        <u/>
      </rPr>
      <t>OkDiario</t>
    </r>
    <r>
      <rPr>
        <rFont val="Arial, sans-serif"/>
        <color rgb="FF1155CC"/>
        <sz val="15.0"/>
        <u/>
      </rPr>
      <t>Cinco restaurantes franceses en Madrid a los que iría hasta Carla Bruni</t>
    </r>
    <r>
      <rPr>
        <rFont val="Arial, sans-serif"/>
        <color rgb="FF1155CC"/>
        <sz val="11.0"/>
        <u/>
      </rPr>
      <t>Si Carla viniera a celebrar la Fiesta Nacional Francesa a España, seguro que elegiría uno de estos restaurantes franceses de Madrid.</t>
    </r>
    <r>
      <rPr>
        <rFont val="Arial, sans-serif"/>
        <color rgb="FF1155CC"/>
        <sz val="12.0"/>
        <u/>
      </rPr>
      <t>.</t>
    </r>
    <r>
      <rPr>
        <rFont val="Arial, sans-serif"/>
        <color rgb="FF1155CC"/>
        <sz val="11.0"/>
        <u/>
      </rPr>
      <t>14 jul 2024</t>
    </r>
  </si>
  <si>
    <t>Cinco restaurantes franceses en Madrid a los que iría hasta Carla Bruni</t>
  </si>
  <si>
    <t>Si Carla viniera a celebrar la Fiesta Nacional Francesa a España, seguro que elegiría uno de estos restaurantes franceses de Madrid.</t>
  </si>
  <si>
    <t>Five French restaurants in Madrid that even Carla Bruni would go to</t>
  </si>
  <si>
    <t>If Carla came to celebrate the French National Holiday in Spain, she would surely choose one of these French restaurants in Madrid.</t>
  </si>
  <si>
    <r>
      <rPr>
        <rFont val="Arial, sans-serif"/>
        <color rgb="FF1155CC"/>
        <sz val="9.0"/>
        <u/>
      </rPr>
      <t>La Voz de Galicia</t>
    </r>
    <r>
      <rPr>
        <rFont val="Arial, sans-serif"/>
        <color rgb="FF1155CC"/>
        <sz val="15.0"/>
        <u/>
      </rPr>
      <t>Dos agricultores compran la gasolinera de A Agualada, inaugurada en 1964</t>
    </r>
    <r>
      <rPr>
        <rFont val="Arial, sans-serif"/>
        <color rgb="FF1155CC"/>
        <sz val="11.0"/>
        <u/>
      </rPr>
      <t>Feliciano Andrade y Sonia Montes son pareja y residen en Nantón, Cabana.</t>
    </r>
    <r>
      <rPr>
        <rFont val="Arial, sans-serif"/>
        <color rgb="FF1155CC"/>
        <sz val="12.0"/>
        <u/>
      </rPr>
      <t>.</t>
    </r>
    <r>
      <rPr>
        <rFont val="Arial, sans-serif"/>
        <color rgb="FF1155CC"/>
        <sz val="11.0"/>
        <u/>
      </rPr>
      <t>14 jul 2024</t>
    </r>
  </si>
  <si>
    <t>Dos agricultores compran la gasolinera de A Agualada, inaugurada en 1964</t>
  </si>
  <si>
    <t>Feliciano Andrade y Sonia Montes son pareja y residen en Nantón, Cabana.</t>
  </si>
  <si>
    <t>Two farmers buy the A Agualada gas station, opened in 1964</t>
  </si>
  <si>
    <t>Feliciano Andrade and Sonia Montes are a couple and reside in Nantón, Cabana.</t>
  </si>
  <si>
    <t>Neutral as it presents a business transaction without sentiment.</t>
  </si>
  <si>
    <r>
      <rPr>
        <rFont val="Arial, sans-serif"/>
        <color rgb="FF1155CC"/>
        <sz val="9.0"/>
        <u/>
      </rPr>
      <t>Interempresas.net</t>
    </r>
    <r>
      <rPr>
        <rFont val="Arial, sans-serif"/>
        <color rgb="FF1155CC"/>
        <sz val="15.0"/>
        <u/>
      </rPr>
      <t>Repsol adquiere el 45% de la participación de El Corte Inglés en Gespevesa</t>
    </r>
    <r>
      <rPr>
        <rFont val="Arial, sans-serif"/>
        <color rgb="FF1155CC"/>
        <sz val="11.0"/>
        <u/>
      </rPr>
      <t>El Corte Inglés vendió a Repsol el 45% de su participación en Gespevesa, la sociedad conjunta encargada de gestionar estaciones de servicio, lo que otorga a...</t>
    </r>
    <r>
      <rPr>
        <rFont val="Arial, sans-serif"/>
        <color rgb="FF1155CC"/>
        <sz val="12.0"/>
        <u/>
      </rPr>
      <t>.</t>
    </r>
    <r>
      <rPr>
        <rFont val="Arial, sans-serif"/>
        <color rgb="FF1155CC"/>
        <sz val="11.0"/>
        <u/>
      </rPr>
      <t>15 jul 2024</t>
    </r>
  </si>
  <si>
    <t>Repsol adquiere el 45% de la participación de El Corte Inglés en Gespevesa</t>
  </si>
  <si>
    <t>El Corte Inglés vendió a Repsol el 45% de su participación en Gespevesa, la sociedad conjunta encargada de gestionar estaciones de servicio, lo que otorga a....</t>
  </si>
  <si>
    <t>Repsol acquires 45% of El Corte Inglés' stake in Gespevesa</t>
  </si>
  <si>
    <t>El Corte Inglés sold 45% of its stake in Gespevesa, the joint company in charge of managing service stations, to Repsol, which gives...</t>
  </si>
  <si>
    <t>Positive as it highlights Repsol expanding its control in a business partnership.</t>
  </si>
  <si>
    <t>Mildly positive for business expansion.</t>
  </si>
  <si>
    <t>Ligeramente positivo para la expansión empresarial.</t>
  </si>
  <si>
    <r>
      <rPr>
        <rFont val="Arial, sans-serif"/>
        <color rgb="FF1155CC"/>
        <sz val="9.0"/>
        <u/>
      </rPr>
      <t>ABC</t>
    </r>
    <r>
      <rPr>
        <rFont val="Arial, sans-serif"/>
        <color rgb="FF1155CC"/>
        <sz val="15.0"/>
        <u/>
      </rPr>
      <t>El CEO de Repsol afirma que prohibir el motor de combustión en 2035 es un error</t>
    </r>
    <r>
      <rPr>
        <rFont val="Arial, sans-serif"/>
        <color rgb="FF1155CC"/>
        <sz val="11.0"/>
        <u/>
      </rPr>
      <t>Josu Jon Imaz ha criticado las políticas medioambientales de la Unión Europea, y cree que la prohibición no se va a producir.</t>
    </r>
    <r>
      <rPr>
        <rFont val="Arial, sans-serif"/>
        <color rgb="FF1155CC"/>
        <sz val="12.0"/>
        <u/>
      </rPr>
      <t>.</t>
    </r>
    <r>
      <rPr>
        <rFont val="Arial, sans-serif"/>
        <color rgb="FF1155CC"/>
        <sz val="11.0"/>
        <u/>
      </rPr>
      <t>15 jul 2024</t>
    </r>
  </si>
  <si>
    <t>El CEO de Repsol afirma que prohibir el motor de combustión en 2035 es un error</t>
  </si>
  <si>
    <t>Josu Jon Imaz ha criticado las políticas medioambientales de la Unión Europea, y cree que la prohibición no se va a producir.</t>
  </si>
  <si>
    <t>The CEO of Repsol affirms that banning the combustion engine in 2035 is a mistake</t>
  </si>
  <si>
    <t>Josu Jon Imaz has criticized the environmental policies of the European Union, and believes that the ban is not going to happen.</t>
  </si>
  <si>
    <t>Slightly negative as it positions Repsol against environmental regulations.</t>
  </si>
  <si>
    <t>prohibir, error</t>
  </si>
  <si>
    <t>Negative for controversial stance.</t>
  </si>
  <si>
    <t>Negativo por postura controvertida.</t>
  </si>
  <si>
    <r>
      <rPr>
        <rFont val="Arial, sans-serif"/>
        <color rgb="FF1155CC"/>
        <sz val="9.0"/>
        <u/>
      </rPr>
      <t>Cadena SER</t>
    </r>
    <r>
      <rPr>
        <rFont val="Arial, sans-serif"/>
        <color rgb="FF1155CC"/>
        <sz val="15.0"/>
        <u/>
      </rPr>
      <t>El escenario renovable del Bilbao BBK Live que marcará tendencia en los festivales</t>
    </r>
    <r>
      <rPr>
        <rFont val="Arial, sans-serif"/>
        <color rgb="FF1155CC"/>
        <sz val="11.0"/>
        <u/>
      </rPr>
      <t>Txiki, el espacio dedicado a descubrir bandas emergentes, se alimenta desde este año completamente con energías renovables suministradas por Repsol.</t>
    </r>
    <r>
      <rPr>
        <rFont val="Arial, sans-serif"/>
        <color rgb="FF1155CC"/>
        <sz val="12.0"/>
        <u/>
      </rPr>
      <t>.</t>
    </r>
    <r>
      <rPr>
        <rFont val="Arial, sans-serif"/>
        <color rgb="FF1155CC"/>
        <sz val="11.0"/>
        <u/>
      </rPr>
      <t>15 jul 2024</t>
    </r>
  </si>
  <si>
    <t>El escenario renovable del Bilbao BBK Live que marcará tendencia en los festivales</t>
  </si>
  <si>
    <t>Txiki, el espacio dedicado a descubrir bandas emergentes, se alimenta desde este año completamente con energías renovables suministradas por Repsol.</t>
  </si>
  <si>
    <t>The renewable stage of Bilbao BBK Live that will set a trend at festivals</t>
  </si>
  <si>
    <t>Txiki, the space dedicated to discovering emerging bands, has been powered completely by renewable energy supplied by Repsol since this year.</t>
  </si>
  <si>
    <t>Positive as it highlights Repsol’s contribution to sustainability in entertainment.</t>
  </si>
  <si>
    <t>renovable</t>
  </si>
  <si>
    <r>
      <rPr>
        <rFont val="Arial, sans-serif"/>
        <color rgb="FF1155CC"/>
        <sz val="9.0"/>
        <u/>
      </rPr>
      <t>Guía Repsol</t>
    </r>
    <r>
      <rPr>
        <rFont val="Arial, sans-serif"/>
        <color rgb="FF1155CC"/>
        <sz val="15.0"/>
        <u/>
      </rPr>
      <t>Conoce los pueblos de la Costa Brava menos transitados</t>
    </r>
    <r>
      <rPr>
        <rFont val="Arial, sans-serif"/>
        <color rgb="FF1155CC"/>
        <sz val="11.0"/>
        <u/>
      </rPr>
      <t>La Costa Brava, con su litoral salpicado de calas escondidas de aguas turquesas, playas de arena fina que son puro Mediterráneo y pueblitos de pasado...</t>
    </r>
    <r>
      <rPr>
        <rFont val="Arial, sans-serif"/>
        <color rgb="FF1155CC"/>
        <sz val="12.0"/>
        <u/>
      </rPr>
      <t>.</t>
    </r>
    <r>
      <rPr>
        <rFont val="Arial, sans-serif"/>
        <color rgb="FF1155CC"/>
        <sz val="11.0"/>
        <u/>
      </rPr>
      <t>15 jul 2024</t>
    </r>
  </si>
  <si>
    <t>Conoce los pueblos de la Costa Brava menos transitados</t>
  </si>
  <si>
    <t>La Costa Brava, con su litoral salpicado de calas escondidas de aguas turquesas, playas de arena fina que son puro Mediterráneo y pueblitos de pasado.</t>
  </si>
  <si>
    <t>Get to know the less traveled towns on the Costa Brava</t>
  </si>
  <si>
    <t>The Costa Brava, with its coastline dotted with hidden coves with turquoise waters, fine sand beaches that are pure Mediterranean and small towns from the past.</t>
  </si>
  <si>
    <r>
      <rPr>
        <rFont val="Arial, sans-serif"/>
        <color rgb="FF1155CC"/>
        <sz val="9.0"/>
        <u/>
      </rPr>
      <t>Huelva 24</t>
    </r>
    <r>
      <rPr>
        <rFont val="Arial, sans-serif"/>
        <color rgb="FF1155CC"/>
        <sz val="15.0"/>
        <u/>
      </rPr>
      <t>La heladería de Punta Umbría que recomienda la Guía Repsol para este verano 2024</t>
    </r>
    <r>
      <rPr>
        <rFont val="Arial, sans-serif"/>
        <color rgb="FF1155CC"/>
        <sz val="11.0"/>
        <u/>
      </rPr>
      <t>Xanty Elías recomienda esta heladería por la amplia variedad de helados que permite degustar, a cada cual más delicioso.</t>
    </r>
    <r>
      <rPr>
        <rFont val="Arial, sans-serif"/>
        <color rgb="FF1155CC"/>
        <sz val="12.0"/>
        <u/>
      </rPr>
      <t>.</t>
    </r>
    <r>
      <rPr>
        <rFont val="Arial, sans-serif"/>
        <color rgb="FF1155CC"/>
        <sz val="11.0"/>
        <u/>
      </rPr>
      <t>15 jul 2024</t>
    </r>
  </si>
  <si>
    <t>La heladería de Punta Umbría que recomienda la Guía Repsol para este verano 2024</t>
  </si>
  <si>
    <t>Xanty Elías recomienda esta heladería por la amplia variedad de helados que permite degustar, a cada cual más delicioso.</t>
  </si>
  <si>
    <t>The Punta Umbría ice cream parlor that the Repsol Guide recommends for this summer 2024</t>
  </si>
  <si>
    <t>Xanty Elías recommends this ice cream parlor for the wide variety of ice creams that you can taste, each one more delicious.</t>
  </si>
  <si>
    <r>
      <rPr>
        <rFont val="Arial, sans-serif"/>
        <color rgb="FF1155CC"/>
        <sz val="9.0"/>
        <u/>
      </rPr>
      <t>El Español</t>
    </r>
    <r>
      <rPr>
        <rFont val="Arial, sans-serif"/>
        <color rgb="FF1155CC"/>
        <sz val="15.0"/>
        <u/>
      </rPr>
      <t>Fiebre por las plantas que combinan solar y eólica: las energéticas preparan nuevos proyectos por 10.000 millones</t>
    </r>
    <r>
      <rPr>
        <rFont val="Arial, sans-serif"/>
        <color rgb="FF1155CC"/>
        <sz val="11.0"/>
        <u/>
      </rPr>
      <t>Repsol, Endesa, Iberdrola, Naturgy, Acciona o Capital Energy tramitan sus proyectos de hibridacíon a través de Transición Ecológica.</t>
    </r>
    <r>
      <rPr>
        <rFont val="Arial, sans-serif"/>
        <color rgb="FF1155CC"/>
        <sz val="12.0"/>
        <u/>
      </rPr>
      <t>.</t>
    </r>
    <r>
      <rPr>
        <rFont val="Arial, sans-serif"/>
        <color rgb="FF1155CC"/>
        <sz val="11.0"/>
        <u/>
      </rPr>
      <t>15 jul 2024</t>
    </r>
  </si>
  <si>
    <t>Fiebre por las plantas que combinan solar y eólica: las energéticas preparan nuevos proyectos por 10.000 millones</t>
  </si>
  <si>
    <t>Fiebre por las plantas que combinan solar y eólica: las energéticas preparan nuevos proyectos por 10.000 millones.</t>
  </si>
  <si>
    <t>Fever for plants that combine solar and wind: energy companies prepare new projects for 10,000 million</t>
  </si>
  <si>
    <t>Fever for plants that combine solar and wind: energy companies are preparing new projects for 10,000 million.</t>
  </si>
  <si>
    <t>Neutral as it discusses industry trends without sentiment implications.</t>
  </si>
  <si>
    <r>
      <rPr>
        <rFont val="Arial, sans-serif"/>
        <color rgb="FF1155CC"/>
        <sz val="9.0"/>
        <u/>
      </rPr>
      <t>El Correo Gallego</t>
    </r>
    <r>
      <rPr>
        <rFont val="Arial, sans-serif"/>
        <color rgb="FF1155CC"/>
        <sz val="15.0"/>
        <u/>
      </rPr>
      <t>Tamar Novas comparte su amor por Santiago en una entrevista con Guía Repsol: "El mejor lugar del mundo para pasear"</t>
    </r>
    <r>
      <rPr>
        <rFont val="Arial, sans-serif"/>
        <color rgb="FF1155CC"/>
        <sz val="11.0"/>
        <u/>
      </rPr>
      <t>El actor menciona con cariño sus visitas a lugares emblemáticos de la ciudad, como la plaza de Abastos y las callejuelas del casco antiguo.</t>
    </r>
    <r>
      <rPr>
        <rFont val="Arial, sans-serif"/>
        <color rgb="FF1155CC"/>
        <sz val="12.0"/>
        <u/>
      </rPr>
      <t>.</t>
    </r>
    <r>
      <rPr>
        <rFont val="Arial, sans-serif"/>
        <color rgb="FF1155CC"/>
        <sz val="11.0"/>
        <u/>
      </rPr>
      <t>15 jul 2024</t>
    </r>
  </si>
  <si>
    <t>Tamar Novas comparte su amor por Santiago en una entrevista con Guía Repsol: "El mejor lugar del mundo para pasear"</t>
  </si>
  <si>
    <t>El actor menciona con cariño sus visitas a lugares emblemáticos de la ciudad, como la plaza de Abastos y las callejuelas del casco antiguo.</t>
  </si>
  <si>
    <t>Tamar Novas shares her love for Santiago in an interview with Guía Repsol: "The best place in the world to walk"</t>
  </si>
  <si>
    <t>The actor fondly mentions his visits to emblematic places in the city, such as the Plaza de Abastos and the alleys of the old town.</t>
  </si>
  <si>
    <r>
      <rPr>
        <rFont val="Arial, sans-serif"/>
        <color rgb="FF1155CC"/>
        <sz val="9.0"/>
        <u/>
      </rPr>
      <t>Mundo Deportivo</t>
    </r>
    <r>
      <rPr>
        <rFont val="Arial, sans-serif"/>
        <color rgb="FF1155CC"/>
        <sz val="15.0"/>
        <u/>
      </rPr>
      <t>Los 7 aceites de motor más vendidos de Amazon y cómo elegir el que necesitas</t>
    </r>
    <r>
      <rPr>
        <rFont val="Arial, sans-serif"/>
        <color rgb="FF1155CC"/>
        <sz val="11.0"/>
        <u/>
      </rPr>
      <t>Comprar repuestos y consumibles para nuestro coche a través de Internet es lo más habitual hoy día. Las tiendas físicas de toda la vida tienen una pequeña...</t>
    </r>
    <r>
      <rPr>
        <rFont val="Arial, sans-serif"/>
        <color rgb="FF1155CC"/>
        <sz val="12.0"/>
        <u/>
      </rPr>
      <t>.</t>
    </r>
    <r>
      <rPr>
        <rFont val="Arial, sans-serif"/>
        <color rgb="FF1155CC"/>
        <sz val="11.0"/>
        <u/>
      </rPr>
      <t>15 jul 2024</t>
    </r>
  </si>
  <si>
    <t>Los 7 aceites de motor más vendidos de Amazon y cómo elegir el que necesitas</t>
  </si>
  <si>
    <t>Comprar repuestos y consumibles para nuestro coche a través de Internet es lo más habitual hoy día. Las tiendas físicas de toda la vida tienen una pequeña....</t>
  </si>
  <si>
    <t>The 7 best-selling motor oils on Amazon and how to choose the one you need</t>
  </si>
  <si>
    <t>Buying spare parts and consumables for our car through the Internet is the most common thing today. Traditional physical stores have a small...</t>
  </si>
  <si>
    <r>
      <rPr>
        <rFont val="Arial, sans-serif"/>
        <color rgb="FF1155CC"/>
        <sz val="9.0"/>
        <u/>
      </rPr>
      <t>Epicentro TV</t>
    </r>
    <r>
      <rPr>
        <rFont val="Arial, sans-serif"/>
        <color rgb="FF1155CC"/>
        <sz val="15.0"/>
        <u/>
      </rPr>
      <t>Los secretos de la "caja negra" de 'Mare Doricum'</t>
    </r>
    <r>
      <rPr>
        <rFont val="Arial, sans-serif"/>
        <color rgb="FF1155CC"/>
        <sz val="11.0"/>
        <u/>
      </rPr>
      <t>Exclusivo. Los audios de la "caja negra" y las cámaras del buque petrolero italiano 'Mare Doricum' revelan las causas del más grande derrame de crudo...</t>
    </r>
    <r>
      <rPr>
        <rFont val="Arial, sans-serif"/>
        <color rgb="FF1155CC"/>
        <sz val="12.0"/>
        <u/>
      </rPr>
      <t>.</t>
    </r>
    <r>
      <rPr>
        <rFont val="Arial, sans-serif"/>
        <color rgb="FF1155CC"/>
        <sz val="11.0"/>
        <u/>
      </rPr>
      <t>15 jul 2024</t>
    </r>
  </si>
  <si>
    <t>Epicentro TV</t>
  </si>
  <si>
    <t>Los secretos de la "caja negra" de 'Mare Doricum'</t>
  </si>
  <si>
    <t>Exclusivo. Los audios de la "caja negra" y las cámaras del buque petrolero italiano 'Mare Doricum' revelan las causas del más grande derrame de crudo....</t>
  </si>
  <si>
    <t>The secrets of the "black box" of 'Mare Doricum'</t>
  </si>
  <si>
    <t>Exclusive. Audio from the "black box" and cameras of the Italian oil tanker 'Mare Doricum' reveal the causes of the largest oil spill....</t>
  </si>
  <si>
    <r>
      <rPr>
        <rFont val="Arial, sans-serif"/>
        <color rgb="FF1155CC"/>
        <sz val="9.0"/>
        <u/>
      </rPr>
      <t>El Periódico</t>
    </r>
    <r>
      <rPr>
        <rFont val="Arial, sans-serif"/>
        <color rgb="FF1155CC"/>
        <sz val="15.0"/>
        <u/>
      </rPr>
      <t>Dónde comer en Lleida y provincia a muy buen precio</t>
    </r>
    <r>
      <rPr>
        <rFont val="Arial, sans-serif"/>
        <color rgb="FF1155CC"/>
        <sz val="11.0"/>
        <u/>
      </rPr>
      <t>Los mejores cocineros descubren dónde desayunan y comen a buen precio.</t>
    </r>
    <r>
      <rPr>
        <rFont val="Arial, sans-serif"/>
        <color rgb="FF1155CC"/>
        <sz val="12.0"/>
        <u/>
      </rPr>
      <t>.</t>
    </r>
    <r>
      <rPr>
        <rFont val="Arial, sans-serif"/>
        <color rgb="FF1155CC"/>
        <sz val="11.0"/>
        <u/>
      </rPr>
      <t>15 jul 2024</t>
    </r>
  </si>
  <si>
    <t>Dónde comer en Lleida y provincia a muy buen precio</t>
  </si>
  <si>
    <t>Los mejores cocineros descubren dónde desayunan y comen a buen precio.</t>
  </si>
  <si>
    <t>Where to eat in Lleida and the province at a very good price</t>
  </si>
  <si>
    <t>The best chefs discover where they have breakfast and lunch at a good price.</t>
  </si>
  <si>
    <r>
      <rPr>
        <rFont val="Arial, sans-serif"/>
        <color rgb="FF1155CC"/>
        <sz val="9.0"/>
        <u/>
      </rPr>
      <t>El Periódico de la Energía</t>
    </r>
    <r>
      <rPr>
        <rFont val="Arial, sans-serif"/>
        <color rgb="FF1155CC"/>
        <sz val="15.0"/>
        <u/>
      </rPr>
      <t>Repsol y Powerfultree impulsan el primer piloto agrovoltaico de España con estructura elevada sobre viñedo</t>
    </r>
    <r>
      <rPr>
        <rFont val="Arial, sans-serif"/>
        <color rgb="FF1155CC"/>
        <sz val="11.0"/>
        <u/>
      </rPr>
      <t>Repsol, Powerfultree y la Escuela Enología–CIFP San Gabriel han inaugurado en Aranda del Duero el primer piloto agrovoltaico de España con estructura...</t>
    </r>
    <r>
      <rPr>
        <rFont val="Arial, sans-serif"/>
        <color rgb="FF1155CC"/>
        <sz val="12.0"/>
        <u/>
      </rPr>
      <t>.</t>
    </r>
    <r>
      <rPr>
        <rFont val="Arial, sans-serif"/>
        <color rgb="FF1155CC"/>
        <sz val="11.0"/>
        <u/>
      </rPr>
      <t>16 jul 2024</t>
    </r>
  </si>
  <si>
    <t>Repsol y Powerfultree impulsan el primer piloto agrovoltaico de España con estructura elevada sobre viñedo</t>
  </si>
  <si>
    <t>Repsol, Powerfultree y la Escuela Enología–CIFP San Gabriel han inaugurado en Aranda del Duero el primer piloto agrovoltaico de España con estructura....</t>
  </si>
  <si>
    <t>Repsol and Powerfultree promote the first agrivoltaic pilot in Spain with an elevated structure over vineyards</t>
  </si>
  <si>
    <t>Repsol, Powerfultree and the Enology School–CIFP San Gabriel have inaugurated in Aranda del Duero the first agrovoltaic pilot in Spain with a structure....</t>
  </si>
  <si>
    <t>Repsol renewable energy, agrivoltaic project</t>
  </si>
  <si>
    <t>Repsol energías renovables, proyecto agrivoltaico</t>
  </si>
  <si>
    <t>Positive as it highlights Repsol’s leadership in innovative renewable energy projects.</t>
  </si>
  <si>
    <t>agrovoltaico</t>
  </si>
  <si>
    <t>Positive for innovative sustainability projects.</t>
  </si>
  <si>
    <t>Positivo para proyectos innovadores de sostenibilidad.</t>
  </si>
  <si>
    <r>
      <rPr>
        <rFont val="Arial, sans-serif"/>
        <color rgb="FF1155CC"/>
        <sz val="9.0"/>
        <u/>
      </rPr>
      <t>Guía Repsol</t>
    </r>
    <r>
      <rPr>
        <rFont val="Arial, sans-serif"/>
        <color rgb="FF1155CC"/>
        <sz val="15.0"/>
        <u/>
      </rPr>
      <t>Tres siglos del Palacio Real de La Granja</t>
    </r>
    <r>
      <rPr>
        <rFont val="Arial, sans-serif"/>
        <color rgb="FF1155CC"/>
        <sz val="11.0"/>
        <u/>
      </rPr>
      <t>Celebra 300 años de historia en el Palacio Real de La Granja. Descubre este majestuoso palacio y sus impresionantes jardines, declarados Patrimonio Mundial...</t>
    </r>
    <r>
      <rPr>
        <rFont val="Arial, sans-serif"/>
        <color rgb="FF1155CC"/>
        <sz val="12.0"/>
        <u/>
      </rPr>
      <t>.</t>
    </r>
    <r>
      <rPr>
        <rFont val="Arial, sans-serif"/>
        <color rgb="FF1155CC"/>
        <sz val="11.0"/>
        <u/>
      </rPr>
      <t>16 jul 2024</t>
    </r>
  </si>
  <si>
    <t>Tres siglos del Palacio Real de La Granja</t>
  </si>
  <si>
    <t>Celebra 300 años de historia en el Palacio Real de La Granja. Descubre este majestuoso palacio y sus impresionantes jardines, declarados Patrimonio Mundial....</t>
  </si>
  <si>
    <t>Three centuries of the Royal Palace of La Granja</t>
  </si>
  <si>
    <t>Celebrate 300 years of history at the Royal Palace of La Granja. Discover this majestic palace and its impressive gardens, declared World Heritage....</t>
  </si>
  <si>
    <r>
      <rPr>
        <rFont val="Arial, sans-serif"/>
        <color rgb="FF1155CC"/>
        <sz val="9.0"/>
        <u/>
      </rPr>
      <t>El Periódico de España</t>
    </r>
    <r>
      <rPr>
        <rFont val="Arial, sans-serif"/>
        <color rgb="FF1155CC"/>
        <sz val="15.0"/>
        <u/>
      </rPr>
      <t>La expansión de las gasolineras ‘low cost’ desborda el dominio histórico de Repsol, Cepsa, BP y Galp</t>
    </r>
    <r>
      <rPr>
        <rFont val="Arial, sans-serif"/>
        <color rgb="FF1155CC"/>
        <sz val="11.0"/>
        <u/>
      </rPr>
      <t>Las marcas alternativas controlan por primera vez más de la mitad de todo el parque de estaciones de servicio de las carreteras de España.</t>
    </r>
    <r>
      <rPr>
        <rFont val="Arial, sans-serif"/>
        <color rgb="FF1155CC"/>
        <sz val="12.0"/>
        <u/>
      </rPr>
      <t>.</t>
    </r>
    <r>
      <rPr>
        <rFont val="Arial, sans-serif"/>
        <color rgb="FF1155CC"/>
        <sz val="11.0"/>
        <u/>
      </rPr>
      <t>16 jul 2024</t>
    </r>
  </si>
  <si>
    <t>La expansión de las gasolineras ‘low cost’ desborda el dominio histórico de Repsol, Cepsa, BP y Galp</t>
  </si>
  <si>
    <t>Las marcas alternativas controlan por primera vez más de la mitad de todo el parque de estaciones de servicio de las carreteras de España.</t>
  </si>
  <si>
    <t>The expansion of 'low cost' gas stations goes beyond the historical dominance of Repsol, Cepsa, BP and Galp</t>
  </si>
  <si>
    <t>For the first time, alternative brands control more than half of the entire service station park on Spain's roads.</t>
  </si>
  <si>
    <t>Repsol fuel market, industry competition</t>
  </si>
  <si>
    <t>Mercado de combustibles Repsol, competencia del sector</t>
  </si>
  <si>
    <t>Slightly negative as it highlights growing competition against Repsol.</t>
  </si>
  <si>
    <t>low cost, desborda</t>
  </si>
  <si>
    <t>Negative for competitive pressure.</t>
  </si>
  <si>
    <t>Negativo por presión competitiva.</t>
  </si>
  <si>
    <r>
      <rPr>
        <rFont val="Arial, sans-serif"/>
        <color rgb="FF1155CC"/>
        <sz val="9.0"/>
        <u/>
      </rPr>
      <t>Bolsamania</t>
    </r>
    <r>
      <rPr>
        <rFont val="Arial, sans-serif"/>
        <color rgb="FF1155CC"/>
        <sz val="15.0"/>
        <u/>
      </rPr>
      <t>El Ibex 35 cae y pierde los 11.100 puntos lastrado por ArcelorMittal, Repsol y Colonial</t>
    </r>
    <r>
      <rPr>
        <rFont val="Arial, sans-serif"/>
        <color rgb="FF1155CC"/>
        <sz val="11.0"/>
        <u/>
      </rPr>
      <t>Pérdidas para el Ibex 35 (-0,47%; 11.090 puntos) y el resto de bolsas europeas, a excepción del FTSE Mib italiano, este martes después de las alzas...</t>
    </r>
    <r>
      <rPr>
        <rFont val="Arial, sans-serif"/>
        <color rgb="FF1155CC"/>
        <sz val="12.0"/>
        <u/>
      </rPr>
      <t>.</t>
    </r>
    <r>
      <rPr>
        <rFont val="Arial, sans-serif"/>
        <color rgb="FF1155CC"/>
        <sz val="11.0"/>
        <u/>
      </rPr>
      <t>16 jul 2024</t>
    </r>
  </si>
  <si>
    <t>El Ibex 35 cae y pierde los 11.100 puntos lastrado por ArcelorMittal, Repsol y Colonial</t>
  </si>
  <si>
    <t>Pérdidas para el Ibex 35 (-0,47%; 11.090 puntos) y el resto de bolsas europeas, a excepción del FTSE Mib italiano, este martes después de las alzas....</t>
  </si>
  <si>
    <t>The Ibex 35 falls and loses 11,100 points weighed down by ArcelorMittal, Repsol and Colonial</t>
  </si>
  <si>
    <t>Losses for the Ibex 35 (-0.47%; 11,090 points) and the rest of the European stock markets, with the exception of the Italian FTSE Mib, this Tuesday after the increases....</t>
  </si>
  <si>
    <t>Slightly negative as it highlights Repsol’s role in market declines.</t>
  </si>
  <si>
    <t>cae, lastrado</t>
  </si>
  <si>
    <r>
      <rPr>
        <rFont val="Arial, sans-serif"/>
        <color rgb="FF1155CC"/>
        <sz val="9.0"/>
        <u/>
      </rPr>
      <t>Expansión</t>
    </r>
    <r>
      <rPr>
        <rFont val="Arial, sans-serif"/>
        <color rgb="FF1155CC"/>
        <sz val="15.0"/>
        <u/>
      </rPr>
      <t>Ibex 35 hoy, La Bolsa en Directo | El Ibex pierde los 11.100 puntos con el lastre de Arcelor y Repsol</t>
    </r>
    <r>
      <rPr>
        <rFont val="Arial, sans-serif"/>
        <color rgb="FF1155CC"/>
        <sz val="11.0"/>
        <u/>
      </rPr>
      <t>El Ibex 35 ha cerrado la jornada con un nuevo recorte tras sumar un 2% la semana pasada. Hoy, el selectivo español ha cedido un 0,47% y ha cerrado por...</t>
    </r>
    <r>
      <rPr>
        <rFont val="Arial, sans-serif"/>
        <color rgb="FF1155CC"/>
        <sz val="12.0"/>
        <u/>
      </rPr>
      <t>.</t>
    </r>
    <r>
      <rPr>
        <rFont val="Arial, sans-serif"/>
        <color rgb="FF1155CC"/>
        <sz val="11.0"/>
        <u/>
      </rPr>
      <t>16 jul 2024</t>
    </r>
  </si>
  <si>
    <t>Ibex 35 hoy, La Bolsa en Directo | El Ibex pierde los 11.100 puntos con el lastre de Arcelor y Repsol</t>
  </si>
  <si>
    <t>El Ibex 35 ha cerrado la jornada con un nuevo recorte tras sumar un 2% la semana pasada. Hoy, el selectivo español ha cedido un 0,47% y ha cerrado por....</t>
  </si>
  <si>
    <t>Ibex 35 today, The Stock Market Live | The Ibex loses 11,100 points with the burden of Arcelor and Repsol</t>
  </si>
  <si>
    <t>The Ibex 35 closed the day with a new drop after adding 2% last week. Today, the Spanish selective has lost 0.47% and has closed for....</t>
  </si>
  <si>
    <t>recorte, cedido</t>
  </si>
  <si>
    <t>Negative due to market decline, though Repsol not directly mentioned</t>
  </si>
  <si>
    <t>Negativo por caída del mercado, aunque no se menciona directamente a Repsol</t>
  </si>
  <si>
    <r>
      <rPr>
        <rFont val="Arial, sans-serif"/>
        <color rgb="FF1155CC"/>
        <sz val="9.0"/>
        <u/>
      </rPr>
      <t>Casa Moneda Segovia</t>
    </r>
    <r>
      <rPr>
        <rFont val="Arial, sans-serif"/>
        <color rgb="FF1155CC"/>
        <sz val="15.0"/>
        <u/>
      </rPr>
      <t>El fin de una era: las gasolineras 'low cost' amenazan el reinado de Repsol y compañía</t>
    </r>
    <r>
      <rPr>
        <rFont val="Arial, sans-serif"/>
        <color rgb="FF1155CC"/>
        <sz val="11.0"/>
        <u/>
      </rPr>
      <t>Están las gasolineras de bajo coste en España marcando el inicio de una nueva era para los conductores? ¿Podrían estar ofreciendo mucho más que solo.</t>
    </r>
    <r>
      <rPr>
        <rFont val="Arial, sans-serif"/>
        <color rgb="FF1155CC"/>
        <sz val="12.0"/>
        <u/>
      </rPr>
      <t>.</t>
    </r>
    <r>
      <rPr>
        <rFont val="Arial, sans-serif"/>
        <color rgb="FF1155CC"/>
        <sz val="11.0"/>
        <u/>
      </rPr>
      <t>16 jul 2024</t>
    </r>
  </si>
  <si>
    <t>Casa Moneda Segovia</t>
  </si>
  <si>
    <t>El fin de una era: las gasolineras 'low cost' amenazan el reinado de Repsol y compañía</t>
  </si>
  <si>
    <t>Están las gasolineras de bajo coste en España marcando el inicio de una nueva era para los conductores? ¿Podrían estar ofreciendo mucho más que solo...</t>
  </si>
  <si>
    <t>The end of an era: 'low cost' gas stations threaten the reign of Repsol and company</t>
  </si>
  <si>
    <t>Are low-cost gas stations in Spain ushering in a new era for drivers? Could they be offering much more than just...</t>
  </si>
  <si>
    <t>Slightly negative as it discusses growing competition against Repsol.</t>
  </si>
  <si>
    <t>amenazan, low cost</t>
  </si>
  <si>
    <t>Negative for competitive threat to Repsol's market position</t>
  </si>
  <si>
    <t>Negativo por amenaza competitiva a la posición de mercado de Repsol</t>
  </si>
  <si>
    <r>
      <rPr>
        <rFont val="Arial, sans-serif"/>
        <color rgb="FF1155CC"/>
        <sz val="9.0"/>
        <u/>
      </rPr>
      <t>El Periódico</t>
    </r>
    <r>
      <rPr>
        <rFont val="Arial, sans-serif"/>
        <color rgb="FF1155CC"/>
        <sz val="15.0"/>
        <u/>
      </rPr>
      <t>El Ibex 35 cae un 0,47% por BBVA, Repsol e Inditex, pero consigue mantener los 11.000 enteros</t>
    </r>
    <r>
      <rPr>
        <rFont val="Arial, sans-serif"/>
        <color rgb="FF1155CC"/>
        <sz val="11.0"/>
        <u/>
      </rPr>
      <t>El FMI ha pronosticado que la economía española crecerá un 2,4% este año, según las nuevas previsiones.</t>
    </r>
    <r>
      <rPr>
        <rFont val="Arial, sans-serif"/>
        <color rgb="FF1155CC"/>
        <sz val="12.0"/>
        <u/>
      </rPr>
      <t>.</t>
    </r>
    <r>
      <rPr>
        <rFont val="Arial, sans-serif"/>
        <color rgb="FF1155CC"/>
        <sz val="11.0"/>
        <u/>
      </rPr>
      <t>16 jul 2024</t>
    </r>
  </si>
  <si>
    <t>El Ibex 35 cae un 0,47% por BBVA, Repsol e Inditex, pero consigue mantener los 11.000 enteros</t>
  </si>
  <si>
    <t>El FMI ha pronosticado que la economía española crecerá un 2,4% este año, según las nuevas previsiones.</t>
  </si>
  <si>
    <t>The Ibex 35 falls 0.47% due to BBVA, Repsol and Inditex, but manages to maintain 11,000 integers</t>
  </si>
  <si>
    <t>The IMF has predicted that the Spanish economy will grow by 2.4% this year, according to new forecasts.</t>
  </si>
  <si>
    <t>Slightly negative as it links Repsol to a decline in the stock market.</t>
  </si>
  <si>
    <t>cae</t>
  </si>
  <si>
    <t>Negative due to Repsol's role in market decline</t>
  </si>
  <si>
    <t>Negativo por el papel de Repsol en la caída del mercado</t>
  </si>
  <si>
    <r>
      <rPr>
        <rFont val="Arial, sans-serif"/>
        <color rgb="FF1155CC"/>
        <sz val="9.0"/>
        <u/>
      </rPr>
      <t>Repsol</t>
    </r>
    <r>
      <rPr>
        <rFont val="Arial, sans-serif"/>
        <color rgb="FF1155CC"/>
        <sz val="15.0"/>
        <u/>
      </rPr>
      <t>Las 8 mejores aspiradoras del mercado calidad-precio</t>
    </r>
    <r>
      <rPr>
        <rFont val="Arial, sans-serif"/>
        <color rgb="FF1155CC"/>
        <sz val="11.0"/>
        <u/>
      </rPr>
      <t>En la búsqueda por mantener nuestro hogar impecable, contar con una aspiradora eficiente y práctica es fundamental. Hoy en día, puedes encontrar estos...</t>
    </r>
    <r>
      <rPr>
        <rFont val="Arial, sans-serif"/>
        <color rgb="FF1155CC"/>
        <sz val="12.0"/>
        <u/>
      </rPr>
      <t>.</t>
    </r>
    <r>
      <rPr>
        <rFont val="Arial, sans-serif"/>
        <color rgb="FF1155CC"/>
        <sz val="11.0"/>
        <u/>
      </rPr>
      <t>16 jul 2024</t>
    </r>
  </si>
  <si>
    <t>Las 8 mejores aspiradoras del mercado calidad-precio</t>
  </si>
  <si>
    <t>En la búsqueda por mantener nuestro hogar impecable, contar con una aspiradora eficiente y práctica es fundamental. Hoy en día, puedes encontrar estos....</t>
  </si>
  <si>
    <t>The 8 best quality-price vacuum cleaners on the market</t>
  </si>
  <si>
    <t>In the quest to keep our home spotless, having an efficient and practical vacuum cleaner is essential. Nowadays, you can find these....</t>
  </si>
  <si>
    <t>Consumer Goods</t>
  </si>
  <si>
    <r>
      <rPr>
        <rFont val="Arial, sans-serif"/>
        <color rgb="FF1155CC"/>
        <sz val="9.0"/>
        <u/>
      </rPr>
      <t>20Minutos</t>
    </r>
    <r>
      <rPr>
        <rFont val="Arial, sans-serif"/>
        <color rgb="FF1155CC"/>
        <sz val="15.0"/>
        <u/>
      </rPr>
      <t>El bar preferido de Ángel León para desayunar está en el Puerto de Santa María: sencillo, bonito y de verdad</t>
    </r>
    <r>
      <rPr>
        <rFont val="Arial, sans-serif"/>
        <color rgb="FF1155CC"/>
        <sz val="11.0"/>
        <u/>
      </rPr>
      <t>El chef sabe mucho del 'Puerto', donde está su restaurante Aponiente, asomado al Atlántico luminoso de Cádiz. Para desayunar, un buen mollete con aceite de...</t>
    </r>
    <r>
      <rPr>
        <rFont val="Arial, sans-serif"/>
        <color rgb="FF1155CC"/>
        <sz val="12.0"/>
        <u/>
      </rPr>
      <t>.</t>
    </r>
    <r>
      <rPr>
        <rFont val="Arial, sans-serif"/>
        <color rgb="FF1155CC"/>
        <sz val="11.0"/>
        <u/>
      </rPr>
      <t>16 jul 2024</t>
    </r>
  </si>
  <si>
    <t>El bar preferido de Ángel León para desayunar está en el Puerto de Santa María: sencillo, bonito y de verdad</t>
  </si>
  <si>
    <t>El chef sabe mucho del 'Puerto', donde está su restaurante Aponiente, asomado al Atlántico luminoso de Cádiz. Para desayunar, un buen mollete con aceite de....</t>
  </si>
  <si>
    <t>Ángel León's favorite bar for breakfast is in Puerto de Santa María: simple, beautiful and real</t>
  </si>
  <si>
    <t>The chef knows a lot about 'Puerto', where his Aponiente restaurant is located, overlooking the luminous Atlantic of Cádiz. For breakfast, a good muffin with olive oil....</t>
  </si>
  <si>
    <r>
      <rPr>
        <rFont val="Arial, sans-serif"/>
        <color rgb="FF1155CC"/>
        <sz val="9.0"/>
        <u/>
      </rPr>
      <t>Atlántico Hoy</t>
    </r>
    <r>
      <rPr>
        <rFont val="Arial, sans-serif"/>
        <color rgb="FF1155CC"/>
        <sz val="15.0"/>
        <u/>
      </rPr>
      <t>El mejor bar de Canarias para comer churros de pescado: comida casera en un conocido barrio obrero</t>
    </r>
    <r>
      <rPr>
        <rFont val="Arial, sans-serif"/>
        <color rgb="FF1155CC"/>
        <sz val="11.0"/>
        <u/>
      </rPr>
      <t>Además de ser el bar favorito de dos reputados chefs con estrella Michelin, figura en la Guía Repsol con un solete bien merecido.</t>
    </r>
    <r>
      <rPr>
        <rFont val="Arial, sans-serif"/>
        <color rgb="FF1155CC"/>
        <sz val="12.0"/>
        <u/>
      </rPr>
      <t>.</t>
    </r>
    <r>
      <rPr>
        <rFont val="Arial, sans-serif"/>
        <color rgb="FF1155CC"/>
        <sz val="11.0"/>
        <u/>
      </rPr>
      <t>16 jul 2024</t>
    </r>
  </si>
  <si>
    <t>El mejor bar de Canarias para comer churros de pescado: comida casera en un conocido barrio obrero</t>
  </si>
  <si>
    <t>Además de ser el bar favorito de dos reputados chefs con estrella Michelin, figura en la Guía Repsol con un solete bien merecido.</t>
  </si>
  <si>
    <t>The best bar in the Canary Islands to eat fish churros: homemade food in a well-known working-class neighborhood</t>
  </si>
  <si>
    <t>In addition to being the favorite bar of two renowned Michelin-starred chefs, it appears in the Repsol Guide with a well-deserved reputation.</t>
  </si>
  <si>
    <r>
      <rPr>
        <rFont val="Arial, sans-serif"/>
        <color rgb="FF1155CC"/>
        <sz val="9.0"/>
        <u/>
      </rPr>
      <t>heraldo.es</t>
    </r>
    <r>
      <rPr>
        <rFont val="Arial, sans-serif"/>
        <color rgb="FF1155CC"/>
        <sz val="15.0"/>
        <u/>
      </rPr>
      <t>La heladería de toda la vida en Las Fuentes de Zaragoza con más de 50 sabores de helado</t>
    </r>
    <r>
      <rPr>
        <rFont val="Arial, sans-serif"/>
        <color rgb="FF1155CC"/>
        <sz val="11.0"/>
        <u/>
      </rPr>
      <t>En este barrio de la capital aragonesa puedes disfrutar de helados en un establecimiento de siempre que cuenta con un Solete de la Guía Repsol y es ideal...</t>
    </r>
    <r>
      <rPr>
        <rFont val="Arial, sans-serif"/>
        <color rgb="FF1155CC"/>
        <sz val="12.0"/>
        <u/>
      </rPr>
      <t>.</t>
    </r>
    <r>
      <rPr>
        <rFont val="Arial, sans-serif"/>
        <color rgb="FF1155CC"/>
        <sz val="11.0"/>
        <u/>
      </rPr>
      <t>16 jul 2024</t>
    </r>
  </si>
  <si>
    <t>La heladería de toda la vida en Las Fuentes de Zaragoza con más de 50 sabores de helado</t>
  </si>
  <si>
    <t>En este barrio de la capital aragonesa puedes disfrutar de helados en un establecimiento de siempre que cuenta con un Solete de la Guía Repsol y es ideal....</t>
  </si>
  <si>
    <t>The traditional ice cream shop in Las Fuentes de Zaragoza with more than 50 flavors of ice cream</t>
  </si>
  <si>
    <t>In this neighborhood of the Aragonese capital you can enjoy ice cream in a traditional establishment that has a Solete from the Repsol Guide and is ideal....</t>
  </si>
  <si>
    <r>
      <rPr>
        <rFont val="Arial, sans-serif"/>
        <color rgb="FF1155CC"/>
        <sz val="9.0"/>
        <u/>
      </rPr>
      <t>Guía Repsol</t>
    </r>
    <r>
      <rPr>
        <rFont val="Arial, sans-serif"/>
        <color rgb="FF1155CC"/>
        <sz val="15.0"/>
        <u/>
      </rPr>
      <t>Dónde comer en Ibiza según los chefs Óscar Molina y José Miguel Bonet</t>
    </r>
    <r>
      <rPr>
        <rFont val="Arial, sans-serif"/>
        <color rgb="FF1155CC"/>
        <sz val="11.0"/>
        <u/>
      </rPr>
      <t>Es cierto que sus cautivadoras aguas turquesas, sus recónditas calas de arena fina y sus enamoradizos atardeceres -junto a la universal fama que tienen sus...</t>
    </r>
    <r>
      <rPr>
        <rFont val="Arial, sans-serif"/>
        <color rgb="FF1155CC"/>
        <sz val="12.0"/>
        <u/>
      </rPr>
      <t>.</t>
    </r>
    <r>
      <rPr>
        <rFont val="Arial, sans-serif"/>
        <color rgb="FF1155CC"/>
        <sz val="11.0"/>
        <u/>
      </rPr>
      <t>16 jul 2024</t>
    </r>
  </si>
  <si>
    <t>Dónde comer en Ibiza según los chefs Óscar Molina y José Miguel Bonet</t>
  </si>
  <si>
    <t>Es cierto que sus cautivadoras aguas turquesas, sus recónditas calas de arena fina y sus enamoradizos atardeceres -junto a la universal fama que tienen sus....</t>
  </si>
  <si>
    <t>Where to eat in Ibiza according to chefs Óscar Molina and José Miguel Bonet</t>
  </si>
  <si>
    <t>It is true that its captivating turquoise waters, its hidden coves of fine sand and its enchanting sunsets - along with the universal fame that its...</t>
  </si>
  <si>
    <r>
      <rPr>
        <rFont val="Arial, sans-serif"/>
        <color rgb="FF1155CC"/>
        <sz val="9.0"/>
        <u/>
      </rPr>
      <t>El Periódico de la Energía</t>
    </r>
    <r>
      <rPr>
        <rFont val="Arial, sans-serif"/>
        <color rgb="FF1155CC"/>
        <sz val="15.0"/>
        <u/>
      </rPr>
      <t>El número de gasolineras en España bate un nuevo récord, con 12.346 en 2023, por el impulso de las 'low cost'</t>
    </r>
    <r>
      <rPr>
        <rFont val="Arial, sans-serif"/>
        <color rgb="FF1155CC"/>
        <sz val="11.0"/>
        <u/>
      </rPr>
      <t>Las denominadas 'low cost' han alcanzado las 5.309 en 2023 -276 más que hace un año-, tras crecer así casi un 67% en una década.</t>
    </r>
    <r>
      <rPr>
        <rFont val="Arial, sans-serif"/>
        <color rgb="FF1155CC"/>
        <sz val="12.0"/>
        <u/>
      </rPr>
      <t>.</t>
    </r>
    <r>
      <rPr>
        <rFont val="Arial, sans-serif"/>
        <color rgb="FF1155CC"/>
        <sz val="11.0"/>
        <u/>
      </rPr>
      <t>16 jul 2024</t>
    </r>
  </si>
  <si>
    <t>El número de gasolineras en España bate un nuevo récord, con 12.346 en 2023, por el impulso de las 'low cost'</t>
  </si>
  <si>
    <t>Las denominadas 'low cost' han alcanzado las 5.309 en 2023 -276 más que hace un año-, tras crecer así casi un 67% en una década.</t>
  </si>
  <si>
    <t>The number of gas stations in Spain breaks a new record, with 12,346 in 2023, due to the boost of 'low cost'</t>
  </si>
  <si>
    <t>The so-called 'low cost' have reached 5,309 in 2023 -276 more than a year ago-, after growing almost 67% in a decade.</t>
  </si>
  <si>
    <t>Slightly negative as it emphasizes competition against Repsol’s market share.</t>
  </si>
  <si>
    <t>low cost</t>
  </si>
  <si>
    <t>Mildly negative for competitive landscape</t>
  </si>
  <si>
    <t>Ligeramente negativo para el panorama competitivo</t>
  </si>
  <si>
    <r>
      <rPr>
        <rFont val="Arial, sans-serif"/>
        <color rgb="FF1155CC"/>
        <sz val="9.0"/>
        <u/>
      </rPr>
      <t>Guía Repsol</t>
    </r>
    <r>
      <rPr>
        <rFont val="Arial, sans-serif"/>
        <color rgb="FF1155CC"/>
        <sz val="15.0"/>
        <u/>
      </rPr>
      <t>Ruta con perros por los acantilados entre Getxo y Plentzia (Bizkaia)</t>
    </r>
    <r>
      <rPr>
        <rFont val="Arial, sans-serif"/>
        <color rgb="FF1155CC"/>
        <sz val="11.0"/>
        <u/>
      </rPr>
      <t>Ha llegado el verano y es época de playas, así que con la perrita Mari vamos a conocer zonas de monte que transcurren junto a algunas de las playas más...</t>
    </r>
    <r>
      <rPr>
        <rFont val="Arial, sans-serif"/>
        <color rgb="FF1155CC"/>
        <sz val="12.0"/>
        <u/>
      </rPr>
      <t>.</t>
    </r>
    <r>
      <rPr>
        <rFont val="Arial, sans-serif"/>
        <color rgb="FF1155CC"/>
        <sz val="11.0"/>
        <u/>
      </rPr>
      <t>16 jul 2024</t>
    </r>
  </si>
  <si>
    <t>Ruta con perros por los acantilados entre Getxo y Plentzia (Bizkaia)</t>
  </si>
  <si>
    <t>Ha llegado el verano y es época de playas, así que con la perrita Mari vamos a conocer zonas de monte que transcurren junto a algunas de las playas más....</t>
  </si>
  <si>
    <t>Route with dogs along the cliffs between Getxo and Plentzia (Bizkaia)</t>
  </si>
  <si>
    <t>Summer has arrived and it is beach season, so with the dog Mari we are going to visit mountain areas that run next to some of the most...</t>
  </si>
  <si>
    <r>
      <rPr>
        <rFont val="Arial, sans-serif"/>
        <color rgb="FF1155CC"/>
        <sz val="9.0"/>
        <u/>
      </rPr>
      <t>La Razón</t>
    </r>
    <r>
      <rPr>
        <rFont val="Arial, sans-serif"/>
        <color rgb="FF1155CC"/>
        <sz val="15.0"/>
        <u/>
      </rPr>
      <t>Repsol lanza el primer proyecto agrovoltaico de España con estructura elevada sobre viñedo en Aranda de Duero</t>
    </r>
    <r>
      <rPr>
        <rFont val="Arial, sans-serif"/>
        <color rgb="FF1155CC"/>
        <sz val="11.0"/>
        <u/>
      </rPr>
      <t>La Escuela Enología CIFP San Gabriel de Aranda de Duero, Repsol y a la startup Powerfultree acaban de inaugurar el primer piloto agrovoltaico de España con...</t>
    </r>
    <r>
      <rPr>
        <rFont val="Arial, sans-serif"/>
        <color rgb="FF1155CC"/>
        <sz val="12.0"/>
        <u/>
      </rPr>
      <t>.</t>
    </r>
    <r>
      <rPr>
        <rFont val="Arial, sans-serif"/>
        <color rgb="FF1155CC"/>
        <sz val="11.0"/>
        <u/>
      </rPr>
      <t>17 jul 2024</t>
    </r>
  </si>
  <si>
    <t>Repsol lanza el primer proyecto agrovoltaico de España con estructura elevada sobre viñedo en Aranda de Duero</t>
  </si>
  <si>
    <t>La Escuela Enología CIFP San Gabriel de Aranda de Duero, Repsol y a la startup Powerfultree acaban de inaugurar el primer piloto agrovoltaico de España con....</t>
  </si>
  <si>
    <t>Repsol launches the first agrivoltaic project in Spain with an elevated structure over a vineyard in Aranda de Duero</t>
  </si>
  <si>
    <t>The CIFP San Gabriel de Aranda de Duero Enology School, Repsol and the startup Powerfultree have just inaugurated the first agrivoltaic pilot in Spain with...</t>
  </si>
  <si>
    <t>Positive as it highlights Repsol’s innovation in renewable energy projects.</t>
  </si>
  <si>
    <t>Positive for innovative renewable energy project</t>
  </si>
  <si>
    <t>Positivo para un proyecto innovador de energía renovable</t>
  </si>
  <si>
    <r>
      <rPr>
        <rFont val="Arial, sans-serif"/>
        <color rgb="FF1155CC"/>
        <sz val="9.0"/>
        <u/>
      </rPr>
      <t>Cartagena de Hoy</t>
    </r>
    <r>
      <rPr>
        <rFont val="Arial, sans-serif"/>
        <color rgb="FF1155CC"/>
        <sz val="15.0"/>
        <u/>
      </rPr>
      <t>Repsol y Cruz Roja forman a mujeres en riesgo de vulnerabilidad en el ámbito industrial</t>
    </r>
    <r>
      <rPr>
        <rFont val="Arial, sans-serif"/>
        <color rgb="FF1155CC"/>
        <sz val="11.0"/>
        <u/>
      </rPr>
      <t>Veintinueve mujeres participan en este proyecto en las factorías de GLP, Lubricantes y Asfaltos de Repsol en Cartagena, Bens (A Coruña), Castellón,...</t>
    </r>
    <r>
      <rPr>
        <rFont val="Arial, sans-serif"/>
        <color rgb="FF1155CC"/>
        <sz val="12.0"/>
        <u/>
      </rPr>
      <t>.</t>
    </r>
    <r>
      <rPr>
        <rFont val="Arial, sans-serif"/>
        <color rgb="FF1155CC"/>
        <sz val="11.0"/>
        <u/>
      </rPr>
      <t>17 jul 2024</t>
    </r>
  </si>
  <si>
    <t>Repsol y Cruz Roja forman a mujeres en riesgo de vulnerabilidad en el ámbito industrial</t>
  </si>
  <si>
    <t>Veintinueve mujeres participan en este proyecto en las factorías de GLP, Lubricantes y Asfaltos de Repsol en Cartagena, Bens (A Coruña), Castellón,...</t>
  </si>
  <si>
    <t>Repsol and Red Cross train women at risk of vulnerability in the industrial field</t>
  </si>
  <si>
    <t>Twenty-nine women participate in this project at Repsol's LPG, Lubricants and Asphalt factories in Cartagena, Bens (A Coruña), Castellón,...</t>
  </si>
  <si>
    <t>Repsol corporate responsibility, social initiative</t>
  </si>
  <si>
    <t>Repsol responsabilidad corporativa, iniciativa social</t>
  </si>
  <si>
    <t>Positive as it presents Repsol's corporate social responsibility initiative.</t>
  </si>
  <si>
    <t>formación, vulnerabilidad</t>
  </si>
  <si>
    <t>Positive for social responsibility initiative</t>
  </si>
  <si>
    <t>Positivo para iniciativa de responsabilidad social</t>
  </si>
  <si>
    <r>
      <rPr>
        <rFont val="Arial, sans-serif"/>
        <color rgb="FF1155CC"/>
        <sz val="9.0"/>
        <u/>
      </rPr>
      <t>El Mundo</t>
    </r>
    <r>
      <rPr>
        <rFont val="Arial, sans-serif"/>
        <color rgb="FF1155CC"/>
        <sz val="15.0"/>
        <u/>
      </rPr>
      <t>Más allá del Pimpi: El restaurante recomendado en la Guía Repsol del centro de Málaga que se esconde en este majestuoso hotel</t>
    </r>
    <r>
      <rPr>
        <rFont val="Arial, sans-serif"/>
        <color rgb="FF1155CC"/>
        <sz val="11.0"/>
        <u/>
      </rPr>
      <t>La famosa frase 'la belleza está en el interior' se cumple con creces al descubrir este restaurante oculto en un hotel con mucha historia detrás.</t>
    </r>
    <r>
      <rPr>
        <rFont val="Arial, sans-serif"/>
        <color rgb="FF1155CC"/>
        <sz val="12.0"/>
        <u/>
      </rPr>
      <t>.</t>
    </r>
    <r>
      <rPr>
        <rFont val="Arial, sans-serif"/>
        <color rgb="FF1155CC"/>
        <sz val="11.0"/>
        <u/>
      </rPr>
      <t>17 jul 2024</t>
    </r>
  </si>
  <si>
    <t>Más allá del Pimpi: El restaurante recomendado en la Guía Repsol del centro de Málaga que se esconde en este majestuoso hotel</t>
  </si>
  <si>
    <t>La famosa frase 'la belleza está en el interior' se cumple con creces al descubrir este restaurante oculto en un hotel con mucha historia detrás.</t>
  </si>
  <si>
    <t>Beyond Pimpi: The restaurant recommended in the Repsol Guide to the center of Malaga that is hidden in this majestic hotel</t>
  </si>
  <si>
    <t>The famous phrase 'beauty is inside' is more than fulfilled when discovering this restaurant hidden in a hotel with a lot of history behind it.</t>
  </si>
  <si>
    <r>
      <rPr>
        <rFont val="Arial, sans-serif"/>
        <color rgb="FF1155CC"/>
        <sz val="9.0"/>
        <u/>
      </rPr>
      <t>Motor EL PAÍS</t>
    </r>
    <r>
      <rPr>
        <rFont val="Arial, sans-serif"/>
        <color rgb="FF1155CC"/>
        <sz val="15.0"/>
        <u/>
      </rPr>
      <t>¿Qué gasolinera sortea un millón de euros entre sus conductores?</t>
    </r>
    <r>
      <rPr>
        <rFont val="Arial, sans-serif"/>
        <color rgb="FF1155CC"/>
        <sz val="11.0"/>
        <u/>
      </rPr>
      <t>La mayoría de las petroleras han limitado sus descuentos y promociones a aquellos que forman parte de sus programas de fidelización.</t>
    </r>
    <r>
      <rPr>
        <rFont val="Arial, sans-serif"/>
        <color rgb="FF1155CC"/>
        <sz val="12.0"/>
        <u/>
      </rPr>
      <t>.</t>
    </r>
    <r>
      <rPr>
        <rFont val="Arial, sans-serif"/>
        <color rgb="FF1155CC"/>
        <sz val="11.0"/>
        <u/>
      </rPr>
      <t>17 jul 2024</t>
    </r>
  </si>
  <si>
    <t>¿Qué gasolinera sortea un millón de euros entre sus conductores?</t>
  </si>
  <si>
    <t>La mayoría de las petroleras han limitado sus descuentos y promociones a aquellos que forman parte de sus programas de fidelización.</t>
  </si>
  <si>
    <t>What gas station raffles off a million euros among its drivers?</t>
  </si>
  <si>
    <t>Most oil companies have limited their discounts and promotions to those who are part of their loyalty programs.</t>
  </si>
  <si>
    <t>Positive as it highlights Repsol's promotional campaign.</t>
  </si>
  <si>
    <r>
      <rPr>
        <rFont val="Arial, sans-serif"/>
        <color rgb="FF1155CC"/>
        <sz val="9.0"/>
        <u/>
      </rPr>
      <t>IG</t>
    </r>
    <r>
      <rPr>
        <rFont val="Arial, sans-serif"/>
        <color rgb="FF1155CC"/>
        <sz val="15.0"/>
        <u/>
      </rPr>
      <t>Ibex 35 hoy: Acciones de Merlin Properties y Repsol lideran las caídas en una sesión bajista.</t>
    </r>
    <r>
      <rPr>
        <rFont val="Arial, sans-serif"/>
        <color rgb="FF1155CC"/>
        <sz val="11.0"/>
        <u/>
      </rPr>
      <t>Mercados europeos en negativo; Ibex 35 pierde 0,61% por incertidumbre global y resultados corporativos mixtos.</t>
    </r>
    <r>
      <rPr>
        <rFont val="Arial, sans-serif"/>
        <color rgb="FF1155CC"/>
        <sz val="12.0"/>
        <u/>
      </rPr>
      <t>.</t>
    </r>
    <r>
      <rPr>
        <rFont val="Arial, sans-serif"/>
        <color rgb="FF1155CC"/>
        <sz val="11.0"/>
        <u/>
      </rPr>
      <t>17 jul 2024</t>
    </r>
  </si>
  <si>
    <t>Acciones de Merlin Properties y Repsol lideran las caídas en una sesión bajista.</t>
  </si>
  <si>
    <t>Acciones de Merlin Properties y Repsol lideran las caídas en una sesión bajista. Mercados europeos en negativo; Ibex 35 pierde 0,61% por incertidumbre global y resultados corporativos mixtos.</t>
  </si>
  <si>
    <t>Shares of Merlin Properties and Repsol lead the falls in a bearish session.</t>
  </si>
  <si>
    <t>Shares of Merlin Properties and Repsol lead the falls in a bearish session. European markets in negative; Ibex 35 loses 0.61% due to global uncertainty and mixed corporate results.</t>
  </si>
  <si>
    <t>Slightly negative as it reports a stock market decline involving Repsol.</t>
  </si>
  <si>
    <t>caídas</t>
  </si>
  <si>
    <t>Negative for stock performance</t>
  </si>
  <si>
    <t>Negativo para el rendimiento de las acciones</t>
  </si>
  <si>
    <r>
      <rPr>
        <rFont val="Arial, sans-serif"/>
        <color rgb="FF1155CC"/>
        <sz val="9.0"/>
        <u/>
      </rPr>
      <t>La Razón</t>
    </r>
    <r>
      <rPr>
        <rFont val="Arial, sans-serif"/>
        <color rgb="FF1155CC"/>
        <sz val="15.0"/>
        <u/>
      </rPr>
      <t>Así se construyen los festivales de música más importantes de España</t>
    </r>
    <r>
      <rPr>
        <rFont val="Arial, sans-serif"/>
        <color rgb="FF1155CC"/>
        <sz val="11.0"/>
        <u/>
      </rPr>
      <t>Con la llegada del verano, los festivales de música surgen por doquier a lo largo de toda la geografía española. Muchos disfrutamos de la experiencia,...</t>
    </r>
    <r>
      <rPr>
        <rFont val="Arial, sans-serif"/>
        <color rgb="FF1155CC"/>
        <sz val="12.0"/>
        <u/>
      </rPr>
      <t>.</t>
    </r>
    <r>
      <rPr>
        <rFont val="Arial, sans-serif"/>
        <color rgb="FF1155CC"/>
        <sz val="11.0"/>
        <u/>
      </rPr>
      <t>17 jul 2024</t>
    </r>
  </si>
  <si>
    <t>Así se construyen los festivales de música más importantes de España</t>
  </si>
  <si>
    <t>Con la llegada del verano, los festivales de música surgen por doquier a lo largo de toda la geografía española. Muchos disfrutamos de la experiencia,....</t>
  </si>
  <si>
    <t>This is how the most important music festivals in Spain are built</t>
  </si>
  <si>
    <t>With the arrival of summer, music festivals emerge everywhere throughout Spain. Many of us enjoyed the experience....</t>
  </si>
  <si>
    <r>
      <rPr>
        <rFont val="Arial, sans-serif"/>
        <color rgb="FF1155CC"/>
        <sz val="9.0"/>
        <u/>
      </rPr>
      <t>Climática</t>
    </r>
    <r>
      <rPr>
        <rFont val="Arial, sans-serif"/>
        <color rgb="FF1155CC"/>
        <sz val="15.0"/>
        <u/>
      </rPr>
      <t>Fin a los biocombustibles elaborados con aceite de palma a partir de 2025</t>
    </r>
    <r>
      <rPr>
        <rFont val="Arial, sans-serif"/>
        <color rgb="FF1155CC"/>
        <sz val="11.0"/>
        <u/>
      </rPr>
      <t>El Ministerio para la Transición Ecológica y el Reto Demográfico ha publicado este martes una orden ministerial para impedir, a partir de 2025,...</t>
    </r>
    <r>
      <rPr>
        <rFont val="Arial, sans-serif"/>
        <color rgb="FF1155CC"/>
        <sz val="12.0"/>
        <u/>
      </rPr>
      <t>.</t>
    </r>
    <r>
      <rPr>
        <rFont val="Arial, sans-serif"/>
        <color rgb="FF1155CC"/>
        <sz val="11.0"/>
        <u/>
      </rPr>
      <t>17 jul 2024</t>
    </r>
  </si>
  <si>
    <t>Fin a los biocombustibles elaborados con aceite de palma a partir de 2025</t>
  </si>
  <si>
    <t>El Ministerio para la Transición Ecológica y el Reto Demográfico ha publicado este martes una orden ministerial para impedir, a partir de 2025,....</t>
  </si>
  <si>
    <t>End to biofuels made from palm oil from 2025</t>
  </si>
  <si>
    <t>The Ministry for the Ecological Transition and the Demographic Challenge has published this Tuesday a ministerial order to prevent, starting in 2025,...</t>
  </si>
  <si>
    <t>Repsol biofuels, regulatory changes</t>
  </si>
  <si>
    <t>Biocombustibles Repsol, cambios regulatorios</t>
  </si>
  <si>
    <t>Slightly negative as it restricts a type of biofuel that may impact Repsol.</t>
  </si>
  <si>
    <t>Neutral policy change</t>
  </si>
  <si>
    <t>Cambio de política neutral</t>
  </si>
  <si>
    <r>
      <rPr>
        <rFont val="Arial, sans-serif"/>
        <color rgb="FF1155CC"/>
        <sz val="9.0"/>
        <u/>
      </rPr>
      <t>Actualidad Ambiental</t>
    </r>
    <r>
      <rPr>
        <rFont val="Arial, sans-serif"/>
        <color rgb="FF1155CC"/>
        <sz val="15.0"/>
        <u/>
      </rPr>
      <t>Derrame de petróleo en Ventanilla: 4 revelaciones del reportaje la “Caja negra del Mare Doricum”</t>
    </r>
    <r>
      <rPr>
        <rFont val="Arial, sans-serif"/>
        <color rgb="FF1155CC"/>
        <sz val="11.0"/>
        <u/>
      </rPr>
      <t>Situs toto terbaik dan terpercaya adalah WILTOTO yang menyajikan bandar togel terpercaya dan terbesar serta situs togel dan toto slot 4d gacor dengan banyak...</t>
    </r>
    <r>
      <rPr>
        <rFont val="Arial, sans-serif"/>
        <color rgb="FF1155CC"/>
        <sz val="12.0"/>
        <u/>
      </rPr>
      <t>.</t>
    </r>
    <r>
      <rPr>
        <rFont val="Arial, sans-serif"/>
        <color rgb="FF1155CC"/>
        <sz val="11.0"/>
        <u/>
      </rPr>
      <t>17 jul 2024</t>
    </r>
  </si>
  <si>
    <t>Derrame de petróleo en Ventanilla: 4 revelaciones del reportaje la “Caja negra del Mare Doricum”</t>
  </si>
  <si>
    <t>Oil spill in Ventanilla: 4 revelations from the “Black Box of the Mare Doricum” report</t>
  </si>
  <si>
    <t>Highly negative as it discusses new details of an oil spill incident.</t>
  </si>
  <si>
    <t>derrame</t>
  </si>
  <si>
    <t>Negative for environmental concerns</t>
  </si>
  <si>
    <t>Negativo para las preocupaciones medioambientales.</t>
  </si>
  <si>
    <r>
      <rPr>
        <rFont val="Arial, sans-serif"/>
        <color rgb="FF1155CC"/>
        <sz val="9.0"/>
        <u/>
      </rPr>
      <t>Infobae</t>
    </r>
    <r>
      <rPr>
        <rFont val="Arial, sans-serif"/>
        <color rgb="FF1155CC"/>
        <sz val="15.0"/>
        <u/>
      </rPr>
      <t>El bar ‘de manzanas’ especializado en sidra y parrilla carnívoro-vegana que Andoni Luis Aduriz recomienda en Gipúzkoa</t>
    </r>
    <r>
      <rPr>
        <rFont val="Arial, sans-serif"/>
        <color rgb="FF1155CC"/>
        <sz val="11.0"/>
        <u/>
      </rPr>
      <t>Este 'sagar bar', el primero de todo el planeta, ha conseguido un Solete de la Guía Repsol solo unos meses después de su apertura.</t>
    </r>
    <r>
      <rPr>
        <rFont val="Arial, sans-serif"/>
        <color rgb="FF1155CC"/>
        <sz val="12.0"/>
        <u/>
      </rPr>
      <t>.</t>
    </r>
    <r>
      <rPr>
        <rFont val="Arial, sans-serif"/>
        <color rgb="FF1155CC"/>
        <sz val="11.0"/>
        <u/>
      </rPr>
      <t>17 jul 2024</t>
    </r>
  </si>
  <si>
    <t>El bar ‘de manzanas’ especializado en sidra y parrilla carnívoro-vegana que Andoni Luis Aduriz recomienda en Gipúzkoa</t>
  </si>
  <si>
    <t>Este 'sagar bar', el primero de todo el planeta, ha conseguido un Solete de la Guía Repsol solo unos meses después de su apertura.</t>
  </si>
  <si>
    <t>The 'apple' bar specialized in cider and carnivorous-vegan grill that Andoni Luis Aduriz recommends in Gipúzkoa</t>
  </si>
  <si>
    <t>This 'sagar bar', the first on the planet, has achieved a Solete from the Repsol Guide just a few months after its opening.</t>
  </si>
  <si>
    <r>
      <rPr>
        <rFont val="Arial, sans-serif"/>
        <color rgb="FF1155CC"/>
        <sz val="9.0"/>
        <u/>
      </rPr>
      <t>Diario de Cádiz</t>
    </r>
    <r>
      <rPr>
        <rFont val="Arial, sans-serif"/>
        <color rgb="FF1155CC"/>
        <sz val="15.0"/>
        <u/>
      </rPr>
      <t>Descubre la terraza de Cádiz donde disfrutar de un refrescante cóctel sin perder de vista el mar</t>
    </r>
    <r>
      <rPr>
        <rFont val="Arial, sans-serif"/>
        <color rgb="FF1155CC"/>
        <sz val="11.0"/>
        <u/>
      </rPr>
      <t>Desde la terraza de La Colonial podrás disfrutar de unos cócteles y unas vistas privilegiadas a la Bahía de Cádiz.</t>
    </r>
    <r>
      <rPr>
        <rFont val="Arial, sans-serif"/>
        <color rgb="FF1155CC"/>
        <sz val="12.0"/>
        <u/>
      </rPr>
      <t>.</t>
    </r>
    <r>
      <rPr>
        <rFont val="Arial, sans-serif"/>
        <color rgb="FF1155CC"/>
        <sz val="11.0"/>
        <u/>
      </rPr>
      <t>17 jul 2024</t>
    </r>
  </si>
  <si>
    <t>Descubre la terraza de Cádiz donde disfrutar de un refrescante cóctel sin perder de vista el mar</t>
  </si>
  <si>
    <t>Desde la terraza de La Colonial podrás disfrutar de unos cócteles y unas vistas privilegiadas a la Bahía de Cádiz.</t>
  </si>
  <si>
    <t>Discover the terrace of Cádiz where you can enjoy a refreshing cocktail without losing sight of the sea</t>
  </si>
  <si>
    <t>From the terrace of La Colonial you can enjoy cocktails and privileged views of the Bay of Cádiz.</t>
  </si>
  <si>
    <r>
      <rPr>
        <rFont val="Arial, sans-serif"/>
        <color rgb="FF1155CC"/>
        <sz val="9.0"/>
        <u/>
      </rPr>
      <t>Repsol</t>
    </r>
    <r>
      <rPr>
        <rFont val="Arial, sans-serif"/>
        <color rgb="FF1155CC"/>
        <sz val="15.0"/>
        <u/>
      </rPr>
      <t>Repsol y EDF Renewables firman un acuerdo de cooperación exclusiva para eólica marina en España y Portugal</t>
    </r>
    <r>
      <rPr>
        <rFont val="Arial, sans-serif"/>
        <color rgb="FF1155CC"/>
        <sz val="11.0"/>
        <u/>
      </rPr>
      <t>Las compañías han firmado un acuerdo de exclusividad para cooperar en futuras licitaciones de energía eólica marina en la península ibérica.</t>
    </r>
    <r>
      <rPr>
        <rFont val="Arial, sans-serif"/>
        <color rgb="FF1155CC"/>
        <sz val="12.0"/>
        <u/>
      </rPr>
      <t>.</t>
    </r>
    <r>
      <rPr>
        <rFont val="Arial, sans-serif"/>
        <color rgb="FF1155CC"/>
        <sz val="11.0"/>
        <u/>
      </rPr>
      <t>18 jul 2024</t>
    </r>
  </si>
  <si>
    <t>Repsol y EDF Renewables firman un acuerdo de cooperación exclusiva para eólica marina en España y Portugal</t>
  </si>
  <si>
    <t>Las compañías han firmado un acuerdo de exclusividad para cooperar en futuras licitaciones de energía eólica marina en la península ibérica.</t>
  </si>
  <si>
    <t>Repsol and EDF Renewables sign an exclusive cooperation agreement for offshore wind in Spain and Portugal</t>
  </si>
  <si>
    <t>The companies have signed an exclusivity agreement to cooperate in future offshore wind energy tenders in the Iberian Peninsula.</t>
  </si>
  <si>
    <t>Positive as it highlights Repsol’s expansion into offshore wind energy.</t>
  </si>
  <si>
    <t>eólica marina, acuerdo</t>
  </si>
  <si>
    <t>Positive for renewable energy partnership</t>
  </si>
  <si>
    <t>Positivo para la asociación de energías renovables</t>
  </si>
  <si>
    <r>
      <rPr>
        <rFont val="Arial, sans-serif"/>
        <color rgb="FF1155CC"/>
        <sz val="9.0"/>
        <u/>
      </rPr>
      <t>Energías Renovables, el periodismo de las energías limpias.</t>
    </r>
    <r>
      <rPr>
        <rFont val="Arial, sans-serif"/>
        <color rgb="FF1155CC"/>
        <sz val="15.0"/>
        <u/>
      </rPr>
      <t>Repsol y EDF Renewables firman un acuerdo para desarrollar proyectos de eólica marina en España y Portugal</t>
    </r>
    <r>
      <rPr>
        <rFont val="Arial, sans-serif"/>
        <color rgb="FF1155CC"/>
        <sz val="11.0"/>
        <u/>
      </rPr>
      <t>Hidroren es el nombre del nuevo proyecto del Instituto Tecnológico de la Energía (ITE) que investigará sobre la degradación de los electrodos.</t>
    </r>
    <r>
      <rPr>
        <rFont val="Arial, sans-serif"/>
        <color rgb="FF1155CC"/>
        <sz val="12.0"/>
        <u/>
      </rPr>
      <t>.</t>
    </r>
    <r>
      <rPr>
        <rFont val="Arial, sans-serif"/>
        <color rgb="FF1155CC"/>
        <sz val="11.0"/>
        <u/>
      </rPr>
      <t>18 jul 2024</t>
    </r>
  </si>
  <si>
    <t>Repsol y EDF Renewables firman un acuerdo para desarrollar proyectos de eólica marina en España y Portugal</t>
  </si>
  <si>
    <t>Hidroren es el nombre del nuevo proyecto del Instituto Tecnológico de la Energía (ITE) que investigará sobre la degradación de los electrodos.</t>
  </si>
  <si>
    <t>Repsol and EDF Renewables sign an agreement to develop offshore wind projects in Spain and Portugal</t>
  </si>
  <si>
    <t>Hidroren is the name of the new project from the Energy Technology Institute (ITE) that will investigate the degradation of electrodes.</t>
  </si>
  <si>
    <t>Positive as it highlights Repsol's renewable energy initiatives.</t>
  </si>
  <si>
    <r>
      <rPr>
        <rFont val="Arial, sans-serif"/>
        <color rgb="FF1155CC"/>
        <sz val="9.0"/>
        <u/>
      </rPr>
      <t>El Periódico de la Energía</t>
    </r>
    <r>
      <rPr>
        <rFont val="Arial, sans-serif"/>
        <color rgb="FF1155CC"/>
        <sz val="15.0"/>
        <u/>
      </rPr>
      <t>Repsol se alía en exclusividad con EDF Renewables para proyectos de eólica marina en España y Portugal</t>
    </r>
    <r>
      <rPr>
        <rFont val="Arial, sans-serif"/>
        <color rgb="FF1155CC"/>
        <sz val="11.0"/>
        <u/>
      </rPr>
      <t>Repsol ha firmado un acuerdo de exclusividad con EDFR para cooperar en futuras licitaciones de energía eólica marina en España y Portugal.</t>
    </r>
    <r>
      <rPr>
        <rFont val="Arial, sans-serif"/>
        <color rgb="FF1155CC"/>
        <sz val="12.0"/>
        <u/>
      </rPr>
      <t>.</t>
    </r>
    <r>
      <rPr>
        <rFont val="Arial, sans-serif"/>
        <color rgb="FF1155CC"/>
        <sz val="11.0"/>
        <u/>
      </rPr>
      <t>18 jul 2024</t>
    </r>
  </si>
  <si>
    <t>Repsol se alía en exclusividad con EDF Renewables para proyectos de eólica marina en España y Portugal</t>
  </si>
  <si>
    <t>Repsol ha firmado un acuerdo de exclusividad con EDFR para cooperar en futuras licitaciones de energía eólica marina en España y Portugal..</t>
  </si>
  <si>
    <t>Repsol partners exclusively with EDF Renewables for offshore wind projects in Spain and Portugal</t>
  </si>
  <si>
    <t>Repsol has signed an exclusivity agreement with EDFR to cooperate in future offshore wind energy tenders in Spain and Portugal.</t>
  </si>
  <si>
    <t>Positive as it reinforces Repsol’s commitment to renewable energy projects.</t>
  </si>
  <si>
    <t>eólica marina, alianza</t>
  </si>
  <si>
    <r>
      <rPr>
        <rFont val="Arial, sans-serif"/>
        <color rgb="FF1155CC"/>
        <sz val="9.0"/>
        <u/>
      </rPr>
      <t>La Mar de Músicas</t>
    </r>
    <r>
      <rPr>
        <rFont val="Arial, sans-serif"/>
        <color rgb="FF1155CC"/>
        <sz val="15.0"/>
        <u/>
      </rPr>
      <t>Repsol impulsa La Mar de Músicas con combustible renovable y puntos de recarga con energía solar | 2024</t>
    </r>
    <r>
      <rPr>
        <rFont val="Arial, sans-serif"/>
        <color rgb="FF1155CC"/>
        <sz val="11.0"/>
        <u/>
      </rPr>
      <t>Repsol impulsa La Mar de Músicas aportando energía más sostenible para la celebración del festival, reduciendo así la huella de carbono de este evento...</t>
    </r>
    <r>
      <rPr>
        <rFont val="Arial, sans-serif"/>
        <color rgb="FF1155CC"/>
        <sz val="12.0"/>
        <u/>
      </rPr>
      <t>.</t>
    </r>
    <r>
      <rPr>
        <rFont val="Arial, sans-serif"/>
        <color rgb="FF1155CC"/>
        <sz val="11.0"/>
        <u/>
      </rPr>
      <t>18 jul 2024</t>
    </r>
  </si>
  <si>
    <t>La Mar de Músicas</t>
  </si>
  <si>
    <t>Repsol impulsa La Mar de Músicas con combustible renovable y puntos de recarga con energía solar</t>
  </si>
  <si>
    <t>Repsol impulsa La Mar de Músicas aportando energía más sostenible para la celebración del festival, reduciendo así la huella de carbono de este evento.</t>
  </si>
  <si>
    <t>Repsol promotes La Mar de Músicas with renewable fuel and solar energy charging points</t>
  </si>
  <si>
    <t>Repsol promotes La Mar de Músicas by providing more sustainable energy for the celebration of the festival, thus reducing the carbon footprint of this event.</t>
  </si>
  <si>
    <t>Positive as it highlights Repsol’s role in sustainability efforts.</t>
  </si>
  <si>
    <t>Positive for sustainable initiatives</t>
  </si>
  <si>
    <t>Positivo para iniciativas sostenibles</t>
  </si>
  <si>
    <r>
      <rPr>
        <rFont val="Arial, sans-serif"/>
        <color rgb="FF1155CC"/>
        <sz val="9.0"/>
        <u/>
      </rPr>
      <t>El Español</t>
    </r>
    <r>
      <rPr>
        <rFont val="Arial, sans-serif"/>
        <color rgb="FF1155CC"/>
        <sz val="15.0"/>
        <u/>
      </rPr>
      <t>Repsol y EDF Renewables firman un acuerdo en exclusiva de cooperación para eólica marina en España y Portugal</t>
    </r>
    <r>
      <rPr>
        <rFont val="Arial, sans-serif"/>
        <color rgb="FF1155CC"/>
        <sz val="11.0"/>
        <u/>
      </rPr>
      <t>Repsol pone su conocimiento de los mercados español y portugués, y EDF Renewables de eólica marina, ya sea fija o flotante.</t>
    </r>
    <r>
      <rPr>
        <rFont val="Arial, sans-serif"/>
        <color rgb="FF1155CC"/>
        <sz val="12.0"/>
        <u/>
      </rPr>
      <t>.</t>
    </r>
    <r>
      <rPr>
        <rFont val="Arial, sans-serif"/>
        <color rgb="FF1155CC"/>
        <sz val="11.0"/>
        <u/>
      </rPr>
      <t>18 jul 2024</t>
    </r>
  </si>
  <si>
    <t>Repsol y EDF Renewables firman un acuerdo en exclusiva de cooperación para eólica marina en España y Portugal</t>
  </si>
  <si>
    <t>Repsol pone su conocimiento de los mercados español y portugués, y EDF Renewables de eólica marina, ya sea fija o flotante.</t>
  </si>
  <si>
    <t>Repsol puts its knowledge of the Spanish and Portuguese markets, and EDF Renewables of offshore wind, whether fixed or floating.</t>
  </si>
  <si>
    <t>Positive as it reinforces Repsol’s expansion into offshore wind energy.</t>
  </si>
  <si>
    <r>
      <rPr>
        <rFont val="Arial, sans-serif"/>
        <color rgb="FF1155CC"/>
        <sz val="9.0"/>
        <u/>
      </rPr>
      <t>El Economista</t>
    </r>
    <r>
      <rPr>
        <rFont val="Arial, sans-serif"/>
        <color rgb="FF1155CC"/>
        <sz val="15.0"/>
        <u/>
      </rPr>
      <t>Repsol y EDF Renewables firman un acuerdo de exclusividad para eólica marina en España y Portugal</t>
    </r>
    <r>
      <rPr>
        <rFont val="Arial, sans-serif"/>
        <color rgb="FF1155CC"/>
        <sz val="11.0"/>
        <u/>
      </rPr>
      <t>Repsol y EDF Renewables, filial de la empresa pública de energía francesa, han sellado este jueves un pacto de exclusividad para las ...</t>
    </r>
    <r>
      <rPr>
        <rFont val="Arial, sans-serif"/>
        <color rgb="FF1155CC"/>
        <sz val="12.0"/>
        <u/>
      </rPr>
      <t>.</t>
    </r>
    <r>
      <rPr>
        <rFont val="Arial, sans-serif"/>
        <color rgb="FF1155CC"/>
        <sz val="11.0"/>
        <u/>
      </rPr>
      <t>18 jul 2024</t>
    </r>
  </si>
  <si>
    <t>Repsol y EDF Renewables firman un acuerdo de exclusividad para eólica marina en España y Portugal</t>
  </si>
  <si>
    <t>Repsol y EDF Renewables, filial de la empresa pública de energía francesa, han sellado este jueves un pacto de exclusividad para las ....</t>
  </si>
  <si>
    <t>Repsol and EDF Renewables sign an exclusivity agreement for offshore wind in Spain and Portugal</t>
  </si>
  <si>
    <t>Repsol and EDF Renewables, a subsidiary of the French public energy company, have sealed this Thursday an exclusivity pact for the...</t>
  </si>
  <si>
    <t>Positive as it supports Repsol’s leadership in renewable energy.</t>
  </si>
  <si>
    <r>
      <rPr>
        <rFont val="Arial, sans-serif"/>
        <color rgb="FF1155CC"/>
        <sz val="9.0"/>
        <u/>
      </rPr>
      <t>Ideal</t>
    </r>
    <r>
      <rPr>
        <rFont val="Arial, sans-serif"/>
        <color rgb="FF1155CC"/>
        <sz val="15.0"/>
        <u/>
      </rPr>
      <t>Estos son los mejores chiringuitos de Andalucía para la Guía Repsol</t>
    </r>
    <r>
      <rPr>
        <rFont val="Arial, sans-serif"/>
        <color rgb="FF1155CC"/>
        <sz val="11.0"/>
        <u/>
      </rPr>
      <t>Las terrazas andaluzas reconocidas con Soletes Repsol se han repartido entre Almería, Málaga, Cádiz y Huelva.</t>
    </r>
    <r>
      <rPr>
        <rFont val="Arial, sans-serif"/>
        <color rgb="FF1155CC"/>
        <sz val="12.0"/>
        <u/>
      </rPr>
      <t>.</t>
    </r>
    <r>
      <rPr>
        <rFont val="Arial, sans-serif"/>
        <color rgb="FF1155CC"/>
        <sz val="11.0"/>
        <u/>
      </rPr>
      <t>18 jul 2024</t>
    </r>
  </si>
  <si>
    <t>Estos son los mejores chiringuitos de Andalucía para la Guía Repsol</t>
  </si>
  <si>
    <t>Las terrazas andaluzas reconocidas con Soletes Repsol se han repartido entre Almería, Málaga, Cádiz y Huelva.</t>
  </si>
  <si>
    <t>These are the best beach bars in Andalusia for the Repsol Guide</t>
  </si>
  <si>
    <t>The Andalusian terraces recognized with Repsol Soletes have been distributed between Almería, Málaga, Cádiz and Huelva.</t>
  </si>
  <si>
    <r>
      <rPr>
        <rFont val="Arial, sans-serif"/>
        <color rgb="FF1155CC"/>
        <sz val="9.0"/>
        <u/>
      </rPr>
      <t>El Nacional.cat</t>
    </r>
    <r>
      <rPr>
        <rFont val="Arial, sans-serif"/>
        <color rgb="FF1155CC"/>
        <sz val="15.0"/>
        <u/>
      </rPr>
      <t>Repsol se alía con EDF Renewables para licitar por la eólica marina en España y Portugal</t>
    </r>
    <r>
      <rPr>
        <rFont val="Arial, sans-serif"/>
        <color rgb="FF1155CC"/>
        <sz val="11.0"/>
        <u/>
      </rPr>
      <t>La eólica marina es el boom renovable pendiente en España. Mientras en muchos países es ya una realidad, aquí el sector energético sigue pendiente de que se...</t>
    </r>
    <r>
      <rPr>
        <rFont val="Arial, sans-serif"/>
        <color rgb="FF1155CC"/>
        <sz val="12.0"/>
        <u/>
      </rPr>
      <t>.</t>
    </r>
    <r>
      <rPr>
        <rFont val="Arial, sans-serif"/>
        <color rgb="FF1155CC"/>
        <sz val="11.0"/>
        <u/>
      </rPr>
      <t>18 jul 2024</t>
    </r>
  </si>
  <si>
    <t>Repsol se alía con EDF Renewables para licitar por la eólica marina en España y Portugal</t>
  </si>
  <si>
    <t>La eólica marina es el boom renovable pendiente en España. Mientras en muchos países es ya una realidad, aquí el sector energético sigue pendiente de que se....</t>
  </si>
  <si>
    <t>Repsol joins forces with EDF Renewables to tender for offshore wind in Spain and Portugal</t>
  </si>
  <si>
    <t>Offshore wind is the pending renewable boom in Spain. While in many countries it is already a reality, here the energy sector is still awaiting...</t>
  </si>
  <si>
    <t>Positive as it underscores Repsol’s expansion in offshore wind energy.</t>
  </si>
  <si>
    <r>
      <rPr>
        <rFont val="Arial, sans-serif"/>
        <color rgb="FF1155CC"/>
        <sz val="9.0"/>
        <u/>
      </rPr>
      <t>El Periódico de España</t>
    </r>
    <r>
      <rPr>
        <rFont val="Arial, sans-serif"/>
        <color rgb="FF1155CC"/>
        <sz val="15.0"/>
        <u/>
      </rPr>
      <t>Repsol se alía con EDF para pelear por los grandes proyectos de eólica marina en España</t>
    </r>
    <r>
      <rPr>
        <rFont val="Arial, sans-serif"/>
        <color rgb="FF1155CC"/>
        <sz val="11.0"/>
        <u/>
      </rPr>
      <t>La energética encuentra nuevo socio para entrar en el gran negocio de la parques 'offshore' tras el abandono del mercado español del gigante Ørsted.</t>
    </r>
    <r>
      <rPr>
        <rFont val="Arial, sans-serif"/>
        <color rgb="FF1155CC"/>
        <sz val="12.0"/>
        <u/>
      </rPr>
      <t>.</t>
    </r>
    <r>
      <rPr>
        <rFont val="Arial, sans-serif"/>
        <color rgb="FF1155CC"/>
        <sz val="11.0"/>
        <u/>
      </rPr>
      <t>18 jul 2024</t>
    </r>
  </si>
  <si>
    <t>Repsol se alía con EDF para pelear por los grandes proyectos de eólica marina en España</t>
  </si>
  <si>
    <t>La energética encuentra nuevo socio para entrar en el gran negocio de la parques 'offshore' tras el abandono del mercado español del gigante Ørsted.</t>
  </si>
  <si>
    <t>Repsol joins forces with EDF to fight for large offshore wind projects in Spain</t>
  </si>
  <si>
    <t>The energy company finds a new partner to enter the big business of offshore parks after the giant Ørsted left the Spanish market.</t>
  </si>
  <si>
    <t>Positive as it highlights a new partnership for renewable energy development.</t>
  </si>
  <si>
    <r>
      <rPr>
        <rFont val="Arial, sans-serif"/>
        <color rgb="FF1155CC"/>
        <sz val="9.0"/>
        <u/>
      </rPr>
      <t>Infoveritas</t>
    </r>
    <r>
      <rPr>
        <rFont val="Arial, sans-serif"/>
        <color rgb="FF1155CC"/>
        <sz val="15.0"/>
        <u/>
      </rPr>
      <t>Cuidado con este email de Repsol donde te regalan un iPad, es una estafa</t>
    </r>
    <r>
      <rPr>
        <rFont val="Arial, sans-serif"/>
        <color rgb="FF1155CC"/>
        <sz val="11.0"/>
        <u/>
      </rPr>
      <t>Repsol ha alertado en su web de este tipo de fraudes que suplantan su identidad con el fin de obtener los datos privados de las personas.</t>
    </r>
    <r>
      <rPr>
        <rFont val="Arial, sans-serif"/>
        <color rgb="FF1155CC"/>
        <sz val="12.0"/>
        <u/>
      </rPr>
      <t>.</t>
    </r>
    <r>
      <rPr>
        <rFont val="Arial, sans-serif"/>
        <color rgb="FF1155CC"/>
        <sz val="11.0"/>
        <u/>
      </rPr>
      <t>18 jul 2024</t>
    </r>
  </si>
  <si>
    <t>Infoveritas</t>
  </si>
  <si>
    <t>Cuidado con este email de Repsol donde te regalan un iPad, es una estafa</t>
  </si>
  <si>
    <t>Cuidado con este email de Repsol donde te regalan un iPad, es una estafa. Repsol ha alertado en su web de este tipo de fraudes que suplantan su identidad con el fin de obtener los datos privados de las personas.</t>
  </si>
  <si>
    <t>Be careful with this email from Repsol where they give you an iPad, it is a scam</t>
  </si>
  <si>
    <t>Be careful with this email from Repsol where they give you an iPad, it is a scam. Repsol has warned on its website of this type of fraud that impersonates your identity in order to obtain people's private data.</t>
  </si>
  <si>
    <t>Repsol cybersecurity, phishing scam</t>
  </si>
  <si>
    <t>Ciberseguridad Repsol, estafa de phishing</t>
  </si>
  <si>
    <t>Slightly negative as it discusses a scam affecting Repsol’s image.</t>
  </si>
  <si>
    <t>estafa</t>
  </si>
  <si>
    <t>Negative for brand reputation risk</t>
  </si>
  <si>
    <t>Negativo para el riesgo de reputación de marca</t>
  </si>
  <si>
    <r>
      <rPr>
        <rFont val="Arial, sans-serif"/>
        <color rgb="FF1155CC"/>
        <sz val="9.0"/>
        <u/>
      </rPr>
      <t>heraldo.es</t>
    </r>
    <r>
      <rPr>
        <rFont val="Arial, sans-serif"/>
        <color rgb="FF1155CC"/>
        <sz val="15.0"/>
        <u/>
      </rPr>
      <t>El restaurante bohemio de un pequeño pueblo de Huesca que luce un solete Repsol de verano</t>
    </r>
    <r>
      <rPr>
        <rFont val="Arial, sans-serif"/>
        <color rgb="FF1155CC"/>
        <sz val="11.0"/>
        <u/>
      </rPr>
      <t>Las recetas tradicionales se dan la mano con otras innovadoras, pero lo que se come es sorpresa, según el día.</t>
    </r>
    <r>
      <rPr>
        <rFont val="Arial, sans-serif"/>
        <color rgb="FF1155CC"/>
        <sz val="12.0"/>
        <u/>
      </rPr>
      <t>.</t>
    </r>
    <r>
      <rPr>
        <rFont val="Arial, sans-serif"/>
        <color rgb="FF1155CC"/>
        <sz val="11.0"/>
        <u/>
      </rPr>
      <t>18 jul 2024</t>
    </r>
  </si>
  <si>
    <t>El restaurante bohemio de un pequeño pueblo de Huesca que luce un solete Repsol de verano</t>
  </si>
  <si>
    <t>Las recetas tradicionales se dan la mano con otras innovadoras, pero lo que se come es sorpresa, según el día.</t>
  </si>
  <si>
    <t>The bohemian restaurant in a small town in Huesca that shows off a Repsol summer sun</t>
  </si>
  <si>
    <t>Traditional recipes go hand in hand with other innovative ones, but what you eat is a surprise, depending on the day.</t>
  </si>
  <si>
    <r>
      <rPr>
        <rFont val="Arial, sans-serif"/>
        <color rgb="FF1155CC"/>
        <sz val="9.0"/>
        <u/>
      </rPr>
      <t>Guía Repsol</t>
    </r>
    <r>
      <rPr>
        <rFont val="Arial, sans-serif"/>
        <color rgb="FF1155CC"/>
        <sz val="15.0"/>
        <u/>
      </rPr>
      <t>Visita el Palacio de Liria y sus jardines</t>
    </r>
    <r>
      <rPr>
        <rFont val="Arial, sans-serif"/>
        <color rgb="FF1155CC"/>
        <sz val="11.0"/>
        <u/>
      </rPr>
      <t>Adéntrate en la historia y la belleza del Palacio de Liria. Descubre el hogar de una valiosa colección de arte y su impresionante jardín.</t>
    </r>
    <r>
      <rPr>
        <rFont val="Arial, sans-serif"/>
        <color rgb="FF1155CC"/>
        <sz val="12.0"/>
        <u/>
      </rPr>
      <t>.</t>
    </r>
    <r>
      <rPr>
        <rFont val="Arial, sans-serif"/>
        <color rgb="FF1155CC"/>
        <sz val="11.0"/>
        <u/>
      </rPr>
      <t>18 jul 2024</t>
    </r>
  </si>
  <si>
    <t>Visita el Palacio de Liria y sus jardines</t>
  </si>
  <si>
    <t>Adéntrate en la historia y la belleza del Palacio de Liria. Descubre el hogar de una valiosa colección de arte y su impresionante jardín.</t>
  </si>
  <si>
    <t>Visit the Liria Palace and its gardens</t>
  </si>
  <si>
    <t>Delve into the history and beauty of the Liria Palace. Discover the home of a valuable art collection and its impressive garden.</t>
  </si>
  <si>
    <r>
      <rPr>
        <rFont val="Arial, sans-serif"/>
        <color rgb="FF1155CC"/>
        <sz val="9.0"/>
        <u/>
      </rPr>
      <t>ELLE</t>
    </r>
    <r>
      <rPr>
        <rFont val="Arial, sans-serif"/>
        <color rgb="FF1155CC"/>
        <sz val="15.0"/>
        <u/>
      </rPr>
      <t>El restaurante en Formentera recomendado por la Guía Repsol para comer bien, tomar buenos vinos y bailar</t>
    </r>
    <r>
      <rPr>
        <rFont val="Arial, sans-serif"/>
        <color rgb="FF1155CC"/>
        <sz val="11.0"/>
        <u/>
      </rPr>
      <t>Casanatalia, el restaurante en Sant Ferran de Ses Roques donde picotear, comer buen producto local y degustar un buen vino.</t>
    </r>
    <r>
      <rPr>
        <rFont val="Arial, sans-serif"/>
        <color rgb="FF1155CC"/>
        <sz val="12.0"/>
        <u/>
      </rPr>
      <t>.</t>
    </r>
    <r>
      <rPr>
        <rFont val="Arial, sans-serif"/>
        <color rgb="FF1155CC"/>
        <sz val="11.0"/>
        <u/>
      </rPr>
      <t>18 jul 2024</t>
    </r>
  </si>
  <si>
    <t>El restaurante en Formentera recomendado por la Guía Repsol para comer bien, tomar buenos vinos y bailar</t>
  </si>
  <si>
    <t>Casanatalia, el restaurante en Sant Ferran de Ses Roques donde picotear, comer buen producto local y degustar un buen vino.</t>
  </si>
  <si>
    <t>The restaurant in Formentera recommended by the Repsol Guide to eat well, drink good wines and dance</t>
  </si>
  <si>
    <t>Casanatalia, the restaurant in Sant Ferran de Ses Roques where you can snack, eat good local products and taste a good wine.</t>
  </si>
  <si>
    <r>
      <rPr>
        <rFont val="Arial, sans-serif"/>
        <color rgb="FF1155CC"/>
        <sz val="9.0"/>
        <u/>
      </rPr>
      <t>El Periódico de la Energía</t>
    </r>
    <r>
      <rPr>
        <rFont val="Arial, sans-serif"/>
        <color rgb="FF1155CC"/>
        <sz val="15.0"/>
        <u/>
      </rPr>
      <t>Iberdrola, Endesa, Naturgy y Repsol copan dos tercios del mercado del autoconsumo en España</t>
    </r>
    <r>
      <rPr>
        <rFont val="Arial, sans-serif"/>
        <color rgb="FF1155CC"/>
        <sz val="11.0"/>
        <u/>
      </rPr>
      <t>Según datos del Sistema de Información de Puntos de Suministro (SIPS), en junio de 2024, 535.745 puntos de suministro en España estaban acogidos a alguna...</t>
    </r>
    <r>
      <rPr>
        <rFont val="Arial, sans-serif"/>
        <color rgb="FF1155CC"/>
        <sz val="12.0"/>
        <u/>
      </rPr>
      <t>.</t>
    </r>
    <r>
      <rPr>
        <rFont val="Arial, sans-serif"/>
        <color rgb="FF1155CC"/>
        <sz val="11.0"/>
        <u/>
      </rPr>
      <t>18 jul 2024</t>
    </r>
  </si>
  <si>
    <t>Iberdrola, Endesa, Naturgy y Repsol copan dos tercios del mercado del autoconsumo en España</t>
  </si>
  <si>
    <t>Según datos del Sistema de Información de Puntos de Suministro (SIPS), en junio de 2024, 535.745 puntos de suministro en España estaban acogidos a alguna....</t>
  </si>
  <si>
    <t>Iberdrola, Endesa, Naturgy and Repsol occupy two thirds of the self-consumption market in Spain</t>
  </si>
  <si>
    <t>According to data from the Supply Point Information System (SIPS), in June 2024, 535,745 supply points in Spain were covered by some...</t>
  </si>
  <si>
    <t>Positive as it highlights Repsol’s strong presence in the self-consumption energy market.</t>
  </si>
  <si>
    <t>autoconsumo</t>
  </si>
  <si>
    <t>Positive for market leadership</t>
  </si>
  <si>
    <t>Positivo para el liderazgo del mercado</t>
  </si>
  <si>
    <r>
      <rPr>
        <rFont val="Arial, sans-serif"/>
        <color rgb="FF1155CC"/>
        <sz val="9.0"/>
        <u/>
      </rPr>
      <t>Infobae</t>
    </r>
    <r>
      <rPr>
        <rFont val="Arial, sans-serif"/>
        <color rgb="FF1155CC"/>
        <sz val="15.0"/>
        <u/>
      </rPr>
      <t>La cafetería que Begoña Rodrigo recomienda para un desayuno frente al mar en Valencia</t>
    </r>
    <r>
      <rPr>
        <rFont val="Arial, sans-serif"/>
        <color rgb="FF1155CC"/>
        <sz val="11.0"/>
        <u/>
      </rPr>
      <t>La cocinera de La Salita, con una estrella Michelin y 3 Soles Repsol, acude a este gastrobar de la playa de la Patacona cuando quiere disfrutar de un buen...</t>
    </r>
    <r>
      <rPr>
        <rFont val="Arial, sans-serif"/>
        <color rgb="FF1155CC"/>
        <sz val="12.0"/>
        <u/>
      </rPr>
      <t>.</t>
    </r>
    <r>
      <rPr>
        <rFont val="Arial, sans-serif"/>
        <color rgb="FF1155CC"/>
        <sz val="11.0"/>
        <u/>
      </rPr>
      <t>18 jul 2024</t>
    </r>
  </si>
  <si>
    <t>La cafetería que Begoña Rodrigo recomienda para un desayuno frente al mar en Valencia</t>
  </si>
  <si>
    <t>La cocinera de La Salita, con una estrella Michelin y 3 Soles Repsol, acude a este gastrobar de la playa de la Patacona cuando quiere disfrutar de un buen....</t>
  </si>
  <si>
    <t>The cafeteria that Begoña Rodrigo recommends for a breakfast facing the sea in Valencia</t>
  </si>
  <si>
    <t>The chef at La Salita, with a Michelin star and 3 Repsol Suns, goes to this gastrobar on Patacona beach when she wants to enjoy a good...</t>
  </si>
  <si>
    <r>
      <rPr>
        <rFont val="Arial, sans-serif"/>
        <color rgb="FF1155CC"/>
        <sz val="9.0"/>
        <u/>
      </rPr>
      <t>El Español</t>
    </r>
    <r>
      <rPr>
        <rFont val="Arial, sans-serif"/>
        <color rgb="FF1155CC"/>
        <sz val="15.0"/>
        <u/>
      </rPr>
      <t>La nueva terraza de una casa de comidas con Solete Repsol en Madrid que mezcla un rico arroz con DJ</t>
    </r>
    <r>
      <rPr>
        <rFont val="Arial, sans-serif"/>
        <color rgb="FF1155CC"/>
        <sz val="11.0"/>
        <u/>
      </rPr>
      <t>El espacio ajardinado está inspirado en un 'listening bar' de Japón con música de calidad en directo todas las noches de jueves a domingo.</t>
    </r>
    <r>
      <rPr>
        <rFont val="Arial, sans-serif"/>
        <color rgb="FF1155CC"/>
        <sz val="12.0"/>
        <u/>
      </rPr>
      <t>.</t>
    </r>
    <r>
      <rPr>
        <rFont val="Arial, sans-serif"/>
        <color rgb="FF1155CC"/>
        <sz val="11.0"/>
        <u/>
      </rPr>
      <t>18 jul 2024</t>
    </r>
  </si>
  <si>
    <t>La nueva terraza de una casa de comidas con Solete Repsol en Madrid que mezcla un rico arroz con DJ</t>
  </si>
  <si>
    <t>El espacio ajardinado está inspirado en un 'listening bar' de Japón con música de calidad en directo todas las noches de jueves a domingo.</t>
  </si>
  <si>
    <t>The new terrace of a food house with Solete Repsol in Madrid that mixes delicious rice with DJ</t>
  </si>
  <si>
    <t>The garden space is inspired by a 'listening bar' in Japan with quality live music every night from Thursday to Sunday.</t>
  </si>
  <si>
    <r>
      <rPr>
        <rFont val="Arial, sans-serif"/>
        <color rgb="FF1155CC"/>
        <sz val="9.0"/>
        <u/>
      </rPr>
      <t>Guía Repsol</t>
    </r>
    <r>
      <rPr>
        <rFont val="Arial, sans-serif"/>
        <color rgb="FF1155CC"/>
        <sz val="15.0"/>
        <u/>
      </rPr>
      <t>Dónde comer rico y barato en la Costa Brava según los chefs</t>
    </r>
    <r>
      <rPr>
        <rFont val="Arial, sans-serif"/>
        <color rgb="FF1155CC"/>
        <sz val="11.0"/>
        <u/>
      </rPr>
      <t>Descubre los mejores sitios para comer en la Costa Brava de algunos cocineros con 3 soles de Guía Repsol. ¡Come rico y barato en la costa de Girona!</t>
    </r>
    <r>
      <rPr>
        <rFont val="Arial, sans-serif"/>
        <color rgb="FF1155CC"/>
        <sz val="12.0"/>
        <u/>
      </rPr>
      <t>.</t>
    </r>
    <r>
      <rPr>
        <rFont val="Arial, sans-serif"/>
        <color rgb="FF1155CC"/>
        <sz val="11.0"/>
        <u/>
      </rPr>
      <t>18 jul 2024</t>
    </r>
  </si>
  <si>
    <t>Dónde comer rico y barato en la Costa Brava según los chefs</t>
  </si>
  <si>
    <t>Descubre los mejores sitios para comer en la Costa Brava de algunos cocineros con 3 soles de Guía Repsol. ¡Come rico y barato en la costa de Girona!.</t>
  </si>
  <si>
    <t>Where to eat delicious and cheap on the Costa Brava according to chefs</t>
  </si>
  <si>
    <t>Discover the best places to eat on the Costa Brava from some chefs with 3 soles from the Repsol Guide. Eat delicious and cheap on the coast of Girona!</t>
  </si>
  <si>
    <r>
      <rPr>
        <rFont val="Arial, sans-serif"/>
        <color rgb="FF1155CC"/>
        <sz val="9.0"/>
        <u/>
      </rPr>
      <t>El Español</t>
    </r>
    <r>
      <rPr>
        <rFont val="Arial, sans-serif"/>
        <color rgb="FF1155CC"/>
        <sz val="15.0"/>
        <u/>
      </rPr>
      <t>El restaurante de carretera en el que tienes que parar si pasas por Valencia: tiene un Solete Repsol</t>
    </r>
    <r>
      <rPr>
        <rFont val="Arial, sans-serif"/>
        <color rgb="FF1155CC"/>
        <sz val="11.0"/>
        <u/>
      </rPr>
      <t>Se encuentra en la Autovía del Mediterráneo y destaca por la creatividad de sus tapas y bocadillos elaborados con productos locales de gran calidad.</t>
    </r>
    <r>
      <rPr>
        <rFont val="Arial, sans-serif"/>
        <color rgb="FF1155CC"/>
        <sz val="12.0"/>
        <u/>
      </rPr>
      <t>.</t>
    </r>
    <r>
      <rPr>
        <rFont val="Arial, sans-serif"/>
        <color rgb="FF1155CC"/>
        <sz val="11.0"/>
        <u/>
      </rPr>
      <t>18 jul 2024</t>
    </r>
  </si>
  <si>
    <t>El restaurante de carretera en el que tienes que parar si pasas por Valencia: tiene un Solete Repsol</t>
  </si>
  <si>
    <t>Se encuentra en la Autovía del Mediterráneo y destaca por la creatividad de sus tapas y bocadillos elaborados con productos locales de gran calidad.</t>
  </si>
  <si>
    <t>The roadside restaurant you have to stop at if you pass through Valencia: it has a Solete Repsol</t>
  </si>
  <si>
    <t>It is located on the Mediterranean Highway and stands out for the creativity of its tapas and sandwiches made with high-quality local products.</t>
  </si>
  <si>
    <r>
      <rPr>
        <rFont val="Arial, sans-serif"/>
        <color rgb="FF1155CC"/>
        <sz val="9.0"/>
        <u/>
      </rPr>
      <t>Sweetpress</t>
    </r>
    <r>
      <rPr>
        <rFont val="Arial, sans-serif"/>
        <color rgb="FF1155CC"/>
        <sz val="15.0"/>
        <u/>
      </rPr>
      <t>Repsol ofrece el servicio de devoluciones Amazon</t>
    </r>
    <r>
      <rPr>
        <rFont val="Arial, sans-serif"/>
        <color rgb="FF1155CC"/>
        <sz val="11.0"/>
        <u/>
      </rPr>
      <t>Tras completar con éxito una prueba piloto, Repsol y Amazon han lanzado un nuevo servicio para que los clientes realicen sus devoluciones en las gasolineras...</t>
    </r>
    <r>
      <rPr>
        <rFont val="Arial, sans-serif"/>
        <color rgb="FF1155CC"/>
        <sz val="12.0"/>
        <u/>
      </rPr>
      <t>.</t>
    </r>
    <r>
      <rPr>
        <rFont val="Arial, sans-serif"/>
        <color rgb="FF1155CC"/>
        <sz val="11.0"/>
        <u/>
      </rPr>
      <t>19 jul 2024</t>
    </r>
  </si>
  <si>
    <t>Repsol ofrece el servicio de devoluciones Amazon</t>
  </si>
  <si>
    <t>Repsol y Amazon han lanzado un nuevo servicio para que los clientes realicen sus devoluciones en las gasolineras.</t>
  </si>
  <si>
    <t>Repsol offers the Amazon returns service</t>
  </si>
  <si>
    <t>Repsol and Amazon have launched a new service for customers to make returns at gas stations.</t>
  </si>
  <si>
    <t>Repsol customer service, business expansion</t>
  </si>
  <si>
    <t>Atención al cliente Repsol, expansión empresarial</t>
  </si>
  <si>
    <t>Positive as it highlights a strategic business collaboration.</t>
  </si>
  <si>
    <t>Mildly positive for customer service</t>
  </si>
  <si>
    <t>Ligeramente positivo para el servicio al cliente.</t>
  </si>
  <si>
    <r>
      <rPr>
        <rFont val="Arial, sans-serif"/>
        <color rgb="FF1155CC"/>
        <sz val="9.0"/>
        <u/>
      </rPr>
      <t>Ideal</t>
    </r>
    <r>
      <rPr>
        <rFont val="Arial, sans-serif"/>
        <color rgb="FF1155CC"/>
        <sz val="15.0"/>
        <u/>
      </rPr>
      <t>Repsol recupera la normalidad en sus gasolineras tras el fallo de Microsoft</t>
    </r>
    <r>
      <rPr>
        <rFont val="Arial, sans-serif"/>
        <color rgb="FF1155CC"/>
        <sz val="11.0"/>
        <u/>
      </rPr>
      <t>Desde la compañía afirman que han trabajado para solventar la incidencia antes de la operación salida. Otras empresas como Aena también se han visto...</t>
    </r>
    <r>
      <rPr>
        <rFont val="Arial, sans-serif"/>
        <color rgb="FF1155CC"/>
        <sz val="12.0"/>
        <u/>
      </rPr>
      <t>.</t>
    </r>
    <r>
      <rPr>
        <rFont val="Arial, sans-serif"/>
        <color rgb="FF1155CC"/>
        <sz val="11.0"/>
        <u/>
      </rPr>
      <t>19 jul 2024</t>
    </r>
  </si>
  <si>
    <t>Repsol recupera la normalidad en sus gasolineras tras el fallo de Microsoft</t>
  </si>
  <si>
    <t>Repasol recupera la normalidad en sus gasolineras tras el fallo de Microsoft. Desde la compañía afirman que han trabajado para solventar la incidencia antes de la operación salida. Otras empresas como Aena también se han visto....</t>
  </si>
  <si>
    <t>Repsol recovers normality at its gas stations after Microsoft's failure</t>
  </si>
  <si>
    <t>Repasol recovers normality at its gas stations after Microsoft's failure. The company states that they have worked to resolve the incident before the operation was launched. Other companies like Aena have also been seen...</t>
  </si>
  <si>
    <t>Repsol customer service, business operations</t>
  </si>
  <si>
    <t>Atención al cliente Repsol, operaciones empresariales</t>
  </si>
  <si>
    <t>Slightly positive as it reassures customers after a temporary disruption.</t>
  </si>
  <si>
    <t>fallo</t>
  </si>
  <si>
    <t>Mildly negative for technical issues</t>
  </si>
  <si>
    <t>Ligeramente negativo por cuestiones técnicas.</t>
  </si>
  <si>
    <r>
      <rPr>
        <rFont val="Arial, sans-serif"/>
        <color rgb="FF1155CC"/>
        <sz val="9.0"/>
        <u/>
      </rPr>
      <t>El Economista</t>
    </r>
    <r>
      <rPr>
        <rFont val="Arial, sans-serif"/>
        <color rgb="FF1155CC"/>
        <sz val="15.0"/>
        <u/>
      </rPr>
      <t>CrowdStrike, el fallo que tumba a Microsoft y bloquea la actividad de millones de empresas en el mundo: Repsol, Aena, Kutxabank, las primeras afectadas</t>
    </r>
    <r>
      <rPr>
        <rFont val="Arial, sans-serif"/>
        <color rgb="FF1155CC"/>
        <sz val="11.0"/>
        <u/>
      </rPr>
      <t>Un fallo con el sistema de Microsoft a nivel global está provocando problemas en numerosas empresas, entre ellas del sector aéreo, ...</t>
    </r>
    <r>
      <rPr>
        <rFont val="Arial, sans-serif"/>
        <color rgb="FF1155CC"/>
        <sz val="12.0"/>
        <u/>
      </rPr>
      <t>.</t>
    </r>
    <r>
      <rPr>
        <rFont val="Arial, sans-serif"/>
        <color rgb="FF1155CC"/>
        <sz val="11.0"/>
        <u/>
      </rPr>
      <t>19 jul 2024</t>
    </r>
  </si>
  <si>
    <t>CrowdStrike, el fallo que tumba a Microsoft y bloquea la actividad de millones de empresas en el mundo: Repsol, Aena, Kutxabank, las primeras afectadas</t>
  </si>
  <si>
    <t>Un fallo con el sistema de Microsoft a nivel global está provocando problemas en numerosas empresas, entre ellas del sector aéreo, ....</t>
  </si>
  <si>
    <t>CrowdStrike, the ruling that knocks down Microsoft and blocks the activity of millions of companies in the world: Repsol, Aena, Kutxabank, the first affected</t>
  </si>
  <si>
    <t>A failure with the Microsoft system globally is causing problems in numerous companies, including the airline sector,....</t>
  </si>
  <si>
    <t>Neutral as it describes a global IT issue without direct sentiment toward Repsol.</t>
  </si>
  <si>
    <t>Negative for operational disruption</t>
  </si>
  <si>
    <t>Negativo por interrupción operativa</t>
  </si>
  <si>
    <r>
      <rPr>
        <rFont val="Arial, sans-serif"/>
        <color rgb="FF1155CC"/>
        <sz val="9.0"/>
        <u/>
      </rPr>
      <t>Diario Sur</t>
    </r>
    <r>
      <rPr>
        <rFont val="Arial, sans-serif"/>
        <color rgb="FF1155CC"/>
        <sz val="15.0"/>
        <u/>
      </rPr>
      <t>Caos en aeropuertos, bancos, gasolineras y pagos con tarjeta por un problema informático</t>
    </r>
    <r>
      <rPr>
        <rFont val="Arial, sans-serif"/>
        <color rgb="FF1155CC"/>
        <sz val="11.0"/>
        <u/>
      </rPr>
      <t>Compañías como Repsol o Aena presentan fallos por la caída de un sistema de Microsoft a nivel mundial. El aeropuerto de Málaga, entre los afectados.</t>
    </r>
    <r>
      <rPr>
        <rFont val="Arial, sans-serif"/>
        <color rgb="FF1155CC"/>
        <sz val="12.0"/>
        <u/>
      </rPr>
      <t>.</t>
    </r>
    <r>
      <rPr>
        <rFont val="Arial, sans-serif"/>
        <color rgb="FF1155CC"/>
        <sz val="11.0"/>
        <u/>
      </rPr>
      <t>19 jul 2024</t>
    </r>
  </si>
  <si>
    <t>Caos en aeropuertos, bancos, gasolineras y pagos con tarjeta por un problema informático</t>
  </si>
  <si>
    <t>Caos en aeropuertos, bancos, gasolineras y pagos con tarjeta por un problema informático. Compañías como Repsol o Aena presentan fallos por la caída de un sistema de Microsoft a nivel mundial. El aeropuerto de Málaga, entre los afectados.</t>
  </si>
  <si>
    <t>Chaos in airports, banks, gas stations and card payments due to a computer problem</t>
  </si>
  <si>
    <t>Chaos in airports, banks, gas stations and card payments due to a computer problem. Companies like Repsol or Aena present failures due to the failure of a Microsoft system worldwide. Malaga airport, among those affected.</t>
  </si>
  <si>
    <t>Neutral as it reports an external system failure without specific sentiment on Repsol.</t>
  </si>
  <si>
    <t>caos</t>
  </si>
  <si>
    <r>
      <rPr>
        <rFont val="Arial, sans-serif"/>
        <color rgb="FF1155CC"/>
        <sz val="9.0"/>
        <u/>
      </rPr>
      <t>Hora Jaén</t>
    </r>
    <r>
      <rPr>
        <rFont val="Arial, sans-serif"/>
        <color rgb="FF1155CC"/>
        <sz val="15.0"/>
        <u/>
      </rPr>
      <t>La UJA reunirá a una quincena de ‘Estrellas Michelín’ y una veintena de ‘Soles Repsol’ en un curso de gastronomía</t>
    </r>
    <r>
      <rPr>
        <rFont val="Arial, sans-serif"/>
        <color rgb="FF1155CC"/>
        <sz val="11.0"/>
        <u/>
      </rPr>
      <t>JAÉN.- La Universidad de Jaén reunirá del 2 al 4 de septiembre a una quincena de Estrellas Michelín y una veintena de Soles Repsol' en el Curso de Verano...</t>
    </r>
    <r>
      <rPr>
        <rFont val="Arial, sans-serif"/>
        <color rgb="FF1155CC"/>
        <sz val="12.0"/>
        <u/>
      </rPr>
      <t>.</t>
    </r>
    <r>
      <rPr>
        <rFont val="Arial, sans-serif"/>
        <color rgb="FF1155CC"/>
        <sz val="11.0"/>
        <u/>
      </rPr>
      <t>19 jul 2024</t>
    </r>
  </si>
  <si>
    <t>Hora Jaén</t>
  </si>
  <si>
    <t>La UJA reunirá a una quincena de ‘Estrellas Michelín’ y una veintena de ‘Soles Repsol’ en un curso de gastronomía</t>
  </si>
  <si>
    <t>La Universidad de Jaén reunirá del 2 al 4 de septiembre a una quincena de Estrellas Michelín y una veintena de Soles Repsol en el Curso de Verano.</t>
  </si>
  <si>
    <t>The UJA will bring together fifteen 'Michelin Stars' and twenty 'Repsol Suns' in a gastronomy course</t>
  </si>
  <si>
    <t>From September 2 to 4, the University of Jaén will bring together fifteen Michelin Stars and twenty Repsol Suns in the Summer Course.</t>
  </si>
  <si>
    <r>
      <rPr>
        <rFont val="Arial, sans-serif"/>
        <color rgb="FF1155CC"/>
        <sz val="9.0"/>
        <u/>
      </rPr>
      <t>Driving ECO</t>
    </r>
    <r>
      <rPr>
        <rFont val="Arial, sans-serif"/>
        <color rgb="FF1155CC"/>
        <sz val="15.0"/>
        <u/>
      </rPr>
      <t>Cómo las grandes empresas ofrecen descuentos en combustible</t>
    </r>
    <r>
      <rPr>
        <rFont val="Arial, sans-serif"/>
        <color rgb="FF1155CC"/>
        <sz val="11.0"/>
        <u/>
      </rPr>
      <t>El precio de los combustibles ha sido uno de los mayores desafíos económicos para las familias españolas en los últimos años. Se suma a otros gastos del...</t>
    </r>
    <r>
      <rPr>
        <rFont val="Arial, sans-serif"/>
        <color rgb="FF1155CC"/>
        <sz val="12.0"/>
        <u/>
      </rPr>
      <t>.</t>
    </r>
    <r>
      <rPr>
        <rFont val="Arial, sans-serif"/>
        <color rgb="FF1155CC"/>
        <sz val="11.0"/>
        <u/>
      </rPr>
      <t>19 jul 2024</t>
    </r>
  </si>
  <si>
    <t>Driving ECO</t>
  </si>
  <si>
    <t>Cómo las grandes empresas ofrecen descuentos en combustible</t>
  </si>
  <si>
    <t>El precio de los combustibles ha sido uno de los mayores desafíos económicos para las familias españolas en los últimos años. Se suma a otros gastos del....</t>
  </si>
  <si>
    <t>How big companies offer fuel discounts</t>
  </si>
  <si>
    <t>The price of fuel has been one of the biggest economic challenges for Spanish families in recent years. It is added to other expenses of the...</t>
  </si>
  <si>
    <t>Repsol customer incentives, business strategy</t>
  </si>
  <si>
    <t>Incentivos al cliente Repsol, estrategia empresarial</t>
  </si>
  <si>
    <t>Positive as it highlights Repsol’s involvement in providing fuel discounts.</t>
  </si>
  <si>
    <r>
      <rPr>
        <rFont val="Arial, sans-serif"/>
        <color rgb="FF1155CC"/>
        <sz val="9.0"/>
        <u/>
      </rPr>
      <t>20Minutos</t>
    </r>
    <r>
      <rPr>
        <rFont val="Arial, sans-serif"/>
        <color rgb="FF1155CC"/>
        <sz val="15.0"/>
        <u/>
      </rPr>
      <t>Aviso conductores: así podría afectar la caída de Internet si quieres echar gasolina</t>
    </r>
    <r>
      <rPr>
        <rFont val="Arial, sans-serif"/>
        <color rgb="FF1155CC"/>
        <sz val="11.0"/>
        <u/>
      </rPr>
      <t>Retrasos en vuelos, caos en empresas, problemas de pagos... El fallo informático mundial que está provocando diversas incidencias en numerosas empresas...</t>
    </r>
    <r>
      <rPr>
        <rFont val="Arial, sans-serif"/>
        <color rgb="FF1155CC"/>
        <sz val="12.0"/>
        <u/>
      </rPr>
      <t>.</t>
    </r>
    <r>
      <rPr>
        <rFont val="Arial, sans-serif"/>
        <color rgb="FF1155CC"/>
        <sz val="11.0"/>
        <u/>
      </rPr>
      <t>19 jul 2024</t>
    </r>
  </si>
  <si>
    <t>Aviso conductores: así podría afectar la caída de Internet si quieres echar gasolina</t>
  </si>
  <si>
    <t>Retrasos en vuelos, caos en empresas, problemas de pagos... El fallo informático mundial que está provocando diversas incidencias en numerosas empresas.</t>
  </si>
  <si>
    <t>Warning drivers: this could affect the Internet downtime if you want to get gas</t>
  </si>
  <si>
    <t>Flight delays, chaos in companies, payment problems... The global computer failure that is causing various incidents in numerous companies.</t>
  </si>
  <si>
    <t>Neutral as it discusses a widespread technical issue without direct sentiment toward Repsol.</t>
  </si>
  <si>
    <r>
      <rPr>
        <rFont val="Arial, sans-serif"/>
        <color rgb="FF1155CC"/>
        <sz val="9.0"/>
        <u/>
      </rPr>
      <t>Huelva Información</t>
    </r>
    <r>
      <rPr>
        <rFont val="Arial, sans-serif"/>
        <color rgb="FF1155CC"/>
        <sz val="15.0"/>
        <u/>
      </rPr>
      <t>El nuevo restaurante de un reconocido chef sevillano de Guía Michelin y Repsol en un pueblo de Huelva</t>
    </r>
    <r>
      <rPr>
        <rFont val="Arial, sans-serif"/>
        <color rgb="FF1155CC"/>
        <sz val="11.0"/>
        <u/>
      </rPr>
      <t>Nueva propuesta gastronómica de alto nivel en Huelva: El chef sevillano Javier Abascal, recomendado por la Guía Michelin y con un 'Sol' de la Guía Repsol,...</t>
    </r>
    <r>
      <rPr>
        <rFont val="Arial, sans-serif"/>
        <color rgb="FF1155CC"/>
        <sz val="12.0"/>
        <u/>
      </rPr>
      <t>.</t>
    </r>
    <r>
      <rPr>
        <rFont val="Arial, sans-serif"/>
        <color rgb="FF1155CC"/>
        <sz val="11.0"/>
        <u/>
      </rPr>
      <t>19 jul 2024</t>
    </r>
  </si>
  <si>
    <t>El nuevo restaurante de un reconocido chef sevillano de Guía Michelin y Repsol en un pueblo de Huelva</t>
  </si>
  <si>
    <t>Nueva propuesta gastronómica de alto nivel en Huelva: El chef sevillano Javier Abascal, recomendado por la Guía Michelin y con un 'Sol' de la Guía Repsol,....</t>
  </si>
  <si>
    <t>The new restaurant of a renowned Sevillian chef from the Michelin Guide and Repsol in a town in Huelva</t>
  </si>
  <si>
    <t>New high-level gastronomic proposal in Huelva: Sevillian chef Javier Abascal, recommended by the Michelin Guide and with a 'Sol' from the Repsol Guide,....</t>
  </si>
  <si>
    <r>
      <rPr>
        <rFont val="Arial, sans-serif"/>
        <color rgb="FF1155CC"/>
        <sz val="9.0"/>
        <u/>
      </rPr>
      <t>Antena 3</t>
    </r>
    <r>
      <rPr>
        <rFont val="Arial, sans-serif"/>
        <color rgb="FF1155CC"/>
        <sz val="15.0"/>
        <u/>
      </rPr>
      <t>Estas son las empresas españolas afectadas por el fallo de Microsoft</t>
    </r>
    <r>
      <rPr>
        <rFont val="Arial, sans-serif"/>
        <color rgb="FF1155CC"/>
        <sz val="11.0"/>
        <u/>
      </rPr>
      <t>El fallo está causando incidencias en diversas empresas y servicios públicos en España y en todo el mundo.</t>
    </r>
    <r>
      <rPr>
        <rFont val="Arial, sans-serif"/>
        <color rgb="FF1155CC"/>
        <sz val="12.0"/>
        <u/>
      </rPr>
      <t>.</t>
    </r>
    <r>
      <rPr>
        <rFont val="Arial, sans-serif"/>
        <color rgb="FF1155CC"/>
        <sz val="11.0"/>
        <u/>
      </rPr>
      <t>19 jul 2024</t>
    </r>
  </si>
  <si>
    <t>Estas son las empresas españolas afectadas por el fallo de Microsoft</t>
  </si>
  <si>
    <t>El fallo está causando incidencias en diversas empresas y servicios públicos en España y en todo el mundo.</t>
  </si>
  <si>
    <t>These are the Spanish companies affected by the Microsoft failure</t>
  </si>
  <si>
    <t>The failure is causing incidents in various companies and public services in Spain and around the world.</t>
  </si>
  <si>
    <t>Repsol cybersecurity, business operations</t>
  </si>
  <si>
    <t>Ciberseguridad Repsol, operaciones empresariales</t>
  </si>
  <si>
    <t>Slightly negative as it reports an IT failure affecting Repsol.</t>
  </si>
  <si>
    <t>Negative for operational issues</t>
  </si>
  <si>
    <t>Negativo por cuestiones operativas.</t>
  </si>
  <si>
    <r>
      <rPr>
        <rFont val="Arial, sans-serif"/>
        <color rgb="FF1155CC"/>
        <sz val="9.0"/>
        <u/>
      </rPr>
      <t>Guía Repsol</t>
    </r>
    <r>
      <rPr>
        <rFont val="Arial, sans-serif"/>
        <color rgb="FF1155CC"/>
        <sz val="15.0"/>
        <u/>
      </rPr>
      <t>Donde tomar algo rico y barato en Madrid según los chefs</t>
    </r>
    <r>
      <rPr>
        <rFont val="Arial, sans-serif"/>
        <color rgb="FF1155CC"/>
        <sz val="11.0"/>
        <u/>
      </rPr>
      <t>Guía Repsol propone seguir los Soletes de los cocineros para una tarde en Madrid. Descubre distintos sitios donde tomar algo en Madrid de la mano de...</t>
    </r>
    <r>
      <rPr>
        <rFont val="Arial, sans-serif"/>
        <color rgb="FF1155CC"/>
        <sz val="12.0"/>
        <u/>
      </rPr>
      <t>.</t>
    </r>
    <r>
      <rPr>
        <rFont val="Arial, sans-serif"/>
        <color rgb="FF1155CC"/>
        <sz val="11.0"/>
        <u/>
      </rPr>
      <t>19 jul 2024</t>
    </r>
  </si>
  <si>
    <t>Donde tomar algo rico y barato en Madrid según los chefs</t>
  </si>
  <si>
    <t>Descubre distintos sitios donde tomar algo en Madrid de la mano de los Soletes de los cocineros.</t>
  </si>
  <si>
    <t>Where to have something delicious and cheap in Madrid according to the chefs</t>
  </si>
  <si>
    <t>Discover different places to have a drink in Madrid with the cooks' Soletes.</t>
  </si>
  <si>
    <r>
      <rPr>
        <rFont val="Arial, sans-serif"/>
        <color rgb="FF1155CC"/>
        <sz val="9.0"/>
        <u/>
      </rPr>
      <t>BURGOSconecta</t>
    </r>
    <r>
      <rPr>
        <rFont val="Arial, sans-serif"/>
        <color rgb="FF1155CC"/>
        <sz val="15.0"/>
        <u/>
      </rPr>
      <t>Bancos y gasolineras de Burgos sufren incidencias por el apagón de Microsoft</t>
    </r>
    <r>
      <rPr>
        <rFont val="Arial, sans-serif"/>
        <color rgb="FF1155CC"/>
        <sz val="11.0"/>
        <u/>
      </rPr>
      <t>La reciente caída del sistema informático ha provocado daños a nivel mundial y algunos negocios burgaleses están viéndose afectados.</t>
    </r>
    <r>
      <rPr>
        <rFont val="Arial, sans-serif"/>
        <color rgb="FF1155CC"/>
        <sz val="12.0"/>
        <u/>
      </rPr>
      <t>.</t>
    </r>
    <r>
      <rPr>
        <rFont val="Arial, sans-serif"/>
        <color rgb="FF1155CC"/>
        <sz val="11.0"/>
        <u/>
      </rPr>
      <t>19 jul 2024</t>
    </r>
  </si>
  <si>
    <t>Bancos y gasolineras de Burgos sufren incidencias por el apagón de Microsoft</t>
  </si>
  <si>
    <t>La reciente caída del sistema informático ha provocado daños a nivel mundial y algunos negocios burgaleses están viéndose afectados.</t>
  </si>
  <si>
    <t>Banks and gas stations in Burgos suffer incidents due to the Microsoft blackout</t>
  </si>
  <si>
    <t>The recent computer system crash has caused damage worldwide and some businesses in Burgos are being affected.</t>
  </si>
  <si>
    <t>Slightly negative as it highlights operational issues at Repsol due to an external failure.</t>
  </si>
  <si>
    <t>incidencias</t>
  </si>
  <si>
    <r>
      <rPr>
        <rFont val="Arial, sans-serif"/>
        <color rgb="FF1155CC"/>
        <sz val="9.0"/>
        <u/>
      </rPr>
      <t>La Opinión de Zamora</t>
    </r>
    <r>
      <rPr>
        <rFont val="Arial, sans-serif"/>
        <color rgb="FF1155CC"/>
        <sz val="15.0"/>
        <u/>
      </rPr>
      <t>Un fallo de Microsoft provoca incidencias a nivel global, entre los afectados la Estación de Servicio de Moraleja del Vino</t>
    </r>
    <r>
      <rPr>
        <rFont val="Arial, sans-serif"/>
        <color rgb="FF1155CC"/>
        <sz val="11.0"/>
        <u/>
      </rPr>
      <t>El error es conocido como 'pantalla azul de la muerte' y es el modo en el que se manifiesta en los ordenadores de las empresas.</t>
    </r>
    <r>
      <rPr>
        <rFont val="Arial, sans-serif"/>
        <color rgb="FF1155CC"/>
        <sz val="12.0"/>
        <u/>
      </rPr>
      <t>.</t>
    </r>
    <r>
      <rPr>
        <rFont val="Arial, sans-serif"/>
        <color rgb="FF1155CC"/>
        <sz val="11.0"/>
        <u/>
      </rPr>
      <t>19 jul 2024</t>
    </r>
  </si>
  <si>
    <t>Un fallo de Microsoft provoca incidencias a nivel global, entre los afectados la Estación de Servicio de Moraleja del Vino</t>
  </si>
  <si>
    <t>El error es conocido como 'pantalla azul de la muerte' y es el modo en el que se manifiesta en los ordenadores de las empresas.</t>
  </si>
  <si>
    <t>A Microsoft failure causes incidents at a global level, among those affected the Moraleja del Vino Service Station</t>
  </si>
  <si>
    <t>The error is known as the 'blue screen of death' and is the way it manifests itself on company computers.</t>
  </si>
  <si>
    <t>Neutral as it describes a technical issue without sentiment implications.</t>
  </si>
  <si>
    <r>
      <rPr>
        <rFont val="Arial, sans-serif"/>
        <color rgb="FF1155CC"/>
        <sz val="9.0"/>
        <u/>
      </rPr>
      <t>Infobae</t>
    </r>
    <r>
      <rPr>
        <rFont val="Arial, sans-serif"/>
        <color rgb="FF1155CC"/>
        <sz val="15.0"/>
        <u/>
      </rPr>
      <t>El bar de carretera en plena A-3 que se ha convertido en destino gastronómico por su carne y sus torreznos: “El producto está por encima de todo”</t>
    </r>
    <r>
      <rPr>
        <rFont val="Arial, sans-serif"/>
        <color rgb="FF1155CC"/>
        <sz val="11.0"/>
        <u/>
      </rPr>
      <t>Toño Navarro es el joven chef al frente de este restaurante y de su gastrobar, galardonados con 1 Sol Repsol. “Sinceridad. Producto y equipo.</t>
    </r>
    <r>
      <rPr>
        <rFont val="Arial, sans-serif"/>
        <color rgb="FF1155CC"/>
        <sz val="12.0"/>
        <u/>
      </rPr>
      <t>.</t>
    </r>
    <r>
      <rPr>
        <rFont val="Arial, sans-serif"/>
        <color rgb="FF1155CC"/>
        <sz val="11.0"/>
        <u/>
      </rPr>
      <t>19 jul 2024</t>
    </r>
  </si>
  <si>
    <t>El bar de carretera en plena A-3 que se ha convertido en destino gastronómico por su carne y sus torreznos: “El producto está por encima de todo”</t>
  </si>
  <si>
    <t>“Toño Navarro es el joven chef al frente de este restaurante y de su gastrobar, galardonados con 1 Sol Repsol. “Sinceridad. Producto y equipo..</t>
  </si>
  <si>
    <t>The roadside bar in the middle of A-3 that has become a gastronomic destination for its meat and torreznos: “The product is above all else”</t>
  </si>
  <si>
    <t>“Toño Navarro is the young chef at the helm of this restaurant and its gastrobar, awarded with 1 Sol Repsol. "Sincerity. Product and equipment..</t>
  </si>
  <si>
    <r>
      <rPr>
        <rFont val="Arial, sans-serif"/>
        <color rgb="FF1155CC"/>
        <sz val="9.0"/>
        <u/>
      </rPr>
      <t>El Diario Montañés</t>
    </r>
    <r>
      <rPr>
        <rFont val="Arial, sans-serif"/>
        <color rgb="FF1155CC"/>
        <sz val="15.0"/>
        <u/>
      </rPr>
      <t>La caída a nivel mundial de un sistema de Microsoft afecta a numerosas empresas</t>
    </r>
    <r>
      <rPr>
        <rFont val="Arial, sans-serif"/>
        <color rgb="FF1155CC"/>
        <sz val="11.0"/>
        <u/>
      </rPr>
      <t>Aena y Repsol son algunas de las compañías perjudicadas.</t>
    </r>
    <r>
      <rPr>
        <rFont val="Arial, sans-serif"/>
        <color rgb="FF1155CC"/>
        <sz val="12.0"/>
        <u/>
      </rPr>
      <t>.</t>
    </r>
    <r>
      <rPr>
        <rFont val="Arial, sans-serif"/>
        <color rgb="FF1155CC"/>
        <sz val="11.0"/>
        <u/>
      </rPr>
      <t>19 jul 2024</t>
    </r>
  </si>
  <si>
    <t>La caída a nivel mundial de un sistema de Microsoft afecta a numerosas empresas</t>
  </si>
  <si>
    <t>Aena y Repsol son algunas de las compañías perjudicadas.</t>
  </si>
  <si>
    <t>The worldwide outage of a Microsoft system affects numerous companies</t>
  </si>
  <si>
    <t>Aena and Repsol are some of the companies affected.</t>
  </si>
  <si>
    <t>Slightly negative as it reports Repsol being impacted by an external system failure.</t>
  </si>
  <si>
    <t>caída</t>
  </si>
  <si>
    <r>
      <rPr>
        <rFont val="Arial, sans-serif"/>
        <color rgb="FF1155CC"/>
        <sz val="9.0"/>
        <u/>
      </rPr>
      <t>Antena 3</t>
    </r>
    <r>
      <rPr>
        <rFont val="Arial, sans-serif"/>
        <color rgb="FF1155CC"/>
        <sz val="15.0"/>
        <u/>
      </rPr>
      <t>Caos por la caída de Microsoft: cientos de vuelos cancelados en España y sistemas bancarios sin funcionar</t>
    </r>
    <r>
      <rPr>
        <rFont val="Arial, sans-serif"/>
        <color rgb="FF1155CC"/>
        <sz val="11.0"/>
        <u/>
      </rPr>
      <t>Una actualización de la empresa de ciberseguridad Crowdstrike, que salió "catastróficamente mal" provoca la caída del servicio Microsoft y con ello la...</t>
    </r>
    <r>
      <rPr>
        <rFont val="Arial, sans-serif"/>
        <color rgb="FF1155CC"/>
        <sz val="12.0"/>
        <u/>
      </rPr>
      <t>.</t>
    </r>
    <r>
      <rPr>
        <rFont val="Arial, sans-serif"/>
        <color rgb="FF1155CC"/>
        <sz val="11.0"/>
        <u/>
      </rPr>
      <t>19 jul 2024</t>
    </r>
  </si>
  <si>
    <t>Caos por la caída de Microsoft: cientos de vuelos cancelados en España y sistemas bancarios sin funcionar</t>
  </si>
  <si>
    <t>Una actualización de la empresa de ciberseguridad Crowdstrike, que salió "catastróficamente mal" provoca la caída del servicio Microsoft y con ello la....</t>
  </si>
  <si>
    <t>Chaos due to the fall of Microsoft: hundreds of flights canceled in Spain and banking systems not working</t>
  </si>
  <si>
    <t>An update from the cybersecurity company Crowdstrike, which went "catastrophically wrong", causes the Microsoft service to crash and with it...</t>
  </si>
  <si>
    <t>Slightly negative as it mentions widespread disruptions affecting Repsol.</t>
  </si>
  <si>
    <r>
      <rPr>
        <rFont val="Arial, sans-serif"/>
        <color rgb="FF1155CC"/>
        <sz val="9.0"/>
        <u/>
      </rPr>
      <t>Juventud Rebelde</t>
    </r>
    <r>
      <rPr>
        <rFont val="Arial, sans-serif"/>
        <color rgb="FF1155CC"/>
        <sz val="15.0"/>
        <u/>
      </rPr>
      <t>Error en actualización de ciberseguridad de un proveedor de Windows provoca caída global en sistemas informáticos</t>
    </r>
    <r>
      <rPr>
        <rFont val="Arial, sans-serif"/>
        <color rgb="FF1155CC"/>
        <sz val="11.0"/>
        <u/>
      </rPr>
      <t>WASHINGTON, julio 19.- Un fallo en la plataforma de ciberseguridad que utiliza el consorcio informático estadounidense Microsoft afectó este viernes a...</t>
    </r>
    <r>
      <rPr>
        <rFont val="Arial, sans-serif"/>
        <color rgb="FF1155CC"/>
        <sz val="12.0"/>
        <u/>
      </rPr>
      <t>.</t>
    </r>
    <r>
      <rPr>
        <rFont val="Arial, sans-serif"/>
        <color rgb="FF1155CC"/>
        <sz val="11.0"/>
        <u/>
      </rPr>
      <t>19 jul 2024</t>
    </r>
  </si>
  <si>
    <t>Juventud Rebelde</t>
  </si>
  <si>
    <t>Error en actualización de ciberseguridad de un proveedor de Windows provoca caída global en sistemas informáticos</t>
  </si>
  <si>
    <t>Un fallo en la plataforma de ciberseguridad que utiliza el consorcio informático estadounidense Microsoft afectó este viernes a....</t>
  </si>
  <si>
    <t>Error in a Windows provider's cybersecurity update causes a global crash in computer systems</t>
  </si>
  <si>
    <t>A failure in the cybersecurity platform used by the American computer consortium Microsoft affected... this Friday.</t>
  </si>
  <si>
    <t>Neutral as it describes a system error without sentiment toward Repsol.</t>
  </si>
  <si>
    <t>error</t>
  </si>
  <si>
    <r>
      <rPr>
        <rFont val="Arial, sans-serif"/>
        <color rgb="FF1155CC"/>
        <sz val="9.0"/>
        <u/>
      </rPr>
      <t>El Debate</t>
    </r>
    <r>
      <rPr>
        <rFont val="Arial, sans-serif"/>
        <color rgb="FF1155CC"/>
        <sz val="15.0"/>
        <u/>
      </rPr>
      <t>Un chef de Castellón galardonado con un Sol Repsol convertirá un viejo almacén pesquero en su restaurante</t>
    </r>
    <r>
      <rPr>
        <rFont val="Arial, sans-serif"/>
        <color rgb="FF1155CC"/>
        <sz val="11.0"/>
        <u/>
      </rPr>
      <t>La gastronomía castellonense está de suerte. Rubén Miralles, uno de los chefs más reputados de la provincia, que atesora un Sol Repsol desde 2022,...</t>
    </r>
    <r>
      <rPr>
        <rFont val="Arial, sans-serif"/>
        <color rgb="FF1155CC"/>
        <sz val="12.0"/>
        <u/>
      </rPr>
      <t>.</t>
    </r>
    <r>
      <rPr>
        <rFont val="Arial, sans-serif"/>
        <color rgb="FF1155CC"/>
        <sz val="11.0"/>
        <u/>
      </rPr>
      <t>20 jul 2024</t>
    </r>
  </si>
  <si>
    <t>Un chef de Castellón galardonado con un Sol Repsol convertirá un viejo almacén pesquero en su restaurante</t>
  </si>
  <si>
    <t>La gastronomía castellonense está de suerte. Rubén Miralles, uno de los chefs más reputados de la provincia, que atesora un Sol Repsol desde 2022,....</t>
  </si>
  <si>
    <t>A chef from Castellón awarded with a Sol Repsol will convert an old fishing warehouse into his restaurant</t>
  </si>
  <si>
    <t>Castellón gastronomy is in luck. Rubén Miralles, one of the most renowned chefs in the province, who has held a Sol Repsol since 2022,....</t>
  </si>
  <si>
    <r>
      <rPr>
        <rFont val="Arial, sans-serif"/>
        <color rgb="FF1155CC"/>
        <sz val="9.0"/>
        <u/>
      </rPr>
      <t>El Español</t>
    </r>
    <r>
      <rPr>
        <rFont val="Arial, sans-serif"/>
        <color rgb="FF1155CC"/>
        <sz val="15.0"/>
        <u/>
      </rPr>
      <t>Ni el Puerto ni Rota, este es el pueblo de Cádiz con una venta centenaria que recomienda la Guía Repsol</t>
    </r>
    <r>
      <rPr>
        <rFont val="Arial, sans-serif"/>
        <color rgb="FF1155CC"/>
        <sz val="11.0"/>
        <u/>
      </rPr>
      <t>El establecimiento es el lugar de paso de muchos veraneantes que visitan las playas de Zahara de los Atunes.</t>
    </r>
    <r>
      <rPr>
        <rFont val="Arial, sans-serif"/>
        <color rgb="FF1155CC"/>
        <sz val="12.0"/>
        <u/>
      </rPr>
      <t>.</t>
    </r>
    <r>
      <rPr>
        <rFont val="Arial, sans-serif"/>
        <color rgb="FF1155CC"/>
        <sz val="11.0"/>
        <u/>
      </rPr>
      <t>20 jul 2024</t>
    </r>
  </si>
  <si>
    <t>Ni el Puerto ni Rota, este es el pueblo de Cádiz con una venta centenaria que recomienda la Guía Repsol</t>
  </si>
  <si>
    <t>El establecimiento es el lugar de paso de muchos veraneantes que visitan las playas de Zahara de los Atunes.</t>
  </si>
  <si>
    <t>Neither El Puerto nor Rota, this is the town of Cádiz with a century-old sale that the Repsol Guide recommends</t>
  </si>
  <si>
    <t>The establishment is the stopover for many vacationers who visit the beaches of Zahara de los Atunes.</t>
  </si>
  <si>
    <r>
      <rPr>
        <rFont val="Arial, sans-serif"/>
        <color rgb="FF1155CC"/>
        <sz val="9.0"/>
        <u/>
      </rPr>
      <t>El Periódico de España</t>
    </r>
    <r>
      <rPr>
        <rFont val="Arial, sans-serif"/>
        <color rgb="FF1155CC"/>
        <sz val="15.0"/>
        <u/>
      </rPr>
      <t>La inteligencia artificial en la gestión del talento</t>
    </r>
    <r>
      <rPr>
        <rFont val="Arial, sans-serif"/>
        <color rgb="FF1155CC"/>
        <sz val="11.0"/>
        <u/>
      </rPr>
      <t>Conocer las oportunidades que ofrece la tecnología y adquirir las habilidades y los conocimientos necesarios son fundamentales para que los trabajadores...</t>
    </r>
    <r>
      <rPr>
        <rFont val="Arial, sans-serif"/>
        <color rgb="FF1155CC"/>
        <sz val="12.0"/>
        <u/>
      </rPr>
      <t>.</t>
    </r>
    <r>
      <rPr>
        <rFont val="Arial, sans-serif"/>
        <color rgb="FF1155CC"/>
        <sz val="11.0"/>
        <u/>
      </rPr>
      <t>20 jul 2024</t>
    </r>
  </si>
  <si>
    <t>La inteligencia artificial en la gestión del talento</t>
  </si>
  <si>
    <t>Conocer las oportunidades que ofrece la tecnología y adquirir las habilidades y los conocimientos necesarios son fundamentales para que los trabajadores....</t>
  </si>
  <si>
    <t>Artificial intelligence in talent management</t>
  </si>
  <si>
    <t>Knowing the opportunities offered by technology and acquiring the necessary skills and knowledge are essential for workers to...</t>
  </si>
  <si>
    <r>
      <rPr>
        <rFont val="Arial, sans-serif"/>
        <color rgb="FF1155CC"/>
        <sz val="9.0"/>
        <u/>
      </rPr>
      <t>Expansión</t>
    </r>
    <r>
      <rPr>
        <rFont val="Arial, sans-serif"/>
        <color rgb="FF1155CC"/>
        <sz val="15.0"/>
        <u/>
      </rPr>
      <t>Valores europeos con alto dividendo y potencial</t>
    </r>
    <r>
      <rPr>
        <rFont val="Arial, sans-serif"/>
        <color rgb="FF1155CC"/>
        <sz val="11.0"/>
        <u/>
      </rPr>
      <t>CaixaBank, Logista, Mapfre y Repsol, en España, junto a Intesa, UniCredit, Axa y Enel son grandes valores, con una atractiva remuneración al accionista y...</t>
    </r>
    <r>
      <rPr>
        <rFont val="Arial, sans-serif"/>
        <color rgb="FF1155CC"/>
        <sz val="12.0"/>
        <u/>
      </rPr>
      <t>.</t>
    </r>
    <r>
      <rPr>
        <rFont val="Arial, sans-serif"/>
        <color rgb="FF1155CC"/>
        <sz val="11.0"/>
        <u/>
      </rPr>
      <t>20 jul 2024</t>
    </r>
  </si>
  <si>
    <t>Valores europeos con alto dividendo y potencial</t>
  </si>
  <si>
    <t>CaixaBank, Logista, Mapfre y Repsol, en España, junto a Intesa, UniCredit, Axa y Enel son grandes valores, con una atractiva remuneración al accionista y....</t>
  </si>
  <si>
    <t>European stocks with high dividend and potential</t>
  </si>
  <si>
    <t>CaixaBank, Logista, Mapfre and Repsol, in Spain, together with Intesa, UniCredit, Axa and Enel, are great values, with attractive shareholder remuneration and...</t>
  </si>
  <si>
    <t>Positive as it highlights Repsol’s attractiveness as a stock investment.</t>
  </si>
  <si>
    <r>
      <rPr>
        <rFont val="Arial, sans-serif"/>
        <color rgb="FF1155CC"/>
        <sz val="9.0"/>
        <u/>
      </rPr>
      <t>OkDiario</t>
    </r>
    <r>
      <rPr>
        <rFont val="Arial, sans-serif"/>
        <color rgb="FF1155CC"/>
        <sz val="15.0"/>
        <u/>
      </rPr>
      <t>Descubre qué temperatura hará en tu ciudad dentro de 60 años con este mapa dinámico</t>
    </r>
    <r>
      <rPr>
        <rFont val="Arial, sans-serif"/>
        <color rgb="FF1155CC"/>
        <sz val="11.0"/>
        <u/>
      </rPr>
      <t>FitzLab pronostica con un mapa dinámico el aumento de temperatura en verano y en invierno que sufrirá tu ciudad dentro de 60 años.</t>
    </r>
    <r>
      <rPr>
        <rFont val="Arial, sans-serif"/>
        <color rgb="FF1155CC"/>
        <sz val="12.0"/>
        <u/>
      </rPr>
      <t>.</t>
    </r>
    <r>
      <rPr>
        <rFont val="Arial, sans-serif"/>
        <color rgb="FF1155CC"/>
        <sz val="11.0"/>
        <u/>
      </rPr>
      <t>20 jul 2024</t>
    </r>
  </si>
  <si>
    <t>Descubre qué temperatura hará en tu ciudad dentro de 60 años con este mapa dinámico</t>
  </si>
  <si>
    <t>FitzLab pronostica con un mapa dinámico el aumento de temperatura en verano y en invierno que sufrirá tu ciudad dentro de 60 años.</t>
  </si>
  <si>
    <t>Find out what the temperature will be in your city in 60 years with this dynamic map</t>
  </si>
  <si>
    <t>FitzLab predicts with a dynamic map the increase in summer and winter temperatures that your city will suffer in 60 years.</t>
  </si>
  <si>
    <r>
      <rPr>
        <rFont val="Arial, sans-serif"/>
        <color rgb="FF1155CC"/>
        <sz val="9.0"/>
        <u/>
      </rPr>
      <t>20Minutos</t>
    </r>
    <r>
      <rPr>
        <rFont val="Arial, sans-serif"/>
        <color rgb="FF1155CC"/>
        <sz val="15.0"/>
        <u/>
      </rPr>
      <t>"No pude usar la tarjeta", "Tuve que apuntar a boli la factura"... así afectó a los usuarios el fallo informático mundial</t>
    </r>
    <r>
      <rPr>
        <rFont val="Arial, sans-serif"/>
        <color rgb="FF1155CC"/>
        <sz val="11.0"/>
        <u/>
      </rPr>
      <t>El fallo sufrido en uno de los sistemas de ciberseguridad de Microsoft ha afectado a rincones de todo el planeta. La caída global del sistema ha causado el...</t>
    </r>
    <r>
      <rPr>
        <rFont val="Arial, sans-serif"/>
        <color rgb="FF1155CC"/>
        <sz val="12.0"/>
        <u/>
      </rPr>
      <t>.</t>
    </r>
    <r>
      <rPr>
        <rFont val="Arial, sans-serif"/>
        <color rgb="FF1155CC"/>
        <sz val="11.0"/>
        <u/>
      </rPr>
      <t>20 jul 2024</t>
    </r>
  </si>
  <si>
    <t>"El fallo sufrió en uno de los sistemas de ciberseguridad de Microsoft ha afectado a rincones de todo el planeta."</t>
  </si>
  <si>
    <t>"Tuve que apuntar a boli la factura"... así afectó a los usuarios el fallo informático mundial. La caída global del sistema ha causado el....</t>
  </si>
  <si>
    <t>"The failure suffered in one of Microsoft's cybersecurity systems has affected corners of the entire planet."</t>
  </si>
  <si>
    <t>"I had to write the bill down in pen"... this is how the global computer failure affected users. The global system crash has caused the...</t>
  </si>
  <si>
    <t>Slightly negative as it highlights the widespread effects of a system failure impacting Repsol.</t>
  </si>
  <si>
    <r>
      <rPr>
        <rFont val="Arial, sans-serif"/>
        <color rgb="FF1155CC"/>
        <sz val="9.0"/>
        <u/>
      </rPr>
      <t>El Generacional</t>
    </r>
    <r>
      <rPr>
        <rFont val="Arial, sans-serif"/>
        <color rgb="FF1155CC"/>
        <sz val="15.0"/>
        <u/>
      </rPr>
      <t>‘Mis Tías’: así es el nuevo single de Juanjo Bona</t>
    </r>
    <r>
      <rPr>
        <rFont val="Arial, sans-serif"/>
        <color rgb="FF1155CC"/>
        <sz val="11.0"/>
        <u/>
      </rPr>
      <t>Descubre 'Mis Tías', el nuevo single de Juanjo Bona, lanzado tras su presentación en los premios Aragoneses del Año. A sus 20 años, el…</t>
    </r>
    <r>
      <rPr>
        <rFont val="Arial, sans-serif"/>
        <color rgb="FF1155CC"/>
        <sz val="12.0"/>
        <u/>
      </rPr>
      <t>.</t>
    </r>
    <r>
      <rPr>
        <rFont val="Arial, sans-serif"/>
        <color rgb="FF1155CC"/>
        <sz val="11.0"/>
        <u/>
      </rPr>
      <t>20 jul 2024</t>
    </r>
  </si>
  <si>
    <t>Mis Tías: así es el nuevo single de Juanjo Bona</t>
  </si>
  <si>
    <t>Descubre 'Mis Tías', el nuevo single de Juanjo Bona, lanzado tras su presentación en los premios Aragoneses del Año. A sus 20 años, el….</t>
  </si>
  <si>
    <t>Mis Aunts: this is Juanjo Bona's new single</t>
  </si>
  <si>
    <t>Discover 'Mis Tías', the new single by Juanjo Bona, released after his presentation at the Aragoneses del Año awards. At 20 years old, he…</t>
  </si>
  <si>
    <r>
      <rPr>
        <rFont val="Arial, sans-serif"/>
        <color rgb="FF1155CC"/>
        <sz val="9.0"/>
        <u/>
      </rPr>
      <t>El Periódico de España</t>
    </r>
    <r>
      <rPr>
        <rFont val="Arial, sans-serif"/>
        <color rgb="FF1155CC"/>
        <sz val="15.0"/>
        <u/>
      </rPr>
      <t>El Museo d’Orsay tiene un gemelo en Canfranc: fue un antiguo cuartel general nazi y hoy se puede dormir en él por 200 euros</t>
    </r>
    <r>
      <rPr>
        <rFont val="Arial, sans-serif"/>
        <color rgb="FF1155CC"/>
        <sz val="11.0"/>
        <u/>
      </rPr>
      <t>La estación de Canfranc ha tenido mil vidas y hace unos años recuperó su esplendor: se transformó en un hotel de lujo y recuperó su actividad como apeadero...</t>
    </r>
    <r>
      <rPr>
        <rFont val="Arial, sans-serif"/>
        <color rgb="FF1155CC"/>
        <sz val="12.0"/>
        <u/>
      </rPr>
      <t>.</t>
    </r>
    <r>
      <rPr>
        <rFont val="Arial, sans-serif"/>
        <color rgb="FF1155CC"/>
        <sz val="11.0"/>
        <u/>
      </rPr>
      <t>20 jul 2024</t>
    </r>
  </si>
  <si>
    <t>El Museo d’Orsay tiene un gemelo en Canfranc: fue un antiguo cuartel general nazi y hoy se puede dormir en él por 200 euros</t>
  </si>
  <si>
    <t>La estación de Canfranc ha tenido mil vidas y hace unos años recuperó su esplendor: se transformó en un hotel de lujo y recuperó su actividad como apeadero.</t>
  </si>
  <si>
    <t>The Orsay Museum has a twin in Canfranc: it was a former Nazi headquarters and today you can sleep there for 200 euros</t>
  </si>
  <si>
    <t>The Canfranc station has had a thousand lives and a few years ago it recovered its splendor: it was transformed into a luxury hotel and recovered its activity as a halt.</t>
  </si>
  <si>
    <r>
      <rPr>
        <rFont val="Arial, sans-serif"/>
        <color rgb="FF1155CC"/>
        <sz val="9.0"/>
        <u/>
      </rPr>
      <t>20Minutos</t>
    </r>
    <r>
      <rPr>
        <rFont val="Arial, sans-serif"/>
        <color rgb="FF1155CC"/>
        <sz val="15.0"/>
        <u/>
      </rPr>
      <t>El restaurante más exclusivo de Madrid donde tomar el aperitivo a cualquier hora del día por 35 euros</t>
    </r>
    <r>
      <rPr>
        <rFont val="Arial, sans-serif"/>
        <color rgb="FF1155CC"/>
        <sz val="11.0"/>
        <u/>
      </rPr>
      <t>Ubicado en el palacio de Saldaña, este espectacular espacio con obras de arte acerca su cocina a todos los públicos con un aperitivo que podemos tomar en...</t>
    </r>
    <r>
      <rPr>
        <rFont val="Arial, sans-serif"/>
        <color rgb="FF1155CC"/>
        <sz val="12.0"/>
        <u/>
      </rPr>
      <t>.</t>
    </r>
    <r>
      <rPr>
        <rFont val="Arial, sans-serif"/>
        <color rgb="FF1155CC"/>
        <sz val="11.0"/>
        <u/>
      </rPr>
      <t>20 jul 2024</t>
    </r>
  </si>
  <si>
    <t>El restaurante más exclusivo de Madrid donde tomar el aperitivo a cualquier hora del día por 35 euros</t>
  </si>
  <si>
    <t>Ubicado en el palacio de Saldaña, este espectacular espacio con obras de arte acerca su cocina a todos los públicos con un aperitivo que podemos tomar en....</t>
  </si>
  <si>
    <t>The most exclusive restaurant in Madrid where you can have an aperitif at any time of the day for 35 euros</t>
  </si>
  <si>
    <t>Located in the Saldaña palace, this spectacular space with works of art brings its cuisine to all audiences with an aperitif that we can have at...</t>
  </si>
  <si>
    <r>
      <rPr>
        <rFont val="Arial, sans-serif"/>
        <color rgb="FF1155CC"/>
        <sz val="9.0"/>
        <u/>
      </rPr>
      <t>Castellón Diario</t>
    </r>
    <r>
      <rPr>
        <rFont val="Arial, sans-serif"/>
        <color rgb="FF1155CC"/>
        <sz val="15.0"/>
        <u/>
      </rPr>
      <t>Repsol lleva la multienergía al FIB 2024</t>
    </r>
    <r>
      <rPr>
        <rFont val="Arial, sans-serif"/>
        <color rgb="FF1155CC"/>
        <sz val="11.0"/>
        <u/>
      </rPr>
      <t>La gerente de patrocinio de Repsol, Ana García, ha compartido detalles sobre las iniciativas de la multinacional para alcanzar cero emisiones de CO2.</t>
    </r>
    <r>
      <rPr>
        <rFont val="Arial, sans-serif"/>
        <color rgb="FF1155CC"/>
        <sz val="12.0"/>
        <u/>
      </rPr>
      <t>.</t>
    </r>
    <r>
      <rPr>
        <rFont val="Arial, sans-serif"/>
        <color rgb="FF1155CC"/>
        <sz val="11.0"/>
        <u/>
      </rPr>
      <t>20 jul 2024</t>
    </r>
  </si>
  <si>
    <t>Castellón Diario</t>
  </si>
  <si>
    <t>Repsol lleva la multienergía al FIB 2024</t>
  </si>
  <si>
    <t>La gerente de patrocinio de Repsol, Ana García, ha compartido detalles sobre las iniciativas de la multinacional para alcanzar cero emisiones de CO2.</t>
  </si>
  <si>
    <t>Repsol brings multi-energy to FIB 2024</t>
  </si>
  <si>
    <t>Repsol's sponsorship manager, Ana García, has shared details about the multinational's initiatives to achieve zero CO2 emissions.</t>
  </si>
  <si>
    <t>Positive as it highlights Repsol’s sustainability efforts in the music industry.</t>
  </si>
  <si>
    <t>Positive for brand visibility</t>
  </si>
  <si>
    <t>Positivo para la visibilidad de la marca</t>
  </si>
  <si>
    <r>
      <rPr>
        <rFont val="Arial, sans-serif"/>
        <color rgb="FF1155CC"/>
        <sz val="9.0"/>
        <u/>
      </rPr>
      <t>Economía Digital</t>
    </r>
    <r>
      <rPr>
        <rFont val="Arial, sans-serif"/>
        <color rgb="FF1155CC"/>
        <sz val="15.0"/>
        <u/>
      </rPr>
      <t>Iberdrola, Endesa y Repsol avivan la guerra de cargadores eléctricos, pese a la «burocracia infinita»</t>
    </r>
    <r>
      <rPr>
        <rFont val="Arial, sans-serif"/>
        <color rgb="FF1155CC"/>
        <sz val="11.0"/>
        <u/>
      </rPr>
      <t>Las grandes empresas energéticas siguen avanzando en la carrera por desplegar puntos de recarga para vehículos electrificados a lo largo y ancho del país.</t>
    </r>
    <r>
      <rPr>
        <rFont val="Arial, sans-serif"/>
        <color rgb="FF1155CC"/>
        <sz val="12.0"/>
        <u/>
      </rPr>
      <t>.</t>
    </r>
    <r>
      <rPr>
        <rFont val="Arial, sans-serif"/>
        <color rgb="FF1155CC"/>
        <sz val="11.0"/>
        <u/>
      </rPr>
      <t>21 jul 2024</t>
    </r>
  </si>
  <si>
    <t>Iberdrola, Endesa y Repsol avivan la guerra de cargadores eléctricos, pese a la «burocracia infinita»</t>
  </si>
  <si>
    <t>Las grandes empresas energéticas siguen avanzando en la carrera por desplegar puntos de recarga para vehículos electrificados a lo largo y ancho del país.</t>
  </si>
  <si>
    <t>Iberdrola, Endesa and Repsol fuel the electric charger war, despite the "infinite bureaucracy"</t>
  </si>
  <si>
    <t>Large energy companies continue to advance in the race to deploy charging points for electrified vehicles throughout the country.</t>
  </si>
  <si>
    <t>Positive as it highlights Repsol’s expansion into electric charging infrastructure.</t>
  </si>
  <si>
    <t>cargadores eléctricos</t>
  </si>
  <si>
    <t>Positive for EV infrastructure</t>
  </si>
  <si>
    <t>Positivo para la infraestructura de vehículos eléctricos</t>
  </si>
  <si>
    <r>
      <rPr>
        <rFont val="Arial, sans-serif"/>
        <color rgb="FF1155CC"/>
        <sz val="9.0"/>
        <u/>
      </rPr>
      <t>El Periódico de la Energía</t>
    </r>
    <r>
      <rPr>
        <rFont val="Arial, sans-serif"/>
        <color rgb="FF1155CC"/>
        <sz val="15.0"/>
        <u/>
      </rPr>
      <t>Antonio Picazo (Gana Energía): "Las baterías más baratas harán del autoconsumo una opción más viable"</t>
    </r>
    <r>
      <rPr>
        <rFont val="Arial, sans-serif"/>
        <color rgb="FF1155CC"/>
        <sz val="11.0"/>
        <u/>
      </rPr>
      <t>El CEO de la comercializadora Gana Energía, parte del grupo Repsol, asegura que su principal objetivo es alcanzar el millón de clientes residenciales a...</t>
    </r>
    <r>
      <rPr>
        <rFont val="Arial, sans-serif"/>
        <color rgb="FF1155CC"/>
        <sz val="12.0"/>
        <u/>
      </rPr>
      <t>.</t>
    </r>
    <r>
      <rPr>
        <rFont val="Arial, sans-serif"/>
        <color rgb="FF1155CC"/>
        <sz val="11.0"/>
        <u/>
      </rPr>
      <t>21 jul 2024</t>
    </r>
  </si>
  <si>
    <t>"Las baterías más baratas harán del autoconsumo una opción más viable"</t>
  </si>
  <si>
    <t>El CEO de la comercializadora Gana Energía, parte del grupo Repsol, asegura que su principal objetivo es alcanzar el millón de clientes residenciales a....</t>
  </si>
  <si>
    <t>"Cheaper batteries will make self-consumption a more viable option"</t>
  </si>
  <si>
    <t>The CEO of the marketing company Gana Energía, part of the Repsol group, assures that its main objective is to reach one million residential customers by...</t>
  </si>
  <si>
    <t>Neutral as it discusses energy industry trends without sentiment.</t>
  </si>
  <si>
    <r>
      <rPr>
        <rFont val="Arial, sans-serif"/>
        <color rgb="FF1155CC"/>
        <sz val="9.0"/>
        <u/>
      </rPr>
      <t>El Cierre Digital</t>
    </r>
    <r>
      <rPr>
        <rFont val="Arial, sans-serif"/>
        <color rgb="FF1155CC"/>
        <sz val="15.0"/>
        <u/>
      </rPr>
      <t>Aldi se ve obligado a rectificar: pide perdón a los clientes por lo ocurrido</t>
    </r>
    <r>
      <rPr>
        <rFont val="Arial, sans-serif"/>
        <color rgb="FF1155CC"/>
        <sz val="11.0"/>
        <u/>
      </rPr>
      <t>La cadena de supermercados Aldi ha tenido que salir al paso y pedir disculpas a sus clientes por un error cometido en la descripción de uno de sus pro...</t>
    </r>
    <r>
      <rPr>
        <rFont val="Arial, sans-serif"/>
        <color rgb="FF1155CC"/>
        <sz val="12.0"/>
        <u/>
      </rPr>
      <t>.</t>
    </r>
    <r>
      <rPr>
        <rFont val="Arial, sans-serif"/>
        <color rgb="FF1155CC"/>
        <sz val="11.0"/>
        <u/>
      </rPr>
      <t>21 jul 2024</t>
    </r>
  </si>
  <si>
    <t>Aldi se ve obligado a rectificar: pide perdón a los clientes por lo ocurrido</t>
  </si>
  <si>
    <t>La cadena de supermercados Aldi ha tenido que salir al paso y pedir disculpas a sus clientes por un error cometido en la descripción de uno de sus productos.</t>
  </si>
  <si>
    <t>Aldi is forced to rectify: it apologizes to customers for what happened</t>
  </si>
  <si>
    <t>The supermarket chain Aldi has had to come forward and apologize to its customers for an error made in the description of one of its products.</t>
  </si>
  <si>
    <t>Business Ethics</t>
  </si>
  <si>
    <r>
      <rPr>
        <rFont val="Arial, sans-serif"/>
        <color rgb="FF1155CC"/>
        <sz val="9.0"/>
        <u/>
      </rPr>
      <t>Murcia Plaza</t>
    </r>
    <r>
      <rPr>
        <rFont val="Arial, sans-serif"/>
        <color rgb="FF1155CC"/>
        <sz val="15.0"/>
        <u/>
      </rPr>
      <t>Chuaib, la historia del joven que llegó solo a nado con 13 años y persigue una Estrella Michelín en Murcia</t>
    </r>
    <r>
      <rPr>
        <rFont val="Arial, sans-serif"/>
        <color rgb="FF1155CC"/>
        <sz val="11.0"/>
        <u/>
      </rPr>
      <t>MURCIA (EFE). Chuaib alcanzó hace solo unos meses la mayoría de edad y ahora puede decirle al "crío" de 13 años que era cuando llegó solo a nado hasta Ceuta...</t>
    </r>
    <r>
      <rPr>
        <rFont val="Arial, sans-serif"/>
        <color rgb="FF1155CC"/>
        <sz val="12.0"/>
        <u/>
      </rPr>
      <t>.</t>
    </r>
    <r>
      <rPr>
        <rFont val="Arial, sans-serif"/>
        <color rgb="FF1155CC"/>
        <sz val="11.0"/>
        <u/>
      </rPr>
      <t>21 jul 2024</t>
    </r>
  </si>
  <si>
    <t>Chuaib, la historia del joven que llegó solo a nado con 13 años y persigue una Estrella Michelín en Murcia</t>
  </si>
  <si>
    <t>Chuaib alcanzó hace solo unos meses la mayoría de edad y ahora puede decirle al "crío" de 13 años que era cuando llegó solo a nado hasta Ceuta....</t>
  </si>
  <si>
    <t>Chuaib, the story of the young man who swam alone at the age of 13 and is pursuing a Michelin Star in Murcia</t>
  </si>
  <si>
    <t>Chuaib came of age just a few months ago and can now tell the 13-year-old "kid" he was when he swam to Ceuta alone....</t>
  </si>
  <si>
    <r>
      <rPr>
        <rFont val="Arial, sans-serif"/>
        <color rgb="FF1155CC"/>
        <sz val="9.0"/>
        <u/>
      </rPr>
      <t>Diario de Jerez</t>
    </r>
    <r>
      <rPr>
        <rFont val="Arial, sans-serif"/>
        <color rgb="FF1155CC"/>
        <sz val="15.0"/>
        <u/>
      </rPr>
      <t>Los 23 mejores restaurantes, bares, cafeterías y heladerías de todo Jerez</t>
    </r>
    <r>
      <rPr>
        <rFont val="Arial, sans-serif"/>
        <color rgb="FF1155CC"/>
        <sz val="11.0"/>
        <u/>
      </rPr>
      <t>Cualquiera que haya pisado el suelo jerezano y sus manjares en cualquiera de sus tabancos, bares, ventas, restaurantes, cafeterías, pastelerías o heladerías...</t>
    </r>
    <r>
      <rPr>
        <rFont val="Arial, sans-serif"/>
        <color rgb="FF1155CC"/>
        <sz val="12.0"/>
        <u/>
      </rPr>
      <t>.</t>
    </r>
    <r>
      <rPr>
        <rFont val="Arial, sans-serif"/>
        <color rgb="FF1155CC"/>
        <sz val="11.0"/>
        <u/>
      </rPr>
      <t>21 jul 2024</t>
    </r>
  </si>
  <si>
    <t>Los 23 mejores restaurantes, bares, cafeterías y heladerías de todo Jerez</t>
  </si>
  <si>
    <t>Cualquiera que haya pisado el suelo jerezano y sus manjares en cualquiera de sus tabancos, bares, ventas, restaurantes, cafeterías, pastelerías o heladerías....</t>
  </si>
  <si>
    <t>The 23 best restaurants, bars, cafes and ice cream parlors in all of Jerez</t>
  </si>
  <si>
    <t>Anyone who has set foot on Jerez soil and its delicacies in any of its tabancos, bars, sales, restaurants, cafes, pastry shops or ice cream parlors...</t>
  </si>
  <si>
    <r>
      <rPr>
        <rFont val="Arial, sans-serif"/>
        <color rgb="FF1155CC"/>
        <sz val="9.0"/>
        <u/>
      </rPr>
      <t>El Periódico de la Energía</t>
    </r>
    <r>
      <rPr>
        <rFont val="Arial, sans-serif"/>
        <color rgb="FF1155CC"/>
        <sz val="15.0"/>
        <u/>
      </rPr>
      <t>Un nuevo modelo mejora la predicción de la aerodinámica de palas de aerogeneradores</t>
    </r>
    <r>
      <rPr>
        <rFont val="Arial, sans-serif"/>
        <color rgb="FF1155CC"/>
        <sz val="11.0"/>
        <u/>
      </rPr>
      <t>Rubén Gutiérrez Amo (UPNA) propone una nueva manera de ajustar el modelo de simulación utilizado para analizar la aerodinámica en las palas de los...</t>
    </r>
    <r>
      <rPr>
        <rFont val="Arial, sans-serif"/>
        <color rgb="FF1155CC"/>
        <sz val="12.0"/>
        <u/>
      </rPr>
      <t>.</t>
    </r>
    <r>
      <rPr>
        <rFont val="Arial, sans-serif"/>
        <color rgb="FF1155CC"/>
        <sz val="11.0"/>
        <u/>
      </rPr>
      <t>21 jul 2024</t>
    </r>
  </si>
  <si>
    <t>Un nuevo modelo mejora la predicción de la aerodinámica de palas de aerogeneradores</t>
  </si>
  <si>
    <t>Rubén Gutiérrez Amo (UPNA) propone una nueva manera de ajustar el modelo de simulación utilizado para analizar la aerodinámica en las palas de los....</t>
  </si>
  <si>
    <t>A new model improves the prediction of the aerodynamics of wind turbine blades</t>
  </si>
  <si>
    <t>Rubén Gutiérrez Amo (UPNA) proposes a new way to adjust the simulation model used to analyze the aerodynamics of the blades of...</t>
  </si>
  <si>
    <r>
      <rPr>
        <rFont val="Arial, sans-serif"/>
        <color rgb="FF1155CC"/>
        <sz val="9.0"/>
        <u/>
      </rPr>
      <t>El Periódico de la Energía</t>
    </r>
    <r>
      <rPr>
        <rFont val="Arial, sans-serif"/>
        <color rgb="FF1155CC"/>
        <sz val="15.0"/>
        <u/>
      </rPr>
      <t>Un multimillonario proyecto de GNL en Argentina desata la competencia entre provincias</t>
    </r>
    <r>
      <rPr>
        <rFont val="Arial, sans-serif"/>
        <color rgb="FF1155CC"/>
        <sz val="11.0"/>
        <u/>
      </rPr>
      <t>El multimillonario proyecto para exportar GNL proveniente de Vaca Muerta ha desatado una fuerte competencia entre dos provincias de Argentina.</t>
    </r>
    <r>
      <rPr>
        <rFont val="Arial, sans-serif"/>
        <color rgb="FF1155CC"/>
        <sz val="12.0"/>
        <u/>
      </rPr>
      <t>.</t>
    </r>
    <r>
      <rPr>
        <rFont val="Arial, sans-serif"/>
        <color rgb="FF1155CC"/>
        <sz val="11.0"/>
        <u/>
      </rPr>
      <t>21 jul 2024</t>
    </r>
  </si>
  <si>
    <t>Un multimillonario proyecto de GNL en Argentina desata la competencia entre provincias</t>
  </si>
  <si>
    <t>El multimillonario proyecto para exportar GNL proveniente de Vaca Muerta ha desatado una fuerte competencia entre dos provincias de Argentina.</t>
  </si>
  <si>
    <t>A multimillion-dollar LNG project in Argentina unleashes competition between provinces</t>
  </si>
  <si>
    <t>The multimillion-dollar project to export LNG from Vaca Muerta has unleashed strong competition between two provinces in Argentina.</t>
  </si>
  <si>
    <t>Positive as it highlights investment and economic competition in the energy sector.</t>
  </si>
  <si>
    <r>
      <rPr>
        <rFont val="Arial, sans-serif"/>
        <color rgb="FF1155CC"/>
        <sz val="9.0"/>
        <u/>
      </rPr>
      <t>La República</t>
    </r>
    <r>
      <rPr>
        <rFont val="Arial, sans-serif"/>
        <color rgb="FF1155CC"/>
        <sz val="15.0"/>
        <u/>
      </rPr>
      <t>Pescadores de Piura anuncian paro contra barcos chinos: los acusan de promover la pesca ilegal</t>
    </r>
    <r>
      <rPr>
        <rFont val="Arial, sans-serif"/>
        <color rgb="FF1155CC"/>
        <sz val="11.0"/>
        <u/>
      </rPr>
      <t>La movilización se realizará este miércoles 24 de julio y tiene por finalidad protestar por la presencia de barcos chinos en zonas prohibidas del mar...</t>
    </r>
    <r>
      <rPr>
        <rFont val="Arial, sans-serif"/>
        <color rgb="FF1155CC"/>
        <sz val="12.0"/>
        <u/>
      </rPr>
      <t>.</t>
    </r>
    <r>
      <rPr>
        <rFont val="Arial, sans-serif"/>
        <color rgb="FF1155CC"/>
        <sz val="11.0"/>
        <u/>
      </rPr>
      <t>21 jul 2024</t>
    </r>
  </si>
  <si>
    <t>Pescadores de Piura anuncian paro contra barcos chinos: los acusan de promover la pesca ilegal</t>
  </si>
  <si>
    <t>La movilización se realizará este miércoles 24 de julio y tiene por finalidad protestar por la presencia de barcos chinos en zonas prohibidas del mar.</t>
  </si>
  <si>
    <t>Piura fishermen announce strike against Chinese ships: they accuse them of promoting illegal fishing</t>
  </si>
  <si>
    <t>The mobilization will take place this Wednesday, July 24, and its purpose is to protest the presence of Chinese ships in prohibited areas of the sea.</t>
  </si>
  <si>
    <r>
      <rPr>
        <rFont val="Arial, sans-serif"/>
        <color rgb="FF1155CC"/>
        <sz val="9.0"/>
        <u/>
      </rPr>
      <t>Guía Repsol</t>
    </r>
    <r>
      <rPr>
        <rFont val="Arial, sans-serif"/>
        <color rgb="FF1155CC"/>
        <sz val="15.0"/>
        <u/>
      </rPr>
      <t>La nueva app de Guía Repsol es ese amigo que te descubre dónde ir y los mejores planes</t>
    </r>
    <r>
      <rPr>
        <rFont val="Arial, sans-serif"/>
        <color rgb="FF1155CC"/>
        <sz val="11.0"/>
        <u/>
      </rPr>
      <t>Descárgate la nueva app de Guía Repsol y cuéntale a todo el mundo las mejores recomendaciones para hacer de las vacaciones el momento perfecto.</t>
    </r>
    <r>
      <rPr>
        <rFont val="Arial, sans-serif"/>
        <color rgb="FF1155CC"/>
        <sz val="12.0"/>
        <u/>
      </rPr>
      <t>.</t>
    </r>
    <r>
      <rPr>
        <rFont val="Arial, sans-serif"/>
        <color rgb="FF1155CC"/>
        <sz val="11.0"/>
        <u/>
      </rPr>
      <t>22 jul 2024</t>
    </r>
  </si>
  <si>
    <t>La nueva app de Guía Repsol es ese amigo que te descubre dónde ir y los mejores planes</t>
  </si>
  <si>
    <t>Descárgate la nueva app de Guía Repsol y cuéntale a todo el mundo las mejores recomendaciones para hacer de las vacaciones el momento perfecto.</t>
  </si>
  <si>
    <t>The new Repsol Guide app is that friend that shows you where to go and the best plans</t>
  </si>
  <si>
    <t>Download the new Repsol Guide app and tell everyone the best recommendations to make your vacation the perfect time.</t>
  </si>
  <si>
    <r>
      <rPr>
        <rFont val="Arial, sans-serif"/>
        <color rgb="FF1155CC"/>
        <sz val="9.0"/>
        <u/>
      </rPr>
      <t>Diario AS</t>
    </r>
    <r>
      <rPr>
        <rFont val="Arial, sans-serif"/>
        <color rgb="FF1155CC"/>
        <sz val="15.0"/>
        <u/>
      </rPr>
      <t>El Repsol Honda descubre el futuro circuito de F1 en Madrid</t>
    </r>
    <r>
      <rPr>
        <rFont val="Arial, sans-serif"/>
        <color rgb="FF1155CC"/>
        <sz val="11.0"/>
        <u/>
      </rPr>
      <t>MOTOGP. El Repsol Honda descubre el futuro circuito de F1 en Madrid. Joan Mir y Luca Marini han circulado, al manillar de sendas Honda CBR propulsadas por...</t>
    </r>
    <r>
      <rPr>
        <rFont val="Arial, sans-serif"/>
        <color rgb="FF1155CC"/>
        <sz val="12.0"/>
        <u/>
      </rPr>
      <t>.</t>
    </r>
    <r>
      <rPr>
        <rFont val="Arial, sans-serif"/>
        <color rgb="FF1155CC"/>
        <sz val="11.0"/>
        <u/>
      </rPr>
      <t>22 jul 2024</t>
    </r>
  </si>
  <si>
    <t>El Repsol Honda descubre el futuro circuito de F1 en Madrid</t>
  </si>
  <si>
    <t>MOTOGP. El Repsol Honda descubre el futuro circuito de F1 en Madrid. Joan Mir y Luca Marini han circulado, al manillar de sendas Honda CBR propulsadas por....</t>
  </si>
  <si>
    <t>Repsol Honda discovers the future F1 circuit in Madrid</t>
  </si>
  <si>
    <t>MOTOGP. Repsol Honda discovers the future F1 circuit in Madrid. Joan Mir and Luca Marini have circulated, at the handlebars of Honda CBR paths powered by....</t>
  </si>
  <si>
    <t>Positive as it links Repsol Honda with an exciting motorsport development.</t>
  </si>
  <si>
    <t>Neutral for sponsorship</t>
  </si>
  <si>
    <t>Neutral para el patrocinio</t>
  </si>
  <si>
    <r>
      <rPr>
        <rFont val="Arial, sans-serif"/>
        <color rgb="FF1155CC"/>
        <sz val="9.0"/>
        <u/>
      </rPr>
      <t>La Razón</t>
    </r>
    <r>
      <rPr>
        <rFont val="Arial, sans-serif"/>
        <color rgb="FF1155CC"/>
        <sz val="15.0"/>
        <u/>
      </rPr>
      <t>Joan Mir y Luca Marini recorren con dos Honda CBR el trazado de F-1 en IFEMA</t>
    </r>
    <r>
      <rPr>
        <rFont val="Arial, sans-serif"/>
        <color rgb="FF1155CC"/>
        <sz val="11.0"/>
        <u/>
      </rPr>
      <t>Los pilotos del Repsol Honda Team de MotoGP rodaron con combustibles renovables.</t>
    </r>
    <r>
      <rPr>
        <rFont val="Arial, sans-serif"/>
        <color rgb="FF1155CC"/>
        <sz val="12.0"/>
        <u/>
      </rPr>
      <t>.</t>
    </r>
    <r>
      <rPr>
        <rFont val="Arial, sans-serif"/>
        <color rgb="FF1155CC"/>
        <sz val="11.0"/>
        <u/>
      </rPr>
      <t>22 jul 2024</t>
    </r>
  </si>
  <si>
    <t>Joan Mir y Luca Marini recorren con dos Honda CBR el trazado de F-1 en IFEMA</t>
  </si>
  <si>
    <t>Los pilotos del Repsol Honda Team de MotoGP rodaron con combustibles renovables.</t>
  </si>
  <si>
    <t>Joan Mir and Luca Marini ride two Honda CBRs around the F-1 track at IFEMA</t>
  </si>
  <si>
    <t>The Repsol Honda Team MotoGP riders rode with renewable fuels.</t>
  </si>
  <si>
    <t>Positive as it showcases Repsol’s commitment to renewable fuels in motorsports.</t>
  </si>
  <si>
    <r>
      <rPr>
        <rFont val="Arial, sans-serif"/>
        <color rgb="FF1155CC"/>
        <sz val="9.0"/>
        <u/>
      </rPr>
      <t>El Español</t>
    </r>
    <r>
      <rPr>
        <rFont val="Arial, sans-serif"/>
        <color rgb="FF1155CC"/>
        <sz val="15.0"/>
        <u/>
      </rPr>
      <t>El restaurante de carretera que arrasa con su menú del día por 14 €: está en la Guía Repsol y lo recomiendan los camioneros</t>
    </r>
    <r>
      <rPr>
        <rFont val="Arial, sans-serif"/>
        <color rgb="FF1155CC"/>
        <sz val="11.0"/>
        <u/>
      </rPr>
      <t>Los camioneros, excelentes críticos gastronómicos, recomiendan el restaurante Área 103, especializado en carne a la brasa.</t>
    </r>
    <r>
      <rPr>
        <rFont val="Arial, sans-serif"/>
        <color rgb="FF1155CC"/>
        <sz val="12.0"/>
        <u/>
      </rPr>
      <t>.</t>
    </r>
    <r>
      <rPr>
        <rFont val="Arial, sans-serif"/>
        <color rgb="FF1155CC"/>
        <sz val="11.0"/>
        <u/>
      </rPr>
      <t>22 jul 2024</t>
    </r>
  </si>
  <si>
    <t>El restaurante de carretera que arrasa con su menú del día por 14 €: está en la Guía Repsol y lo recomiendan los camioneros</t>
  </si>
  <si>
    <t>Los camioneros, excelentes críticos gastronómicos, recomiendan el restaurante Área 103, especializado en carne a la brasa.</t>
  </si>
  <si>
    <t>The roadside restaurant that rocks with its menu of the day for €14: it is in the Repsol Guide and is recommended by truck drivers</t>
  </si>
  <si>
    <t>Truck drivers, excellent food critics, recommend the Area 103 restaurant, specializing in grilled meat.</t>
  </si>
  <si>
    <r>
      <rPr>
        <rFont val="Arial, sans-serif"/>
        <color rgb="FF1155CC"/>
        <sz val="9.0"/>
        <u/>
      </rPr>
      <t>Infobae</t>
    </r>
    <r>
      <rPr>
        <rFont val="Arial, sans-serif"/>
        <color rgb="FF1155CC"/>
        <sz val="15.0"/>
        <u/>
      </rPr>
      <t>Las 12 mejores terrazas para disfrutar del verano en Galicia: música en directo, vistas al mar y tortillas a la leña</t>
    </r>
    <r>
      <rPr>
        <rFont val="Arial, sans-serif"/>
        <color rgb="FF1155CC"/>
        <sz val="11.0"/>
        <u/>
      </rPr>
      <t>Chefs de restaurantes gallegos galardonados con Soles Repsol han recopilado sus lugares de confianza en Galicia, aquellas terrazas que ofrecen una...</t>
    </r>
    <r>
      <rPr>
        <rFont val="Arial, sans-serif"/>
        <color rgb="FF1155CC"/>
        <sz val="12.0"/>
        <u/>
      </rPr>
      <t>.</t>
    </r>
    <r>
      <rPr>
        <rFont val="Arial, sans-serif"/>
        <color rgb="FF1155CC"/>
        <sz val="11.0"/>
        <u/>
      </rPr>
      <t>22 jul 2024</t>
    </r>
  </si>
  <si>
    <t>Las 12 mejores terrazas para disfrutar del verano en Galicia: música en directo, vistas al mar y tortillas a la leña</t>
  </si>
  <si>
    <t>Chefs de restaurantes gallegos galardonados con Soles Repsol han recopilado sus lugares de confianza en Galicia, aquellas terrazas que ofrecen una....</t>
  </si>
  <si>
    <t>The 12 best terraces to enjoy the summer in Galicia: live music, sea views and wood-fired tortillas</t>
  </si>
  <si>
    <t>Chefs from Galician restaurants awarded with Repsol Suns have compiled their trusted places in Galicia, those terraces that offer a...</t>
  </si>
  <si>
    <r>
      <rPr>
        <rFont val="Arial, sans-serif"/>
        <color rgb="FF1155CC"/>
        <sz val="9.0"/>
        <u/>
      </rPr>
      <t>Guía Repsol</t>
    </r>
    <r>
      <rPr>
        <rFont val="Arial, sans-serif"/>
        <color rgb="FF1155CC"/>
        <sz val="15.0"/>
        <u/>
      </rPr>
      <t>Restaurante MAE (Barcelona): un viaje del Mediterráneo al Caribe</t>
    </r>
    <r>
      <rPr>
        <rFont val="Arial, sans-serif"/>
        <color rgb="FF1155CC"/>
        <sz val="11.0"/>
        <u/>
      </rPr>
      <t>Verdes, blancos y tonos crema proporcionan intimidad a la pequeña sala. En medio, una barra-cocina donde preparan los entrantes y los postres,...</t>
    </r>
    <r>
      <rPr>
        <rFont val="Arial, sans-serif"/>
        <color rgb="FF1155CC"/>
        <sz val="12.0"/>
        <u/>
      </rPr>
      <t>.</t>
    </r>
    <r>
      <rPr>
        <rFont val="Arial, sans-serif"/>
        <color rgb="FF1155CC"/>
        <sz val="11.0"/>
        <u/>
      </rPr>
      <t>22 jul 2024</t>
    </r>
  </si>
  <si>
    <t>Restaurante MAE (Barcelona): un viaje del Mediterráneo al Caribe</t>
  </si>
  <si>
    <t>Verdes, blancos y tonos crema proporcionan intimidad a la pequeña sala. En medio, una barra-cocina donde preparan los entrantes y los postres,....</t>
  </si>
  <si>
    <t>MAE Restaurant (Barcelona): a journey from the Mediterranean to the Caribbean</t>
  </si>
  <si>
    <t>Greens, whites and cream tones provide intimacy to the small room. In the middle, a kitchen-bar where they prepare the starters and desserts,....</t>
  </si>
  <si>
    <r>
      <rPr>
        <rFont val="Arial, sans-serif"/>
        <color rgb="FF1155CC"/>
        <sz val="9.0"/>
        <u/>
      </rPr>
      <t>Todocircuito.com</t>
    </r>
    <r>
      <rPr>
        <rFont val="Arial, sans-serif"/>
        <color rgb="FF1155CC"/>
        <sz val="15.0"/>
        <u/>
      </rPr>
      <t>Dos Honda Fireblade, Joan Mir y Luca Marini, y el nuevo Circuito de Madrid de F1</t>
    </r>
    <r>
      <rPr>
        <rFont val="Arial, sans-serif"/>
        <color rgb="FF1155CC"/>
        <sz val="11.0"/>
        <u/>
      </rPr>
      <t>Joan Mir y Luca Marini, han tenido el honor de recorrer el futuro trazado del circuito urbano en motos Honda Fireblade, utilizando combustible renovable.</t>
    </r>
    <r>
      <rPr>
        <rFont val="Arial, sans-serif"/>
        <color rgb="FF1155CC"/>
        <sz val="12.0"/>
        <u/>
      </rPr>
      <t>.</t>
    </r>
    <r>
      <rPr>
        <rFont val="Arial, sans-serif"/>
        <color rgb="FF1155CC"/>
        <sz val="11.0"/>
        <u/>
      </rPr>
      <t>22 jul 2024</t>
    </r>
  </si>
  <si>
    <t>Dos Honda Fireblade, Joan Mir y Luca Marini, y el nuevo Circuito de Madrid de F1</t>
  </si>
  <si>
    <t>Joan Mir y Luca Marini, han tenido el honor de recorrer el futuro trazado del circuito urbano en motos Honda Fireblade, utilizando combustible renovable.</t>
  </si>
  <si>
    <t>Two Honda Fireblades, Joan Mir and Luca Marini, and the new Madrid F1 Circuit</t>
  </si>
  <si>
    <t>Joan Mir and Luca Marini have had the honor of traveling the future layout of the urban circuit on Honda Fireblade motorcycles, using renewable fuel.</t>
  </si>
  <si>
    <t>Positive as it highlights Repsol Honda’s participation in sustainable motorsports.</t>
  </si>
  <si>
    <r>
      <rPr>
        <rFont val="Arial, sans-serif"/>
        <color rgb="FF1155CC"/>
        <sz val="9.0"/>
        <u/>
      </rPr>
      <t>Bon Viveur</t>
    </r>
    <r>
      <rPr>
        <rFont val="Arial, sans-serif"/>
        <color rgb="FF1155CC"/>
        <sz val="15.0"/>
        <u/>
      </rPr>
      <t>Los 15 mejores restaurantes de Galicia</t>
    </r>
    <r>
      <rPr>
        <rFont val="Arial, sans-serif"/>
        <color rgb="FF1155CC"/>
        <sz val="11.0"/>
        <u/>
      </rPr>
      <t>Si quieres conocer la gastronomía gallega, nada mejor que disfrutarla en los mejores restaurantes de Galicia. Esta selección de restaurantes será tu guía...</t>
    </r>
    <r>
      <rPr>
        <rFont val="Arial, sans-serif"/>
        <color rgb="FF1155CC"/>
        <sz val="12.0"/>
        <u/>
      </rPr>
      <t>.</t>
    </r>
    <r>
      <rPr>
        <rFont val="Arial, sans-serif"/>
        <color rgb="FF1155CC"/>
        <sz val="11.0"/>
        <u/>
      </rPr>
      <t>22 jul 2024</t>
    </r>
  </si>
  <si>
    <t>Los 15 mejores restaurantes de Galicia</t>
  </si>
  <si>
    <t>Si quieres conocer la gastronomía gallega, nada mejor que disfrutarla en los mejores restaurantes de Galicia. Esta selección de restaurantes será tu guía....</t>
  </si>
  <si>
    <t>The 15 best restaurants in Galicia</t>
  </si>
  <si>
    <t>If you want to know Galician gastronomy, there is nothing better than enjoying it in the best restaurants in Galicia. This selection of restaurants will be your guide....</t>
  </si>
  <si>
    <r>
      <rPr>
        <rFont val="Arial, sans-serif"/>
        <color rgb="FF1155CC"/>
        <sz val="9.0"/>
        <u/>
      </rPr>
      <t>Guía Repsol</t>
    </r>
    <r>
      <rPr>
        <rFont val="Arial, sans-serif"/>
        <color rgb="FF1155CC"/>
        <sz val="15.0"/>
        <u/>
      </rPr>
      <t>El primer menú de una gala gastronómica elaborado solo por cocineras</t>
    </r>
    <r>
      <rPr>
        <rFont val="Arial, sans-serif"/>
        <color rgb="FF1155CC"/>
        <sz val="11.0"/>
        <u/>
      </rPr>
      <t>Guía Repsol ha reunido a las cocineras con Soles de la Comunitat Valenciana para realizar el menú de la Gala de Entrega de los Soles Guía Repsol que se...</t>
    </r>
    <r>
      <rPr>
        <rFont val="Arial, sans-serif"/>
        <color rgb="FF1155CC"/>
        <sz val="12.0"/>
        <u/>
      </rPr>
      <t>.</t>
    </r>
    <r>
      <rPr>
        <rFont val="Arial, sans-serif"/>
        <color rgb="FF1155CC"/>
        <sz val="11.0"/>
        <u/>
      </rPr>
      <t>22 jul 2024</t>
    </r>
  </si>
  <si>
    <t>El primer menú de una gala gastronómica elaborado solo por cocineras</t>
  </si>
  <si>
    <t>El primer menú de una gala gastronómica elaborado solo por cocineras.</t>
  </si>
  <si>
    <t>The first menu of a gastronomic gala prepared only by chefs</t>
  </si>
  <si>
    <t>The first menu of a gastronomic gala prepared only by chefs.</t>
  </si>
  <si>
    <r>
      <rPr>
        <rFont val="Arial, sans-serif"/>
        <color rgb="FF1155CC"/>
        <sz val="9.0"/>
        <u/>
      </rPr>
      <t>Grupo Iberia</t>
    </r>
    <r>
      <rPr>
        <rFont val="Arial, sans-serif"/>
        <color rgb="FF1155CC"/>
        <sz val="15.0"/>
        <u/>
      </rPr>
      <t>Iberia y Repsol firman un acuerdo con Inditex para emplear un 5% de SAF para el transporte de su carga aérea</t>
    </r>
    <r>
      <rPr>
        <rFont val="Arial, sans-serif"/>
        <color rgb="FF1155CC"/>
        <sz val="11.0"/>
        <u/>
      </rPr>
      <t>Las tres compañías dan un nuevo paso en sus objetivos de descarbonización al apostar por este combustible alternativo, que reduce las emisiones de CO2 en...</t>
    </r>
    <r>
      <rPr>
        <rFont val="Arial, sans-serif"/>
        <color rgb="FF1155CC"/>
        <sz val="12.0"/>
        <u/>
      </rPr>
      <t>.</t>
    </r>
    <r>
      <rPr>
        <rFont val="Arial, sans-serif"/>
        <color rgb="FF1155CC"/>
        <sz val="11.0"/>
        <u/>
      </rPr>
      <t>23 jul 2024</t>
    </r>
  </si>
  <si>
    <t>Iberia y Repsol firman un acuerdo con Inditex para emplear un 5% de SAF para el transporte de su carga aérea</t>
  </si>
  <si>
    <t>Las tres compañías dan un nuevo paso en sus objetivos de descarbonización al apostar por este combustible alternativo, que reduce las emisiones de CO2 en....</t>
  </si>
  <si>
    <t>Iberia and Repsol sign an agreement with Inditex to use 5% of SAF for the transport of their air cargo</t>
  </si>
  <si>
    <t>The three companies take a new step in their decarbonization objectives by betting on this alternative fuel, which reduces CO2 emissions by...</t>
  </si>
  <si>
    <t>Repsol sustainable fuel, corporate partnership</t>
  </si>
  <si>
    <t>Repsol combustible sostenible, alianza corporativa</t>
  </si>
  <si>
    <t>Positive as it highlights Repsol’s sustainability initiatives in aviation.</t>
  </si>
  <si>
    <t>SAF, acuerdo</t>
  </si>
  <si>
    <t>Positive for sustainable aviation fuel initiative</t>
  </si>
  <si>
    <t>Positivo para la iniciativa sobre combustible de aviación sostenible</t>
  </si>
  <si>
    <r>
      <rPr>
        <rFont val="Arial, sans-serif"/>
        <color rgb="FF1155CC"/>
        <sz val="9.0"/>
        <u/>
      </rPr>
      <t>El Confidencial</t>
    </r>
    <r>
      <rPr>
        <rFont val="Arial, sans-serif"/>
        <color rgb="FF1155CC"/>
        <sz val="15.0"/>
        <u/>
      </rPr>
      <t>El juez cita a Iberdrola y Repsol a finales de año para el juicio por 'greenwashing'</t>
    </r>
    <r>
      <rPr>
        <rFont val="Arial, sans-serif"/>
        <color rgb="FF1155CC"/>
        <sz val="11.0"/>
        <u/>
      </rPr>
      <t>El Juzgado de lo Mercantil número 2 de Santander señala para noviembre el juicio entre ambos gigantes energéticos por presunta publicidad engañosa por...</t>
    </r>
    <r>
      <rPr>
        <rFont val="Arial, sans-serif"/>
        <color rgb="FF1155CC"/>
        <sz val="12.0"/>
        <u/>
      </rPr>
      <t>.</t>
    </r>
    <r>
      <rPr>
        <rFont val="Arial, sans-serif"/>
        <color rgb="FF1155CC"/>
        <sz val="11.0"/>
        <u/>
      </rPr>
      <t>23 jul 2024</t>
    </r>
  </si>
  <si>
    <t>El juez cita a Iberdrola y Repsol a finales de año para el juicio por 'greenwashing'</t>
  </si>
  <si>
    <t>El Juzgado de lo Mercantil número 2 de Santander señala para noviembre el juicio entre ambos gigantes energéticos por presunta publicidad engañosa por....</t>
  </si>
  <si>
    <t>The judge summons Iberdrola and Repsol at the end of the year for the trial for 'greenwashing'</t>
  </si>
  <si>
    <t>The Commercial Court number 2 of Santander sets for November the trial between both energy giants for alleged misleading advertising by...</t>
  </si>
  <si>
    <t>Repsol legal case, corporate responsibility</t>
  </si>
  <si>
    <t>Caso Repsol, responsabilidad corporativa</t>
  </si>
  <si>
    <t>Negative as it mentions a legal issue involving Repsol and accusations of greenwashing.</t>
  </si>
  <si>
    <t>Negative for legal/PR risk</t>
  </si>
  <si>
    <t>Negativo por riesgo legal/PR</t>
  </si>
  <si>
    <r>
      <rPr>
        <rFont val="Arial, sans-serif"/>
        <color rgb="FF1155CC"/>
        <sz val="9.0"/>
        <u/>
      </rPr>
      <t>El Economista</t>
    </r>
    <r>
      <rPr>
        <rFont val="Arial, sans-serif"/>
        <color rgb="FF1155CC"/>
        <sz val="15.0"/>
        <u/>
      </rPr>
      <t>De la freidora de tu cocina al depósito del coche: así es el nuevo diésel renovable de Repsol</t>
    </r>
    <r>
      <rPr>
        <rFont val="Arial, sans-serif"/>
        <color rgb="FF1155CC"/>
        <sz val="11.0"/>
        <u/>
      </rPr>
      <t>Hemos puesto a prueba el diésel renovable de Repsol, de origen 100% materias primas como el aceite de freidora, para ver como de ...</t>
    </r>
    <r>
      <rPr>
        <rFont val="Arial, sans-serif"/>
        <color rgb="FF1155CC"/>
        <sz val="12.0"/>
        <u/>
      </rPr>
      <t>.</t>
    </r>
    <r>
      <rPr>
        <rFont val="Arial, sans-serif"/>
        <color rgb="FF1155CC"/>
        <sz val="11.0"/>
        <u/>
      </rPr>
      <t>23 jul 2024</t>
    </r>
  </si>
  <si>
    <t>De la freidora de tu cocina al depósito del coche: así es el nuevo diésel renovable de Repsol</t>
  </si>
  <si>
    <t>Hemos puesto a prueba el diésel renovable de Repsol, de origen 100% materias primas como el aceite de freidora, para ver como de ....</t>
  </si>
  <si>
    <t>From the fryer in your kitchen to the car tank: this is Repsol's new renewable diesel</t>
  </si>
  <si>
    <t>We have put Repsol's renewable diesel to the test, made from 100% raw materials such as fryer oil, to see how...</t>
  </si>
  <si>
    <t>Positive as it showcases Repsol’s innovation in renewable diesel production.</t>
  </si>
  <si>
    <t>Positive for renewable fuel innovation</t>
  </si>
  <si>
    <t>Positivo para la innovación en combustibles renovables</t>
  </si>
  <si>
    <r>
      <rPr>
        <rFont val="Arial, sans-serif"/>
        <color rgb="FF1155CC"/>
        <sz val="9.0"/>
        <u/>
      </rPr>
      <t>Europa Press</t>
    </r>
    <r>
      <rPr>
        <rFont val="Arial, sans-serif"/>
        <color rgb="FF1155CC"/>
        <sz val="15.0"/>
        <u/>
      </rPr>
      <t>Repsol e Iberia firman un acuerdo con Inditex para emplear un 5% de SAF en el transporte de su carga aérea</t>
    </r>
    <r>
      <rPr>
        <rFont val="Arial, sans-serif"/>
        <color rgb="FF1155CC"/>
        <sz val="11.0"/>
        <u/>
      </rPr>
      <t>Repsol e Iberia han firmado un acuerdo con Inditex para emplear un 5% de combustible sostenible de aviación...</t>
    </r>
    <r>
      <rPr>
        <rFont val="Arial, sans-serif"/>
        <color rgb="FF1155CC"/>
        <sz val="12.0"/>
        <u/>
      </rPr>
      <t>.</t>
    </r>
    <r>
      <rPr>
        <rFont val="Arial, sans-serif"/>
        <color rgb="FF1155CC"/>
        <sz val="11.0"/>
        <u/>
      </rPr>
      <t>23 jul 2024</t>
    </r>
  </si>
  <si>
    <t>Repsol e Iberia firman un acuerdo con Inditex para emplear un 5% de SAF en el transporte de su carga aérea</t>
  </si>
  <si>
    <t>Repsol e Iberia han firmado un acuerdo con Inditex para emplear un 5% de combustible sostenible de aviación.</t>
  </si>
  <si>
    <t>Repsol and Iberia sign an agreement with Inditex to use 5% of SAF in the transport of their air cargo</t>
  </si>
  <si>
    <t>Repsol and Iberia have signed an agreement with Inditex to use 5% sustainable aviation fuel.</t>
  </si>
  <si>
    <t>Positive as it reinforces Repsol’s commitment to sustainable fuel initiatives.</t>
  </si>
  <si>
    <r>
      <rPr>
        <rFont val="Arial, sans-serif"/>
        <color rgb="FF1155CC"/>
        <sz val="9.0"/>
        <u/>
      </rPr>
      <t>El Periódico de la Energía</t>
    </r>
    <r>
      <rPr>
        <rFont val="Arial, sans-serif"/>
        <color rgb="FF1155CC"/>
        <sz val="15.0"/>
        <u/>
      </rPr>
      <t>El juicio de Iberdrola contra Repsol por competencia desleal será el 21 de noviembre</t>
    </r>
    <r>
      <rPr>
        <rFont val="Arial, sans-serif"/>
        <color rgb="FF1155CC"/>
        <sz val="11.0"/>
        <u/>
      </rPr>
      <t>El próximo 21 de noviembre se celebrará el juicio por la demanda presentada por Iberdrola contra Repsol por competencia desleal y publicidad engañosa.</t>
    </r>
    <r>
      <rPr>
        <rFont val="Arial, sans-serif"/>
        <color rgb="FF1155CC"/>
        <sz val="12.0"/>
        <u/>
      </rPr>
      <t>.</t>
    </r>
    <r>
      <rPr>
        <rFont val="Arial, sans-serif"/>
        <color rgb="FF1155CC"/>
        <sz val="11.0"/>
        <u/>
      </rPr>
      <t>23 jul 2024</t>
    </r>
  </si>
  <si>
    <t>El juicio de Iberdrola contra Repsol por competencia desleal será el 21 de noviembre</t>
  </si>
  <si>
    <t>El próximo 21 de noviembre se celebrará el juicio por la demanda presentada por Iberdrola contra Repsol por competencia desleal y publicidad engañosa.</t>
  </si>
  <si>
    <t>Iberdrola's trial against Repsol for unfair competition will be on November 21</t>
  </si>
  <si>
    <t>On November 21, the trial will be held for the lawsuit filed by Iberdrola against Repsol for unfair competition and misleading advertising.</t>
  </si>
  <si>
    <t>Negative as it involves a legal dispute over competitive practices.</t>
  </si>
  <si>
    <t>competencia desleal</t>
  </si>
  <si>
    <t>Negative for legal risk</t>
  </si>
  <si>
    <t>Negativo por riesgo legal</t>
  </si>
  <si>
    <r>
      <rPr>
        <rFont val="Arial, sans-serif"/>
        <color rgb="FF1155CC"/>
        <sz val="9.0"/>
        <u/>
      </rPr>
      <t>ABC</t>
    </r>
    <r>
      <rPr>
        <rFont val="Arial, sans-serif"/>
        <color rgb="FF1155CC"/>
        <sz val="15.0"/>
        <u/>
      </rPr>
      <t>Repsol Honda calienta motores para la llegada de la Fórmula 1 a Madrid en 2026</t>
    </r>
    <r>
      <rPr>
        <rFont val="Arial, sans-serif"/>
        <color rgb="FF1155CC"/>
        <sz val="11.0"/>
        <u/>
      </rPr>
      <t>El equipo de Moto GP ha probado el trazado por el que discurrirá el futuro trazado urbano de F1.</t>
    </r>
    <r>
      <rPr>
        <rFont val="Arial, sans-serif"/>
        <color rgb="FF1155CC"/>
        <sz val="12.0"/>
        <u/>
      </rPr>
      <t>.</t>
    </r>
    <r>
      <rPr>
        <rFont val="Arial, sans-serif"/>
        <color rgb="FF1155CC"/>
        <sz val="11.0"/>
        <u/>
      </rPr>
      <t>23 jul 2024</t>
    </r>
  </si>
  <si>
    <t>Repsol Honda calienta motores para la llegada de la Fórmula 1 a Madrid en 2026</t>
  </si>
  <si>
    <t>El equipo de Moto GP ha probado el trazado por el que discurrirá el futuro trazado urbano de F1.</t>
  </si>
  <si>
    <t>Repsol Honda warms up for the arrival of Formula 1 in Madrid in 2026</t>
  </si>
  <si>
    <t>The Moto GP team has tested the layout along which the future F1 urban layout will run.</t>
  </si>
  <si>
    <t>Positive as it associates Repsol Honda with an exciting sports event.</t>
  </si>
  <si>
    <r>
      <rPr>
        <rFont val="Arial, sans-serif"/>
        <color rgb="FF1155CC"/>
        <sz val="9.0"/>
        <u/>
      </rPr>
      <t>La Razón</t>
    </r>
    <r>
      <rPr>
        <rFont val="Arial, sans-serif"/>
        <color rgb="FF1155CC"/>
        <sz val="15.0"/>
        <u/>
      </rPr>
      <t>Inditex firma un acuerdo con Repsol e Iberia para emplear un 5% de SAF en el transporte de sus productos</t>
    </r>
    <r>
      <rPr>
        <rFont val="Arial, sans-serif"/>
        <color rgb="FF1155CC"/>
        <sz val="11.0"/>
        <u/>
      </rPr>
      <t>Repsol e Iberia han firmado un acuerdo con Inditex para utilizar un 5% de combustible sostenible de aviación (SAF) para transportar la mercancía del grupo...</t>
    </r>
    <r>
      <rPr>
        <rFont val="Arial, sans-serif"/>
        <color rgb="FF1155CC"/>
        <sz val="12.0"/>
        <u/>
      </rPr>
      <t>.</t>
    </r>
    <r>
      <rPr>
        <rFont val="Arial, sans-serif"/>
        <color rgb="FF1155CC"/>
        <sz val="11.0"/>
        <u/>
      </rPr>
      <t>23 jul 2024</t>
    </r>
  </si>
  <si>
    <t>Inditex firma un acuerdo con Repsol e Iberia para emplear un 5% de SAF en el transporte de sus productos</t>
  </si>
  <si>
    <t>Repsol e Iberia han firmado un acuerdo con Inditex para utilizar un 5% de combustible sostenible de aviación (SAF) para transportar la mercancía del grupo....</t>
  </si>
  <si>
    <t>Inditex signs an agreement with Repsol and Iberia to use 5% of SAF in the transport of its products</t>
  </si>
  <si>
    <t>Repsol and Iberia have signed an agreement with Inditex to use 5% sustainable aviation fuel (SAF) to transport the group's merchandise....</t>
  </si>
  <si>
    <t>Positive as it highlights Repsol’s role in sustainability partnerships.</t>
  </si>
  <si>
    <r>
      <rPr>
        <rFont val="Arial, sans-serif"/>
        <color rgb="FF1155CC"/>
        <sz val="9.0"/>
        <u/>
      </rPr>
      <t>Aviacionline</t>
    </r>
    <r>
      <rPr>
        <rFont val="Arial, sans-serif"/>
        <color rgb="FF1155CC"/>
        <sz val="15.0"/>
        <u/>
      </rPr>
      <t>Repsol suministrará SAF a vuelos de Iberia con carga de Inditex</t>
    </r>
    <r>
      <rPr>
        <rFont val="Arial, sans-serif"/>
        <color rgb="FF1155CC"/>
        <sz val="11.0"/>
        <u/>
      </rPr>
      <t>Repsol e Iberia han firmado un acuerdo con Inditex para emplear un 5% de combustible sostenible de aviación (SAF, por sus siglas en inglés) en el transporte...</t>
    </r>
    <r>
      <rPr>
        <rFont val="Arial, sans-serif"/>
        <color rgb="FF1155CC"/>
        <sz val="12.0"/>
        <u/>
      </rPr>
      <t>.</t>
    </r>
    <r>
      <rPr>
        <rFont val="Arial, sans-serif"/>
        <color rgb="FF1155CC"/>
        <sz val="11.0"/>
        <u/>
      </rPr>
      <t>23 jul 2024</t>
    </r>
  </si>
  <si>
    <t>Aviacionline</t>
  </si>
  <si>
    <t>Repsol suministrará SAF a vuelos de Iberia con carga de Inditex</t>
  </si>
  <si>
    <t>Repsol e Iberia han firmado un acuerdo con Inditex para emplear un 5% de combustible sostenible de aviación (SAF, por sus siglas en inglés) en el transporte.</t>
  </si>
  <si>
    <t>Repsol will supply SAF to Iberia flights with Inditex cargo</t>
  </si>
  <si>
    <t>Repsol and Iberia have signed an agreement with Inditex to use 5% sustainable aviation fuel (SAF) in transport.</t>
  </si>
  <si>
    <t>Positive as it reinforces Repsol’s expansion in the sustainable aviation sector.</t>
  </si>
  <si>
    <t>SAF</t>
  </si>
  <si>
    <r>
      <rPr>
        <rFont val="Arial, sans-serif"/>
        <color rgb="FF1155CC"/>
        <sz val="9.0"/>
        <u/>
      </rPr>
      <t>Huelva 24</t>
    </r>
    <r>
      <rPr>
        <rFont val="Arial, sans-serif"/>
        <color rgb="FF1155CC"/>
        <sz val="15.0"/>
        <u/>
      </rPr>
      <t>La heladería de Huelva que cuenta con un Solete Repsol para este verano</t>
    </r>
    <r>
      <rPr>
        <rFont val="Arial, sans-serif"/>
        <color rgb="FF1155CC"/>
        <sz val="11.0"/>
        <u/>
      </rPr>
      <t>Esta distinción reconoce a los establecimientos que ofrecen productos de calidad en un ambiente informal y placentero.</t>
    </r>
    <r>
      <rPr>
        <rFont val="Arial, sans-serif"/>
        <color rgb="FF1155CC"/>
        <sz val="12.0"/>
        <u/>
      </rPr>
      <t>.</t>
    </r>
    <r>
      <rPr>
        <rFont val="Arial, sans-serif"/>
        <color rgb="FF1155CC"/>
        <sz val="11.0"/>
        <u/>
      </rPr>
      <t>23 jul 2024</t>
    </r>
  </si>
  <si>
    <t>La heladería de Huelva que cuenta con un Solete Repsol para este verano</t>
  </si>
  <si>
    <t>Esta distinción reconoce a los establecimientos que ofrecen productos de calidad en un ambiente informal y placentero.</t>
  </si>
  <si>
    <t>The Huelva ice cream parlor that has a Solete Repsol for this summer</t>
  </si>
  <si>
    <t>This distinction recognizes establishments that offer quality products in an informal and pleasant atmosphere.</t>
  </si>
  <si>
    <r>
      <rPr>
        <rFont val="Arial, sans-serif"/>
        <color rgb="FF1155CC"/>
        <sz val="9.0"/>
        <u/>
      </rPr>
      <t>Infobae</t>
    </r>
    <r>
      <rPr>
        <rFont val="Arial, sans-serif"/>
        <color rgb="FF1155CC"/>
        <sz val="15.0"/>
        <u/>
      </rPr>
      <t>El restaurante de carretera más grande de España: especializado en carne a la brasa y recomendado por la Guía Repsol</t>
    </r>
    <r>
      <rPr>
        <rFont val="Arial, sans-serif"/>
        <color rgb="FF1155CC"/>
        <sz val="11.0"/>
        <u/>
      </rPr>
      <t>Los camioneros y transportistas españoles lo incluyen entre sus favoritos para hacer un alto en el camino y comer muy bien y a buen precio en plena A-2.</t>
    </r>
    <r>
      <rPr>
        <rFont val="Arial, sans-serif"/>
        <color rgb="FF1155CC"/>
        <sz val="12.0"/>
        <u/>
      </rPr>
      <t>.</t>
    </r>
    <r>
      <rPr>
        <rFont val="Arial, sans-serif"/>
        <color rgb="FF1155CC"/>
        <sz val="11.0"/>
        <u/>
      </rPr>
      <t>23 jul 2024</t>
    </r>
  </si>
  <si>
    <t>El restaurante de carretera más grande de España: especializado en carne a la brasa y recomendado por la Guía Repsol</t>
  </si>
  <si>
    <t>Los camioneros y transportistas españoles lo incluyen entre sus favoritos para hacer un alto en el camino y comer muy bien y a buen precio en plena A-2.</t>
  </si>
  <si>
    <t>The largest roadside restaurant in Spain: specialized in grilled meat and recommended by the Repsol Guide</t>
  </si>
  <si>
    <t>Spanish truckers and transporters include it among their favorites to stop along the way and eat very well and at a good price in the middle of A-2.</t>
  </si>
  <si>
    <r>
      <rPr>
        <rFont val="Arial, sans-serif"/>
        <color rgb="FF1155CC"/>
        <sz val="9.0"/>
        <u/>
      </rPr>
      <t>hoy aragón</t>
    </r>
    <r>
      <rPr>
        <rFont val="Arial, sans-serif"/>
        <color rgb="FF1155CC"/>
        <sz val="15.0"/>
        <u/>
      </rPr>
      <t>Aragón suscribe un plan de recogida de aceites para impulsar el reciclaje del doméstico</t>
    </r>
    <r>
      <rPr>
        <rFont val="Arial, sans-serif"/>
        <color rgb="FF1155CC"/>
        <sz val="11.0"/>
        <u/>
      </rPr>
      <t>El Gobierno de Aragón, a través del Departamento de Medio Ambiente y Turismo, y Repsol suscribirán un convenio para impulsar la recogida separada de aceite...</t>
    </r>
    <r>
      <rPr>
        <rFont val="Arial, sans-serif"/>
        <color rgb="FF1155CC"/>
        <sz val="12.0"/>
        <u/>
      </rPr>
      <t>.</t>
    </r>
    <r>
      <rPr>
        <rFont val="Arial, sans-serif"/>
        <color rgb="FF1155CC"/>
        <sz val="11.0"/>
        <u/>
      </rPr>
      <t>23 jul 2024</t>
    </r>
  </si>
  <si>
    <t>Aragón suscribe un plan de recogida de aceites para impulsar el reciclaje del doméstico</t>
  </si>
  <si>
    <t>El Gobierno de Aragón, a través del Departamento de Medio Ambiente y Turismo, y Repsol suscribirán un convenio para impulsar la recogida separada de aceite....</t>
  </si>
  <si>
    <t>Aragón signs an oil collection plan to promote recycling of household waste</t>
  </si>
  <si>
    <t>The Government of Aragon, through the Department of Environment and Tourism, and Repsol will sign an agreement to promote the separate collection of oil....</t>
  </si>
  <si>
    <t>Repsol circular economy, sustainability initiative</t>
  </si>
  <si>
    <t>Repsol economía circular, iniciativa de sostenibilidad</t>
  </si>
  <si>
    <t>Positive as it highlights Repsol’s involvement in sustainability and waste recycling.</t>
  </si>
  <si>
    <t>reciclaje</t>
  </si>
  <si>
    <t>Mildly positive for sustainability</t>
  </si>
  <si>
    <t>Ligeramente positivo para la sostenibilidad</t>
  </si>
  <si>
    <r>
      <rPr>
        <rFont val="Arial, sans-serif"/>
        <color rgb="FF1155CC"/>
        <sz val="9.0"/>
        <u/>
      </rPr>
      <t>Diario de Jerez</t>
    </r>
    <r>
      <rPr>
        <rFont val="Arial, sans-serif"/>
        <color rgb="FF1155CC"/>
        <sz val="15.0"/>
        <u/>
      </rPr>
      <t>Los 11 mejores chiringuitos, bares y restaurantes de Chipiona, Rota y Sanlúcar</t>
    </r>
    <r>
      <rPr>
        <rFont val="Arial, sans-serif"/>
        <color rgb="FF1155CC"/>
        <sz val="11.0"/>
        <u/>
      </rPr>
      <t>La costa noroeste es ideal para una jornada playera o una experiencia gastronómica de primer nivel.</t>
    </r>
    <r>
      <rPr>
        <rFont val="Arial, sans-serif"/>
        <color rgb="FF1155CC"/>
        <sz val="12.0"/>
        <u/>
      </rPr>
      <t>.</t>
    </r>
    <r>
      <rPr>
        <rFont val="Arial, sans-serif"/>
        <color rgb="FF1155CC"/>
        <sz val="11.0"/>
        <u/>
      </rPr>
      <t>23 jul 2024</t>
    </r>
  </si>
  <si>
    <t>Los 11 mejores chiringuitos, bares y restaurantes de Chipiona, Rota y Sanlúcar</t>
  </si>
  <si>
    <t>La costa noroeste es ideal para una jornada playera o una experiencia gastronómica de primer nivel.</t>
  </si>
  <si>
    <t>The 11 best beach bars, bars and restaurants in Chipiona, Rota and Sanlúcar</t>
  </si>
  <si>
    <t>The northwest coast is ideal for a beach day or a first-class dining experience.</t>
  </si>
  <si>
    <r>
      <rPr>
        <rFont val="Arial, sans-serif"/>
        <color rgb="FF1155CC"/>
        <sz val="9.0"/>
        <u/>
      </rPr>
      <t>Expansión</t>
    </r>
    <r>
      <rPr>
        <rFont val="Arial, sans-serif"/>
        <color rgb="FF1155CC"/>
        <sz val="15.0"/>
        <u/>
      </rPr>
      <t>Repsol exprime la recompra masiva de acciones tras ganar un 14% más</t>
    </r>
    <r>
      <rPr>
        <rFont val="Arial, sans-serif"/>
        <color rgb="FF1155CC"/>
        <sz val="11.0"/>
        <u/>
      </rPr>
      <t>Repsol, la primera petrolera española, ha ganado 1.626 millones de euros en el primer semestre de este año, lo que supone un 14% más que entre enero y junio...</t>
    </r>
    <r>
      <rPr>
        <rFont val="Arial, sans-serif"/>
        <color rgb="FF1155CC"/>
        <sz val="12.0"/>
        <u/>
      </rPr>
      <t>.</t>
    </r>
    <r>
      <rPr>
        <rFont val="Arial, sans-serif"/>
        <color rgb="FF1155CC"/>
        <sz val="11.0"/>
        <u/>
      </rPr>
      <t>24 jul 2024</t>
    </r>
  </si>
  <si>
    <t>Repsol exprime la recompra masiva de acciones tras ganar un 14% más</t>
  </si>
  <si>
    <t>Repsol, la primera petrolera española, ha ganado 1.626 millones de euros en el primer semestre de este año, lo que supone un 14% más que entre enero y junio.</t>
  </si>
  <si>
    <t>Repsol squeezes out massive share buybacks after gaining 14% more</t>
  </si>
  <si>
    <t>Repsol, the leading Spanish oil company, has earned 1,626 million euros in the first half of this year, which is 14% more than between January and June.</t>
  </si>
  <si>
    <t>Positive as it highlights strong financial performance and shareholder returns.</t>
  </si>
  <si>
    <t>ganar, recompra</t>
  </si>
  <si>
    <t>Positive for financial performance</t>
  </si>
  <si>
    <t>Positivo para el desempeño financiero</t>
  </si>
  <si>
    <r>
      <rPr>
        <rFont val="Arial, sans-serif"/>
        <color rgb="FF1155CC"/>
        <sz val="9.0"/>
        <u/>
      </rPr>
      <t>ABC</t>
    </r>
    <r>
      <rPr>
        <rFont val="Arial, sans-serif"/>
        <color rgb="FF1155CC"/>
        <sz val="15.0"/>
        <u/>
      </rPr>
      <t>Repsol gana 1.626 millones hasta junio, un 14% más con un fuerte aumento de la deuda</t>
    </r>
    <r>
      <rPr>
        <rFont val="Arial, sans-serif"/>
        <color rgb="FF1155CC"/>
        <sz val="11.0"/>
        <u/>
      </rPr>
      <t>En el primer semestre la compañía ha avanzado en la implementación de la actualización estratégica 2024-2027.</t>
    </r>
    <r>
      <rPr>
        <rFont val="Arial, sans-serif"/>
        <color rgb="FF1155CC"/>
        <sz val="12.0"/>
        <u/>
      </rPr>
      <t>.</t>
    </r>
    <r>
      <rPr>
        <rFont val="Arial, sans-serif"/>
        <color rgb="FF1155CC"/>
        <sz val="11.0"/>
        <u/>
      </rPr>
      <t>24 jul 2024</t>
    </r>
  </si>
  <si>
    <t>Repsol gana 1.626 millones hasta junio, un 14% más con un fuerte aumento de la deuda</t>
  </si>
  <si>
    <t>En el primer semestre la compañía ha avanzado en la implementación de la actualización estratégica 2024-2027.</t>
  </si>
  <si>
    <t>Repsol earns 1,626 million until June, 14% more with a sharp increase in debt</t>
  </si>
  <si>
    <t>In the first half of the year, the company has made progress in the implementation of the 2024-2027 strategic update.</t>
  </si>
  <si>
    <t>Repsol financial performance, business growth</t>
  </si>
  <si>
    <t>Desempeño financiero de Repsol, crecimiento empresarial</t>
  </si>
  <si>
    <t>Positive as it highlights Repsol’s profit growth and strategic progress.</t>
  </si>
  <si>
    <t>Positive for financial results despite debt increase</t>
  </si>
  <si>
    <t>Positivo para los resultados financieros a pesar del aumento de la deuda</t>
  </si>
  <si>
    <r>
      <rPr>
        <rFont val="Arial, sans-serif"/>
        <color rgb="FF1155CC"/>
        <sz val="9.0"/>
        <u/>
      </rPr>
      <t>Estrategias de Inversión</t>
    </r>
    <r>
      <rPr>
        <rFont val="Arial, sans-serif"/>
        <color rgb="FF1155CC"/>
        <sz val="15.0"/>
        <u/>
      </rPr>
      <t>La petrolera Repsol duplica su beneficio en el segundo trimestre y eleva el dividendo</t>
    </r>
    <r>
      <rPr>
        <rFont val="Arial, sans-serif"/>
        <color rgb="FF1155CC"/>
        <sz val="11.0"/>
        <u/>
      </rPr>
      <t>Repsol se anotó un resultado neto de 657 millones de euros en el segundo trimestre, con un incremento de un 113,3%, y de 1.626 millones en el acumulado,...</t>
    </r>
    <r>
      <rPr>
        <rFont val="Arial, sans-serif"/>
        <color rgb="FF1155CC"/>
        <sz val="12.0"/>
        <u/>
      </rPr>
      <t>.</t>
    </r>
    <r>
      <rPr>
        <rFont val="Arial, sans-serif"/>
        <color rgb="FF1155CC"/>
        <sz val="11.0"/>
        <u/>
      </rPr>
      <t>24 jul 2024</t>
    </r>
  </si>
  <si>
    <t>La petrolera Repsol duplica su beneficio en el segundo trimestre y eleva el dividendo</t>
  </si>
  <si>
    <t>Repsol se anotó un resultado neto de 657 millones de euros en el segundo trimestre, con un incremento de un 113,3%, y de 1.626 millones en el acumulado,....</t>
  </si>
  <si>
    <t>The oil company Repsol doubles its profit in the second quarter and increases the dividend</t>
  </si>
  <si>
    <t>Repsol posted a net result of 657 million euros in the second quarter, with an increase of 113.3%, and 1,626 million in the accumulated period....</t>
  </si>
  <si>
    <t>Positive as it highlights strong financial performance and increased dividends.</t>
  </si>
  <si>
    <t>beneficio, dividendo</t>
  </si>
  <si>
    <t>Strong positive for financial performance</t>
  </si>
  <si>
    <t>Fuerte positivo para el desempeño financiero</t>
  </si>
  <si>
    <r>
      <rPr>
        <rFont val="Arial, sans-serif"/>
        <color rgb="FF1155CC"/>
        <sz val="9.0"/>
        <u/>
      </rPr>
      <t>El Blog de Self Bank</t>
    </r>
    <r>
      <rPr>
        <rFont val="Arial, sans-serif"/>
        <color rgb="FF1155CC"/>
        <sz val="15.0"/>
        <u/>
      </rPr>
      <t>Resultados Repsol: Registra un BPA de 0,71</t>
    </r>
    <r>
      <rPr>
        <rFont val="Arial, sans-serif"/>
        <color rgb="FF1155CC"/>
        <sz val="11.0"/>
        <u/>
      </rPr>
      <t>Resultados Repsol: Registra un BPA de 0,71€, un 11% más que hace un año. Javier Tejedor analiza la compañía.</t>
    </r>
    <r>
      <rPr>
        <rFont val="Arial, sans-serif"/>
        <color rgb="FF1155CC"/>
        <sz val="12.0"/>
        <u/>
      </rPr>
      <t>.</t>
    </r>
    <r>
      <rPr>
        <rFont val="Arial, sans-serif"/>
        <color rgb="FF1155CC"/>
        <sz val="11.0"/>
        <u/>
      </rPr>
      <t>24 jul 2024</t>
    </r>
  </si>
  <si>
    <t>Resultados Repsol: Registra un BPA de 0,71€</t>
  </si>
  <si>
    <t>Resultados Repsol: Registra un BPA de 0,71€, un 11% más que hace un año. Javier Tejedor analiza la compañía.</t>
  </si>
  <si>
    <t>Repsol Results: Registers an EPS of €0.71</t>
  </si>
  <si>
    <t>Repsol Results: Registers an EPS of €0.71, 11% more than a year ago. Javier Tejedor analyzes the company.</t>
  </si>
  <si>
    <t>Positive as it indicates an increase in earnings per share, reflecting financial growth.</t>
  </si>
  <si>
    <t>BPA</t>
  </si>
  <si>
    <t>Positive for earnings</t>
  </si>
  <si>
    <t>Positivo para las ganancias</t>
  </si>
  <si>
    <r>
      <rPr>
        <rFont val="Arial, sans-serif"/>
        <color rgb="FF1155CC"/>
        <sz val="9.0"/>
        <u/>
      </rPr>
      <t>Cinco Días</t>
    </r>
    <r>
      <rPr>
        <rFont val="Arial, sans-serif"/>
        <color rgb="FF1155CC"/>
        <sz val="15.0"/>
        <u/>
      </rPr>
      <t>Repsol gana 1.626 millones hasta junio, un 14,5% más, pese a los menores márgenes de refino</t>
    </r>
    <r>
      <rPr>
        <rFont val="Arial, sans-serif"/>
        <color rgb="FF1155CC"/>
        <sz val="11.0"/>
        <u/>
      </rPr>
      <t>La mayor petrolera de España, Repsol, se anotó un beneficio neto de 1.626 millones de euros en los seis primeros meses al año, según las cifras remitidas a...</t>
    </r>
    <r>
      <rPr>
        <rFont val="Arial, sans-serif"/>
        <color rgb="FF1155CC"/>
        <sz val="12.0"/>
        <u/>
      </rPr>
      <t>.</t>
    </r>
    <r>
      <rPr>
        <rFont val="Arial, sans-serif"/>
        <color rgb="FF1155CC"/>
        <sz val="11.0"/>
        <u/>
      </rPr>
      <t>24 jul 2024</t>
    </r>
  </si>
  <si>
    <t>Repsol gana 1.626 millones hasta junio, un 14,5% más, pese a los menores márgenes de refino</t>
  </si>
  <si>
    <t>La mayor petrolera de España, Repsol, se anotó un beneficio neto de 1.626 millones de euros en los seis primeros meses al año, según las cifras remitidas a....</t>
  </si>
  <si>
    <t>Repsol earns 1,626 million until June, 14.5% more, despite lower refining margins</t>
  </si>
  <si>
    <t>Spain's largest oil company, Repsol, posted a net profit of 1,626 million euros in the first six months of the year, according to figures sent to...</t>
  </si>
  <si>
    <t>Positive as it highlights Repsol’s resilience and financial success.</t>
  </si>
  <si>
    <t>Positive for financial performance despite refining challenges</t>
  </si>
  <si>
    <t>Positivo para el desempeño financiero a pesar de los desafíos de refinación</t>
  </si>
  <si>
    <r>
      <rPr>
        <rFont val="Arial, sans-serif"/>
        <color rgb="FF1155CC"/>
        <sz val="9.0"/>
        <u/>
      </rPr>
      <t>Ayuntamiento de Cartagena</t>
    </r>
    <r>
      <rPr>
        <rFont val="Arial, sans-serif"/>
        <color rgb="FF1155CC"/>
        <sz val="15.0"/>
        <u/>
      </rPr>
      <t>La Mar de Músicas celebra el Día Repsol hoy miércoles con todos los conciertos gratuitos: Ralphie Choo, Rusowsky y la eurovisiva Marina Satti</t>
    </r>
    <r>
      <rPr>
        <rFont val="Arial, sans-serif"/>
        <color rgb="FF1155CC"/>
        <sz val="11.0"/>
        <u/>
      </rPr>
      <t>Los directos gratuitos comienzan a las 19 horas en la plaza del CIM con la sarda Daniela Pes y el festival también programa desde Corfú a Electric Litany en...</t>
    </r>
    <r>
      <rPr>
        <rFont val="Arial, sans-serif"/>
        <color rgb="FF1155CC"/>
        <sz val="12.0"/>
        <u/>
      </rPr>
      <t>.</t>
    </r>
    <r>
      <rPr>
        <rFont val="Arial, sans-serif"/>
        <color rgb="FF1155CC"/>
        <sz val="11.0"/>
        <u/>
      </rPr>
      <t>24 jul 2024</t>
    </r>
  </si>
  <si>
    <t>La Mar de Músicas celebra el Día Repsol hoy miércoles con todos los conciertos gratuitos: Ralphie Choo, Rusowsky y la eurovisiva Marina Satti</t>
  </si>
  <si>
    <t>Los directos gratuitos comienzan a las 19 horas en la plaza del CIM con la sarda Daniela Pes y el festival también programa desde Corfú a Electric Litany en....</t>
  </si>
  <si>
    <t>La Mar de Músicas celebrates Repsol Day today, Wednesday, with all free concerts: Ralphie Choo, Rusowsky and Eurovision star Marina Satti</t>
  </si>
  <si>
    <t>The free live performances begin at 7 p.m. in the CIM square with the Sardinian Daniela Pes and the festival also programs Electric Litany from Corfu in...</t>
  </si>
  <si>
    <r>
      <rPr>
        <rFont val="Arial, sans-serif"/>
        <color rgb="FF1155CC"/>
        <sz val="9.0"/>
        <u/>
      </rPr>
      <t>El Mundo</t>
    </r>
    <r>
      <rPr>
        <rFont val="Arial, sans-serif"/>
        <color rgb="FF1155CC"/>
        <sz val="15.0"/>
        <u/>
      </rPr>
      <t>Repsol resiste a la caída de los precios: eleva un 14,5% su beneficio y anuncia un 'premio' al accionista de 265 millones</t>
    </r>
    <r>
      <rPr>
        <rFont val="Arial, sans-serif"/>
        <color rgb="FF1155CC"/>
        <sz val="11.0"/>
        <u/>
      </rPr>
      <t>Repsol resiste a la caída de los precios de la energía. La compañía aumentó su beneficio un 14,5%, hasta los 1.626 millones de euros, entre enero y junio,...</t>
    </r>
    <r>
      <rPr>
        <rFont val="Arial, sans-serif"/>
        <color rgb="FF1155CC"/>
        <sz val="12.0"/>
        <u/>
      </rPr>
      <t>.</t>
    </r>
    <r>
      <rPr>
        <rFont val="Arial, sans-serif"/>
        <color rgb="FF1155CC"/>
        <sz val="11.0"/>
        <u/>
      </rPr>
      <t>24 jul 2024</t>
    </r>
  </si>
  <si>
    <t>Repsol resiste a la caída de los precios: eleva un 14,5% su beneficio y anuncia un 'premio' al accionista de 265 millones</t>
  </si>
  <si>
    <t>Repsol resiste a la caída de los precios de la energía. La compañía aumentó su beneficio un 14,5%, hasta los 1.626 millones de euros, entre enero y junio,....</t>
  </si>
  <si>
    <t>Repsol resists the fall in prices: it increases its profit by 14.5% and announces a shareholder 'prize' of 265 million</t>
  </si>
  <si>
    <t>Repsol resists the fall in energy prices. The company increased its profit by 14.5%, to 1,626 million euros, between January and June,....</t>
  </si>
  <si>
    <t>Positive as it highlights financial resilience and increased shareholder rewards.</t>
  </si>
  <si>
    <t>beneficio, premio</t>
  </si>
  <si>
    <r>
      <rPr>
        <rFont val="Arial, sans-serif"/>
        <color rgb="FF1155CC"/>
        <sz val="9.0"/>
        <u/>
      </rPr>
      <t>La Razón</t>
    </r>
    <r>
      <rPr>
        <rFont val="Arial, sans-serif"/>
        <color rgb="FF1155CC"/>
        <sz val="15.0"/>
        <u/>
      </rPr>
      <t>Repsol dispara un 14,5% sus beneficios y gana 1.626 millones en el primer semestre</t>
    </r>
    <r>
      <rPr>
        <rFont val="Arial, sans-serif"/>
        <color rgb="FF1155CC"/>
        <sz val="11.0"/>
        <u/>
      </rPr>
      <t>Repsol ha alcanzado un resultado neto de 1.626 millones de euros en el primer semestre de 2024 −un 14,5% más−, un periodo marcado por la presentación y...</t>
    </r>
    <r>
      <rPr>
        <rFont val="Arial, sans-serif"/>
        <color rgb="FF1155CC"/>
        <sz val="12.0"/>
        <u/>
      </rPr>
      <t>.</t>
    </r>
    <r>
      <rPr>
        <rFont val="Arial, sans-serif"/>
        <color rgb="FF1155CC"/>
        <sz val="11.0"/>
        <u/>
      </rPr>
      <t>24 jul 2024</t>
    </r>
  </si>
  <si>
    <t>Repsol dispara un 14,5% sus beneficios y gana 1.626 millones en el primer semestre</t>
  </si>
  <si>
    <t>Repsol ha alcanzado un resultado neto de 1.626 millones de euros en el primer semestre de 2024 −un 14,5% más−, un periodo marcado por la presentación y....</t>
  </si>
  <si>
    <t>Repsol increases its profits by 14.5% and earns 1,626 million in the first half</t>
  </si>
  <si>
    <t>Repsol has achieved a net result of 1,626 million euros in the first half of 2024 −14.5% more −, a period marked by the presentation and...</t>
  </si>
  <si>
    <t>Positive as it highlights financial growth and stability.</t>
  </si>
  <si>
    <t>dispara beneficios, gana 1.626 millones</t>
  </si>
  <si>
    <t>Strong positive financial results</t>
  </si>
  <si>
    <t>Fuertes resultados financieros positivos</t>
  </si>
  <si>
    <r>
      <rPr>
        <rFont val="Arial, sans-serif"/>
        <color rgb="FF1155CC"/>
        <sz val="9.0"/>
        <u/>
      </rPr>
      <t>El Periódico de la Energía</t>
    </r>
    <r>
      <rPr>
        <rFont val="Arial, sans-serif"/>
        <color rgb="FF1155CC"/>
        <sz val="15.0"/>
        <u/>
      </rPr>
      <t>Repsol está en conversaciones para adquirir el 60% de estadounidense Hecate Energy</t>
    </r>
    <r>
      <rPr>
        <rFont val="Arial, sans-serif"/>
        <color rgb="FF1155CC"/>
        <sz val="11.0"/>
        <u/>
      </rPr>
      <t>Repsol está en conversaciones con Hecate Holdings, que posee el 60% de la compañía estadounidense de renovables Hecate Energy, para comprarle su...</t>
    </r>
    <r>
      <rPr>
        <rFont val="Arial, sans-serif"/>
        <color rgb="FF1155CC"/>
        <sz val="12.0"/>
        <u/>
      </rPr>
      <t>.</t>
    </r>
    <r>
      <rPr>
        <rFont val="Arial, sans-serif"/>
        <color rgb="FF1155CC"/>
        <sz val="11.0"/>
        <u/>
      </rPr>
      <t>24 jul 2024</t>
    </r>
  </si>
  <si>
    <t>Repsol está en conversaciones para adquirir el 60% de estadounidense Hecate Energy</t>
  </si>
  <si>
    <t>Repsol está en conversaciones con Hecate Holdings, que posee el 60% de la compañía estadounidense de renovables Hecate Energy, para comprarle su....</t>
  </si>
  <si>
    <t>Repsol is in talks to acquire 60% of American Hecate Energy</t>
  </si>
  <si>
    <t>Repsol is in talks with Hecate Holdings, which owns 60% of the US renewables company Hecate Energy, to buy its...</t>
  </si>
  <si>
    <t>Repsol business expansion, renewable energy</t>
  </si>
  <si>
    <t>Expansión del negocio de Repsol, energías renovables</t>
  </si>
  <si>
    <t>Positive as it indicates Repsol’s expansion in renewable energy investments.</t>
  </si>
  <si>
    <t>adquirir, Hecate Energy</t>
  </si>
  <si>
    <t>Positive expansion in renewables</t>
  </si>
  <si>
    <t>Expansión positiva de las energías renovables</t>
  </si>
  <si>
    <r>
      <rPr>
        <rFont val="Arial, sans-serif"/>
        <color rgb="FF1155CC"/>
        <sz val="9.0"/>
        <u/>
      </rPr>
      <t>Diari ARA</t>
    </r>
    <r>
      <rPr>
        <rFont val="Arial, sans-serif"/>
        <color rgb="FF1155CC"/>
        <sz val="15.0"/>
        <u/>
      </rPr>
      <t>Récord de ganancias de las grandes energéticas: ganan 42 millones diarios</t>
    </r>
    <r>
      <rPr>
        <rFont val="Arial, sans-serif"/>
        <color rgb="FF1155CC"/>
        <sz val="11.0"/>
        <u/>
      </rPr>
      <t>Ganan 7.603 millones de euros hasta junio, un 77% más que en el primer semestre de 2023.</t>
    </r>
    <r>
      <rPr>
        <rFont val="Arial, sans-serif"/>
        <color rgb="FF1155CC"/>
        <sz val="12.0"/>
        <u/>
      </rPr>
      <t>.</t>
    </r>
    <r>
      <rPr>
        <rFont val="Arial, sans-serif"/>
        <color rgb="FF1155CC"/>
        <sz val="11.0"/>
        <u/>
      </rPr>
      <t>24 jul 2024</t>
    </r>
  </si>
  <si>
    <t>Diari ARAR</t>
  </si>
  <si>
    <t>Récord de ganancias de las grandes energéticas: ganan 42 millones diarios</t>
  </si>
  <si>
    <t>Ganan 7.603 millones de euros hasta junio, un 77% más que en el primer semestre de 2023.</t>
  </si>
  <si>
    <t>Record profits for large energy companies: they earn 42 million a day</t>
  </si>
  <si>
    <t>They earn 7,603 million euros until June, 77% more than in the first half of 2023.</t>
  </si>
  <si>
    <t>Positive as it highlights significant profit increases in the energy sector.</t>
  </si>
  <si>
    <t>récord ganancias</t>
  </si>
  <si>
    <t>Positive financial performance</t>
  </si>
  <si>
    <t>Desempeño financiero positivo</t>
  </si>
  <si>
    <r>
      <rPr>
        <rFont val="Arial, sans-serif"/>
        <color rgb="FF1155CC"/>
        <sz val="9.0"/>
        <u/>
      </rPr>
      <t>20Minutos</t>
    </r>
    <r>
      <rPr>
        <rFont val="Arial, sans-serif"/>
        <color rgb="FF1155CC"/>
        <sz val="15.0"/>
        <u/>
      </rPr>
      <t>Repsol eleva un 8% el dividendo para el año que viene tras disparar el beneficio a junio</t>
    </r>
    <r>
      <rPr>
        <rFont val="Arial, sans-serif"/>
        <color rgb="FF1155CC"/>
        <sz val="11.0"/>
        <u/>
      </rPr>
      <t>Gana 1.626 millones en el primer semestre y compromete 1.128 millones de dividendo en efectivo para 2025. Anuncia un nuevo programa de recompra de acciones...</t>
    </r>
    <r>
      <rPr>
        <rFont val="Arial, sans-serif"/>
        <color rgb="FF1155CC"/>
        <sz val="12.0"/>
        <u/>
      </rPr>
      <t>.</t>
    </r>
    <r>
      <rPr>
        <rFont val="Arial, sans-serif"/>
        <color rgb="FF1155CC"/>
        <sz val="11.0"/>
        <u/>
      </rPr>
      <t>24 jul 2024</t>
    </r>
  </si>
  <si>
    <t>Repsol eleva un 8% el dividendo para el año que viene tras disparar el beneficio a junio</t>
  </si>
  <si>
    <t>Gana 1.626 millones en el primer semestre y compromete 1.128 millones de dividendo en efectivo para 2025. Anuncia un nuevo programa de recompra de acciones.</t>
  </si>
  <si>
    <t>Repsol raises the dividend for next year by 8% after boosting profits to June</t>
  </si>
  <si>
    <t>Earns 1,626 million in the first half and commits 1,128 million in cash dividends by 2025. Announces a new share buyback program.</t>
  </si>
  <si>
    <t>Positive as it reflects financial strength and benefits for shareholders.</t>
  </si>
  <si>
    <t>eleva dividendo, disparar beneficio</t>
  </si>
  <si>
    <t>Strong positive financial news</t>
  </si>
  <si>
    <t>Fuertes noticias financieras positivas</t>
  </si>
  <si>
    <r>
      <rPr>
        <rFont val="Arial, sans-serif"/>
        <color rgb="FF1155CC"/>
        <sz val="9.0"/>
        <u/>
      </rPr>
      <t>Bolsamania</t>
    </r>
    <r>
      <rPr>
        <rFont val="Arial, sans-serif"/>
        <color rgb="FF1155CC"/>
        <sz val="15.0"/>
        <u/>
      </rPr>
      <t>Repsol logra un beneficio de 1.626 millones a junio y anuncia una nueva recompra de acciones</t>
    </r>
    <r>
      <rPr>
        <rFont val="Arial, sans-serif"/>
        <color rgb="FF1155CC"/>
        <sz val="11.0"/>
        <u/>
      </rPr>
      <t>Repsol ha obtenido un resultado neto de 1.626 millones de euros en el primer semestre de 2024, lo que supone un aumento del 14,5% respecto al mismo periodo...</t>
    </r>
    <r>
      <rPr>
        <rFont val="Arial, sans-serif"/>
        <color rgb="FF1155CC"/>
        <sz val="12.0"/>
        <u/>
      </rPr>
      <t>.</t>
    </r>
    <r>
      <rPr>
        <rFont val="Arial, sans-serif"/>
        <color rgb="FF1155CC"/>
        <sz val="11.0"/>
        <u/>
      </rPr>
      <t>24 jul 2024</t>
    </r>
  </si>
  <si>
    <t>Repsol logra un beneficio de 1.626 millones a junio y anuncia una nueva recompra de acciones</t>
  </si>
  <si>
    <t>Repsol ha obtenido un resultado neto de 1.626 millones de euros en el primer semestre de 2024, lo que supone un aumento del 14,5% respecto al mismo periodo....</t>
  </si>
  <si>
    <t>Repsol achieves a profit of 1,626 million as of June and announces a new share buyback</t>
  </si>
  <si>
    <t>Repsol has obtained a net result of 1,626 million euros in the first half of 2024, which represents an increase of 14.5% compared to the same period....</t>
  </si>
  <si>
    <t>Positive as it highlights strong earnings and additional shareholder benefits.</t>
  </si>
  <si>
    <t>beneficio 1.626 millones, recompra acciones</t>
  </si>
  <si>
    <r>
      <rPr>
        <rFont val="Arial, sans-serif"/>
        <color rgb="FF1155CC"/>
        <sz val="9.0"/>
        <u/>
      </rPr>
      <t>Capital (España)</t>
    </r>
    <r>
      <rPr>
        <rFont val="Arial, sans-serif"/>
        <color rgb="FF1155CC"/>
        <sz val="15.0"/>
        <u/>
      </rPr>
      <t>Repsol alcanza los 1.626 millones de beneficio en el primer semestre de 2024</t>
    </r>
    <r>
      <rPr>
        <rFont val="Arial, sans-serif"/>
        <color rgb="FF1155CC"/>
        <sz val="11.0"/>
        <u/>
      </rPr>
      <t>Repsol logró un beneficio neto de 1.626 millones de euros en el primer semestre del año, un 14,5% más que en el mismo período de 2021, aunque en un entorno.</t>
    </r>
    <r>
      <rPr>
        <rFont val="Arial, sans-serif"/>
        <color rgb="FF1155CC"/>
        <sz val="12.0"/>
        <u/>
      </rPr>
      <t>.</t>
    </r>
    <r>
      <rPr>
        <rFont val="Arial, sans-serif"/>
        <color rgb="FF1155CC"/>
        <sz val="11.0"/>
        <u/>
      </rPr>
      <t>24 jul 2024</t>
    </r>
  </si>
  <si>
    <t>Capital (España)</t>
  </si>
  <si>
    <t>Repsol alcanza los 1.626 millones de beneficio en el primer semestre de 2024</t>
  </si>
  <si>
    <t>Repsol logró un beneficio neto de 1.626 millones de euros en el primer semestre del año, un 14,5% más que en el mismo período de 2021, aunque en un entorno..</t>
  </si>
  <si>
    <t>Repsol reaches 1,626 million profit in the first half of 2024</t>
  </si>
  <si>
    <t>Repsol achieved a net profit of 1,626 million euros in the first half of the year, 14.5% more than in the same period of 2021, although in an environment..</t>
  </si>
  <si>
    <t>Positive as it emphasizes financial growth despite economic challenges.</t>
  </si>
  <si>
    <t>beneficio 1.626 millones</t>
  </si>
  <si>
    <t>Positive financial results</t>
  </si>
  <si>
    <t>Resultados financieros positivos</t>
  </si>
  <si>
    <r>
      <rPr>
        <rFont val="Arial, sans-serif"/>
        <color rgb="FF1155CC"/>
        <sz val="9.0"/>
        <u/>
      </rPr>
      <t>El Economista</t>
    </r>
    <r>
      <rPr>
        <rFont val="Arial, sans-serif"/>
        <color rgb="FF1155CC"/>
        <sz val="15.0"/>
        <u/>
      </rPr>
      <t>Repsol negocia la compra del 60% de Hecate Energy para hacerse con 40 GW de renovables en desarrollo</t>
    </r>
    <r>
      <rPr>
        <rFont val="Arial, sans-serif"/>
        <color rgb="FF1155CC"/>
        <sz val="11.0"/>
        <u/>
      </rPr>
      <t>Repsol se prepara para tomar el control de Hecate Energy Group. La petrolera negocia ya la compra del 60% restante de la empresa ...</t>
    </r>
    <r>
      <rPr>
        <rFont val="Arial, sans-serif"/>
        <color rgb="FF1155CC"/>
        <sz val="12.0"/>
        <u/>
      </rPr>
      <t>.</t>
    </r>
    <r>
      <rPr>
        <rFont val="Arial, sans-serif"/>
        <color rgb="FF1155CC"/>
        <sz val="11.0"/>
        <u/>
      </rPr>
      <t>24 jul 2024</t>
    </r>
  </si>
  <si>
    <t>Repsol negocia la compra del 60% de Hecate Energy para hacerse con 40 GW de renovables en desarrollo</t>
  </si>
  <si>
    <t>Repsol se prepara para tomar el control de Hecate Energy Group. La petrolera negocia ya la compra del 60% restante de la empresa ....</t>
  </si>
  <si>
    <t>Repsol negotiates the purchase of 60% of Hecate Energy to acquire 40 GW of renewables under development</t>
  </si>
  <si>
    <t>Repsol is preparing to take control of Hecate Energy Group. The oil company is already negotiating the purchase of the remaining 60% of the company....</t>
  </si>
  <si>
    <t>Positive as it underscores Repsol’s commitment to renewable energy expansion.</t>
  </si>
  <si>
    <t>compra, renovables</t>
  </si>
  <si>
    <t>Positive renewable energy expansion</t>
  </si>
  <si>
    <r>
      <rPr>
        <rFont val="Arial, sans-serif"/>
        <color rgb="FF1155CC"/>
        <sz val="9.0"/>
        <u/>
      </rPr>
      <t>PR Noticias</t>
    </r>
    <r>
      <rPr>
        <rFont val="Arial, sans-serif"/>
        <color rgb="FF1155CC"/>
        <sz val="15.0"/>
        <u/>
      </rPr>
      <t>Inditex busca una imagen más sostenible de la mano de Repsol e Iberia</t>
    </r>
    <r>
      <rPr>
        <rFont val="Arial, sans-serif"/>
        <color rgb="FF1155CC"/>
        <sz val="11.0"/>
        <u/>
      </rPr>
      <t>Según ha comunicado la empresa de moda más popular de España este acuerdo permitiría reducir en un 80% las emisiones del transporte aéreo del grupo textil y...</t>
    </r>
    <r>
      <rPr>
        <rFont val="Arial, sans-serif"/>
        <color rgb="FF1155CC"/>
        <sz val="12.0"/>
        <u/>
      </rPr>
      <t>.</t>
    </r>
    <r>
      <rPr>
        <rFont val="Arial, sans-serif"/>
        <color rgb="FF1155CC"/>
        <sz val="11.0"/>
        <u/>
      </rPr>
      <t>24 jul 2024</t>
    </r>
  </si>
  <si>
    <t>PR Noticias</t>
  </si>
  <si>
    <t>Inditex busca una imagen más sostenible de la mano de Repsol e Iberia</t>
  </si>
  <si>
    <t>Según ha comunicado la empresa de moda más popular de España, este acuerdo permitiría reducir en un 80% las emisiones del transporte aéreo del grupo textil y....</t>
  </si>
  <si>
    <t>Inditex seeks a more sustainable image with Repsol and Iberia</t>
  </si>
  <si>
    <t>As reported by the most popular fashion company in Spain, this agreement would reduce the textile group's air transport emissions by 80% and...</t>
  </si>
  <si>
    <t>Positive as it highlights Repsol’s involvement in sustainability partnerships.</t>
  </si>
  <si>
    <t>imagen sostenible</t>
  </si>
  <si>
    <r>
      <rPr>
        <rFont val="Arial, sans-serif"/>
        <color rgb="FF1155CC"/>
        <sz val="9.0"/>
        <u/>
      </rPr>
      <t>Guía Repsol</t>
    </r>
    <r>
      <rPr>
        <rFont val="Arial, sans-serif"/>
        <color rgb="FF1155CC"/>
        <sz val="15.0"/>
        <u/>
      </rPr>
      <t>A qué terrazas ir en A Coruña</t>
    </r>
    <r>
      <rPr>
        <rFont val="Arial, sans-serif"/>
        <color rgb="FF1155CC"/>
        <sz val="11.0"/>
        <u/>
      </rPr>
      <t>Los cocineros Fernando Ríos ('Ríos') e Iván Domínguez ('NaDo') muestran a Guía Repsol sus lugares favoritos donde pasar el verano en la provincia de A...</t>
    </r>
    <r>
      <rPr>
        <rFont val="Arial, sans-serif"/>
        <color rgb="FF1155CC"/>
        <sz val="12.0"/>
        <u/>
      </rPr>
      <t>.</t>
    </r>
    <r>
      <rPr>
        <rFont val="Arial, sans-serif"/>
        <color rgb="FF1155CC"/>
        <sz val="11.0"/>
        <u/>
      </rPr>
      <t>24 jul 2024</t>
    </r>
  </si>
  <si>
    <t>A qué terrazas ir en A Coruña</t>
  </si>
  <si>
    <t>Los cocineros Fernando Ríos ('Ríos') e Iván Domínguez ('NaDo') muestran a Guía Repsol sus lugares favoritos donde pasar el verano en la provincia de A....</t>
  </si>
  <si>
    <t>Which terraces to go to in A Coruña</t>
  </si>
  <si>
    <t>Chefs Fernando Ríos ('Ríos') and Iván Domínguez ('NaDo') show the Repsol Guide their favorite places to spend the summer in the province of A....</t>
  </si>
  <si>
    <r>
      <rPr>
        <rFont val="Arial, sans-serif"/>
        <color rgb="FF1155CC"/>
        <sz val="9.0"/>
        <u/>
      </rPr>
      <t>Vozpópuli</t>
    </r>
    <r>
      <rPr>
        <rFont val="Arial, sans-serif"/>
        <color rgb="FF1155CC"/>
        <sz val="15.0"/>
        <u/>
      </rPr>
      <t>Repsol obtiene unas ganancias de 1.626 millones entre enero y junio, un 14,5% más</t>
    </r>
    <r>
      <rPr>
        <rFont val="Arial, sans-serif"/>
        <color rgb="FF1155CC"/>
        <sz val="11.0"/>
        <u/>
      </rPr>
      <t>El resultado neto ajustado, que mide específicamente la marcha de los negocios, cae un 21,8%, hasta los 2.126 millones.</t>
    </r>
    <r>
      <rPr>
        <rFont val="Arial, sans-serif"/>
        <color rgb="FF1155CC"/>
        <sz val="12.0"/>
        <u/>
      </rPr>
      <t>.</t>
    </r>
    <r>
      <rPr>
        <rFont val="Arial, sans-serif"/>
        <color rgb="FF1155CC"/>
        <sz val="11.0"/>
        <u/>
      </rPr>
      <t>24 jul 2024</t>
    </r>
  </si>
  <si>
    <t>Repsol obtiene unas ganancias de 1.626 millones entre enero y junio, un 14,5% más</t>
  </si>
  <si>
    <t>El resultado neto ajustado, que mide específicamente la marcha de los negocios, cae un 21,8%, hasta los 2.126 millones.</t>
  </si>
  <si>
    <t>Repsol obtains profits of 1,626 million between January and June, 14.5% more</t>
  </si>
  <si>
    <t>The adjusted net result, which specifically measures the progress of the businesses, fell 21.8%, to 2,126 million.</t>
  </si>
  <si>
    <t>Positive as it highlights profit growth despite a decline in adjusted net results.</t>
  </si>
  <si>
    <t>ganancias 1.626 millones</t>
  </si>
  <si>
    <r>
      <rPr>
        <rFont val="Arial, sans-serif"/>
        <color rgb="FF1155CC"/>
        <sz val="9.0"/>
        <u/>
      </rPr>
      <t>Cinco Días</t>
    </r>
    <r>
      <rPr>
        <rFont val="Arial, sans-serif"/>
        <color rgb="FF1155CC"/>
        <sz val="15.0"/>
        <u/>
      </rPr>
      <t>El BBVA se siente víctima de una “causa general” y discriminada con respecto a Repsol y CaixaBank en Villarejo</t>
    </r>
    <r>
      <rPr>
        <rFont val="Arial, sans-serif"/>
        <color rgb="FF1155CC"/>
        <sz val="11.0"/>
        <u/>
      </rPr>
      <t>El banco recurre ante la Sala de lo Penal de la Audiencia Nacional su procesamiento por la contratación del comisario jubilado y critica que la...</t>
    </r>
    <r>
      <rPr>
        <rFont val="Arial, sans-serif"/>
        <color rgb="FF1155CC"/>
        <sz val="12.0"/>
        <u/>
      </rPr>
      <t>.</t>
    </r>
    <r>
      <rPr>
        <rFont val="Arial, sans-serif"/>
        <color rgb="FF1155CC"/>
        <sz val="11.0"/>
        <u/>
      </rPr>
      <t>24 jul 2024</t>
    </r>
  </si>
  <si>
    <t>El BBVA se siente víctima de una “causa general” y discriminada con respecto a Repsol y CaixaBank en Villarejo</t>
  </si>
  <si>
    <t>El banco recurre ante la Sala de lo Penal de la Audiencia Nacional su procesamiento por la contratación del comisario jubilado y critica que la....</t>
  </si>
  <si>
    <t>BBVA feels victim of a “general cause” and discriminated against with respect to Repsol and CaixaBank in Villarejo</t>
  </si>
  <si>
    <t>The bank appeals to the Criminal Chamber of the National Court against its prosecution for the hiring of the retired commissioner and criticizes that the...</t>
  </si>
  <si>
    <r>
      <rPr>
        <rFont val="Arial, sans-serif"/>
        <color rgb="FF1155CC"/>
        <sz val="9.0"/>
        <u/>
      </rPr>
      <t>20Minutos</t>
    </r>
    <r>
      <rPr>
        <rFont val="Arial, sans-serif"/>
        <color rgb="FF1155CC"/>
        <sz val="15.0"/>
        <u/>
      </rPr>
      <t>El chiringuito preferido de los hermanos Torres está en esta playa de Girona</t>
    </r>
    <r>
      <rPr>
        <rFont val="Arial, sans-serif"/>
        <color rgb="FF1155CC"/>
        <sz val="11.0"/>
        <u/>
      </rPr>
      <t>Sergio y Javier tienen los tres Soles de la Guía Repsol y las estrellas Michelin por su restaurante Cocina Hermanos Torres. Ellos hablan de lo que más...</t>
    </r>
    <r>
      <rPr>
        <rFont val="Arial, sans-serif"/>
        <color rgb="FF1155CC"/>
        <sz val="12.0"/>
        <u/>
      </rPr>
      <t>.</t>
    </r>
    <r>
      <rPr>
        <rFont val="Arial, sans-serif"/>
        <color rgb="FF1155CC"/>
        <sz val="11.0"/>
        <u/>
      </rPr>
      <t>24 jul 2024</t>
    </r>
  </si>
  <si>
    <t>El chiringuito preferido de los hermanos Torres está en esta playa de Girona</t>
  </si>
  <si>
    <t>Sergio y Javier tienen los tres Soles de la Guía Repsol y las estrellas Michelin por su restaurante Cocina Hermanos Torres. Ellos hablan de lo que más....</t>
  </si>
  <si>
    <t>The Torres brothers' favorite beach bar is on this beach in Girona</t>
  </si>
  <si>
    <t>Sergio and Javier have three Suns from the Repsol Guide and Michelin stars for their restaurant Cocina Hermanos Torres. They talk about what most...</t>
  </si>
  <si>
    <r>
      <rPr>
        <rFont val="Arial, sans-serif"/>
        <color rgb="FF1155CC"/>
        <sz val="9.0"/>
        <u/>
      </rPr>
      <t>El Economista</t>
    </r>
    <r>
      <rPr>
        <rFont val="Arial, sans-serif"/>
        <color rgb="FF1155CC"/>
        <sz val="15.0"/>
        <u/>
      </rPr>
      <t>Repsol recomprará acciones tras mejorar sus resultados en el segundo trimestre</t>
    </r>
    <r>
      <rPr>
        <rFont val="Arial, sans-serif"/>
        <color rgb="FF1155CC"/>
        <sz val="11.0"/>
        <u/>
      </rPr>
      <t>Repsol anunció que recomprará otros 20 millones de acciones en circulación tras superar las expectativas de beneficio neto ajustado en el segundo trimestre,...</t>
    </r>
    <r>
      <rPr>
        <rFont val="Arial, sans-serif"/>
        <color rgb="FF1155CC"/>
        <sz val="12.0"/>
        <u/>
      </rPr>
      <t>.</t>
    </r>
    <r>
      <rPr>
        <rFont val="Arial, sans-serif"/>
        <color rgb="FF1155CC"/>
        <sz val="11.0"/>
        <u/>
      </rPr>
      <t>24 jul 2024</t>
    </r>
  </si>
  <si>
    <t>Repsol recomprará acciones tras mejorar sus resultados en el segundo trimestre</t>
  </si>
  <si>
    <t>Repsol anunció que recomprará otros 20 millones de acciones en circulación tras superar las expectativas de beneficio neto ajustado en el segundo trimestre,....</t>
  </si>
  <si>
    <t>Repsol will buy back shares after improving its results in the second quarter</t>
  </si>
  <si>
    <t>Repsol announced that it will buy back another 20 million outstanding shares after exceeding expectations for adjusted net profit in the second quarter,....</t>
  </si>
  <si>
    <t>Positive as it highlights financial strength and benefits for shareholders.</t>
  </si>
  <si>
    <t>recomprará acciones, mejorar resultados</t>
  </si>
  <si>
    <t>Positive financial action</t>
  </si>
  <si>
    <t>Acción financiera positiva</t>
  </si>
  <si>
    <r>
      <rPr>
        <rFont val="Arial, sans-serif"/>
        <color rgb="FF1155CC"/>
        <sz val="9.0"/>
        <u/>
      </rPr>
      <t>Motociclismo</t>
    </r>
    <r>
      <rPr>
        <rFont val="Arial, sans-serif"/>
        <color rgb="FF1155CC"/>
        <sz val="15.0"/>
        <u/>
      </rPr>
      <t>Joan Mir y Luca Marini pasean con dos Honda CBR por el próximo circuito de F1 en Madrid</t>
    </r>
    <r>
      <rPr>
        <rFont val="Arial, sans-serif"/>
        <color rgb="FF1155CC"/>
        <sz val="11.0"/>
        <u/>
      </rPr>
      <t>Los pilotos del Repsol Honda, Joan Mir y Luca Marini, se han dado una vuelta por el Ifema propulsados por combustible renovable.</t>
    </r>
    <r>
      <rPr>
        <rFont val="Arial, sans-serif"/>
        <color rgb="FF1155CC"/>
        <sz val="12.0"/>
        <u/>
      </rPr>
      <t>.</t>
    </r>
    <r>
      <rPr>
        <rFont val="Arial, sans-serif"/>
        <color rgb="FF1155CC"/>
        <sz val="11.0"/>
        <u/>
      </rPr>
      <t>24 jul 2024</t>
    </r>
  </si>
  <si>
    <t>Joan Mir y Luca Marini pasean con dos Honda CBR por el próximo circuito de F1 en Madrid</t>
  </si>
  <si>
    <t>Los pilotos del Repsol Honda, Joan Mir y Luca Marini, se han dado una vuelta por el Ifema propulsados por combustible renovable.</t>
  </si>
  <si>
    <t>Joan Mir and Luca Marini ride two Honda CBRs through the next F1 circuit in Madrid</t>
  </si>
  <si>
    <t>The Repsol Honda riders, Joan Mir and Luca Marini, have taken a ride around Ifema powered by renewable fuel.</t>
  </si>
  <si>
    <t>Positive as it links Repsol Honda with sustainability and motorsports.</t>
  </si>
  <si>
    <t>Neutral brand association</t>
  </si>
  <si>
    <t>Asociación de marca neutral</t>
  </si>
  <si>
    <r>
      <rPr>
        <rFont val="Arial, sans-serif"/>
        <color rgb="FF1155CC"/>
        <sz val="9.0"/>
        <u/>
      </rPr>
      <t>EFE - Agencia de noticias</t>
    </r>
    <r>
      <rPr>
        <rFont val="Arial, sans-serif"/>
        <color rgb="FF1155CC"/>
        <sz val="15.0"/>
        <u/>
      </rPr>
      <t>Las grandes energéticas españolas ganan un 30 % más hasta junio</t>
    </r>
    <r>
      <rPr>
        <rFont val="Arial, sans-serif"/>
        <color rgb="FF1155CC"/>
        <sz val="11.0"/>
        <u/>
      </rPr>
      <t>Las grandes energéticas españolas -Iberdrola, Naturgy, Endesa y Repsol- registraron un beneficio neto conjunto superior a los 7.600 millones.</t>
    </r>
    <r>
      <rPr>
        <rFont val="Arial, sans-serif"/>
        <color rgb="FF1155CC"/>
        <sz val="12.0"/>
        <u/>
      </rPr>
      <t>.</t>
    </r>
    <r>
      <rPr>
        <rFont val="Arial, sans-serif"/>
        <color rgb="FF1155CC"/>
        <sz val="11.0"/>
        <u/>
      </rPr>
      <t>24 jul 2024</t>
    </r>
  </si>
  <si>
    <t>Las grandes energéticas españolas ganan un 30 % más hasta junio</t>
  </si>
  <si>
    <t>Las grandes energéticas españolas -Iberdrola, Naturgy, Endesa y Repsol- registraron un beneficio neto conjunto superior a los 7.600 millones.</t>
  </si>
  <si>
    <t>Large Spanish energy companies earn 30% more until June</t>
  </si>
  <si>
    <t>The large Spanish energy companies -Iberdrola, Naturgy, Endesa and Repsol- recorded a joint net profit of more than 7.6 billion.</t>
  </si>
  <si>
    <t>Positive as it highlights strong financial performance in the energy sector.</t>
  </si>
  <si>
    <t>ganan 30% más</t>
  </si>
  <si>
    <r>
      <rPr>
        <rFont val="Arial, sans-serif"/>
        <color rgb="FF1155CC"/>
        <sz val="9.0"/>
        <u/>
      </rPr>
      <t>Vanitatis</t>
    </r>
    <r>
      <rPr>
        <rFont val="Arial, sans-serif"/>
        <color rgb="FF1155CC"/>
        <sz val="15.0"/>
        <u/>
      </rPr>
      <t>Rincón privado, menú de dos soles Repsol y oasis de famosos: la cita en Madrid de Escassi e Hiba Abouk desvelada en 'Espejo público'</t>
    </r>
    <r>
      <rPr>
        <rFont val="Arial, sans-serif"/>
        <color rgb="FF1155CC"/>
        <sz val="11.0"/>
        <u/>
      </rPr>
      <t>Álvaro Muñoz Escassi e Hiba Abouk han sido pillados juntos de nuevo. Esta vez, en un restaurante italiano en Madrid.</t>
    </r>
    <r>
      <rPr>
        <rFont val="Arial, sans-serif"/>
        <color rgb="FF1155CC"/>
        <sz val="12.0"/>
        <u/>
      </rPr>
      <t>.</t>
    </r>
    <r>
      <rPr>
        <rFont val="Arial, sans-serif"/>
        <color rgb="FF1155CC"/>
        <sz val="11.0"/>
        <u/>
      </rPr>
      <t>24 jul 2024</t>
    </r>
  </si>
  <si>
    <t>Rincón privado, menú de dos soles Repsol y oasis de famosos: la cita en Madrid de Escassi e Hiba Abouk desvelada en 'Espejo público'</t>
  </si>
  <si>
    <t>Álvaro Muñoz Escassi e Hiba Abouk han sido pillados juntos de nuevo. Esta vez, en un restaurante italiano en Madrid.</t>
  </si>
  <si>
    <t>Private corner, two Repsol sun menu and celebrity oasis: Escassi and Hiba Abouk's date in Madrid revealed in 'Public Mirror'</t>
  </si>
  <si>
    <t>Álvaro Muñoz Escassi and Hiba Abouk have been caught together again. This time, in an Italian restaurant in Madrid.</t>
  </si>
  <si>
    <r>
      <rPr>
        <rFont val="Arial, sans-serif"/>
        <color rgb="FF1155CC"/>
        <sz val="9.0"/>
        <u/>
      </rPr>
      <t>Gestión</t>
    </r>
    <r>
      <rPr>
        <rFont val="Arial, sans-serif"/>
        <color rgb="FF1155CC"/>
        <sz val="15.0"/>
        <u/>
      </rPr>
      <t>Beneficio de española Repsol sube 14.5% hasta junio mientras busca crecer en EE.UU.</t>
    </r>
    <r>
      <rPr>
        <rFont val="Arial, sans-serif"/>
        <color rgb="FF1155CC"/>
        <sz val="11.0"/>
        <u/>
      </rPr>
      <t>La energética española Repsol negocia ampliar su participación en Hecaty Energy en el marco de su estrategia para aumentar su presencia en el sector de...</t>
    </r>
    <r>
      <rPr>
        <rFont val="Arial, sans-serif"/>
        <color rgb="FF1155CC"/>
        <sz val="12.0"/>
        <u/>
      </rPr>
      <t>.</t>
    </r>
    <r>
      <rPr>
        <rFont val="Arial, sans-serif"/>
        <color rgb="FF1155CC"/>
        <sz val="11.0"/>
        <u/>
      </rPr>
      <t>24 jul 2024</t>
    </r>
  </si>
  <si>
    <t>Beneficio de española Repsol sube 14.5% hasta junio mientras busca crecer en EE.UU.</t>
  </si>
  <si>
    <t>La energética española Repsol negocia ampliar su participación en Hecaty Energy en el marco de su estrategia para aumentar su presencia en el sector de....</t>
  </si>
  <si>
    <t>Spanish Repsol's profit rises 14.5% through June as it seeks to grow in the US</t>
  </si>
  <si>
    <t>The Spanish energy company Repsol is negotiating to expand its participation in Hecaty Energy within the framework of its strategy to increase its presence in the...</t>
  </si>
  <si>
    <t>Positive as it highlights financial growth and expansion plans.</t>
  </si>
  <si>
    <t>beneficio sube 14.5%</t>
  </si>
  <si>
    <t>Positive financial growth</t>
  </si>
  <si>
    <t>Crecimiento financiero positivo</t>
  </si>
  <si>
    <r>
      <rPr>
        <rFont val="Arial, sans-serif"/>
        <color rgb="FF1155CC"/>
        <sz val="9.0"/>
        <u/>
      </rPr>
      <t>Estrategias de Inversión</t>
    </r>
    <r>
      <rPr>
        <rFont val="Arial, sans-serif"/>
        <color rgb="FF1155CC"/>
        <sz val="15.0"/>
        <u/>
      </rPr>
      <t>La petrolera Repsol decepciona a los inversores, miedo al petróleo y denuncia de los ecologistas</t>
    </r>
    <r>
      <rPr>
        <rFont val="Arial, sans-serif"/>
        <color rgb="FF1155CC"/>
        <sz val="11.0"/>
        <u/>
      </rPr>
      <t>Tras la presentación de resultados, la petrolera Repsol sigue presentando miedo ante la potencial caída del precio del crudo. Si vemos los últimos 3 meses...</t>
    </r>
    <r>
      <rPr>
        <rFont val="Arial, sans-serif"/>
        <color rgb="FF1155CC"/>
        <sz val="12.0"/>
        <u/>
      </rPr>
      <t>.</t>
    </r>
    <r>
      <rPr>
        <rFont val="Arial, sans-serif"/>
        <color rgb="FF1155CC"/>
        <sz val="11.0"/>
        <u/>
      </rPr>
      <t>25 jul 2024</t>
    </r>
  </si>
  <si>
    <t>La petrolera Repsol decepciona a los inversores, miedo al petróleo y denuncia de los ecologistas</t>
  </si>
  <si>
    <t>La petrolera Repsol sigue presentando miedo ante la potencial caída del precio del crudo. Si vemos los últimos 3 meses...</t>
  </si>
  <si>
    <t>The oil company Repsol disappoints investors, fear of oil and complaints from environmentalists</t>
  </si>
  <si>
    <t>The oil company Repsol continues to show fear about the potential fall in the price of crude oil. If we look at the last 3 months...</t>
  </si>
  <si>
    <t>Slightly negative as it mentions investor concerns and environmental criticisms.</t>
  </si>
  <si>
    <t>decepciona, denuncia ecologistas</t>
  </si>
  <si>
    <t>Negative investor sentiment and criticism</t>
  </si>
  <si>
    <t>Sentimiento negativo y críticas de los inversores</t>
  </si>
  <si>
    <r>
      <rPr>
        <rFont val="Arial, sans-serif"/>
        <color rgb="FF1155CC"/>
        <sz val="9.0"/>
        <u/>
      </rPr>
      <t>Ayuntamiento de Cartagena</t>
    </r>
    <r>
      <rPr>
        <rFont val="Arial, sans-serif"/>
        <color rgb="FF1155CC"/>
        <sz val="15.0"/>
        <u/>
      </rPr>
      <t>Unas diez mil personas disfrutaron del Día Repsol en La Mar de Músicas</t>
    </r>
    <r>
      <rPr>
        <rFont val="Arial, sans-serif"/>
        <color rgb="FF1155CC"/>
        <sz val="11.0"/>
        <u/>
      </rPr>
      <t>El concierto de Marina Satti concentró a más de dos mil personas en la plaza del Ayuntamiento y unas siete mil disfrutaron de Ralphie Choo y Rusowsky.</t>
    </r>
    <r>
      <rPr>
        <rFont val="Arial, sans-serif"/>
        <color rgb="FF1155CC"/>
        <sz val="12.0"/>
        <u/>
      </rPr>
      <t>.</t>
    </r>
    <r>
      <rPr>
        <rFont val="Arial, sans-serif"/>
        <color rgb="FF1155CC"/>
        <sz val="11.0"/>
        <u/>
      </rPr>
      <t>25 jul 2024</t>
    </r>
  </si>
  <si>
    <t>Unas diez mil personas disfrutaron del Día Repsol en La Mar de Músicas</t>
  </si>
  <si>
    <t>Unas diez mil personas disfrutaron del Día Repsol en La Mar de Músicas. El concierto de Marina Satti concentró a más de dos mil personas en la plaza del Ayuntamiento y unas siete mil disfrutaron de Ralphie Choo y Rusowsky.</t>
  </si>
  <si>
    <t>About ten thousand people enjoyed Repsol Day at La Mar de Músicas</t>
  </si>
  <si>
    <t>About ten thousand people enjoyed Repsol Day at La Mar de Músicas. Marina Satti's concert brought together more than two thousand people in the Town Hall square and about seven thousand enjoyed Ralphie Choo and Rusowsky.</t>
  </si>
  <si>
    <r>
      <rPr>
        <rFont val="Arial, sans-serif"/>
        <color rgb="FF1155CC"/>
        <sz val="9.0"/>
        <u/>
      </rPr>
      <t>Energías Renovables, el periodismo de las energías limpias.</t>
    </r>
    <r>
      <rPr>
        <rFont val="Arial, sans-serif"/>
        <color rgb="FF1155CC"/>
        <sz val="15.0"/>
        <u/>
      </rPr>
      <t>El gas natural de España, el más sucio del mundo</t>
    </r>
    <r>
      <rPr>
        <rFont val="Arial, sans-serif"/>
        <color rgb="FF1155CC"/>
        <sz val="11.0"/>
        <u/>
      </rPr>
      <t>Dato 1: las tres naciones que más gas natural han vendido a España en el último año son Argelia, Rusia y Estados Unidos, por ese orden.</t>
    </r>
    <r>
      <rPr>
        <rFont val="Arial, sans-serif"/>
        <color rgb="FF1155CC"/>
        <sz val="12.0"/>
        <u/>
      </rPr>
      <t>.</t>
    </r>
    <r>
      <rPr>
        <rFont val="Arial, sans-serif"/>
        <color rgb="FF1155CC"/>
        <sz val="11.0"/>
        <u/>
      </rPr>
      <t>25 jul 2024</t>
    </r>
  </si>
  <si>
    <t>El gas natural de España, el más sucio del mundo</t>
  </si>
  <si>
    <t>El gas natural de España, el más sucio del mundo. Dato 1: las tres naciones que más gas natural han vendido a España en el último año son Argelia, Rusia y Estados Unidos, por ese orden.</t>
  </si>
  <si>
    <t>Spain's natural gas, the dirtiest in the world</t>
  </si>
  <si>
    <t>Spain's natural gas, the dirtiest in the world. Fact 1: the three nations that have sold the most natural gas to Spain in the last year are Algeria, Russia and the United States, in that order.</t>
  </si>
  <si>
    <t>Neutral as it provides an environmental assessment without direct sentiment on Repsol.</t>
  </si>
  <si>
    <r>
      <rPr>
        <rFont val="Arial, sans-serif"/>
        <color rgb="FF1155CC"/>
        <sz val="9.0"/>
        <u/>
      </rPr>
      <t>Vegabajadigital</t>
    </r>
    <r>
      <rPr>
        <rFont val="Arial, sans-serif"/>
        <color rgb="FF1155CC"/>
        <sz val="15.0"/>
        <u/>
      </rPr>
      <t>Tu coche limpio cada día por 7'95€ al mes es posible en la estación del Polígono Industrial Puente Alto de Orihuela</t>
    </r>
    <r>
      <rPr>
        <rFont val="Arial, sans-serif"/>
        <color rgb="FF1155CC"/>
        <sz val="11.0"/>
        <u/>
      </rPr>
      <t>La estación de Repsol ubicada en el Polígono Industrial Puente Alto de Orihuela ha introducido un revolucionario servicio de suscripción para el lavado de...</t>
    </r>
    <r>
      <rPr>
        <rFont val="Arial, sans-serif"/>
        <color rgb="FF1155CC"/>
        <sz val="12.0"/>
        <u/>
      </rPr>
      <t>.</t>
    </r>
    <r>
      <rPr>
        <rFont val="Arial, sans-serif"/>
        <color rgb="FF1155CC"/>
        <sz val="11.0"/>
        <u/>
      </rPr>
      <t>25 jul 2024</t>
    </r>
  </si>
  <si>
    <t>Vegabajadigital</t>
  </si>
  <si>
    <t>Tu coche limpio cada día por 7'95€ al mes es posible en la estación del Polígono Industrial Puente Alto de Orihuela</t>
  </si>
  <si>
    <t>Tu coche limpio cada día por 7'95€ al mes es posible en la estación del Polígono Industrial Puente Alto de Orihuela.</t>
  </si>
  <si>
    <t>Your car clean every day for €7.95 per month is possible at the Puente Alto Industrial Park station in Orihuela</t>
  </si>
  <si>
    <t>Your car cleaned every day for €7.95 per month is possible at the Puente Alto Industrial Park station in Orihuela.</t>
  </si>
  <si>
    <r>
      <rPr>
        <rFont val="Arial, sans-serif"/>
        <color rgb="FF1155CC"/>
        <sz val="9.0"/>
        <u/>
      </rPr>
      <t>Expansión</t>
    </r>
    <r>
      <rPr>
        <rFont val="Arial, sans-serif"/>
        <color rgb="FF1155CC"/>
        <sz val="15.0"/>
        <u/>
      </rPr>
      <t>El rey del dividendo del Ibex que más gusta y puede escalar un 35%</t>
    </r>
    <r>
      <rPr>
        <rFont val="Arial, sans-serif"/>
        <color rgb="FF1155CC"/>
        <sz val="11.0"/>
        <u/>
      </rPr>
      <t>El Ibex se corona como el índice más generoso con sus accionistas en 2024. El selectivo español cuenta con una rentabilidad por dividendo del 4,18%,...</t>
    </r>
    <r>
      <rPr>
        <rFont val="Arial, sans-serif"/>
        <color rgb="FF1155CC"/>
        <sz val="12.0"/>
        <u/>
      </rPr>
      <t>.</t>
    </r>
    <r>
      <rPr>
        <rFont val="Arial, sans-serif"/>
        <color rgb="FF1155CC"/>
        <sz val="11.0"/>
        <u/>
      </rPr>
      <t>25 jul 2024</t>
    </r>
  </si>
  <si>
    <t>El rey del dividendo del Ibex que más gusta y puede escalar un 35%</t>
  </si>
  <si>
    <t>El Ibex se corona como el índice más generoso con sus accionistas en 2024. El selectivo español cuenta con una rentabilidad por dividendo del 4,18%,....</t>
  </si>
  <si>
    <t>The king of the Ibex dividend that is most liked and can climb 35%</t>
  </si>
  <si>
    <t>The Ibex is crowned the most generous index with its shareholders in 2024. The Spanish selective has a dividend yield of 4.18%,...</t>
  </si>
  <si>
    <r>
      <rPr>
        <rFont val="Arial, sans-serif"/>
        <color rgb="FF1155CC"/>
        <sz val="9.0"/>
        <u/>
      </rPr>
      <t>El Economista</t>
    </r>
    <r>
      <rPr>
        <rFont val="Arial, sans-serif"/>
        <color rgb="FF1155CC"/>
        <sz val="15.0"/>
        <u/>
      </rPr>
      <t>Las energéticas pierden ingresos por 2.200 millones y dejan en vía muerta el impuestazo</t>
    </r>
    <r>
      <rPr>
        <rFont val="Arial, sans-serif"/>
        <color rgb="FF1155CC"/>
        <sz val="11.0"/>
        <u/>
      </rPr>
      <t>El gravamen a los ingresos de las energéticas tiene los días contados. Según los datos aportados esta semana por las empresas, Naturgy, Endesa e Iberdrola...</t>
    </r>
    <r>
      <rPr>
        <rFont val="Arial, sans-serif"/>
        <color rgb="FF1155CC"/>
        <sz val="12.0"/>
        <u/>
      </rPr>
      <t>.</t>
    </r>
    <r>
      <rPr>
        <rFont val="Arial, sans-serif"/>
        <color rgb="FF1155CC"/>
        <sz val="11.0"/>
        <u/>
      </rPr>
      <t>25 jul 2024</t>
    </r>
  </si>
  <si>
    <t>Las energéticas pierden ingresos por 2.200 millones y dejan en vía muerta el impuestazo</t>
  </si>
  <si>
    <t>El gravamen a los ingresos de las energéticas tiene los días contados. Según los datos aportados esta semana por las empresas, Naturgy, Endesa e Iberdrola....</t>
  </si>
  <si>
    <t>Energy companies lose income of 2.2 billion and leave the tax on hold</t>
  </si>
  <si>
    <t>The tax on energy company income has its days numbered. According to the data provided this week by the companies, Naturgy, Endesa and Iberdrola....</t>
  </si>
  <si>
    <t>Repsol energy market, regulatory challenges</t>
  </si>
  <si>
    <t>Mercado energético de Repsol, retos regulatorios</t>
  </si>
  <si>
    <t>Slightly negative as it mentions a potential loss of income for energy companies.</t>
  </si>
  <si>
    <r>
      <rPr>
        <rFont val="Arial, sans-serif"/>
        <color rgb="FF1155CC"/>
        <sz val="9.0"/>
        <u/>
      </rPr>
      <t>EL PAÍS</t>
    </r>
    <r>
      <rPr>
        <rFont val="Arial, sans-serif"/>
        <color rgb="FF1155CC"/>
        <sz val="15.0"/>
        <u/>
      </rPr>
      <t>Francisco Monaldi: “El actual pragmatismo económico de Maduro se debe al ciclo electoral y no es viable”</t>
    </r>
    <r>
      <rPr>
        <rFont val="Arial, sans-serif"/>
        <color rgb="FF1155CC"/>
        <sz val="11.0"/>
        <u/>
      </rPr>
      <t>Chevron y Repsol lograron licencias para producir petróleo en el país latinoamericano, pero sin un cambio en el Gobierno venezolano un mayor desarrollo del...</t>
    </r>
    <r>
      <rPr>
        <rFont val="Arial, sans-serif"/>
        <color rgb="FF1155CC"/>
        <sz val="12.0"/>
        <u/>
      </rPr>
      <t>.</t>
    </r>
    <r>
      <rPr>
        <rFont val="Arial, sans-serif"/>
        <color rgb="FF1155CC"/>
        <sz val="11.0"/>
        <u/>
      </rPr>
      <t>25 jul 2024</t>
    </r>
  </si>
  <si>
    <t>Francisco Monaldi: “El actual pragmatismo económico de Maduro se debe al ciclo electoral y no es viable”</t>
  </si>
  <si>
    <t>“El actual pragmatismo económico de Maduro se debe al ciclo electoral y no es viable” Chevron y Repsol lograron licencias para producir petróleo en el país latinoamericano, pero sin un cambio en el Gobierno venezolano un mayor desarrollo del....</t>
  </si>
  <si>
    <t>Francisco Monaldi: “Maduro's current economic pragmatism is due to the electoral cycle and is not viable”</t>
  </si>
  <si>
    <t>“Maduro's current economic pragmatism is due to the electoral cycle and is not viable” Chevron and Repsol obtained licenses to produce oil in the Latin American country, but without a change in the Venezuelan Government, greater development of the...</t>
  </si>
  <si>
    <t>Neutral as it discusses political-economic dynamics without direct sentiment on Repsol.</t>
  </si>
  <si>
    <r>
      <rPr>
        <rFont val="Arial, sans-serif"/>
        <color rgb="FF1155CC"/>
        <sz val="9.0"/>
        <u/>
      </rPr>
      <t>Marca.com</t>
    </r>
    <r>
      <rPr>
        <rFont val="Arial, sans-serif"/>
        <color rgb="FF1155CC"/>
        <sz val="15.0"/>
        <u/>
      </rPr>
      <t>Primeras vueltas en MotoGP por el futuro circuito de Madrid de F1</t>
    </r>
    <r>
      <rPr>
        <rFont val="Arial, sans-serif"/>
        <color rgb="FF1155CC"/>
        <sz val="11.0"/>
        <u/>
      </rPr>
      <t>Los pilotos del Repsol Honda han dado unas vueltas por el futuro trazado de la capital española con combustible renovable.</t>
    </r>
    <r>
      <rPr>
        <rFont val="Arial, sans-serif"/>
        <color rgb="FF1155CC"/>
        <sz val="12.0"/>
        <u/>
      </rPr>
      <t>.</t>
    </r>
    <r>
      <rPr>
        <rFont val="Arial, sans-serif"/>
        <color rgb="FF1155CC"/>
        <sz val="11.0"/>
        <u/>
      </rPr>
      <t>25 jul 2024</t>
    </r>
  </si>
  <si>
    <t>Primeras vueltas en MotoGP por el futuro circuito de Madrid de F1</t>
  </si>
  <si>
    <t>Los pilotos del Repsol Honda han dado unas vueltas por el futuro trazado de la capital española con combustible renovable.</t>
  </si>
  <si>
    <t>First laps in MotoGP around the future Madrid F1 circuit</t>
  </si>
  <si>
    <t>The Repsol Honda riders took a few laps around the future route of the Spanish capital with renewable fuel.</t>
  </si>
  <si>
    <t>Positive as it promotes Repsol’s involvement in motorsports and renewable fuels.</t>
  </si>
  <si>
    <r>
      <rPr>
        <rFont val="Arial, sans-serif"/>
        <color rgb="FF1155CC"/>
        <sz val="9.0"/>
        <u/>
      </rPr>
      <t>DF SUD</t>
    </r>
    <r>
      <rPr>
        <rFont val="Arial, sans-serif"/>
        <color rgb="FF1155CC"/>
        <sz val="15.0"/>
        <u/>
      </rPr>
      <t>Industria petrolera venezolana se recupera junto a privados, pero sin certezas de una mejora sostenida</t>
    </r>
    <r>
      <rPr>
        <rFont val="Arial, sans-serif"/>
        <color rgb="FF1155CC"/>
        <sz val="11.0"/>
        <u/>
      </rPr>
      <t>Chevron, Repsol, BP y NGC se cuentan entre las firmas con renovado interés en el país caribeño. Sin embargo, analistas plantean que, sin cambios...</t>
    </r>
    <r>
      <rPr>
        <rFont val="Arial, sans-serif"/>
        <color rgb="FF1155CC"/>
        <sz val="12.0"/>
        <u/>
      </rPr>
      <t>.</t>
    </r>
    <r>
      <rPr>
        <rFont val="Arial, sans-serif"/>
        <color rgb="FF1155CC"/>
        <sz val="11.0"/>
        <u/>
      </rPr>
      <t>25 jul 2024</t>
    </r>
  </si>
  <si>
    <t>DF SUD</t>
  </si>
  <si>
    <t>Industria petrolera venezolana se recupera junto a privados, pero sin certezas de una mejora sostenida</t>
  </si>
  <si>
    <t>Industria petrolera venezolana se recupera junto a privados, pero sin certezas de una mejora sostenida. Chevron, Repsol, BP y NGC se cuentan entre las firmas con renovado interés en el país caribeño. Sin embargo, analistas plantean que, sin cambios....</t>
  </si>
  <si>
    <t>Venezuelan oil industry recovers alongside private companies, but without certainty of sustained improvement</t>
  </si>
  <si>
    <t>Venezuelan oil industry is recovering along with private companies, but without certainty of sustained improvement. Chevron, Repsol, BP and NGC are among the firms with renewed interest in the Caribbean country. However, analysts suggest that, without changes...</t>
  </si>
  <si>
    <t>Repsol energy market, global expansion</t>
  </si>
  <si>
    <t>Mercado energético de Repsol, expansión global</t>
  </si>
  <si>
    <t>Positive as it mentions Repsol’s involvement in Venezuela’s oil recovery.</t>
  </si>
  <si>
    <r>
      <rPr>
        <rFont val="Arial, sans-serif"/>
        <color rgb="FF1155CC"/>
        <sz val="9.0"/>
        <u/>
      </rPr>
      <t>El Economista</t>
    </r>
    <r>
      <rPr>
        <rFont val="Arial, sans-serif"/>
        <color rgb="FF1155CC"/>
        <sz val="15.0"/>
        <u/>
      </rPr>
      <t>Sabor tradicional, toque moderno: la fórmula de los Padrón para revolucionar la cocina canaria</t>
    </r>
    <r>
      <rPr>
        <rFont val="Arial, sans-serif"/>
        <color rgb="FF1155CC"/>
        <sz val="11.0"/>
        <u/>
      </rPr>
      <t>Poemas by Hermanos Padrón, en el Royal Hideaway Hotel de las Palmas de Gran Canaria, está liderado por los prestigiosos Hermanos Padrón, ...</t>
    </r>
    <r>
      <rPr>
        <rFont val="Arial, sans-serif"/>
        <color rgb="FF1155CC"/>
        <sz val="12.0"/>
        <u/>
      </rPr>
      <t>.</t>
    </r>
    <r>
      <rPr>
        <rFont val="Arial, sans-serif"/>
        <color rgb="FF1155CC"/>
        <sz val="11.0"/>
        <u/>
      </rPr>
      <t>25 jul 2024</t>
    </r>
  </si>
  <si>
    <t>Sabor tradicional, toque moderno: la fórmula de los Padrón para revolucionar la cocina canaria</t>
  </si>
  <si>
    <t>Poemas by Hermanos Padrón, en el Royal Hideaway Hotel de las Palmas de Gran Canaria, está liderado por los prestigiosos Hermanos Padrón, ....</t>
  </si>
  <si>
    <t>Traditional flavor, modern touch: the Padrón formula to revolutionize Canarian cuisine</t>
  </si>
  <si>
    <t>Poems by Hermanos Padrón, at the Royal Hideaway Hotel in Las Palmas de Gran Canaria, is led by the prestigious Padrón Brothers, ....</t>
  </si>
  <si>
    <r>
      <rPr>
        <rFont val="Arial, sans-serif"/>
        <color rgb="FF1155CC"/>
        <sz val="9.0"/>
        <u/>
      </rPr>
      <t>Simply Wall Street</t>
    </r>
    <r>
      <rPr>
        <rFont val="Arial, sans-serif"/>
        <color rgb="FF1155CC"/>
        <sz val="15.0"/>
        <u/>
      </rPr>
      <t>Resultados Repsol Segundo Trimestre 2024: BPA: 0,54 euros (frente a 0,24 euros en el segundo trimestre de 2023)</t>
    </r>
    <r>
      <rPr>
        <rFont val="Arial, sans-serif"/>
        <color rgb="FF1155CC"/>
        <sz val="11.0"/>
        <u/>
      </rPr>
      <t>Repsol ( BME:REP ) Resultados Segundo Trimestre 2024 Principales Resultados Financieros Ingresos: 14.700 millones de euros (+13% respecto al 2T 2023).</t>
    </r>
    <r>
      <rPr>
        <rFont val="Arial, sans-serif"/>
        <color rgb="FF1155CC"/>
        <sz val="12.0"/>
        <u/>
      </rPr>
      <t>.</t>
    </r>
    <r>
      <rPr>
        <rFont val="Arial, sans-serif"/>
        <color rgb="FF1155CC"/>
        <sz val="11.0"/>
        <u/>
      </rPr>
      <t>26 jul 2024</t>
    </r>
  </si>
  <si>
    <t>Simply Wall Street</t>
  </si>
  <si>
    <t>Resultados Repsol Segundo Trimestre 2024: BPA: 0,54 euros (frente a 0,24 euros en el segundo trimestre de 2023)</t>
  </si>
  <si>
    <t>Resultados Segundo Trimestre 2024 Principales Resultados Financieros Ingresos: 14.700 millones de euros (+13% respecto al 2T 2023)</t>
  </si>
  <si>
    <t>Repsol Second Quarter 2024 Results: EPS: 0.54 euros (compared to 0.24 euros in the second quarter of 2023)</t>
  </si>
  <si>
    <t>Second Quarter Results 2024 Main Financial Results Revenue: 14.7 billion euros (+13% compared to 2Q 2023)</t>
  </si>
  <si>
    <t>Positive as it highlights strong financial growth in earnings per share.</t>
  </si>
  <si>
    <t>BPA 0,54 euros</t>
  </si>
  <si>
    <r>
      <rPr>
        <rFont val="Arial, sans-serif"/>
        <color rgb="FF1155CC"/>
        <sz val="9.0"/>
        <u/>
      </rPr>
      <t>Aviación 21</t>
    </r>
    <r>
      <rPr>
        <rFont val="Arial, sans-serif"/>
        <color rgb="FF1155CC"/>
        <sz val="15.0"/>
        <u/>
      </rPr>
      <t>Se asocian Iberia y Inditex para comprar SAF de Repsol</t>
    </r>
    <r>
      <rPr>
        <rFont val="Arial, sans-serif"/>
        <color rgb="FF1155CC"/>
        <sz val="11.0"/>
        <u/>
      </rPr>
      <t>Repsol e Iberi.</t>
    </r>
    <r>
      <rPr>
        <rFont val="Arial, sans-serif"/>
        <color rgb="FF1155CC"/>
        <sz val="12.0"/>
        <u/>
      </rPr>
      <t>.</t>
    </r>
    <r>
      <rPr>
        <rFont val="Arial, sans-serif"/>
        <color rgb="FF1155CC"/>
        <sz val="11.0"/>
        <u/>
      </rPr>
      <t>26 jul 2024</t>
    </r>
  </si>
  <si>
    <t>Aviación 21</t>
  </si>
  <si>
    <t>Se asocian Iberia y Inditex para comprar SAF de Repsol</t>
  </si>
  <si>
    <t>Repsol e Iberia se asocian para adquirir combustibles sostenibles de aviación (SAF) en un esfuerzo por reducir las emisiones de carbono en el sector aéreo.</t>
  </si>
  <si>
    <t>Iberia and Inditex join forces to buy SAF from Repsol</t>
  </si>
  <si>
    <t>Repsol and Iberia partner to purchase sustainable aviation fuels (SAF) in an effort to reduce carbon emissions in the aviation sector.</t>
  </si>
  <si>
    <t>Positive as it reinforces Repsol’s sustainability initiatives in aviation.</t>
  </si>
  <si>
    <t>SAF, Repsol</t>
  </si>
  <si>
    <t>Positive sustainable fuel partnership</t>
  </si>
  <si>
    <t>Asociación positiva para el combustible sostenible</t>
  </si>
  <si>
    <r>
      <rPr>
        <rFont val="Arial, sans-serif"/>
        <color rgb="FF1155CC"/>
        <sz val="9.0"/>
        <u/>
      </rPr>
      <t>Bolsamania</t>
    </r>
    <r>
      <rPr>
        <rFont val="Arial, sans-serif"/>
        <color rgb="FF1155CC"/>
        <sz val="15.0"/>
        <u/>
      </rPr>
      <t>¿Por qué RBC confía menos en Repsol tras conocer sus resultados hasta junio?</t>
    </r>
    <r>
      <rPr>
        <rFont val="Arial, sans-serif"/>
        <color rgb="FF1155CC"/>
        <sz val="11.0"/>
        <u/>
      </rPr>
      <t>Royal Bank of Canada (RBC) ha recortado su recomendación y su precio objetivo de Repsol tras los resultados que la compañía anunció este pasado miércoles,...</t>
    </r>
    <r>
      <rPr>
        <rFont val="Arial, sans-serif"/>
        <color rgb="FF1155CC"/>
        <sz val="12.0"/>
        <u/>
      </rPr>
      <t>.</t>
    </r>
    <r>
      <rPr>
        <rFont val="Arial, sans-serif"/>
        <color rgb="FF1155CC"/>
        <sz val="11.0"/>
        <u/>
      </rPr>
      <t>26 jul 2024</t>
    </r>
  </si>
  <si>
    <t>¿Por qué RBC confía menos en Repsol tras conocer sus resultados hasta junio?</t>
  </si>
  <si>
    <t>Royal Bank of Canada (RBC) ha recortado su recomendación y su precio objetivo de Repsol tras los resultados que la compañía anunció este pasado miércoles,...</t>
  </si>
  <si>
    <t>Why does RBC trust Repsol less after knowing its results until June?</t>
  </si>
  <si>
    <t>Royal Bank of Canada (RBC) has cut its recommendation and target price on Repsol following the results that the company announced this past Wednesday,...</t>
  </si>
  <si>
    <t>Repsol stock market, investment outlook</t>
  </si>
  <si>
    <t>Bolsa Repsol, perspectivas de inversión</t>
  </si>
  <si>
    <t>Slightly negative as it indicates a downgrade in confidence from a major financial institution.</t>
  </si>
  <si>
    <t>confía menos</t>
  </si>
  <si>
    <t>Negative analyst sentiment</t>
  </si>
  <si>
    <t>Sentimiento negativo de los analistas</t>
  </si>
  <si>
    <r>
      <rPr>
        <rFont val="Arial, sans-serif"/>
        <color rgb="FF1155CC"/>
        <sz val="9.0"/>
        <u/>
      </rPr>
      <t>Guía Repsol</t>
    </r>
    <r>
      <rPr>
        <rFont val="Arial, sans-serif"/>
        <color rgb="FF1155CC"/>
        <sz val="15.0"/>
        <u/>
      </rPr>
      <t>Una perdiz en escabeche de 10</t>
    </r>
    <r>
      <rPr>
        <rFont val="Arial, sans-serif"/>
        <color rgb="FF1155CC"/>
        <sz val="11.0"/>
        <u/>
      </rPr>
      <t>'Matias' es el mejor restaurante de las Lagunas de Ruidera. Sus perdices salvajes en escabeche, el cabrito al horno, los galianos, las migas,...</t>
    </r>
    <r>
      <rPr>
        <rFont val="Arial, sans-serif"/>
        <color rgb="FF1155CC"/>
        <sz val="12.0"/>
        <u/>
      </rPr>
      <t>.</t>
    </r>
    <r>
      <rPr>
        <rFont val="Arial, sans-serif"/>
        <color rgb="FF1155CC"/>
        <sz val="11.0"/>
        <u/>
      </rPr>
      <t>26 jul 2024</t>
    </r>
  </si>
  <si>
    <t>Matias' es el mejor restaurante de las Lagunas de Ruidera.</t>
  </si>
  <si>
    <t>Sus perdices salvajes en escabeche, el cabrito al horno, los galianos, las migas,...</t>
  </si>
  <si>
    <t>Matias' is the best restaurant in Lagunas de Ruidera.</t>
  </si>
  <si>
    <t>Their pickled wild partridges, baked goat, galianos, migas,...</t>
  </si>
  <si>
    <r>
      <rPr>
        <rFont val="Arial, sans-serif"/>
        <color rgb="FF1155CC"/>
        <sz val="9.0"/>
        <u/>
      </rPr>
      <t>Infobae</t>
    </r>
    <r>
      <rPr>
        <rFont val="Arial, sans-serif"/>
        <color rgb="FF1155CC"/>
        <sz val="15.0"/>
        <u/>
      </rPr>
      <t>El restaurante con estrella Michelin de un pueblo de Lleida donde cocinan mano a mano una madre y su hijo</t>
    </r>
    <r>
      <rPr>
        <rFont val="Arial, sans-serif"/>
        <color rgb="FF1155CC"/>
        <sz val="11.0"/>
        <u/>
      </rPr>
      <t>Zaraida Cotonat y Josep Rodríguez abrieron hace treinta años el restaurante con una hija de 7 años y un hijo de 1.</t>
    </r>
    <r>
      <rPr>
        <rFont val="Arial, sans-serif"/>
        <color rgb="FF1155CC"/>
        <sz val="12.0"/>
        <u/>
      </rPr>
      <t>.</t>
    </r>
    <r>
      <rPr>
        <rFont val="Arial, sans-serif"/>
        <color rgb="FF1155CC"/>
        <sz val="11.0"/>
        <u/>
      </rPr>
      <t>26 jul 2024</t>
    </r>
  </si>
  <si>
    <t>El restaurante con estrella Michelin de un pueblo de Lleida donde cocinan mano a mano una madre y su hijo</t>
  </si>
  <si>
    <t>Zaraida Cotonat y Josep Rodríguez abrieron hace treinta años el restaurante con una hija de 7 años y un hijo de 1.</t>
  </si>
  <si>
    <t>The Michelin star restaurant in a town in Lleida where a mother and her son cook hand in hand</t>
  </si>
  <si>
    <t>Zaraida Cotonat and Josep Rodríguez opened the restaurant thirty years ago with a 7-year-old daughter and a 1-year-old son.</t>
  </si>
  <si>
    <r>
      <rPr>
        <rFont val="Arial, sans-serif"/>
        <color rgb="FF1155CC"/>
        <sz val="9.0"/>
        <u/>
      </rPr>
      <t>Motorpoint</t>
    </r>
    <r>
      <rPr>
        <rFont val="Arial, sans-serif"/>
        <color rgb="FF1155CC"/>
        <sz val="15.0"/>
        <u/>
      </rPr>
      <t>Joan Mir y HRC Renuevan Contrato por Dos Temporadas en MotoGP: Continuidad y Confianza en Repsol Honda</t>
    </r>
    <r>
      <rPr>
        <rFont val="Arial, sans-serif"/>
        <color rgb="FF1155CC"/>
        <sz val="11.0"/>
        <u/>
      </rPr>
      <t>HRC y Joan Mir han renovado su colaboración en MotoGP por dos temporadas más. Mir, quien se unió a Repsol Honda en 2023, busca ayudar a HRC a recuperar su...</t>
    </r>
    <r>
      <rPr>
        <rFont val="Arial, sans-serif"/>
        <color rgb="FF1155CC"/>
        <sz val="12.0"/>
        <u/>
      </rPr>
      <t>.</t>
    </r>
    <r>
      <rPr>
        <rFont val="Arial, sans-serif"/>
        <color rgb="FF1155CC"/>
        <sz val="11.0"/>
        <u/>
      </rPr>
      <t>26 jul 2024</t>
    </r>
  </si>
  <si>
    <t>Joan Mir y HRC Renuevan Contrato por Dos Temporadas en MotoGP: Continuidad y Confianza en Repsol Honda</t>
  </si>
  <si>
    <t>HRC y Joan Mir han renovado su colaboración en MotoGP por dos temporadas más. Mir, quien se unió a Repsol Honda en 2023, busca ayudar a HRC a recuperar su....</t>
  </si>
  <si>
    <t>Joan Mir and HRC Renew Contract for Two Seasons in MotoGP: Continuity and Confidence in Repsol Honda</t>
  </si>
  <si>
    <t>HRC and Joan Mir have renewed their collaboration in MotoGP for two more seasons. Mir, who joined Repsol Honda in 2023, is looking to help HRC regain its....</t>
  </si>
  <si>
    <t>Positive as it reinforces trust in Repsol Honda's continued participation in MotoGP.</t>
  </si>
  <si>
    <t>Neutral sports sponsorship</t>
  </si>
  <si>
    <t>Patrocinio deportivo neutral</t>
  </si>
  <si>
    <r>
      <rPr>
        <rFont val="Arial, sans-serif"/>
        <color rgb="FF1155CC"/>
        <sz val="9.0"/>
        <u/>
      </rPr>
      <t>Guía Repsol</t>
    </r>
    <r>
      <rPr>
        <rFont val="Arial, sans-serif"/>
        <color rgb="FF1155CC"/>
        <sz val="15.0"/>
        <u/>
      </rPr>
      <t>Excursiones fresquitas por sendas fluviales de España</t>
    </r>
    <r>
      <rPr>
        <rFont val="Arial, sans-serif"/>
        <color rgb="FF1155CC"/>
        <sz val="11.0"/>
        <u/>
      </rPr>
      <t>Variante del excursionismo más que recomendable en el momento del año con las temperaturas más elevadas, la geografía española cuenta con un elevado número...</t>
    </r>
    <r>
      <rPr>
        <rFont val="Arial, sans-serif"/>
        <color rgb="FF1155CC"/>
        <sz val="12.0"/>
        <u/>
      </rPr>
      <t>.</t>
    </r>
    <r>
      <rPr>
        <rFont val="Arial, sans-serif"/>
        <color rgb="FF1155CC"/>
        <sz val="11.0"/>
        <u/>
      </rPr>
      <t>26 jul 2024</t>
    </r>
  </si>
  <si>
    <t>Excursiones fresquitas por sendas fluviales de España</t>
  </si>
  <si>
    <t>Variante del excursionismo más que recomendable en el momento del año con las temperaturas más elevadas, la geografía española cuenta con un elevado número....</t>
  </si>
  <si>
    <t>Cool excursions along the river paths of Spain</t>
  </si>
  <si>
    <t>A more than recommended variant of hiking at the time of year with the highest temperatures, the Spanish geography has a high number...</t>
  </si>
  <si>
    <r>
      <rPr>
        <rFont val="Arial, sans-serif"/>
        <color rgb="FF1155CC"/>
        <sz val="9.0"/>
        <u/>
      </rPr>
      <t>Guía Repsol</t>
    </r>
    <r>
      <rPr>
        <rFont val="Arial, sans-serif"/>
        <color rgb="FF1155CC"/>
        <sz val="15.0"/>
        <u/>
      </rPr>
      <t>A pie de playa: Sea Soul by Cataria (Chiclana de la Frontera)</t>
    </r>
    <r>
      <rPr>
        <rFont val="Arial, sans-serif"/>
        <color rgb="FF1155CC"/>
        <sz val="11.0"/>
        <u/>
      </rPr>
      <t>Aitor Arregi, Pablo Vicari y Fernando Corrochano se sacuden la formalidad de 'Elkano' y 'Cataria' y abrazan un proyecto para comensales en chanclas y pareo...</t>
    </r>
    <r>
      <rPr>
        <rFont val="Arial, sans-serif"/>
        <color rgb="FF1155CC"/>
        <sz val="12.0"/>
        <u/>
      </rPr>
      <t>.</t>
    </r>
    <r>
      <rPr>
        <rFont val="Arial, sans-serif"/>
        <color rgb="FF1155CC"/>
        <sz val="11.0"/>
        <u/>
      </rPr>
      <t>26 jul 2024</t>
    </r>
  </si>
  <si>
    <t>A pie de playa: Sea Soul by Cataria (Chiclana de la Frontera)</t>
  </si>
  <si>
    <t>Aitor Arregi, Pablo Vicari y Fernando Corrochano se sacuden la formalidad de 'Elkano' y 'Cataria' y abrazan un proyecto para comensales en chanclas y pareo....</t>
  </si>
  <si>
    <t>On the beach: Sea Soul by Cataria (Chiclana de la Frontera)</t>
  </si>
  <si>
    <t>Aitor Arregi, Pablo Vicari and Fernando Corrochano shake off the formality of 'Elkano' and 'Cataria' and embrace a project for diners in flip flops and sarongs....</t>
  </si>
  <si>
    <r>
      <rPr>
        <rFont val="Arial, sans-serif"/>
        <color rgb="FF1155CC"/>
        <sz val="9.0"/>
        <u/>
      </rPr>
      <t>El Economista</t>
    </r>
    <r>
      <rPr>
        <rFont val="Arial, sans-serif"/>
        <color rgb="FF1155CC"/>
        <sz val="15.0"/>
        <u/>
      </rPr>
      <t>Repsol arrebata a Iberdrola su alianza con el Grupo Oregón para crecer en electricidad</t>
    </r>
    <r>
      <rPr>
        <rFont val="Arial, sans-serif"/>
        <color rgb="FF1155CC"/>
        <sz val="11.0"/>
        <u/>
      </rPr>
      <t>Repsol pisa el acelerador para seguir creciendo en el negocio de electricidad y gas natural en España.</t>
    </r>
    <r>
      <rPr>
        <rFont val="Arial, sans-serif"/>
        <color rgb="FF1155CC"/>
        <sz val="12.0"/>
        <u/>
      </rPr>
      <t>.</t>
    </r>
    <r>
      <rPr>
        <rFont val="Arial, sans-serif"/>
        <color rgb="FF1155CC"/>
        <sz val="11.0"/>
        <u/>
      </rPr>
      <t>27 jul 2024</t>
    </r>
  </si>
  <si>
    <t>Repsol arrebata a Iberdrola su alianza con el Grupo Oregón para crecer en electricidad</t>
  </si>
  <si>
    <t>Repsol pisa el acelerador para seguir creciendo en el negocio de electricidad y gas natural en España.</t>
  </si>
  <si>
    <t>Repsol takes away from Iberdrola its alliance with the Oregon Group to grow in electricity</t>
  </si>
  <si>
    <t>Repsol steps on the accelerator to continue growing in the electricity and natural gas business in Spain.</t>
  </si>
  <si>
    <t>Positive as it highlights Repsol’s expansion and competitive positioning in the energy market.</t>
  </si>
  <si>
    <t>crecer en electricidad</t>
  </si>
  <si>
    <r>
      <rPr>
        <rFont val="Arial, sans-serif"/>
        <color rgb="FF1155CC"/>
        <sz val="9.0"/>
        <u/>
      </rPr>
      <t>OkDiario</t>
    </r>
    <r>
      <rPr>
        <rFont val="Arial, sans-serif"/>
        <color rgb="FF1155CC"/>
        <sz val="15.0"/>
        <u/>
      </rPr>
      <t>Así es conducir un coche con diésel renovable de Repsol</t>
    </r>
    <r>
      <rPr>
        <rFont val="Arial, sans-serif"/>
        <color rgb="FF1155CC"/>
        <sz val="11.0"/>
        <u/>
      </rPr>
      <t>No tires el aceite usado de tu cocina, salvará el motor de combustión: así es conducir un coche lleno de diésel renovable de Repsol.</t>
    </r>
    <r>
      <rPr>
        <rFont val="Arial, sans-serif"/>
        <color rgb="FF1155CC"/>
        <sz val="12.0"/>
        <u/>
      </rPr>
      <t>.</t>
    </r>
    <r>
      <rPr>
        <rFont val="Arial, sans-serif"/>
        <color rgb="FF1155CC"/>
        <sz val="11.0"/>
        <u/>
      </rPr>
      <t>27 jul 2024</t>
    </r>
  </si>
  <si>
    <t>Así es conducir un coche con diésel renovable de Repsol</t>
  </si>
  <si>
    <t>No tires el aceite usado de tu cocina, salvará el motor de combustión: así es conducir un coche lleno de diésel renovable de Repsol.</t>
  </si>
  <si>
    <t>This is what it's like to drive a car with Repsol renewable diesel</t>
  </si>
  <si>
    <t>Don't throw away used oil from your kitchen, it will save the combustion engine: this is what it's like to drive a car full of Repsol's renewable diesel.</t>
  </si>
  <si>
    <t>Positive as it promotes Repsol's renewable diesel innovation.</t>
  </si>
  <si>
    <t>Positive sustainable fuel</t>
  </si>
  <si>
    <t>Combustible sostenible positivo</t>
  </si>
  <si>
    <r>
      <rPr>
        <rFont val="Arial, sans-serif"/>
        <color rgb="FF1155CC"/>
        <sz val="9.0"/>
        <u/>
      </rPr>
      <t>El Español</t>
    </r>
    <r>
      <rPr>
        <rFont val="Arial, sans-serif"/>
        <color rgb="FF1155CC"/>
        <sz val="15.0"/>
        <u/>
      </rPr>
      <t>He conducido este coche con aceite usado de cocina para contaminar menos; así ha sido la experiencia</t>
    </r>
    <r>
      <rPr>
        <rFont val="Arial, sans-serif"/>
        <color rgb="FF1155CC"/>
        <sz val="11.0"/>
        <u/>
      </rPr>
      <t>Viajamos en un coche diésel alimentado con el combustible renovable de Repsol; la conducción es idéntica y reduce las emisiones de CO2.</t>
    </r>
    <r>
      <rPr>
        <rFont val="Arial, sans-serif"/>
        <color rgb="FF1155CC"/>
        <sz val="12.0"/>
        <u/>
      </rPr>
      <t>.</t>
    </r>
    <r>
      <rPr>
        <rFont val="Arial, sans-serif"/>
        <color rgb="FF1155CC"/>
        <sz val="11.0"/>
        <u/>
      </rPr>
      <t>27 jul 2024</t>
    </r>
  </si>
  <si>
    <t>He conducido este coche con aceite usado de cocina para contaminar menos; así ha sido la experiencia</t>
  </si>
  <si>
    <t>Viajamos en un coche diésel alimentado con el combustible renovable de Repsol; la conducción es idéntica y reduce las emisiones de CO2.</t>
  </si>
  <si>
    <t>I have driven this car with used cooking oil to pollute less; this has been the experience</t>
  </si>
  <si>
    <t>We traveled in a diesel car powered by Repsol's renewable fuel; Driving is identical and reduces CO2 emissions.</t>
  </si>
  <si>
    <t>Positive as it reinforces Repsol's commitment to sustainability.</t>
  </si>
  <si>
    <t>contaminar menos</t>
  </si>
  <si>
    <t>Positive environmental initiative</t>
  </si>
  <si>
    <t>Iniciativa ambiental positiva</t>
  </si>
  <si>
    <r>
      <rPr>
        <rFont val="Arial, sans-serif"/>
        <color rgb="FF1155CC"/>
        <sz val="9.0"/>
        <u/>
      </rPr>
      <t>El Economista</t>
    </r>
    <r>
      <rPr>
        <rFont val="Arial, sans-serif"/>
        <color rgb="FF1155CC"/>
        <sz val="15.0"/>
        <u/>
      </rPr>
      <t>Repsol, Sabadell, Logista, Línea Directa... Los dividendos anunciados en la última semana</t>
    </r>
    <r>
      <rPr>
        <rFont val="Arial, sans-serif"/>
        <color rgb="FF1155CC"/>
        <sz val="11.0"/>
        <u/>
      </rPr>
      <t>En plena temporada de resultados, muchas compañías cotizadas aprovechan el momento de publicar sus cuentas para anunciar novedades sobre ...</t>
    </r>
    <r>
      <rPr>
        <rFont val="Arial, sans-serif"/>
        <color rgb="FF1155CC"/>
        <sz val="12.0"/>
        <u/>
      </rPr>
      <t>.</t>
    </r>
    <r>
      <rPr>
        <rFont val="Arial, sans-serif"/>
        <color rgb="FF1155CC"/>
        <sz val="11.0"/>
        <u/>
      </rPr>
      <t>27 jul 2024</t>
    </r>
  </si>
  <si>
    <t>Repsol, Sabadell, Logista, Línea Directa... Los dividendos anunciados en la última semana</t>
  </si>
  <si>
    <t>En plena temporada de resultados, muchas compañías cotizadas aprovechan el momento de publicar sus cuentas para anunciar novedades sobre ....</t>
  </si>
  <si>
    <t>Repsol, Sabadell, Logista, Línea Directa... The dividends announced in the last week</t>
  </si>
  <si>
    <t>In the middle of earnings season, many listed companies take advantage of the moment of publishing their accounts to announce news about....</t>
  </si>
  <si>
    <t>Positive as it highlights Repsol's shareholder returns.</t>
  </si>
  <si>
    <t>Positive financial news</t>
  </si>
  <si>
    <t>Noticias financieras positivas</t>
  </si>
  <si>
    <r>
      <rPr>
        <rFont val="Arial, sans-serif"/>
        <color rgb="FF1155CC"/>
        <sz val="9.0"/>
        <u/>
      </rPr>
      <t>Crónica Global</t>
    </r>
    <r>
      <rPr>
        <rFont val="Arial, sans-serif"/>
        <color rgb="FF1155CC"/>
        <sz val="15.0"/>
        <u/>
      </rPr>
      <t>La paella más exquisita se come en este restaurante de Tarragona: enamoró a National Geographic y a la Guía Repsol</t>
    </r>
    <r>
      <rPr>
        <rFont val="Arial, sans-serif"/>
        <color rgb="FF1155CC"/>
        <sz val="11.0"/>
        <u/>
      </rPr>
      <t>Nos encanta el arroz y las paellas, y no hay mejor lugar para disfrutar de estos deliciosos platos que en los restaurantes de la costa.</t>
    </r>
    <r>
      <rPr>
        <rFont val="Arial, sans-serif"/>
        <color rgb="FF1155CC"/>
        <sz val="12.0"/>
        <u/>
      </rPr>
      <t>.</t>
    </r>
    <r>
      <rPr>
        <rFont val="Arial, sans-serif"/>
        <color rgb="FF1155CC"/>
        <sz val="11.0"/>
        <u/>
      </rPr>
      <t>27 jul 2024</t>
    </r>
  </si>
  <si>
    <t>La paella más exquisita se come en este restaurante de Tarragona: enamoró a National Geographic y a la Guía Repsol</t>
  </si>
  <si>
    <t>Nos encanta el arroz y las paellas, y no hay mejor lugar para disfrutar de estos deliciosos platos que en los restaurantes de la costa.</t>
  </si>
  <si>
    <t>The most exquisite paella is eaten in this restaurant in Tarragona: National Geographic and the Repsol Guide fell in love with it</t>
  </si>
  <si>
    <t>We love rice and paellas, and there is no better place to enjoy these delicious dishes than in the restaurants along the coast.</t>
  </si>
  <si>
    <r>
      <rPr>
        <rFont val="Arial, sans-serif"/>
        <color rgb="FF1155CC"/>
        <sz val="9.0"/>
        <u/>
      </rPr>
      <t>Leonoticias</t>
    </r>
    <r>
      <rPr>
        <rFont val="Arial, sans-serif"/>
        <color rgb="FF1155CC"/>
        <sz val="15.0"/>
        <u/>
      </rPr>
      <t>Estas son las gasolineras que abren 24 horas en la provincia de León</t>
    </r>
    <r>
      <rPr>
        <rFont val="Arial, sans-serif"/>
        <color rgb="FF1155CC"/>
        <sz val="11.0"/>
        <u/>
      </rPr>
      <t>Desde León capital hasta Burgos o Ponferrada: disponibilidad y servicio continuo para garantizar el abastecimiento de combustible a cualquier hora del día.</t>
    </r>
    <r>
      <rPr>
        <rFont val="Arial, sans-serif"/>
        <color rgb="FF1155CC"/>
        <sz val="12.0"/>
        <u/>
      </rPr>
      <t>.</t>
    </r>
    <r>
      <rPr>
        <rFont val="Arial, sans-serif"/>
        <color rgb="FF1155CC"/>
        <sz val="11.0"/>
        <u/>
      </rPr>
      <t>27 jul 2024</t>
    </r>
  </si>
  <si>
    <t>Estas son las gasolineras que abren 24 horas en la provincia de León</t>
  </si>
  <si>
    <t>Desde León capital hasta Burgos o Ponferrada: disponibilidad y servicio continuo para garantizar el abastecimiento de combustible a cualquier hora del día.</t>
  </si>
  <si>
    <t>These are the gas stations that open 24 hours in the province of León</t>
  </si>
  <si>
    <t>From León capital to Burgos or Ponferrada: availability and continuous service to guarantee fuel supply at any time of the day.</t>
  </si>
  <si>
    <t>Consumer Services</t>
  </si>
  <si>
    <t>Neutral as it provides logistical information without sentiment implications.</t>
  </si>
  <si>
    <r>
      <rPr>
        <rFont val="Arial, sans-serif"/>
        <color rgb="FF1155CC"/>
        <sz val="9.0"/>
        <u/>
      </rPr>
      <t>Diario de Ibiza</t>
    </r>
    <r>
      <rPr>
        <rFont val="Arial, sans-serif"/>
        <color rgb="FF1155CC"/>
        <sz val="15.0"/>
        <u/>
      </rPr>
      <t>Restaurante La Gaia: Una cocina honesta y sostenible con estrella Michelin en Ibiza</t>
    </r>
    <r>
      <rPr>
        <rFont val="Arial, sans-serif"/>
        <color rgb="FF1155CC"/>
        <sz val="11.0"/>
        <u/>
      </rPr>
      <t>La Gaia, el restaurante de Ibiza Gran Hotel 5* Gran Lujo, galardonado con una estrella Michelin y dos soles Repsol, reafirma su estatus como un referente...</t>
    </r>
    <r>
      <rPr>
        <rFont val="Arial, sans-serif"/>
        <color rgb="FF1155CC"/>
        <sz val="12.0"/>
        <u/>
      </rPr>
      <t>.</t>
    </r>
    <r>
      <rPr>
        <rFont val="Arial, sans-serif"/>
        <color rgb="FF1155CC"/>
        <sz val="11.0"/>
        <u/>
      </rPr>
      <t>27 jul 2024</t>
    </r>
  </si>
  <si>
    <t>Restaurante La Gaia: Una cocina honesta y sostenible con estrella Michelin en Ibiza</t>
  </si>
  <si>
    <t>La Gaia, el restaurante de Ibiza Gran Hotel 5* Gran Lujo, galardonado con una estrella Michelin y dos soles Repsol, reafirma su estatus como un referente....</t>
  </si>
  <si>
    <t>La Gaia Restaurant: Honest and sustainable cuisine with a Michelin star in Ibiza</t>
  </si>
  <si>
    <t>La Gaia, the Ibiza Gran Hotel 5* Gran Lujo restaurant, awarded with a Michelin star and two Repsol suns, reaffirms its status as a benchmark....</t>
  </si>
  <si>
    <r>
      <rPr>
        <rFont val="Arial, sans-serif"/>
        <color rgb="FF1155CC"/>
        <sz val="9.0"/>
        <u/>
      </rPr>
      <t>20Minutos</t>
    </r>
    <r>
      <rPr>
        <rFont val="Arial, sans-serif"/>
        <color rgb="FF1155CC"/>
        <sz val="15.0"/>
        <u/>
      </rPr>
      <t>El restaurante de Madrid que es un vergel y tiene una terraza oculta ideal en verano</t>
    </r>
    <r>
      <rPr>
        <rFont val="Arial, sans-serif"/>
        <color rgb="FF1155CC"/>
        <sz val="11.0"/>
        <u/>
      </rPr>
      <t>Descubre la experiencia culinaria de este restaurante de Arturo Soria que es un oasis en la capital de España: tiene un entorno mágico, con terraza y salón...</t>
    </r>
    <r>
      <rPr>
        <rFont val="Arial, sans-serif"/>
        <color rgb="FF1155CC"/>
        <sz val="12.0"/>
        <u/>
      </rPr>
      <t>.</t>
    </r>
    <r>
      <rPr>
        <rFont val="Arial, sans-serif"/>
        <color rgb="FF1155CC"/>
        <sz val="11.0"/>
        <u/>
      </rPr>
      <t>27 jul 2024</t>
    </r>
  </si>
  <si>
    <t>El restaurante de Madrid que es un vergel y tiene una terraza oculta ideal en verano</t>
  </si>
  <si>
    <t>Descubre la experiencia culinaria de este restaurante de Arturo Soria que es un oasis en la capital de España: tiene un entorno mágico, con terraza y salón....</t>
  </si>
  <si>
    <t>The restaurant in Madrid that is a garden and has a hidden terrace ideal in summer</t>
  </si>
  <si>
    <t>Discover the culinary experience of this Arturo Soria restaurant that is an oasis in the capital of Spain: it has a magical setting, with a terrace and lounge....</t>
  </si>
  <si>
    <r>
      <rPr>
        <rFont val="Arial, sans-serif"/>
        <color rgb="FF1155CC"/>
        <sz val="9.0"/>
        <u/>
      </rPr>
      <t>Málaga Hoy</t>
    </r>
    <r>
      <rPr>
        <rFont val="Arial, sans-serif"/>
        <color rgb="FF1155CC"/>
        <sz val="15.0"/>
        <u/>
      </rPr>
      <t>Cinco churrerías de Málaga en las que los churros son una gozada</t>
    </r>
    <r>
      <rPr>
        <rFont val="Arial, sans-serif"/>
        <color rgb="FF1155CC"/>
        <sz val="11.0"/>
        <u/>
      </rPr>
      <t>El churro es uno de los grandes protagonistas del desayuno de muchos malagueños.</t>
    </r>
    <r>
      <rPr>
        <rFont val="Arial, sans-serif"/>
        <color rgb="FF1155CC"/>
        <sz val="12.0"/>
        <u/>
      </rPr>
      <t>.</t>
    </r>
    <r>
      <rPr>
        <rFont val="Arial, sans-serif"/>
        <color rgb="FF1155CC"/>
        <sz val="11.0"/>
        <u/>
      </rPr>
      <t>27 jul 2024</t>
    </r>
  </si>
  <si>
    <t>Cinco churrerías de Málaga en las que los churros son una gozada</t>
  </si>
  <si>
    <t>El churro es uno de los grandes protagonistas del desayuno de muchos malagueños.</t>
  </si>
  <si>
    <t>Five churrerías in Malaga where the churros are a delight</t>
  </si>
  <si>
    <t>The churro is one of the great protagonists of the breakfast of many Malaga residents.</t>
  </si>
  <si>
    <r>
      <rPr>
        <rFont val="Arial, sans-serif"/>
        <color rgb="FF1155CC"/>
        <sz val="9.0"/>
        <u/>
      </rPr>
      <t>Consumidor Global</t>
    </r>
    <r>
      <rPr>
        <rFont val="Arial, sans-serif"/>
        <color rgb="FF1155CC"/>
        <sz val="15.0"/>
        <u/>
      </rPr>
      <t>Susi Díaz (La Finca): "Lo que te llena el restaurante no es la estrella Michelin"</t>
    </r>
    <r>
      <rPr>
        <rFont val="Arial, sans-serif"/>
        <color rgb="FF1155CC"/>
        <sz val="11.0"/>
        <u/>
      </rPr>
      <t>La chef alicantina desvela el secreto para mantener la excelencia en su premiado restaurante y hacer felices a los comensales durante cerca de 40 años.</t>
    </r>
    <r>
      <rPr>
        <rFont val="Arial, sans-serif"/>
        <color rgb="FF1155CC"/>
        <sz val="12.0"/>
        <u/>
      </rPr>
      <t>.</t>
    </r>
    <r>
      <rPr>
        <rFont val="Arial, sans-serif"/>
        <color rgb="FF1155CC"/>
        <sz val="11.0"/>
        <u/>
      </rPr>
      <t>27 jul 2024</t>
    </r>
  </si>
  <si>
    <t>Lo que te llena el restaurante no es la estrella Michelin</t>
  </si>
  <si>
    <t>La chef alicantina desvela el secreto para mantener la excelencia en su premiado restaurante y hacer felices a los comensales durante cerca de 40 años.</t>
  </si>
  <si>
    <t>What fills you up in the restaurant is not the Michelin star</t>
  </si>
  <si>
    <t>The chef from Alicante reveals the secret to maintaining excellence in her award-winning restaurant and making diners happy for nearly 40 years.</t>
  </si>
  <si>
    <r>
      <rPr>
        <rFont val="Arial, sans-serif"/>
        <color rgb="FF1155CC"/>
        <sz val="9.0"/>
        <u/>
      </rPr>
      <t>Expansión</t>
    </r>
    <r>
      <rPr>
        <rFont val="Arial, sans-serif"/>
        <color rgb="FF1155CC"/>
        <sz val="15.0"/>
        <u/>
      </rPr>
      <t>Dónde invierte el fondo 'value' de mayor patrimonio que gana un 40% a cinco años</t>
    </r>
    <r>
      <rPr>
        <rFont val="Arial, sans-serif"/>
        <color rgb="FF1155CC"/>
        <sz val="11.0"/>
        <u/>
      </rPr>
      <t>Los fondos de inversión son una fórmula idónea para diversificar la inversión en estos tiempos inciertos en el mercado. El Ibex se ha visto arrastrado por...</t>
    </r>
    <r>
      <rPr>
        <rFont val="Arial, sans-serif"/>
        <color rgb="FF1155CC"/>
        <sz val="12.0"/>
        <u/>
      </rPr>
      <t>.</t>
    </r>
    <r>
      <rPr>
        <rFont val="Arial, sans-serif"/>
        <color rgb="FF1155CC"/>
        <sz val="11.0"/>
        <u/>
      </rPr>
      <t>28 jul 2024</t>
    </r>
  </si>
  <si>
    <t>¿Dónde invierte el fondo 'value' de mayor patrimonio que gana un 40% a cinco años?</t>
  </si>
  <si>
    <t>Los fondos de inversión son una fórmula idónea para diversificar la inversión en estos tiempos inciertos en el mercado. El Ibex se ha visto arrastrado por....</t>
  </si>
  <si>
    <t>Where does the highest net worth 'value' fund that earns 40% over five years invest?</t>
  </si>
  <si>
    <t>Investment funds are an ideal formula to diversify your investment in these uncertain times in the market. The Ibex has been dragged by....</t>
  </si>
  <si>
    <r>
      <rPr>
        <rFont val="Arial, sans-serif"/>
        <color rgb="FF1155CC"/>
        <sz val="9.0"/>
        <u/>
      </rPr>
      <t>El Economista</t>
    </r>
    <r>
      <rPr>
        <rFont val="Arial, sans-serif"/>
        <color rgb="FF1155CC"/>
        <sz val="15.0"/>
        <u/>
      </rPr>
      <t>Las grandes energéticas españolas del Ibex ganaron 7.600 millones hasta junio</t>
    </r>
    <r>
      <rPr>
        <rFont val="Arial, sans-serif"/>
        <color rgb="FF1155CC"/>
        <sz val="11.0"/>
        <u/>
      </rPr>
      <t>Iberdrola, Repsol, Naturgy y Endesa, las mayores empresas energéticas españolas cotizadas, obtuvieron un beneficio conjunto de 7.603 ...</t>
    </r>
    <r>
      <rPr>
        <rFont val="Arial, sans-serif"/>
        <color rgb="FF1155CC"/>
        <sz val="12.0"/>
        <u/>
      </rPr>
      <t>.</t>
    </r>
    <r>
      <rPr>
        <rFont val="Arial, sans-serif"/>
        <color rgb="FF1155CC"/>
        <sz val="11.0"/>
        <u/>
      </rPr>
      <t>28 jul 2024</t>
    </r>
  </si>
  <si>
    <t>Las grandes energéticas españolas del Ibex ganaron 7.600 millones hasta junio</t>
  </si>
  <si>
    <t>Iberdrola, Repsol, Naturgy y Endesa, las mayores empresas energéticas españolas cotizadas, obtuvieron un beneficio conjunto de 7.603 ....</t>
  </si>
  <si>
    <t>The large Spanish energy companies on the Ibex earned 7.6 billion until June</t>
  </si>
  <si>
    <t>Iberdrola, Repsol, Naturgy and Endesa, the largest listed Spanish energy companies, obtained a joint profit of 7,603...</t>
  </si>
  <si>
    <t>ganaron 7.600 millones</t>
  </si>
  <si>
    <r>
      <rPr>
        <rFont val="Arial, sans-serif"/>
        <color rgb="FF1155CC"/>
        <sz val="9.0"/>
        <u/>
      </rPr>
      <t>La Verdad</t>
    </r>
    <r>
      <rPr>
        <rFont val="Arial, sans-serif"/>
        <color rgb="FF1155CC"/>
        <sz val="15.0"/>
        <u/>
      </rPr>
      <t>Charry BBQ, la experiencia gastronómica que comienza y termina a la brasa</t>
    </r>
    <r>
      <rPr>
        <rFont val="Arial, sans-serif"/>
        <color rgb="FF1155CC"/>
        <sz val="11.0"/>
        <u/>
      </rPr>
      <t>En plena huerta de Murcia y, al mismo tiempo, muy cerca del centro, un aroma embriagador envuelve los sentidos de los comensales de Charry BBQ,...</t>
    </r>
    <r>
      <rPr>
        <rFont val="Arial, sans-serif"/>
        <color rgb="FF1155CC"/>
        <sz val="12.0"/>
        <u/>
      </rPr>
      <t>.</t>
    </r>
    <r>
      <rPr>
        <rFont val="Arial, sans-serif"/>
        <color rgb="FF1155CC"/>
        <sz val="11.0"/>
        <u/>
      </rPr>
      <t>28 jul 2024</t>
    </r>
  </si>
  <si>
    <t>Charry BBQ, la experiencia gastronómica que comienza y termina a la brasa</t>
  </si>
  <si>
    <t>En plena huerta de Murcia y, al mismo tiempo, muy cerca del centro, un aroma embriagador envuelve los sentidos de los comensales de Charry BBQ,....</t>
  </si>
  <si>
    <t>Charry BBQ, the gastronomic experience that begins and ends on the grill</t>
  </si>
  <si>
    <t>In the heart of Murcia's orchard and, at the same time, very close to the center, an intoxicating aroma envelops the senses of the diners at Charry BBQ....</t>
  </si>
  <si>
    <r>
      <rPr>
        <rFont val="Arial, sans-serif"/>
        <color rgb="FF1155CC"/>
        <sz val="9.0"/>
        <u/>
      </rPr>
      <t>La Voz de Ibiza</t>
    </r>
    <r>
      <rPr>
        <rFont val="Arial, sans-serif"/>
        <color rgb="FF1155CC"/>
        <sz val="15.0"/>
        <u/>
      </rPr>
      <t>Fallece joven de 28 años en un accidente de moto en Formentera</t>
    </r>
    <r>
      <rPr>
        <rFont val="Arial, sans-serif"/>
        <color rgb="FF1155CC"/>
        <sz val="11.0"/>
        <u/>
      </rPr>
      <t>El accidente tuvo lugar en la carretera que une Sant Francesc con Sant Ferran, en las cercanías de la gasolinera de Repsol aunque todavía se desconocen la...</t>
    </r>
    <r>
      <rPr>
        <rFont val="Arial, sans-serif"/>
        <color rgb="FF1155CC"/>
        <sz val="12.0"/>
        <u/>
      </rPr>
      <t>.</t>
    </r>
    <r>
      <rPr>
        <rFont val="Arial, sans-serif"/>
        <color rgb="FF1155CC"/>
        <sz val="11.0"/>
        <u/>
      </rPr>
      <t>28 jul 2024</t>
    </r>
  </si>
  <si>
    <t>Fallece joven de 28 años en un accidente de moto en Formentera</t>
  </si>
  <si>
    <t>El accidente tuvo lugar en la carretera que une Sant Francesc con Sant Ferran, en las cercanías de la gasolinera de Repsol aunque todavía se desconocen la....</t>
  </si>
  <si>
    <t>28-year-old man dies in a motorcycle accident in Formentera</t>
  </si>
  <si>
    <t>The accident took place on the road that connects Sant Francesc with Sant Ferran, near the Repsol gas station, although the exact location is still unknown....</t>
  </si>
  <si>
    <t>General News</t>
  </si>
  <si>
    <t>Neutral as it reports an unfortunate incident without direct sentiment implications on Repsol.</t>
  </si>
  <si>
    <r>
      <rPr>
        <rFont val="Arial, sans-serif"/>
        <color rgb="FF1155CC"/>
        <sz val="9.0"/>
        <u/>
      </rPr>
      <t>www.diariodelpuerto.com</t>
    </r>
    <r>
      <rPr>
        <rFont val="Arial, sans-serif"/>
        <color rgb="FF1155CC"/>
        <sz val="15.0"/>
        <u/>
      </rPr>
      <t>IAG y Repsol acuerdan la mayor compra de combustible sostenible para aviación en España</t>
    </r>
    <r>
      <rPr>
        <rFont val="Arial, sans-serif"/>
        <color rgb="FF1155CC"/>
        <sz val="11.0"/>
        <u/>
      </rPr>
      <t>International Airlines Group (IAG) ha alcanzado un acuerdo con la compañía multienergética Repsol para la compra y el suministro durante los próximos seis...</t>
    </r>
    <r>
      <rPr>
        <rFont val="Arial, sans-serif"/>
        <color rgb="FF1155CC"/>
        <sz val="12.0"/>
        <u/>
      </rPr>
      <t>.</t>
    </r>
    <r>
      <rPr>
        <rFont val="Arial, sans-serif"/>
        <color rgb="FF1155CC"/>
        <sz val="11.0"/>
        <u/>
      </rPr>
      <t>29 jul 2024</t>
    </r>
  </si>
  <si>
    <t>IAG y Repsol acuerdan la mayor compra de combustible sostenible para aviación en España</t>
  </si>
  <si>
    <t>IAG ha alcanzado un acuerdo con Repsol para la compra y el suministro de combustible sostenible para aviación en España.</t>
  </si>
  <si>
    <t>IAG and Repsol agree to the largest purchase of sustainable aviation fuel in Spain</t>
  </si>
  <si>
    <t>IAG has reached an agreement with Repsol for the purchase and supply of sustainable aviation fuel in Spain.</t>
  </si>
  <si>
    <t>Positive as it highlights a significant sustainability-focused deal for Repsol.</t>
  </si>
  <si>
    <t>Strong positive sustainability initiative</t>
  </si>
  <si>
    <t>Fuerte iniciativa positiva de sostenibilidad</t>
  </si>
  <si>
    <r>
      <rPr>
        <rFont val="Arial, sans-serif"/>
        <color rgb="FF1155CC"/>
        <sz val="9.0"/>
        <u/>
      </rPr>
      <t>El Economista</t>
    </r>
    <r>
      <rPr>
        <rFont val="Arial, sans-serif"/>
        <color rgb="FF1155CC"/>
        <sz val="15.0"/>
        <u/>
      </rPr>
      <t>Repsol vuelve a poner el foco inversor en yacimientos de Venezuela y Libia</t>
    </r>
    <r>
      <rPr>
        <rFont val="Arial, sans-serif"/>
        <color rgb="FF1155CC"/>
        <sz val="11.0"/>
        <u/>
      </rPr>
      <t>Repsol vuelve a invertir en Libia por primera vez desde la muerte de Gadafi en octubre de 2011.</t>
    </r>
    <r>
      <rPr>
        <rFont val="Arial, sans-serif"/>
        <color rgb="FF1155CC"/>
        <sz val="12.0"/>
        <u/>
      </rPr>
      <t>.</t>
    </r>
    <r>
      <rPr>
        <rFont val="Arial, sans-serif"/>
        <color rgb="FF1155CC"/>
        <sz val="11.0"/>
        <u/>
      </rPr>
      <t>29 jul 2024</t>
    </r>
  </si>
  <si>
    <t>Repsol vuelve a poner el foco inversor en yacimientos de Venezuela y Libia</t>
  </si>
  <si>
    <t>Repsol vuelve a invertir en Libia por primera vez desde la muerte de Gadafi en octubre de 2011.</t>
  </si>
  <si>
    <t>Repsol once again puts its investment focus on deposits in Venezuela and Libya</t>
  </si>
  <si>
    <t>Repsol returns to invest in Libya for the first time since the death of Gaddafi in October 2011.</t>
  </si>
  <si>
    <t>Positive as it signals Repsol’s expansion and renewed investment in key markets.</t>
  </si>
  <si>
    <t>yacimientos Venezuela, Libia</t>
  </si>
  <si>
    <r>
      <rPr>
        <rFont val="Arial, sans-serif"/>
        <color rgb="FF1155CC"/>
        <sz val="9.0"/>
        <u/>
      </rPr>
      <t>Car and Driver</t>
    </r>
    <r>
      <rPr>
        <rFont val="Arial, sans-serif"/>
        <color rgb="FF1155CC"/>
        <sz val="15.0"/>
        <u/>
      </rPr>
      <t>La ofensiva de Repsol con su nueva gasolina y diésel: disponibles hasta en 1.500 estaciones</t>
    </r>
    <r>
      <rPr>
        <rFont val="Arial, sans-serif"/>
        <color rgb="FF1155CC"/>
        <sz val="11.0"/>
        <u/>
      </rPr>
      <t>Repsol confirma una ofensiva para dotar a más puntos de ventas a sus nuevas gasolina y diésel.</t>
    </r>
    <r>
      <rPr>
        <rFont val="Arial, sans-serif"/>
        <color rgb="FF1155CC"/>
        <sz val="12.0"/>
        <u/>
      </rPr>
      <t>.</t>
    </r>
    <r>
      <rPr>
        <rFont val="Arial, sans-serif"/>
        <color rgb="FF1155CC"/>
        <sz val="11.0"/>
        <u/>
      </rPr>
      <t>29 jul 2024</t>
    </r>
  </si>
  <si>
    <t>La ofensiva de Repsol con su nueva gasolina y diésel: disponibles hasta en 1.500 estaciones</t>
  </si>
  <si>
    <t>Repsol confirma una ofensiva para dotar a más puntos de ventas a sus nuevas gasolina y diésel.</t>
  </si>
  <si>
    <t>Repsol's offensive with its new gasoline and diesel: available at up to 1,500 stations</t>
  </si>
  <si>
    <t>Repsol confirms an offensive to provide more sales points with its new gasoline and diesel.</t>
  </si>
  <si>
    <t>Repsol clean fuel, business strategy</t>
  </si>
  <si>
    <t>Repsol combustible limpio, estrategia empresarial</t>
  </si>
  <si>
    <t>Positive as it emphasizes the company's expansion in fuel distribution.</t>
  </si>
  <si>
    <t>nueva gasolina, diésel</t>
  </si>
  <si>
    <t>Positive product expansion</t>
  </si>
  <si>
    <t>Expansión positiva del producto</t>
  </si>
  <si>
    <r>
      <rPr>
        <rFont val="Arial, sans-serif"/>
        <color rgb="FF1155CC"/>
        <sz val="9.0"/>
        <u/>
      </rPr>
      <t>El Periódico</t>
    </r>
    <r>
      <rPr>
        <rFont val="Arial, sans-serif"/>
        <color rgb="FF1155CC"/>
        <sz val="15.0"/>
        <u/>
      </rPr>
      <t>El grupo IAG comprará a Repsol 28.000 toneladas de combustible sostenible (SAF)</t>
    </r>
    <r>
      <rPr>
        <rFont val="Arial, sans-serif"/>
        <color rgb="FF1155CC"/>
        <sz val="11.0"/>
        <u/>
      </rPr>
      <t>Ambas compañías sellan un acuerdo de suministro durante los próximos seis meses para aviones que vuelen desde aeropuertos españoles.</t>
    </r>
    <r>
      <rPr>
        <rFont val="Arial, sans-serif"/>
        <color rgb="FF1155CC"/>
        <sz val="12.0"/>
        <u/>
      </rPr>
      <t>.</t>
    </r>
    <r>
      <rPr>
        <rFont val="Arial, sans-serif"/>
        <color rgb="FF1155CC"/>
        <sz val="11.0"/>
        <u/>
      </rPr>
      <t>29 jul 2024</t>
    </r>
  </si>
  <si>
    <t>El grupo IAG comprará a Repsol 28.000 toneladas de combustible sostenible (SAF)</t>
  </si>
  <si>
    <t>Ambas compañías sellan un acuerdo de suministro durante los próximos seis meses para aviones que vuelen desde aeropuertos españoles.</t>
  </si>
  <si>
    <t>The IAG group will buy 28,000 tons of sustainable fuel (SAF) from Repsol</t>
  </si>
  <si>
    <t>Both companies seal a supply agreement for the next six months for aircraft flying from Spanish airports.</t>
  </si>
  <si>
    <t>Positive as it reinforces Repsol’s role in sustainable aviation fuel supply.</t>
  </si>
  <si>
    <t>Strong positive sustainability deal</t>
  </si>
  <si>
    <t>Acuerdo de sostenibilidad fuerte y positivo</t>
  </si>
  <si>
    <r>
      <rPr>
        <rFont val="Arial, sans-serif"/>
        <color rgb="FF1155CC"/>
        <sz val="9.0"/>
        <u/>
      </rPr>
      <t>Cinco Días</t>
    </r>
    <r>
      <rPr>
        <rFont val="Arial, sans-serif"/>
        <color rgb="FF1155CC"/>
        <sz val="15.0"/>
        <u/>
      </rPr>
      <t>IAG y Repsol van a más en sus planes de descarbonización y firman el mayor contrato de ‘SAF’ en España</t>
    </r>
    <r>
      <rPr>
        <rFont val="Arial, sans-serif"/>
        <color rgb="FF1155CC"/>
        <sz val="11.0"/>
        <u/>
      </rPr>
      <t>El acuerdo supera las 28.000 toneladas de combustible sostenible de aviación para el holding de aerolíneas.</t>
    </r>
    <r>
      <rPr>
        <rFont val="Arial, sans-serif"/>
        <color rgb="FF1155CC"/>
        <sz val="12.0"/>
        <u/>
      </rPr>
      <t>.</t>
    </r>
    <r>
      <rPr>
        <rFont val="Arial, sans-serif"/>
        <color rgb="FF1155CC"/>
        <sz val="11.0"/>
        <u/>
      </rPr>
      <t>29 jul 2024</t>
    </r>
  </si>
  <si>
    <t>IAG y Repsol van a más en sus planes de descarbonización y firman el mayor contrato de ‘SAF’ en España</t>
  </si>
  <si>
    <t>El acuerdo supera las 28.000 toneladas de combustible sostenible de aviación para el holding de aerolíneas.</t>
  </si>
  <si>
    <t>IAG and Repsol go further in their decarbonization plans and sign the largest 'SAF' contract in Spain</t>
  </si>
  <si>
    <t>The agreement exceeds 28,000 tons of sustainable aviation fuel for the airline holding company.</t>
  </si>
  <si>
    <t>Positive as it underlines Repsol’s contribution to decarbonization efforts.</t>
  </si>
  <si>
    <t>descarbonización, SAF</t>
  </si>
  <si>
    <t>Strong positive environmental initiative</t>
  </si>
  <si>
    <t>Fuerte iniciativa ambiental positiva</t>
  </si>
  <si>
    <r>
      <rPr>
        <rFont val="Arial, sans-serif"/>
        <color rgb="FF1155CC"/>
        <sz val="9.0"/>
        <u/>
      </rPr>
      <t>Control Publicidad</t>
    </r>
    <r>
      <rPr>
        <rFont val="Arial, sans-serif"/>
        <color rgb="FF1155CC"/>
        <sz val="15.0"/>
        <u/>
      </rPr>
      <t>Repsol, Nestlé Y Total Energies Señaladas Por Su "greenwashing"</t>
    </r>
    <r>
      <rPr>
        <rFont val="Arial, sans-serif"/>
        <color rgb="FF1155CC"/>
        <sz val="11.0"/>
        <u/>
      </rPr>
      <t>Creatives for the Future, plataforma de agencias creativas, digitales, freelancers y profesionales de la comunicación que lucha para poner la sostenibilidad...</t>
    </r>
    <r>
      <rPr>
        <rFont val="Arial, sans-serif"/>
        <color rgb="FF1155CC"/>
        <sz val="12.0"/>
        <u/>
      </rPr>
      <t>.</t>
    </r>
    <r>
      <rPr>
        <rFont val="Arial, sans-serif"/>
        <color rgb="FF1155CC"/>
        <sz val="11.0"/>
        <u/>
      </rPr>
      <t>29 jul 2024</t>
    </r>
  </si>
  <si>
    <t>Repsol, Nestlé Y Total Energies Señaladas Por Su "greenwashing"</t>
  </si>
  <si>
    <t>Creatives for the Future, plataforma de agencias creativas, digitales, freelancers y profesionales de la comunicación que lucha para poner la sostenibilidad....</t>
  </si>
  <si>
    <t>Repsol, Nestlé and Total Energies singled out for their "greenwashing"</t>
  </si>
  <si>
    <t>Creatives for the Future, a platform for creative, digital agencies, freelancers and communication professionals that fights to put sustainability....</t>
  </si>
  <si>
    <t>Repsol environmental impact, sustainability challenges</t>
  </si>
  <si>
    <t>Impacto ambiental de Repsol, retos de la sostenibilidad</t>
  </si>
  <si>
    <t>Negative as it criticizes Repsol for potential misleading sustainability claims.</t>
  </si>
  <si>
    <r>
      <rPr>
        <rFont val="Arial, sans-serif"/>
        <color rgb="FF1155CC"/>
        <sz val="9.0"/>
        <u/>
      </rPr>
      <t>Guía Repsol</t>
    </r>
    <r>
      <rPr>
        <rFont val="Arial, sans-serif"/>
        <color rgb="FF1155CC"/>
        <sz val="15.0"/>
        <u/>
      </rPr>
      <t>Las mejores heladerías en Cádiz según los chefs</t>
    </r>
    <r>
      <rPr>
        <rFont val="Arial, sans-serif"/>
        <color rgb="FF1155CC"/>
        <sz val="11.0"/>
        <u/>
      </rPr>
      <t>Massimo, Pepi y Dennis tienen algo en común: los tres regentan una heladería sugerida por un chef del universo Guía Repsol. Julio Vázquez ('El Campero'),...</t>
    </r>
    <r>
      <rPr>
        <rFont val="Arial, sans-serif"/>
        <color rgb="FF1155CC"/>
        <sz val="12.0"/>
        <u/>
      </rPr>
      <t>.</t>
    </r>
    <r>
      <rPr>
        <rFont val="Arial, sans-serif"/>
        <color rgb="FF1155CC"/>
        <sz val="11.0"/>
        <u/>
      </rPr>
      <t>29 jul 2024</t>
    </r>
  </si>
  <si>
    <t>Las mejores heladerías en Cádiz según los chefs</t>
  </si>
  <si>
    <t>Massimo, Pepi y Dennis tienen algo en común: los tres regentan una heladería sugerida por un chef del universo Guía Repsol. Julio Vázquez ('El Campero'),....</t>
  </si>
  <si>
    <t>The best ice cream parlors in Cádiz according to the chefs</t>
  </si>
  <si>
    <t>Massimo, Pepi and Dennis have something in common: the three of them run an ice cream parlor suggested by a chef from the Repsol Guide universe. Julio Vázquez ('El Campero'),....</t>
  </si>
  <si>
    <r>
      <rPr>
        <rFont val="Arial, sans-serif"/>
        <color rgb="FF1155CC"/>
        <sz val="9.0"/>
        <u/>
      </rPr>
      <t>Aviacionline</t>
    </r>
    <r>
      <rPr>
        <rFont val="Arial, sans-serif"/>
        <color rgb="FF1155CC"/>
        <sz val="15.0"/>
        <u/>
      </rPr>
      <t>IAG y Repsol sellan un acuerdo récord de compra de SAF en España</t>
    </r>
    <r>
      <rPr>
        <rFont val="Arial, sans-serif"/>
        <color rgb="FF1155CC"/>
        <sz val="11.0"/>
        <u/>
      </rPr>
      <t>International Airlines Group (IAG) ha alcanzado un acuerdo con Repsol para la adquisición de más de 28.000 toneladas de combustible sostenible de aviación...</t>
    </r>
    <r>
      <rPr>
        <rFont val="Arial, sans-serif"/>
        <color rgb="FF1155CC"/>
        <sz val="12.0"/>
        <u/>
      </rPr>
      <t>.</t>
    </r>
    <r>
      <rPr>
        <rFont val="Arial, sans-serif"/>
        <color rgb="FF1155CC"/>
        <sz val="11.0"/>
        <u/>
      </rPr>
      <t>29 jul 2024</t>
    </r>
  </si>
  <si>
    <t>IAG y Repsol sellan un acuerdo récord de compra de SAF en España</t>
  </si>
  <si>
    <t>International Airlines Group (IAG) ha alcanzado un acuerdo con Repsol para la adquisición de más de 28.000 toneladas de combustible sostenible de aviación....</t>
  </si>
  <si>
    <t>IAG and Repsol seal a record purchase agreement for SAF in Spain</t>
  </si>
  <si>
    <t>International Airlines Group (IAG) has reached an agreement with Repsol for the acquisition of more than 28,000 tons of sustainable aviation fuel....</t>
  </si>
  <si>
    <t>Positive as it strengthens Repsol’s position in sustainable aviation fuel.</t>
  </si>
  <si>
    <t>SAF, acuerdo récord</t>
  </si>
  <si>
    <r>
      <rPr>
        <rFont val="Arial, sans-serif"/>
        <color rgb="FF1155CC"/>
        <sz val="9.0"/>
        <u/>
      </rPr>
      <t>Hosteltur</t>
    </r>
    <r>
      <rPr>
        <rFont val="Arial, sans-serif"/>
        <color rgb="FF1155CC"/>
        <sz val="15.0"/>
        <u/>
      </rPr>
      <t>IAG: compra récord de SAF y toque de atención de Gallego para producir más</t>
    </r>
    <r>
      <rPr>
        <rFont val="Arial, sans-serif"/>
        <color rgb="FF1155CC"/>
        <sz val="11.0"/>
        <u/>
      </rPr>
      <t>IAG ha llegado a un acuerdo con Repsol para la compra de 28.000 toneladas de SAF, una cifra récord en la industria aérea española.</t>
    </r>
    <r>
      <rPr>
        <rFont val="Arial, sans-serif"/>
        <color rgb="FF1155CC"/>
        <sz val="12.0"/>
        <u/>
      </rPr>
      <t>.</t>
    </r>
    <r>
      <rPr>
        <rFont val="Arial, sans-serif"/>
        <color rgb="FF1155CC"/>
        <sz val="11.0"/>
        <u/>
      </rPr>
      <t>29 jul 2024</t>
    </r>
  </si>
  <si>
    <t>IAG: compra récord de SAF y toque de atención de Gallego para producir más</t>
  </si>
  <si>
    <t>IAG ha llegado a un acuerdo con Repsol para la compra de 28.000 toneladas de SAF, una cifra récord en la industria aérea española.</t>
  </si>
  <si>
    <t>IAG: record purchase of SAF and Gallego's wake-up call to produce more</t>
  </si>
  <si>
    <t>IAG has reached an agreement with Repsol for the purchase of 28,000 tons of SAF, a record figure in the Spanish airline industry.</t>
  </si>
  <si>
    <t>Positive as it reinforces Repsol’s contribution to sustainable fuel adoption.</t>
  </si>
  <si>
    <t>SAF, compra récord</t>
  </si>
  <si>
    <t>Positive sustainability news</t>
  </si>
  <si>
    <t>Noticias positivas sobre sostenibilidad</t>
  </si>
  <si>
    <r>
      <rPr>
        <rFont val="Arial, sans-serif"/>
        <color rgb="FF1155CC"/>
        <sz val="9.0"/>
        <u/>
      </rPr>
      <t>El Cronista</t>
    </r>
    <r>
      <rPr>
        <rFont val="Arial, sans-serif"/>
        <color rgb="FF1155CC"/>
        <sz val="15.0"/>
        <u/>
      </rPr>
      <t>Mientras se especula con el regreso de Repsol a Libia y Venezuela, cierra un acuerdo con IAG</t>
    </r>
    <r>
      <rPr>
        <rFont val="Arial, sans-serif"/>
        <color rgb="FF1155CC"/>
        <sz val="11.0"/>
        <u/>
      </rPr>
      <t>En ocasión de la actualización de su plan estratégico, el pasado mes de febrero, Repsol adelantó que trabaja para incrementar la calidad de su cartera de...</t>
    </r>
    <r>
      <rPr>
        <rFont val="Arial, sans-serif"/>
        <color rgb="FF1155CC"/>
        <sz val="12.0"/>
        <u/>
      </rPr>
      <t>.</t>
    </r>
    <r>
      <rPr>
        <rFont val="Arial, sans-serif"/>
        <color rgb="FF1155CC"/>
        <sz val="11.0"/>
        <u/>
      </rPr>
      <t>29 jul 2024</t>
    </r>
  </si>
  <si>
    <t>Mientras se especula con el regreso de Repsol a Libia y Venezuela, cierra un acuerdo con IAG</t>
  </si>
  <si>
    <t>Mientras se especula con el regreso de Repsol a Libia y Venezuela, cierra un acuerdo con IAG.</t>
  </si>
  <si>
    <t>While there is speculation about Repsol's return to Libya and Venezuela, it closes an agreement with IAG</t>
  </si>
  <si>
    <t>While there is speculation about Repsol's return to Libya and Venezuela, it closes an agreement with IAG.</t>
  </si>
  <si>
    <t>Positive as it combines Repsol’s international expansion with a major SAF deal.</t>
  </si>
  <si>
    <t>acuerdo con IAG</t>
  </si>
  <si>
    <r>
      <rPr>
        <rFont val="Arial, sans-serif"/>
        <color rgb="FF1155CC"/>
        <sz val="9.0"/>
        <u/>
      </rPr>
      <t>ABC</t>
    </r>
    <r>
      <rPr>
        <rFont val="Arial, sans-serif"/>
        <color rgb="FF1155CC"/>
        <sz val="15.0"/>
        <u/>
      </rPr>
      <t>Las playas imprescindibles de Granada que debes visitar según la Guía Repsol</t>
    </r>
    <r>
      <rPr>
        <rFont val="Arial, sans-serif"/>
        <color rgb="FF1155CC"/>
        <sz val="11.0"/>
        <u/>
      </rPr>
      <t>Los casi 80 kilómetros de la Costa Tropical destacan por sus contrastes: hay arenales de difícil acceso bajo acantilados pero también sitios muy familiares.</t>
    </r>
    <r>
      <rPr>
        <rFont val="Arial, sans-serif"/>
        <color rgb="FF1155CC"/>
        <sz val="12.0"/>
        <u/>
      </rPr>
      <t>.</t>
    </r>
    <r>
      <rPr>
        <rFont val="Arial, sans-serif"/>
        <color rgb="FF1155CC"/>
        <sz val="11.0"/>
        <u/>
      </rPr>
      <t>29 jul 2024</t>
    </r>
  </si>
  <si>
    <t>Las playas imprescindibles de Granada que debes visitar según la Guía Repsol</t>
  </si>
  <si>
    <t>Los casi 80 kilómetros de la Costa Tropical destacan por sus contrastes: hay arenales de difícil acceso bajo acantilados pero también sitios muy familiares.</t>
  </si>
  <si>
    <t>The essential beaches of Granada that you should visit according to the Repsol Guide</t>
  </si>
  <si>
    <t>The almost 80 kilometers of the Costa Tropical stand out for their contrasts: there are sandy areas that are difficult to access under cliffs but also very familiar places.</t>
  </si>
  <si>
    <r>
      <rPr>
        <rFont val="Arial, sans-serif"/>
        <color rgb="FF1155CC"/>
        <sz val="9.0"/>
        <u/>
      </rPr>
      <t>Crónica Vasca</t>
    </r>
    <r>
      <rPr>
        <rFont val="Arial, sans-serif"/>
        <color rgb="FF1155CC"/>
        <sz val="15.0"/>
        <u/>
      </rPr>
      <t>Francia y Reino Unido disparan sus compras a Petronor y maquillan las exportaciones vascas</t>
    </r>
    <r>
      <rPr>
        <rFont val="Arial, sans-serif"/>
        <color rgb="FF1155CC"/>
        <sz val="11.0"/>
        <u/>
      </rPr>
      <t>La refinería vizcaína del grupo Repsol tiene ya en el mercado europeo cerca del 70% de su negocio.</t>
    </r>
    <r>
      <rPr>
        <rFont val="Arial, sans-serif"/>
        <color rgb="FF1155CC"/>
        <sz val="12.0"/>
        <u/>
      </rPr>
      <t>.</t>
    </r>
    <r>
      <rPr>
        <rFont val="Arial, sans-serif"/>
        <color rgb="FF1155CC"/>
        <sz val="11.0"/>
        <u/>
      </rPr>
      <t>29 jul 2024</t>
    </r>
  </si>
  <si>
    <t>Francia y Reino Unido disparan sus compras a Petronor y maquillan las exportaciones vascas</t>
  </si>
  <si>
    <t>La refinería vizcaína del grupo Repsol tiene ya en el mercado europeo cerca del 70% de su negocio.</t>
  </si>
  <si>
    <t>France and the United Kingdom increase their purchases from Petronor and put a damper on Basque exports</t>
  </si>
  <si>
    <t>The Biscayan refinery of the Repsol group already has close to 70% of its business in the European market.</t>
  </si>
  <si>
    <t>Repsol regulation, business challenges</t>
  </si>
  <si>
    <t>Regulación Repsol, retos empresariales</t>
  </si>
  <si>
    <t>Slightly negative as it suggests trade imbalances affecting Basque exports.</t>
  </si>
  <si>
    <r>
      <rPr>
        <rFont val="Arial, sans-serif"/>
        <color rgb="FF1155CC"/>
        <sz val="9.0"/>
        <u/>
      </rPr>
      <t>El Mundo</t>
    </r>
    <r>
      <rPr>
        <rFont val="Arial, sans-serif"/>
        <color rgb="FF1155CC"/>
        <sz val="15.0"/>
        <u/>
      </rPr>
      <t>Una vida con menos preocupaciones y un 'kilito' más</t>
    </r>
    <r>
      <rPr>
        <rFont val="Arial, sans-serif"/>
        <color rgb="FF1155CC"/>
        <sz val="11.0"/>
        <u/>
      </rPr>
      <t>Hace poco menos de un año, en uno de los desplazamientos que realiza a diario para ir al trabajo, Sergio paró a repostar combustible en una estación de...</t>
    </r>
    <r>
      <rPr>
        <rFont val="Arial, sans-serif"/>
        <color rgb="FF1155CC"/>
        <sz val="12.0"/>
        <u/>
      </rPr>
      <t>.</t>
    </r>
    <r>
      <rPr>
        <rFont val="Arial, sans-serif"/>
        <color rgb="FF1155CC"/>
        <sz val="11.0"/>
        <u/>
      </rPr>
      <t>29 jul 2024</t>
    </r>
  </si>
  <si>
    <t>Una vida con menos preocupaciones y un 'kilito' más</t>
  </si>
  <si>
    <t>Hace poco menos de un año, en uno de los desplazamientos que realiza a diario para ir al trabajo, Sergio paró a repostar combustible en una estación de....</t>
  </si>
  <si>
    <t>A life with fewer worries and an extra kilo</t>
  </si>
  <si>
    <t>A little less than a year ago, on one of his daily trips to work, Sergio stopped to refuel at a... station.</t>
  </si>
  <si>
    <r>
      <rPr>
        <rFont val="Arial, sans-serif"/>
        <color rgb="FF1155CC"/>
        <sz val="9.0"/>
        <u/>
      </rPr>
      <t>El Economista</t>
    </r>
    <r>
      <rPr>
        <rFont val="Arial, sans-serif"/>
        <color rgb="FF1155CC"/>
        <sz val="15.0"/>
        <u/>
      </rPr>
      <t>IAG y Repsol cierran la mayor compra de combustible sostenible para aviones en España</t>
    </r>
    <r>
      <rPr>
        <rFont val="Arial, sans-serif"/>
        <color rgb="FF1155CC"/>
        <sz val="11.0"/>
        <u/>
      </rPr>
      <t>International Airlines Group (IAG, la matriz de Iberia) y Repsol han cerrado este lunes la mayor venta de combustible de aviación ...</t>
    </r>
    <r>
      <rPr>
        <rFont val="Arial, sans-serif"/>
        <color rgb="FF1155CC"/>
        <sz val="12.0"/>
        <u/>
      </rPr>
      <t>.</t>
    </r>
    <r>
      <rPr>
        <rFont val="Arial, sans-serif"/>
        <color rgb="FF1155CC"/>
        <sz val="11.0"/>
        <u/>
      </rPr>
      <t>29 jul 2024</t>
    </r>
  </si>
  <si>
    <t>IAG y Repsol cierran la mayor compra de combustible sostenible para aviones en España</t>
  </si>
  <si>
    <t>International Airlines Group (IAG, la matriz de Iberia) y Repsol han cerrado este lunes la mayor venta de combustible de aviación ....</t>
  </si>
  <si>
    <t>IAG and Repsol close the largest purchase of sustainable jet fuel in Spain</t>
  </si>
  <si>
    <t>International Airlines Group (IAG, Iberia's parent company) and Repsol have closed this Monday the largest sale of aviation fuel....</t>
  </si>
  <si>
    <t>Positive as it reinforces Repsol’s leadership in sustainable aviation fuel.</t>
  </si>
  <si>
    <t>Strong positive environmental deal</t>
  </si>
  <si>
    <t>Fuerte acuerdo medioambiental positivo</t>
  </si>
  <si>
    <r>
      <rPr>
        <rFont val="Arial, sans-serif"/>
        <color rgb="FF1155CC"/>
        <sz val="9.0"/>
        <u/>
      </rPr>
      <t>Banca y Negocios</t>
    </r>
    <r>
      <rPr>
        <rFont val="Arial, sans-serif"/>
        <color rgb="FF1155CC"/>
        <sz val="15.0"/>
        <u/>
      </rPr>
      <t>Repsol apuesta nuevamente por las tierras petroleras de Libia y Venezuela</t>
    </r>
    <r>
      <rPr>
        <rFont val="Arial, sans-serif"/>
        <color rgb="FF1155CC"/>
        <sz val="11.0"/>
        <u/>
      </rPr>
      <t>La llegada de Repsol a Libia también se produce cuando la empresa está en plena expansión en Venezuela, donde ha alcanzado varios acuerdos para aumentar su.</t>
    </r>
    <r>
      <rPr>
        <rFont val="Arial, sans-serif"/>
        <color rgb="FF1155CC"/>
        <sz val="12.0"/>
        <u/>
      </rPr>
      <t>.</t>
    </r>
    <r>
      <rPr>
        <rFont val="Arial, sans-serif"/>
        <color rgb="FF1155CC"/>
        <sz val="11.0"/>
        <u/>
      </rPr>
      <t>29 jul 2024</t>
    </r>
  </si>
  <si>
    <t>Repsol apuesta nuevamente por las tierras petroleras de Libia y Venezuela</t>
  </si>
  <si>
    <t>La llegada de Repsol a Libia también se produce cuando la empresa está en plena expansión en Venezuela, donde ha alcanzado varios acuerdos para aumentar su..</t>
  </si>
  <si>
    <t>Repsol bets again on the oil lands of Libya and Venezuela</t>
  </si>
  <si>
    <t>Repsol's arrival in Libya also occurs when the company is in full expansion in Venezuela, where it has reached several agreements to increase its...</t>
  </si>
  <si>
    <t>Positive as it highlights Repsol’s strategic energy investments.</t>
  </si>
  <si>
    <t>tierras petroleras</t>
  </si>
  <si>
    <r>
      <rPr>
        <rFont val="Arial, sans-serif"/>
        <color rgb="FF1155CC"/>
        <sz val="9.0"/>
        <u/>
      </rPr>
      <t>Crónica Global</t>
    </r>
    <r>
      <rPr>
        <rFont val="Arial, sans-serif"/>
        <color rgb="FF1155CC"/>
        <sz val="15.0"/>
        <u/>
      </rPr>
      <t>IAG avanza en la descarbonización del transporte aéreo con la compra de 28.000 toneladas de SAF</t>
    </r>
    <r>
      <rPr>
        <rFont val="Arial, sans-serif"/>
        <color rgb="FF1155CC"/>
        <sz val="11.0"/>
        <u/>
      </rPr>
      <t>El combustible extraído de residuos orgánicos permite una reducción significativa de las emisiones de CO2, a la par que se mantiene la tecnología actual de...</t>
    </r>
    <r>
      <rPr>
        <rFont val="Arial, sans-serif"/>
        <color rgb="FF1155CC"/>
        <sz val="12.0"/>
        <u/>
      </rPr>
      <t>.</t>
    </r>
    <r>
      <rPr>
        <rFont val="Arial, sans-serif"/>
        <color rgb="FF1155CC"/>
        <sz val="11.0"/>
        <u/>
      </rPr>
      <t>29 jul 2024</t>
    </r>
  </si>
  <si>
    <t>IAG avanza en la descarbonización del transporte aéreo con la compra de 28.000 toneladas de SAF</t>
  </si>
  <si>
    <t>El combustible extraído de residuos orgánicos permite una reducción significativa de las emisiones de CO2, a la par que se mantiene la tecnología actual de....</t>
  </si>
  <si>
    <t>IAG advances in the decarbonization of air transport with the purchase of 28,000 tons of SAF</t>
  </si>
  <si>
    <t>Fuel extracted from organic waste allows a significant reduction in CO2 emissions, while maintaining current technology....</t>
  </si>
  <si>
    <t>Positive as it emphasizes sustainability in aviation fuel supply.</t>
  </si>
  <si>
    <r>
      <rPr>
        <rFont val="Arial, sans-serif"/>
        <color rgb="FF1155CC"/>
        <sz val="9.0"/>
        <u/>
      </rPr>
      <t>El Economista</t>
    </r>
    <r>
      <rPr>
        <rFont val="Arial, sans-serif"/>
        <color rgb="FF1155CC"/>
        <sz val="15.0"/>
        <u/>
      </rPr>
      <t>Repsol avanza con sus desinversiones y se desprende de sus oleoductos en EEUU, Indonesia y Ecuador</t>
    </r>
    <r>
      <rPr>
        <rFont val="Arial, sans-serif"/>
        <color rgb="FF1155CC"/>
        <sz val="11.0"/>
        <u/>
      </rPr>
      <t>Repsol avanza en su plan de desinversiones de activos no estratégicos. La compañía, que está reordenando su negocio de exploración y ...</t>
    </r>
    <r>
      <rPr>
        <rFont val="Arial, sans-serif"/>
        <color rgb="FF1155CC"/>
        <sz val="12.0"/>
        <u/>
      </rPr>
      <t>.</t>
    </r>
    <r>
      <rPr>
        <rFont val="Arial, sans-serif"/>
        <color rgb="FF1155CC"/>
        <sz val="11.0"/>
        <u/>
      </rPr>
      <t>30 jul 2024</t>
    </r>
  </si>
  <si>
    <t>Repsol avanza con sus desinversiones y se desprende de sus oleoductos en EEUU, Indonesia y Ecuador</t>
  </si>
  <si>
    <t>Repsol avanza en su plan de desinversiones de activos no estratégicos. La compañía, que está reordenando su negocio de exploración y ....</t>
  </si>
  <si>
    <t>Repsol advances with its divestments and divests itself of its oil pipelines in the US, Indonesia and Ecuador</t>
  </si>
  <si>
    <t>Repsol advances in its plan to divest non-strategic assets. The company, which is reorganizing its exploration business and....</t>
  </si>
  <si>
    <t>Repsol business strategy, financial performance</t>
  </si>
  <si>
    <t>Estrategia de negocio de Repsol, desempeño financiero</t>
  </si>
  <si>
    <t>Positive as it reflects Repsol’s strategic restructuring and asset optimization.</t>
  </si>
  <si>
    <t>desinversiones</t>
  </si>
  <si>
    <t>Neutral business restructuring</t>
  </si>
  <si>
    <t>Reestructuración empresarial neutral</t>
  </si>
  <si>
    <r>
      <rPr>
        <rFont val="Arial, sans-serif"/>
        <color rgb="FF1155CC"/>
        <sz val="9.0"/>
        <u/>
      </rPr>
      <t>Ayuntamiento de Puertollano</t>
    </r>
    <r>
      <rPr>
        <rFont val="Arial, sans-serif"/>
        <color rgb="FF1155CC"/>
        <sz val="15.0"/>
        <u/>
      </rPr>
      <t>Catorce becados universitarios inician sus prácticas en el complejo industrial de Repsol</t>
    </r>
    <r>
      <rPr>
        <rFont val="Arial, sans-serif"/>
        <color rgb="FF1155CC"/>
        <sz val="11.0"/>
        <u/>
      </rPr>
      <t>En el Complejo Industrial de Repsol en Puertollano, catorce alumnos de la Universidad de Castilla-La Mancha inician estos días sus prácticas a través de las...</t>
    </r>
    <r>
      <rPr>
        <rFont val="Arial, sans-serif"/>
        <color rgb="FF1155CC"/>
        <sz val="12.0"/>
        <u/>
      </rPr>
      <t>.</t>
    </r>
    <r>
      <rPr>
        <rFont val="Arial, sans-serif"/>
        <color rgb="FF1155CC"/>
        <sz val="11.0"/>
        <u/>
      </rPr>
      <t>30 jul 2024</t>
    </r>
  </si>
  <si>
    <t>Catorce becados universitarios inician sus prácticas en el complejo industrial de Repsol</t>
  </si>
  <si>
    <t>En el Complejo Industrial de Repsol en Puertollano, catorce alumnos de la Universidad de Castilla-La Mancha inician estos días sus prácticas a través de las....</t>
  </si>
  <si>
    <t>Fourteen university scholarship recipients begin their internships at the Repsol industrial complex</t>
  </si>
  <si>
    <t>At the Repsol Industrial Complex in Puertollano, fourteen students from the University of Castilla-La Mancha are beginning their internships these days through the...</t>
  </si>
  <si>
    <t>Positive as it showcases Repsol’s support for education and workforce development.</t>
  </si>
  <si>
    <r>
      <rPr>
        <rFont val="Arial, sans-serif"/>
        <color rgb="FF1155CC"/>
        <sz val="9.0"/>
        <u/>
      </rPr>
      <t>Repsol</t>
    </r>
    <r>
      <rPr>
        <rFont val="Arial, sans-serif"/>
        <color rgb="FF1155CC"/>
        <sz val="15.0"/>
        <u/>
      </rPr>
      <t>Testimonios empleados</t>
    </r>
    <r>
      <rPr>
        <rFont val="Arial, sans-serif"/>
        <color rgb="FF1155CC"/>
        <sz val="11.0"/>
        <u/>
      </rPr>
      <t>Te invitamos a descubrir las experiencias y opiniones de quienes trabajan con nosotros, para que tengas una visión más clara de cómo es su día a día.</t>
    </r>
    <r>
      <rPr>
        <rFont val="Arial, sans-serif"/>
        <color rgb="FF1155CC"/>
        <sz val="12.0"/>
        <u/>
      </rPr>
      <t>.</t>
    </r>
    <r>
      <rPr>
        <rFont val="Arial, sans-serif"/>
        <color rgb="FF1155CC"/>
        <sz val="11.0"/>
        <u/>
      </rPr>
      <t>30 jul 2024</t>
    </r>
  </si>
  <si>
    <t>Te invitamos a descubrir las experiencias y opiniones de quienes trabajan con nosotros, para que tengas una visión más clara de cómo es su día a día.</t>
  </si>
  <si>
    <t>We invite you to discover the experiences and opinions of those who work with us, so that you have a clearer vision of what their day-to-day life is like.</t>
  </si>
  <si>
    <r>
      <rPr>
        <rFont val="Arial, sans-serif"/>
        <color rgb="FF1155CC"/>
        <sz val="9.0"/>
        <u/>
      </rPr>
      <t>Guía Repsol</t>
    </r>
    <r>
      <rPr>
        <rFont val="Arial, sans-serif"/>
        <color rgb="FF1155CC"/>
        <sz val="15.0"/>
        <u/>
      </rPr>
      <t>Verano mágico en el embalse de Lanuza</t>
    </r>
    <r>
      <rPr>
        <rFont val="Arial, sans-serif"/>
        <color rgb="FF1155CC"/>
        <sz val="11.0"/>
        <u/>
      </rPr>
      <t>El embalse de Lanuza en el Pirineo de Huesca es el lugar ideal para los amantes de la naturaleza, el senderismo y los deportes acuáticos. De su práctica sa.</t>
    </r>
    <r>
      <rPr>
        <rFont val="Arial, sans-serif"/>
        <color rgb="FF1155CC"/>
        <sz val="12.0"/>
        <u/>
      </rPr>
      <t>.</t>
    </r>
    <r>
      <rPr>
        <rFont val="Arial, sans-serif"/>
        <color rgb="FF1155CC"/>
        <sz val="11.0"/>
        <u/>
      </rPr>
      <t>30 jul 2024</t>
    </r>
  </si>
  <si>
    <t>Verano mágico en el embalse de Lanuza</t>
  </si>
  <si>
    <t>El embalse de Lanuza en el Pirineo de Huesca es el lugar ideal para los amantes de la naturaleza, el senderismo y los deportes acuáticos. De su práctica sa..</t>
  </si>
  <si>
    <t>Magical summer at the Lanuza reservoir</t>
  </si>
  <si>
    <t>The Lanuza reservoir in the Pyrenees of Huesca is the ideal place for lovers of nature, hiking and water sports. From his sa..</t>
  </si>
  <si>
    <r>
      <rPr>
        <rFont val="Arial, sans-serif"/>
        <color rgb="FF1155CC"/>
        <sz val="9.0"/>
        <u/>
      </rPr>
      <t>VAVEL.com</t>
    </r>
    <r>
      <rPr>
        <rFont val="Arial, sans-serif"/>
        <color rgb="FF1155CC"/>
        <sz val="15.0"/>
        <u/>
      </rPr>
      <t>Remember Gran Premio de Gran Bretaña 1997: Doohan dominó Donington, y se coronó tetracampeón</t>
    </r>
    <r>
      <rPr>
        <rFont val="Arial, sans-serif"/>
        <color rgb="FF1155CC"/>
        <sz val="11.0"/>
        <u/>
      </rPr>
      <t>El autódromo situado en Leicestershire fue sede del cuarto título mundial de 500cc del crack australiano del Repsol YPF Honda.</t>
    </r>
    <r>
      <rPr>
        <rFont val="Arial, sans-serif"/>
        <color rgb="FF1155CC"/>
        <sz val="12.0"/>
        <u/>
      </rPr>
      <t>.</t>
    </r>
    <r>
      <rPr>
        <rFont val="Arial, sans-serif"/>
        <color rgb="FF1155CC"/>
        <sz val="11.0"/>
        <u/>
      </rPr>
      <t>30 jul 2024</t>
    </r>
  </si>
  <si>
    <t>Recuerda el Gran Premio de Gran Bretaña 1997: Doohan dominó Donington, y se coronó tetracampeón</t>
  </si>
  <si>
    <t>El autódromo situado en Leicestershire fue sede del cuarto título mundial de 500cc del crack australiano del Repsol YPF Honda.</t>
  </si>
  <si>
    <t>Remember the 1997 British Grand Prix: Doohan dominated Donington, and was crowned four-time champion</t>
  </si>
  <si>
    <t>The racetrack located in Leicestershire was home to the fourth 500cc world title for the Australian Repsol YPF Honda star.</t>
  </si>
  <si>
    <r>
      <rPr>
        <rFont val="Arial, sans-serif"/>
        <color rgb="FF1155CC"/>
        <sz val="9.0"/>
        <u/>
      </rPr>
      <t>El Confidencial</t>
    </r>
    <r>
      <rPr>
        <rFont val="Arial, sans-serif"/>
        <color rgb="FF1155CC"/>
        <sz val="15.0"/>
        <u/>
      </rPr>
      <t>Las energéticas logran un beneficio histórico pese al 'impuestazo' y la caída de luz, gas y carburante</t>
    </r>
    <r>
      <rPr>
        <rFont val="Arial, sans-serif"/>
        <color rgb="FF1155CC"/>
        <sz val="11.0"/>
        <u/>
      </rPr>
      <t>Iberdrola, Endesa, Naturgy, Repsol y Cepsa ganan 7.770 millones en el primer semestre de 2024, ya con un mercado energético normalizado y el gravamen del...</t>
    </r>
    <r>
      <rPr>
        <rFont val="Arial, sans-serif"/>
        <color rgb="FF1155CC"/>
        <sz val="12.0"/>
        <u/>
      </rPr>
      <t>.</t>
    </r>
    <r>
      <rPr>
        <rFont val="Arial, sans-serif"/>
        <color rgb="FF1155CC"/>
        <sz val="11.0"/>
        <u/>
      </rPr>
      <t>30 jul 2024</t>
    </r>
  </si>
  <si>
    <t>Las energéticas logran un beneficio histórico pese al 'impuestazo' y la caída de luz, gas y carburante</t>
  </si>
  <si>
    <t>Iberdrola, Endesa, Naturgy, Repsol y Cepsa ganan 7.770 millones en el primer semestre de 2024, ya con un mercado energético normalizado y el gravamen del....</t>
  </si>
  <si>
    <t>Energy companies achieve a historic profit despite the 'tax' and the drop in electricity, gas and fuel</t>
  </si>
  <si>
    <t>Iberdrola, Endesa, Naturgy, Repsol and Cepsa earn 7,770 million in the first half of 2024, now with a normalized energy market and the tax on...</t>
  </si>
  <si>
    <t>Positive as it highlights Repsol’s strong financial performance.</t>
  </si>
  <si>
    <t>beneficio histórico</t>
  </si>
  <si>
    <r>
      <rPr>
        <rFont val="Arial, sans-serif"/>
        <color rgb="FF1155CC"/>
        <sz val="9.0"/>
        <u/>
      </rPr>
      <t>Expansión</t>
    </r>
    <r>
      <rPr>
        <rFont val="Arial, sans-serif"/>
        <color rgb="FF1155CC"/>
        <sz val="15.0"/>
        <u/>
      </rPr>
      <t>Ocho valores para sacar al Ibex 35 de su letargo</t>
    </r>
    <r>
      <rPr>
        <rFont val="Arial, sans-serif"/>
        <color rgb="FF1155CC"/>
        <sz val="11.0"/>
        <u/>
      </rPr>
      <t>El Ibex 35 tiene una resistencia clave en los 11.265 puntos e Inditex, Iberdrola, Santander, BBVA, CaixaBank, Telefónica, Repsol y Mapfre pueden despertar...</t>
    </r>
    <r>
      <rPr>
        <rFont val="Arial, sans-serif"/>
        <color rgb="FF1155CC"/>
        <sz val="12.0"/>
        <u/>
      </rPr>
      <t>.</t>
    </r>
    <r>
      <rPr>
        <rFont val="Arial, sans-serif"/>
        <color rgb="FF1155CC"/>
        <sz val="11.0"/>
        <u/>
      </rPr>
      <t>30 jul 2024</t>
    </r>
  </si>
  <si>
    <t>Ocho valores para sacar al Ibex 35 de su letargo</t>
  </si>
  <si>
    <t>El Ibex 35 tiene una resistencia clave en los 11.265 puntos e Inditex, Iberdrola, Santander, BBVA, CaixaBank, Telefónica, Repsol y Mapfre pueden despertar....</t>
  </si>
  <si>
    <t>Eight values ​​to get the Ibex 35 out of its lethargy</t>
  </si>
  <si>
    <t>The Ibex 35 has a key resistance at 11,265 points and Inditex, Iberdrola, Santander, BBVA, CaixaBank, Telefónica, Repsol and Mapfre can wake up....</t>
  </si>
  <si>
    <r>
      <rPr>
        <rFont val="Arial, sans-serif"/>
        <color rgb="FF1155CC"/>
        <sz val="9.0"/>
        <u/>
      </rPr>
      <t>elperiodic.com</t>
    </r>
    <r>
      <rPr>
        <rFont val="Arial, sans-serif"/>
        <color rgb="FF1155CC"/>
        <sz val="15.0"/>
        <u/>
      </rPr>
      <t>Alicante Gastronómica se convierte en el evento experiencial culinario más grande de España: 120 Estrellas Michelin y Soles Repsol</t>
    </r>
    <r>
      <rPr>
        <rFont val="Arial, sans-serif"/>
        <color rgb="FF1155CC"/>
        <sz val="11.0"/>
        <u/>
      </rPr>
      <t>Alicante Gastronómica ha presentado hoy su sexta edición, que se celebrará entre el 27 y el 30 de septiembre en Fira Alacant (IFA), en la que se consolida...</t>
    </r>
    <r>
      <rPr>
        <rFont val="Arial, sans-serif"/>
        <color rgb="FF1155CC"/>
        <sz val="12.0"/>
        <u/>
      </rPr>
      <t>.</t>
    </r>
    <r>
      <rPr>
        <rFont val="Arial, sans-serif"/>
        <color rgb="FF1155CC"/>
        <sz val="11.0"/>
        <u/>
      </rPr>
      <t>30 jul 2024</t>
    </r>
  </si>
  <si>
    <t>elperiodic.com</t>
  </si>
  <si>
    <t>Alicante Gastronómica se convierte en el evento experiencial culinario más grande de España: 120 Estrellas Michelin y Soles Repsol</t>
  </si>
  <si>
    <t>Alicante Gastronómica ha presentado hoy su sexta edición, que se celebrará entre el 27 y el 30 de septiembre en Fira Alacant (IFA), en la que se consolida....</t>
  </si>
  <si>
    <t>Alicante Gastronomic becomes the largest culinary experiential event in Spain: 120 Michelin Stars and Repsol Suns</t>
  </si>
  <si>
    <t>Alicante Gastronómica has today presented its sixth edition, which will be held between September 27 and 30 at Fira Alacant (IFA), in which it consolidates...</t>
  </si>
  <si>
    <r>
      <rPr>
        <rFont val="Arial, sans-serif"/>
        <color rgb="FF1155CC"/>
        <sz val="9.0"/>
        <u/>
      </rPr>
      <t>Motorbike Magazine</t>
    </r>
    <r>
      <rPr>
        <rFont val="Arial, sans-serif"/>
        <color rgb="FF1155CC"/>
        <sz val="15.0"/>
        <u/>
      </rPr>
      <t>[Galería] Los diseños vintage ya vistos en la era MotoGP antes del GP de Gran Bretaña 2024</t>
    </r>
    <r>
      <rPr>
        <rFont val="Arial, sans-serif"/>
        <color rgb="FF1155CC"/>
        <sz val="11.0"/>
        <u/>
      </rPr>
      <t>Este fin de semana será un GP de Gran Bretaña muy vintage, pero ya hubo bastantes diseños inspirados en el pasado. A continuación os dejamos varias casos ya...</t>
    </r>
    <r>
      <rPr>
        <rFont val="Arial, sans-serif"/>
        <color rgb="FF1155CC"/>
        <sz val="12.0"/>
        <u/>
      </rPr>
      <t>.</t>
    </r>
    <r>
      <rPr>
        <rFont val="Arial, sans-serif"/>
        <color rgb="FF1155CC"/>
        <sz val="11.0"/>
        <u/>
      </rPr>
      <t>30 jul 2024</t>
    </r>
  </si>
  <si>
    <t>Los diseños vintage ya vistos en la era MotoGP antes del GP de Gran Bretaña 2024</t>
  </si>
  <si>
    <t>Este fin de semana será un GP de Gran Bretaña muy vintage, pero ya hubo bastantes diseños inspirados en el pasado. A continuación os dejamos varias casos ya....</t>
  </si>
  <si>
    <t>The vintage designs already seen in the MotoGP era before the 2024 British GP</t>
  </si>
  <si>
    <t>This weekend will be a very vintage British GP, but there were already quite a few designs inspired by the past. Below we leave you several cases now....</t>
  </si>
  <si>
    <r>
      <rPr>
        <rFont val="Arial, sans-serif"/>
        <color rgb="FF1155CC"/>
        <sz val="9.0"/>
        <u/>
      </rPr>
      <t>El Español</t>
    </r>
    <r>
      <rPr>
        <rFont val="Arial, sans-serif"/>
        <color rgb="FF1155CC"/>
        <sz val="15.0"/>
        <u/>
      </rPr>
      <t>Sacyr, Logista o IAG: los analistas eligen sus valores favoritos del Ibex 35 en pleno aluvión de resultados</t>
    </r>
    <r>
      <rPr>
        <rFont val="Arial, sans-serif"/>
        <color rgb="FF1155CC"/>
        <sz val="11.0"/>
        <u/>
      </rPr>
      <t>Cellnex y Repsol son las compañías del selectivo español con más recomendaciones de compra en términos absolutos.</t>
    </r>
    <r>
      <rPr>
        <rFont val="Arial, sans-serif"/>
        <color rgb="FF1155CC"/>
        <sz val="12.0"/>
        <u/>
      </rPr>
      <t>.</t>
    </r>
    <r>
      <rPr>
        <rFont val="Arial, sans-serif"/>
        <color rgb="FF1155CC"/>
        <sz val="11.0"/>
        <u/>
      </rPr>
      <t>30 jul 2024</t>
    </r>
  </si>
  <si>
    <t>Sacyr, Logista o IAG: los analistas eligen sus valores favoritos del Ibex 35 en pleno aluvión de resultados</t>
  </si>
  <si>
    <t>Cellnex y Repsol son las compañías del selectivo español con más recomendaciones de compra en términos absolutos.</t>
  </si>
  <si>
    <t>Sacyr, Logista or IAG: analysts choose their favorite Ibex 35 values ​​in the midst of a flood of results</t>
  </si>
  <si>
    <t>Cellnex and Repsol are the Spanish selective companies with the most purchase recommendations in absolute terms.</t>
  </si>
  <si>
    <r>
      <rPr>
        <rFont val="Arial, sans-serif"/>
        <color rgb="FF1155CC"/>
        <sz val="9.0"/>
        <u/>
      </rPr>
      <t>interior.gob.es</t>
    </r>
    <r>
      <rPr>
        <rFont val="Arial, sans-serif"/>
        <color rgb="FF1155CC"/>
        <sz val="15.0"/>
        <u/>
      </rPr>
      <t>La Guardia Civil comienza a volar con combustible sostenible</t>
    </r>
    <r>
      <rPr>
        <rFont val="Arial, sans-serif"/>
        <color rgb="FF1155CC"/>
        <sz val="11.0"/>
        <u/>
      </rPr>
      <t>Repsol ha producido el primer lote de combustible renovable utilizado por el Servicio Aéreo de la Guardia Civil Se trata de un paso más hacia la...</t>
    </r>
    <r>
      <rPr>
        <rFont val="Arial, sans-serif"/>
        <color rgb="FF1155CC"/>
        <sz val="12.0"/>
        <u/>
      </rPr>
      <t>.</t>
    </r>
    <r>
      <rPr>
        <rFont val="Arial, sans-serif"/>
        <color rgb="FF1155CC"/>
        <sz val="11.0"/>
        <u/>
      </rPr>
      <t>31 jul 2024</t>
    </r>
  </si>
  <si>
    <t>interior.gob.es</t>
  </si>
  <si>
    <t>La Guardia Civil comienza a volar con combustible sostenible</t>
  </si>
  <si>
    <t>Repsol ha producido el primer lote de combustible renovable utilizado por el Servicio Aéreo de la Guardia Civil.</t>
  </si>
  <si>
    <t>The Civil Guard begins to fly with sustainable fuel</t>
  </si>
  <si>
    <t>Repsol has produced the first batch of renewable fuel used by the Civil Guard Air Service.</t>
  </si>
  <si>
    <t>Positive as it reinforces Repsol’s role in sustainability.</t>
  </si>
  <si>
    <r>
      <rPr>
        <rFont val="Arial, sans-serif"/>
        <color rgb="FF1155CC"/>
        <sz val="9.0"/>
        <u/>
      </rPr>
      <t>Diario Palentino</t>
    </r>
    <r>
      <rPr>
        <rFont val="Arial, sans-serif"/>
        <color rgb="FF1155CC"/>
        <sz val="15.0"/>
        <u/>
      </rPr>
      <t>Repsol entra en el accionariado de dos filiales de Oregón</t>
    </r>
    <r>
      <rPr>
        <rFont val="Arial, sans-serif"/>
        <color rgb="FF1155CC"/>
        <sz val="11.0"/>
        <u/>
      </rPr>
      <t>La compañía palentina aspira a expandir su presencia en el territorio nacional gracias a la alianza con la multinacional energética y superar las 150...</t>
    </r>
    <r>
      <rPr>
        <rFont val="Arial, sans-serif"/>
        <color rgb="FF1155CC"/>
        <sz val="12.0"/>
        <u/>
      </rPr>
      <t>.</t>
    </r>
    <r>
      <rPr>
        <rFont val="Arial, sans-serif"/>
        <color rgb="FF1155CC"/>
        <sz val="11.0"/>
        <u/>
      </rPr>
      <t>31 jul 2024</t>
    </r>
  </si>
  <si>
    <t>Diario Palentino</t>
  </si>
  <si>
    <t>Repsol entra en el accionariado de dos filiales de Oregón</t>
  </si>
  <si>
    <t>La compañía palentina aspira a expandir su presencia en el territorio nacional gracias a la alianza con la multinacional energética y superar las 150....</t>
  </si>
  <si>
    <t>Repsol becomes a shareholder in two Oregon subsidiaries</t>
  </si>
  <si>
    <t>The company from Palencia aspires to expand its presence in the national territory thanks to the alliance with the energy multinational and exceed 150...</t>
  </si>
  <si>
    <t>Positive as it highlights Repsol’s business expansion.</t>
  </si>
  <si>
    <t>entra en accionariado</t>
  </si>
  <si>
    <r>
      <rPr>
        <rFont val="Arial, sans-serif"/>
        <color rgb="FF1155CC"/>
        <sz val="9.0"/>
        <u/>
      </rPr>
      <t>Guía Repsol</t>
    </r>
    <r>
      <rPr>
        <rFont val="Arial, sans-serif"/>
        <color rgb="FF1155CC"/>
        <sz val="15.0"/>
        <u/>
      </rPr>
      <t>Conoce el Restaurante NAREA en Vejer de la Frontera</t>
    </r>
    <r>
      <rPr>
        <rFont val="Arial, sans-serif"/>
        <color rgb="FF1155CC"/>
        <sz val="11.0"/>
        <u/>
      </rPr>
      <t>Tomar lo mejor de los sabores andaluces, italianos y argentinos y fusionarlos en el plato puede ser todo un reto, pero si los chefs Jaime Batista y...</t>
    </r>
    <r>
      <rPr>
        <rFont val="Arial, sans-serif"/>
        <color rgb="FF1155CC"/>
        <sz val="12.0"/>
        <u/>
      </rPr>
      <t>.</t>
    </r>
    <r>
      <rPr>
        <rFont val="Arial, sans-serif"/>
        <color rgb="FF1155CC"/>
        <sz val="11.0"/>
        <u/>
      </rPr>
      <t>31 jul 2024</t>
    </r>
  </si>
  <si>
    <t>Conoce el Restaurante NAREA en Vejer de la Frontera</t>
  </si>
  <si>
    <t>Tomar lo mejor de los sabores andaluces, italianos y argentinos y fusionarlos en el plato puede ser todo un reto, pero si los chefs Jaime Batista y....</t>
  </si>
  <si>
    <t>Get to know the NAREA Restaurant in Vejer de la Frontera</t>
  </si>
  <si>
    <t>Taking the best of Andalusian, Italian and Argentine flavors and fusing them on the plate can be quite a challenge, but if chefs Jaime Batista and...</t>
  </si>
  <si>
    <r>
      <rPr>
        <rFont val="Arial, sans-serif"/>
        <color rgb="FF1155CC"/>
        <sz val="9.0"/>
        <u/>
      </rPr>
      <t>El Español</t>
    </r>
    <r>
      <rPr>
        <rFont val="Arial, sans-serif"/>
        <color rgb="FF1155CC"/>
        <sz val="15.0"/>
        <u/>
      </rPr>
      <t>Se recrudece la guerra en el sector petrolífero: minoritarios denuncian en la CNMC a Repsol, Cepsa y Total por cartel</t>
    </r>
    <r>
      <rPr>
        <rFont val="Arial, sans-serif"/>
        <color rgb="FF1155CC"/>
        <sz val="11.0"/>
        <u/>
      </rPr>
      <t>AOPYDE (Asociación de Operadores Petrolíferos y Distribuidores Españoles) les acusa de favorecer la circulación de información sensible entre ellas.</t>
    </r>
    <r>
      <rPr>
        <rFont val="Arial, sans-serif"/>
        <color rgb="FF1155CC"/>
        <sz val="12.0"/>
        <u/>
      </rPr>
      <t>.</t>
    </r>
    <r>
      <rPr>
        <rFont val="Arial, sans-serif"/>
        <color rgb="FF1155CC"/>
        <sz val="11.0"/>
        <u/>
      </rPr>
      <t>31 jul 2024</t>
    </r>
  </si>
  <si>
    <t>Se recrudece la guerra en el sector petrolífero: minoritarios denuncian en la CNMC a Repsol, Cepsa y Total por cartel</t>
  </si>
  <si>
    <t>Se recrudece la guerra en el sector petrolífero: minoritarios denuncian en la CNMC a Repsol, Cepsa y Total por cartel. AOPYDE (Asociación de Operadores Petrolíferos y Distribuidores Españoles) les acusa de favorecer la circulación de información sensible entre ellas.</t>
  </si>
  <si>
    <t>The war in the oil sector intensifies: minorities denounce Repsol, Cepsa and Total at the CNMC for cartel</t>
  </si>
  <si>
    <t>The war in the oil sector intensifies: minorities denounce Repsol, Cepsa and Total at the CNMC for cartel. AOPYDE (Association of Spanish Oil Operators and Distributors) accuses them of favoring the circulation of sensitive information between them.</t>
  </si>
  <si>
    <t>Negative as it involves Repsol in an alleged cartel case.</t>
  </si>
  <si>
    <t>denuncian, cartel</t>
  </si>
  <si>
    <t>Negative regulatory accusation</t>
  </si>
  <si>
    <t>Acusación regulatoria negativa</t>
  </si>
  <si>
    <r>
      <rPr>
        <rFont val="Arial, sans-serif"/>
        <color rgb="FF1155CC"/>
        <sz val="9.0"/>
        <u/>
      </rPr>
      <t>El Periódico de Aragón</t>
    </r>
    <r>
      <rPr>
        <rFont val="Arial, sans-serif"/>
        <color rgb="FF1155CC"/>
        <sz val="15.0"/>
        <u/>
      </rPr>
      <t>Una vida con menos preocupaciones y un "kilito" más</t>
    </r>
    <r>
      <rPr>
        <rFont val="Arial, sans-serif"/>
        <color rgb="FF1155CC"/>
        <sz val="11.0"/>
        <u/>
      </rPr>
      <t>Contenido ofrecido por: Logo Repsol. Hace poco menos de un año, en uno de los desplazamientos que realiza a diario para ir al trabajo, paró a repostar...</t>
    </r>
    <r>
      <rPr>
        <rFont val="Arial, sans-serif"/>
        <color rgb="FF1155CC"/>
        <sz val="12.0"/>
        <u/>
      </rPr>
      <t>.</t>
    </r>
    <r>
      <rPr>
        <rFont val="Arial, sans-serif"/>
        <color rgb="FF1155CC"/>
        <sz val="11.0"/>
        <u/>
      </rPr>
      <t>1 ago 2024</t>
    </r>
  </si>
  <si>
    <t>El Periódico de Aragón</t>
  </si>
  <si>
    <t>Una vida con menos preocupaciones y un "kilito" más</t>
  </si>
  <si>
    <t>Hace poco menos de un año, en uno de los desplazamientos que realiza a diario para ir al trabajo, paró a repostar....</t>
  </si>
  <si>
    <t>A life with fewer worries and a "kilito" more</t>
  </si>
  <si>
    <t>A little less than a year ago, on one of his daily trips to work, he stopped to refuel....</t>
  </si>
  <si>
    <r>
      <rPr>
        <rFont val="Arial, sans-serif"/>
        <color rgb="FF1155CC"/>
        <sz val="9.0"/>
        <u/>
      </rPr>
      <t>Málaga Hoy</t>
    </r>
    <r>
      <rPr>
        <rFont val="Arial, sans-serif"/>
        <color rgb="FF1155CC"/>
        <sz val="15.0"/>
        <u/>
      </rPr>
      <t>Los dos mejores chiringuitos del litoral oriental de Málaga frente a playas inmejorables</t>
    </r>
    <r>
      <rPr>
        <rFont val="Arial, sans-serif"/>
        <color rgb="FF1155CC"/>
        <sz val="11.0"/>
        <u/>
      </rPr>
      <t>Los restaurantes de Málaga que recomiendan los grandes chefs de la provincia y galardonados con un Solete.</t>
    </r>
    <r>
      <rPr>
        <rFont val="Arial, sans-serif"/>
        <color rgb="FF1155CC"/>
        <sz val="12.0"/>
        <u/>
      </rPr>
      <t>.</t>
    </r>
    <r>
      <rPr>
        <rFont val="Arial, sans-serif"/>
        <color rgb="FF1155CC"/>
        <sz val="11.0"/>
        <u/>
      </rPr>
      <t>31 jul 2024</t>
    </r>
  </si>
  <si>
    <t>Los dos mejores chiringuitos del litoral oriental de Málaga frente a playas inmejorables</t>
  </si>
  <si>
    <t>Los restaurantes de Málaga que recomiendan los grandes chefs de la provincia y galardonados con un Solete.</t>
  </si>
  <si>
    <t>The two best beach bars on the eastern coast of Malaga in front of unbeatable beaches</t>
  </si>
  <si>
    <t>The restaurants in Malaga that are recommended by the province's great chefs and awarded with a Solete.</t>
  </si>
  <si>
    <r>
      <rPr>
        <rFont val="Arial, sans-serif"/>
        <color rgb="FF1155CC"/>
        <sz val="9.0"/>
        <u/>
      </rPr>
      <t>Box Repsol</t>
    </r>
    <r>
      <rPr>
        <rFont val="Arial, sans-serif"/>
        <color rgb="FF1155CC"/>
        <sz val="15.0"/>
        <u/>
      </rPr>
      <t>Las motos custom de 125 más cautivadoras de 2025</t>
    </r>
    <r>
      <rPr>
        <rFont val="Arial, sans-serif"/>
        <color rgb="FF1155CC"/>
        <sz val="11.0"/>
        <u/>
      </rPr>
      <t>Descubre las mejores motos custom de 125 cc: características, ventajas y modelos destacados. Perfectas para amantes del estilo y la aventura.</t>
    </r>
    <r>
      <rPr>
        <rFont val="Arial, sans-serif"/>
        <color rgb="FF1155CC"/>
        <sz val="12.0"/>
        <u/>
      </rPr>
      <t>.</t>
    </r>
    <r>
      <rPr>
        <rFont val="Arial, sans-serif"/>
        <color rgb="FF1155CC"/>
        <sz val="11.0"/>
        <u/>
      </rPr>
      <t>31 jul 2024</t>
    </r>
  </si>
  <si>
    <t>Las motos custom de 125 más cautivadoras de 2025</t>
  </si>
  <si>
    <t>Descubre las mejores motos custom de 125 cc: características, ventajas y modelos destacados. Perfectas para amantes del estilo y la aventura.</t>
  </si>
  <si>
    <t>The most captivating 125 custom bikes of 2025</t>
  </si>
  <si>
    <t>Discover the best 125 cc custom motorcycles: features, advantages and featured models. Perfect for lovers of style and adventure.</t>
  </si>
  <si>
    <r>
      <rPr>
        <rFont val="Arial, sans-serif"/>
        <color rgb="FF1155CC"/>
        <sz val="9.0"/>
        <u/>
      </rPr>
      <t>Infobae</t>
    </r>
    <r>
      <rPr>
        <rFont val="Arial, sans-serif"/>
        <color rgb="FF1155CC"/>
        <sz val="15.0"/>
        <u/>
      </rPr>
      <t>El restaurante en un pequeño pueblo costero que sirve las mejores hamburguesas de Bizkaia: recetas originales y unas espectaculares vistas al mar</t>
    </r>
    <r>
      <rPr>
        <rFont val="Arial, sans-serif"/>
        <color rgb="FF1155CC"/>
        <sz val="11.0"/>
        <u/>
      </rPr>
      <t>La guía española Repsol ha otorgado un Solete al restaurante Kraken de Elantxobe por sus hamburguesas de calidad y por su panorámica hacia el mar...</t>
    </r>
    <r>
      <rPr>
        <rFont val="Arial, sans-serif"/>
        <color rgb="FF1155CC"/>
        <sz val="12.0"/>
        <u/>
      </rPr>
      <t>.</t>
    </r>
    <r>
      <rPr>
        <rFont val="Arial, sans-serif"/>
        <color rgb="FF1155CC"/>
        <sz val="11.0"/>
        <u/>
      </rPr>
      <t>31 jul 2024</t>
    </r>
  </si>
  <si>
    <t>El restaurante en un pequeño pueblo costero que sirve las mejores hamburguesas de Bizkaia: recetas originales y unas espectaculares vistas al mar</t>
  </si>
  <si>
    <t>La guía española Repsol ha otorgado un Solete al restaurante Kraken de Elantxobe por sus hamburguesas de calidad y por su panorámica hacia el mar.</t>
  </si>
  <si>
    <t>The restaurant in a small coastal town that serves the best burgers in Bizkaia: original recipes and spectacular views of the sea</t>
  </si>
  <si>
    <t>The Spanish guide Repsol has awarded a Solete to the Kraken restaurant in Elantxobe for its quality hamburgers and its panoramic view of the sea.</t>
  </si>
  <si>
    <r>
      <rPr>
        <rFont val="Arial, sans-serif"/>
        <color rgb="FF1155CC"/>
        <sz val="9.0"/>
        <u/>
      </rPr>
      <t>El Español</t>
    </r>
    <r>
      <rPr>
        <rFont val="Arial, sans-serif"/>
        <color rgb="FF1155CC"/>
        <sz val="15.0"/>
        <u/>
      </rPr>
      <t>La prestigiosa Guía Repsol recomienda las bodegas más famosas de Zamora para refrescarse y vivir una experiencia única</t>
    </r>
    <r>
      <rPr>
        <rFont val="Arial, sans-serif"/>
        <color rgb="FF1155CC"/>
        <sz val="11.0"/>
        <u/>
      </rPr>
      <t>La prestigiosa Guía Repsol, conocida por proporcionar información de interés turístico dando importancia a la gastronomía, recomienda las bodegas más...</t>
    </r>
    <r>
      <rPr>
        <rFont val="Arial, sans-serif"/>
        <color rgb="FF1155CC"/>
        <sz val="12.0"/>
        <u/>
      </rPr>
      <t>.</t>
    </r>
    <r>
      <rPr>
        <rFont val="Arial, sans-serif"/>
        <color rgb="FF1155CC"/>
        <sz val="11.0"/>
        <u/>
      </rPr>
      <t>31 jul 2024</t>
    </r>
  </si>
  <si>
    <t>La prestigiosa Guía Repsol recomienda las bodegas más famosas de Zamora para refrescarse y vivir una experiencia única</t>
  </si>
  <si>
    <t>La prestigiosa Guía Repsol, conocida por proporcionar información de interés turístico dando importancia a la gastronomía, recomienda las bodegas más....</t>
  </si>
  <si>
    <t>The prestigious Repsol Guide recommends the most famous wineries in Zamora to refresh yourself and live a unique experience</t>
  </si>
  <si>
    <t>The prestigious Repsol Guide, known for providing information of tourist interest giving importance to gastronomy, recommends the most... wineries.</t>
  </si>
  <si>
    <r>
      <rPr>
        <rFont val="Arial, sans-serif"/>
        <color rgb="FF1155CC"/>
        <sz val="9.0"/>
        <u/>
      </rPr>
      <t>Gestión</t>
    </r>
    <r>
      <rPr>
        <rFont val="Arial, sans-serif"/>
        <color rgb="FF1155CC"/>
        <sz val="15.0"/>
        <u/>
      </rPr>
      <t>La Pampilla de Repsol contempla mejora tecnológica en Callao: ¿de qué se trata?</t>
    </r>
    <r>
      <rPr>
        <rFont val="Arial, sans-serif"/>
        <color rgb="FF1155CC"/>
        <sz val="11.0"/>
        <u/>
      </rPr>
      <t>Refinería La Pampilla, subsidiaria de la multinacional española Repsol, contempla una mejora tecnológica en sus instalaciones de refinamiento de petróleo en...</t>
    </r>
    <r>
      <rPr>
        <rFont val="Arial, sans-serif"/>
        <color rgb="FF1155CC"/>
        <sz val="12.0"/>
        <u/>
      </rPr>
      <t>.</t>
    </r>
    <r>
      <rPr>
        <rFont val="Arial, sans-serif"/>
        <color rgb="FF1155CC"/>
        <sz val="11.0"/>
        <u/>
      </rPr>
      <t>31 jul 2024</t>
    </r>
  </si>
  <si>
    <t>La Pampilla de Repsol contempla mejora tecnológica en Callao: ¿de qué se trata?</t>
  </si>
  <si>
    <t>Refinería La Pampilla, subsidiaria de la multinacional española Repsol, contempla una mejora tecnológica en sus instalaciones de refinamiento de petróleo en....</t>
  </si>
  <si>
    <t>Repsol's La Pampilla contemplates technological improvement in Callao: what is it about?</t>
  </si>
  <si>
    <t>La Pampilla Refinery, a subsidiary of the Spanish multinational Repsol, is contemplating a technological improvement in its oil refining facilities in...</t>
  </si>
  <si>
    <t>Positive as it highlights Repsol’s commitment to technological advancements.</t>
  </si>
  <si>
    <t>mejora tecnológica</t>
  </si>
  <si>
    <t>Positive operational improvement</t>
  </si>
  <si>
    <t>Mejora operativa positiva</t>
  </si>
  <si>
    <r>
      <rPr>
        <rFont val="Arial, sans-serif"/>
        <color rgb="FF1155CC"/>
        <sz val="9.0"/>
        <u/>
      </rPr>
      <t>Bolsamania</t>
    </r>
    <r>
      <rPr>
        <rFont val="Arial, sans-serif"/>
        <color rgb="FF1155CC"/>
        <sz val="15.0"/>
        <u/>
      </rPr>
      <t>Este es el valor favorito del Ibex para el mes de agosto</t>
    </r>
    <r>
      <rPr>
        <rFont val="Arial, sans-serif"/>
        <color rgb="FF1155CC"/>
        <sz val="11.0"/>
        <u/>
      </rPr>
      <t>Iberdrola es uno de los valores del selectivo español que mejores perspectivas técnicas ofrece.</t>
    </r>
    <r>
      <rPr>
        <rFont val="Arial, sans-serif"/>
        <color rgb="FF1155CC"/>
        <sz val="12.0"/>
        <u/>
      </rPr>
      <t>.</t>
    </r>
    <r>
      <rPr>
        <rFont val="Arial, sans-serif"/>
        <color rgb="FF1155CC"/>
        <sz val="11.0"/>
        <u/>
      </rPr>
      <t>31 jul 2024</t>
    </r>
  </si>
  <si>
    <t>Este es el valor favorito del Ibex para el mes de agosto</t>
  </si>
  <si>
    <t>Iberdrola es uno de los valores del selectivo español que mejores perspectivas técnicas ofrece.</t>
  </si>
  <si>
    <t>This is the favorite value of the Ibex for the month of August</t>
  </si>
  <si>
    <t>Iberdrola is one of the Spanish selective stocks that offers the best technical prospects.</t>
  </si>
  <si>
    <r>
      <rPr>
        <rFont val="Arial, sans-serif"/>
        <color rgb="FF1155CC"/>
        <sz val="9.0"/>
        <u/>
      </rPr>
      <t>Desde Adentro</t>
    </r>
    <r>
      <rPr>
        <rFont val="Arial, sans-serif"/>
        <color rgb="FF1155CC"/>
        <sz val="15.0"/>
        <u/>
      </rPr>
      <t>Refinería La Pampilla incrementará su producción de gasolinas en 20%</t>
    </r>
    <r>
      <rPr>
        <rFont val="Arial, sans-serif"/>
        <color rgb="FF1155CC"/>
        <sz val="11.0"/>
        <u/>
      </rPr>
      <t>Implementación permitirá a REPSOL Perú incrementar producción de gasolinas de bajo azufre.</t>
    </r>
    <r>
      <rPr>
        <rFont val="Arial, sans-serif"/>
        <color rgb="FF1155CC"/>
        <sz val="12.0"/>
        <u/>
      </rPr>
      <t>.</t>
    </r>
    <r>
      <rPr>
        <rFont val="Arial, sans-serif"/>
        <color rgb="FF1155CC"/>
        <sz val="11.0"/>
        <u/>
      </rPr>
      <t>31 jul 2024</t>
    </r>
  </si>
  <si>
    <t>Refinería La Pampilla incrementará su producción de gasolinas en 20%</t>
  </si>
  <si>
    <t>Implementación permitirá a REPSOL Perú incrementar producción de gasolinas de bajo azufre.</t>
  </si>
  <si>
    <t>La Pampilla Refinery will increase its gasoline production by 20%</t>
  </si>
  <si>
    <t>Implementation will allow REPSOL Peru to increase production of low sulfur gasoline.</t>
  </si>
  <si>
    <t>Repsol refinery upgrade, business expansion</t>
  </si>
  <si>
    <t>Renovación de refinería de Repsol, expansión del negocio</t>
  </si>
  <si>
    <t>Positive as it demonstrates Repsol’s increased production capacity.</t>
  </si>
  <si>
    <t>producción +20%</t>
  </si>
  <si>
    <r>
      <rPr>
        <rFont val="Arial, sans-serif"/>
        <color rgb="FF1155CC"/>
        <sz val="9.0"/>
        <u/>
      </rPr>
      <t>Gestión</t>
    </r>
    <r>
      <rPr>
        <rFont val="Arial, sans-serif"/>
        <color rgb="FF1155CC"/>
        <sz val="15.0"/>
        <u/>
      </rPr>
      <t>La Pampilla eleva su producción de gasolinas en 20% tras inversión en plantas</t>
    </r>
    <r>
      <rPr>
        <rFont val="Arial, sans-serif"/>
        <color rgb="FF1155CC"/>
        <sz val="11.0"/>
        <u/>
      </rPr>
      <t>A fin de mejorar la seguridad y la sostenibilidad en sus plantas en Ventanilla (Callao), Refinería La Pampilla culminó trabajos de mantenimiento y ejecutó...</t>
    </r>
    <r>
      <rPr>
        <rFont val="Arial, sans-serif"/>
        <color rgb="FF1155CC"/>
        <sz val="12.0"/>
        <u/>
      </rPr>
      <t>.</t>
    </r>
    <r>
      <rPr>
        <rFont val="Arial, sans-serif"/>
        <color rgb="FF1155CC"/>
        <sz val="11.0"/>
        <u/>
      </rPr>
      <t>31 jul 2024</t>
    </r>
  </si>
  <si>
    <t>La Pampilla eleva su producción de gasolinas en 20% tras inversión en plantas</t>
  </si>
  <si>
    <t>A fin de mejorar la seguridad y la sostenibilidad en sus plantas en Ventanilla (Callao), Refinería La Pampilla culminó trabajos de mantenimiento y ejecutó....</t>
  </si>
  <si>
    <t>La Pampilla increases its gasoline production by 20% after investment in plants</t>
  </si>
  <si>
    <t>In order to improve safety and sustainability at its plants in Ventanilla (Callao), La Pampilla Refinery completed maintenance work and executed...</t>
  </si>
  <si>
    <t>Positive as it highlights efficiency improvements at Repsol’s refinery.</t>
  </si>
  <si>
    <r>
      <rPr>
        <rFont val="Arial, sans-serif"/>
        <color rgb="FF1155CC"/>
        <sz val="9.0"/>
        <u/>
      </rPr>
      <t>El Periódico</t>
    </r>
    <r>
      <rPr>
        <rFont val="Arial, sans-serif"/>
        <color rgb="FF1155CC"/>
        <sz val="15.0"/>
        <u/>
      </rPr>
      <t>La dueña de Iberia y Vueling sella con Repsol la mayor compra de combustible verde de España</t>
    </r>
    <r>
      <rPr>
        <rFont val="Arial, sans-serif"/>
        <color rgb="FF1155CC"/>
        <sz val="11.0"/>
        <u/>
      </rPr>
      <t>IAG y la petrolera sella la adquisición de 28.000 toneladas de carburante sostenible de aviación para alimentar a todas las aerolíneas del grupo aéreo.</t>
    </r>
    <r>
      <rPr>
        <rFont val="Arial, sans-serif"/>
        <color rgb="FF1155CC"/>
        <sz val="12.0"/>
        <u/>
      </rPr>
      <t>.</t>
    </r>
    <r>
      <rPr>
        <rFont val="Arial, sans-serif"/>
        <color rgb="FF1155CC"/>
        <sz val="11.0"/>
        <u/>
      </rPr>
      <t>1 ago 2024</t>
    </r>
  </si>
  <si>
    <t>La dueña de Iberia y Vueling sella con Repsol la mayor compra de combustible verde de España</t>
  </si>
  <si>
    <t>IAG y la petrolera sella la adquisición de 28.000 toneladas de carburante sostenible de aviación para alimentar a todas las aerolíneas del grupo aéreo.</t>
  </si>
  <si>
    <t>The owner of Iberia and Vueling seals with Repsol the largest purchase of green fuel in Spain</t>
  </si>
  <si>
    <t>IAG and the oil company seal the acquisition of 28,000 tons of sustainable aviation fuel to feed all the airlines of the airline group.</t>
  </si>
  <si>
    <t>Positive as it underscores Repsol’s leadership in sustainable fuel initiatives.</t>
  </si>
  <si>
    <r>
      <rPr>
        <rFont val="Arial, sans-serif"/>
        <color rgb="FF1155CC"/>
        <sz val="9.0"/>
        <u/>
      </rPr>
      <t>Guía Repsol</t>
    </r>
    <r>
      <rPr>
        <rFont val="Arial, sans-serif"/>
        <color rgb="FF1155CC"/>
        <sz val="15.0"/>
        <u/>
      </rPr>
      <t>Restaurante Bolboreta (Madrid): vibrante cocina con sorpresa british</t>
    </r>
    <r>
      <rPr>
        <rFont val="Arial, sans-serif"/>
        <color rgb="FF1155CC"/>
        <sz val="11.0"/>
        <u/>
      </rPr>
      <t>Patricia Grandío y Aaron Quaife, una gallega y un inglés que se conocieron trabajando en Londres, ofrecen en el restaurante Bolboreta (Madrid) una cocina...</t>
    </r>
    <r>
      <rPr>
        <rFont val="Arial, sans-serif"/>
        <color rgb="FF1155CC"/>
        <sz val="12.0"/>
        <u/>
      </rPr>
      <t>.</t>
    </r>
    <r>
      <rPr>
        <rFont val="Arial, sans-serif"/>
        <color rgb="FF1155CC"/>
        <sz val="11.0"/>
        <u/>
      </rPr>
      <t>1 ago 2024</t>
    </r>
  </si>
  <si>
    <t>Restaurante Bolboreta (Madrid): vibrante cocina con sorpresa british</t>
  </si>
  <si>
    <t>vibrante cocina con sorpresa british</t>
  </si>
  <si>
    <t>Bolboreta Restaurant (Madrid): vibrant cuisine with a British surprise</t>
  </si>
  <si>
    <t>vibrant cuisine with british surprise</t>
  </si>
  <si>
    <r>
      <rPr>
        <rFont val="Arial, sans-serif"/>
        <color rgb="FF1155CC"/>
        <sz val="9.0"/>
        <u/>
      </rPr>
      <t>- Actualidad Aeroespacial</t>
    </r>
    <r>
      <rPr>
        <rFont val="Arial, sans-serif"/>
        <color rgb="FF1155CC"/>
        <sz val="15.0"/>
        <u/>
      </rPr>
      <t>La Guardia Civil realiza su primer vuelo con combustible sostenible gracias a Repsol</t>
    </r>
    <r>
      <rPr>
        <rFont val="Arial, sans-serif"/>
        <color rgb="FF1155CC"/>
        <sz val="11.0"/>
        <u/>
      </rPr>
      <t>La Guardia Civil ha completado con éxito su primer vuelo utilizando combustible sostenible para la aviación, también conocido como SAF (Sustainable Aviation...</t>
    </r>
    <r>
      <rPr>
        <rFont val="Arial, sans-serif"/>
        <color rgb="FF1155CC"/>
        <sz val="12.0"/>
        <u/>
      </rPr>
      <t>.</t>
    </r>
    <r>
      <rPr>
        <rFont val="Arial, sans-serif"/>
        <color rgb="FF1155CC"/>
        <sz val="11.0"/>
        <u/>
      </rPr>
      <t>1 ago 2024</t>
    </r>
  </si>
  <si>
    <t>La Guardia Civil realiza su primer vuelo con combustible sostenible gracias a Repsol</t>
  </si>
  <si>
    <t>La Guardia Civil ha completado con éxito su primer vuelo utilizando combustible sostenible para la aviación, también conocido como SAF (Sustainable Aviation....</t>
  </si>
  <si>
    <t>The Civil Guard carries out its first flight with sustainable fuel thanks to Repsol</t>
  </si>
  <si>
    <t>The Civil Guard has successfully completed its first flight using sustainable aviation fuel, also known as SAF (Sustainable Aviation...).</t>
  </si>
  <si>
    <t>Positive as it highlights Repsol’s role in advancing sustainable aviation.</t>
  </si>
  <si>
    <r>
      <rPr>
        <rFont val="Arial, sans-serif"/>
        <color rgb="FF1155CC"/>
        <sz val="9.0"/>
        <u/>
      </rPr>
      <t>Motociclismo</t>
    </r>
    <r>
      <rPr>
        <rFont val="Arial, sans-serif"/>
        <color rgb="FF1155CC"/>
        <sz val="15.0"/>
        <u/>
      </rPr>
      <t>Todas las decoraciones especiales para el 75º aniversario del Mundial de MotoGP</t>
    </r>
    <r>
      <rPr>
        <rFont val="Arial, sans-serif"/>
        <color rgb="FF1155CC"/>
        <sz val="11.0"/>
        <u/>
      </rPr>
      <t>Las decoraciones de llevarán los 11 equipos en Silverstone para conmemorar el 75º aniversario del Mundial. Swinxy. Fotos: ©MotoGP.com.</t>
    </r>
    <r>
      <rPr>
        <rFont val="Arial, sans-serif"/>
        <color rgb="FF1155CC"/>
        <sz val="12.0"/>
        <u/>
      </rPr>
      <t>.</t>
    </r>
    <r>
      <rPr>
        <rFont val="Arial, sans-serif"/>
        <color rgb="FF1155CC"/>
        <sz val="11.0"/>
        <u/>
      </rPr>
      <t>1 ago 2024</t>
    </r>
  </si>
  <si>
    <t>MotoGP.com</t>
  </si>
  <si>
    <t>Todas las decoraciones especiales para el 75º aniversario del Mundial de MotoGP</t>
  </si>
  <si>
    <t>Las decoraciones de llevarán los 11 equipos en Silverstone para conmemorar el 75º aniversario del Mundial. Swinxy. Fotos: ©MotoGP.com.</t>
  </si>
  <si>
    <t>All the special decorations for the 75th anniversary of the MotoGP World Championship</t>
  </si>
  <si>
    <t>The decorations will be worn by the 11 teams at Silverstone to commemorate the 75th anniversary of the World Championship. Swinxy. Photos: ©MotoGP.com.</t>
  </si>
  <si>
    <r>
      <rPr>
        <rFont val="Arial, sans-serif"/>
        <color rgb="FF1155CC"/>
        <sz val="9.0"/>
        <u/>
      </rPr>
      <t>Guía Repsol</t>
    </r>
    <r>
      <rPr>
        <rFont val="Arial, sans-serif"/>
        <color rgb="FF1155CC"/>
        <sz val="15.0"/>
        <u/>
      </rPr>
      <t>Hotel Sabina en Gredos, la magia de dormir en medio de la naturaleza</t>
    </r>
    <r>
      <rPr>
        <rFont val="Arial, sans-serif"/>
        <color rgb="FF1155CC"/>
        <sz val="11.0"/>
        <u/>
      </rPr>
      <t>'Hotel Sabina' es una gran casa rehabilitada y convertida en alojamiento rural de siete habitaciones con unos jardines para perderse. Sin embargo, Raúl Ber.</t>
    </r>
    <r>
      <rPr>
        <rFont val="Arial, sans-serif"/>
        <color rgb="FF1155CC"/>
        <sz val="12.0"/>
        <u/>
      </rPr>
      <t>.</t>
    </r>
    <r>
      <rPr>
        <rFont val="Arial, sans-serif"/>
        <color rgb="FF1155CC"/>
        <sz val="11.0"/>
        <u/>
      </rPr>
      <t>1 ago 2024</t>
    </r>
  </si>
  <si>
    <t>Hotel Sabina en Gredos, la magia de dormir en medio de la naturaleza</t>
  </si>
  <si>
    <t>'Hotel Sabina' es una gran casa rehabilitada y convertida en alojamiento rural de siete habitaciones con unos jardines para perderse. Sin embargo, Raúl Ber..</t>
  </si>
  <si>
    <t>Hotel Sabina in Gredos, the magic of sleeping in the middle of nature</t>
  </si>
  <si>
    <t>'Hotel Sabina' is a large house renovated and converted into rural accommodation with seven rooms with gardens to get lost in. However, Raúl Ber..</t>
  </si>
  <si>
    <r>
      <rPr>
        <rFont val="Arial, sans-serif"/>
        <color rgb="FF1155CC"/>
        <sz val="9.0"/>
        <u/>
      </rPr>
      <t>Box Repsol</t>
    </r>
    <r>
      <rPr>
        <rFont val="Arial, sans-serif"/>
        <color rgb="FF1155CC"/>
        <sz val="15.0"/>
        <u/>
      </rPr>
      <t>Top 5 motos para ciudad en 2024</t>
    </r>
    <r>
      <rPr>
        <rFont val="Arial, sans-serif"/>
        <color rgb="FF1155CC"/>
        <sz val="11.0"/>
        <u/>
      </rPr>
      <t>Moto y ciudad es una buenísima combinación. Pero del mismo modo que no te irás a hacer trial con un ciclomotor, tampoco es recomendable que circules por tus...</t>
    </r>
    <r>
      <rPr>
        <rFont val="Arial, sans-serif"/>
        <color rgb="FF1155CC"/>
        <sz val="12.0"/>
        <u/>
      </rPr>
      <t>.</t>
    </r>
    <r>
      <rPr>
        <rFont val="Arial, sans-serif"/>
        <color rgb="FF1155CC"/>
        <sz val="11.0"/>
        <u/>
      </rPr>
      <t>1 ago 2024</t>
    </r>
  </si>
  <si>
    <t>Top 5 motos para ciudad en 2024</t>
  </si>
  <si>
    <t>Moto y ciudad es una buenísima combinación. Pero del mismo modo que no te irás a hacer trial con un ciclomotor, tampoco es recomendable que circules por tus....</t>
  </si>
  <si>
    <t>Top 5 motorcycles for the city in 2024</t>
  </si>
  <si>
    <t>Motorcycle and city is a great combination. But in the same way that you will not go to trial on a moped, it is not recommended that you circulate on your...</t>
  </si>
  <si>
    <r>
      <rPr>
        <rFont val="Arial, sans-serif"/>
        <color rgb="FF1155CC"/>
        <sz val="9.0"/>
        <u/>
      </rPr>
      <t>Guía Repsol</t>
    </r>
    <r>
      <rPr>
        <rFont val="Arial, sans-serif"/>
        <color rgb="FF1155CC"/>
        <sz val="15.0"/>
        <u/>
      </rPr>
      <t>Restaurante 144. (Vitoria)</t>
    </r>
    <r>
      <rPr>
        <rFont val="Arial, sans-serif"/>
        <color rgb="FF1155CC"/>
        <sz val="11.0"/>
        <u/>
      </rPr>
      <t>Saborea coctelería de autor y cocina viajera en el Restaurante 144 Vitoria, un clandestino íntimo en Vitoria. Menú degustación, ambiente acogedor.</t>
    </r>
    <r>
      <rPr>
        <rFont val="Arial, sans-serif"/>
        <color rgb="FF1155CC"/>
        <sz val="12.0"/>
        <u/>
      </rPr>
      <t>.</t>
    </r>
    <r>
      <rPr>
        <rFont val="Arial, sans-serif"/>
        <color rgb="FF1155CC"/>
        <sz val="11.0"/>
        <u/>
      </rPr>
      <t>1 ago 2024</t>
    </r>
  </si>
  <si>
    <t>Saborea coctelería de autor y cocina viajera en el Restaurante 144 Vitoria, un clandestino íntimo en Vitoria.</t>
  </si>
  <si>
    <t>Saborea coctelería de autor y cocina viajera en el Restaurante 144 Vitoria, un clandestino íntimo en Vitoria. Menú degustación, ambiente acogedor.</t>
  </si>
  <si>
    <t>Savor signature cocktails and travel cuisine at Restaurant 144 Vitoria, an intimate clandestine in Vitoria.</t>
  </si>
  <si>
    <t>Savor signature cocktails and travel cuisine at Restaurant 144 Vitoria, an intimate clandestine in Vitoria. Tasting menu, cozy atmosphere.</t>
  </si>
  <si>
    <r>
      <rPr>
        <rFont val="Arial, sans-serif"/>
        <color rgb="FF1155CC"/>
        <sz val="9.0"/>
        <u/>
      </rPr>
      <t>MotoGP</t>
    </r>
    <r>
      <rPr>
        <rFont val="Arial, sans-serif"/>
        <color rgb="FF1155CC"/>
        <sz val="15.0"/>
        <u/>
      </rPr>
      <t>GALERÍA: Los diseños especiales del 75º aniversario</t>
    </r>
    <r>
      <rPr>
        <rFont val="Arial, sans-serif"/>
        <color rgb="FF1155CC"/>
        <sz val="11.0"/>
        <u/>
      </rPr>
      <t>Disfruta de una galería exclusiva de los diseños vintage con los que competirán los pilotos de MotoGP™ en la carrera del GP británico de 2024.</t>
    </r>
    <r>
      <rPr>
        <rFont val="Arial, sans-serif"/>
        <color rgb="FF1155CC"/>
        <sz val="12.0"/>
        <u/>
      </rPr>
      <t>.</t>
    </r>
    <r>
      <rPr>
        <rFont val="Arial, sans-serif"/>
        <color rgb="FF1155CC"/>
        <sz val="11.0"/>
        <u/>
      </rPr>
      <t>1 ago 2024</t>
    </r>
  </si>
  <si>
    <t>GALERÍA: Los diseños especiales del 75º aniversario</t>
  </si>
  <si>
    <t>Disfruta de una galería exclusiva de los diseños vintage con los que competirán los pilotos de MotoGP™ en la carrera del GP británico de 2024.</t>
  </si>
  <si>
    <t>GALLERY: The special designs of the 75th anniversary</t>
  </si>
  <si>
    <t>Enjoy an exclusive gallery of the vintage designs that MotoGP™ riders will compete in in the 2024 British GP race.</t>
  </si>
  <si>
    <r>
      <rPr>
        <rFont val="Arial, sans-serif"/>
        <color rgb="FF1155CC"/>
        <sz val="9.0"/>
        <u/>
      </rPr>
      <t>Noticiastrabajo</t>
    </r>
    <r>
      <rPr>
        <rFont val="Arial, sans-serif"/>
        <color rgb="FF1155CC"/>
        <sz val="15.0"/>
        <u/>
      </rPr>
      <t>El precio de la gasolina cambia a partir de agosto y el diésel ya se vende a 1 euro</t>
    </r>
    <r>
      <rPr>
        <rFont val="Arial, sans-serif"/>
        <color rgb="FF1155CC"/>
        <sz val="11.0"/>
        <u/>
      </rPr>
      <t>En plena 'Operación Salida' el precio medio de la gasolina está a 1611 euros el litro y el diésel a 1483 euros. Aún así, hay gasolineras que venden estos...</t>
    </r>
    <r>
      <rPr>
        <rFont val="Arial, sans-serif"/>
        <color rgb="FF1155CC"/>
        <sz val="12.0"/>
        <u/>
      </rPr>
      <t>.</t>
    </r>
    <r>
      <rPr>
        <rFont val="Arial, sans-serif"/>
        <color rgb="FF1155CC"/>
        <sz val="11.0"/>
        <u/>
      </rPr>
      <t>1 ago 2024</t>
    </r>
  </si>
  <si>
    <t>El precio de la gasolina cambia a partir de agosto y el diésel ya se vende a 1 euro</t>
  </si>
  <si>
    <t>En plena 'Operación Salida' el precio medio de la gasolina está a 1611 euros el litro y el diésel a 1483 euros. Aún así, hay gasolineras que venden estos....</t>
  </si>
  <si>
    <t>The price of gasoline changes from August and diesel is already sold for 1 euro</t>
  </si>
  <si>
    <t>In the midst of 'Operation Exit' the average price of gasoline is 1,611 euros per liter and diesel is 1,483 euros. Still, there are gas stations that sell these....</t>
  </si>
  <si>
    <t>Repsol fuel prices, market trends</t>
  </si>
  <si>
    <t>Precios de los combustibles Repsol, tendencias del mercado</t>
  </si>
  <si>
    <t>Negative as it highlights fuel price fluctuations, which may be seen as unfavorable for consumers.</t>
  </si>
  <si>
    <r>
      <rPr>
        <rFont val="Arial, sans-serif"/>
        <color rgb="FF1155CC"/>
        <sz val="9.0"/>
        <u/>
      </rPr>
      <t>Onda Cero</t>
    </r>
    <r>
      <rPr>
        <rFont val="Arial, sans-serif"/>
        <color rgb="FF1155CC"/>
        <sz val="15.0"/>
        <u/>
      </rPr>
      <t>Repsol lleva su multienergía al Arenal Sound de Burriana</t>
    </r>
    <r>
      <rPr>
        <rFont val="Arial, sans-serif"/>
        <color rgb="FF1155CC"/>
        <sz val="11.0"/>
        <u/>
      </rPr>
      <t>Repsol impulsa su estrategia multienergía ahondando en el patrocinio de eventos de ocio, consciente de que la música, la cultura, el cine o la gastronomía...</t>
    </r>
    <r>
      <rPr>
        <rFont val="Arial, sans-serif"/>
        <color rgb="FF1155CC"/>
        <sz val="12.0"/>
        <u/>
      </rPr>
      <t>.</t>
    </r>
    <r>
      <rPr>
        <rFont val="Arial, sans-serif"/>
        <color rgb="FF1155CC"/>
        <sz val="11.0"/>
        <u/>
      </rPr>
      <t>2 ago 2024</t>
    </r>
  </si>
  <si>
    <t>Repsol lleva su multienergía al Arenal Sound de Burriana</t>
  </si>
  <si>
    <t>Repsol impulsa su estrategia multienergía ahondando en el patrocinio de eventos de ocio, consciente de que la música, la cultura, el cine o la gastronomía....</t>
  </si>
  <si>
    <t>Repsol brings its multi-energy to the Arenal Sound in Burriana</t>
  </si>
  <si>
    <t>Repsol promotes its multi-energy strategy by delving into the sponsorship of leisure events, aware that music, culture, cinema or gastronomy...</t>
  </si>
  <si>
    <t>Repsol sustainability, brand engagement</t>
  </si>
  <si>
    <t>Sostenibilidad Repsol, compromiso con la marca</t>
  </si>
  <si>
    <t>Positive as it highlights Repsol’s engagement in cultural sponsorships.</t>
  </si>
  <si>
    <t>Neutral brand event</t>
  </si>
  <si>
    <t>Evento de marca neutral</t>
  </si>
  <si>
    <r>
      <rPr>
        <rFont val="Arial, sans-serif"/>
        <color rgb="FF1155CC"/>
        <sz val="9.0"/>
        <u/>
      </rPr>
      <t>El Confidencial</t>
    </r>
    <r>
      <rPr>
        <rFont val="Arial, sans-serif"/>
        <color rgb="FF1155CC"/>
        <sz val="15.0"/>
        <u/>
      </rPr>
      <t>Repsol alerta de una nueva ola de estafas telefónicas: “no somos nosotros”</t>
    </r>
    <r>
      <rPr>
        <rFont val="Arial, sans-serif"/>
        <color rgb="FF1155CC"/>
        <sz val="11.0"/>
        <u/>
      </rPr>
      <t>La compañía energética ha dado la voz de alarma a través de un mensaje enviado por correo electrónico. Invita a extremar las precauciones y a seguir sus...</t>
    </r>
    <r>
      <rPr>
        <rFont val="Arial, sans-serif"/>
        <color rgb="FF1155CC"/>
        <sz val="12.0"/>
        <u/>
      </rPr>
      <t>.</t>
    </r>
    <r>
      <rPr>
        <rFont val="Arial, sans-serif"/>
        <color rgb="FF1155CC"/>
        <sz val="11.0"/>
        <u/>
      </rPr>
      <t>2 ago 2024</t>
    </r>
  </si>
  <si>
    <t>Repsol alerta de una nueva ola de estafas telefónicas: “no somos nosotros”</t>
  </si>
  <si>
    <t>La compañía energética ha dado la voz de alarma a través de un mensaje enviado por correo electrónico. Invita a extremar las precauciones y a seguir sus....</t>
  </si>
  <si>
    <t>Repsol warns of a new wave of telephone scams: “it's not us”</t>
  </si>
  <si>
    <t>The energy company has raised the alarm through a message sent by email. Invites you to take extreme precautions and follow your...</t>
  </si>
  <si>
    <t>Repsol cybersecurity, consumer protection</t>
  </si>
  <si>
    <t>Ciberseguridad de Repsol, protección al consumidor</t>
  </si>
  <si>
    <t>Negative as it discusses fraud attempts using Repsol’s name.</t>
  </si>
  <si>
    <t>estafas telefónicas</t>
  </si>
  <si>
    <t>Negative fraud association</t>
  </si>
  <si>
    <t>Asociación de fraude negativo</t>
  </si>
  <si>
    <r>
      <rPr>
        <rFont val="Arial, sans-serif"/>
        <color rgb="FF1155CC"/>
        <sz val="9.0"/>
        <u/>
      </rPr>
      <t>Negocios TV</t>
    </r>
    <r>
      <rPr>
        <rFont val="Arial, sans-serif"/>
        <color rgb="FF1155CC"/>
        <sz val="15.0"/>
        <u/>
      </rPr>
      <t>Repsol y Pdvsa amplían su colaboración en Venezuela</t>
    </r>
    <r>
      <rPr>
        <rFont val="Arial, sans-serif"/>
        <color rgb="FF1155CC"/>
        <sz val="11.0"/>
        <u/>
      </rPr>
      <t>Petróleos de Venezuela (Pdvsa) y la española Repsol han firmado un acuerdo para extender el área geográfica de la empresa mixta Petroquiriquire entre la...</t>
    </r>
    <r>
      <rPr>
        <rFont val="Arial, sans-serif"/>
        <color rgb="FF1155CC"/>
        <sz val="12.0"/>
        <u/>
      </rPr>
      <t>.</t>
    </r>
    <r>
      <rPr>
        <rFont val="Arial, sans-serif"/>
        <color rgb="FF1155CC"/>
        <sz val="11.0"/>
        <u/>
      </rPr>
      <t>2 ago 2024</t>
    </r>
  </si>
  <si>
    <t>Negocios TV</t>
  </si>
  <si>
    <t>Repsol y Pdvsa amplían su colaboración en Venezuela</t>
  </si>
  <si>
    <t>Petróleos de Venezuela (Pdvsa) y la española Repsol han firmado un acuerdo para extender el área geográfica de la empresa mixta Petroquiriquire entre la....</t>
  </si>
  <si>
    <t>Repsol and PDVSA expand their collaboration in Venezuela</t>
  </si>
  <si>
    <t>Petróleos de Venezuela (Pdvsa) and the Spanish company Repsol have signed an agreement to extend the geographical area of ​​the Petroquiriquire joint venture between the...</t>
  </si>
  <si>
    <t>Positive as it signals Repsol’s expansion in Venezuela.</t>
  </si>
  <si>
    <t>colaboración Venezuela</t>
  </si>
  <si>
    <r>
      <rPr>
        <rFont val="Arial, sans-serif"/>
        <color rgb="FF1155CC"/>
        <sz val="9.0"/>
        <u/>
      </rPr>
      <t>Confidencial Digital</t>
    </r>
    <r>
      <rPr>
        <rFont val="Arial, sans-serif"/>
        <color rgb="FF1155CC"/>
        <sz val="15.0"/>
        <u/>
      </rPr>
      <t>Telefónica, BBVA y Repsol tienen decidido no abandonar Venezuela</t>
    </r>
    <r>
      <rPr>
        <rFont val="Arial, sans-serif"/>
        <color rgb="FF1155CC"/>
        <sz val="11.0"/>
        <u/>
      </rPr>
      <t>Las grandes empresas españolas con presencia en Venezuela, como Telefónica, BBVA y Repsol, no se plantean abandonar el país, pese a las fuertes protestas en...</t>
    </r>
    <r>
      <rPr>
        <rFont val="Arial, sans-serif"/>
        <color rgb="FF1155CC"/>
        <sz val="12.0"/>
        <u/>
      </rPr>
      <t>.</t>
    </r>
    <r>
      <rPr>
        <rFont val="Arial, sans-serif"/>
        <color rgb="FF1155CC"/>
        <sz val="11.0"/>
        <u/>
      </rPr>
      <t>2 ago 2024</t>
    </r>
  </si>
  <si>
    <t>Telefónica, BBVA y Repsol tienen decidido no abandonar Venezuela</t>
  </si>
  <si>
    <t>Las grandes empresas españolas con presencia en Venezuela, como Telefónica, BBVA y Repsol, no se plantean abandonar el país, pese a las fuertes protestas en....</t>
  </si>
  <si>
    <t>Telefónica, BBVA and Repsol have decided not to abandon Venezuela</t>
  </si>
  <si>
    <t>Large Spanish companies with a presence in Venezuela, such as Telefónica, BBVA and Repsol, are not considering leaving the country, despite strong protests in...</t>
  </si>
  <si>
    <t>Repsol business strategy, market trends</t>
  </si>
  <si>
    <t>Estrategia de negocio de Repsol, tendencias del mercado</t>
  </si>
  <si>
    <t>Negative as it mentions risks associated with staying in Venezuela.</t>
  </si>
  <si>
    <t>no abandonar Venezuela</t>
  </si>
  <si>
    <t>Neutral business decision</t>
  </si>
  <si>
    <t>Decisión comercial neutral</t>
  </si>
  <si>
    <r>
      <rPr>
        <rFont val="Arial, sans-serif"/>
        <color rgb="FF1155CC"/>
        <sz val="9.0"/>
        <u/>
      </rPr>
      <t>Guía Repsol</t>
    </r>
    <r>
      <rPr>
        <rFont val="Arial, sans-serif"/>
        <color rgb="FF1155CC"/>
        <sz val="15.0"/>
        <u/>
      </rPr>
      <t>Este verano refréscate en la Playa de Peloche</t>
    </r>
    <r>
      <rPr>
        <rFont val="Arial, sans-serif"/>
        <color rgb="FF1155CC"/>
        <sz val="11.0"/>
        <u/>
      </rPr>
      <t>En plena Siberia extremeña, una comarca lejos de todo, está la playa de Peloche (Herrera del Duque, Badajoz), que cuenta con bandera azul y ofrece una...</t>
    </r>
    <r>
      <rPr>
        <rFont val="Arial, sans-serif"/>
        <color rgb="FF1155CC"/>
        <sz val="12.0"/>
        <u/>
      </rPr>
      <t>.</t>
    </r>
    <r>
      <rPr>
        <rFont val="Arial, sans-serif"/>
        <color rgb="FF1155CC"/>
        <sz val="11.0"/>
        <u/>
      </rPr>
      <t>2 ago 2024</t>
    </r>
  </si>
  <si>
    <t>Este verano refréscate en la Playa de Peloche</t>
  </si>
  <si>
    <t>En plena Siberia extremeña, una comarca lejos de todo, está la playa de Peloche (Herrera del Duque, Badajoz), que cuenta con bandera azul y ofrece una....</t>
  </si>
  <si>
    <t>This summer cool off at Peloche Beach</t>
  </si>
  <si>
    <t>In the heart of Extremadura's Siberia, a region far from everything, is Peloche beach (Herrera del Duque, Badajoz), which has a blue flag and offers a...</t>
  </si>
  <si>
    <r>
      <rPr>
        <rFont val="Arial, sans-serif"/>
        <color rgb="FF1155CC"/>
        <sz val="9.0"/>
        <u/>
      </rPr>
      <t>Cinco Días</t>
    </r>
    <r>
      <rPr>
        <rFont val="Arial, sans-serif"/>
        <color rgb="FF1155CC"/>
        <sz val="15.0"/>
        <u/>
      </rPr>
      <t>El Ibex 35 toma impulso y sube un 1,5% hasta recuperar los 10.800 puntos</t>
    </r>
    <r>
      <rPr>
        <rFont val="Arial, sans-serif"/>
        <color rgb="FF1155CC"/>
        <sz val="11.0"/>
        <u/>
      </rPr>
      <t>El selectivo español se deja llevar por el optimismo en plena temporada de resultados y la estabilización de los conflictos en Oriente Medio.</t>
    </r>
    <r>
      <rPr>
        <rFont val="Arial, sans-serif"/>
        <color rgb="FF1155CC"/>
        <sz val="12.0"/>
        <u/>
      </rPr>
      <t>.</t>
    </r>
    <r>
      <rPr>
        <rFont val="Arial, sans-serif"/>
        <color rgb="FF1155CC"/>
        <sz val="11.0"/>
        <u/>
      </rPr>
      <t>2 ago 2024</t>
    </r>
  </si>
  <si>
    <t>El Ibex 35 toma impulso y sube un 1,5% hasta recuperar los 10.800 puntos</t>
  </si>
  <si>
    <t>El selectivo español se deja llevar por el optimismo en plena temporada de resultados y la estabilización de los conflictos en Oriente Medio.</t>
  </si>
  <si>
    <t>The Ibex 35 gains momentum and rises 1.5% to recover 10,800 points</t>
  </si>
  <si>
    <t>The Spanish selective is carried away by optimism in the middle of the results season and the stabilization of the conflicts in the Middle East.</t>
  </si>
  <si>
    <r>
      <rPr>
        <rFont val="Arial, sans-serif"/>
        <color rgb="FF1155CC"/>
        <sz val="9.0"/>
        <u/>
      </rPr>
      <t>Estrategias de Inversión</t>
    </r>
    <r>
      <rPr>
        <rFont val="Arial, sans-serif"/>
        <color rgb="FF1155CC"/>
        <sz val="15.0"/>
        <u/>
      </rPr>
      <t>Las inversiones de España en Venezuela: Telefónica, Mapfre, Meliá o IAG se juegan muchos millones...</t>
    </r>
    <r>
      <rPr>
        <rFont val="Arial, sans-serif"/>
        <color rgb="FF1155CC"/>
        <sz val="11.0"/>
        <u/>
      </rPr>
      <t>Las inversiones de España en Venezuela: Telefónica, Mapfre, Meliá, Repsol o IAG, entre las empresas con más intereses. Deuda e inversiones entre España y...</t>
    </r>
    <r>
      <rPr>
        <rFont val="Arial, sans-serif"/>
        <color rgb="FF1155CC"/>
        <sz val="12.0"/>
        <u/>
      </rPr>
      <t>.</t>
    </r>
    <r>
      <rPr>
        <rFont val="Arial, sans-serif"/>
        <color rgb="FF1155CC"/>
        <sz val="11.0"/>
        <u/>
      </rPr>
      <t>2 ago 2024</t>
    </r>
  </si>
  <si>
    <t>Las inversiones de España en Venezuela: Telefónica, Mapfre, Meliá o IAG se juegan muchos millones...</t>
  </si>
  <si>
    <t>Las inversiones de España en Venezuela: Telefónica, Mapfre, Meliá, Repsol o IAG, entre las empresas con más intereses. Deuda e inversiones entre España y...</t>
  </si>
  <si>
    <t>Spain's investments in Venezuela: Telefónica, Mapfre, Meliá or IAG are at risk for many millions...</t>
  </si>
  <si>
    <t>Spain's investments in Venezuela: Telefónica, Mapfre, Meliá, Repsol or IAG, among the companies with the most interests. Debt and investments between Spain and...</t>
  </si>
  <si>
    <t>Slightly positive as it highlights significant investments, though with some risks.</t>
  </si>
  <si>
    <t>inversiones</t>
  </si>
  <si>
    <t>Neutral business activity</t>
  </si>
  <si>
    <t>Actividad empresarial neutral</t>
  </si>
  <si>
    <r>
      <rPr>
        <rFont val="Arial, sans-serif"/>
        <color rgb="FF1155CC"/>
        <sz val="9.0"/>
        <u/>
      </rPr>
      <t>Guía Repsol</t>
    </r>
    <r>
      <rPr>
        <rFont val="Arial, sans-serif"/>
        <color rgb="FF1155CC"/>
        <sz val="15.0"/>
        <u/>
      </rPr>
      <t>Descubre la ruta acuática por el Barranco Blanco en Coín</t>
    </r>
    <r>
      <rPr>
        <rFont val="Arial, sans-serif"/>
        <color rgb="FF1155CC"/>
        <sz val="11.0"/>
        <u/>
      </rPr>
      <t>La ruta acuática por el paraje malagueño de Barranco Blanco, a un paso de la Costa del Sol, es una fantástica alternativa al caluroso verano andaluz repleta...</t>
    </r>
    <r>
      <rPr>
        <rFont val="Arial, sans-serif"/>
        <color rgb="FF1155CC"/>
        <sz val="12.0"/>
        <u/>
      </rPr>
      <t>.</t>
    </r>
    <r>
      <rPr>
        <rFont val="Arial, sans-serif"/>
        <color rgb="FF1155CC"/>
        <sz val="11.0"/>
        <u/>
      </rPr>
      <t>2 ago 2024</t>
    </r>
  </si>
  <si>
    <t>Descubre la ruta acuática por el Barranco Blanco en Coín</t>
  </si>
  <si>
    <t>La ruta acuática por el paraje malagueño de Barranco Blanco, a un paso de la Costa del Sol, es una fantástica alternativa al caluroso verano andaluz repleta....</t>
  </si>
  <si>
    <t>Discover the aquatic route through the Barranco Blanco in Coín</t>
  </si>
  <si>
    <t>The aquatic route through the Malaga area of ​​Barranco Blanco, just a stone's throw from the Costa del Sol, is a fantastic alternative to the hot Andalusian summer full of...</t>
  </si>
  <si>
    <r>
      <rPr>
        <rFont val="Arial, sans-serif"/>
        <color rgb="FF1155CC"/>
        <sz val="9.0"/>
        <u/>
      </rPr>
      <t>Guía Repsol</t>
    </r>
    <r>
      <rPr>
        <rFont val="Arial, sans-serif"/>
        <color rgb="FF1155CC"/>
        <sz val="15.0"/>
        <u/>
      </rPr>
      <t>Dónde ver las estrellas en las noches de verano en Castilla-La Mancha</t>
    </r>
    <r>
      <rPr>
        <rFont val="Arial, sans-serif"/>
        <color rgb="FF1155CC"/>
        <sz val="11.0"/>
        <u/>
      </rPr>
      <t>Castilla-La Mancha es un destino perfecto para el cada vez más demandado astroturismo. Descubre sus más de doscientas localidades con certificado Starlight.</t>
    </r>
    <r>
      <rPr>
        <rFont val="Arial, sans-serif"/>
        <color rgb="FF1155CC"/>
        <sz val="12.0"/>
        <u/>
      </rPr>
      <t>.</t>
    </r>
    <r>
      <rPr>
        <rFont val="Arial, sans-serif"/>
        <color rgb="FF1155CC"/>
        <sz val="11.0"/>
        <u/>
      </rPr>
      <t>2 ago 2024</t>
    </r>
  </si>
  <si>
    <t>Dónde ver las estrellas en las noches de verano en Castilla-La Mancha</t>
  </si>
  <si>
    <t>Castilla-La Mancha es un destino perfecto para el cada vez más demandado astroturismo. Descubre sus más de doscientas localidades con certificado Starlight.</t>
  </si>
  <si>
    <t>Where to see the stars on summer nights in Castilla-La Mancha</t>
  </si>
  <si>
    <t>Castilla-La Mancha is a perfect destination for the increasingly popular astrotourism. Discover its more than two hundred Starlight certified locations.</t>
  </si>
  <si>
    <r>
      <rPr>
        <rFont val="Arial, sans-serif"/>
        <color rgb="FF1155CC"/>
        <sz val="9.0"/>
        <u/>
      </rPr>
      <t>Cinco Días</t>
    </r>
    <r>
      <rPr>
        <rFont val="Arial, sans-serif"/>
        <color rgb="FF1155CC"/>
        <sz val="15.0"/>
        <u/>
      </rPr>
      <t>El dato de inflación en EE UU apuntala al Ibex en su regreso a los 11.100 puntos</t>
    </r>
    <r>
      <rPr>
        <rFont val="Arial, sans-serif"/>
        <color rgb="FF1155CC"/>
        <sz val="11.0"/>
        <u/>
      </rPr>
      <t>El selectivo español avanza un 0,9% con los inversores elevando sus apuestas a un próximo recorte de los tipos en EE UU en septiembre.</t>
    </r>
    <r>
      <rPr>
        <rFont val="Arial, sans-serif"/>
        <color rgb="FF1155CC"/>
        <sz val="12.0"/>
        <u/>
      </rPr>
      <t>.</t>
    </r>
    <r>
      <rPr>
        <rFont val="Arial, sans-serif"/>
        <color rgb="FF1155CC"/>
        <sz val="11.0"/>
        <u/>
      </rPr>
      <t>2 ago 2024</t>
    </r>
  </si>
  <si>
    <t>El dato de inflación en EE UU apuntala al Ibex en su regreso a los 11.100 puntos</t>
  </si>
  <si>
    <t>El selectivo español avanza un 0,9% con los inversores elevando sus apuestas a un próximo recorte de los tipos en EE UU en septiembre.</t>
  </si>
  <si>
    <t>The inflation data in the US supports the Ibex in its return to 11,100 points</t>
  </si>
  <si>
    <t>The Spanish selective advances 0.9% with investors raising their bets on an upcoming rate cut in the US in September.</t>
  </si>
  <si>
    <r>
      <rPr>
        <rFont val="Arial, sans-serif"/>
        <color rgb="FF1155CC"/>
        <sz val="9.0"/>
        <u/>
      </rPr>
      <t>Cinco Días</t>
    </r>
    <r>
      <rPr>
        <rFont val="Arial, sans-serif"/>
        <color rgb="FF1155CC"/>
        <sz val="15.0"/>
        <u/>
      </rPr>
      <t>Repsol, un grupo con alto atractivo que permanece en la sombra</t>
    </r>
    <r>
      <rPr>
        <rFont val="Arial, sans-serif"/>
        <color rgb="FF1155CC"/>
        <sz val="11.0"/>
        <u/>
      </rPr>
      <t>Repsol amplía su mala racha: ha perdido el 10,6% en julio y ha entrado en números rojos en el año con un descenso del 3%. La debilidad se ha acelerado el...</t>
    </r>
    <r>
      <rPr>
        <rFont val="Arial, sans-serif"/>
        <color rgb="FF1155CC"/>
        <sz val="12.0"/>
        <u/>
      </rPr>
      <t>.</t>
    </r>
    <r>
      <rPr>
        <rFont val="Arial, sans-serif"/>
        <color rgb="FF1155CC"/>
        <sz val="11.0"/>
        <u/>
      </rPr>
      <t>3 ago 2024</t>
    </r>
  </si>
  <si>
    <t>Repsol, un grupo con alto atractivo que permanece en la sombra</t>
  </si>
  <si>
    <t>Repsol amplía su mala racha: ha perdido el 10,6% en julio y ha entrado en números rojos en el año con un descenso del 3%. La debilidad se ha acelerado el....</t>
  </si>
  <si>
    <t>Repsol, a highly attractive group that remains in the shadows</t>
  </si>
  <si>
    <t>Repsol extends its bad streak: it has lost 10.6% in July and has entered the red for the year with a decrease of 3%. The weakness has accelerated...</t>
  </si>
  <si>
    <t>Bolsa de Repsol, perspectivas de inversión</t>
  </si>
  <si>
    <t>Negative as it emphasizes Repsol’s stock decline.</t>
  </si>
  <si>
    <t>alto atractivo</t>
  </si>
  <si>
    <t>Positive for investment potential</t>
  </si>
  <si>
    <t>Positivo para el potencial de inversión</t>
  </si>
  <si>
    <r>
      <rPr>
        <rFont val="Arial, sans-serif"/>
        <color rgb="FF1155CC"/>
        <sz val="9.0"/>
        <u/>
      </rPr>
      <t>LNE</t>
    </r>
    <r>
      <rPr>
        <rFont val="Arial, sans-serif"/>
        <color rgb="FF1155CC"/>
        <sz val="15.0"/>
        <u/>
      </rPr>
      <t>Repsol se suma al sector eólico en Asturias con un parque en el que invertirá 72 millones</t>
    </r>
    <r>
      <rPr>
        <rFont val="Arial, sans-serif"/>
        <color rgb="FF1155CC"/>
        <sz val="11.0"/>
        <u/>
      </rPr>
      <t>Javier Cuartas. Oviedo 03 AGO 2024 4:00. La multinacional energética española Repsol, que ya produce energía eléctrica en Asturias desde fines de 2018 tras...</t>
    </r>
    <r>
      <rPr>
        <rFont val="Arial, sans-serif"/>
        <color rgb="FF1155CC"/>
        <sz val="12.0"/>
        <u/>
      </rPr>
      <t>.</t>
    </r>
    <r>
      <rPr>
        <rFont val="Arial, sans-serif"/>
        <color rgb="FF1155CC"/>
        <sz val="11.0"/>
        <u/>
      </rPr>
      <t>3 ago 2024</t>
    </r>
  </si>
  <si>
    <t>Repsol se suma al sector eólico en Asturias con un parque en el que invertirá 72 millones</t>
  </si>
  <si>
    <t>La multinacional energética española Repsol, que ya produce energía eléctrica en Asturias desde fines de 2018 tras....</t>
  </si>
  <si>
    <t>Repsol joins the wind sector in Asturias with a park in which it will invest 72 million</t>
  </si>
  <si>
    <t>The Spanish energy multinational Repsol, which has already been producing electricity in Asturias since the end of 2018 after....</t>
  </si>
  <si>
    <t>Positive as it highlights Repsol’s investment in renewable energy.</t>
  </si>
  <si>
    <t>eólico, invertirá</t>
  </si>
  <si>
    <t>Positive for renewable energy investment</t>
  </si>
  <si>
    <t>Positivo para la inversión en energías renovables</t>
  </si>
  <si>
    <r>
      <rPr>
        <rFont val="Arial, sans-serif"/>
        <color rgb="FF1155CC"/>
        <sz val="9.0"/>
        <u/>
      </rPr>
      <t>El Periódico de España</t>
    </r>
    <r>
      <rPr>
        <rFont val="Arial, sans-serif"/>
        <color rgb="FF1155CC"/>
        <sz val="15.0"/>
        <u/>
      </rPr>
      <t>Estas son las joyas del Ibex 35 que arrancan agosto con mayor potencial de revalorización</t>
    </r>
    <r>
      <rPr>
        <rFont val="Arial, sans-serif"/>
        <color rgb="FF1155CC"/>
        <sz val="11.0"/>
        <u/>
      </rPr>
      <t>Grifols, ArcelorMittal, Acerinox, Solaria, IAG y Repsol arrancan con un recorrido alcista superior al 30% de cara a los próximos doce meses según el...</t>
    </r>
    <r>
      <rPr>
        <rFont val="Arial, sans-serif"/>
        <color rgb="FF1155CC"/>
        <sz val="12.0"/>
        <u/>
      </rPr>
      <t>.</t>
    </r>
    <r>
      <rPr>
        <rFont val="Arial, sans-serif"/>
        <color rgb="FF1155CC"/>
        <sz val="11.0"/>
        <u/>
      </rPr>
      <t>3 ago 2024</t>
    </r>
  </si>
  <si>
    <t>Estas son las joyas del Ibex 35 que arrancan agosto con mayor potencial de revalorización</t>
  </si>
  <si>
    <t>Grifols, ArcelorMittal, Acerinox, Solaria, IAG y Repsol arrancan con un recorrido alcista superior al 30% de cara a los próximos doce meses según el....</t>
  </si>
  <si>
    <t>These are the jewels of the Ibex 35 that start August with the greatest potential for revaluation</t>
  </si>
  <si>
    <t>Grifols, ArcelorMittal, Acerinox, Solaria, IAG and Repsol start with an upward trend of more than 30% for the next twelve months according to the...</t>
  </si>
  <si>
    <r>
      <rPr>
        <rFont val="Arial, sans-serif"/>
        <color rgb="FF1155CC"/>
        <sz val="9.0"/>
        <u/>
      </rPr>
      <t>20Minutos</t>
    </r>
    <r>
      <rPr>
        <rFont val="Arial, sans-serif"/>
        <color rgb="FF1155CC"/>
        <sz val="15.0"/>
        <u/>
      </rPr>
      <t>¿Cuáles son las mejores áreas de servicio para parar en la AP-7?</t>
    </r>
    <r>
      <rPr>
        <rFont val="Arial, sans-serif"/>
        <color rgb="FF1155CC"/>
        <sz val="11.0"/>
        <u/>
      </rPr>
      <t>Una empresa de Murcia ha elaborado una lista con los lugares mejor valorados para hacer una parada en la Autopista del Mediterráneo, algo que puede ser muy...</t>
    </r>
    <r>
      <rPr>
        <rFont val="Arial, sans-serif"/>
        <color rgb="FF1155CC"/>
        <sz val="12.0"/>
        <u/>
      </rPr>
      <t>.</t>
    </r>
    <r>
      <rPr>
        <rFont val="Arial, sans-serif"/>
        <color rgb="FF1155CC"/>
        <sz val="11.0"/>
        <u/>
      </rPr>
      <t>3 ago 2024</t>
    </r>
  </si>
  <si>
    <t>¿Cuáles son las mejores áreas de servicio para parar en la AP-7?</t>
  </si>
  <si>
    <t>Una empresa de Murcia ha elaborado una lista con los lugares mejor valorados para hacer una parada en la Autopista del Mediterráneo, algo que puede ser muy....</t>
  </si>
  <si>
    <t>What are the best service areas to stop on the AP-7?</t>
  </si>
  <si>
    <t>A company from Murcia has drawn up a list of the best-rated places to make a stop on the Mediterranean Highway, something that can be very...</t>
  </si>
  <si>
    <r>
      <rPr>
        <rFont val="Arial, sans-serif"/>
        <color rgb="FF1155CC"/>
        <sz val="9.0"/>
        <u/>
      </rPr>
      <t>Emprendedores</t>
    </r>
    <r>
      <rPr>
        <rFont val="Arial, sans-serif"/>
        <color rgb="FF1155CC"/>
        <sz val="15.0"/>
        <u/>
      </rPr>
      <t>8 startups súper campeonas de nicho que triunfan en todo el mundo</t>
    </r>
    <r>
      <rPr>
        <rFont val="Arial, sans-serif"/>
        <color rgb="FF1155CC"/>
        <sz val="11.0"/>
        <u/>
      </rPr>
      <t>Súper campeonas de nicho que triunfan en segmentos tan dispares como el mercado de segunda mano, la construcción o los tratamientos de radioterapia.</t>
    </r>
    <r>
      <rPr>
        <rFont val="Arial, sans-serif"/>
        <color rgb="FF1155CC"/>
        <sz val="12.0"/>
        <u/>
      </rPr>
      <t>.</t>
    </r>
    <r>
      <rPr>
        <rFont val="Arial, sans-serif"/>
        <color rgb="FF1155CC"/>
        <sz val="11.0"/>
        <u/>
      </rPr>
      <t>3 ago 2024</t>
    </r>
  </si>
  <si>
    <t>8 startups súper campeonas de nicho que triunfan en todo el mundo</t>
  </si>
  <si>
    <t>Súper campeonas de nicho que triunfan en segmentos tan dispares como el mercado de segunda mano, la construcción o los tratamientos de radioterapia.</t>
  </si>
  <si>
    <t>8 super niche champion startups that are succeeding around the world</t>
  </si>
  <si>
    <t>Super niche champions that succeed in segments as diverse as the second-hand market, construction or radiotherapy treatments.</t>
  </si>
  <si>
    <r>
      <rPr>
        <rFont val="Arial, sans-serif"/>
        <color rgb="FF1155CC"/>
        <sz val="9.0"/>
        <u/>
      </rPr>
      <t>Crónica Global</t>
    </r>
    <r>
      <rPr>
        <rFont val="Arial, sans-serif"/>
        <color rgb="FF1155CC"/>
        <sz val="15.0"/>
        <u/>
      </rPr>
      <t>El restaurante de pueblo, escondido en Girona, donde mejor se come según National Geographic (y la Guía Michelín)</t>
    </r>
    <r>
      <rPr>
        <rFont val="Arial, sans-serif"/>
        <color rgb="FF1155CC"/>
        <sz val="11.0"/>
        <u/>
      </rPr>
      <t>Un establecimiento culinario excelente para tus sentidos y tu paladar. ¡Descubre cuál es!</t>
    </r>
    <r>
      <rPr>
        <rFont val="Arial, sans-serif"/>
        <color rgb="FF1155CC"/>
        <sz val="12.0"/>
        <u/>
      </rPr>
      <t>.</t>
    </r>
    <r>
      <rPr>
        <rFont val="Arial, sans-serif"/>
        <color rgb="FF1155CC"/>
        <sz val="11.0"/>
        <u/>
      </rPr>
      <t>3 ago 2024</t>
    </r>
  </si>
  <si>
    <t>El restaurante de pueblo, escondido en Girona, donde mejor se come según National Geographic (y la Guía Michelín)</t>
  </si>
  <si>
    <t>Un establecimiento culinario excelente para tus sentidos y tu paladar. ¡Descubre cuál es!.</t>
  </si>
  <si>
    <t>The village restaurant, hidden in Girona, where the best food is according to National Geographic (and the Michelin Guide)</t>
  </si>
  <si>
    <t>An excellent culinary establishment for your senses and your palate. Find out which one it is!</t>
  </si>
  <si>
    <r>
      <rPr>
        <rFont val="Arial, sans-serif"/>
        <color rgb="FF1155CC"/>
        <sz val="9.0"/>
        <u/>
      </rPr>
      <t>OkDiario</t>
    </r>
    <r>
      <rPr>
        <rFont val="Arial, sans-serif"/>
        <color rgb="FF1155CC"/>
        <sz val="15.0"/>
        <u/>
      </rPr>
      <t>Enfriar el planeta dispersando aerosoles en el cielo, la radical solución de la geoingeniería solar</t>
    </r>
    <r>
      <rPr>
        <rFont val="Arial, sans-serif"/>
        <color rgb="FF1155CC"/>
        <sz val="11.0"/>
        <u/>
      </rPr>
      <t>Los científicos estudian enfriar el planeta dispersando aerosoles en el cielo, se llama geoingeniería solar, una solución relativamente barata.</t>
    </r>
    <r>
      <rPr>
        <rFont val="Arial, sans-serif"/>
        <color rgb="FF1155CC"/>
        <sz val="12.0"/>
        <u/>
      </rPr>
      <t>.</t>
    </r>
    <r>
      <rPr>
        <rFont val="Arial, sans-serif"/>
        <color rgb="FF1155CC"/>
        <sz val="11.0"/>
        <u/>
      </rPr>
      <t>3 ago 2024</t>
    </r>
  </si>
  <si>
    <t>Enfriar el planeta dispersando aerosoles en el cielo, la radical solución de la geoingeniería solar</t>
  </si>
  <si>
    <t>Los científicos estudian enfriar el planeta dispersando aerosoles en el cielo, se llama geoingeniería solar, una solución relativamente barata.</t>
  </si>
  <si>
    <t>Cooling the planet by dispersing aerosols in the sky, the radical solution of solar geoengineering</t>
  </si>
  <si>
    <t>Scientists are studying cooling the planet by dispersing aerosols in the sky, it is called solar geoengineering, a relatively cheap solution.</t>
  </si>
  <si>
    <r>
      <rPr>
        <rFont val="Arial, sans-serif"/>
        <color rgb="FF1155CC"/>
        <sz val="9.0"/>
        <u/>
      </rPr>
      <t>Huelva 24</t>
    </r>
    <r>
      <rPr>
        <rFont val="Arial, sans-serif"/>
        <color rgb="FF1155CC"/>
        <sz val="15.0"/>
        <u/>
      </rPr>
      <t>Esta heladería de Huelva tiene el mítico helado que marcó tu infancia: «Te transportará al pasado»</t>
    </r>
    <r>
      <rPr>
        <rFont val="Arial, sans-serif"/>
        <color rgb="FF1155CC"/>
        <sz val="11.0"/>
        <u/>
      </rPr>
      <t>En la capital onubense se encuentra 'Pura Vida', un establecimiento donde puede saborearse el clásico 'chambi'</t>
    </r>
    <r>
      <rPr>
        <rFont val="Arial, sans-serif"/>
        <color rgb="FF1155CC"/>
        <sz val="12.0"/>
        <u/>
      </rPr>
      <t>.</t>
    </r>
    <r>
      <rPr>
        <rFont val="Arial, sans-serif"/>
        <color rgb="FF1155CC"/>
        <sz val="11.0"/>
        <u/>
      </rPr>
      <t>3 ago 2024</t>
    </r>
  </si>
  <si>
    <t>Esta heladería de Huelva tiene el mítico helado que marcó tu infancia: «Te transportará al pasado»</t>
  </si>
  <si>
    <t>En la capital onubense se encuentra 'Pura Vida', un establecimiento donde puede saborearse el clásico 'chambi'.</t>
  </si>
  <si>
    <t>This ice cream parlor in Huelva has the mythical ice cream that marked your childhood: "It will transport you to the past"</t>
  </si>
  <si>
    <t>In the capital of Huelva is 'Pura Vida', an establishment where you can taste the classic 'chambi'.</t>
  </si>
  <si>
    <r>
      <rPr>
        <rFont val="Arial, sans-serif"/>
        <color rgb="FF1155CC"/>
        <sz val="9.0"/>
        <u/>
      </rPr>
      <t>20Minutos</t>
    </r>
    <r>
      <rPr>
        <rFont val="Arial, sans-serif"/>
        <color rgb="FF1155CC"/>
        <sz val="15.0"/>
        <u/>
      </rPr>
      <t>Estas son las gasolineras más baratas de España para repostar, según un estudio de la OCU</t>
    </r>
    <r>
      <rPr>
        <rFont val="Arial, sans-serif"/>
        <color rgb="FF1155CC"/>
        <sz val="11.0"/>
        <u/>
      </rPr>
      <t>El coste de la gasolina y el diésel, aunque fluctúa constantemente, tiende a aumentar con el tiempo. Por ello, comparar los precios en distintas estaciones...</t>
    </r>
    <r>
      <rPr>
        <rFont val="Arial, sans-serif"/>
        <color rgb="FF1155CC"/>
        <sz val="12.0"/>
        <u/>
      </rPr>
      <t>.</t>
    </r>
    <r>
      <rPr>
        <rFont val="Arial, sans-serif"/>
        <color rgb="FF1155CC"/>
        <sz val="11.0"/>
        <u/>
      </rPr>
      <t>3 ago 2024</t>
    </r>
  </si>
  <si>
    <t>Estas son las gasolineras más baratas de España para repostar, según un estudio de la OCU</t>
  </si>
  <si>
    <t>El coste de la gasolina y el diésel, aunque fluctúa constantemente, tiende a aumentar con el tiempo. Por ello, comparar los precios en distintas estaciones....</t>
  </si>
  <si>
    <t>These are the cheapest gas stations in Spain to refuel, according to an OCU study</t>
  </si>
  <si>
    <t>The cost of gasoline and diesel, although constantly fluctuating, tends to increase over time. Therefore, compare prices in different seasons....</t>
  </si>
  <si>
    <t>Negative as it highlights rising fuel prices.</t>
  </si>
  <si>
    <r>
      <rPr>
        <rFont val="Arial, sans-serif"/>
        <color rgb="FF1155CC"/>
        <sz val="9.0"/>
        <u/>
      </rPr>
      <t>El Español</t>
    </r>
    <r>
      <rPr>
        <rFont val="Arial, sans-serif"/>
        <color rgb="FF1155CC"/>
        <sz val="15.0"/>
        <u/>
      </rPr>
      <t>El mejor chiringuito de La Manga: arroces, pescados del día, cócteles y unas increíbles vistas al Mar Menor</t>
    </r>
    <r>
      <rPr>
        <rFont val="Arial, sans-serif"/>
        <color rgb="FF1155CC"/>
        <sz val="11.0"/>
        <u/>
      </rPr>
      <t>Su cocina abre durante todo el día y todos los meses del año.</t>
    </r>
    <r>
      <rPr>
        <rFont val="Arial, sans-serif"/>
        <color rgb="FF1155CC"/>
        <sz val="12.0"/>
        <u/>
      </rPr>
      <t>.</t>
    </r>
    <r>
      <rPr>
        <rFont val="Arial, sans-serif"/>
        <color rgb="FF1155CC"/>
        <sz val="11.0"/>
        <u/>
      </rPr>
      <t>3 ago 2024</t>
    </r>
  </si>
  <si>
    <t>El mejor chiringuito de La Manga: arroces, pescados del día, cócteles y unas increíbles vistas al Mar Menor</t>
  </si>
  <si>
    <t>Su cocina abre durante todo el día y todos los meses del año.</t>
  </si>
  <si>
    <t>The best beach bar in La Manga: rice dishes, fish of the day, cocktails and incredible views of the Mar Menor</t>
  </si>
  <si>
    <t>Its kitchen is open all day and every month of the year.</t>
  </si>
  <si>
    <r>
      <rPr>
        <rFont val="Arial, sans-serif"/>
        <color rgb="FF1155CC"/>
        <sz val="9.0"/>
        <u/>
      </rPr>
      <t>Box Repsol</t>
    </r>
    <r>
      <rPr>
        <rFont val="Arial, sans-serif"/>
        <color rgb="FF1155CC"/>
        <sz val="15.0"/>
        <u/>
      </rPr>
      <t>Resultados del GP de Gran Bretaña de MotoGP</t>
    </r>
    <r>
      <rPr>
        <rFont val="Arial, sans-serif"/>
        <color rgb="FF1155CC"/>
        <sz val="11.0"/>
        <u/>
      </rPr>
      <t>Bastianini firma el doblete, Martín vuelve al liderato y 'Pecco completa el podio. Marini consigue un punto por segunda vez consecutiva.</t>
    </r>
    <r>
      <rPr>
        <rFont val="Arial, sans-serif"/>
        <color rgb="FF1155CC"/>
        <sz val="12.0"/>
        <u/>
      </rPr>
      <t>.</t>
    </r>
    <r>
      <rPr>
        <rFont val="Arial, sans-serif"/>
        <color rgb="FF1155CC"/>
        <sz val="11.0"/>
        <u/>
      </rPr>
      <t>4 ago 2024</t>
    </r>
  </si>
  <si>
    <t>Bastianini firma el doblete, Martín vuelve al liderato y 'Pecco completa el podio. Marini consigue un punto por segunda vez consecutiva.</t>
  </si>
  <si>
    <t>Bastianini completes the double, Martín returns to the lead and 'Pecco completes the podium. Marini gets a point for the second time in a row.</t>
  </si>
  <si>
    <r>
      <rPr>
        <rFont val="Arial, sans-serif"/>
        <color rgb="FF1155CC"/>
        <sz val="9.0"/>
        <u/>
      </rPr>
      <t>SWI swissinfo.ch</t>
    </r>
    <r>
      <rPr>
        <rFont val="Arial, sans-serif"/>
        <color rgb="FF1155CC"/>
        <sz val="15.0"/>
        <u/>
      </rPr>
      <t>Bloqueo parcial del campo petrolífero de Sharara en el sur de Libia</t>
    </r>
    <r>
      <rPr>
        <rFont val="Arial, sans-serif"/>
        <color rgb="FF1155CC"/>
        <sz val="11.0"/>
        <u/>
      </rPr>
      <t>Trípoli, 4 ago (EFE).- El líder de la región libia de Fezán, Bashir Sheikh, aseguró este domingo en un vídeo publicado en redes sociales que Sadam Haftar,...</t>
    </r>
    <r>
      <rPr>
        <rFont val="Arial, sans-serif"/>
        <color rgb="FF1155CC"/>
        <sz val="12.0"/>
        <u/>
      </rPr>
      <t>.</t>
    </r>
    <r>
      <rPr>
        <rFont val="Arial, sans-serif"/>
        <color rgb="FF1155CC"/>
        <sz val="11.0"/>
        <u/>
      </rPr>
      <t>4 ago 2024</t>
    </r>
  </si>
  <si>
    <t>Bloqueo parcial del campo petrolífero de Sharara en el sur de Libia</t>
  </si>
  <si>
    <t>El líder de la región libia de Fezán, Bashir Sheikh, aseguró este domingo en un vídeo publicado en redes sociales que Sadam Haftar,...</t>
  </si>
  <si>
    <t>Partial blockade of the Sharara oil field in southern Libya</t>
  </si>
  <si>
    <t>The leader of the Libyan region of Fezzan, Bashir Sheikh, assured this Sunday in a video published on social networks that Saddam Haftar,...</t>
  </si>
  <si>
    <t>Negative as it highlights instability in the oil market.</t>
  </si>
  <si>
    <t>bloqueo</t>
  </si>
  <si>
    <t>Negative for operations</t>
  </si>
  <si>
    <t>Negativo para operaciones.</t>
  </si>
  <si>
    <r>
      <rPr>
        <rFont val="Arial, sans-serif"/>
        <color rgb="FF1155CC"/>
        <sz val="9.0"/>
        <u/>
      </rPr>
      <t>Car and Driver</t>
    </r>
    <r>
      <rPr>
        <rFont val="Arial, sans-serif"/>
        <color rgb="FF1155CC"/>
        <sz val="15.0"/>
        <u/>
      </rPr>
      <t>La ofensiva de Repsol con su nuevo diésel que ya se vende en más de 300 gasolineras</t>
    </r>
    <r>
      <rPr>
        <rFont val="Arial, sans-serif"/>
        <color rgb="FF1155CC"/>
        <sz val="11.0"/>
        <u/>
      </rPr>
      <t>Se trata de una de las apuestas de Repsol para los próximos años. Un nuevo diésel y gasolina que estarán disponibles en sus estaciones de servicio.</t>
    </r>
    <r>
      <rPr>
        <rFont val="Arial, sans-serif"/>
        <color rgb="FF1155CC"/>
        <sz val="12.0"/>
        <u/>
      </rPr>
      <t>.</t>
    </r>
    <r>
      <rPr>
        <rFont val="Arial, sans-serif"/>
        <color rgb="FF1155CC"/>
        <sz val="11.0"/>
        <u/>
      </rPr>
      <t>5 ago 2024</t>
    </r>
  </si>
  <si>
    <t>La ofensiva de Repsol con su nuevo diésel que ya se vende en más de 300 gasolineras</t>
  </si>
  <si>
    <t>Se trata de una de las apuestas de Repsol para los próximos años. Un nuevo diésel y gasolina que estarán disponibles en sus estaciones de servicio.</t>
  </si>
  <si>
    <t>Repsol's offensive with its new diesel that is already sold in more than 300 gas stations</t>
  </si>
  <si>
    <t>This is one of Repsol's bets for the coming years. A new diesel and gasoline that will be available at your service stations.</t>
  </si>
  <si>
    <t>Repsol combustibles limpios, estrategia empresarial</t>
  </si>
  <si>
    <t>Positive as it emphasizes Repsol's product expansion and innovation.</t>
  </si>
  <si>
    <t>nuevo diésel</t>
  </si>
  <si>
    <t>Positive for product expansion</t>
  </si>
  <si>
    <t>Positivo para la expansión del producto</t>
  </si>
  <si>
    <r>
      <rPr>
        <rFont val="Arial, sans-serif"/>
        <color rgb="FF1155CC"/>
        <sz val="9.0"/>
        <u/>
      </rPr>
      <t>Guía Repsol</t>
    </r>
    <r>
      <rPr>
        <rFont val="Arial, sans-serif"/>
        <color rgb="FF1155CC"/>
        <sz val="15.0"/>
        <u/>
      </rPr>
      <t>Descubre el Grand Hyatt La Manga Club Golf &amp; Spa</t>
    </r>
    <r>
      <rPr>
        <rFont val="Arial, sans-serif"/>
        <color rgb="FF1155CC"/>
        <sz val="11.0"/>
        <u/>
      </rPr>
      <t>Darle al swing en este resort de cinco estrellas es un auténtico sueño. Rodeado de las suaves colinas del Parque Regional de Calblanque y con el azul del...</t>
    </r>
    <r>
      <rPr>
        <rFont val="Arial, sans-serif"/>
        <color rgb="FF1155CC"/>
        <sz val="12.0"/>
        <u/>
      </rPr>
      <t>.</t>
    </r>
    <r>
      <rPr>
        <rFont val="Arial, sans-serif"/>
        <color rgb="FF1155CC"/>
        <sz val="11.0"/>
        <u/>
      </rPr>
      <t>5 ago 2024</t>
    </r>
  </si>
  <si>
    <t>Descubre el Grand Hyatt La Manga Club Golf &amp; Spa</t>
  </si>
  <si>
    <t>Darle al swing en este resort de cinco estrellas es un auténtico sueño. Rodeado de las suaves colinas del Parque Regional de Calblanque y con el azul del....</t>
  </si>
  <si>
    <t>Discover the Grand Hyatt La Manga Club Golf &amp; Spa</t>
  </si>
  <si>
    <t>Hitting the swing at this five-star resort is a real dream. Surrounded by the gentle hills of the Calblanque Regional Park and with the blue of the...</t>
  </si>
  <si>
    <r>
      <rPr>
        <rFont val="Arial, sans-serif"/>
        <color rgb="FF1155CC"/>
        <sz val="9.0"/>
        <u/>
      </rPr>
      <t>LaSexta</t>
    </r>
    <r>
      <rPr>
        <rFont val="Arial, sans-serif"/>
        <color rgb="FF1155CC"/>
        <sz val="15.0"/>
        <u/>
      </rPr>
      <t>Menorca celebra la Copa del Rey Repsol de Barcos de Época</t>
    </r>
    <r>
      <rPr>
        <rFont val="Arial, sans-serif"/>
        <color rgb="FF1155CC"/>
        <sz val="11.0"/>
        <u/>
      </rPr>
      <t>Veleros de museo surcarán las aguas de Menorca del 27 al 31 de agosto en una regata que es algo así como un viaje náutico… en el tiempo.</t>
    </r>
    <r>
      <rPr>
        <rFont val="Arial, sans-serif"/>
        <color rgb="FF1155CC"/>
        <sz val="12.0"/>
        <u/>
      </rPr>
      <t>.</t>
    </r>
    <r>
      <rPr>
        <rFont val="Arial, sans-serif"/>
        <color rgb="FF1155CC"/>
        <sz val="11.0"/>
        <u/>
      </rPr>
      <t>5 ago 2024</t>
    </r>
  </si>
  <si>
    <t>Menorca celebra la Copa del Rey Repsol de Barcos de Época</t>
  </si>
  <si>
    <t>Veleros de museo surcarán las aguas de Menorca del 27 al 31 de agosto en una regata que es algo así como un viaje náutico… en el tiempo.</t>
  </si>
  <si>
    <t>Menorca celebrates the Repsol King's Cup for Vintage Boats</t>
  </si>
  <si>
    <t>Museum sailboats will sail the waters of Menorca from August 27 to 31 in a regatta that is something like a nautical journey… in time.</t>
  </si>
  <si>
    <t>Repsol sponsorship, brand engagement</t>
  </si>
  <si>
    <t>Patrocinio Repsol, compromiso con la marca</t>
  </si>
  <si>
    <t>Positive as it highlights Repsol's involvement in a prestigious sailing event.</t>
  </si>
  <si>
    <t>Copa Repsol</t>
  </si>
  <si>
    <t>Positive for sponsorship</t>
  </si>
  <si>
    <t>Positivo para el patrocinio</t>
  </si>
  <si>
    <r>
      <rPr>
        <rFont val="Arial, sans-serif"/>
        <color rgb="FF1155CC"/>
        <sz val="9.0"/>
        <u/>
      </rPr>
      <t>Benzinga España</t>
    </r>
    <r>
      <rPr>
        <rFont val="Arial, sans-serif"/>
        <color rgb="FF1155CC"/>
        <sz val="15.0"/>
        <u/>
      </rPr>
      <t>Acciones de Repsol caen un 2,74% en la apertura del IBEX 35</t>
    </r>
    <r>
      <rPr>
        <rFont val="Arial, sans-serif"/>
        <color rgb="FF1155CC"/>
        <sz val="11.0"/>
        <u/>
      </rPr>
      <t>En la apertura de la sesión de este lunes, las acciones de la empresa energética española Repsol (BME:REP) en el IBEX 35 registraron una caída del -2,74%,...</t>
    </r>
    <r>
      <rPr>
        <rFont val="Arial, sans-serif"/>
        <color rgb="FF1155CC"/>
        <sz val="12.0"/>
        <u/>
      </rPr>
      <t>.</t>
    </r>
    <r>
      <rPr>
        <rFont val="Arial, sans-serif"/>
        <color rgb="FF1155CC"/>
        <sz val="11.0"/>
        <u/>
      </rPr>
      <t>5 ago 2024</t>
    </r>
  </si>
  <si>
    <t>Benzinga España</t>
  </si>
  <si>
    <t>Acciones de Repsol caen un 2,74% en la apertura del IBEX 35</t>
  </si>
  <si>
    <t>En la apertura de la sesión de este lunes, las acciones de la empresa energética española Repsol (BME:REP) en el IBEX 35 registraron una caída del -2,74%,....</t>
  </si>
  <si>
    <t>Repsol shares fall 2.74% at the opening of the IBEX 35</t>
  </si>
  <si>
    <t>At the opening of the session this Monday, the shares of the Spanish energy company Repsol (BME:REP) on the IBEX 35 registered a fall of -2.74%,...</t>
  </si>
  <si>
    <t>Negative as it reports on a decline in Repsol's stock price.</t>
  </si>
  <si>
    <t>caen</t>
  </si>
  <si>
    <r>
      <rPr>
        <rFont val="Arial, sans-serif"/>
        <color rgb="FF1155CC"/>
        <sz val="9.0"/>
        <u/>
      </rPr>
      <t>El HuffPost</t>
    </r>
    <r>
      <rPr>
        <rFont val="Arial, sans-serif"/>
        <color rgb="FF1155CC"/>
        <sz val="15.0"/>
        <u/>
      </rPr>
      <t>De la huida de Marruecos con 13 años a ganar un Sol Repsol como chef</t>
    </r>
    <r>
      <rPr>
        <rFont val="Arial, sans-serif"/>
        <color rgb="FF1155CC"/>
        <sz val="11.0"/>
        <u/>
      </rPr>
      <t>La historia de superación de Chuaib, un marroquí que recientemente ha cumplido la mayoría de edad, es de esas que sirven como ejemplo de vida, de no conocer...</t>
    </r>
    <r>
      <rPr>
        <rFont val="Arial, sans-serif"/>
        <color rgb="FF1155CC"/>
        <sz val="12.0"/>
        <u/>
      </rPr>
      <t>.</t>
    </r>
    <r>
      <rPr>
        <rFont val="Arial, sans-serif"/>
        <color rgb="FF1155CC"/>
        <sz val="11.0"/>
        <u/>
      </rPr>
      <t>5 ago 2024</t>
    </r>
  </si>
  <si>
    <t>De la huida de Marruecos con 13 años a ganar un Sol Repsol como chef</t>
  </si>
  <si>
    <t>La historia de superación de Chuaib, un marroquí que recientemente ha cumplido la mayoría de edad, es de esas que sirven como ejemplo de vida, de no conocer....</t>
  </si>
  <si>
    <t>From fleeing Morocco at 13 years old to winning a Sol Repsol as a chef</t>
  </si>
  <si>
    <t>The story of overcoming Chuaib, a Moroccan who has recently come of age, is one of those that serves as an example of life, of not knowing....</t>
  </si>
  <si>
    <r>
      <rPr>
        <rFont val="Arial, sans-serif"/>
        <color rgb="FF1155CC"/>
        <sz val="9.0"/>
        <u/>
      </rPr>
      <t>Revista Sobremesa</t>
    </r>
    <r>
      <rPr>
        <rFont val="Arial, sans-serif"/>
        <color rgb="FF1155CC"/>
        <sz val="15.0"/>
        <u/>
      </rPr>
      <t>Chefs on fire llega a Madrid: prepárate para un festival gastronómico a puro fuego</t>
    </r>
    <r>
      <rPr>
        <rFont val="Arial, sans-serif"/>
        <color rgb="FF1155CC"/>
        <sz val="11.0"/>
        <u/>
      </rPr>
      <t>La propuesta más ardiente del panorama gastronómico aterriza en España con un fin de semana de alta cocina a la brasa, música y diversión.</t>
    </r>
    <r>
      <rPr>
        <rFont val="Arial, sans-serif"/>
        <color rgb="FF1155CC"/>
        <sz val="12.0"/>
        <u/>
      </rPr>
      <t>.</t>
    </r>
    <r>
      <rPr>
        <rFont val="Arial, sans-serif"/>
        <color rgb="FF1155CC"/>
        <sz val="11.0"/>
        <u/>
      </rPr>
      <t>5 ago 2024</t>
    </r>
  </si>
  <si>
    <t>Chefs on fire llega a Madrid: prepárate para un festival gastronómico a puro fuego</t>
  </si>
  <si>
    <t>La propuesta más ardiente del panorama gastronómico aterriza en España con un fin de semana de alta cocina a la brasa, música y diversión.</t>
  </si>
  <si>
    <t>Chefs on fire arrives in Madrid: get ready for a gastronomic festival with pure fire</t>
  </si>
  <si>
    <t>The hottest proposal on the gastronomic scene lands in Spain with a weekend of grilled haute cuisine, music and fun.</t>
  </si>
  <si>
    <r>
      <rPr>
        <rFont val="Arial, sans-serif"/>
        <color rgb="FF1155CC"/>
        <sz val="9.0"/>
        <u/>
      </rPr>
      <t>Guía Repsol</t>
    </r>
    <r>
      <rPr>
        <rFont val="Arial, sans-serif"/>
        <color rgb="FF1155CC"/>
        <sz val="15.0"/>
        <u/>
      </rPr>
      <t>Excursión por las Islas Medas y la costa del Montgrí (L’Estartit, Girona)</t>
    </r>
    <r>
      <rPr>
        <rFont val="Arial, sans-serif"/>
        <color rgb="FF1155CC"/>
        <sz val="11.0"/>
        <u/>
      </rPr>
      <t>Descubre las Islas Medas, un paraíso natural en la Costa Brava.. El archipiélago es, en realidad, una pieza más del macizo del Montgrí.</t>
    </r>
    <r>
      <rPr>
        <rFont val="Arial, sans-serif"/>
        <color rgb="FF1155CC"/>
        <sz val="12.0"/>
        <u/>
      </rPr>
      <t>.</t>
    </r>
    <r>
      <rPr>
        <rFont val="Arial, sans-serif"/>
        <color rgb="FF1155CC"/>
        <sz val="11.0"/>
        <u/>
      </rPr>
      <t>5 ago 2024</t>
    </r>
  </si>
  <si>
    <t>Excursión por las Islas Medas y la costa del Montgrí (L’Estartit, Girona)</t>
  </si>
  <si>
    <t>Descubre las Islas Medas, un paraíso natural en la Costa Brava.. El archipiélago es, en realidad, una pieza más del macizo del Montgrí..</t>
  </si>
  <si>
    <t>Excursion to the Medes Islands and the Montgrí coast (L’Estartit, Girona)</t>
  </si>
  <si>
    <t>Discover the Medes Islands, a natural paradise on the Costa Brava. The archipelago is, in reality, another piece of the Montgrí massif.</t>
  </si>
  <si>
    <r>
      <rPr>
        <rFont val="Arial, sans-serif"/>
        <color rgb="FF1155CC"/>
        <sz val="9.0"/>
        <u/>
      </rPr>
      <t>Guía Repsol</t>
    </r>
    <r>
      <rPr>
        <rFont val="Arial, sans-serif"/>
        <color rgb="FF1155CC"/>
        <sz val="15.0"/>
        <u/>
      </rPr>
      <t>Todo lo que tienes que saber sobre las Cuevas del Águila en Arenas de San Pedro</t>
    </r>
    <r>
      <rPr>
        <rFont val="Arial, sans-serif"/>
        <color rgb="FF1155CC"/>
        <sz val="11.0"/>
        <u/>
      </rPr>
      <t>Son la segunda atracción turística más visitada de la provincia de Ávila con 100.000 visitantes al año, pese a no ser tan conocidas como otros de la misma...</t>
    </r>
    <r>
      <rPr>
        <rFont val="Arial, sans-serif"/>
        <color rgb="FF1155CC"/>
        <sz val="12.0"/>
        <u/>
      </rPr>
      <t>.</t>
    </r>
    <r>
      <rPr>
        <rFont val="Arial, sans-serif"/>
        <color rgb="FF1155CC"/>
        <sz val="11.0"/>
        <u/>
      </rPr>
      <t>5 ago 2024</t>
    </r>
  </si>
  <si>
    <t>Todo lo que tienes que saber sobre las Cuevas del Águila en Arenas de San Pedro</t>
  </si>
  <si>
    <t>Son la segunda atracción turística más visitada de la provincia de Ávila con 100.000 visitantes al año, pese a no ser tan conocidas como otros de la misma....</t>
  </si>
  <si>
    <t>Everything you need to know about the Águila Caves in Arenas de San Pedro</t>
  </si>
  <si>
    <t>They are the second most visited tourist attraction in the province of Ávila with 100,000 visitors a year, despite not being as well known as others in the province....</t>
  </si>
  <si>
    <r>
      <rPr>
        <rFont val="Arial, sans-serif"/>
        <color rgb="FF1155CC"/>
        <sz val="9.0"/>
        <u/>
      </rPr>
      <t>El Economista</t>
    </r>
    <r>
      <rPr>
        <rFont val="Arial, sans-serif"/>
        <color rgb="FF1155CC"/>
        <sz val="15.0"/>
        <u/>
      </rPr>
      <t>El yacimiento de petróleo más grande del norte de África se detiene por sorpresa y deja de bombear crudo</t>
    </r>
    <r>
      <rPr>
        <rFont val="Arial, sans-serif"/>
        <color rgb="FF1155CC"/>
        <sz val="11.0"/>
        <u/>
      </rPr>
      <t>El Sharara, el mayor yacimiento de petróleo de Libia y uno de los más grandes de África, ha visto detenida su producción repentinamente ...</t>
    </r>
    <r>
      <rPr>
        <rFont val="Arial, sans-serif"/>
        <color rgb="FF1155CC"/>
        <sz val="12.0"/>
        <u/>
      </rPr>
      <t>.</t>
    </r>
    <r>
      <rPr>
        <rFont val="Arial, sans-serif"/>
        <color rgb="FF1155CC"/>
        <sz val="11.0"/>
        <u/>
      </rPr>
      <t>5 ago 2024</t>
    </r>
  </si>
  <si>
    <t>El yacimiento de petróleo más grande del norte de África se detiene por sorpresa y deja de bombear crudo</t>
  </si>
  <si>
    <t>El Sharara, el mayor yacimiento de petróleo de Libia y uno de los más grandes de África, ha visto detenida su producción repentinamente ....</t>
  </si>
  <si>
    <t>North Africa's largest oil field stops pumping crude oil</t>
  </si>
  <si>
    <t>The Sharara, the largest oil field in Libya and one of the largest in Africa, has seen its production suddenly stopped....</t>
  </si>
  <si>
    <t>Repsol energy market, supply chain risk</t>
  </si>
  <si>
    <t>Mercado energético de Repsol, riesgo en la cadena de suministro</t>
  </si>
  <si>
    <t>Negative as it highlights a significant disruption in oil production.</t>
  </si>
  <si>
    <t>detiene</t>
  </si>
  <si>
    <r>
      <rPr>
        <rFont val="Arial, sans-serif"/>
        <color rgb="FF1155CC"/>
        <sz val="9.0"/>
        <u/>
      </rPr>
      <t>Directo al Paladar</t>
    </r>
    <r>
      <rPr>
        <rFont val="Arial, sans-serif"/>
        <color rgb="FF1155CC"/>
        <sz val="15.0"/>
        <u/>
      </rPr>
      <t>Para Karlos Arguiñano este es "el mejor restaurante del mundo en pescados": así se refiere a esta...</t>
    </r>
    <r>
      <rPr>
        <rFont val="Arial, sans-serif"/>
        <color rgb="FF1155CC"/>
        <sz val="11.0"/>
        <u/>
      </rPr>
      <t>Santo y seña de la cocina vasca, el pescado —y enorgullecerse de cómo se hace— es una de las claves para entender parte del amor por el mar que se tiene en...</t>
    </r>
    <r>
      <rPr>
        <rFont val="Arial, sans-serif"/>
        <color rgb="FF1155CC"/>
        <sz val="12.0"/>
        <u/>
      </rPr>
      <t>.</t>
    </r>
    <r>
      <rPr>
        <rFont val="Arial, sans-serif"/>
        <color rgb="FF1155CC"/>
        <sz val="11.0"/>
        <u/>
      </rPr>
      <t>5 ago 2024</t>
    </r>
  </si>
  <si>
    <t>Para Karlos Arguiñano este es "el mejor restaurante del mundo en pescados"</t>
  </si>
  <si>
    <t>Santo y seña de la cocina vasca, el pescado —y enorgullecerse de cómo se hace— es una de las claves para entender parte del amor por el mar que se tiene en....</t>
  </si>
  <si>
    <t>For Karlos Arguiñano this is "the best fish restaurant in the world"</t>
  </si>
  <si>
    <t>The watchword of Basque cuisine, fish—and taking pride in how it is made—is one of the keys to understanding part of the love for the sea that people have in...</t>
  </si>
  <si>
    <r>
      <rPr>
        <rFont val="Arial, sans-serif"/>
        <color rgb="FF1155CC"/>
        <sz val="9.0"/>
        <u/>
      </rPr>
      <t>Expansión</t>
    </r>
    <r>
      <rPr>
        <rFont val="Arial, sans-serif"/>
        <color rgb="FF1155CC"/>
        <sz val="15.0"/>
        <u/>
      </rPr>
      <t>Repsol inicia su programa de recompra de 20 millones de acciones</t>
    </r>
    <r>
      <rPr>
        <rFont val="Arial, sans-serif"/>
        <color rgb="FF1155CC"/>
        <sz val="11.0"/>
        <u/>
      </rPr>
      <t>La compañía distribuirá a sus accionistas 0,975 euros brutos por acción en 2025, lo que representa mas de un 8% en comparación con 2024. Repsol arranca este...</t>
    </r>
    <r>
      <rPr>
        <rFont val="Arial, sans-serif"/>
        <color rgb="FF1155CC"/>
        <sz val="12.0"/>
        <u/>
      </rPr>
      <t>.</t>
    </r>
    <r>
      <rPr>
        <rFont val="Arial, sans-serif"/>
        <color rgb="FF1155CC"/>
        <sz val="11.0"/>
        <u/>
      </rPr>
      <t>6 ago 2024</t>
    </r>
  </si>
  <si>
    <t>Repsol inicia su programa de recompra de 20 millones de acciones</t>
  </si>
  <si>
    <t>La compañía distribuirá a sus accionistas 0,975 euros brutos por acción en 2025, lo que representa mas de un 8% en comparación con 2024. Repsol arranca este....</t>
  </si>
  <si>
    <t>Repsol begins its repurchase program of 20 million shares</t>
  </si>
  <si>
    <t>The company will distribute 0.975 euros gross per share to its shareholders in 2025, which represents more than 8% compared to 2024. Repsol starts this...</t>
  </si>
  <si>
    <t>Positive as it highlights shareholder returns and financial strength.</t>
  </si>
  <si>
    <t>recompra</t>
  </si>
  <si>
    <t>Positive for shareholder value</t>
  </si>
  <si>
    <t>Positivo para el valor para los accionistas</t>
  </si>
  <si>
    <r>
      <rPr>
        <rFont val="Arial, sans-serif"/>
        <color rgb="FF1155CC"/>
        <sz val="9.0"/>
        <u/>
      </rPr>
      <t>Libre Mercado</t>
    </r>
    <r>
      <rPr>
        <rFont val="Arial, sans-serif"/>
        <color rgb="FF1155CC"/>
        <sz val="15.0"/>
        <u/>
      </rPr>
      <t>Repsol recoge más de 40.000 litros de aceite de cocina usado para fabricar combustible renovable</t>
    </r>
    <r>
      <rPr>
        <rFont val="Arial, sans-serif"/>
        <color rgb="FF1155CC"/>
        <sz val="11.0"/>
        <u/>
      </rPr>
      <t>Repsol recoge 40.000 litros de aceite usado para fabricar combustibles renovables, ampliando su red de puntos de recogida. Lm/agencias. 06/8/2024 - 12:55.</t>
    </r>
    <r>
      <rPr>
        <rFont val="Arial, sans-serif"/>
        <color rgb="FF1155CC"/>
        <sz val="12.0"/>
        <u/>
      </rPr>
      <t>.</t>
    </r>
    <r>
      <rPr>
        <rFont val="Arial, sans-serif"/>
        <color rgb="FF1155CC"/>
        <sz val="11.0"/>
        <u/>
      </rPr>
      <t>6 ago 2024</t>
    </r>
  </si>
  <si>
    <t>Repsol recoge más de 40.000 litros de aceite de cocina usado para fabricar combustible renovable</t>
  </si>
  <si>
    <t>Repsol recoge 40.000 litros de aceite usado para fabricar combustibles renovables, ampliando su red de puntos de recogida.</t>
  </si>
  <si>
    <t>Repsol collects more than 40,000 liters of used cooking oil to make renewable fuel</t>
  </si>
  <si>
    <t>Repsol collects 40,000 liters of used oil to manufacture renewable fuels, expanding its network of collection points.</t>
  </si>
  <si>
    <t>Positive as it reinforces Repsol's commitment to sustainability and renewable energy.</t>
  </si>
  <si>
    <t>Positive for sustainability</t>
  </si>
  <si>
    <t>Positivo para la sostenibilidad</t>
  </si>
  <si>
    <r>
      <rPr>
        <rFont val="Arial, sans-serif"/>
        <color rgb="FF1155CC"/>
        <sz val="9.0"/>
        <u/>
      </rPr>
      <t>Diario AS</t>
    </r>
    <r>
      <rPr>
        <rFont val="Arial, sans-serif"/>
        <color rgb="FF1155CC"/>
        <sz val="15.0"/>
        <u/>
      </rPr>
      <t>Cerrado el mayor campo de petróleo de Repsol</t>
    </r>
    <r>
      <rPr>
        <rFont val="Arial, sans-serif"/>
        <color rgb="FF1155CC"/>
        <sz val="11.0"/>
        <u/>
      </rPr>
      <t>El gobierno de Bengasi ha paralizado la extracción de petróleo a Repsol en el campo de Al Sharara, y amenaza con la expulsión de otras empresas españolas.</t>
    </r>
    <r>
      <rPr>
        <rFont val="Arial, sans-serif"/>
        <color rgb="FF1155CC"/>
        <sz val="12.0"/>
        <u/>
      </rPr>
      <t>.</t>
    </r>
    <r>
      <rPr>
        <rFont val="Arial, sans-serif"/>
        <color rgb="FF1155CC"/>
        <sz val="11.0"/>
        <u/>
      </rPr>
      <t>6 ago 2024</t>
    </r>
  </si>
  <si>
    <t>Diario ASC</t>
  </si>
  <si>
    <t>Cerrado el mayor campo de petróleo de Repsol</t>
  </si>
  <si>
    <t>El gobierno de Bengasi ha paralizado la extracción de petróleo a Repsol en el campo de Al Sharara, y amenaza con la expulsión de otras empresas españolas.</t>
  </si>
  <si>
    <t>Repsol's largest oil field closed</t>
  </si>
  <si>
    <t>The Benghazi government has paralyzed Repsol's oil extraction in the Al Sharara field, and threatens the expulsion of other Spanish companies.</t>
  </si>
  <si>
    <t>Repsol energy market, business challenges</t>
  </si>
  <si>
    <t>Mercado energético de Repsol, retos empresariales</t>
  </si>
  <si>
    <t>Negative as it highlights geopolitical risks affecting Repsol’s operations.</t>
  </si>
  <si>
    <t>cerrado</t>
  </si>
  <si>
    <t>Strong negative for operations</t>
  </si>
  <si>
    <t>Fuerte negativo para las operaciones</t>
  </si>
  <si>
    <r>
      <rPr>
        <rFont val="Arial, sans-serif"/>
        <color rgb="FF1155CC"/>
        <sz val="9.0"/>
        <u/>
      </rPr>
      <t>EL PAÍS</t>
    </r>
    <r>
      <rPr>
        <rFont val="Arial, sans-serif"/>
        <color rgb="FF1155CC"/>
        <sz val="15.0"/>
        <u/>
      </rPr>
      <t>Un millón de euros por repostar con la ‘app’ Waylet</t>
    </r>
    <r>
      <rPr>
        <rFont val="Arial, sans-serif"/>
        <color rgb="FF1155CC"/>
        <sz val="11.0"/>
        <u/>
      </rPr>
      <t>Repsol sorteará ese premio por segundo año consecutivo entre los más de ocho millones de usuarios de Waylet que reposten 30 euros o más en combustible entre...</t>
    </r>
    <r>
      <rPr>
        <rFont val="Arial, sans-serif"/>
        <color rgb="FF1155CC"/>
        <sz val="12.0"/>
        <u/>
      </rPr>
      <t>.</t>
    </r>
    <r>
      <rPr>
        <rFont val="Arial, sans-serif"/>
        <color rgb="FF1155CC"/>
        <sz val="11.0"/>
        <u/>
      </rPr>
      <t>6 ago 2024</t>
    </r>
  </si>
  <si>
    <t>Un millón de euros por repostar con la ‘app’ Waylet</t>
  </si>
  <si>
    <t>Repsol sorteará ese premio por segundo año consecutivo entre los más de ocho millones de usuarios de Waylet que reposten 30 euros o más en combustible entre....</t>
  </si>
  <si>
    <t>One million euros for refueling with the Waylet app</t>
  </si>
  <si>
    <t>Repsol will raffle this prize for the second consecutive year among the more than eight million Waylet users who refuel 30 euros or more in fuel between...</t>
  </si>
  <si>
    <t>Positive as it highlights Repsol’s customer loyalty initiatives.</t>
  </si>
  <si>
    <t>Positive for customer engagement</t>
  </si>
  <si>
    <t>Positivo para la participación del cliente</t>
  </si>
  <si>
    <r>
      <rPr>
        <rFont val="Arial, sans-serif"/>
        <color rgb="FF1155CC"/>
        <sz val="9.0"/>
        <u/>
      </rPr>
      <t>Guía Repsol</t>
    </r>
    <r>
      <rPr>
        <rFont val="Arial, sans-serif"/>
        <color rgb="FF1155CC"/>
        <sz val="15.0"/>
        <u/>
      </rPr>
      <t>Descenso al río Órbigo</t>
    </r>
    <r>
      <rPr>
        <rFont val="Arial, sans-serif"/>
        <color rgb="FF1155CC"/>
        <sz val="11.0"/>
        <u/>
      </rPr>
      <t>El descenso del Sella tiene un hermano pequeño y vive en León: es la bajada del río Órbigo. Es más tímido y menos popular, pero es igual de “guapo” -que...</t>
    </r>
    <r>
      <rPr>
        <rFont val="Arial, sans-serif"/>
        <color rgb="FF1155CC"/>
        <sz val="12.0"/>
        <u/>
      </rPr>
      <t>.</t>
    </r>
    <r>
      <rPr>
        <rFont val="Arial, sans-serif"/>
        <color rgb="FF1155CC"/>
        <sz val="11.0"/>
        <u/>
      </rPr>
      <t>6 ago 2024</t>
    </r>
  </si>
  <si>
    <t>Descenso al río Órbigo</t>
  </si>
  <si>
    <t>El descenso del Sella tiene un hermano pequeño y vive en León: es la bajada del río Órbigo. Es más tímido y menos popular, pero es igual de “guapo”.</t>
  </si>
  <si>
    <t>Descent to the Órbigo River</t>
  </si>
  <si>
    <t>The descent of the Sella has a little brother and he lives in León: it is the descent of the Órbigo river. He is shyer and less popular, but he is just as “handsome.”</t>
  </si>
  <si>
    <r>
      <rPr>
        <rFont val="Arial, sans-serif"/>
        <color rgb="FF1155CC"/>
        <sz val="9.0"/>
        <u/>
      </rPr>
      <t>Europa Press</t>
    </r>
    <r>
      <rPr>
        <rFont val="Arial, sans-serif"/>
        <color rgb="FF1155CC"/>
        <sz val="15.0"/>
        <u/>
      </rPr>
      <t>Parques Reunidos se alía con Waylet para facilitar el pago a sus 17 parques de atracciones y acuáticos</t>
    </r>
    <r>
      <rPr>
        <rFont val="Arial, sans-serif"/>
        <color rgb="FF1155CC"/>
        <sz val="11.0"/>
        <u/>
      </rPr>
      <t>Parques Reunidos se ha asociado a Waylet, aplicación de pago y fidelización de Repsol, para que los usuarios...</t>
    </r>
    <r>
      <rPr>
        <rFont val="Arial, sans-serif"/>
        <color rgb="FF1155CC"/>
        <sz val="12.0"/>
        <u/>
      </rPr>
      <t>.</t>
    </r>
    <r>
      <rPr>
        <rFont val="Arial, sans-serif"/>
        <color rgb="FF1155CC"/>
        <sz val="11.0"/>
        <u/>
      </rPr>
      <t>6 ago 2024</t>
    </r>
  </si>
  <si>
    <t>Parques Reunidos se alía con Waylet para facilitar el pago a sus 17 parques de atracciones y acuáticos</t>
  </si>
  <si>
    <t>Parques Reunidos se ha asociado a Waylet, aplicación de pago y fidelización de Repsol, para que los usuarios....</t>
  </si>
  <si>
    <t>Parques Reunidos partners with Waylet to facilitate payment to its 17 amusement and water parks</t>
  </si>
  <si>
    <t>Parques Reunidos has partnered with Waylet, Repsol's payment and loyalty application, so that users...</t>
  </si>
  <si>
    <t>Repsol business expansion, customer service</t>
  </si>
  <si>
    <t>Expansión del negocio de Repsol, atención al cliente</t>
  </si>
  <si>
    <t>Positive as it expands the usage of Repsol's digital payment platform.</t>
  </si>
  <si>
    <t>Mildly positive for partnerships</t>
  </si>
  <si>
    <t>Ligeramente positivo para las asociaciones</t>
  </si>
  <si>
    <r>
      <rPr>
        <rFont val="Arial, sans-serif"/>
        <color rgb="FF1155CC"/>
        <sz val="9.0"/>
        <u/>
      </rPr>
      <t>El Economista</t>
    </r>
    <r>
      <rPr>
        <rFont val="Arial, sans-serif"/>
        <color rgb="FF1155CC"/>
        <sz val="15.0"/>
        <u/>
      </rPr>
      <t>Sergio y su millón de razones para una vida más tranquila</t>
    </r>
    <r>
      <rPr>
        <rFont val="Arial, sans-serif"/>
        <color rgb="FF1155CC"/>
        <sz val="11.0"/>
        <u/>
      </rPr>
      <t>Se llama Sergio, tiene 45 años y trabaja en una imprenta. Vive junto con su pareja en Logroño. Este simpático riojano afirma que su vida ...</t>
    </r>
    <r>
      <rPr>
        <rFont val="Arial, sans-serif"/>
        <color rgb="FF1155CC"/>
        <sz val="12.0"/>
        <u/>
      </rPr>
      <t>.</t>
    </r>
    <r>
      <rPr>
        <rFont val="Arial, sans-serif"/>
        <color rgb="FF1155CC"/>
        <sz val="11.0"/>
        <u/>
      </rPr>
      <t>6 ago 2024</t>
    </r>
  </si>
  <si>
    <t>Sergio y su millón de razones para una vida más tranquila</t>
  </si>
  <si>
    <t>Se llama Sergio, tiene 45 años y trabaja en una imprenta. Vive junto con su pareja en Logroño. Este simpático riojano afirma que su vida ....</t>
  </si>
  <si>
    <t>Sergio and his million reasons for a calmer life</t>
  </si>
  <si>
    <t>His name is Sergio, he is 45 years old and works in a printing press. He lives with his partner in Logroño. This friendly Riojan affirms that his life...</t>
  </si>
  <si>
    <r>
      <rPr>
        <rFont val="Arial, sans-serif"/>
        <color rgb="FF1155CC"/>
        <sz val="9.0"/>
        <u/>
      </rPr>
      <t>Valencia Secreta</t>
    </r>
    <r>
      <rPr>
        <rFont val="Arial, sans-serif"/>
        <color rgb="FF1155CC"/>
        <sz val="15.0"/>
        <u/>
      </rPr>
      <t>El restaurante de carretera especializado en paellas que recomienda la Guía Repsol</t>
    </r>
    <r>
      <rPr>
        <rFont val="Arial, sans-serif"/>
        <color rgb="FF1155CC"/>
        <sz val="11.0"/>
        <u/>
      </rPr>
      <t>Las Bairetas, en Chiva, es además una de las 6 recomendaciones de El País para comer a pie de autovía durante estas vacaciones de verano.</t>
    </r>
    <r>
      <rPr>
        <rFont val="Arial, sans-serif"/>
        <color rgb="FF1155CC"/>
        <sz val="12.0"/>
        <u/>
      </rPr>
      <t>.</t>
    </r>
    <r>
      <rPr>
        <rFont val="Arial, sans-serif"/>
        <color rgb="FF1155CC"/>
        <sz val="11.0"/>
        <u/>
      </rPr>
      <t>6 ago 2024</t>
    </r>
  </si>
  <si>
    <t>El restaurante de carretera especializado en paellas que recomienda la Guía Repsol</t>
  </si>
  <si>
    <t>Las Bairetas, en Chiva, es además una de las 6 recomendaciones de El País para comer a pie de autovía durante estas vacaciones de verano.</t>
  </si>
  <si>
    <t>The roadside restaurant specializing in paellas that the Repsol Guide recommends</t>
  </si>
  <si>
    <t>Las Bairetas, in Chiva, is also one of El País's 6 recommendations for eating on the highway during these summer holidays.</t>
  </si>
  <si>
    <r>
      <rPr>
        <rFont val="Arial, sans-serif"/>
        <color rgb="FF1155CC"/>
        <sz val="9.0"/>
        <u/>
      </rPr>
      <t>Crónica Vasca</t>
    </r>
    <r>
      <rPr>
        <rFont val="Arial, sans-serif"/>
        <color rgb="FF1155CC"/>
        <sz val="15.0"/>
        <u/>
      </rPr>
      <t>Petronor iniciará en octubre las obras de la fábrica de material de construcción reciclado</t>
    </r>
    <r>
      <rPr>
        <rFont val="Arial, sans-serif"/>
        <color rgb="FF1155CC"/>
        <sz val="11.0"/>
        <u/>
      </rPr>
      <t>La nueva planta, que producirá baldosas y bloques de hormigón a partir de residuos y CO2, es una de las grandes apuestas de Repsol en el ámbito de la...</t>
    </r>
    <r>
      <rPr>
        <rFont val="Arial, sans-serif"/>
        <color rgb="FF1155CC"/>
        <sz val="12.0"/>
        <u/>
      </rPr>
      <t>.</t>
    </r>
    <r>
      <rPr>
        <rFont val="Arial, sans-serif"/>
        <color rgb="FF1155CC"/>
        <sz val="11.0"/>
        <u/>
      </rPr>
      <t>6 ago 2024</t>
    </r>
  </si>
  <si>
    <t>Petronor iniciará en octubre las obras de la fábrica de material de construcción reciclado</t>
  </si>
  <si>
    <t>La nueva planta, que producirá baldosas y bloques de hormigón a partir de residuos y CO2, es una de las grandes apuestas de Repsol en el ámbito de la....</t>
  </si>
  <si>
    <t>Petronor will begin work on the recycled construction material factory in October</t>
  </si>
  <si>
    <t>The new plant, which will produce concrete tiles and blocks from waste and CO2, is one of Repsol's biggest bets in the field of...</t>
  </si>
  <si>
    <t>Repsol sustainability, business expansion</t>
  </si>
  <si>
    <t>Sostenibilidad Repsol, expansión empresarial</t>
  </si>
  <si>
    <t>Positive as it highlights Repsol’s investment in sustainable materials.</t>
  </si>
  <si>
    <t>reciclado</t>
  </si>
  <si>
    <r>
      <rPr>
        <rFont val="Arial, sans-serif"/>
        <color rgb="FF1155CC"/>
        <sz val="9.0"/>
        <u/>
      </rPr>
      <t>El Economista</t>
    </r>
    <r>
      <rPr>
        <rFont val="Arial, sans-serif"/>
        <color rgb="FF1155CC"/>
        <sz val="15.0"/>
        <u/>
      </rPr>
      <t>Repsol arranca programa de recompra de 20 millones de acciones</t>
    </r>
    <r>
      <rPr>
        <rFont val="Arial, sans-serif"/>
        <color rgb="FF1155CC"/>
        <sz val="11.0"/>
        <u/>
      </rPr>
      <t>El pasado 23 de julio, el consejo de administración de Repsol acordó reducir el capital social de la Sociedad, mediante la amortización de 20000.000 de...</t>
    </r>
    <r>
      <rPr>
        <rFont val="Arial, sans-serif"/>
        <color rgb="FF1155CC"/>
        <sz val="12.0"/>
        <u/>
      </rPr>
      <t>.</t>
    </r>
    <r>
      <rPr>
        <rFont val="Arial, sans-serif"/>
        <color rgb="FF1155CC"/>
        <sz val="11.0"/>
        <u/>
      </rPr>
      <t>6 ago 2024</t>
    </r>
  </si>
  <si>
    <t>Repsol arranca programa de recompra de 20 millones de acciones</t>
  </si>
  <si>
    <t>El pasado 23 de julio, el consejo de administración de Repsol acordó reducir el capital social de la Sociedad, mediante la amortización de 20000.000 de....</t>
  </si>
  <si>
    <t>Repsol starts buyback program for 20 million shares</t>
  </si>
  <si>
    <t>On July 23, the board of directors of Repsol agreed to reduce the Company's share capital, through the amortization of 20,000,000...</t>
  </si>
  <si>
    <t>Positive as it emphasizes Repsol’s commitment to shareholder returns.</t>
  </si>
  <si>
    <r>
      <rPr>
        <rFont val="Arial, sans-serif"/>
        <color rgb="FF1155CC"/>
        <sz val="9.0"/>
        <u/>
      </rPr>
      <t>Infobae</t>
    </r>
    <r>
      <rPr>
        <rFont val="Arial, sans-serif"/>
        <color rgb="FF1155CC"/>
        <sz val="15.0"/>
        <u/>
      </rPr>
      <t>Derrame de Repsol: pescadores reiteran alerta sobre la contaminación por petróleo en playa Santa Rosa</t>
    </r>
    <r>
      <rPr>
        <rFont val="Arial, sans-serif"/>
        <color rgb="FF1155CC"/>
        <sz val="11.0"/>
        <u/>
      </rPr>
      <t>Al sur de Ventanilla, la huella del derrame de petróleo de Repsol persiste. Playa Grande, balneario importante del distrito de Santa Rosa, vuelve a llamar...</t>
    </r>
    <r>
      <rPr>
        <rFont val="Arial, sans-serif"/>
        <color rgb="FF1155CC"/>
        <sz val="12.0"/>
        <u/>
      </rPr>
      <t>.</t>
    </r>
    <r>
      <rPr>
        <rFont val="Arial, sans-serif"/>
        <color rgb="FF1155CC"/>
        <sz val="11.0"/>
        <u/>
      </rPr>
      <t>6 ago 2024</t>
    </r>
  </si>
  <si>
    <t>Derrame de Repsol: pescadores reiteran alerta sobre la contaminación por petróleo en playa Santa Rosa</t>
  </si>
  <si>
    <t>Al sur de Ventanilla, la huella del derrame de petróleo de Repsol persiste. Playa Grande, balneario importante del distrito de Santa Rosa, vuelve a llamar....</t>
  </si>
  <si>
    <t>Repsol spill: fishermen reiterate alert about oil pollution on Santa Rosa beach</t>
  </si>
  <si>
    <t>South of Ventanilla, the footprint of the Repsol oil spill persists. Playa Grande, an important beach resort in the Santa Rosa district, is calling again....</t>
  </si>
  <si>
    <t>Very negative as it reports ongoing environmental damage caused by Repsol.</t>
  </si>
  <si>
    <t>derrame, contaminación</t>
  </si>
  <si>
    <t>Strong negative for environmental impact</t>
  </si>
  <si>
    <t>Fuerte negativo para el impacto ambiental.</t>
  </si>
  <si>
    <r>
      <rPr>
        <rFont val="Arial, sans-serif"/>
        <color rgb="FF1155CC"/>
        <sz val="9.0"/>
        <u/>
      </rPr>
      <t>El Economista</t>
    </r>
    <r>
      <rPr>
        <rFont val="Arial, sans-serif"/>
        <color rgb="FF1155CC"/>
        <sz val="15.0"/>
        <u/>
      </rPr>
      <t>España prueba un nuevo tipo de petróleo de gran calidad: llega el primer cargamento de crudo 'Utapate'</t>
    </r>
    <r>
      <rPr>
        <rFont val="Arial, sans-serif"/>
        <color rgb="FF1155CC"/>
        <sz val="11.0"/>
        <u/>
      </rPr>
      <t>España ha sido el primer país en comprar un nuevo tipo de petróleo que se ha convertido en la esperanza de la industria del crudo en ...</t>
    </r>
    <r>
      <rPr>
        <rFont val="Arial, sans-serif"/>
        <color rgb="FF1155CC"/>
        <sz val="12.0"/>
        <u/>
      </rPr>
      <t>.</t>
    </r>
    <r>
      <rPr>
        <rFont val="Arial, sans-serif"/>
        <color rgb="FF1155CC"/>
        <sz val="11.0"/>
        <u/>
      </rPr>
      <t>6 ago 2024</t>
    </r>
  </si>
  <si>
    <t>España prueba un nuevo tipo de petróleo de gran calidad: llega el primer cargamento de crudo 'Utapate'</t>
  </si>
  <si>
    <t>España ha sido el primer país en comprar un nuevo tipo de petróleo que se ha convertido en la esperanza de la industria del crudo en ....</t>
  </si>
  <si>
    <t>Spain tests a new type of high-quality oil: the first shipment of 'Utapate' crude arrives</t>
  </si>
  <si>
    <t>Spain has been the first country to buy a new type of oil that has become the hope of the crude oil industry in....</t>
  </si>
  <si>
    <t>Positive as it highlights Spain's leadership in adopting new oil products.</t>
  </si>
  <si>
    <r>
      <rPr>
        <rFont val="Arial, sans-serif"/>
        <color rgb="FF1155CC"/>
        <sz val="9.0"/>
        <u/>
      </rPr>
      <t>Guía Repsol</t>
    </r>
    <r>
      <rPr>
        <rFont val="Arial, sans-serif"/>
        <color rgb="FF1155CC"/>
        <sz val="15.0"/>
        <u/>
      </rPr>
      <t>Heladería - La Cremería gelato italiano, en el top 10 mundial</t>
    </r>
    <r>
      <rPr>
        <rFont val="Arial, sans-serif"/>
        <color rgb="FF1155CC"/>
        <sz val="11.0"/>
        <u/>
      </rPr>
      <t>El italiano Carlo Guerriero logró alcanzar en 2021 nada menos que el segundo premio al mejor helado del mundo con su Cremoso al vino oloroso.</t>
    </r>
    <r>
      <rPr>
        <rFont val="Arial, sans-serif"/>
        <color rgb="FF1155CC"/>
        <sz val="12.0"/>
        <u/>
      </rPr>
      <t>.</t>
    </r>
    <r>
      <rPr>
        <rFont val="Arial, sans-serif"/>
        <color rgb="FF1155CC"/>
        <sz val="11.0"/>
        <u/>
      </rPr>
      <t>6 ago 2024</t>
    </r>
  </si>
  <si>
    <t>Heladería - La Cremería gelato italiano, en el top 10 mundial</t>
  </si>
  <si>
    <t>El italiano Carlo Guerriero logró alcanzar en 2021 nada menos que el segundo premio al mejor helado del mundo con su Cremoso al vino oloroso.</t>
  </si>
  <si>
    <t>Ice cream parlor - La Cremería Italian gelato, in the top 10 in the world</t>
  </si>
  <si>
    <t>The Italian Carlo Guerriero managed to achieve in 2021 nothing less than the second prize for the best ice cream in the world with his Cremoso al vino Oloroso.</t>
  </si>
  <si>
    <r>
      <rPr>
        <rFont val="Arial, sans-serif"/>
        <color rgb="FF1155CC"/>
        <sz val="9.0"/>
        <u/>
      </rPr>
      <t>Libre Mercado</t>
    </r>
    <r>
      <rPr>
        <rFont val="Arial, sans-serif"/>
        <color rgb="FF1155CC"/>
        <sz val="15.0"/>
        <u/>
      </rPr>
      <t>Repsol inicia su programa de recompra de 20 millones de acciones, el 1,7% de su capital</t>
    </r>
    <r>
      <rPr>
        <rFont val="Arial, sans-serif"/>
        <color rgb="FF1155CC"/>
        <sz val="11.0"/>
        <u/>
      </rPr>
      <t>El propósito de Repsol es adquirir las acciones propias que habrán de amortizarse en el marco de la reducción de capital acordada.</t>
    </r>
    <r>
      <rPr>
        <rFont val="Arial, sans-serif"/>
        <color rgb="FF1155CC"/>
        <sz val="12.0"/>
        <u/>
      </rPr>
      <t>.</t>
    </r>
    <r>
      <rPr>
        <rFont val="Arial, sans-serif"/>
        <color rgb="FF1155CC"/>
        <sz val="11.0"/>
        <u/>
      </rPr>
      <t>7 ago 2024</t>
    </r>
  </si>
  <si>
    <t>Repsol inicia su programa de recompra de 20 millones de acciones, el 1,7% de su capital</t>
  </si>
  <si>
    <t>El propósito de Repsol es adquirir las acciones propias que habrán de amortizarse en el marco de la reducción de capital acordada.</t>
  </si>
  <si>
    <t>Repsol begins its repurchase program of 20 million shares, 1.7% of its capital</t>
  </si>
  <si>
    <t>Repsol's purpose is to acquire its own shares that will be amortized within the framework of the agreed capital reduction.</t>
  </si>
  <si>
    <t>Positive as it underlines Repsol’s financial stability and shareholder benefits.</t>
  </si>
  <si>
    <r>
      <rPr>
        <rFont val="Arial, sans-serif"/>
        <color rgb="FF1155CC"/>
        <sz val="9.0"/>
        <u/>
      </rPr>
      <t>Hispanidad</t>
    </r>
    <r>
      <rPr>
        <rFont val="Arial, sans-serif"/>
        <color rgb="FF1155CC"/>
        <sz val="15.0"/>
        <u/>
      </rPr>
      <t>Repsol. La recompra de acciones no funciona</t>
    </r>
    <r>
      <rPr>
        <rFont val="Arial, sans-serif"/>
        <color rgb="FF1155CC"/>
        <sz val="11.0"/>
        <u/>
      </rPr>
      <t>Los inversores aplauden a Repsol, que inicia un programa de recompra de 20 millones de acciones (y van dos en lo que va de año), representativas de,...</t>
    </r>
    <r>
      <rPr>
        <rFont val="Arial, sans-serif"/>
        <color rgb="FF1155CC"/>
        <sz val="12.0"/>
        <u/>
      </rPr>
      <t>.</t>
    </r>
    <r>
      <rPr>
        <rFont val="Arial, sans-serif"/>
        <color rgb="FF1155CC"/>
        <sz val="11.0"/>
        <u/>
      </rPr>
      <t>7 ago 2024</t>
    </r>
  </si>
  <si>
    <t>La recompra de acciones no funciona</t>
  </si>
  <si>
    <t>Los inversores aplauden a Repsol, que inicia un programa de recompra de 20 millones de acciones (y van dos en lo que va de año), representativas de,...</t>
  </si>
  <si>
    <t>Share buybacks don't work</t>
  </si>
  <si>
    <t>Investors applaud Repsol, which is starting a repurchase program of 20 million shares (and there are two so far this year), representing,...</t>
  </si>
  <si>
    <r>
      <rPr>
        <rFont val="Arial, sans-serif"/>
        <color rgb="FF1155CC"/>
        <sz val="9.0"/>
        <u/>
      </rPr>
      <t>Estrategias de Inversión</t>
    </r>
    <r>
      <rPr>
        <rFont val="Arial, sans-serif"/>
        <color rgb="FF1155CC"/>
        <sz val="15.0"/>
        <u/>
      </rPr>
      <t>La petrolera Repsol inicia la recompra de 20 millones de acciones para reducción de capital</t>
    </r>
    <r>
      <rPr>
        <rFont val="Arial, sans-serif"/>
        <color rgb="FF1155CC"/>
        <sz val="11.0"/>
        <u/>
      </rPr>
      <t>Repsol pone en marcha un programa de recompra de acciones por 421,26 millones de euros, equivalentes a 20 millones de acciones. La compañía busca reducir su...</t>
    </r>
    <r>
      <rPr>
        <rFont val="Arial, sans-serif"/>
        <color rgb="FF1155CC"/>
        <sz val="12.0"/>
        <u/>
      </rPr>
      <t>.</t>
    </r>
    <r>
      <rPr>
        <rFont val="Arial, sans-serif"/>
        <color rgb="FF1155CC"/>
        <sz val="11.0"/>
        <u/>
      </rPr>
      <t>7 ago 2024</t>
    </r>
  </si>
  <si>
    <t>Repsol inicia la recompra de 20 millones de acciones para reducción de capital</t>
  </si>
  <si>
    <t>Repsol pone en marcha un programa de recompra de acciones por 421,26 millones de euros, equivalentes a 20 millones de acciones. La compañía busca reducir su....</t>
  </si>
  <si>
    <t>Repsol begins the repurchase of 20 million shares for capital reduction</t>
  </si>
  <si>
    <t>Repsol launches a share repurchase program for 421.26 million euros, equivalent to 20 million shares. The company seeks to reduce its...</t>
  </si>
  <si>
    <t>Positive as it emphasizes Repsol’s commitment to rewarding shareholders.</t>
  </si>
  <si>
    <r>
      <rPr>
        <rFont val="Arial, sans-serif"/>
        <color rgb="FF1155CC"/>
        <sz val="9.0"/>
        <u/>
      </rPr>
      <t>Guía Repsol</t>
    </r>
    <r>
      <rPr>
        <rFont val="Arial, sans-serif"/>
        <color rgb="FF1155CC"/>
        <sz val="15.0"/>
        <u/>
      </rPr>
      <t>Hotel 'Kimpton Vividora', otra forma de sentir Barcelona</t>
    </r>
    <r>
      <rPr>
        <rFont val="Arial, sans-serif"/>
        <color rgb="FF1155CC"/>
        <sz val="11.0"/>
        <u/>
      </rPr>
      <t>Descubre una nueva manera de experimentar Barcelona en el Hotel Kimpton Vividora. Un oasis de lujo y diseño en el corazón del Gótico,</t>
    </r>
    <r>
      <rPr>
        <rFont val="Arial, sans-serif"/>
        <color rgb="FF1155CC"/>
        <sz val="12.0"/>
        <u/>
      </rPr>
      <t>.</t>
    </r>
    <r>
      <rPr>
        <rFont val="Arial, sans-serif"/>
        <color rgb="FF1155CC"/>
        <sz val="11.0"/>
        <u/>
      </rPr>
      <t>7 ago 2024</t>
    </r>
  </si>
  <si>
    <t>Hotel 'Kimpton Vividora', otra forma de sentir Barcelona</t>
  </si>
  <si>
    <t>Descubre una nueva manera de experimentar Barcelona en el Hotel Kimpton Vividora. Un oasis de lujo y diseño en el corazón del Gótico.</t>
  </si>
  <si>
    <t>Hotel 'Kimpton Vividora', another way to feel Barcelona</t>
  </si>
  <si>
    <t>Discover a new way to experience Barcelona at the Kimpton Vividora Hotel. An oasis of luxury and design in the heart of the Gothic Quarter.</t>
  </si>
  <si>
    <r>
      <rPr>
        <rFont val="Arial, sans-serif"/>
        <color rgb="FF1155CC"/>
        <sz val="9.0"/>
        <u/>
      </rPr>
      <t>El Confidencial</t>
    </r>
    <r>
      <rPr>
        <rFont val="Arial, sans-serif"/>
        <color rgb="FF1155CC"/>
        <sz val="15.0"/>
        <u/>
      </rPr>
      <t>El Gobierno de Bengasi sanciona a España cerrando el principal yacimiento de Repsol en Libia</t>
    </r>
    <r>
      <rPr>
        <rFont val="Arial, sans-serif"/>
        <color rgb="FF1155CC"/>
        <sz val="11.0"/>
        <u/>
      </rPr>
      <t>El hijo del general que manda en el este y sur del país fue retenido en un aeropuerto italiano a causa de un señalamiento introducido en el sistema Schengen...</t>
    </r>
    <r>
      <rPr>
        <rFont val="Arial, sans-serif"/>
        <color rgb="FF1155CC"/>
        <sz val="12.0"/>
        <u/>
      </rPr>
      <t>.</t>
    </r>
    <r>
      <rPr>
        <rFont val="Arial, sans-serif"/>
        <color rgb="FF1155CC"/>
        <sz val="11.0"/>
        <u/>
      </rPr>
      <t>7 ago 2024</t>
    </r>
  </si>
  <si>
    <t>El Gobierno de Bengasi sanciona a España cerrando el principal yacimiento de Repsol en Libia</t>
  </si>
  <si>
    <t>El hijo del general que manda en el este y sur del país fue retenido en un aeropuerto italiano a causa de un señalamiento introducido en el sistema Schengen.</t>
  </si>
  <si>
    <t>The Government of Benghazi sanctions Spain by closing the main Repsol field in Libya</t>
  </si>
  <si>
    <t>The son of the general who commands the east and south of the country was detained at an Italian airport due to a flag introduced into the Schengen system.</t>
  </si>
  <si>
    <t>Negative as it reports geopolitical tensions affecting Repsol’s operations.</t>
  </si>
  <si>
    <t>sanciona, cerrando</t>
  </si>
  <si>
    <r>
      <rPr>
        <rFont val="Arial, sans-serif"/>
        <color rgb="FF1155CC"/>
        <sz val="9.0"/>
        <u/>
      </rPr>
      <t>Servimedia</t>
    </r>
    <r>
      <rPr>
        <rFont val="Arial, sans-serif"/>
        <color rgb="FF1155CC"/>
        <sz val="15.0"/>
        <u/>
      </rPr>
      <t>Arenal Sound evita la emisión de 83 toneladas de CO2 gracias a un combustible 100% renovable</t>
    </r>
    <r>
      <rPr>
        <rFont val="Arial, sans-serif"/>
        <color rgb="FF1155CC"/>
        <sz val="11.0"/>
        <u/>
      </rPr>
      <t>El festival Arenal Sound cerró el domingo una nueva edición con cifras récord similares a años anteriores, al congregar a más de 300.000 personas. De…</t>
    </r>
    <r>
      <rPr>
        <rFont val="Arial, sans-serif"/>
        <color rgb="FF1155CC"/>
        <sz val="12.0"/>
        <u/>
      </rPr>
      <t>.</t>
    </r>
    <r>
      <rPr>
        <rFont val="Arial, sans-serif"/>
        <color rgb="FF1155CC"/>
        <sz val="11.0"/>
        <u/>
      </rPr>
      <t>7 ago 2024</t>
    </r>
  </si>
  <si>
    <t>Arenal Sound evita la emisión de 83 toneladas de CO2 gracias a un combustible 100% renovable</t>
  </si>
  <si>
    <t>El festival Arenal Sound cerró el domingo una nueva edición con cifras récord similares a años anteriores, al congregar a más de 300.000 personas.</t>
  </si>
  <si>
    <t>Arenal Sound avoids the emission of 83 tons of CO2 thanks to a 100% renewable fuel</t>
  </si>
  <si>
    <t>The Arenal Sound festival closed a new edition on Sunday with record numbers similar to previous years, bringing together more than 300,000 people.</t>
  </si>
  <si>
    <t>Positive as it highlights Repsol’s contribution to sustainability at events.</t>
  </si>
  <si>
    <r>
      <rPr>
        <rFont val="Arial, sans-serif"/>
        <color rgb="FF1155CC"/>
        <sz val="9.0"/>
        <u/>
      </rPr>
      <t>Guía Repsol</t>
    </r>
    <r>
      <rPr>
        <rFont val="Arial, sans-serif"/>
        <color rgb="FF1155CC"/>
        <sz val="15.0"/>
        <u/>
      </rPr>
      <t>El Monasterio de Uclés, nuevo centro de ocio y conocimiento</t>
    </r>
    <r>
      <rPr>
        <rFont val="Arial, sans-serif"/>
        <color rgb="FF1155CC"/>
        <sz val="11.0"/>
        <u/>
      </rPr>
      <t>Fue convento, sede principal de la Orden de Santiago, tumba de Jorge Manrique, seminario, colegio, hospital y hasta cárcel. Casi 500 años después de que se...</t>
    </r>
    <r>
      <rPr>
        <rFont val="Arial, sans-serif"/>
        <color rgb="FF1155CC"/>
        <sz val="12.0"/>
        <u/>
      </rPr>
      <t>.</t>
    </r>
    <r>
      <rPr>
        <rFont val="Arial, sans-serif"/>
        <color rgb="FF1155CC"/>
        <sz val="11.0"/>
        <u/>
      </rPr>
      <t>7 ago 2024</t>
    </r>
  </si>
  <si>
    <t>El Monasterio de Uclés, nuevo centro de ocio y conocimiento</t>
  </si>
  <si>
    <t>Fue convento, sede principal de la Orden de Santiago, tumba de Jorge Manrique, seminario, colegio, hospital y hasta cárcel. Casi 500 años después de que se....</t>
  </si>
  <si>
    <t>The Monastery of Uclés, new leisure and knowledge center</t>
  </si>
  <si>
    <t>It was a convent, main headquarters of the Order of Santiago, Jorge Manrique's tomb, seminary, school, hospital and even prison. Almost 500 years after it...</t>
  </si>
  <si>
    <r>
      <rPr>
        <rFont val="Arial, sans-serif"/>
        <color rgb="FF1155CC"/>
        <sz val="9.0"/>
        <u/>
      </rPr>
      <t>Guía Repsol</t>
    </r>
    <r>
      <rPr>
        <rFont val="Arial, sans-serif"/>
        <color rgb="FF1155CC"/>
        <sz val="15.0"/>
        <u/>
      </rPr>
      <t>Refréscate en las piscinas naturales de Navaluenga</t>
    </r>
    <r>
      <rPr>
        <rFont val="Arial, sans-serif"/>
        <color rgb="FF1155CC"/>
        <sz val="11.0"/>
        <u/>
      </rPr>
      <t>Sumérgete en las cristalinas aguas de las piscinas naturales de Navaluenga. Disfruta de un baño refrescante en plena naturaleza y desconecta del estrés.</t>
    </r>
    <r>
      <rPr>
        <rFont val="Arial, sans-serif"/>
        <color rgb="FF1155CC"/>
        <sz val="12.0"/>
        <u/>
      </rPr>
      <t>.</t>
    </r>
    <r>
      <rPr>
        <rFont val="Arial, sans-serif"/>
        <color rgb="FF1155CC"/>
        <sz val="11.0"/>
        <u/>
      </rPr>
      <t>7 ago 2024</t>
    </r>
  </si>
  <si>
    <t>Refréscate en las piscinas naturales de Navaluenga</t>
  </si>
  <si>
    <t>Sumérgete en las cristalinas aguas de las piscinas naturales de Navaluenga. Disfruta de un baño refrescante en plena naturaleza y desconecta del estrés.</t>
  </si>
  <si>
    <t>Cool off in the natural pools of Navaluenga</t>
  </si>
  <si>
    <t>Immerse yourself in the crystalline waters of the natural pools of Navaluenga. Enjoy a refreshing bath surrounded by nature and disconnect from stress.</t>
  </si>
  <si>
    <r>
      <rPr>
        <rFont val="Arial, sans-serif"/>
        <color rgb="FF1155CC"/>
        <sz val="9.0"/>
        <u/>
      </rPr>
      <t>La Razón</t>
    </r>
    <r>
      <rPr>
        <rFont val="Arial, sans-serif"/>
        <color rgb="FF1155CC"/>
        <sz val="15.0"/>
        <u/>
      </rPr>
      <t>Las caras de la noticia: 7 de agosto de 2024</t>
    </r>
    <r>
      <rPr>
        <rFont val="Arial, sans-serif"/>
        <color rgb="FF1155CC"/>
        <sz val="11.0"/>
        <u/>
      </rPr>
      <t>Aceite de cocina usado para fabricar combustible renovable. La energética que preside Brufau ha recogido ya más de 40.000 litros de aceite de cocina usado,...</t>
    </r>
    <r>
      <rPr>
        <rFont val="Arial, sans-serif"/>
        <color rgb="FF1155CC"/>
        <sz val="12.0"/>
        <u/>
      </rPr>
      <t>.</t>
    </r>
    <r>
      <rPr>
        <rFont val="Arial, sans-serif"/>
        <color rgb="FF1155CC"/>
        <sz val="11.0"/>
        <u/>
      </rPr>
      <t>7 ago 2024</t>
    </r>
  </si>
  <si>
    <t>Aceite de cocina usado para fabricar combustible renovable.</t>
  </si>
  <si>
    <t>Aceite de cocina usado para fabricar combustible renovable. La energética que preside Brufau ha recogido ya más de 40.000 litros de aceite de cocina usado,....</t>
  </si>
  <si>
    <t>Cooking oil used to make renewable fuel.</t>
  </si>
  <si>
    <t>Cooking oil used to make renewable fuel. The energy company chaired by Brufau has already collected more than 40,000 liters of used cooking oil,....</t>
  </si>
  <si>
    <t>Positive as it highlights Repsol's sustainability efforts.</t>
  </si>
  <si>
    <r>
      <rPr>
        <rFont val="Arial, sans-serif"/>
        <color rgb="FF1155CC"/>
        <sz val="9.0"/>
        <u/>
      </rPr>
      <t>Economía Digital</t>
    </r>
    <r>
      <rPr>
        <rFont val="Arial, sans-serif"/>
        <color rgb="FF1155CC"/>
        <sz val="15.0"/>
        <u/>
      </rPr>
      <t>Venta Pinto, el restaurante centenario de Vejer de la Frontera que enamora a los más exigentes</t>
    </r>
    <r>
      <rPr>
        <rFont val="Arial, sans-serif"/>
        <color rgb="FF1155CC"/>
        <sz val="11.0"/>
        <u/>
      </rPr>
      <t>Si quieres descubrir las delicias de la gastronomía de Cádiz, este restaurante centenario de carretera es ideal, ¡con 'Solete' Repsol incluido!</t>
    </r>
    <r>
      <rPr>
        <rFont val="Arial, sans-serif"/>
        <color rgb="FF1155CC"/>
        <sz val="12.0"/>
        <u/>
      </rPr>
      <t>.</t>
    </r>
    <r>
      <rPr>
        <rFont val="Arial, sans-serif"/>
        <color rgb="FF1155CC"/>
        <sz val="11.0"/>
        <u/>
      </rPr>
      <t>7 ago 2024</t>
    </r>
  </si>
  <si>
    <t>Venta Pinto, el restaurante centenario de Vejer de la Frontera que enamora a los más exigentes</t>
  </si>
  <si>
    <t>Si quieres descubrir las delicias de la gastronomía de Cádiz, este restaurante centenario de carretera es ideal, ¡con 'Solete' Repsol incluido!.</t>
  </si>
  <si>
    <t>Venta Pinto, the centenary restaurant in Vejer de la Frontera that the most demanding people fall in love with</t>
  </si>
  <si>
    <t>If you want to discover the delights of the gastronomy of Cádiz, this century-old roadside restaurant is ideal, with Repsol 'Solete' included!</t>
  </si>
  <si>
    <r>
      <rPr>
        <rFont val="Arial, sans-serif"/>
        <color rgb="FF1155CC"/>
        <sz val="9.0"/>
        <u/>
      </rPr>
      <t>20Minutos</t>
    </r>
    <r>
      <rPr>
        <rFont val="Arial, sans-serif"/>
        <color rgb="FF1155CC"/>
        <sz val="15.0"/>
        <u/>
      </rPr>
      <t>Iberdrola, Endesa, Naturgy y Repsol ya suman renovables para suministrar luz a unos 35 millones de hogares</t>
    </r>
    <r>
      <rPr>
        <rFont val="Arial, sans-serif"/>
        <color rgb="FF1155CC"/>
        <sz val="11.0"/>
        <u/>
      </rPr>
      <t>Las grandes energéticas españolas reúnen casi 63.300 megavatios de potencia 'verde', con el 68,6% en manos de la eléctrica que preside Ignacio Sánchez Galán...</t>
    </r>
    <r>
      <rPr>
        <rFont val="Arial, sans-serif"/>
        <color rgb="FF1155CC"/>
        <sz val="12.0"/>
        <u/>
      </rPr>
      <t>.</t>
    </r>
    <r>
      <rPr>
        <rFont val="Arial, sans-serif"/>
        <color rgb="FF1155CC"/>
        <sz val="11.0"/>
        <u/>
      </rPr>
      <t>8 ago 2024</t>
    </r>
  </si>
  <si>
    <t>Iberdrola, Endesa, Naturgy y Repsol ya suman renovables para suministrar luz a unos 35 millones de hogares</t>
  </si>
  <si>
    <t>Iberdrola, Endesa, Naturgy y Repsol ya suman renovables para suministrar luz a unos 35 millones de hogares. Las grandes energéticas españolas reúnen casi 63.300 megavatios de potencia 'verde', con el 68,6% en manos de la eléctrica que preside Ignacio Sánchez Galán.</t>
  </si>
  <si>
    <t>Iberdrola, Endesa, Naturgy and Repsol are already adding renewables to supply electricity to some 35 million homes</t>
  </si>
  <si>
    <t>Iberdrola, Endesa, Naturgy and Repsol are already adding renewables to supply electricity to some 35 million homes. The large Spanish energy companies gather almost 63,300 megawatts of 'green' power, with 68.6% in the hands of the electricity company chaired by Ignacio Sánchez Galán.</t>
  </si>
  <si>
    <t>Positive as it emphasizes the growth of renewable energy.</t>
  </si>
  <si>
    <t>Positive for renewable energy</t>
  </si>
  <si>
    <t>Positivo para las energías renovables</t>
  </si>
  <si>
    <r>
      <rPr>
        <rFont val="Arial, sans-serif"/>
        <color rgb="FF1155CC"/>
        <sz val="9.0"/>
        <u/>
      </rPr>
      <t>Guía Repsol</t>
    </r>
    <r>
      <rPr>
        <rFont val="Arial, sans-serif"/>
        <color rgb="FF1155CC"/>
        <sz val="15.0"/>
        <u/>
      </rPr>
      <t>Yayo Daporta nos descubre Cambados y su restaurante A Capitana</t>
    </r>
    <r>
      <rPr>
        <rFont val="Arial, sans-serif"/>
        <color rgb="FF1155CC"/>
        <sz val="11.0"/>
        <u/>
      </rPr>
      <t>La esencia de Cambados en cada plato. Yayo Daporta te invita a descubrir los sabores de su tierra, desde el mercado hasta tu paladar.</t>
    </r>
    <r>
      <rPr>
        <rFont val="Arial, sans-serif"/>
        <color rgb="FF1155CC"/>
        <sz val="12.0"/>
        <u/>
      </rPr>
      <t>.</t>
    </r>
    <r>
      <rPr>
        <rFont val="Arial, sans-serif"/>
        <color rgb="FF1155CC"/>
        <sz val="11.0"/>
        <u/>
      </rPr>
      <t>8 ago 2024</t>
    </r>
  </si>
  <si>
    <t>Yayo Daporta nos descubre Cambados y su restaurante A Capitana</t>
  </si>
  <si>
    <t>La esencia de Cambados en cada plato. Yayo Daporta te invita a descubrir los sabores de su tierra, desde el mercado hasta tu paladar.</t>
  </si>
  <si>
    <t>Yayo Daporta introduces us to Cambados and his restaurant A Capitana</t>
  </si>
  <si>
    <t>The essence of Cambados in every dish. Yayo Daporta invites you to discover the flavors of his land, from the market to your palate.</t>
  </si>
  <si>
    <r>
      <rPr>
        <rFont val="Arial, sans-serif"/>
        <color rgb="FF1155CC"/>
        <sz val="9.0"/>
        <u/>
      </rPr>
      <t>Guía Repsol</t>
    </r>
    <r>
      <rPr>
        <rFont val="Arial, sans-serif"/>
        <color rgb="FF1155CC"/>
        <sz val="15.0"/>
        <u/>
      </rPr>
      <t>La piscina más grande de España está en Madrid, no la tienes fichada y es perfecta. De nada</t>
    </r>
    <r>
      <rPr>
        <rFont val="Arial, sans-serif"/>
        <color rgb="FF1155CC"/>
        <sz val="11.0"/>
        <u/>
      </rPr>
      <t>Cuando aprieta el verano en Madrid, la búsqueda de oasis donde darse un remojón se convierte en deporte regional. Aquí os dejamos una propuesta imbatible:...</t>
    </r>
    <r>
      <rPr>
        <rFont val="Arial, sans-serif"/>
        <color rgb="FF1155CC"/>
        <sz val="12.0"/>
        <u/>
      </rPr>
      <t>.</t>
    </r>
    <r>
      <rPr>
        <rFont val="Arial, sans-serif"/>
        <color rgb="FF1155CC"/>
        <sz val="11.0"/>
        <u/>
      </rPr>
      <t>8 ago 2024</t>
    </r>
  </si>
  <si>
    <t>La piscina más grande de España está en Madrid, no la tienes fichada y es perfecta. De nada</t>
  </si>
  <si>
    <t>La piscina más grande de España está en Madrid, no la tienes fichada y es perfecta. De nada Cuando aprieta el verano en Madrid, la búsqueda de oasis donde darse un remojón se convierte en deporte regional. Aquí os dejamos una propuesta imbatible:....</t>
  </si>
  <si>
    <t>The largest pool in Spain is in Madrid, you don't have it booked and it is perfect. You are welcome</t>
  </si>
  <si>
    <t>The largest pool in Spain is in Madrid, you don't have it booked and it is perfect. You're welcome When summer hits in Madrid, the search for oases where you can take a dip becomes a regional sport. Here we leave you an unbeatable proposal:....</t>
  </si>
  <si>
    <r>
      <rPr>
        <rFont val="Arial, sans-serif"/>
        <color rgb="FF1155CC"/>
        <sz val="9.0"/>
        <u/>
      </rPr>
      <t>El Español</t>
    </r>
    <r>
      <rPr>
        <rFont val="Arial, sans-serif"/>
        <color rgb="FF1155CC"/>
        <sz val="15.0"/>
        <u/>
      </rPr>
      <t>El Nacional de autocross cita en Arteixo (A Coruña) a 134 pilotos este fin de semana</t>
    </r>
    <r>
      <rPr>
        <rFont val="Arial, sans-serif"/>
        <color rgb="FF1155CC"/>
        <sz val="11.0"/>
        <u/>
      </rPr>
      <t>Repsol vuelve a patrocinar una prueba con seis categorías y a la que se prevé que acudan unos 5.000 aficionados.</t>
    </r>
    <r>
      <rPr>
        <rFont val="Arial, sans-serif"/>
        <color rgb="FF1155CC"/>
        <sz val="12.0"/>
        <u/>
      </rPr>
      <t>.</t>
    </r>
    <r>
      <rPr>
        <rFont val="Arial, sans-serif"/>
        <color rgb="FF1155CC"/>
        <sz val="11.0"/>
        <u/>
      </rPr>
      <t>8 ago 2024</t>
    </r>
  </si>
  <si>
    <t>El Nacional de autocross cita en Arteixo (A Coruña) a 134 pilotos este fin de semana</t>
  </si>
  <si>
    <t>Repsol vuelve a patrocinar una prueba con seis categorías y a la que se prevé que acudan unos 5.000 aficionados.</t>
  </si>
  <si>
    <t>The National Autocross brings together 134 drivers in Arteixo (A Coruña) this weekend</t>
  </si>
  <si>
    <t>Repsol is once again sponsoring a test with six categories and which is expected to be attended by around 5,000 fans.</t>
  </si>
  <si>
    <t>Positive as it highlights Repsol’s involvement in sports sponsorship.</t>
  </si>
  <si>
    <r>
      <rPr>
        <rFont val="Arial, sans-serif"/>
        <color rgb="FF1155CC"/>
        <sz val="9.0"/>
        <u/>
      </rPr>
      <t>Vozpópuli</t>
    </r>
    <r>
      <rPr>
        <rFont val="Arial, sans-serif"/>
        <color rgb="FF1155CC"/>
        <sz val="15.0"/>
        <u/>
      </rPr>
      <t>Valores del Ibex 35 baratos y con potencial de doble dígito tras la tormenta en el mercado</t>
    </r>
    <r>
      <rPr>
        <rFont val="Arial, sans-serif"/>
        <color rgb="FF1155CC"/>
        <sz val="11.0"/>
        <u/>
      </rPr>
      <t>Las fuertes caídas en los últimos días en el Ibex 35 pueden suponer una oportunidad para entrar en algunos valores. Analizamos tres de ellos –IAG,...</t>
    </r>
    <r>
      <rPr>
        <rFont val="Arial, sans-serif"/>
        <color rgb="FF1155CC"/>
        <sz val="12.0"/>
        <u/>
      </rPr>
      <t>.</t>
    </r>
    <r>
      <rPr>
        <rFont val="Arial, sans-serif"/>
        <color rgb="FF1155CC"/>
        <sz val="11.0"/>
        <u/>
      </rPr>
      <t>8 ago 2024</t>
    </r>
  </si>
  <si>
    <t>Valores del Ibex 35 baratos y con potencial de doble dígito tras la tormenta en el mercado</t>
  </si>
  <si>
    <t>Las fuertes caídas en los últimos días en el Ibex 35 pueden suponer una oportunidad para entrar en algunos valores. Analizamos tres de ellos –IAG,....</t>
  </si>
  <si>
    <t>Cheap Ibex 35 values ​​with double-digit potential after the storm in the market</t>
  </si>
  <si>
    <t>The sharp falls in recent days in the Ibex 35 may be an opportunity to enter some values. We analyze three of them –IAG,....</t>
  </si>
  <si>
    <r>
      <rPr>
        <rFont val="Arial, sans-serif"/>
        <color rgb="FF1155CC"/>
        <sz val="9.0"/>
        <u/>
      </rPr>
      <t>El Nacional.cat</t>
    </r>
    <r>
      <rPr>
        <rFont val="Arial, sans-serif"/>
        <color rgb="FF1155CC"/>
        <sz val="15.0"/>
        <u/>
      </rPr>
      <t>El IBEX 35 vuelve al 'rojo' y pierde la cota de los 10.500 puntos</t>
    </r>
    <r>
      <rPr>
        <rFont val="Arial, sans-serif"/>
        <color rgb="FF1155CC"/>
        <sz val="11.0"/>
        <u/>
      </rPr>
      <t>La sesión bursátil de la bolsa española de este jueves se ha iniciado en negativo, en línea con el comportamiento generalizado de los mercados de capitales...</t>
    </r>
    <r>
      <rPr>
        <rFont val="Arial, sans-serif"/>
        <color rgb="FF1155CC"/>
        <sz val="12.0"/>
        <u/>
      </rPr>
      <t>.</t>
    </r>
    <r>
      <rPr>
        <rFont val="Arial, sans-serif"/>
        <color rgb="FF1155CC"/>
        <sz val="11.0"/>
        <u/>
      </rPr>
      <t>8 ago 2024</t>
    </r>
  </si>
  <si>
    <t>El IBEX 35 vuelve al 'rojo' y pierde la cota de los 10.500 puntos</t>
  </si>
  <si>
    <t>La sesión bursátil de la bolsa española de este jueves se ha iniciado en negativo, en línea con el comportamiento generalizado de los mercados de capitales....</t>
  </si>
  <si>
    <t>The IBEX 35 returns to the 'red' and loses the level of 10,500 points</t>
  </si>
  <si>
    <t>The trading session of the Spanish stock market this Thursday has started negatively, in line with the general behavior of the capital markets....</t>
  </si>
  <si>
    <r>
      <rPr>
        <rFont val="Arial, sans-serif"/>
        <color rgb="FF1155CC"/>
        <sz val="9.0"/>
        <u/>
      </rPr>
      <t>World Energy Trade -</t>
    </r>
    <r>
      <rPr>
        <rFont val="Arial, sans-serif"/>
        <color rgb="FF1155CC"/>
        <sz val="15.0"/>
        <u/>
      </rPr>
      <t>Trípoli ordena el arresto del ministro libio del Petróleo por cargos de corrupción -</t>
    </r>
    <r>
      <rPr>
        <rFont val="Arial, sans-serif"/>
        <color rgb="FF1155CC"/>
        <sz val="11.0"/>
        <u/>
      </rPr>
      <t>Justo un día después de que Libia se viera obligada, una vez más, a reducir la producción de petróleo de su mayor yacimiento, Sharara, a causa de las...</t>
    </r>
    <r>
      <rPr>
        <rFont val="Arial, sans-serif"/>
        <color rgb="FF1155CC"/>
        <sz val="12.0"/>
        <u/>
      </rPr>
      <t>.</t>
    </r>
    <r>
      <rPr>
        <rFont val="Arial, sans-serif"/>
        <color rgb="FF1155CC"/>
        <sz val="11.0"/>
        <u/>
      </rPr>
      <t>8 ago 2024</t>
    </r>
  </si>
  <si>
    <t>Trípoli ordena el arresto del ministro libio del Petróleo por cargos de corrupción</t>
  </si>
  <si>
    <t>Justo un día después de que Libia se viera obligada, una vez más, a reducir la producción de petróleo de su mayor yacimiento, Sharara, a causa de las....</t>
  </si>
  <si>
    <t>Tripoli orders arrest of Libyan oil minister on corruption charges</t>
  </si>
  <si>
    <t>Just a day after Libya was forced, once again, to reduce oil production from its largest field, Sharara, due to...</t>
  </si>
  <si>
    <t>Negative as it highlights geopolitical instability affecting the oil sector.</t>
  </si>
  <si>
    <r>
      <rPr>
        <rFont val="Arial, sans-serif"/>
        <color rgb="FF1155CC"/>
        <sz val="9.0"/>
        <u/>
      </rPr>
      <t>20Minutos</t>
    </r>
    <r>
      <rPr>
        <rFont val="Arial, sans-serif"/>
        <color rgb="FF1155CC"/>
        <sz val="15.0"/>
        <u/>
      </rPr>
      <t>Estos son los auténticos riesgos de llenar el depósito en gasolineras 'low cost': lo barato podría salirte muy caro</t>
    </r>
    <r>
      <rPr>
        <rFont val="Arial, sans-serif"/>
        <color rgb="FF1155CC"/>
        <sz val="11.0"/>
        <u/>
      </rPr>
      <t>El alto precio de la gasolina y los carburantes ha hecho que cada vez sean más los conductores que buscan combustibles económicos, pero hay que tener en...</t>
    </r>
    <r>
      <rPr>
        <rFont val="Arial, sans-serif"/>
        <color rgb="FF1155CC"/>
        <sz val="12.0"/>
        <u/>
      </rPr>
      <t>.</t>
    </r>
    <r>
      <rPr>
        <rFont val="Arial, sans-serif"/>
        <color rgb="FF1155CC"/>
        <sz val="11.0"/>
        <u/>
      </rPr>
      <t>8 ago 2024</t>
    </r>
  </si>
  <si>
    <t>Estos son los auténticos riesgos de llenar el depósito en gasolineras 'low cost': lo barato podría salirte muy caro</t>
  </si>
  <si>
    <t>El alto precio de la gasolina y los carburantes ha hecho que cada vez sean más los conductores que buscan combustibles económicos, pero hay que tener en....</t>
  </si>
  <si>
    <t>These are the real risks of filling up at 'low cost' gas stations: cheap could be very expensive</t>
  </si>
  <si>
    <t>The high price of gasoline and fuels has led to more and more drivers looking for economical fuels, but we must keep in mind...</t>
  </si>
  <si>
    <t>Repsol fuel market, consumer trends</t>
  </si>
  <si>
    <t>Mercado de combustibles Repsol, tendencias de consumo</t>
  </si>
  <si>
    <t>Positive as it informs about potential risks for consumers.</t>
  </si>
  <si>
    <r>
      <rPr>
        <rFont val="Arial, sans-serif"/>
        <color rgb="FF1155CC"/>
        <sz val="9.0"/>
        <u/>
      </rPr>
      <t>Clarin.com</t>
    </r>
    <r>
      <rPr>
        <rFont val="Arial, sans-serif"/>
        <color rgb="FF1155CC"/>
        <sz val="15.0"/>
        <u/>
      </rPr>
      <t>Juicio por la estatización de YPF: el fondo que lo ganó ahora quiere negociar con la Argentina</t>
    </r>
    <r>
      <rPr>
        <rFont val="Arial, sans-serif"/>
        <color rgb="FF1155CC"/>
        <sz val="11.0"/>
        <u/>
      </rPr>
      <t>Pese a que tienen a favor la mayor sentencia contra un Estado, los US$ 16.000 millones que fijó la jueza Loretta Preska de Nueva York por el juicio de YPF,...</t>
    </r>
    <r>
      <rPr>
        <rFont val="Arial, sans-serif"/>
        <color rgb="FF1155CC"/>
        <sz val="12.0"/>
        <u/>
      </rPr>
      <t>.</t>
    </r>
    <r>
      <rPr>
        <rFont val="Arial, sans-serif"/>
        <color rgb="FF1155CC"/>
        <sz val="11.0"/>
        <u/>
      </rPr>
      <t>8 ago 2024</t>
    </r>
  </si>
  <si>
    <t>Clarin.com</t>
  </si>
  <si>
    <t>Juicio por la estatización de YPF: el fondo que lo ganó ahora quiere negociar con la Argentina</t>
  </si>
  <si>
    <t>Pese a que tienen a favor la mayor sentencia contra un Estado, los US$ 16.000 millones que fijó la jueza Loretta Preska de Nueva York por el juicio de YPF,....</t>
  </si>
  <si>
    <t>Trial for the nationalization of YPF: the fund that won it now wants to negotiate with Argentina</t>
  </si>
  <si>
    <t>Despite the fact that they have the largest sentence against a State in their favor, the US$ 16,000 million that Judge Loretta Preska of New York established for the YPF trial,...</t>
  </si>
  <si>
    <t>Repsol legal issues, energy sector</t>
  </si>
  <si>
    <t>Cuestiones jurídicas de Repsol, sector energético</t>
  </si>
  <si>
    <t>Negative as it discusses financial uncertainty related to YPF.</t>
  </si>
  <si>
    <r>
      <rPr>
        <rFont val="Arial, sans-serif"/>
        <color rgb="FF1155CC"/>
        <sz val="9.0"/>
        <u/>
      </rPr>
      <t>La Hora</t>
    </r>
    <r>
      <rPr>
        <rFont val="Arial, sans-serif"/>
        <color rgb="FF1155CC"/>
        <sz val="15.0"/>
        <u/>
      </rPr>
      <t>Bono Repsol 3000 soles agosto 2024: Consulta si hay un LINK para realizar el cobro</t>
    </r>
    <r>
      <rPr>
        <rFont val="Arial, sans-serif"/>
        <color rgb="FF1155CC"/>
        <sz val="11.0"/>
        <u/>
      </rPr>
      <t>Conoce todos los detalles sobre el subsidio económico que entregó Repsol como ayuda a las familias afectadas por el derrame de petróleo.</t>
    </r>
    <r>
      <rPr>
        <rFont val="Arial, sans-serif"/>
        <color rgb="FF1155CC"/>
        <sz val="12.0"/>
        <u/>
      </rPr>
      <t>.</t>
    </r>
    <r>
      <rPr>
        <rFont val="Arial, sans-serif"/>
        <color rgb="FF1155CC"/>
        <sz val="11.0"/>
        <u/>
      </rPr>
      <t>8 ago 2024</t>
    </r>
  </si>
  <si>
    <t>La Hora</t>
  </si>
  <si>
    <t>Bono Repsol 3000 soles agosto 2024: Consulta si hay un LINK para realizar el cobro</t>
  </si>
  <si>
    <t>Conoce todos los detalles sobre el subsidio económico que entregó Repsol como ayuda a las familias afectadas por el derrame de petróleo.</t>
  </si>
  <si>
    <t>Repsol Bonus 3000 soles August 2024: Check if there is a LINK to make the payment</t>
  </si>
  <si>
    <t>Find out all the details about the financial subsidy that Repsol provided to help families affected by the oil spill.</t>
  </si>
  <si>
    <t>Neutral as it provides financial information.</t>
  </si>
  <si>
    <t>bono</t>
  </si>
  <si>
    <t>Mildly positive for social responsibility</t>
  </si>
  <si>
    <t>Ligeramente positivo para la responsabilidad social</t>
  </si>
  <si>
    <r>
      <rPr>
        <rFont val="Arial, sans-serif"/>
        <color rgb="FF1155CC"/>
        <sz val="9.0"/>
        <u/>
      </rPr>
      <t>Biwenger</t>
    </r>
    <r>
      <rPr>
        <rFont val="Arial, sans-serif"/>
        <color rgb="FF1155CC"/>
        <sz val="15.0"/>
        <u/>
      </rPr>
      <t>¡Repsol reparte 100€ cada jornada para los 10 mejores en su Liga Waylet de Biwenger! - Biwenger</t>
    </r>
    <r>
      <rPr>
        <rFont val="Arial, sans-serif"/>
        <color rgb="FF1155CC"/>
        <sz val="11.0"/>
        <u/>
      </rPr>
      <t>Mánager, en menos de una semana vuelven los goles, la emoción, los piques con los colegas, las picas de tus jugadores…¡Vuelve LaLiga! Y qué mejor forma de.</t>
    </r>
    <r>
      <rPr>
        <rFont val="Arial, sans-serif"/>
        <color rgb="FF1155CC"/>
        <sz val="12.0"/>
        <u/>
      </rPr>
      <t>.</t>
    </r>
    <r>
      <rPr>
        <rFont val="Arial, sans-serif"/>
        <color rgb="FF1155CC"/>
        <sz val="11.0"/>
        <u/>
      </rPr>
      <t>9 ago 2024</t>
    </r>
  </si>
  <si>
    <t>Biwenger</t>
  </si>
  <si>
    <t>Repsol reparte 100€ cada jornada para los 10 mejores en su Liga Waylet de Biwenger!</t>
  </si>
  <si>
    <t>Repsol reparte 100€ cada jornada para los 10 mejores en su Liga Waylet de Biwenger! ¡Vuelve LaLiga!</t>
  </si>
  <si>
    <t>Repsol distributes €100 every day for the top 10 in its Biwenger Waylet League!</t>
  </si>
  <si>
    <t>Repsol distributes €100 every day for the top 10 in its Biwenger Waylet League! LaLiga is back!</t>
  </si>
  <si>
    <t>Incentivos a los clientes de Repsol, expansión empresarial</t>
  </si>
  <si>
    <t>Positive as it promotes a Repsol-sponsored event.</t>
  </si>
  <si>
    <t>Mildly positive for customer engagement</t>
  </si>
  <si>
    <t>Ligeramente positivo para la participación del cliente</t>
  </si>
  <si>
    <r>
      <rPr>
        <rFont val="Arial, sans-serif"/>
        <color rgb="FF1155CC"/>
        <sz val="9.0"/>
        <u/>
      </rPr>
      <t>Guía Repsol</t>
    </r>
    <r>
      <rPr>
        <rFont val="Arial, sans-serif"/>
        <color rgb="FF1155CC"/>
        <sz val="15.0"/>
        <u/>
      </rPr>
      <t>Hotel Aguamadera en Ibiza: un ejemplo de agroturismo</t>
    </r>
    <r>
      <rPr>
        <rFont val="Arial, sans-serif"/>
        <color rgb="FF1155CC"/>
        <sz val="11.0"/>
        <u/>
      </rPr>
      <t>La Ibiza interior esconde este remanso de paz, silencio, lujo mediterráneo y buena comida. Un agroturismo tranquilo para recuperar fuerzas, tras las eternas...</t>
    </r>
    <r>
      <rPr>
        <rFont val="Arial, sans-serif"/>
        <color rgb="FF1155CC"/>
        <sz val="12.0"/>
        <u/>
      </rPr>
      <t>.</t>
    </r>
    <r>
      <rPr>
        <rFont val="Arial, sans-serif"/>
        <color rgb="FF1155CC"/>
        <sz val="11.0"/>
        <u/>
      </rPr>
      <t>9 ago 2024</t>
    </r>
  </si>
  <si>
    <t>Hotel Aguamadera en Ibiza: un ejemplo de agroturismo</t>
  </si>
  <si>
    <t>La Ibiza interior esconde este remanso de paz, silencio, lujo mediterráneo y buena comida. Un agroturismo tranquilo para recuperar fuerzas, tras las eternas....</t>
  </si>
  <si>
    <t>Hotel Aguamadera in Ibiza: an example of agrotourism</t>
  </si>
  <si>
    <t>The interior of Ibiza hides this haven of peace, silence, Mediterranean luxury and good food. A quiet agrotourism to regain strength, after the eternal....</t>
  </si>
  <si>
    <r>
      <rPr>
        <rFont val="Arial, sans-serif"/>
        <color rgb="FF1155CC"/>
        <sz val="9.0"/>
        <u/>
      </rPr>
      <t>20Minutos</t>
    </r>
    <r>
      <rPr>
        <rFont val="Arial, sans-serif"/>
        <color rgb="FF1155CC"/>
        <sz val="15.0"/>
        <u/>
      </rPr>
      <t>Masdar entra en el 'lobby' europeo del hidrógeno junto con Iberdrola, Repsol y Cepsa en pleno 'boom' de inversiones</t>
    </r>
    <r>
      <rPr>
        <rFont val="Arial, sans-serif"/>
        <color rgb="FF1155CC"/>
        <sz val="11.0"/>
        <u/>
      </rPr>
      <t>El grupo de renovables de Abu Dabi, socio de las principales energéticas españolas, aspira a convertirse en productor líder mundial de este vector para 2030...</t>
    </r>
    <r>
      <rPr>
        <rFont val="Arial, sans-serif"/>
        <color rgb="FF1155CC"/>
        <sz val="12.0"/>
        <u/>
      </rPr>
      <t>.</t>
    </r>
    <r>
      <rPr>
        <rFont val="Arial, sans-serif"/>
        <color rgb="FF1155CC"/>
        <sz val="11.0"/>
        <u/>
      </rPr>
      <t>9 ago 2024</t>
    </r>
  </si>
  <si>
    <t>Masdar entra en el 'lobby' europeo del hidrógeno junto con Iberdrola, Repsol y Cepsa en pleno 'boom' de inversiones</t>
  </si>
  <si>
    <t>El grupo de renovables de Abu Dabi, socio de las principales energéticas españolas, aspira a convertirse en productor líder mundial de este vector para 2030.</t>
  </si>
  <si>
    <t>Masdar enters the European hydrogen lobby along with Iberdrola, Repsol and Cepsa in full investment boom</t>
  </si>
  <si>
    <t>The Abu Dhabi renewables group, a partner of the main Spanish energy companies, aspires to become the world's leading producer of this vector by 2030.</t>
  </si>
  <si>
    <t>Repsol hydrogen energy, business expansion</t>
  </si>
  <si>
    <t>Repsol hidrógeno energía, expansión empresarial</t>
  </si>
  <si>
    <t>Positive as it highlights growing investment in renewable energy.</t>
  </si>
  <si>
    <t>hidrógeno</t>
  </si>
  <si>
    <r>
      <rPr>
        <rFont val="Arial, sans-serif"/>
        <color rgb="FF1155CC"/>
        <sz val="9.0"/>
        <u/>
      </rPr>
      <t>Repsol</t>
    </r>
    <r>
      <rPr>
        <rFont val="Arial, sans-serif"/>
        <color rgb="FF1155CC"/>
        <sz val="15.0"/>
        <u/>
      </rPr>
      <t>La biomasa, un recurso para reactivar zonas rurales</t>
    </r>
    <r>
      <rPr>
        <rFont val="Arial, sans-serif"/>
        <color rgb="FF1155CC"/>
        <sz val="11.0"/>
        <u/>
      </rPr>
      <t>La revalorización de los restos orgánicos que genera la actividad agroforestal pueden ser un motor de riqueza para el campo español.</t>
    </r>
    <r>
      <rPr>
        <rFont val="Arial, sans-serif"/>
        <color rgb="FF1155CC"/>
        <sz val="12.0"/>
        <u/>
      </rPr>
      <t>.</t>
    </r>
    <r>
      <rPr>
        <rFont val="Arial, sans-serif"/>
        <color rgb="FF1155CC"/>
        <sz val="11.0"/>
        <u/>
      </rPr>
      <t>9 ago 2024</t>
    </r>
  </si>
  <si>
    <t>La biomasa, un recurso para reactivar zonas rurales</t>
  </si>
  <si>
    <t>La revalorización de los restos orgánicos que genera la actividad agroforestal pueden ser un motor de riqueza para el campo español.</t>
  </si>
  <si>
    <t>Biomass, a resource to reactivate rural areas</t>
  </si>
  <si>
    <t>The revaluation of the organic remains generated by agroforestry activity can be an engine of wealth for the Spanish countryside.</t>
  </si>
  <si>
    <r>
      <rPr>
        <rFont val="Arial, sans-serif"/>
        <color rgb="FF1155CC"/>
        <sz val="9.0"/>
        <u/>
      </rPr>
      <t>Infobae</t>
    </r>
    <r>
      <rPr>
        <rFont val="Arial, sans-serif"/>
        <color rgb="FF1155CC"/>
        <sz val="15.0"/>
        <u/>
      </rPr>
      <t>Incendio en la Refinería La Pampilla en Ventanilla dejó dos heridos y fue controlado por personal de la empresa Repsol</t>
    </r>
    <r>
      <rPr>
        <rFont val="Arial, sans-serif"/>
        <color rgb="FF1155CC"/>
        <sz val="11.0"/>
        <u/>
      </rPr>
      <t>Imágenes captadas por transeúntes mostraron las instalaciones del Grupo Repsol cubierto de una gran humareda. La emergencia inició alrededor de las 12 del...</t>
    </r>
    <r>
      <rPr>
        <rFont val="Arial, sans-serif"/>
        <color rgb="FF1155CC"/>
        <sz val="12.0"/>
        <u/>
      </rPr>
      <t>.</t>
    </r>
    <r>
      <rPr>
        <rFont val="Arial, sans-serif"/>
        <color rgb="FF1155CC"/>
        <sz val="11.0"/>
        <u/>
      </rPr>
      <t>9 ago 2024</t>
    </r>
  </si>
  <si>
    <t>Incendio en la Refinería La Pampilla en Ventanilla dejó dos heridos y fue controlado por personal de la empresa Repsol</t>
  </si>
  <si>
    <t>Incendio en la Refinería La Pampilla en Ventanilla dejó dos heridos y fue controlado por personal de la empresa Repsol. Imágenes captadas por transeúntes mostraron las instalaciones del Grupo Repsol cubierto de una gran humareda. La emergencia inició alrededor de las 12 del....</t>
  </si>
  <si>
    <t>Fire at the La Pampilla Refinery in Ventanilla left two injured and was controlled by personnel from the Repsol company</t>
  </si>
  <si>
    <t>Fire at the La Pampilla Refinery in Ventanilla left two injured and was controlled by personnel from the Repsol company. Images captured by passers-by showed the Repsol Group facilities covered in large smoke. The emergency began around 12 noon....</t>
  </si>
  <si>
    <t>Repsol refinery incident, business operations</t>
  </si>
  <si>
    <t>Incidente refinería Repsol, operaciones comerciales</t>
  </si>
  <si>
    <t>Negative as it highlights a fire incident affecting Repsol.</t>
  </si>
  <si>
    <t>incendio, heridos</t>
  </si>
  <si>
    <t>Strong negative for safety incident</t>
  </si>
  <si>
    <t>Fuerte negativo para incidente de seguridad.</t>
  </si>
  <si>
    <r>
      <rPr>
        <rFont val="Arial, sans-serif"/>
        <color rgb="FF1155CC"/>
        <sz val="9.0"/>
        <u/>
      </rPr>
      <t>Repsol</t>
    </r>
    <r>
      <rPr>
        <rFont val="Arial, sans-serif"/>
        <color rgb="FF1155CC"/>
        <sz val="15.0"/>
        <u/>
      </rPr>
      <t>Biomasa agroforestal y ganadera: energía renovable para impulsar la economía del campo español</t>
    </r>
    <r>
      <rPr>
        <rFont val="Arial, sans-serif"/>
        <color rgb="FF1155CC"/>
        <sz val="11.0"/>
        <u/>
      </rPr>
      <t>Hoy ya es posible utilizar los restos orgánicos que generan la agricultura, la ganadería y los trabajos forestales para producir energía de forma renovable.</t>
    </r>
    <r>
      <rPr>
        <rFont val="Arial, sans-serif"/>
        <color rgb="FF1155CC"/>
        <sz val="12.0"/>
        <u/>
      </rPr>
      <t>.</t>
    </r>
    <r>
      <rPr>
        <rFont val="Arial, sans-serif"/>
        <color rgb="FF1155CC"/>
        <sz val="11.0"/>
        <u/>
      </rPr>
      <t>9 ago 2024</t>
    </r>
  </si>
  <si>
    <t>Biomasa agroforestal y ganadera: energía renovable para impulsar la economía del campo español</t>
  </si>
  <si>
    <t>Hoy ya es posible utilizar los restos orgánicos que generan la agricultura, la ganadería y los trabajos forestales para producir energía de forma renovable.</t>
  </si>
  <si>
    <t>Agroforestry and livestock biomass: renewable energy to boost the economy of the Spanish countryside</t>
  </si>
  <si>
    <t>Today it is already possible to use the organic remains generated by agriculture, livestock and forestry work to produce energy in a renewable way.</t>
  </si>
  <si>
    <r>
      <rPr>
        <rFont val="Arial, sans-serif"/>
        <color rgb="FF1155CC"/>
        <sz val="9.0"/>
        <u/>
      </rPr>
      <t>Gestión</t>
    </r>
    <r>
      <rPr>
        <rFont val="Arial, sans-serif"/>
        <color rgb="FF1155CC"/>
        <sz val="15.0"/>
        <u/>
      </rPr>
      <t>Repsol: incendio en la Refinería La Pampilla ya está controlado</t>
    </r>
    <r>
      <rPr>
        <rFont val="Arial, sans-serif"/>
        <color rgb="FF1155CC"/>
        <sz val="11.0"/>
        <u/>
      </rPr>
      <t>Un incendio se registró este viernes en el interior de la Refinería La Pampilla de la empresa Repsol, en el distrito de Ventanilla, región Callao.</t>
    </r>
    <r>
      <rPr>
        <rFont val="Arial, sans-serif"/>
        <color rgb="FF1155CC"/>
        <sz val="12.0"/>
        <u/>
      </rPr>
      <t>.</t>
    </r>
    <r>
      <rPr>
        <rFont val="Arial, sans-serif"/>
        <color rgb="FF1155CC"/>
        <sz val="11.0"/>
        <u/>
      </rPr>
      <t>9 ago 2024</t>
    </r>
  </si>
  <si>
    <t>Incendio en la Refinería La Pampilla ya está controlado</t>
  </si>
  <si>
    <t>Un incendio se registró este viernes en el interior de la Refinería La Pampilla de la empresa Repsol, en el distrito de Ventanilla, región Callao.</t>
  </si>
  <si>
    <t>Fire at the La Pampilla Refinery is now under control</t>
  </si>
  <si>
    <t>A fire broke out this Friday inside the La Pampilla Refinery of the Repsol company, in the Ventanilla district, Callao region.</t>
  </si>
  <si>
    <t>Negative as it reports an incident affecting Repsol.</t>
  </si>
  <si>
    <t>Negative for safety incident</t>
  </si>
  <si>
    <t>Negativo por incidente de seguridad.</t>
  </si>
  <si>
    <r>
      <rPr>
        <rFont val="Arial, sans-serif"/>
        <color rgb="FF1155CC"/>
        <sz val="9.0"/>
        <u/>
      </rPr>
      <t>El Comercio Perú</t>
    </r>
    <r>
      <rPr>
        <rFont val="Arial, sans-serif"/>
        <color rgb="FF1155CC"/>
        <sz val="15.0"/>
        <u/>
      </rPr>
      <t>Dos heridos tras incendio en la Refinería La Pampilla</t>
    </r>
    <r>
      <rPr>
        <rFont val="Arial, sans-serif"/>
        <color rgb="FF1155CC"/>
        <sz val="11.0"/>
        <u/>
      </rPr>
      <t>A través de un comunicado, la Refinería La Pampilla, ubicada en Ventanilla, informó que dos personas resultaron heridas tras el incendio producido en una de...</t>
    </r>
    <r>
      <rPr>
        <rFont val="Arial, sans-serif"/>
        <color rgb="FF1155CC"/>
        <sz val="12.0"/>
        <u/>
      </rPr>
      <t>.</t>
    </r>
    <r>
      <rPr>
        <rFont val="Arial, sans-serif"/>
        <color rgb="FF1155CC"/>
        <sz val="11.0"/>
        <u/>
      </rPr>
      <t>9 ago 2024</t>
    </r>
  </si>
  <si>
    <t>Dos heridos tras incendio en la Refinería La Pampilla</t>
  </si>
  <si>
    <t>Dos personas resultaron heridas tras el incendio producido en una de....</t>
  </si>
  <si>
    <t>Two injured after fire at the La Pampilla Refinery</t>
  </si>
  <si>
    <t>Two people were injured after the fire broke out in one of...</t>
  </si>
  <si>
    <t>Incidente en refinería de Repsol, operaciones empresariales</t>
  </si>
  <si>
    <t>Negative as it reports injuries caused by an industrial accident.</t>
  </si>
  <si>
    <r>
      <rPr>
        <rFont val="Arial, sans-serif"/>
        <color rgb="FF1155CC"/>
        <sz val="9.0"/>
        <u/>
      </rPr>
      <t>Guía Repsol</t>
    </r>
    <r>
      <rPr>
        <rFont val="Arial, sans-serif"/>
        <color rgb="FF1155CC"/>
        <sz val="15.0"/>
        <u/>
      </rPr>
      <t>De Sevilla al cielo con vistas al Guadalquivir</t>
    </r>
    <r>
      <rPr>
        <rFont val="Arial, sans-serif"/>
        <color rgb="FF1155CC"/>
        <sz val="11.0"/>
        <u/>
      </rPr>
      <t>Cuando llegan los meses estivales y las temperaturas, en el sur, suben sin piedad, Sevilla se guarda un as en la manga: cada tarde, cuando el sol se acerca...</t>
    </r>
    <r>
      <rPr>
        <rFont val="Arial, sans-serif"/>
        <color rgb="FF1155CC"/>
        <sz val="12.0"/>
        <u/>
      </rPr>
      <t>.</t>
    </r>
    <r>
      <rPr>
        <rFont val="Arial, sans-serif"/>
        <color rgb="FF1155CC"/>
        <sz val="11.0"/>
        <u/>
      </rPr>
      <t>9 ago 2024</t>
    </r>
  </si>
  <si>
    <t>De Sevilla al cielo con vistas al Guadalquivir</t>
  </si>
  <si>
    <t>Cuando llegan los meses estivales y las temperaturas, en el sur, suben sin piedad, Sevilla se guarda un as en la manga: cada tarde, cuando el sol se acerca....</t>
  </si>
  <si>
    <t>From Seville to heaven with views of the Guadalquivir</t>
  </si>
  <si>
    <t>When the summer months arrive and temperatures in the south rise mercilessly, Seville has an ace up its sleeve: every afternoon, when the sun approaches...</t>
  </si>
  <si>
    <r>
      <rPr>
        <rFont val="Arial, sans-serif"/>
        <color rgb="FF1155CC"/>
        <sz val="9.0"/>
        <u/>
      </rPr>
      <t>Perú Retail</t>
    </r>
    <r>
      <rPr>
        <rFont val="Arial, sans-serif"/>
        <color rgb="FF1155CC"/>
        <sz val="15.0"/>
        <u/>
      </rPr>
      <t>Incendio en La Pampilla: Dos heridos deja siniestro en refinería de Repsol en Ventanilla</t>
    </r>
    <r>
      <rPr>
        <rFont val="Arial, sans-serif"/>
        <color rgb="FF1155CC"/>
        <sz val="11.0"/>
        <u/>
      </rPr>
      <t>Un incendio de grandes proporciones se registró este viernes alrededor de las 12:00 p.m. en el interior de la Refinería La Pampilla de la empresa Repsol,...</t>
    </r>
    <r>
      <rPr>
        <rFont val="Arial, sans-serif"/>
        <color rgb="FF1155CC"/>
        <sz val="12.0"/>
        <u/>
      </rPr>
      <t>.</t>
    </r>
    <r>
      <rPr>
        <rFont val="Arial, sans-serif"/>
        <color rgb="FF1155CC"/>
        <sz val="11.0"/>
        <u/>
      </rPr>
      <t>9 ago 2024</t>
    </r>
  </si>
  <si>
    <t>Incendio en La Pampilla: Dos heridos deja siniestro en refinería de Repsol en Ventanilla</t>
  </si>
  <si>
    <t>Un incendio de grandes proporciones se registró este viernes alrededor de las 12:00 p.m. en el interior de la Refinería La Pampilla de la empresa Repsol,....</t>
  </si>
  <si>
    <t>Fire in La Pampilla: Two injured leaves an accident at the Repsol refinery in Ventanilla</t>
  </si>
  <si>
    <t>A large fire was recorded this Friday around 12:00 p.m. inside the La Pampilla Refinery of the Repsol company,....</t>
  </si>
  <si>
    <t>Negative as it highlights an industrial fire with injuries.</t>
  </si>
  <si>
    <r>
      <rPr>
        <rFont val="Arial, sans-serif"/>
        <color rgb="FF1155CC"/>
        <sz val="9.0"/>
        <u/>
      </rPr>
      <t>RPP</t>
    </r>
    <r>
      <rPr>
        <rFont val="Arial, sans-serif"/>
        <color rgb="FF1155CC"/>
        <sz val="15.0"/>
        <u/>
      </rPr>
      <t>Ventanilla: incendio en instalaciones de la Refinería La Pampilla dejó dos heridos</t>
    </r>
    <r>
      <rPr>
        <rFont val="Arial, sans-serif"/>
        <color rgb="FF1155CC"/>
        <sz val="11.0"/>
        <u/>
      </rPr>
      <t>La empresa Repsol informó que se extinguió el fuego dentro de las instalaciones de la Refinería La Pampilla y que se encuentran estables los heridos del...</t>
    </r>
    <r>
      <rPr>
        <rFont val="Arial, sans-serif"/>
        <color rgb="FF1155CC"/>
        <sz val="12.0"/>
        <u/>
      </rPr>
      <t>.</t>
    </r>
    <r>
      <rPr>
        <rFont val="Arial, sans-serif"/>
        <color rgb="FF1155CC"/>
        <sz val="11.0"/>
        <u/>
      </rPr>
      <t>9 ago 2024</t>
    </r>
  </si>
  <si>
    <t>Incendio en instalaciones de la Refinería La Pampilla dejó dos heridos</t>
  </si>
  <si>
    <t>La empresa Repsol informó que se extinguió el fuego dentro de las instalaciones de la Refinería La Pampilla y que se encuentran estables los heridos del....</t>
  </si>
  <si>
    <t>Fire at the La Pampilla Refinery facilities left two injured</t>
  </si>
  <si>
    <t>The Repsol company reported that the fire within the facilities of the La Pampilla Refinery was extinguished and that the injured from the...</t>
  </si>
  <si>
    <t>Negative as it describes an industrial accident, though it notes the fire was extinguished.</t>
  </si>
  <si>
    <r>
      <rPr>
        <rFont val="Arial, sans-serif"/>
        <color rgb="FF1155CC"/>
        <sz val="9.0"/>
        <u/>
      </rPr>
      <t>Agencia Peruana de Noticias | ANDINA</t>
    </r>
    <r>
      <rPr>
        <rFont val="Arial, sans-serif"/>
        <color rgb="FF1155CC"/>
        <sz val="15.0"/>
        <u/>
      </rPr>
      <t>Ventanilla: Incendio en refinería La Pampilla deja dos heridos</t>
    </r>
    <r>
      <rPr>
        <rFont val="Arial, sans-serif"/>
        <color rgb="FF1155CC"/>
        <sz val="11.0"/>
        <u/>
      </rPr>
      <t>El incendio registrado al interior de la refinería La Pampilla, en el distrito de Ventanilla (Callao), ha dejado dos heridos, reportó la empresa Repsol.</t>
    </r>
    <r>
      <rPr>
        <rFont val="Arial, sans-serif"/>
        <color rgb="FF1155CC"/>
        <sz val="12.0"/>
        <u/>
      </rPr>
      <t>.</t>
    </r>
    <r>
      <rPr>
        <rFont val="Arial, sans-serif"/>
        <color rgb="FF1155CC"/>
        <sz val="11.0"/>
        <u/>
      </rPr>
      <t>9 ago 2024</t>
    </r>
  </si>
  <si>
    <t>Incendio en refinería La Pampilla deja dos heridos</t>
  </si>
  <si>
    <t>El incendio registrado al interior de la refinería La Pampilla, en el distrito de Ventanilla (Callao), ha dejado dos heridos, reportó la empresa Repsol.</t>
  </si>
  <si>
    <t>Fire at La Pampilla refinery leaves two injured</t>
  </si>
  <si>
    <t>The fire inside the La Pampilla refinery, in the Ventanilla district (Callao), has left two people injured, the Repsol company reported.</t>
  </si>
  <si>
    <t>Negative due to injuries and safety concerns at Repsol’s facility.</t>
  </si>
  <si>
    <r>
      <rPr>
        <rFont val="Arial, sans-serif"/>
        <color rgb="FF1155CC"/>
        <sz val="9.0"/>
        <u/>
      </rPr>
      <t>TVPerú</t>
    </r>
    <r>
      <rPr>
        <rFont val="Arial, sans-serif"/>
        <color rgb="FF1155CC"/>
        <sz val="15.0"/>
        <u/>
      </rPr>
      <t>Ventanilla: incendio en Refinería La Pampilla dejó dos personas heridas</t>
    </r>
    <r>
      <rPr>
        <rFont val="Arial, sans-serif"/>
        <color rgb="FF1155CC"/>
        <sz val="11.0"/>
        <u/>
      </rPr>
      <t>Atención! Un incendio se registra este viernes 9 de agosto en el interior de la refinería La Pampilla de la empresa Repsol, en el distrito de Ventanilla.</t>
    </r>
    <r>
      <rPr>
        <rFont val="Arial, sans-serif"/>
        <color rgb="FF1155CC"/>
        <sz val="12.0"/>
        <u/>
      </rPr>
      <t>.</t>
    </r>
    <r>
      <rPr>
        <rFont val="Arial, sans-serif"/>
        <color rgb="FF1155CC"/>
        <sz val="11.0"/>
        <u/>
      </rPr>
      <t>9 ago 2024</t>
    </r>
  </si>
  <si>
    <t>TVPerú</t>
  </si>
  <si>
    <t>Incendio en Refinería La Pampilla dejó dos personas heridas</t>
  </si>
  <si>
    <t>Un incendio se registra este viernes 9 de agosto en el interior de la refinería La Pampilla de la empresa Repsol, en el distrito de Ventanilla.</t>
  </si>
  <si>
    <t>Fire at La Pampilla Refinery left two people injured</t>
  </si>
  <si>
    <t>A fire broke out this Friday, August 9, inside the Repsol company's La Pampilla refinery, in the Ventanilla district.</t>
  </si>
  <si>
    <t xml:space="preserve">Repsol refinery incident, business operations	</t>
  </si>
  <si>
    <t xml:space="preserve">Incidente en refinería de Repsol, operaciones empresariales	</t>
  </si>
  <si>
    <t>Negative as it highlights an accident with injuries.</t>
  </si>
  <si>
    <r>
      <rPr>
        <rFont val="Arial, sans-serif"/>
        <color rgb="FF1155CC"/>
        <sz val="9.0"/>
        <u/>
      </rPr>
      <t>Expreso</t>
    </r>
    <r>
      <rPr>
        <rFont val="Arial, sans-serif"/>
        <color rgb="FF1155CC"/>
        <sz val="15.0"/>
        <u/>
      </rPr>
      <t>Incendio en refinería La Pampilla en Ventanilla moviliza a bomberos: se activa plan de contingencia</t>
    </r>
    <r>
      <rPr>
        <rFont val="Arial, sans-serif"/>
        <color rgb="FF1155CC"/>
        <sz val="11.0"/>
        <u/>
      </rPr>
      <t>Enorme incendio en la refinería La Pampilla en Ventanilla genera preocupación. Bomberos despliegan esfuerzos para controlar el fuego.</t>
    </r>
    <r>
      <rPr>
        <rFont val="Arial, sans-serif"/>
        <color rgb="FF1155CC"/>
        <sz val="12.0"/>
        <u/>
      </rPr>
      <t>.</t>
    </r>
    <r>
      <rPr>
        <rFont val="Arial, sans-serif"/>
        <color rgb="FF1155CC"/>
        <sz val="11.0"/>
        <u/>
      </rPr>
      <t>9 ago 2024</t>
    </r>
  </si>
  <si>
    <t>Expreso</t>
  </si>
  <si>
    <t>Incendio en refinería La Pampilla en Ventanilla moviliza a bomberos: se activa plan de contingencia</t>
  </si>
  <si>
    <t>Enorme incendio en la refinería La Pampilla en Ventanilla genera preocupación. Bomberos despliegan esfuerzos para controlar el fuego.</t>
  </si>
  <si>
    <t>Fire at the La Pampilla refinery in Ventanilla mobilizes firefighters: contingency plan is activated</t>
  </si>
  <si>
    <t>Huge fire at the La Pampilla refinery in Ventanilla raises concern. Firefighters are making efforts to control the fire.</t>
  </si>
  <si>
    <t>Negative due to the emergency response required.</t>
  </si>
  <si>
    <r>
      <rPr>
        <rFont val="Arial, sans-serif"/>
        <color rgb="FF1155CC"/>
        <sz val="9.0"/>
        <u/>
      </rPr>
      <t>Agencia Peruana de Noticias | ANDINA</t>
    </r>
    <r>
      <rPr>
        <rFont val="Arial, sans-serif"/>
        <color rgb="FF1155CC"/>
        <sz val="15.0"/>
        <u/>
      </rPr>
      <t>Incendio en Ventanilla: emergencia dentro de refinería La Pampilla ha sido controlada</t>
    </r>
    <r>
      <rPr>
        <rFont val="Arial, sans-serif"/>
        <color rgb="FF1155CC"/>
        <sz val="11.0"/>
        <u/>
      </rPr>
      <t>Últimas noticias de Perú y el mundo sobre política, locales, deportes, culturales, espectáculos, economía, y tecnología en la Agencia Peruana de Noticias...</t>
    </r>
    <r>
      <rPr>
        <rFont val="Arial, sans-serif"/>
        <color rgb="FF1155CC"/>
        <sz val="12.0"/>
        <u/>
      </rPr>
      <t>.</t>
    </r>
    <r>
      <rPr>
        <rFont val="Arial, sans-serif"/>
        <color rgb="FF1155CC"/>
        <sz val="11.0"/>
        <u/>
      </rPr>
      <t>9 ago 2024</t>
    </r>
  </si>
  <si>
    <t>Agencia Peruana de Noticias | ANDINA</t>
  </si>
  <si>
    <t>Incendio en Ventanilla: emergencia dentro de refinería La Pampilla ha sido controlada</t>
  </si>
  <si>
    <t>Emergencia dentro de refinería La Pampilla ha sido controlada.</t>
  </si>
  <si>
    <t>Fire in Ventanilla: emergency inside the La Pampilla refinery has been controlled</t>
  </si>
  <si>
    <t>Emergency inside the La Pampilla refinery has been controlled.</t>
  </si>
  <si>
    <t>Negative as it highlights a major industrial incident despite it being controlled.</t>
  </si>
  <si>
    <r>
      <rPr>
        <rFont val="Arial, sans-serif"/>
        <color rgb="FF1155CC"/>
        <sz val="9.0"/>
        <u/>
      </rPr>
      <t>La República</t>
    </r>
    <r>
      <rPr>
        <rFont val="Arial, sans-serif"/>
        <color rgb="FF1155CC"/>
        <sz val="15.0"/>
        <u/>
      </rPr>
      <t>Alarma en Ventanilla: fuerte incendio consume parte de la refinería La Pampilla y deja 2 heridos graves</t>
    </r>
    <r>
      <rPr>
        <rFont val="Arial, sans-serif"/>
        <color rgb="FF1155CC"/>
        <sz val="11.0"/>
        <u/>
      </rPr>
      <t>Videos captaron el intenso humo formado dentro de la refinería, que alberga tanques de combustible en su interior.</t>
    </r>
    <r>
      <rPr>
        <rFont val="Arial, sans-serif"/>
        <color rgb="FF1155CC"/>
        <sz val="12.0"/>
        <u/>
      </rPr>
      <t>.</t>
    </r>
    <r>
      <rPr>
        <rFont val="Arial, sans-serif"/>
        <color rgb="FF1155CC"/>
        <sz val="11.0"/>
        <u/>
      </rPr>
      <t>9 ago 2024</t>
    </r>
  </si>
  <si>
    <t>Alarma en Ventanilla: fuerte incendio consume parte de la refinería La Pampilla y deja 2 heridos graves</t>
  </si>
  <si>
    <t>Alarm in Ventanilla: a strong fire consumes part of the La Pampilla refinery and leaves 2 seriously injured. Videos captured the intense smoke formed inside the refinery, which houses fuel tanks inside.</t>
  </si>
  <si>
    <t>Alarm in Ventanilla: strong fire consumes part of the La Pampilla refinery and leaves 2 seriously injured</t>
  </si>
  <si>
    <t>Negative due to the severity of the fire and injuries reported.</t>
  </si>
  <si>
    <t>Very strong negative for safety incident</t>
  </si>
  <si>
    <t>Negativo muy fuerte por incidente de seguridad.</t>
  </si>
  <si>
    <r>
      <rPr>
        <rFont val="Arial, sans-serif"/>
        <color rgb="FF1155CC"/>
        <sz val="9.0"/>
        <u/>
      </rPr>
      <t>OkDiario</t>
    </r>
    <r>
      <rPr>
        <rFont val="Arial, sans-serif"/>
        <color rgb="FF1155CC"/>
        <sz val="15.0"/>
        <u/>
      </rPr>
      <t>Chantaje de un ‘señor de la guerra’ libio a España: ordena cerrar un yacimiento clave para Reps...</t>
    </r>
    <r>
      <rPr>
        <rFont val="Arial, sans-serif"/>
        <color rgb="FF1155CC"/>
        <sz val="11.0"/>
        <u/>
      </rPr>
      <t>Saddam Haftar, hijo de general Khalifa Haftar y líder militar en el este de Libia, se llevó un buen susto cuando el pasado 2 de agosto fue interpelado por...</t>
    </r>
    <r>
      <rPr>
        <rFont val="Arial, sans-serif"/>
        <color rgb="FF1155CC"/>
        <sz val="12.0"/>
        <u/>
      </rPr>
      <t>.</t>
    </r>
    <r>
      <rPr>
        <rFont val="Arial, sans-serif"/>
        <color rgb="FF1155CC"/>
        <sz val="11.0"/>
        <u/>
      </rPr>
      <t>10 ago 2024</t>
    </r>
  </si>
  <si>
    <t>Chantaje de un ‘señor de la guerra’ libio a España: ordena cerrar un yacimiento clave para Reps...</t>
  </si>
  <si>
    <t>Saddam Haftar, hijo de general Khalifa Haftar y líder militar en el este de Libia, se llevó un buen susto cuando el pasado 2 de agosto fue interpelado por....</t>
  </si>
  <si>
    <t>Blackmail by a Libyan 'warlord' to Spain: he orders the closure of a key deposit for Reps...</t>
  </si>
  <si>
    <t>Saddam Haftar, son of General Khalifa Haftar and military leader in eastern Libya, got a good scare when on August 2 he was questioned by...</t>
  </si>
  <si>
    <t>Negative as it describes political instability affecting Repsol operations.</t>
  </si>
  <si>
    <t>cerrar</t>
  </si>
  <si>
    <r>
      <rPr>
        <rFont val="Arial, sans-serif"/>
        <color rgb="FF1155CC"/>
        <sz val="9.0"/>
        <u/>
      </rPr>
      <t>Finanzas.com</t>
    </r>
    <r>
      <rPr>
        <rFont val="Arial, sans-serif"/>
        <color rgb="FF1155CC"/>
        <sz val="15.0"/>
        <u/>
      </rPr>
      <t>Unicaja doblará sus dividendos y rozará una rentabilidad del 8 por ciento</t>
    </r>
    <r>
      <rPr>
        <rFont val="Arial, sans-serif"/>
        <color rgb="FF1155CC"/>
        <sz val="11.0"/>
        <u/>
      </rPr>
      <t>Unicaja abonará el próximo ejercicio un dividendo de 0,1 euros por acción, según la estimación del servicio Blomberg Dividend Forecast consultado por...</t>
    </r>
    <r>
      <rPr>
        <rFont val="Arial, sans-serif"/>
        <color rgb="FF1155CC"/>
        <sz val="12.0"/>
        <u/>
      </rPr>
      <t>.</t>
    </r>
    <r>
      <rPr>
        <rFont val="Arial, sans-serif"/>
        <color rgb="FF1155CC"/>
        <sz val="11.0"/>
        <u/>
      </rPr>
      <t>10 ago 2024</t>
    </r>
  </si>
  <si>
    <t>Unicaja doblará sus dividendos y rozará una rentabilidad del 8 por ciento</t>
  </si>
  <si>
    <t>Unicaja abonará el próximo ejercicio un dividendo de 0,1 euros por acción, según la estimación del servicio Blomberg Dividend Forecast consultado por....</t>
  </si>
  <si>
    <t>Unicaja will double its dividends and will approach a profitability of 8 percent</t>
  </si>
  <si>
    <t>Unicaja will pay a dividend of 0.1 euros per share next year, according to the estimate of the Blomberg Dividend Forecast service consulted by...</t>
  </si>
  <si>
    <r>
      <rPr>
        <rFont val="Arial, sans-serif"/>
        <color rgb="FF1155CC"/>
        <sz val="9.0"/>
        <u/>
      </rPr>
      <t>El Economista</t>
    </r>
    <r>
      <rPr>
        <rFont val="Arial, sans-serif"/>
        <color rgb="FF1155CC"/>
        <sz val="15.0"/>
        <u/>
      </rPr>
      <t>Siete valores del Ibex que se abaratan en el año con recomendación de compra</t>
    </r>
    <r>
      <rPr>
        <rFont val="Arial, sans-serif"/>
        <color rgb="FF1155CC"/>
        <sz val="11.0"/>
        <u/>
      </rPr>
      <t>Siempre se dice que cuando aumenta la volatilidad en las bolsas es cuando realmente se abren las oportunidades para que los inversores ...</t>
    </r>
    <r>
      <rPr>
        <rFont val="Arial, sans-serif"/>
        <color rgb="FF1155CC"/>
        <sz val="12.0"/>
        <u/>
      </rPr>
      <t>.</t>
    </r>
    <r>
      <rPr>
        <rFont val="Arial, sans-serif"/>
        <color rgb="FF1155CC"/>
        <sz val="11.0"/>
        <u/>
      </rPr>
      <t>10 ago 2024</t>
    </r>
  </si>
  <si>
    <t>Siete valores del Ibex que se abaratan en el año con recomendación de compra</t>
  </si>
  <si>
    <t>Siempre se dice que cuando aumenta la volatilidad en las bolsas es cuando realmente se abren las oportunidades para que los inversores ....</t>
  </si>
  <si>
    <t>Seven Ibex values ​​that become cheaper this year with a purchase recommendation</t>
  </si>
  <si>
    <t>It is always said that when volatility increases in the stock markets is when opportunities really open up for investors...</t>
  </si>
  <si>
    <r>
      <rPr>
        <rFont val="Arial, sans-serif"/>
        <color rgb="FF1155CC"/>
        <sz val="9.0"/>
        <u/>
      </rPr>
      <t>Infobae</t>
    </r>
    <r>
      <rPr>
        <rFont val="Arial, sans-serif"/>
        <color rgb="FF1155CC"/>
        <sz val="15.0"/>
        <u/>
      </rPr>
      <t>El bar más antiguo de Cáceres: abierto desde 1961 y especializado en plancha</t>
    </r>
    <r>
      <rPr>
        <rFont val="Arial, sans-serif"/>
        <color rgb="FF1155CC"/>
        <sz val="11.0"/>
        <u/>
      </rPr>
      <t>Fue reabierto esta misma primavera tras sufrir un grave incendio, por el que tuvo que ser remodelado.</t>
    </r>
    <r>
      <rPr>
        <rFont val="Arial, sans-serif"/>
        <color rgb="FF1155CC"/>
        <sz val="12.0"/>
        <u/>
      </rPr>
      <t>.</t>
    </r>
    <r>
      <rPr>
        <rFont val="Arial, sans-serif"/>
        <color rgb="FF1155CC"/>
        <sz val="11.0"/>
        <u/>
      </rPr>
      <t>10 ago 2024</t>
    </r>
  </si>
  <si>
    <t>El bar más antiguo de Cáceres: abierto desde 1961 y especializado en plancha</t>
  </si>
  <si>
    <t>Fue reabierto esta misma primavera tras sufrir un grave incendio, por el que tuvo que ser remodelado.</t>
  </si>
  <si>
    <t>The oldest bar in Cáceres: open since 1961 and specialized in iron</t>
  </si>
  <si>
    <t>It was reopened this spring after suffering a serious fire, for which it had to be remodeled.</t>
  </si>
  <si>
    <r>
      <rPr>
        <rFont val="Arial, sans-serif"/>
        <color rgb="FF1155CC"/>
        <sz val="9.0"/>
        <u/>
      </rPr>
      <t>OkDiario</t>
    </r>
    <r>
      <rPr>
        <rFont val="Arial, sans-serif"/>
        <color rgb="FF1155CC"/>
        <sz val="15.0"/>
        <u/>
      </rPr>
      <t>El Arenal Sound reduce su huella de carbono gracias a un combustible 100% renovable</t>
    </r>
    <r>
      <rPr>
        <rFont val="Arial, sans-serif"/>
        <color rgb="FF1155CC"/>
        <sz val="11.0"/>
        <u/>
      </rPr>
      <t>Arenal Sound ha evitado la emisión de 83 toneladas de CO2, reduciendo considerablemente su huella de carbono gracias a un acuerdo con Repsol.</t>
    </r>
    <r>
      <rPr>
        <rFont val="Arial, sans-serif"/>
        <color rgb="FF1155CC"/>
        <sz val="12.0"/>
        <u/>
      </rPr>
      <t>.</t>
    </r>
    <r>
      <rPr>
        <rFont val="Arial, sans-serif"/>
        <color rgb="FF1155CC"/>
        <sz val="11.0"/>
        <u/>
      </rPr>
      <t>10 ago 2024</t>
    </r>
  </si>
  <si>
    <t>El Arenal Sound reduce su huella de carbono gracias a un combustible 100% renovable</t>
  </si>
  <si>
    <t>Arenal Sound ha evitado la emisión de 83 toneladas de CO2, reduciendo considerablemente su huella de carbono gracias a un acuerdo con Repsol.</t>
  </si>
  <si>
    <t>Arenal Sound reduces its carbon footprint thanks to a 100% renewable fuel</t>
  </si>
  <si>
    <t>Arenal Sound has avoided the emission of 83 tons of CO2, considerably reducing its carbon footprint thanks to an agreement with Repsol.</t>
  </si>
  <si>
    <r>
      <rPr>
        <rFont val="Arial, sans-serif"/>
        <color rgb="FF1155CC"/>
        <sz val="9.0"/>
        <u/>
      </rPr>
      <t>El Economista</t>
    </r>
    <r>
      <rPr>
        <rFont val="Arial, sans-serif"/>
        <color rgb="FF1155CC"/>
        <sz val="15.0"/>
        <u/>
      </rPr>
      <t>'La Cartera' todavía ofrece casi 10 puntos más de potencial que el Ibex</t>
    </r>
    <r>
      <rPr>
        <rFont val="Arial, sans-serif"/>
        <color rgb="FF1155CC"/>
        <sz val="11.0"/>
        <u/>
      </rPr>
      <t>Las últimas sesiones de creciente volatilidad en los mercados no han tenido su traslado a La Cartera Estratégica de elEconomista.es, la ...</t>
    </r>
    <r>
      <rPr>
        <rFont val="Arial, sans-serif"/>
        <color rgb="FF1155CC"/>
        <sz val="12.0"/>
        <u/>
      </rPr>
      <t>.</t>
    </r>
    <r>
      <rPr>
        <rFont val="Arial, sans-serif"/>
        <color rgb="FF1155CC"/>
        <sz val="11.0"/>
        <u/>
      </rPr>
      <t>10 ago 2024</t>
    </r>
  </si>
  <si>
    <t>La Cartera' todavía ofrece casi 10 puntos más de potencial que el Ibex</t>
  </si>
  <si>
    <t>Las últimas sesiones de creciente volatilidad en los mercados no han tenido su traslado a La Cartera Estratégica de elEconomista.es, la ....</t>
  </si>
  <si>
    <t>The Portfolio still offers almost 10 points more potential than the Ibex</t>
  </si>
  <si>
    <t>The last sessions of increasing volatility in the markets have not been transferred to The Strategic Portfolio of elEconomista.es, the ....</t>
  </si>
  <si>
    <r>
      <rPr>
        <rFont val="Arial, sans-serif"/>
        <color rgb="FF1155CC"/>
        <sz val="9.0"/>
        <u/>
      </rPr>
      <t>OkDiario</t>
    </r>
    <r>
      <rPr>
        <rFont val="Arial, sans-serif"/>
        <color rgb="FF1155CC"/>
        <sz val="15.0"/>
        <u/>
      </rPr>
      <t>Ésta es la comunidad española que lidera la generación de energía limpia junto con Noruega</t>
    </r>
    <r>
      <rPr>
        <rFont val="Arial, sans-serif"/>
        <color rgb="FF1155CC"/>
        <sz val="11.0"/>
        <u/>
      </rPr>
      <t>Según los últimos datos correspondientes a 2023 publicados por Red Eléctrica Española (REE), en España hay una comunidad autónoma líder en producción de...</t>
    </r>
    <r>
      <rPr>
        <rFont val="Arial, sans-serif"/>
        <color rgb="FF1155CC"/>
        <sz val="12.0"/>
        <u/>
      </rPr>
      <t>.</t>
    </r>
    <r>
      <rPr>
        <rFont val="Arial, sans-serif"/>
        <color rgb="FF1155CC"/>
        <sz val="11.0"/>
        <u/>
      </rPr>
      <t>10 ago 2024</t>
    </r>
  </si>
  <si>
    <t>Ésta es la comunidad española que lidera la generación de energía limpia junto con Noruega</t>
  </si>
  <si>
    <t>Según los últimos datos correspondientes a 2023 publicados por Red Eléctrica Española (REE), en España hay una comunidad autónoma líder en producción de....</t>
  </si>
  <si>
    <t>This is the Spanish community that leads the generation of clean energy together with Norway</t>
  </si>
  <si>
    <t>According to the latest data corresponding to 2023 published by Red Eléctrica Española (REE), in Spain there is a leading autonomous community in the production of...</t>
  </si>
  <si>
    <r>
      <rPr>
        <rFont val="Arial, sans-serif"/>
        <color rgb="FF1155CC"/>
        <sz val="9.0"/>
        <u/>
      </rPr>
      <t>OkDiario</t>
    </r>
    <r>
      <rPr>
        <rFont val="Arial, sans-serif"/>
        <color rgb="FF1155CC"/>
        <sz val="15.0"/>
        <u/>
      </rPr>
      <t>España tendrá que dejar de importar petróleo de 13 países por culpa de este gas</t>
    </r>
    <r>
      <rPr>
        <rFont val="Arial, sans-serif"/>
        <color rgb="FF1155CC"/>
        <sz val="11.0"/>
        <u/>
      </rPr>
      <t>España tendrá que dejar de importar petróleo y gas de 13 países por culpa de un gas que es el segundo responsable del calentamiento global.</t>
    </r>
    <r>
      <rPr>
        <rFont val="Arial, sans-serif"/>
        <color rgb="FF1155CC"/>
        <sz val="12.0"/>
        <u/>
      </rPr>
      <t>.</t>
    </r>
    <r>
      <rPr>
        <rFont val="Arial, sans-serif"/>
        <color rgb="FF1155CC"/>
        <sz val="11.0"/>
        <u/>
      </rPr>
      <t>10 ago 2024</t>
    </r>
  </si>
  <si>
    <t>España tendrá que dejar de importar petróleo de 13 países por culpa de este gas</t>
  </si>
  <si>
    <t>España tendrá que dejar de importar petróleo y gas de 13 países por culpa de un gas que es el segundo responsable del calentamiento global.</t>
  </si>
  <si>
    <t>Spain will have to stop importing oil from 13 countries because of this gas</t>
  </si>
  <si>
    <t>Spain will have to stop importing oil and gas from 13 countries because of a gas that is second responsible for global warming.</t>
  </si>
  <si>
    <t>Repsol energy market, business strategy</t>
  </si>
  <si>
    <t>Mercado energético de Repsol, estrategia empresarial</t>
  </si>
  <si>
    <t>Negative as it suggests potential energy supply challenges.</t>
  </si>
  <si>
    <r>
      <rPr>
        <rFont val="Arial, sans-serif"/>
        <color rgb="FF1155CC"/>
        <sz val="9.0"/>
        <u/>
      </rPr>
      <t>El Español</t>
    </r>
    <r>
      <rPr>
        <rFont val="Arial, sans-serif"/>
        <color rgb="FF1155CC"/>
        <sz val="15.0"/>
        <u/>
      </rPr>
      <t>Los mejores bocadillos de Fuengirola para llevarte a la playa según la Guía Repsol: grandes, sabrosos y desde 4€</t>
    </r>
    <r>
      <rPr>
        <rFont val="Arial, sans-serif"/>
        <color rgb="FF1155CC"/>
        <sz val="11.0"/>
        <u/>
      </rPr>
      <t>El local lleva abierto desde 1989 y ha sido recomendado por importantes chefs de la zona como Diego Gallegos.</t>
    </r>
    <r>
      <rPr>
        <rFont val="Arial, sans-serif"/>
        <color rgb="FF1155CC"/>
        <sz val="12.0"/>
        <u/>
      </rPr>
      <t>.</t>
    </r>
    <r>
      <rPr>
        <rFont val="Arial, sans-serif"/>
        <color rgb="FF1155CC"/>
        <sz val="11.0"/>
        <u/>
      </rPr>
      <t>11 ago 2024</t>
    </r>
  </si>
  <si>
    <t>Los mejores bocadillos de Fuengirola para llevarte a la playa según la Guía Repsol: grandes, sabrosos y desde 4€</t>
  </si>
  <si>
    <t>Los mejores bocadillos de Fuengirola para llevarte a la playa según la Guía Repsol: grandes, sabrosos y desde 4€. El local lleva abierto desde 1989 y ha sido recomendado por importantes chefs de la zona como Diego Gallegos.</t>
  </si>
  <si>
    <t>The best sandwiches in Fuengirola to take to the beach according to the Repsol Guide: large, tasty and from €4</t>
  </si>
  <si>
    <t>The best sandwiches in Fuengirola to take with you to the beach according to the Repsol Guide: large, tasty and from €4. The place has been open since 1989 and has been recommended by important chefs in the area such as Diego Gallegos.</t>
  </si>
  <si>
    <r>
      <rPr>
        <rFont val="Arial, sans-serif"/>
        <color rgb="FF1155CC"/>
        <sz val="9.0"/>
        <u/>
      </rPr>
      <t>Infobae</t>
    </r>
    <r>
      <rPr>
        <rFont val="Arial, sans-serif"/>
        <color rgb="FF1155CC"/>
        <sz val="15.0"/>
        <u/>
      </rPr>
      <t>El restaurante de un pueblo recomendado por la Guía Michelin que se especializa en productos de la huerta de La Rioja</t>
    </r>
    <r>
      <rPr>
        <rFont val="Arial, sans-serif"/>
        <color rgb="FF1155CC"/>
        <sz val="11.0"/>
        <u/>
      </rPr>
      <t>Su chef fue aprendiz del cocinero Francis Paniego que cuenta con 3 estrellas Michelin.</t>
    </r>
    <r>
      <rPr>
        <rFont val="Arial, sans-serif"/>
        <color rgb="FF1155CC"/>
        <sz val="12.0"/>
        <u/>
      </rPr>
      <t>.</t>
    </r>
    <r>
      <rPr>
        <rFont val="Arial, sans-serif"/>
        <color rgb="FF1155CC"/>
        <sz val="11.0"/>
        <u/>
      </rPr>
      <t>11 ago 2024</t>
    </r>
  </si>
  <si>
    <t>El restaurante de un pueblo recomendado por la Guía Michelin que se especializa en productos de la huerta de La Rioja</t>
  </si>
  <si>
    <t>El restaurante de un pueblo recomendado por la Guía Michelin que se especializa en productos de la huerta de La Rioja. Su chef fue aprendiz del cocinero Francis Paniego que cuenta con 3 estrellas Michelin.</t>
  </si>
  <si>
    <t>The restaurant in a town recommended by the Michelin Guide that specializes in products from the gardens of La Rioja</t>
  </si>
  <si>
    <t>The restaurant in a town recommended by the Michelin Guide that specializes in products from the gardens of La Rioja. Its chef was an apprentice to chef Francis Paniego who has 3 Michelin stars.</t>
  </si>
  <si>
    <r>
      <rPr>
        <rFont val="Arial, sans-serif"/>
        <color rgb="FF1155CC"/>
        <sz val="9.0"/>
        <u/>
      </rPr>
      <t>Diario Sur</t>
    </r>
    <r>
      <rPr>
        <rFont val="Arial, sans-serif"/>
        <color rgb="FF1155CC"/>
        <sz val="15.0"/>
        <u/>
      </rPr>
      <t>El refugio verde que crece en Málaga</t>
    </r>
    <r>
      <rPr>
        <rFont val="Arial, sans-serif"/>
        <color rgb="FF1155CC"/>
        <sz val="11.0"/>
        <u/>
      </rPr>
      <t>Un grupo de activistas lleva ya siete años plantando árboles en los antiguos terrenos de Repsol para que en ese paraje pueda haber hasta 6 grados menos que...</t>
    </r>
    <r>
      <rPr>
        <rFont val="Arial, sans-serif"/>
        <color rgb="FF1155CC"/>
        <sz val="12.0"/>
        <u/>
      </rPr>
      <t>.</t>
    </r>
    <r>
      <rPr>
        <rFont val="Arial, sans-serif"/>
        <color rgb="FF1155CC"/>
        <sz val="11.0"/>
        <u/>
      </rPr>
      <t>11 ago 2024</t>
    </r>
  </si>
  <si>
    <t>El refugio verde que crece en Málaga</t>
  </si>
  <si>
    <t>Un grupo de activistas lleva ya siete años plantando árboles en los antiguos terrenos de Repsol para que en ese paraje pueda haber hasta 6 grados menos que....</t>
  </si>
  <si>
    <t>The green refuge that grows in Malaga</t>
  </si>
  <si>
    <t>A group of activists has been planting trees on the former Repsol land for seven years so that there can be up to 6 degrees cooler than...</t>
  </si>
  <si>
    <r>
      <rPr>
        <rFont val="Arial, sans-serif"/>
        <color rgb="FF1155CC"/>
        <sz val="9.0"/>
        <u/>
      </rPr>
      <t>La Voz de Galicia</t>
    </r>
    <r>
      <rPr>
        <rFont val="Arial, sans-serif"/>
        <color rgb="FF1155CC"/>
        <sz val="15.0"/>
        <u/>
      </rPr>
      <t>Tres factorías sostienen el sello verde de los carburantes en Galicia</t>
    </r>
    <r>
      <rPr>
        <rFont val="Arial, sans-serif"/>
        <color rgb="FF1155CC"/>
        <sz val="11.0"/>
        <u/>
      </rPr>
      <t>Mientras la refinería de Repsol en A Coruña ha incrementado en los últimos años su producción de combustibles renovables, Masol prepara una reforma en el...</t>
    </r>
    <r>
      <rPr>
        <rFont val="Arial, sans-serif"/>
        <color rgb="FF1155CC"/>
        <sz val="12.0"/>
        <u/>
      </rPr>
      <t>.</t>
    </r>
    <r>
      <rPr>
        <rFont val="Arial, sans-serif"/>
        <color rgb="FF1155CC"/>
        <sz val="11.0"/>
        <u/>
      </rPr>
      <t>11 ago 2024</t>
    </r>
  </si>
  <si>
    <t>Tres factorías sostienen el sello verde de los carburantes en Galicia</t>
  </si>
  <si>
    <t>Mientras la refinería de Repsol en A Coruña ha incrementado en los últimos años su producción de combustibles renovables, Masol prepara una reforma en el....</t>
  </si>
  <si>
    <t>Three factories hold the green seal for fuels in Galicia</t>
  </si>
  <si>
    <t>While the Repsol refinery in A Coruña has increased its production of renewable fuels in recent years, Masol is preparing a reform in the...</t>
  </si>
  <si>
    <t>Positive as it highlights Repsol's efforts in renewable fuel production.</t>
  </si>
  <si>
    <t>sello verde</t>
  </si>
  <si>
    <r>
      <rPr>
        <rFont val="Arial, sans-serif"/>
        <color rgb="FF1155CC"/>
        <sz val="9.0"/>
        <u/>
      </rPr>
      <t>OkDiario</t>
    </r>
    <r>
      <rPr>
        <rFont val="Arial, sans-serif"/>
        <color rgb="FF1155CC"/>
        <sz val="15.0"/>
        <u/>
      </rPr>
      <t>Ángel León Panal: «Hay que hablar aún más del cambio climático para que el mensaje cale»</t>
    </r>
    <r>
      <rPr>
        <rFont val="Arial, sans-serif"/>
        <color rgb="FF1155CC"/>
        <sz val="11.0"/>
        <u/>
      </rPr>
      <t>En trevistamos en OKGREEN al biólogo y divulgador científico Ángel León Panal para hablar de su libro "Historia del cambio climático"</t>
    </r>
    <r>
      <rPr>
        <rFont val="Arial, sans-serif"/>
        <color rgb="FF1155CC"/>
        <sz val="12.0"/>
        <u/>
      </rPr>
      <t>.</t>
    </r>
    <r>
      <rPr>
        <rFont val="Arial, sans-serif"/>
        <color rgb="FF1155CC"/>
        <sz val="11.0"/>
        <u/>
      </rPr>
      <t>11 ago 2024</t>
    </r>
  </si>
  <si>
    <t>Ángel León Panal: «Hay que hablar aún más del cambio climático para que el mensaje cale»</t>
  </si>
  <si>
    <t>«Hay que hablar aún más del cambio climático para que el mensaje cale»</t>
  </si>
  <si>
    <t>Ángel León Panal: "We have to talk even more about climate change so that the message gets through"</t>
  </si>
  <si>
    <t>"We have to talk even more about climate change so that the message gets through"</t>
  </si>
  <si>
    <r>
      <rPr>
        <rFont val="Arial, sans-serif"/>
        <color rgb="FF1155CC"/>
        <sz val="9.0"/>
        <u/>
      </rPr>
      <t>Infobae</t>
    </r>
    <r>
      <rPr>
        <rFont val="Arial, sans-serif"/>
        <color rgb="FF1155CC"/>
        <sz val="15.0"/>
        <u/>
      </rPr>
      <t>El restaurante con estrella Michelin de un pueblo de Mallorca que está en hotel histórico y donde utilizan productos de su propio huerto</t>
    </r>
    <r>
      <rPr>
        <rFont val="Arial, sans-serif"/>
        <color rgb="FF1155CC"/>
        <sz val="11.0"/>
        <u/>
      </rPr>
      <t>Para sus elaboraciones, Andreu Genestra utiliza el concepto “Mediterranean”, en el que ofrece cuatro tipos de menú degustación que combinan los alimentos...</t>
    </r>
    <r>
      <rPr>
        <rFont val="Arial, sans-serif"/>
        <color rgb="FF1155CC"/>
        <sz val="12.0"/>
        <u/>
      </rPr>
      <t>.</t>
    </r>
    <r>
      <rPr>
        <rFont val="Arial, sans-serif"/>
        <color rgb="FF1155CC"/>
        <sz val="11.0"/>
        <u/>
      </rPr>
      <t>11 ago 2024</t>
    </r>
  </si>
  <si>
    <t>El restaurante con estrella Michelin de un pueblo de Mallorca que está en hotel histórico y donde utilizan productos de su propio huerto</t>
  </si>
  <si>
    <t>Para sus elaboraciones, Andreu Genestra utiliza el concepto “Mediterranean”, en el que ofrece cuatro tipos de menú degustación que combinan los alimentos....</t>
  </si>
  <si>
    <t>The Michelin star restaurant in a town in Mallorca that is located in a historic hotel and where they use products from their own garden</t>
  </si>
  <si>
    <t>For his preparations, Andreu Genestra uses the “Mediterranean” concept, in which he offers four types of tasting menu that combine foods....</t>
  </si>
  <si>
    <r>
      <rPr>
        <rFont val="Arial, sans-serif"/>
        <color rgb="FF1155CC"/>
        <sz val="9.0"/>
        <u/>
      </rPr>
      <t>La Hora</t>
    </r>
    <r>
      <rPr>
        <rFont val="Arial, sans-serif"/>
        <color rgb="FF1155CC"/>
        <sz val="15.0"/>
        <u/>
      </rPr>
      <t>¿Bono Repsol de 3000 soles agosto 2024? Esto es lo último que se sabe</t>
    </r>
    <r>
      <rPr>
        <rFont val="Arial, sans-serif"/>
        <color rgb="FF1155CC"/>
        <sz val="11.0"/>
        <u/>
      </rPr>
      <t>El bono Repsol de 3000 soles es un tema que ha generado gran interés en los últimos meses, especialmente entre las personas afectadas por el derrame de...</t>
    </r>
    <r>
      <rPr>
        <rFont val="Arial, sans-serif"/>
        <color rgb="FF1155CC"/>
        <sz val="12.0"/>
        <u/>
      </rPr>
      <t>.</t>
    </r>
    <r>
      <rPr>
        <rFont val="Arial, sans-serif"/>
        <color rgb="FF1155CC"/>
        <sz val="11.0"/>
        <u/>
      </rPr>
      <t>11 ago 2024</t>
    </r>
  </si>
  <si>
    <t>¿Bono Repsol de 3000 soles agosto 2024? Esto es lo último que se sabe</t>
  </si>
  <si>
    <t>El bono Repsol de 3000 soles es un tema que ha generado gran interés en los últimos meses, especialmente entre las personas afectadas por el derrame de....</t>
  </si>
  <si>
    <t>Repsol bonus of 3,000 soles August 2024? This is the last thing that is known</t>
  </si>
  <si>
    <t>The Repsol bonus of 3,000 soles is a topic that has generated great interest in recent months, especially among people affected by the spill....</t>
  </si>
  <si>
    <t>Neutral as it discusses financial aid without strong sentiment.</t>
  </si>
  <si>
    <r>
      <rPr>
        <rFont val="Arial, sans-serif"/>
        <color rgb="FF1155CC"/>
        <sz val="9.0"/>
        <u/>
      </rPr>
      <t>OkDiario</t>
    </r>
    <r>
      <rPr>
        <rFont val="Arial, sans-serif"/>
        <color rgb="FF1155CC"/>
        <sz val="15.0"/>
        <u/>
      </rPr>
      <t>Repsol recupera Venezuela como proveedor de petróleo en medio del ‘pucherazo’ de Maduro en los ...</t>
    </r>
    <r>
      <rPr>
        <rFont val="Arial, sans-serif"/>
        <color rgb="FF1155CC"/>
        <sz val="11.0"/>
        <u/>
      </rPr>
      <t>Repsol ha recuperado a Venezuela como gran proveedor de petróleo justo cuando vuelve la incertidumbre y el caos político al país tras el pucherazo electoral...</t>
    </r>
    <r>
      <rPr>
        <rFont val="Arial, sans-serif"/>
        <color rgb="FF1155CC"/>
        <sz val="12.0"/>
        <u/>
      </rPr>
      <t>.</t>
    </r>
    <r>
      <rPr>
        <rFont val="Arial, sans-serif"/>
        <color rgb="FF1155CC"/>
        <sz val="11.0"/>
        <u/>
      </rPr>
      <t>12 ago 2024</t>
    </r>
  </si>
  <si>
    <t>Repsol recupera Venezuela como proveedor de petróleo en medio del ‘pucherazo’ de Maduro en los ...</t>
  </si>
  <si>
    <t>Repsol ha recuperado a Venezuela como gran proveedor de petróleo justo cuando vuelve la incertidumbre y el caos político al país tras el pucherazo electoral.</t>
  </si>
  <si>
    <t>Repsol recovers Venezuela as an oil supplier amid Maduro's 'pucherazo' in the ...</t>
  </si>
  <si>
    <t>Repsol has recovered Venezuela as a major oil supplier just when uncertainty and political chaos return to the country after the electoral blow.</t>
  </si>
  <si>
    <t>Positive due to Repsol’s business expansion, but slight concern over political instability.</t>
  </si>
  <si>
    <t>recupera</t>
  </si>
  <si>
    <t>Mildly positive for supply chain</t>
  </si>
  <si>
    <t>Ligeramente positivo para la cadena de suministro</t>
  </si>
  <si>
    <r>
      <rPr>
        <rFont val="Arial, sans-serif"/>
        <color rgb="FF1155CC"/>
        <sz val="9.0"/>
        <u/>
      </rPr>
      <t>Ser La Janda</t>
    </r>
    <r>
      <rPr>
        <rFont val="Arial, sans-serif"/>
        <color rgb="FF1155CC"/>
        <sz val="15.0"/>
        <u/>
      </rPr>
      <t>La Guía Repsol reconoce la gastronomía de Barbate con 6 nuevos Soletes</t>
    </r>
    <r>
      <rPr>
        <rFont val="Arial, sans-serif"/>
        <color rgb="FF1155CC"/>
        <sz val="11.0"/>
        <u/>
      </rPr>
      <t>Las incorporaciones de este verano son La Taberna de Abelardo, Tabanco El Relojero, Bar Paquete, Heladería El Malagueño, Bar Camarón y Sajorami Beach.</t>
    </r>
    <r>
      <rPr>
        <rFont val="Arial, sans-serif"/>
        <color rgb="FF1155CC"/>
        <sz val="12.0"/>
        <u/>
      </rPr>
      <t>.</t>
    </r>
    <r>
      <rPr>
        <rFont val="Arial, sans-serif"/>
        <color rgb="FF1155CC"/>
        <sz val="11.0"/>
        <u/>
      </rPr>
      <t>12 ago 2024</t>
    </r>
  </si>
  <si>
    <t>La Guía Repsol reconoce la gastronomía de Barbate con 6 nuevos Soletes</t>
  </si>
  <si>
    <t>La Guía Repsol reconoce la gastronomía de Barbate con 6 nuevos Soletes. Las incorporaciones de este verano son La Taberna de Abelardo, Tabanco El Relojero, Bar Paquete, Heladería El Malagueño, Bar Camarón y Sajorami Beach.</t>
  </si>
  <si>
    <t>The Repsol Guide recognizes the gastronomy of Barbate with 6 new Soletes</t>
  </si>
  <si>
    <t>The Repsol Guide recognizes the gastronomy of Barbate with 6 new Soletes. This summer's additions are La Taberna de Abelardo, Tabanco El Relojero, Bar Package, Heladería El Malagueño, Bar Camarón and Sajorami Beach.</t>
  </si>
  <si>
    <r>
      <rPr>
        <rFont val="Arial, sans-serif"/>
        <color rgb="FF1155CC"/>
        <sz val="9.0"/>
        <u/>
      </rPr>
      <t>Guía Repsol</t>
    </r>
    <r>
      <rPr>
        <rFont val="Arial, sans-serif"/>
        <color rgb="FF1155CC"/>
        <sz val="15.0"/>
        <u/>
      </rPr>
      <t>Temporada de orégano en Galicia</t>
    </r>
    <r>
      <rPr>
        <rFont val="Arial, sans-serif"/>
        <color rgb="FF1155CC"/>
        <sz val="11.0"/>
        <u/>
      </rPr>
      <t>Los ramilletes de orégano, con sus flores semi secas y su aroma floral y balsámico, se cuentan por decenas en los puestos de las paisanas gallegas que...</t>
    </r>
    <r>
      <rPr>
        <rFont val="Arial, sans-serif"/>
        <color rgb="FF1155CC"/>
        <sz val="12.0"/>
        <u/>
      </rPr>
      <t>.</t>
    </r>
    <r>
      <rPr>
        <rFont val="Arial, sans-serif"/>
        <color rgb="FF1155CC"/>
        <sz val="11.0"/>
        <u/>
      </rPr>
      <t>12 ago 2024</t>
    </r>
  </si>
  <si>
    <t>Temporada de orégano en Galicia</t>
  </si>
  <si>
    <t>Los ramilletes de orégano, con sus flores semi secas y su aroma floral y balsámico, se cuentan por decenas en los puestos de las paisanas gallegas que....</t>
  </si>
  <si>
    <t>Oregano season in Galicia</t>
  </si>
  <si>
    <t>The bouquets of oregano, with their semi-dried flowers and their floral and balsamic aroma, are counted by dozens in the stalls of the Galician countrywomen who...</t>
  </si>
  <si>
    <t>Agriculture</t>
  </si>
  <si>
    <r>
      <rPr>
        <rFont val="Arial, sans-serif"/>
        <color rgb="FF1155CC"/>
        <sz val="9.0"/>
        <u/>
      </rPr>
      <t>El Confidencial</t>
    </r>
    <r>
      <rPr>
        <rFont val="Arial, sans-serif"/>
        <color rgb="FF1155CC"/>
        <sz val="15.0"/>
        <u/>
      </rPr>
      <t>Estos dos ingenieros han reforestado 1.000 hectáreas y creado 480 empleos en Las Hurdes</t>
    </r>
    <r>
      <rPr>
        <rFont val="Arial, sans-serif"/>
        <color rgb="FF1155CC"/>
        <sz val="11.0"/>
        <u/>
      </rPr>
      <t>El proyecto Motor Verde, de Fundación Repsol y Sylvestris, está reforestando la comarca con un impacto medioambiental, social y económico.</t>
    </r>
    <r>
      <rPr>
        <rFont val="Arial, sans-serif"/>
        <color rgb="FF1155CC"/>
        <sz val="12.0"/>
        <u/>
      </rPr>
      <t>.</t>
    </r>
    <r>
      <rPr>
        <rFont val="Arial, sans-serif"/>
        <color rgb="FF1155CC"/>
        <sz val="11.0"/>
        <u/>
      </rPr>
      <t>12 ago 2024</t>
    </r>
  </si>
  <si>
    <t>Estos dos ingenieros han reforestado 1.000 hectáreas y creado 480 empleos en Las Hurdes</t>
  </si>
  <si>
    <t>El proyecto Motor Verde, de Fundación Repsol y Sylvestris, está reforestando la comarca con un impacto medioambiental, social y económico.</t>
  </si>
  <si>
    <t>These two engineers have reforested 1,000 hectares and created 480 jobs in Las Hurdes</t>
  </si>
  <si>
    <t>The Motor Verde project, by Fundación Repsol and Sylvestris, is reforesting the region with an environmental, social and economic impact.</t>
  </si>
  <si>
    <r>
      <rPr>
        <rFont val="Arial, sans-serif"/>
        <color rgb="FF1155CC"/>
        <sz val="9.0"/>
        <u/>
      </rPr>
      <t>MarketingNews</t>
    </r>
    <r>
      <rPr>
        <rFont val="Arial, sans-serif"/>
        <color rgb="FF1155CC"/>
        <sz val="15.0"/>
        <u/>
      </rPr>
      <t>Energía: A toda mecha</t>
    </r>
    <r>
      <rPr>
        <rFont val="Arial, sans-serif"/>
        <color rgb="FF1155CC"/>
        <sz val="11.0"/>
        <u/>
      </rPr>
      <t>Según el Ranking de Anunciantes de Anuncios-InfoAdex.</t>
    </r>
    <r>
      <rPr>
        <rFont val="Arial, sans-serif"/>
        <color rgb="FF1155CC"/>
        <sz val="12.0"/>
        <u/>
      </rPr>
      <t>.</t>
    </r>
    <r>
      <rPr>
        <rFont val="Arial, sans-serif"/>
        <color rgb="FF1155CC"/>
        <sz val="11.0"/>
        <u/>
      </rPr>
      <t>12 ago 2024</t>
    </r>
  </si>
  <si>
    <t>Energía: A toda mecha</t>
  </si>
  <si>
    <t>Según el Ranking de Anunciantes de Anuncios-InfoAdex.</t>
  </si>
  <si>
    <t>Energy: Full speed</t>
  </si>
  <si>
    <t>According to the Advertisers Ranking of Ads-InfoAdex.</t>
  </si>
  <si>
    <r>
      <rPr>
        <rFont val="Arial, sans-serif"/>
        <color rgb="FF1155CC"/>
        <sz val="9.0"/>
        <u/>
      </rPr>
      <t>El Español</t>
    </r>
    <r>
      <rPr>
        <rFont val="Arial, sans-serif"/>
        <color rgb="FF1155CC"/>
        <sz val="15.0"/>
        <u/>
      </rPr>
      <t>El restaurante de Salamanca donde han cenado Elsa Pataky y Maxi Iglesias: tapas típicas y recomendado por Guía Repsol</t>
    </r>
    <r>
      <rPr>
        <rFont val="Arial, sans-serif"/>
        <color rgb="FF1155CC"/>
        <sz val="11.0"/>
        <u/>
      </rPr>
      <t>Personajes como Isabel Díaz Ayuso o Alberto Núñez Feijóo también se han acercado a probar las recetas de este local de la Plaza Mayor de la ciudad.</t>
    </r>
    <r>
      <rPr>
        <rFont val="Arial, sans-serif"/>
        <color rgb="FF1155CC"/>
        <sz val="12.0"/>
        <u/>
      </rPr>
      <t>.</t>
    </r>
    <r>
      <rPr>
        <rFont val="Arial, sans-serif"/>
        <color rgb="FF1155CC"/>
        <sz val="11.0"/>
        <u/>
      </rPr>
      <t>12 ago 2024</t>
    </r>
  </si>
  <si>
    <t>El restaurante de Salamanca donde han cenado Elsa Pataky y Maxi Iglesias: tapas típicas y recomendado por Guía Repsol</t>
  </si>
  <si>
    <t>Personajes como Isabel Díaz Ayuso o Alberto Núñez Feijóo también se han acercado a probar las recetas de este local de la Plaza Mayor de la ciudad.</t>
  </si>
  <si>
    <t>The Salamanca restaurant where Elsa Pataky and Maxi Iglesias dined: typical tapas and recommended by the Repsol Guide</t>
  </si>
  <si>
    <t>People like Isabel Díaz Ayuso or Alberto Núñez Feijóo have also come to try the recipes from this place in the city's Plaza Mayor.</t>
  </si>
  <si>
    <r>
      <rPr>
        <rFont val="Arial, sans-serif"/>
        <color rgb="FF1155CC"/>
        <sz val="9.0"/>
        <u/>
      </rPr>
      <t>Box Repsol</t>
    </r>
    <r>
      <rPr>
        <rFont val="Arial, sans-serif"/>
        <color rgb="FF1155CC"/>
        <sz val="15.0"/>
        <u/>
      </rPr>
      <t>Horarios GP Austria MotoGP 2024: dónde ver por TV y online la actividad en el Red Bull Ring</t>
    </r>
    <r>
      <rPr>
        <rFont val="Arial, sans-serif"/>
        <color rgb="FF1155CC"/>
        <sz val="11.0"/>
        <u/>
      </rPr>
      <t>El circuito del Red Bull Ring será sede del undécimo Gran Premio de la temporada 2024 para los pilotos de MotoGP. Con el GP de Silverstone ya completado,...</t>
    </r>
    <r>
      <rPr>
        <rFont val="Arial, sans-serif"/>
        <color rgb="FF1155CC"/>
        <sz val="12.0"/>
        <u/>
      </rPr>
      <t>.</t>
    </r>
    <r>
      <rPr>
        <rFont val="Arial, sans-serif"/>
        <color rgb="FF1155CC"/>
        <sz val="11.0"/>
        <u/>
      </rPr>
      <t>12 ago 2024</t>
    </r>
  </si>
  <si>
    <t>Horarios GP Austria MotoGP 2024: dónde ver por TV y online la actividad en el Red Bull Ring</t>
  </si>
  <si>
    <t>El circuito del Red Bull Ring será sede del undécimo Gran Premio de la temporada 2024 para los pilotos de MotoGP. Con el GP de Silverstone ya completado,....</t>
  </si>
  <si>
    <t>GP Austria MotoGP 2024 schedules: where to watch the activity at the Red Bull Ring on TV and online</t>
  </si>
  <si>
    <t>The Red Bull Ring circuit will host the eleventh Grand Prix of the 2024 season for MotoGP riders. With the Silverstone GP already completed,...</t>
  </si>
  <si>
    <r>
      <rPr>
        <rFont val="Arial, sans-serif"/>
        <color rgb="FF1155CC"/>
        <sz val="9.0"/>
        <u/>
      </rPr>
      <t>Energía Estratégica España</t>
    </r>
    <r>
      <rPr>
        <rFont val="Arial, sans-serif"/>
        <color rgb="FF1155CC"/>
        <sz val="15.0"/>
        <u/>
      </rPr>
      <t>Informe: las empresas detrás de los 25.456 MW de eólica offshore</t>
    </r>
    <r>
      <rPr>
        <rFont val="Arial, sans-serif"/>
        <color rgb="FF1155CC"/>
        <sz val="11.0"/>
        <u/>
      </rPr>
      <t>Ya hay rumores de que el documento final que definirá las reglas del juego del nuevo mercado para la eólica marina flotante está listo.</t>
    </r>
    <r>
      <rPr>
        <rFont val="Arial, sans-serif"/>
        <color rgb="FF1155CC"/>
        <sz val="12.0"/>
        <u/>
      </rPr>
      <t>.</t>
    </r>
    <r>
      <rPr>
        <rFont val="Arial, sans-serif"/>
        <color rgb="FF1155CC"/>
        <sz val="11.0"/>
        <u/>
      </rPr>
      <t>12 ago 2024</t>
    </r>
  </si>
  <si>
    <t>Informe: las empresas detrás de los 25.456 MW de eólica offshore</t>
  </si>
  <si>
    <t>Ya hay rumores de que el documento final que definirá las reglas del juego del nuevo mercado para la eólica marina flotante está listo.</t>
  </si>
  <si>
    <t>Report: the companies behind the 25,456 MW of offshore wind</t>
  </si>
  <si>
    <t>There are already rumors that the final document that will define the rules of the game for the new market for floating offshore wind is ready.</t>
  </si>
  <si>
    <t>Positive as it highlights renewable energy progress.</t>
  </si>
  <si>
    <t>Not directly related to Repsol.</t>
  </si>
  <si>
    <t>No relacionado directamente con Repsol.</t>
  </si>
  <si>
    <r>
      <rPr>
        <rFont val="Arial, sans-serif"/>
        <color rgb="FF1155CC"/>
        <sz val="9.0"/>
        <u/>
      </rPr>
      <t>Expansión</t>
    </r>
    <r>
      <rPr>
        <rFont val="Arial, sans-serif"/>
        <color rgb="FF1155CC"/>
        <sz val="15.0"/>
        <u/>
      </rPr>
      <t>Ibex 35 hoy, La Bolsa en Directo | El Ibex se contagia del clima vacacional y cierra en tablas</t>
    </r>
    <r>
      <rPr>
        <rFont val="Arial, sans-serif"/>
        <color rgb="FF1155CC"/>
        <sz val="11.0"/>
        <u/>
      </rPr>
      <t>La relajación de la agenda en el día de hoy y la menor actividad propia de estas fechas han activado una tregua en los mercados. El Ibex ha enfriado su...</t>
    </r>
    <r>
      <rPr>
        <rFont val="Arial, sans-serif"/>
        <color rgb="FF1155CC"/>
        <sz val="12.0"/>
        <u/>
      </rPr>
      <t>.</t>
    </r>
    <r>
      <rPr>
        <rFont val="Arial, sans-serif"/>
        <color rgb="FF1155CC"/>
        <sz val="11.0"/>
        <u/>
      </rPr>
      <t>12 ago 2024</t>
    </r>
  </si>
  <si>
    <t>Ibex 35 hoy, La Bolsa en Directo | El Ibex se contagia del clima vacacional y cierra en tablas</t>
  </si>
  <si>
    <t>La relajación de la agenda en el día de hoy y la menor actividad propia de estas fechas han activado una tregua en los mercados. El Ibex ha enfriado su....</t>
  </si>
  <si>
    <t>Ibex 35 today, The Stock Market Live | The Ibex is infected by the holiday climate and closes in a draw</t>
  </si>
  <si>
    <t>The relaxation of the agenda today and the lower activity typical of these dates have activated a truce in the markets. The Ibex has cooled its....</t>
  </si>
  <si>
    <r>
      <rPr>
        <rFont val="Arial, sans-serif"/>
        <color rgb="FF1155CC"/>
        <sz val="9.0"/>
        <u/>
      </rPr>
      <t>MotorcycleSports</t>
    </r>
    <r>
      <rPr>
        <rFont val="Arial, sans-serif"/>
        <color rgb="FF1155CC"/>
        <sz val="15.0"/>
        <u/>
      </rPr>
      <t>Marc Márquez cambió de equipos y motos pero aún lidera… en caídas.</t>
    </r>
    <r>
      <rPr>
        <rFont val="Arial, sans-serif"/>
        <color rgb="FF1155CC"/>
        <sz val="11.0"/>
        <u/>
      </rPr>
      <t>Con diez de las 20 rondas programadas para la temporada 2024 de MotoGP completadas, el piloto con más caídas es… Marc Márquez. Después de varios años...</t>
    </r>
    <r>
      <rPr>
        <rFont val="Arial, sans-serif"/>
        <color rgb="FF1155CC"/>
        <sz val="12.0"/>
        <u/>
      </rPr>
      <t>.</t>
    </r>
    <r>
      <rPr>
        <rFont val="Arial, sans-serif"/>
        <color rgb="FF1155CC"/>
        <sz val="11.0"/>
        <u/>
      </rPr>
      <t>12 ago 2024</t>
    </r>
  </si>
  <si>
    <t>Marc Márquez cambió de equipos y motos pero aún lidera… en caídas.</t>
  </si>
  <si>
    <t>Marc Márquez cambió de equipos y motos pero aún lidera… en caídas. Con diez de las 20 rondas programadas para la temporada 2024 de MotoGP completadas, el piloto con más caídas es… Marc Márquez. Después de varios años....</t>
  </si>
  <si>
    <t>Marc Márquez changed teams and bikes but still leads… in falls.</t>
  </si>
  <si>
    <t>Marc Márquez changed teams and bikes but still leads… in falls. With ten of the 20 rounds scheduled for the 2024 MotoGP season completed, the rider with the most crashes is… Marc Márquez. After several years....</t>
  </si>
  <si>
    <r>
      <rPr>
        <rFont val="Arial, sans-serif"/>
        <color rgb="FF1155CC"/>
        <sz val="9.0"/>
        <u/>
      </rPr>
      <t>La Comarca de Puertollano</t>
    </r>
    <r>
      <rPr>
        <rFont val="Arial, sans-serif"/>
        <color rgb="FF1155CC"/>
        <sz val="15.0"/>
        <u/>
      </rPr>
      <t>CCOO recordará este miércoles a las víctimas en el 21º aniversario de la tragedia de Repsol-Puertollano</t>
    </r>
    <r>
      <rPr>
        <rFont val="Arial, sans-serif"/>
        <color rgb="FF1155CC"/>
        <sz val="11.0"/>
        <u/>
      </rPr>
      <t>Este miércoles, 14 de agosto, se cumplen 21 años de la trágica explosión en la refinería de Repsol en Puertollano que se llevó consigo nueve vidas de...</t>
    </r>
    <r>
      <rPr>
        <rFont val="Arial, sans-serif"/>
        <color rgb="FF1155CC"/>
        <sz val="12.0"/>
        <u/>
      </rPr>
      <t>.</t>
    </r>
    <r>
      <rPr>
        <rFont val="Arial, sans-serif"/>
        <color rgb="FF1155CC"/>
        <sz val="11.0"/>
        <u/>
      </rPr>
      <t>13 ago 2024</t>
    </r>
  </si>
  <si>
    <t>CCOO recordará este miércoles a las víctimas en el 21º aniversario de la tragedia de Repsol-Puertollano</t>
  </si>
  <si>
    <t>CCOO recordará este miércoles a las víctimas en el 21º aniversario de la tragedia de Repsol-Puertollano.</t>
  </si>
  <si>
    <t>CCOO will remember the victims this Wednesday on the 21st anniversary of the Repsol-Puertollano tragedy</t>
  </si>
  <si>
    <t>CCOO will remember the victims this Wednesday on the 21st anniversary of the Repsol-Puertollano tragedy.</t>
  </si>
  <si>
    <t>Neutral as it reports an anniversary event.</t>
  </si>
  <si>
    <t>víctimas, "tragedia"</t>
  </si>
  <si>
    <t>Negative event tied to Repsol’s history.</t>
  </si>
  <si>
    <t>Hecho negativo ligado a la historia de Repsol.</t>
  </si>
  <si>
    <r>
      <rPr>
        <rFont val="Arial, sans-serif"/>
        <color rgb="FF1155CC"/>
        <sz val="9.0"/>
        <u/>
      </rPr>
      <t>La Razón</t>
    </r>
    <r>
      <rPr>
        <rFont val="Arial, sans-serif"/>
        <color rgb="FF1155CC"/>
        <sz val="15.0"/>
        <u/>
      </rPr>
      <t>Repsol une fuerzas con Honeywell para la producción de combustibles renovables</t>
    </r>
    <r>
      <rPr>
        <rFont val="Arial, sans-serif"/>
        <color rgb="FF1155CC"/>
        <sz val="11.0"/>
        <u/>
      </rPr>
      <t>Honeywell y Repsol han anunciado hoy una colaboración para crear nuevas vías de producción de biocombustibles y materiales circulares.</t>
    </r>
    <r>
      <rPr>
        <rFont val="Arial, sans-serif"/>
        <color rgb="FF1155CC"/>
        <sz val="12.0"/>
        <u/>
      </rPr>
      <t>.</t>
    </r>
    <r>
      <rPr>
        <rFont val="Arial, sans-serif"/>
        <color rgb="FF1155CC"/>
        <sz val="11.0"/>
        <u/>
      </rPr>
      <t>13 ago 2024</t>
    </r>
  </si>
  <si>
    <t>Repsol une fuerzas con Honeywell para la producción de combustibles renovables</t>
  </si>
  <si>
    <t>Honeywell y Repsol han anunciado hoy una colaboración para crear nuevas vías de producción de biocombustibles y materiales circulares.</t>
  </si>
  <si>
    <t>Repsol joins forces with Honeywell for the production of renewable fuels</t>
  </si>
  <si>
    <t>Honeywell and Repsol today announced a collaboration to create new production routes for biofuels and circular materials.</t>
  </si>
  <si>
    <t>Positive as it highlights Repsol’s sustainability collaboration.</t>
  </si>
  <si>
    <t>Positive collaboration for sustainability.</t>
  </si>
  <si>
    <t>Colaboración positiva para la sostenibilidad.</t>
  </si>
  <si>
    <r>
      <rPr>
        <rFont val="Arial, sans-serif"/>
        <color rgb="FF1155CC"/>
        <sz val="9.0"/>
        <u/>
      </rPr>
      <t>Guía Repsol</t>
    </r>
    <r>
      <rPr>
        <rFont val="Arial, sans-serif"/>
        <color rgb="FF1155CC"/>
        <sz val="15.0"/>
        <u/>
      </rPr>
      <t>Los arroces que te harán peregrinar a Cala Saona</t>
    </r>
    <r>
      <rPr>
        <rFont val="Arial, sans-serif"/>
        <color rgb="FF1155CC"/>
        <sz val="11.0"/>
        <u/>
      </rPr>
      <t>Con el producto más fresco que les surten los pescadores locales de Formentera, el chiringuito 'Sol' sorprende con una tradición reversionada de la mano de.</t>
    </r>
    <r>
      <rPr>
        <rFont val="Arial, sans-serif"/>
        <color rgb="FF1155CC"/>
        <sz val="12.0"/>
        <u/>
      </rPr>
      <t>.</t>
    </r>
    <r>
      <rPr>
        <rFont val="Arial, sans-serif"/>
        <color rgb="FF1155CC"/>
        <sz val="11.0"/>
        <u/>
      </rPr>
      <t>13 ago 2024</t>
    </r>
  </si>
  <si>
    <t>Los arroces que te harán peregrinar a Cala Saona</t>
  </si>
  <si>
    <t>Con el producto más fresco que les surten los pescadores locales de Formentera, el chiringuito 'Sol' sorprende con una tradición reversionada de la mano de..</t>
  </si>
  <si>
    <t>The rice dishes that will make you make a pilgrimage to Cala Saona</t>
  </si>
  <si>
    <t>With the freshest product supplied by the local fishermen of Formentera, the 'Sol' beach bar surprises with a tradition revived by...</t>
  </si>
  <si>
    <r>
      <rPr>
        <rFont val="Arial, sans-serif"/>
        <color rgb="FF1155CC"/>
        <sz val="9.0"/>
        <u/>
      </rPr>
      <t>El Español</t>
    </r>
    <r>
      <rPr>
        <rFont val="Arial, sans-serif"/>
        <color rgb="FF1155CC"/>
        <sz val="15.0"/>
        <u/>
      </rPr>
      <t>Denuncian que la mayor contrata de Repsol en Puertollano deja de pagar y "amenaza" a sus trabajadores</t>
    </r>
    <r>
      <rPr>
        <rFont val="Arial, sans-serif"/>
        <color rgb="FF1155CC"/>
        <sz val="11.0"/>
        <u/>
      </rPr>
      <t>El grupo industrial Navec posee un centro de trabajo con 130 empleados en el complejo petroquímico de la ciudad minera.</t>
    </r>
    <r>
      <rPr>
        <rFont val="Arial, sans-serif"/>
        <color rgb="FF1155CC"/>
        <sz val="12.0"/>
        <u/>
      </rPr>
      <t>.</t>
    </r>
    <r>
      <rPr>
        <rFont val="Arial, sans-serif"/>
        <color rgb="FF1155CC"/>
        <sz val="11.0"/>
        <u/>
      </rPr>
      <t>13 ago 2024</t>
    </r>
  </si>
  <si>
    <t>Denuncian que la mayor contrata de Repsol en Puertollano deja de pagar y "amenaza" a sus trabajadores</t>
  </si>
  <si>
    <t>El grupo industrial Navec posee un centro de trabajo con 130 empleados en el complejo petroquímico de la ciudad minera.</t>
  </si>
  <si>
    <t>They denounce that Repsol's largest contract in Puertollano stops paying and "threatens" its workers</t>
  </si>
  <si>
    <t>The Navec industrial group has a work center with 130 employees in the petrochemical complex of the mining city.</t>
  </si>
  <si>
    <t>Repsol business operations, legal challenges</t>
  </si>
  <si>
    <t>Operaciones comerciales de Repsol, retos legales</t>
  </si>
  <si>
    <t>Negative due to allegations of non-payment affecting workers.</t>
  </si>
  <si>
    <t>Denuncian, "amenaza", "deja de pagar"</t>
  </si>
  <si>
    <t>Labor conflict harming Repsol’s reputation.</t>
  </si>
  <si>
    <t>Conflicto laboral que daña la reputación de Repsol.</t>
  </si>
  <si>
    <r>
      <rPr>
        <rFont val="Arial, sans-serif"/>
        <color rgb="FF1155CC"/>
        <sz val="9.0"/>
        <u/>
      </rPr>
      <t>Cadena SER</t>
    </r>
    <r>
      <rPr>
        <rFont val="Arial, sans-serif"/>
        <color rgb="FF1155CC"/>
        <sz val="15.0"/>
        <u/>
      </rPr>
      <t>La empresa responsable de los principales mantenimientos en Repsol Puertollano presenta preconcurso de acreedores</t>
    </r>
    <r>
      <rPr>
        <rFont val="Arial, sans-serif"/>
        <color rgb="FF1155CC"/>
        <sz val="11.0"/>
        <u/>
      </rPr>
      <t>Navec ha comunicado que no podrá abonar las nóminas de agosto. En la delegación de Puertollano cuenta con aproximadamente ciento veinte trabajadores.</t>
    </r>
    <r>
      <rPr>
        <rFont val="Arial, sans-serif"/>
        <color rgb="FF1155CC"/>
        <sz val="12.0"/>
        <u/>
      </rPr>
      <t>.</t>
    </r>
    <r>
      <rPr>
        <rFont val="Arial, sans-serif"/>
        <color rgb="FF1155CC"/>
        <sz val="11.0"/>
        <u/>
      </rPr>
      <t>13 ago 2024</t>
    </r>
  </si>
  <si>
    <t>La empresa responsable de los principales mantenimientos en Repsol Puertollano presenta preconcurso de acreedores</t>
  </si>
  <si>
    <t>La empresa responsable de los principales mantenimientos en Repsol Puertollano presenta preconcurso de acreedores. Navec ha comunicado que no podrá abonar las nóminas de agosto. En la delegación de Puertollano cuenta con aproximadamente ciento veinte trabajadores.</t>
  </si>
  <si>
    <t>The company responsible for the main maintenance at Repsol Puertollano presents pre-bankruptcy for creditors</t>
  </si>
  <si>
    <t>The company responsible for the main maintenance at Repsol Puertollano presents a pre-bankruptcy process. Navec has communicated that it will not be able to pay the August payroll. In the Puertollano delegation it has approximately one hundred and twenty workers.</t>
  </si>
  <si>
    <t>Repsol employment, business challenges</t>
  </si>
  <si>
    <t>Empleo Repsol, retos empresariales</t>
  </si>
  <si>
    <t>Negative as it indicates financial distress affecting Repsol operations.</t>
  </si>
  <si>
    <t>preconcurso de acreedores</t>
  </si>
  <si>
    <t>Financial instability linked to Repsol.</t>
  </si>
  <si>
    <t>Inestabilidad financiera ligada a Repsol.</t>
  </si>
  <si>
    <r>
      <rPr>
        <rFont val="Arial, sans-serif"/>
        <color rgb="FF1155CC"/>
        <sz val="9.0"/>
        <u/>
      </rPr>
      <t>La Tribuna de Ciudad Real</t>
    </r>
    <r>
      <rPr>
        <rFont val="Arial, sans-serif"/>
        <color rgb="FF1155CC"/>
        <sz val="15.0"/>
        <u/>
      </rPr>
      <t>Denuncian impagos salariales de Navec, la mayor contrata de Repsol-Puertollano</t>
    </r>
    <r>
      <rPr>
        <rFont val="Arial, sans-serif"/>
        <color rgb="FF1155CC"/>
        <sz val="11.0"/>
        <u/>
      </rPr>
      <t>La asesoría jurídica de CCOO Ciudad Real ya se personó en el preconcurso de Navec "para estar al tanto de todos los movimientos judiciales o empresariales...</t>
    </r>
    <r>
      <rPr>
        <rFont val="Arial, sans-serif"/>
        <color rgb="FF1155CC"/>
        <sz val="12.0"/>
        <u/>
      </rPr>
      <t>.</t>
    </r>
    <r>
      <rPr>
        <rFont val="Arial, sans-serif"/>
        <color rgb="FF1155CC"/>
        <sz val="11.0"/>
        <u/>
      </rPr>
      <t>13 ago 2024</t>
    </r>
  </si>
  <si>
    <t>Denuncian impagos salariales de Navec, la mayor contrata de Repsol-Puertollano</t>
  </si>
  <si>
    <t>La asesoría jurídica de CCOO Ciudad Real ya se personó en el preconcurso de Navec "para estar al tanto de todos los movimientos judiciales o empresariales....</t>
  </si>
  <si>
    <t>They denounce non-payment of salaries by Navec, Repsol-Puertollano's largest contract</t>
  </si>
  <si>
    <t>The legal advice of CCOO Ciudad Real already appeared in the Navec pre-contest "to be aware of all judicial or business movements....</t>
  </si>
  <si>
    <t>Negative as it reports labor disputes affecting Repsol’s suppliers.</t>
  </si>
  <si>
    <t>impagos salariales</t>
  </si>
  <si>
    <t>Negative labor practices affecting Repsol.</t>
  </si>
  <si>
    <t>Prácticas laborales negativas que afectan a Repsol.</t>
  </si>
  <si>
    <r>
      <rPr>
        <rFont val="Arial, sans-serif"/>
        <color rgb="FF1155CC"/>
        <sz val="9.0"/>
        <u/>
      </rPr>
      <t>El Confidencial</t>
    </r>
    <r>
      <rPr>
        <rFont val="Arial, sans-serif"/>
        <color rgb="FF1155CC"/>
        <sz val="15.0"/>
        <u/>
      </rPr>
      <t>España dispara las importaciones de crudo de Venezuela en un segundo trimestre récord</t>
    </r>
    <r>
      <rPr>
        <rFont val="Arial, sans-serif"/>
        <color rgb="FF1155CC"/>
        <sz val="11.0"/>
        <u/>
      </rPr>
      <t>El régimen de Maduro se beneficia de la guerra de Ucrania, sigue exportando pese a las sanciones de Estados Unidos y se cuela en el top 10 de los...</t>
    </r>
    <r>
      <rPr>
        <rFont val="Arial, sans-serif"/>
        <color rgb="FF1155CC"/>
        <sz val="12.0"/>
        <u/>
      </rPr>
      <t>.</t>
    </r>
    <r>
      <rPr>
        <rFont val="Arial, sans-serif"/>
        <color rgb="FF1155CC"/>
        <sz val="11.0"/>
        <u/>
      </rPr>
      <t>13 ago 2024</t>
    </r>
  </si>
  <si>
    <t>España dispara las importaciones de crudo de Venezuela en un segundo trimestre récord</t>
  </si>
  <si>
    <t>El régimen de Maduro se beneficia de la guerra de Ucrania, sigue exportando pese a las sanciones de Estados Unidos y se cuela en el top 10 de los....</t>
  </si>
  <si>
    <t>Spain boosts crude oil imports from Venezuela in a record second quarter</t>
  </si>
  <si>
    <t>The Maduro regime benefits from the war in Ukraine, continues to export despite US sanctions and sneaks into the top 10 of the...</t>
  </si>
  <si>
    <t>Positive for Repsol as it indicates increased crude oil imports, but political instability in Venezuela tempers enthusiasm.</t>
  </si>
  <si>
    <t>Indirect link; no direct sentiment impact.</t>
  </si>
  <si>
    <t>Enlace indirecto; sin impacto directo en el sentimiento.</t>
  </si>
  <si>
    <r>
      <rPr>
        <rFont val="Arial, sans-serif"/>
        <color rgb="FF1155CC"/>
        <sz val="9.0"/>
        <u/>
      </rPr>
      <t>Bon Viveur</t>
    </r>
    <r>
      <rPr>
        <rFont val="Arial, sans-serif"/>
        <color rgb="FF1155CC"/>
        <sz val="15.0"/>
        <u/>
      </rPr>
      <t>Los 16 mejores restaurantes de las Islas Baleares</t>
    </r>
    <r>
      <rPr>
        <rFont val="Arial, sans-serif"/>
        <color rgb="FF1155CC"/>
        <sz val="11.0"/>
        <u/>
      </rPr>
      <t>Echamos un vistazo a los mejores restaurantes de las Islas Baleares en donde disfrutar desde la mejor cocina tradicional y mediterránea hasta propuestas de...</t>
    </r>
    <r>
      <rPr>
        <rFont val="Arial, sans-serif"/>
        <color rgb="FF1155CC"/>
        <sz val="12.0"/>
        <u/>
      </rPr>
      <t>.</t>
    </r>
    <r>
      <rPr>
        <rFont val="Arial, sans-serif"/>
        <color rgb="FF1155CC"/>
        <sz val="11.0"/>
        <u/>
      </rPr>
      <t>13 ago 2024</t>
    </r>
  </si>
  <si>
    <t>Los 16 mejores restaurantes de las Islas Baleares</t>
  </si>
  <si>
    <t>Echamos un vistazo a los mejores restaurantes de las Islas Baleares en donde disfrutar desde la mejor cocina tradicional y mediterránea hasta propuestas de....</t>
  </si>
  <si>
    <t>The 16 best restaurants in the Balearic Islands</t>
  </si>
  <si>
    <t>We take a look at the best restaurants in the Balearic Islands where you can enjoy everything from the best traditional and Mediterranean cuisine to proposals of...</t>
  </si>
  <si>
    <r>
      <rPr>
        <rFont val="Arial, sans-serif"/>
        <color rgb="FF1155CC"/>
        <sz val="9.0"/>
        <u/>
      </rPr>
      <t>Hostelería Salamanca</t>
    </r>
    <r>
      <rPr>
        <rFont val="Arial, sans-serif"/>
        <color rgb="FF1155CC"/>
        <sz val="15.0"/>
        <u/>
      </rPr>
      <t>Cafetería Berysa: disfruta de la esencia de Salamanca en plena Plaza Mayor</t>
    </r>
    <r>
      <rPr>
        <rFont val="Arial, sans-serif"/>
        <color rgb="FF1155CC"/>
        <sz val="11.0"/>
        <u/>
      </rPr>
      <t>Ubicada en el corazón de Salamanca, la Cafetería Berysa es un emblema de la ciudad y además ahora luce un Solete de la Guía Repsol.</t>
    </r>
    <r>
      <rPr>
        <rFont val="Arial, sans-serif"/>
        <color rgb="FF1155CC"/>
        <sz val="12.0"/>
        <u/>
      </rPr>
      <t>.</t>
    </r>
    <r>
      <rPr>
        <rFont val="Arial, sans-serif"/>
        <color rgb="FF1155CC"/>
        <sz val="11.0"/>
        <u/>
      </rPr>
      <t>13 ago 2024</t>
    </r>
  </si>
  <si>
    <t>Hostelería Salamanca</t>
  </si>
  <si>
    <t>Cafetería Berysa: disfruta de la esencia de Salamanca en plena Plaza Mayor</t>
  </si>
  <si>
    <t>Ubicada en el corazón de Salamanca, la Cafetería Berysa es un emblema de la ciudad y además ahora luce un Solete de la Guía Repsol.</t>
  </si>
  <si>
    <t>Berysa Cafeteria: enjoy the essence of Salamanca in the Plaza Mayor</t>
  </si>
  <si>
    <t>Located in the heart of Salamanca, the Berysa Cafeteria is an emblem of the city and now sports a Solete from the Repsol Guide.</t>
  </si>
  <si>
    <r>
      <rPr>
        <rFont val="Arial, sans-serif"/>
        <color rgb="FF1155CC"/>
        <sz val="9.0"/>
        <u/>
      </rPr>
      <t>Ayuntamiento de Puertollano</t>
    </r>
    <r>
      <rPr>
        <rFont val="Arial, sans-serif"/>
        <color rgb="FF1155CC"/>
        <sz val="15.0"/>
        <u/>
      </rPr>
      <t>Concejales del Ayuntamiento se suman al homenaje por las víctimas del 14 de agosto de 2003 en Repsol</t>
    </r>
    <r>
      <rPr>
        <rFont val="Arial, sans-serif"/>
        <color rgb="FF1155CC"/>
        <sz val="11.0"/>
        <u/>
      </rPr>
      <t>Se han cumplido 21 años desde la terrible explosión que tuvo lugar en la refinería Repsol en la que fallecieron nueve trabajadores. Con este motivo miembros...</t>
    </r>
    <r>
      <rPr>
        <rFont val="Arial, sans-serif"/>
        <color rgb="FF1155CC"/>
        <sz val="12.0"/>
        <u/>
      </rPr>
      <t>.</t>
    </r>
    <r>
      <rPr>
        <rFont val="Arial, sans-serif"/>
        <color rgb="FF1155CC"/>
        <sz val="11.0"/>
        <u/>
      </rPr>
      <t>14 ago 2024</t>
    </r>
  </si>
  <si>
    <t>Concejales del Ayuntamiento se suman al homenaje por las víctimas del 14 de agosto de 2003 en Repsol</t>
  </si>
  <si>
    <t>Se han cumplido 21 años desde la terrible explosión que tuvo lugar en la refinería Repsol en la que fallecieron nueve trabajadores. Con este motivo miembros....</t>
  </si>
  <si>
    <t>Councilors of the City Council join the tribute for the victims of August 14, 2003 in Repsol</t>
  </si>
  <si>
    <t>21 years have passed since the terrible explosion that took place at the Repsol refinery in which nine workers died. With this reason members....</t>
  </si>
  <si>
    <t>Neutral as it covers a memorial event.</t>
  </si>
  <si>
    <t>víctimas, "homenaje"</t>
  </si>
  <si>
    <t>Memorial for a tragic Repsol incident.</t>
  </si>
  <si>
    <t>Memorial por un trágico incidente de Repsol.</t>
  </si>
  <si>
    <r>
      <rPr>
        <rFont val="Arial, sans-serif"/>
        <color rgb="FF1155CC"/>
        <sz val="9.0"/>
        <u/>
      </rPr>
      <t>ENCLM</t>
    </r>
    <r>
      <rPr>
        <rFont val="Arial, sans-serif"/>
        <color rgb="FF1155CC"/>
        <sz val="15.0"/>
        <u/>
      </rPr>
      <t>21 años de la tragedia de Repsol en Puertollano</t>
    </r>
    <r>
      <rPr>
        <rFont val="Arial, sans-serif"/>
        <color rgb="FF1155CC"/>
        <sz val="11.0"/>
        <u/>
      </rPr>
      <t>Nueve trabajadores murieron y otros 17 resultaron heridos en el que se considera el accidente industrial más grave en nuestro país.</t>
    </r>
    <r>
      <rPr>
        <rFont val="Arial, sans-serif"/>
        <color rgb="FF1155CC"/>
        <sz val="12.0"/>
        <u/>
      </rPr>
      <t>.</t>
    </r>
    <r>
      <rPr>
        <rFont val="Arial, sans-serif"/>
        <color rgb="FF1155CC"/>
        <sz val="11.0"/>
        <u/>
      </rPr>
      <t>14 ago 2024</t>
    </r>
  </si>
  <si>
    <t>21 años de la tragedia de Repsol en Puertollano</t>
  </si>
  <si>
    <t>Nueve trabajadores murieron y otros 17 resultaron heridos en el que se considera el accidente industrial más grave en nuestro país.</t>
  </si>
  <si>
    <t>21 years since the Repsol tragedy in Puertollano</t>
  </si>
  <si>
    <t>Nine workers died and another 17 were injured in what is considered the most serious industrial accident in our country.</t>
  </si>
  <si>
    <t>Repsol industrial accident, corporate responsibility</t>
  </si>
  <si>
    <t>Accidente industrial de Repsol, responsabilidad corporativa</t>
  </si>
  <si>
    <t>Negative as it recalls a tragic industrial accident.</t>
  </si>
  <si>
    <t>tragedia</t>
  </si>
  <si>
    <t>Negative historical event.</t>
  </si>
  <si>
    <t>Evento histórico negativo.</t>
  </si>
  <si>
    <r>
      <rPr>
        <rFont val="Arial, sans-serif"/>
        <color rgb="FF1155CC"/>
        <sz val="9.0"/>
        <u/>
      </rPr>
      <t>Guía Repsol</t>
    </r>
    <r>
      <rPr>
        <rFont val="Arial, sans-serif"/>
        <color rgb="FF1155CC"/>
        <sz val="15.0"/>
        <u/>
      </rPr>
      <t>8 enclaves para dormir barato y comer rico</t>
    </r>
    <r>
      <rPr>
        <rFont val="Arial, sans-serif"/>
        <color rgb="FF1155CC"/>
        <sz val="11.0"/>
        <u/>
      </rPr>
      <t>Inmersión en la naturaleza, buena cocina y precios comedidos son las claves de estos alojamientos. Este recorrido de restaurantes en camping con Solete Guía...</t>
    </r>
    <r>
      <rPr>
        <rFont val="Arial, sans-serif"/>
        <color rgb="FF1155CC"/>
        <sz val="12.0"/>
        <u/>
      </rPr>
      <t>.</t>
    </r>
    <r>
      <rPr>
        <rFont val="Arial, sans-serif"/>
        <color rgb="FF1155CC"/>
        <sz val="11.0"/>
        <u/>
      </rPr>
      <t>14 ago 2024</t>
    </r>
  </si>
  <si>
    <t>8 enclaves para dormir barato y comer rico</t>
  </si>
  <si>
    <t>Inmersión en la naturaleza, buena cocina y precios comedidos son las claves de estos alojamientos. Este recorrido de restaurantes en camping con Solete Guía.</t>
  </si>
  <si>
    <t>8 places to sleep cheaply and eat deliciously</t>
  </si>
  <si>
    <t>Immersion in nature, good cuisine and reasonable prices are the keys to these accommodations. This camping restaurant tour with Solete Guía.</t>
  </si>
  <si>
    <r>
      <rPr>
        <rFont val="Arial, sans-serif"/>
        <color rgb="FF1155CC"/>
        <sz val="9.0"/>
        <u/>
      </rPr>
      <t>Autofacil.es</t>
    </r>
    <r>
      <rPr>
        <rFont val="Arial, sans-serif"/>
        <color rgb="FF1155CC"/>
        <sz val="15.0"/>
        <u/>
      </rPr>
      <t>¿Qué hay detrás del diésel renovable de Repsol y otros? El ADAC lo pone a prueba</t>
    </r>
    <r>
      <rPr>
        <rFont val="Arial, sans-serif"/>
        <color rgb="FF1155CC"/>
        <sz val="11.0"/>
        <u/>
      </rPr>
      <t>El HVO-Diésel o diésel "renovable", un combustible hecho a partir de aceites de cocina usado, ya está disponible en algunas gasolineras de España.</t>
    </r>
    <r>
      <rPr>
        <rFont val="Arial, sans-serif"/>
        <color rgb="FF1155CC"/>
        <sz val="12.0"/>
        <u/>
      </rPr>
      <t>.</t>
    </r>
    <r>
      <rPr>
        <rFont val="Arial, sans-serif"/>
        <color rgb="FF1155CC"/>
        <sz val="11.0"/>
        <u/>
      </rPr>
      <t>14 ago 2024</t>
    </r>
  </si>
  <si>
    <t>Autofacil.es</t>
  </si>
  <si>
    <t>¿Qué hay detrás del diésel renovable de Repsol y otros? El ADAC lo pone a prueba</t>
  </si>
  <si>
    <t>El HVO-Diésel o diésel "renovable", un combustible hecho a partir de aceites de cocina usado, ya está disponible en algunas gasolineras de España.</t>
  </si>
  <si>
    <t>What's behind the renewable diesel from Repsol and others? ADAC puts it to the test</t>
  </si>
  <si>
    <t>HVO-Diésel or "renewable" diesel, a fuel made from used cooking oils, is now available at some gas stations in Spain.</t>
  </si>
  <si>
    <t>Repsol renewable fuel, business strategy</t>
  </si>
  <si>
    <t>Repsol combustibles renovables, estrategia empresarial</t>
  </si>
  <si>
    <t>Positive as it highlights Repsol's efforts in renewable energy.</t>
  </si>
  <si>
    <t>Positive focus on renewable innovation.</t>
  </si>
  <si>
    <t>Enfoque positivo en la innovación renovable.</t>
  </si>
  <si>
    <r>
      <rPr>
        <rFont val="Arial, sans-serif"/>
        <color rgb="FF1155CC"/>
        <sz val="9.0"/>
        <u/>
      </rPr>
      <t>La Vanguardia</t>
    </r>
    <r>
      <rPr>
        <rFont val="Arial, sans-serif"/>
        <color rgb="FF1155CC"/>
        <sz val="15.0"/>
        <u/>
      </rPr>
      <t>La petroquímica que transforma tu aceite usado de cocina en dinero: 30 céntimos por litro</t>
    </r>
    <r>
      <rPr>
        <rFont val="Arial, sans-serif"/>
        <color rgb="FF1155CC"/>
        <sz val="11.0"/>
        <u/>
      </rPr>
      <t>La multinacional española Repsol ha puesto en marcha una innovadora iniciativa para promover el reciclaje de aceite de cocina usado, ofreciendo a los...</t>
    </r>
    <r>
      <rPr>
        <rFont val="Arial, sans-serif"/>
        <color rgb="FF1155CC"/>
        <sz val="12.0"/>
        <u/>
      </rPr>
      <t>.</t>
    </r>
    <r>
      <rPr>
        <rFont val="Arial, sans-serif"/>
        <color rgb="FF1155CC"/>
        <sz val="11.0"/>
        <u/>
      </rPr>
      <t>14 ago 2024</t>
    </r>
  </si>
  <si>
    <t>La petroquímica que transforma tu aceite usado de cocina en dinero: 30 céntimos por litro</t>
  </si>
  <si>
    <t>La multinacional española Repsol ha puesto en marcha una innovadora iniciativa para promover el reciclaje de aceite de cocina usado, ofreciendo a los....</t>
  </si>
  <si>
    <t>The petrochemical that transforms your used cooking oil into money: 30 cents per liter</t>
  </si>
  <si>
    <t>The Spanish multinational Repsol has launched an innovative initiative to promote the recycling of used cooking oil, offering...</t>
  </si>
  <si>
    <t>Positive as it promotes Repsol’s sustainability initiative.</t>
  </si>
  <si>
    <t>No explicit Repsol mention.</t>
  </si>
  <si>
    <t>Ninguna mención explícita a Repsol.</t>
  </si>
  <si>
    <r>
      <rPr>
        <rFont val="Arial, sans-serif"/>
        <color rgb="FF1155CC"/>
        <sz val="9.0"/>
        <u/>
      </rPr>
      <t>La Comarca de Puertollano</t>
    </r>
    <r>
      <rPr>
        <rFont val="Arial, sans-serif"/>
        <color rgb="FF1155CC"/>
        <sz val="15.0"/>
        <u/>
      </rPr>
      <t>Se cumplen 21 años de uno de los días más trágicos en la historia de Puertollano</t>
    </r>
    <r>
      <rPr>
        <rFont val="Arial, sans-serif"/>
        <color rgb="FF1155CC"/>
        <sz val="11.0"/>
        <u/>
      </rPr>
      <t>El accidente en la refinería de Repsol en 2003 costó la vida a nueve trabajadores de subcontratas y de empresas auxiliares, además de heridas de diversa c.</t>
    </r>
    <r>
      <rPr>
        <rFont val="Arial, sans-serif"/>
        <color rgb="FF1155CC"/>
        <sz val="12.0"/>
        <u/>
      </rPr>
      <t>.</t>
    </r>
    <r>
      <rPr>
        <rFont val="Arial, sans-serif"/>
        <color rgb="FF1155CC"/>
        <sz val="11.0"/>
        <u/>
      </rPr>
      <t>14 ago 2024</t>
    </r>
  </si>
  <si>
    <t>Se cumplen 21 años de uno de los días más trágicos en la historia de Puertollano</t>
  </si>
  <si>
    <t>El accidente en la refinería de Repsol en 2003 costó la vida a nueve trabajadores de subcontratas y de empresas auxiliares, además de heridas de diversa c.</t>
  </si>
  <si>
    <t>21 years have passed since one of the most tragic days in the history of Puertollano</t>
  </si>
  <si>
    <t>The accident at the Repsol refinery in 2003 cost the lives of nine workers from subcontractors and auxiliary companies, in addition to injuries of varying degrees.</t>
  </si>
  <si>
    <t>Negative as it discusses a past industrial tragedy.</t>
  </si>
  <si>
    <t>trágicos</t>
  </si>
  <si>
    <t>Indirect link to Repsol’s past incident.</t>
  </si>
  <si>
    <t>Enlace indirecto al pasado incidente de Repsol.</t>
  </si>
  <si>
    <r>
      <rPr>
        <rFont val="Arial, sans-serif"/>
        <color rgb="FF1155CC"/>
        <sz val="9.0"/>
        <u/>
      </rPr>
      <t>Área Costa del Sol</t>
    </r>
    <r>
      <rPr>
        <rFont val="Arial, sans-serif"/>
        <color rgb="FF1155CC"/>
        <sz val="15.0"/>
        <u/>
      </rPr>
      <t>Aquí preparan los mejores bocadillos para llevarte a la playa en Fuengirola según la Guía Repsol</t>
    </r>
    <r>
      <rPr>
        <rFont val="Arial, sans-serif"/>
        <color rgb="FF1155CC"/>
        <sz val="11.0"/>
        <u/>
      </rPr>
      <t>La Costa del Sol tiene una reputada gastronomía, pero algunos locales destacan por su sencillez, como es el caso de La Casa del Bocadillo de Fuengirola,</t>
    </r>
    <r>
      <rPr>
        <rFont val="Arial, sans-serif"/>
        <color rgb="FF1155CC"/>
        <sz val="12.0"/>
        <u/>
      </rPr>
      <t>.</t>
    </r>
    <r>
      <rPr>
        <rFont val="Arial, sans-serif"/>
        <color rgb="FF1155CC"/>
        <sz val="11.0"/>
        <u/>
      </rPr>
      <t>14 ago 2024</t>
    </r>
  </si>
  <si>
    <t>Área Costa del Sol</t>
  </si>
  <si>
    <t>Aquí preparan los mejores bocadillos para llevarte a la playa en Fuengirola según la Guía Repsol</t>
  </si>
  <si>
    <t>La Costa del Sol tiene una reputada gastronomía, pero algunos locales destacan por su sencillez, como es el caso de La Casa del Bocadillo de Fuengirola.</t>
  </si>
  <si>
    <t>Here they prepare the best sandwiches to take you to the beach in Fuengirola according to the Repsol Guide</t>
  </si>
  <si>
    <t>The Costa del Sol has a renowned gastronomy, but some places stand out for their simplicity, as is the case of La Casa del Bocadillo in Fuengirola.</t>
  </si>
  <si>
    <r>
      <rPr>
        <rFont val="Arial, sans-serif"/>
        <color rgb="FF1155CC"/>
        <sz val="9.0"/>
        <u/>
      </rPr>
      <t>Atlántico Hoy</t>
    </r>
    <r>
      <rPr>
        <rFont val="Arial, sans-serif"/>
        <color rgb="FF1155CC"/>
        <sz val="15.0"/>
        <u/>
      </rPr>
      <t>Así es el chiringuito con los arroces más sabrosos de Canarias: premiado con un Solete Repsol</t>
    </r>
    <r>
      <rPr>
        <rFont val="Arial, sans-serif"/>
        <color rgb="FF1155CC"/>
        <sz val="11.0"/>
        <u/>
      </rPr>
      <t>Con marisco, carne o vegetales, este establecimiento playero prepara arroces y paellas que se han ganado la distinción de la prestigiosa guía gastronómica.</t>
    </r>
    <r>
      <rPr>
        <rFont val="Arial, sans-serif"/>
        <color rgb="FF1155CC"/>
        <sz val="12.0"/>
        <u/>
      </rPr>
      <t>.</t>
    </r>
    <r>
      <rPr>
        <rFont val="Arial, sans-serif"/>
        <color rgb="FF1155CC"/>
        <sz val="11.0"/>
        <u/>
      </rPr>
      <t>14 ago 2024</t>
    </r>
  </si>
  <si>
    <t>Así es el chiringuito con los arroces más sabrosos de Canarias: premiado con un Solete Repsol</t>
  </si>
  <si>
    <t>Con marisco, carne o vegetales, este establecimiento playero prepara arroces y paellas que se han ganado la distinción de la prestigiosa guía gastronómica.</t>
  </si>
  <si>
    <t>This is the beach bar with the tastiest rice in the Canary Islands: awarded with a Solete Repsol</t>
  </si>
  <si>
    <t>With seafood, meat or vegetables, this beach establishment prepares rice and paellas that have earned the distinction of the prestigious gastronomic guide.</t>
  </si>
  <si>
    <r>
      <rPr>
        <rFont val="Arial, sans-serif"/>
        <color rgb="FF1155CC"/>
        <sz val="9.0"/>
        <u/>
      </rPr>
      <t>Plataforma del Estado Peruano</t>
    </r>
    <r>
      <rPr>
        <rFont val="Arial, sans-serif"/>
        <color rgb="FF1155CC"/>
        <sz val="15.0"/>
        <u/>
      </rPr>
      <t>Minam refuerza sus capacidades de respuesta ante eventuales derrames de petróleo y otros desastres marítimos</t>
    </r>
    <r>
      <rPr>
        <rFont val="Arial, sans-serif"/>
        <color rgb="FF1155CC"/>
        <sz val="11.0"/>
        <u/>
      </rPr>
      <t>Lima.- El Ministerio del Ambiente (Minam) está reforzando sus capacidades de respuesta ante eventuales derrames de petróleo, así como para prevenir...</t>
    </r>
    <r>
      <rPr>
        <rFont val="Arial, sans-serif"/>
        <color rgb="FF1155CC"/>
        <sz val="12.0"/>
        <u/>
      </rPr>
      <t>.</t>
    </r>
    <r>
      <rPr>
        <rFont val="Arial, sans-serif"/>
        <color rgb="FF1155CC"/>
        <sz val="11.0"/>
        <u/>
      </rPr>
      <t>14 ago 2024</t>
    </r>
  </si>
  <si>
    <t>Minam refuerza sus capacidades de respuesta ante eventuales derrames de petróleo y otros desastres marítimos</t>
  </si>
  <si>
    <t>El Ministerio del Ambiente (Minam) está reforzando sus capacidades de respuesta ante eventuales derrames de petróleo, así como para prevenir....</t>
  </si>
  <si>
    <t>Minam reinforces its response capabilities in the event of oil spills and other maritime disasters</t>
  </si>
  <si>
    <t>The Ministry of the Environment (Minam) is strengthening its response capabilities in the event of possible oil spills, as well as to prevent...</t>
  </si>
  <si>
    <t>Negative as it implies concerns about oil spills, likely referencing Repsol.</t>
  </si>
  <si>
    <t>General topic, no Repsol link.</t>
  </si>
  <si>
    <t>Tema general, sin enlace Repsol.</t>
  </si>
  <si>
    <r>
      <rPr>
        <rFont val="Arial, sans-serif"/>
        <color rgb="FF1155CC"/>
        <sz val="9.0"/>
        <u/>
      </rPr>
      <t>Lanza Digital</t>
    </r>
    <r>
      <rPr>
        <rFont val="Arial, sans-serif"/>
        <color rgb="FF1155CC"/>
        <sz val="15.0"/>
        <u/>
      </rPr>
      <t>21 años del accidente que cambió la vida en Puertollano</t>
    </r>
    <r>
      <rPr>
        <rFont val="Arial, sans-serif"/>
        <color rgb="FF1155CC"/>
        <sz val="11.0"/>
        <u/>
      </rPr>
      <t>Como cada 14 de agosto, Puertollano ha recordado a los nueve trabajadores que perdieron la vida en el accidente más grave en su refinería.</t>
    </r>
    <r>
      <rPr>
        <rFont val="Arial, sans-serif"/>
        <color rgb="FF1155CC"/>
        <sz val="12.0"/>
        <u/>
      </rPr>
      <t>.</t>
    </r>
    <r>
      <rPr>
        <rFont val="Arial, sans-serif"/>
        <color rgb="FF1155CC"/>
        <sz val="11.0"/>
        <u/>
      </rPr>
      <t>14 ago 2024</t>
    </r>
  </si>
  <si>
    <t>21 años del accidente que cambió la vida en Puertollano</t>
  </si>
  <si>
    <t>Como cada 14 de agosto, Puertollano ha recordado a los nueve trabajadores que perdieron la vida en el accidente más grave en su refinería.</t>
  </si>
  <si>
    <t>21 years since the accident that changed life in Puertollano</t>
  </si>
  <si>
    <t>Like every August 14, Puertollano has remembered the nine workers who lost their lives in the most serious accident at its refinery.</t>
  </si>
  <si>
    <t>Negative as it discusses a fatal accident related to Repsol.</t>
  </si>
  <si>
    <t>accidente</t>
  </si>
  <si>
    <t>Indirect reference to Repsol tragedy.</t>
  </si>
  <si>
    <t>Referencia indirecta a la tragedia de Repsol.</t>
  </si>
  <si>
    <r>
      <rPr>
        <rFont val="Arial, sans-serif"/>
        <color rgb="FF1155CC"/>
        <sz val="9.0"/>
        <u/>
      </rPr>
      <t>Guía Repsol</t>
    </r>
    <r>
      <rPr>
        <rFont val="Arial, sans-serif"/>
        <color rgb="FF1155CC"/>
        <sz val="15.0"/>
        <u/>
      </rPr>
      <t>Qué ver en Formentera y dónde comer</t>
    </r>
    <r>
      <rPr>
        <rFont val="Arial, sans-serif"/>
        <color rgb="FF1155CC"/>
        <sz val="11.0"/>
        <u/>
      </rPr>
      <t>Formentera es un fragmento de paraíso que cayó en el Mediterráneo. Como ejemplo, basta pensar en la pequeña Pitiusa, una isla que, con sus 83 kilómetros...</t>
    </r>
    <r>
      <rPr>
        <rFont val="Arial, sans-serif"/>
        <color rgb="FF1155CC"/>
        <sz val="12.0"/>
        <u/>
      </rPr>
      <t>.</t>
    </r>
    <r>
      <rPr>
        <rFont val="Arial, sans-serif"/>
        <color rgb="FF1155CC"/>
        <sz val="11.0"/>
        <u/>
      </rPr>
      <t>15 ago 2024</t>
    </r>
  </si>
  <si>
    <t>Qué ver en Formentera y dónde comer</t>
  </si>
  <si>
    <t>Formentera es un fragmento de paraíso que cayó en el Mediterráneo. Como ejemplo, basta pensar en la pequeña Pitiusa, una isla que, con sus 83 kilómetros....</t>
  </si>
  <si>
    <t>What to see in Formentera and where to eat</t>
  </si>
  <si>
    <t>Formentera is a fragment of paradise that fell into the Mediterranean. As an example, just think of small Pitiusa, an island that, with its 83 kilometers...</t>
  </si>
  <si>
    <r>
      <rPr>
        <rFont val="Arial, sans-serif"/>
        <color rgb="FF1155CC"/>
        <sz val="9.0"/>
        <u/>
      </rPr>
      <t>Noticiastrabajo</t>
    </r>
    <r>
      <rPr>
        <rFont val="Arial, sans-serif"/>
        <color rgb="FF1155CC"/>
        <sz val="15.0"/>
        <u/>
      </rPr>
      <t>El precio de la gasolina cambia en España y estas gasolineras venden el diesel a 0,99 €</t>
    </r>
    <r>
      <rPr>
        <rFont val="Arial, sans-serif"/>
        <color rgb="FF1155CC"/>
        <sz val="11.0"/>
        <u/>
      </rPr>
      <t>En pleno 'puente de agosto' el precio medio de la gasolina está a 1589 euros el litro y el diésel a 1459 euros. Aun así, hay gasolineras que venden la...</t>
    </r>
    <r>
      <rPr>
        <rFont val="Arial, sans-serif"/>
        <color rgb="FF1155CC"/>
        <sz val="12.0"/>
        <u/>
      </rPr>
      <t>.</t>
    </r>
    <r>
      <rPr>
        <rFont val="Arial, sans-serif"/>
        <color rgb="FF1155CC"/>
        <sz val="11.0"/>
        <u/>
      </rPr>
      <t>15 ago 2024</t>
    </r>
  </si>
  <si>
    <t>El precio de la gasolina cambia en España y estas gasolineras venden el diesel a 0,99 €</t>
  </si>
  <si>
    <t>En pleno 'puente de agosto' el precio medio de la gasolina está a 1589 euros el litro y el diésel a 1459 euros. Aun así, hay gasolineras que venden la....</t>
  </si>
  <si>
    <t>The price of gasoline changes in Spain and these gas stations sell diesel for €0.99</t>
  </si>
  <si>
    <t>In the middle of the 'August long weekend' the average price of gasoline is 1,589 euros per liter and diesel is 1,459 euros. Even so, there are gas stations that sell the...</t>
  </si>
  <si>
    <t>Precios del combustible Repsol, tendencias del mercado</t>
  </si>
  <si>
    <t>Negative as it highlights fluctuating fuel prices, which could impact Repsol.</t>
  </si>
  <si>
    <t>No direct Repsol impact.</t>
  </si>
  <si>
    <t>Sin impacto directo de Repsol.</t>
  </si>
  <si>
    <r>
      <rPr>
        <rFont val="Arial, sans-serif"/>
        <color rgb="FF1155CC"/>
        <sz val="9.0"/>
        <u/>
      </rPr>
      <t>Estrategias de Inversión</t>
    </r>
    <r>
      <rPr>
        <rFont val="Arial, sans-serif"/>
        <color rgb="FF1155CC"/>
        <sz val="15.0"/>
        <u/>
      </rPr>
      <t>En directo, bolsa e Ibex 35 | El Ibex 35 cierra la semana al filo de los 11.700 con Acciona y Naturgy liderando las caídas</t>
    </r>
    <r>
      <rPr>
        <rFont val="Arial, sans-serif"/>
        <color rgb="FF1155CC"/>
        <sz val="11.0"/>
        <u/>
      </rPr>
      <t>Noticias y cotizaciones sobre la evolución en tiempo real de las acciones de las bolsas españolas, europeas y americanas durante la sesión diaria del 10 de...</t>
    </r>
    <r>
      <rPr>
        <rFont val="Arial, sans-serif"/>
        <color rgb="FF1155CC"/>
        <sz val="12.0"/>
        <u/>
      </rPr>
      <t>.</t>
    </r>
    <r>
      <rPr>
        <rFont val="Arial, sans-serif"/>
        <color rgb="FF1155CC"/>
        <sz val="11.0"/>
        <u/>
      </rPr>
      <t>Hace 1 mes</t>
    </r>
  </si>
  <si>
    <t>El Ibex 35 cierra la semana al filo de los 11.700 con Acciona y Naturgy liderando las caídas</t>
  </si>
  <si>
    <t>El Ibex 35 cierra la semana al filo de los 11.700 con Acciona y Naturgy liderando las caídas.</t>
  </si>
  <si>
    <t>The Ibex 35 closes the week at the edge of 11,700 with Acciona and Naturgy leading the falls</t>
  </si>
  <si>
    <t>The Ibex 35 closes the week at around 11,700 with Acciona and Naturgy leading the declines.</t>
  </si>
  <si>
    <r>
      <rPr>
        <rFont val="Arial, sans-serif"/>
        <color rgb="FF1155CC"/>
        <sz val="9.0"/>
        <u/>
      </rPr>
      <t>Bon Viveur</t>
    </r>
    <r>
      <rPr>
        <rFont val="Arial, sans-serif"/>
        <color rgb="FF1155CC"/>
        <sz val="15.0"/>
        <u/>
      </rPr>
      <t>Los 5 mejores restaurantes de Marbella</t>
    </r>
    <r>
      <rPr>
        <rFont val="Arial, sans-serif"/>
        <color rgb="FF1155CC"/>
        <sz val="11.0"/>
        <u/>
      </rPr>
      <t>Descubre nuestra selección con los menores restaurantes de Marbella, uno de los destinos turísticos más lujosos del mundo con una oferta gastronómica que...</t>
    </r>
    <r>
      <rPr>
        <rFont val="Arial, sans-serif"/>
        <color rgb="FF1155CC"/>
        <sz val="12.0"/>
        <u/>
      </rPr>
      <t>.</t>
    </r>
    <r>
      <rPr>
        <rFont val="Arial, sans-serif"/>
        <color rgb="FF1155CC"/>
        <sz val="11.0"/>
        <u/>
      </rPr>
      <t>15 ago 2024</t>
    </r>
  </si>
  <si>
    <t>Los 5 mejores restaurantes de Marbella</t>
  </si>
  <si>
    <t>Descubre nuestra selección con los menores restaurantes de Marbella, uno de los destinos turísticos más lujosos del mundo con una oferta gastronómica que....</t>
  </si>
  <si>
    <t>The 5 best restaurants in Marbella</t>
  </si>
  <si>
    <t>Discover our selection of the smallest restaurants in Marbella, one of the most luxurious tourist destinations in the world with a gastronomic offer that...</t>
  </si>
  <si>
    <r>
      <rPr>
        <rFont val="Arial, sans-serif"/>
        <color rgb="FF1155CC"/>
        <sz val="9.0"/>
        <u/>
      </rPr>
      <t>El Periódico</t>
    </r>
    <r>
      <rPr>
        <rFont val="Arial, sans-serif"/>
        <color rgb="FF1155CC"/>
        <sz val="15.0"/>
        <u/>
      </rPr>
      <t>La gasolina cae a precios mínimos justo en el puente con más desplazamientos del año</t>
    </r>
    <r>
      <rPr>
        <rFont val="Arial, sans-serif"/>
        <color rgb="FF1155CC"/>
        <sz val="11.0"/>
        <u/>
      </rPr>
      <t>El precio del litro se reduce por quinta semana consecutiva y cuesta ahora 1589 euros.</t>
    </r>
    <r>
      <rPr>
        <rFont val="Arial, sans-serif"/>
        <color rgb="FF1155CC"/>
        <sz val="12.0"/>
        <u/>
      </rPr>
      <t>.</t>
    </r>
    <r>
      <rPr>
        <rFont val="Arial, sans-serif"/>
        <color rgb="FF1155CC"/>
        <sz val="11.0"/>
        <u/>
      </rPr>
      <t>15 ago 2024</t>
    </r>
  </si>
  <si>
    <t>La gasolina cae a precios mínimos justo en el puente con más desplazamientos del año</t>
  </si>
  <si>
    <t>El precio del litro se reduce por quinta semana consecutiva y cuesta ahora 1589 euros.</t>
  </si>
  <si>
    <t>Gasoline prices fall to minimum prices right on the busiest bridge of the year</t>
  </si>
  <si>
    <t>The price of a liter is reduced for the fifth consecutive week and now costs 1,589 euros.</t>
  </si>
  <si>
    <t>Positive for consumers, but neutral for Repsol as it depends on profit margins.</t>
  </si>
  <si>
    <t>No Repsol-specific impact.</t>
  </si>
  <si>
    <t>Sin impacto específico de Repsol.</t>
  </si>
  <si>
    <r>
      <rPr>
        <rFont val="Arial, sans-serif"/>
        <color rgb="FF1155CC"/>
        <sz val="9.0"/>
        <u/>
      </rPr>
      <t>ELLE</t>
    </r>
    <r>
      <rPr>
        <rFont val="Arial, sans-serif"/>
        <color rgb="FF1155CC"/>
        <sz val="15.0"/>
        <u/>
      </rPr>
      <t>Los 10 mejores restaurantes de Sigüenza donde comer muy bien</t>
    </r>
    <r>
      <rPr>
        <rFont val="Arial, sans-serif"/>
        <color rgb="FF1155CC"/>
        <sz val="11.0"/>
        <u/>
      </rPr>
      <t>Listado de restaurantes recomendados en Sigüenza (Guadalajara), con una buena cocina, y los platos que tienes que pedir si los visitas en una escapada...</t>
    </r>
    <r>
      <rPr>
        <rFont val="Arial, sans-serif"/>
        <color rgb="FF1155CC"/>
        <sz val="12.0"/>
        <u/>
      </rPr>
      <t>.</t>
    </r>
    <r>
      <rPr>
        <rFont val="Arial, sans-serif"/>
        <color rgb="FF1155CC"/>
        <sz val="11.0"/>
        <u/>
      </rPr>
      <t>15 ago 2024</t>
    </r>
  </si>
  <si>
    <t>Los 10 mejores restaurantes de Sigüenza donde comer muy bien</t>
  </si>
  <si>
    <t>Listado de restaurantes recomendados en Sigüenza (Guadalajara), con una buena cocina, y los platos que tienes que pedir si los visitas en una escapada....</t>
  </si>
  <si>
    <t>The 10 best restaurants in Sigüenza where you can eat very well</t>
  </si>
  <si>
    <t>List of recommended restaurants in Sigüenza (Guadalajara), with good cuisine, and the dishes you have to order if you visit them on a getaway....</t>
  </si>
  <si>
    <r>
      <rPr>
        <rFont val="Arial, sans-serif"/>
        <color rgb="FF1155CC"/>
        <sz val="9.0"/>
        <u/>
      </rPr>
      <t>Revista Sobremesa</t>
    </r>
    <r>
      <rPr>
        <rFont val="Arial, sans-serif"/>
        <color rgb="FF1155CC"/>
        <sz val="15.0"/>
        <u/>
      </rPr>
      <t>Sergio Ortiz de Zárate, noble cocina bilbaína</t>
    </r>
    <r>
      <rPr>
        <rFont val="Arial, sans-serif"/>
        <color rgb="FF1155CC"/>
        <sz val="11.0"/>
        <u/>
      </rPr>
      <t>De la mano de un chef de espectro sigiloso pero con las cosas muy claras, una cocina de mareas, tiempos y contraste ígneo se guarece en Zárate,...</t>
    </r>
    <r>
      <rPr>
        <rFont val="Arial, sans-serif"/>
        <color rgb="FF1155CC"/>
        <sz val="12.0"/>
        <u/>
      </rPr>
      <t>.</t>
    </r>
    <r>
      <rPr>
        <rFont val="Arial, sans-serif"/>
        <color rgb="FF1155CC"/>
        <sz val="11.0"/>
        <u/>
      </rPr>
      <t>15 ago 2024</t>
    </r>
  </si>
  <si>
    <t>Sergio Ortiz de Zárate, noble cocina bilbaína</t>
  </si>
  <si>
    <t>De la mano de un chef de espectro sigiloso pero con las cosas muy claras, una cocina de mareas, tiempos y contraste ígneo se guarece en Zárate,....</t>
  </si>
  <si>
    <t>Sergio Ortiz de Zárate, noble Bilbao cuisine</t>
  </si>
  <si>
    <t>From the hand of a chef with a stealthy spectrum but with very clear things, a cuisine of tides, times and fiery contrast is sheltered in Zárate,....</t>
  </si>
  <si>
    <r>
      <rPr>
        <rFont val="Arial, sans-serif"/>
        <color rgb="FF1155CC"/>
        <sz val="9.0"/>
        <u/>
      </rPr>
      <t>OkDiario</t>
    </r>
    <r>
      <rPr>
        <rFont val="Arial, sans-serif"/>
        <color rgb="FF1155CC"/>
        <sz val="15.0"/>
        <u/>
      </rPr>
      <t>Cómo prevenir el riesgo de incendios controlando 17.000 colmenas</t>
    </r>
    <r>
      <rPr>
        <rFont val="Arial, sans-serif"/>
        <color rgb="FF1155CC"/>
        <sz val="11.0"/>
        <u/>
      </rPr>
      <t>La Comunidad de Madrid previene el riesgo de incendios con el control de casi 17.000 ahumadores utilizados en las colmenas.</t>
    </r>
    <r>
      <rPr>
        <rFont val="Arial, sans-serif"/>
        <color rgb="FF1155CC"/>
        <sz val="12.0"/>
        <u/>
      </rPr>
      <t>.</t>
    </r>
    <r>
      <rPr>
        <rFont val="Arial, sans-serif"/>
        <color rgb="FF1155CC"/>
        <sz val="11.0"/>
        <u/>
      </rPr>
      <t>15 ago 2024</t>
    </r>
  </si>
  <si>
    <t>Cómo prevenir el riesgo de incendios controlando 17.000 colmenas</t>
  </si>
  <si>
    <t>La Comunidad de Madrid previene el riesgo de incendios con el control de casi 17.000 ahumadores utilizados en las colmenas.</t>
  </si>
  <si>
    <t>How to prevent the risk of fires by controlling 17,000 hives</t>
  </si>
  <si>
    <t>The Community of Madrid prevents the risk of fires by controlling almost 17,000 smokers used in hives.</t>
  </si>
  <si>
    <r>
      <rPr>
        <rFont val="Arial, sans-serif"/>
        <color rgb="FF1155CC"/>
        <sz val="9.0"/>
        <u/>
      </rPr>
      <t>Infobae</t>
    </r>
    <r>
      <rPr>
        <rFont val="Arial, sans-serif"/>
        <color rgb="FF1155CC"/>
        <sz val="15.0"/>
        <u/>
      </rPr>
      <t>El oro negro extraído de Perú ha derivado en más de 1.400 derrames petroleros en las últimas dos décadas</t>
    </r>
    <r>
      <rPr>
        <rFont val="Arial, sans-serif"/>
        <color rgb="FF1155CC"/>
        <sz val="11.0"/>
        <u/>
      </rPr>
      <t>El estudio “Las sombras de los hidrocarburos” expone las devastadoras consecuencias de emergencias ambientales causadas por las empresas petroleras.</t>
    </r>
    <r>
      <rPr>
        <rFont val="Arial, sans-serif"/>
        <color rgb="FF1155CC"/>
        <sz val="12.0"/>
        <u/>
      </rPr>
      <t>.</t>
    </r>
    <r>
      <rPr>
        <rFont val="Arial, sans-serif"/>
        <color rgb="FF1155CC"/>
        <sz val="11.0"/>
        <u/>
      </rPr>
      <t>15 ago 2024</t>
    </r>
  </si>
  <si>
    <t>El oro negro extraído de Perú ha derivado en más de 1.400 derrames petroleros en las últimas dos décadas.</t>
  </si>
  <si>
    <t>El estudio “Las sombras de los hidrocarburos” expone las devastadoras consecuencias de emergencias ambientales causadas por las empresas petroleras.</t>
  </si>
  <si>
    <t>The black gold extracted from Peru has led to more than 1,400 oil spills in the last two decades.</t>
  </si>
  <si>
    <t>The study “The Shadows of Hydrocarbons” exposes the devastating consequences of environmental emergencies caused by oil companies.</t>
  </si>
  <si>
    <t>Repsol environmental impact, business challenges</t>
  </si>
  <si>
    <t>Impacto ambiental de Repsol, retos empresariales</t>
  </si>
  <si>
    <t>Negative as it highlights environmental damage caused by the oil industry.</t>
  </si>
  <si>
    <t>General industry issue.</t>
  </si>
  <si>
    <t>Problema general de la industria.</t>
  </si>
  <si>
    <r>
      <rPr>
        <rFont val="Arial, sans-serif"/>
        <color rgb="FF1155CC"/>
        <sz val="9.0"/>
        <u/>
      </rPr>
      <t>Misión Verdad</t>
    </r>
    <r>
      <rPr>
        <rFont val="Arial, sans-serif"/>
        <color rgb="FF1155CC"/>
        <sz val="15.0"/>
        <u/>
      </rPr>
      <t>¿EE.UU. tiene capacidad para intensificar las sanciones contra PDVSA?</t>
    </r>
    <r>
      <rPr>
        <rFont val="Arial, sans-serif"/>
        <color rgb="FF1155CC"/>
        <sz val="11.0"/>
        <u/>
      </rPr>
      <t>Venezuela enfrenta un panorama de conflicto postelectoral que evidencia la reedición de antiguos esquemas de desestabilización y ataques directos a la...</t>
    </r>
    <r>
      <rPr>
        <rFont val="Arial, sans-serif"/>
        <color rgb="FF1155CC"/>
        <sz val="12.0"/>
        <u/>
      </rPr>
      <t>.</t>
    </r>
    <r>
      <rPr>
        <rFont val="Arial, sans-serif"/>
        <color rgb="FF1155CC"/>
        <sz val="11.0"/>
        <u/>
      </rPr>
      <t>15 ago 2024</t>
    </r>
  </si>
  <si>
    <t>Misión Verdad</t>
  </si>
  <si>
    <t>¿EE.UU. tiene capacidad para intensificar las sanciones contra PDVSA?</t>
  </si>
  <si>
    <t>Venezuela enfrenta un panorama de conflicto postelectoral que evidencia la reedición de antiguos esquemas de desestabilización y ataques directos a la....</t>
  </si>
  <si>
    <t>USA. Does it have the capacity to intensify sanctions against PDVSA?</t>
  </si>
  <si>
    <t>Venezuela faces a panorama of post-electoral conflict that shows the reissue of old destabilization schemes and direct attacks on...</t>
  </si>
  <si>
    <t>Negative as it implies geopolitical instability, which can affect Repsol's investments in Venezuela.</t>
  </si>
  <si>
    <r>
      <rPr>
        <rFont val="Arial, sans-serif"/>
        <color rgb="FF1155CC"/>
        <sz val="9.0"/>
        <u/>
      </rPr>
      <t>Guía Repsol</t>
    </r>
    <r>
      <rPr>
        <rFont val="Arial, sans-serif"/>
        <color rgb="FF1155CC"/>
        <sz val="15.0"/>
        <u/>
      </rPr>
      <t>Hotel Almanac, o cómo descansar acunado por Barcelona</t>
    </r>
    <r>
      <rPr>
        <rFont val="Arial, sans-serif"/>
        <color rgb="FF1155CC"/>
        <sz val="11.0"/>
        <u/>
      </rPr>
      <t>Desde un cómodo sofá que sobresale de la fachada en forma de mirador flotante a la Gran Via de les Corts Catalanes, el huésped del hotel 'Almanac' siente...</t>
    </r>
    <r>
      <rPr>
        <rFont val="Arial, sans-serif"/>
        <color rgb="FF1155CC"/>
        <sz val="12.0"/>
        <u/>
      </rPr>
      <t>.</t>
    </r>
    <r>
      <rPr>
        <rFont val="Arial, sans-serif"/>
        <color rgb="FF1155CC"/>
        <sz val="11.0"/>
        <u/>
      </rPr>
      <t>16 ago 2024</t>
    </r>
  </si>
  <si>
    <t>Hotel Almanac, o cómo descansar acunado por Barcelona</t>
  </si>
  <si>
    <t>Desde un cómodo sofá que sobresale de la fachada en forma de mirador flotante a la Gran Via de les Corts Catalanes, el huésped del hotel 'Almanac' siente....</t>
  </si>
  <si>
    <t>Hotel Almanac, or how to rest cradled by Barcelona</t>
  </si>
  <si>
    <t>From a comfortable sofa that protrudes from the façade in the form of a floating viewpoint to the Gran Via de les Corts Catalanes, the guest of the 'Almanac' hotel feels...</t>
  </si>
  <si>
    <r>
      <rPr>
        <rFont val="Arial, sans-serif"/>
        <color rgb="FF1155CC"/>
        <sz val="9.0"/>
        <u/>
      </rPr>
      <t>El Español</t>
    </r>
    <r>
      <rPr>
        <rFont val="Arial, sans-serif"/>
        <color rgb="FF1155CC"/>
        <sz val="15.0"/>
        <u/>
      </rPr>
      <t>Este es el mejor chiringuito de Almería según la Guía Repsol: en una de las mejores playas y con buenos precios</t>
    </r>
    <r>
      <rPr>
        <rFont val="Arial, sans-serif"/>
        <color rgb="FF1155CC"/>
        <sz val="11.0"/>
        <u/>
      </rPr>
      <t>Disfrutar de las vacaciones en la costa implica comer en chiringuitos típicos para disfrutar de lo mejor de la tierra y el mar.</t>
    </r>
    <r>
      <rPr>
        <rFont val="Arial, sans-serif"/>
        <color rgb="FF1155CC"/>
        <sz val="12.0"/>
        <u/>
      </rPr>
      <t>.</t>
    </r>
    <r>
      <rPr>
        <rFont val="Arial, sans-serif"/>
        <color rgb="FF1155CC"/>
        <sz val="11.0"/>
        <u/>
      </rPr>
      <t>16 ago 2024</t>
    </r>
  </si>
  <si>
    <t>Este es el mejor chiringuito de Almería según la Guía Repsol: en una de las mejores playas y con buenos precios</t>
  </si>
  <si>
    <t>Disfrutar de las vacaciones en la costa implica comer en chiringuitos típicos para disfrutar de lo mejor de la tierra y el mar.</t>
  </si>
  <si>
    <t>This is the best beach bar in Almería according to the Repsol Guide: on one of the best beaches and with good prices</t>
  </si>
  <si>
    <t>Enjoying holidays on the coast means eating in typical beach bars to enjoy the best of land and sea.</t>
  </si>
  <si>
    <r>
      <rPr>
        <rFont val="Arial, sans-serif"/>
        <color rgb="FF1155CC"/>
        <sz val="9.0"/>
        <u/>
      </rPr>
      <t>Repsol</t>
    </r>
    <r>
      <rPr>
        <rFont val="Arial, sans-serif"/>
        <color rgb="FF1155CC"/>
        <sz val="15.0"/>
        <u/>
      </rPr>
      <t>Resistencia eléctrica: para qué sirve y por qué es importante</t>
    </r>
    <r>
      <rPr>
        <rFont val="Arial, sans-serif"/>
        <color rgb="FF1155CC"/>
        <sz val="11.0"/>
        <u/>
      </rPr>
      <t>La resistencia eléctrica es un concepto esencial en la electricidad y la electrónica. Entender este concepto es fundamental para los ingenieros y técnicos,...</t>
    </r>
    <r>
      <rPr>
        <rFont val="Arial, sans-serif"/>
        <color rgb="FF1155CC"/>
        <sz val="12.0"/>
        <u/>
      </rPr>
      <t>.</t>
    </r>
    <r>
      <rPr>
        <rFont val="Arial, sans-serif"/>
        <color rgb="FF1155CC"/>
        <sz val="11.0"/>
        <u/>
      </rPr>
      <t>16 ago 2024</t>
    </r>
  </si>
  <si>
    <t>Resistencia eléctrica: para qué sirve y por qué es importante</t>
  </si>
  <si>
    <t>La resistencia eléctrica es un concepto esencial en la electricidad y la electrónica. Entender este concepto es fundamental para los ingenieros y técnicos,....</t>
  </si>
  <si>
    <t>Electrical resistance: what it is for and why it is important</t>
  </si>
  <si>
    <t>Electrical resistance is an essential concept in electricity and electronics. Understanding this concept is essential for engineers and technicians,....</t>
  </si>
  <si>
    <r>
      <rPr>
        <rFont val="Arial, sans-serif"/>
        <color rgb="FF1155CC"/>
        <sz val="9.0"/>
        <u/>
      </rPr>
      <t>Capital Radio</t>
    </r>
    <r>
      <rPr>
        <rFont val="Arial, sans-serif"/>
        <color rgb="FF1155CC"/>
        <sz val="15.0"/>
        <u/>
      </rPr>
      <t>Iturralde en consultorio de Bolsa: "Cuidado con el mercado"</t>
    </r>
    <r>
      <rPr>
        <rFont val="Arial, sans-serif"/>
        <color rgb="FF1155CC"/>
        <sz val="11.0"/>
        <u/>
      </rPr>
      <t>Iturralde en consultorio de bolsa analiza Indra, Repsol, Walmart Iberdrola, Ferrari y BMW, entre otros, y dibuja el escenario para los índices.</t>
    </r>
    <r>
      <rPr>
        <rFont val="Arial, sans-serif"/>
        <color rgb="FF1155CC"/>
        <sz val="12.0"/>
        <u/>
      </rPr>
      <t>.</t>
    </r>
    <r>
      <rPr>
        <rFont val="Arial, sans-serif"/>
        <color rgb="FF1155CC"/>
        <sz val="11.0"/>
        <u/>
      </rPr>
      <t>16 ago 2024</t>
    </r>
  </si>
  <si>
    <t>Cuidado con el mercado</t>
  </si>
  <si>
    <t>Iturralde en consultorio de bolsa analiza Indra, Repsol, Walmart Iberdrola, Ferrari y BMW, entre otros, y dibuja el escenario para los índices.</t>
  </si>
  <si>
    <t>Be careful with the market</t>
  </si>
  <si>
    <t>Iturralde in the stock market office analyzes Indra, Repsol, Walmart Iberdrola, Ferrari and BMW, among others, and draws the scenario for the indices.</t>
  </si>
  <si>
    <r>
      <rPr>
        <rFont val="Arial, sans-serif"/>
        <color rgb="FF1155CC"/>
        <sz val="9.0"/>
        <u/>
      </rPr>
      <t>Guía Repsol</t>
    </r>
    <r>
      <rPr>
        <rFont val="Arial, sans-serif"/>
        <color rgb="FF1155CC"/>
        <sz val="15.0"/>
        <u/>
      </rPr>
      <t>Nueve hoteles con piscina en Madrid para refrescarte</t>
    </r>
    <r>
      <rPr>
        <rFont val="Arial, sans-serif"/>
        <color rgb="FF1155CC"/>
        <sz val="11.0"/>
        <u/>
      </rPr>
      <t>Buscas un hotel con piscina en el centro de Madrid? ¡Tenemos la lista perfecta para ti! Descubre 9 opciones para disfrutar de un baño refrescante cerca de...</t>
    </r>
    <r>
      <rPr>
        <rFont val="Arial, sans-serif"/>
        <color rgb="FF1155CC"/>
        <sz val="12.0"/>
        <u/>
      </rPr>
      <t>.</t>
    </r>
    <r>
      <rPr>
        <rFont val="Arial, sans-serif"/>
        <color rgb="FF1155CC"/>
        <sz val="11.0"/>
        <u/>
      </rPr>
      <t>16 ago 2024</t>
    </r>
  </si>
  <si>
    <t>Nueve hoteles con piscina en Madrid para refrescarte</t>
  </si>
  <si>
    <t>Buscas un hotel con piscina en el centro de Madrid? ¡Tenemos la lista perfecta para ti! Descubre 9 opciones para disfrutar de un baño refrescante cerca de....</t>
  </si>
  <si>
    <t>Nine hotels with pools in Madrid to cool off</t>
  </si>
  <si>
    <t>Are you looking for a hotel with a pool in the center of Madrid? We have the perfect list for you! Discover 9 options to enjoy a refreshing swim near....</t>
  </si>
  <si>
    <r>
      <rPr>
        <rFont val="Arial, sans-serif"/>
        <color rgb="FF1155CC"/>
        <sz val="9.0"/>
        <u/>
      </rPr>
      <t>Business Insider España</t>
    </r>
    <r>
      <rPr>
        <rFont val="Arial, sans-serif"/>
        <color rgb="FF1155CC"/>
        <sz val="15.0"/>
        <u/>
      </rPr>
      <t>Cepsa vende su negocio de butano, propano y autogás en España y Portugal por 275 millones de euros</t>
    </r>
    <r>
      <rPr>
        <rFont val="Arial, sans-serif"/>
        <color rgb="FF1155CC"/>
        <sz val="11.0"/>
        <u/>
      </rPr>
      <t>El negocio, que ahora pasa a manos de Abastible, sigue operando bajo la marca Cepsa. Para Copec representa su primera inversión en Europa en el sector del...</t>
    </r>
    <r>
      <rPr>
        <rFont val="Arial, sans-serif"/>
        <color rgb="FF1155CC"/>
        <sz val="12.0"/>
        <u/>
      </rPr>
      <t>.</t>
    </r>
    <r>
      <rPr>
        <rFont val="Arial, sans-serif"/>
        <color rgb="FF1155CC"/>
        <sz val="11.0"/>
        <u/>
      </rPr>
      <t>16 ago 2024</t>
    </r>
  </si>
  <si>
    <t>Cepsa vende su negocio de butano, propano y autogás en España y Portugal por 275 millones de euros</t>
  </si>
  <si>
    <t>El negocio, que ahora pasa a manos de Abastible, sigue operando bajo la marca Cepsa. Para Copec representa su primera inversión en Europa en el sector del....</t>
  </si>
  <si>
    <t>Cepsa sells its butane, propane and autogas business in Spain and Portugal for 275 million euros</t>
  </si>
  <si>
    <t>The business, which now passes into the hands of Abastible, continues to operate under the Cepsa brand. For Copec it represents its first investment in Europe in the...</t>
  </si>
  <si>
    <t>Positive as it indicates market activity in the energy sector.</t>
  </si>
  <si>
    <r>
      <rPr>
        <rFont val="Arial, sans-serif"/>
        <color rgb="FF1155CC"/>
        <sz val="9.0"/>
        <u/>
      </rPr>
      <t>El Economista</t>
    </r>
    <r>
      <rPr>
        <rFont val="Arial, sans-serif"/>
        <color rgb="FF1155CC"/>
        <sz val="15.0"/>
        <u/>
      </rPr>
      <t>Holaluz lidera la caída de clientes entre las eléctricas y acentúa su sangría</t>
    </r>
    <r>
      <rPr>
        <rFont val="Arial, sans-serif"/>
        <color rgb="FF1155CC"/>
        <sz val="11.0"/>
        <u/>
      </rPr>
      <t>Holaluz suma a sus problemas financieros la devacle de cartera de clientes. La firma que preside Carlota Pi perdió 49.</t>
    </r>
    <r>
      <rPr>
        <rFont val="Arial, sans-serif"/>
        <color rgb="FF1155CC"/>
        <sz val="12.0"/>
        <u/>
      </rPr>
      <t>.</t>
    </r>
    <r>
      <rPr>
        <rFont val="Arial, sans-serif"/>
        <color rgb="FF1155CC"/>
        <sz val="11.0"/>
        <u/>
      </rPr>
      <t>16 ago 2024</t>
    </r>
  </si>
  <si>
    <t>Holaluz lidera la caída de clientes entre las eléctricas y acentúa su sangría</t>
  </si>
  <si>
    <t>Holaluz suma a sus problemas financieros la devacle de cartera de clientes. La firma que preside Carlota Pi perdió 49.</t>
  </si>
  <si>
    <t>Holaluz leads the drop in customers among electricity companies and accentuates its bleeding</t>
  </si>
  <si>
    <t>Holaluz adds to its financial problems the deterioration of its client portfolio. The firm chaired by Carlota Pi lost 49.</t>
  </si>
  <si>
    <r>
      <rPr>
        <rFont val="Arial, sans-serif"/>
        <color rgb="FF1155CC"/>
        <sz val="9.0"/>
        <u/>
      </rPr>
      <t>La Opinión de Málaga</t>
    </r>
    <r>
      <rPr>
        <rFont val="Arial, sans-serif"/>
        <color rgb="FF1155CC"/>
        <sz val="15.0"/>
        <u/>
      </rPr>
      <t>Los sabores de helado más extravagantes de Málaga</t>
    </r>
    <r>
      <rPr>
        <rFont val="Arial, sans-serif"/>
        <color rgb="FF1155CC"/>
        <sz val="11.0"/>
        <u/>
      </rPr>
      <t>La oferta heladera malagueña combina tradición e innovación, con creaciones como helados de torta de loca, hamburguesas heladas o una tarrina que rinde...</t>
    </r>
    <r>
      <rPr>
        <rFont val="Arial, sans-serif"/>
        <color rgb="FF1155CC"/>
        <sz val="12.0"/>
        <u/>
      </rPr>
      <t>.</t>
    </r>
    <r>
      <rPr>
        <rFont val="Arial, sans-serif"/>
        <color rgb="FF1155CC"/>
        <sz val="11.0"/>
        <u/>
      </rPr>
      <t>16 ago 2024</t>
    </r>
  </si>
  <si>
    <t>Los sabores de helado más extravagantes de Málaga</t>
  </si>
  <si>
    <t>La oferta heladera malagueña combina tradición e innovación, con creaciones como helados de torta de loca, hamburguesas heladas o una tarrina que rinde....</t>
  </si>
  <si>
    <t>The most extravagant ice cream flavors in Malaga</t>
  </si>
  <si>
    <t>The Malaga ice cream offering combines tradition and innovation, with creations such as crazy cake ice cream, frozen hamburgers or a tub that yields...</t>
  </si>
  <si>
    <r>
      <rPr>
        <rFont val="Arial, sans-serif"/>
        <color rgb="FF1155CC"/>
        <sz val="9.0"/>
        <u/>
      </rPr>
      <t>All Music Spain</t>
    </r>
    <r>
      <rPr>
        <rFont val="Arial, sans-serif"/>
        <color rgb="FF1155CC"/>
        <sz val="15.0"/>
        <u/>
      </rPr>
      <t>Brunch Electronik Festival 2025: Cartel, entradas y noticias</t>
    </r>
    <r>
      <rPr>
        <rFont val="Arial, sans-serif"/>
        <color rgb="FF1155CC"/>
        <sz val="11.0"/>
        <u/>
      </rPr>
      <t>Brunch Electronik Festival 2025 ya tiene fechas para la celebración de su tercera edición. El próximo 8, 9 y 10 de agosto vuelves...</t>
    </r>
    <r>
      <rPr>
        <rFont val="Arial, sans-serif"/>
        <color rgb="FF1155CC"/>
        <sz val="12.0"/>
        <u/>
      </rPr>
      <t>.</t>
    </r>
    <r>
      <rPr>
        <rFont val="Arial, sans-serif"/>
        <color rgb="FF1155CC"/>
        <sz val="11.0"/>
        <u/>
      </rPr>
      <t>16 ago 2024</t>
    </r>
  </si>
  <si>
    <t>All Music Spain</t>
  </si>
  <si>
    <t>Brunch Electronik Festival 2025: Cartel, entradas y noticias</t>
  </si>
  <si>
    <t>Brunch Electronik Festival 2025 ya tiene fechas para la celebración de su tercera edición. El próximo 8, 9 y 10 de agosto vuelves....</t>
  </si>
  <si>
    <t>Brunch Electronik Festival 2025: Poster, tickets and news</t>
  </si>
  <si>
    <t>Brunch Electronik Festival 2025 already has dates for the celebration of its third edition. Next August 8, 9 and 10 you return....</t>
  </si>
  <si>
    <r>
      <rPr>
        <rFont val="Arial, sans-serif"/>
        <color rgb="FF1155CC"/>
        <sz val="9.0"/>
        <u/>
      </rPr>
      <t>El Popular</t>
    </r>
    <r>
      <rPr>
        <rFont val="Arial, sans-serif"/>
        <color rgb="FF1155CC"/>
        <sz val="15.0"/>
        <u/>
      </rPr>
      <t>Chiclayo: joven obrero muere electrocutado cuando realizaba mantenimiento en grifo Repsol</t>
    </r>
    <r>
      <rPr>
        <rFont val="Arial, sans-serif"/>
        <color rgb="FF1155CC"/>
        <sz val="11.0"/>
        <u/>
      </rPr>
      <t>Según testigos, el joven obrero realizaba trabajos de mantenimiento e instalación de un tablero eléctrico sin equipos de protección.</t>
    </r>
    <r>
      <rPr>
        <rFont val="Arial, sans-serif"/>
        <color rgb="FF1155CC"/>
        <sz val="12.0"/>
        <u/>
      </rPr>
      <t>.</t>
    </r>
    <r>
      <rPr>
        <rFont val="Arial, sans-serif"/>
        <color rgb="FF1155CC"/>
        <sz val="11.0"/>
        <u/>
      </rPr>
      <t>16 ago 2024</t>
    </r>
  </si>
  <si>
    <t>Chiclayo: joven obrero muere electrocutado cuando realizaba mantenimiento en grifo Repsol</t>
  </si>
  <si>
    <t>Según testigos, el joven obrero realizaba trabajos de mantenimiento e instalación de un tablero eléctrico sin equipos de protección.</t>
  </si>
  <si>
    <t>Chiclayo: young worker dies electrocuted while carrying out maintenance on a Repsol tap</t>
  </si>
  <si>
    <t>According to witnesses, the young worker was carrying out maintenance and installation work on an electrical panel without protective equipment.</t>
  </si>
  <si>
    <t>Neutral as it reports an accident but does not imply negligence.</t>
  </si>
  <si>
    <t>muere electrocutado</t>
  </si>
  <si>
    <t>Fatal accident linked to Repsol.</t>
  </si>
  <si>
    <t>Accidente mortal vinculado a Repsol.</t>
  </si>
  <si>
    <r>
      <rPr>
        <rFont val="Arial, sans-serif"/>
        <color rgb="FF1155CC"/>
        <sz val="9.0"/>
        <u/>
      </rPr>
      <t>Infobae</t>
    </r>
    <r>
      <rPr>
        <rFont val="Arial, sans-serif"/>
        <color rgb="FF1155CC"/>
        <sz val="15.0"/>
        <u/>
      </rPr>
      <t>El sueldo de los empleados de Repsol en 2024: desde 26.234 euros anuales hasta 105.702 euros para los puestos más altos</t>
    </r>
    <r>
      <rPr>
        <rFont val="Arial, sans-serif"/>
        <color rgb="FF1155CC"/>
        <sz val="11.0"/>
        <u/>
      </rPr>
      <t>La compañía cuentan con incrementos salariales por trienio, quinquenio, nocturnidad, dietas o plus del comedor.</t>
    </r>
    <r>
      <rPr>
        <rFont val="Arial, sans-serif"/>
        <color rgb="FF1155CC"/>
        <sz val="12.0"/>
        <u/>
      </rPr>
      <t>.</t>
    </r>
    <r>
      <rPr>
        <rFont val="Arial, sans-serif"/>
        <color rgb="FF1155CC"/>
        <sz val="11.0"/>
        <u/>
      </rPr>
      <t>17 ago 2024</t>
    </r>
  </si>
  <si>
    <t>El sueldo de los empleados de Repsol en 2024: desde 26.234 euros anuales hasta 105.702 euros para los puestos más altos</t>
  </si>
  <si>
    <t>La compañía cuentan con incrementos salariales por trienio, quinquenio, nocturnidad, dietas o plus del comedor.</t>
  </si>
  <si>
    <t>The salary of Repsol employees in 2024: from 26,234 euros per year to 105,702 euros for the highest positions</t>
  </si>
  <si>
    <t>The company has salary increases for three years, five years, night shifts, per diems or dining room bonuses.</t>
  </si>
  <si>
    <t>Repsol employee benefits, corporate compensation</t>
  </si>
  <si>
    <t>Beneficios a los empleados de Repsol, retribuciones corporativas</t>
  </si>
  <si>
    <t>Positive as it highlights Repsol’s employee benefits.</t>
  </si>
  <si>
    <t>Neutral financial data.</t>
  </si>
  <si>
    <t>Datos financieros neutrales.</t>
  </si>
  <si>
    <r>
      <rPr>
        <rFont val="Arial, sans-serif"/>
        <color rgb="FF1155CC"/>
        <sz val="9.0"/>
        <u/>
      </rPr>
      <t>Cinco Días</t>
    </r>
    <r>
      <rPr>
        <rFont val="Arial, sans-serif"/>
        <color rgb="FF1155CC"/>
        <sz val="15.0"/>
        <u/>
      </rPr>
      <t>Valero Marín: “¿Quién va a ser realmente válido en esta sociedad? ¿Quien sepa responder a todo o el que sepa hacer preguntas?”</t>
    </r>
    <r>
      <rPr>
        <rFont val="Arial, sans-serif"/>
        <color rgb="FF1155CC"/>
        <sz val="11.0"/>
        <u/>
      </rPr>
      <t>Aunque la inteligencia artificial ha calado entre las grandes empresas del país, las pymes, la espina dorsal de la economía, se quedan atrás.</t>
    </r>
    <r>
      <rPr>
        <rFont val="Arial, sans-serif"/>
        <color rgb="FF1155CC"/>
        <sz val="12.0"/>
        <u/>
      </rPr>
      <t>.</t>
    </r>
    <r>
      <rPr>
        <rFont val="Arial, sans-serif"/>
        <color rgb="FF1155CC"/>
        <sz val="11.0"/>
        <u/>
      </rPr>
      <t>17 ago 2024</t>
    </r>
  </si>
  <si>
    <t>Valero Marín: “¿Quién va a ser realmente válido en esta sociedad? ¿Quien sepa responder a todo o el que sepa hacer preguntas?”</t>
  </si>
  <si>
    <t>“¿Quién va a ser realmente válido en esta sociedad? ¿Quien sepa responder a todo o el que sepa hacer preguntas?” Aunque la inteligencia artificial ha calado entre las grandes empresas del país, las pymes, la espina dorsal de la economía, se quedan atrás.</t>
  </si>
  <si>
    <t>Valero Marín: “Who is going to be really valid in this society? Who knows how to answer everything or who knows how to ask questions?</t>
  </si>
  <si>
    <t>“Who is going to be really valid in this society? Who knows how to answer everything or who knows how to ask questions? Although artificial intelligence has penetrated the country's large companies, SMEs, the backbone of the economy, are left behind.</t>
  </si>
  <si>
    <t>Opinion</t>
  </si>
  <si>
    <r>
      <rPr>
        <rFont val="Arial, sans-serif"/>
        <color rgb="FF1155CC"/>
        <sz val="9.0"/>
        <u/>
      </rPr>
      <t>OkDiario</t>
    </r>
    <r>
      <rPr>
        <rFont val="Arial, sans-serif"/>
        <color rgb="FF1155CC"/>
        <sz val="15.0"/>
        <u/>
      </rPr>
      <t>Los bares de carretera que recomiendan los camioneros cerca de Valencia: todos salen en la guía Repsol</t>
    </r>
    <r>
      <rPr>
        <rFont val="Arial, sans-serif"/>
        <color rgb="FF1155CC"/>
        <sz val="11.0"/>
        <u/>
      </rPr>
      <t>Descubre los mejores restaurantes y bares de carretera en Valencia, donde disfrutar de comida rica y barata en tus viajes por la A-7 y A-3.</t>
    </r>
    <r>
      <rPr>
        <rFont val="Arial, sans-serif"/>
        <color rgb="FF1155CC"/>
        <sz val="12.0"/>
        <u/>
      </rPr>
      <t>.</t>
    </r>
    <r>
      <rPr>
        <rFont val="Arial, sans-serif"/>
        <color rgb="FF1155CC"/>
        <sz val="11.0"/>
        <u/>
      </rPr>
      <t>17 ago 2024</t>
    </r>
  </si>
  <si>
    <t>Los bares de carretera que recomiendan los camioneros cerca de Valencia: todos salen en la guía Repsol</t>
  </si>
  <si>
    <t>Descubre los mejores restaurantes y bares de carretera en Valencia, donde disfrutar de comida rica y barata en tus viajes por la A-7 y A-3.</t>
  </si>
  <si>
    <t>The roadside bars that truck drivers recommend near Valencia: they all appear in the Repsol guide</t>
  </si>
  <si>
    <t>Discover the best restaurants and roadside bars in Valencia, where you can enjoy delicious and cheap food on your trips along the A-7 and A-3.</t>
  </si>
  <si>
    <r>
      <rPr>
        <rFont val="Arial, sans-serif"/>
        <color rgb="FF1155CC"/>
        <sz val="9.0"/>
        <u/>
      </rPr>
      <t>El Español</t>
    </r>
    <r>
      <rPr>
        <rFont val="Arial, sans-serif"/>
        <color rgb="FF1155CC"/>
        <sz val="15.0"/>
        <u/>
      </rPr>
      <t>'Los Javis' de Vallehermoso se separan por "discrepancias": cierran el puesto de mercado que llegó a la Guía Repsol</t>
    </r>
    <r>
      <rPr>
        <rFont val="Arial, sans-serif"/>
        <color rgb="FF1155CC"/>
        <sz val="11.0"/>
        <u/>
      </rPr>
      <t>El cierre ha pillado desprevenido a todo el Mercado de Vallehermoso. En su lugar va a entrar el cocinero Rafa Bergamo, de Kuoco 360.</t>
    </r>
    <r>
      <rPr>
        <rFont val="Arial, sans-serif"/>
        <color rgb="FF1155CC"/>
        <sz val="12.0"/>
        <u/>
      </rPr>
      <t>.</t>
    </r>
    <r>
      <rPr>
        <rFont val="Arial, sans-serif"/>
        <color rgb="FF1155CC"/>
        <sz val="11.0"/>
        <u/>
      </rPr>
      <t>17 ago 2024</t>
    </r>
  </si>
  <si>
    <t>'Los Javis' de Vallehermoso se separan por "discrepancias": cierran el puesto de mercado que llegó a la Guía Repsol</t>
  </si>
  <si>
    <t>El cierre ha pillado desprevenido a todo el Mercado de Vallehermoso. En su lugar va a entrar el cocinero Rafa Bergamo, de Kuoco 360.</t>
  </si>
  <si>
    <t>'Los Javis' from Vallehermoso separate due to "discrepancies": they close the market stall that reached the Repsol Guide</t>
  </si>
  <si>
    <t>The closure has caught the entire Vallehermoso Market off guard. Chef Rafa Bergamo, from Kuoco 360, will take his place.</t>
  </si>
  <si>
    <r>
      <rPr>
        <rFont val="Arial, sans-serif"/>
        <color rgb="FF1155CC"/>
        <sz val="9.0"/>
        <u/>
      </rPr>
      <t>Gananzia</t>
    </r>
    <r>
      <rPr>
        <rFont val="Arial, sans-serif"/>
        <color rgb="FF1155CC"/>
        <sz val="15.0"/>
        <u/>
      </rPr>
      <t>Ranking de grupos empresariales vascos (2024)</t>
    </r>
    <r>
      <rPr>
        <rFont val="Arial, sans-serif"/>
        <color rgb="FF1155CC"/>
        <sz val="11.0"/>
        <u/>
      </rPr>
      <t>Estos son los 100 principales grupos empresariales con sede en Euskadi por facturación a 31 de diciembre de 2023: Iberdrola: 49.335 millones de euros...</t>
    </r>
    <r>
      <rPr>
        <rFont val="Arial, sans-serif"/>
        <color rgb="FF1155CC"/>
        <sz val="12.0"/>
        <u/>
      </rPr>
      <t>.</t>
    </r>
    <r>
      <rPr>
        <rFont val="Arial, sans-serif"/>
        <color rgb="FF1155CC"/>
        <sz val="11.0"/>
        <u/>
      </rPr>
      <t>17 ago 2024</t>
    </r>
  </si>
  <si>
    <t>Ranking de grupos empresariales vascos (2024)</t>
  </si>
  <si>
    <t>Estos son los 100 principales grupos empresariales con sede en Euskadi por facturación a 31 de diciembre de 2023: Iberdrola: 49.335 millones de euros.</t>
  </si>
  <si>
    <t>Ranking of Basque business groups (2024)</t>
  </si>
  <si>
    <t>These are the 100 main business groups based in the Basque Country by turnover as of December 31, 2023: Iberdrola: 49,335 million euros.</t>
  </si>
  <si>
    <r>
      <rPr>
        <rFont val="Arial, sans-serif"/>
        <color rgb="FF1155CC"/>
        <sz val="9.0"/>
        <u/>
      </rPr>
      <t>El Español</t>
    </r>
    <r>
      <rPr>
        <rFont val="Arial, sans-serif"/>
        <color rgb="FF1155CC"/>
        <sz val="15.0"/>
        <u/>
      </rPr>
      <t>La aldea de 200 habitantes donde se sirven los mejores huevos fritos de Cádiz: a solo 15 minutos de la playa</t>
    </r>
    <r>
      <rPr>
        <rFont val="Arial, sans-serif"/>
        <color rgb="FF1155CC"/>
        <sz val="11.0"/>
        <u/>
      </rPr>
      <t>Es un enclave repleto de vegetación, idóneo para reencontrarse con la comida casera en medio de unas vacaciones.</t>
    </r>
    <r>
      <rPr>
        <rFont val="Arial, sans-serif"/>
        <color rgb="FF1155CC"/>
        <sz val="12.0"/>
        <u/>
      </rPr>
      <t>.</t>
    </r>
    <r>
      <rPr>
        <rFont val="Arial, sans-serif"/>
        <color rgb="FF1155CC"/>
        <sz val="11.0"/>
        <u/>
      </rPr>
      <t>17 ago 2024</t>
    </r>
  </si>
  <si>
    <t>La aldea de 200 habitantes donde se sirven los mejores huevos fritos de Cádiz: a solo 15 minutos de la playa</t>
  </si>
  <si>
    <t>Es un enclave repleto de vegetación, idóneo para reencontrarse con la comida casera en medio de unas vacaciones.</t>
  </si>
  <si>
    <t>The village of 200 inhabitants where the best fried eggs in Cádiz are served: just 15 minutes from the beach</t>
  </si>
  <si>
    <t>It is an enclave full of vegetation, ideal for rediscovering homemade food in the middle of a vacation.</t>
  </si>
  <si>
    <r>
      <rPr>
        <rFont val="Arial, sans-serif"/>
        <color rgb="FF1155CC"/>
        <sz val="9.0"/>
        <u/>
      </rPr>
      <t>La Provincia</t>
    </r>
    <r>
      <rPr>
        <rFont val="Arial, sans-serif"/>
        <color rgb="FF1155CC"/>
        <sz val="15.0"/>
        <u/>
      </rPr>
      <t>La consignataria Hamilton asiste a Repsol en el cierre de pozos de petróleo en Tarragona</t>
    </r>
    <r>
      <rPr>
        <rFont val="Arial, sans-serif"/>
        <color rgb="FF1155CC"/>
        <sz val="11.0"/>
        <u/>
      </rPr>
      <t>La empresa canaria gestiona la base logística de la petrolera y abre una oficina en Singapur.</t>
    </r>
    <r>
      <rPr>
        <rFont val="Arial, sans-serif"/>
        <color rgb="FF1155CC"/>
        <sz val="12.0"/>
        <u/>
      </rPr>
      <t>.</t>
    </r>
    <r>
      <rPr>
        <rFont val="Arial, sans-serif"/>
        <color rgb="FF1155CC"/>
        <sz val="11.0"/>
        <u/>
      </rPr>
      <t>18 ago 2024</t>
    </r>
  </si>
  <si>
    <t>La consignataria Hamilton asiste a Repsol en el cierre de pozos de petróleo en Tarragona</t>
  </si>
  <si>
    <t>La empresa canaria gestiona la base logística de la petrolera y abre una oficina en Singapur.</t>
  </si>
  <si>
    <t>The consignee Hamilton assists Repsol in the closure of oil wells in Tarragona</t>
  </si>
  <si>
    <t>The Canarian company manages the oil company's logistics base and opens an office in Singapore.</t>
  </si>
  <si>
    <t>Repsol logistics, business operations</t>
  </si>
  <si>
    <t>Logística Repsol, operaciones empresariales</t>
  </si>
  <si>
    <t>Positive as it highlights Repsol's logistical expansion.</t>
  </si>
  <si>
    <r>
      <rPr>
        <rFont val="Arial, sans-serif"/>
        <color rgb="FF1155CC"/>
        <sz val="9.0"/>
        <u/>
      </rPr>
      <t>El HuffPost</t>
    </r>
    <r>
      <rPr>
        <rFont val="Arial, sans-serif"/>
        <color rgb="FF1155CC"/>
        <sz val="15.0"/>
        <u/>
      </rPr>
      <t>Venezuela inunda España de petróleo pese a las sanciones</t>
    </r>
    <r>
      <rPr>
        <rFont val="Arial, sans-serif"/>
        <color rgb="FF1155CC"/>
        <sz val="11.0"/>
        <u/>
      </rPr>
      <t>Venezuela está logrando unos ingresos importantes con sus exportaciones de petróleo a España. En el segundo trimestre de 2024, los datos se han triplicado,...</t>
    </r>
    <r>
      <rPr>
        <rFont val="Arial, sans-serif"/>
        <color rgb="FF1155CC"/>
        <sz val="12.0"/>
        <u/>
      </rPr>
      <t>.</t>
    </r>
    <r>
      <rPr>
        <rFont val="Arial, sans-serif"/>
        <color rgb="FF1155CC"/>
        <sz val="11.0"/>
        <u/>
      </rPr>
      <t>18 ago 2024</t>
    </r>
  </si>
  <si>
    <t>Venezuela inunda España de petróleo pese a las sanciones</t>
  </si>
  <si>
    <t>Venezuela está logrando unos ingresos importantes con sus exportaciones de petróleo a España. En el segundo trimestre de 2024, los datos se han triplicado,....</t>
  </si>
  <si>
    <t>Venezuela floods Spain with oil despite sanctions</t>
  </si>
  <si>
    <t>Venezuela is achieving significant income from its oil exports to Spain. In the second quarter of 2024, the data has tripled,....</t>
  </si>
  <si>
    <t>Positive as it highlights increased oil trade despite sanctions, benefiting Repsol.</t>
  </si>
  <si>
    <t>Indirect link.</t>
  </si>
  <si>
    <t>Enlace indirecto.</t>
  </si>
  <si>
    <r>
      <rPr>
        <rFont val="Arial, sans-serif"/>
        <color rgb="FF1155CC"/>
        <sz val="9.0"/>
        <u/>
      </rPr>
      <t>ABC</t>
    </r>
    <r>
      <rPr>
        <rFont val="Arial, sans-serif"/>
        <color rgb="FF1155CC"/>
        <sz val="15.0"/>
        <u/>
      </rPr>
      <t>La nueva vida del butano: barbacoas, estudiantes y tecnología</t>
    </r>
    <r>
      <rPr>
        <rFont val="Arial, sans-serif"/>
        <color rgb="FF1155CC"/>
        <sz val="11.0"/>
        <u/>
      </rPr>
      <t>Todavía se reparten bombonas a más de cinco millones de domicilios.</t>
    </r>
    <r>
      <rPr>
        <rFont val="Arial, sans-serif"/>
        <color rgb="FF1155CC"/>
        <sz val="12.0"/>
        <u/>
      </rPr>
      <t>.</t>
    </r>
    <r>
      <rPr>
        <rFont val="Arial, sans-serif"/>
        <color rgb="FF1155CC"/>
        <sz val="11.0"/>
        <u/>
      </rPr>
      <t>18 ago 2024</t>
    </r>
  </si>
  <si>
    <t>La nueva vida del butano: barbacoas, estudiantes y tecnología</t>
  </si>
  <si>
    <t>Todavía se reparten bombonas a más de cinco millones de domicilios.</t>
  </si>
  <si>
    <t>The new life of butane: barbecues, students and technology</t>
  </si>
  <si>
    <t>Cylinders are still distributed to more than five million homes.</t>
  </si>
  <si>
    <r>
      <rPr>
        <rFont val="Arial, sans-serif"/>
        <color rgb="FF1155CC"/>
        <sz val="9.0"/>
        <u/>
      </rPr>
      <t>20Minutos</t>
    </r>
    <r>
      <rPr>
        <rFont val="Arial, sans-serif"/>
        <color rgb="FF1155CC"/>
        <sz val="15.0"/>
        <u/>
      </rPr>
      <t>Los cinco mejores chiringuitos en las playas de Murcia: vistas al mar, gastronomía murciana y 'street food'</t>
    </r>
    <r>
      <rPr>
        <rFont val="Arial, sans-serif"/>
        <color rgb="FF1155CC"/>
        <sz val="11.0"/>
        <u/>
      </rPr>
      <t>Desde Águilas hasta Cartagena, estos son los mejores chiringuitos para conocer en profundidad la belleza y la gastronomía de la Costa Cálida.</t>
    </r>
    <r>
      <rPr>
        <rFont val="Arial, sans-serif"/>
        <color rgb="FF1155CC"/>
        <sz val="12.0"/>
        <u/>
      </rPr>
      <t>.</t>
    </r>
    <r>
      <rPr>
        <rFont val="Arial, sans-serif"/>
        <color rgb="FF1155CC"/>
        <sz val="11.0"/>
        <u/>
      </rPr>
      <t>18 ago 2024</t>
    </r>
  </si>
  <si>
    <t>Los cinco mejores chiringuitos en las playas de Murcia: vistas al mar, gastronomía murciana y 'street food'</t>
  </si>
  <si>
    <t>Desde Águilas hasta Cartagena, estos son los mejores chiringuitos para conocer en profundidad la belleza y la gastronomía de la Costa Cálida.</t>
  </si>
  <si>
    <t>The five best beach bars on the beaches of Murcia: sea views, Murcian gastronomy and 'street food'</t>
  </si>
  <si>
    <t>From Águilas to Cartagena, these are the best beach bars to get to know in depth the beauty and gastronomy of the Costa Cálida.</t>
  </si>
  <si>
    <r>
      <rPr>
        <rFont val="Arial, sans-serif"/>
        <color rgb="FF1155CC"/>
        <sz val="9.0"/>
        <u/>
      </rPr>
      <t>EL PAÍS</t>
    </r>
    <r>
      <rPr>
        <rFont val="Arial, sans-serif"/>
        <color rgb="FF1155CC"/>
        <sz val="15.0"/>
        <u/>
      </rPr>
      <t>Dónde comer en Cartagena (Murcia), según María Gómez (Magoga)</t>
    </r>
    <r>
      <rPr>
        <rFont val="Arial, sans-serif"/>
        <color rgb="FF1155CC"/>
        <sz val="11.0"/>
        <u/>
      </rPr>
      <t>La cocinera propone un recorrido, que comienza en un templo del café, donde disfrutar del tradicional asiático, para saborear la cocina auténtica de su...</t>
    </r>
    <r>
      <rPr>
        <rFont val="Arial, sans-serif"/>
        <color rgb="FF1155CC"/>
        <sz val="12.0"/>
        <u/>
      </rPr>
      <t>.</t>
    </r>
    <r>
      <rPr>
        <rFont val="Arial, sans-serif"/>
        <color rgb="FF1155CC"/>
        <sz val="11.0"/>
        <u/>
      </rPr>
      <t>18 ago 2024</t>
    </r>
  </si>
  <si>
    <t>Dónde comer en Cartagena (Murcia), según María Gómez (Magoga)</t>
  </si>
  <si>
    <t>La cocinera propone un recorrido, que comienza en un templo del café, donde disfrutar del tradicional asiático, para saborear la cocina auténtica de su....</t>
  </si>
  <si>
    <t>Where to eat in Cartagena (Murcia), according to María Gómez (Magoga)</t>
  </si>
  <si>
    <t>The cook proposes a tour, which begins in a coffee temple, where you can enjoy traditional Asian food, to savor the authentic cuisine of your...</t>
  </si>
  <si>
    <r>
      <rPr>
        <rFont val="Arial, sans-serif"/>
        <color rgb="FF1155CC"/>
        <sz val="9.0"/>
        <u/>
      </rPr>
      <t>LNE</t>
    </r>
    <r>
      <rPr>
        <rFont val="Arial, sans-serif"/>
        <color rgb="FF1155CC"/>
        <sz val="15.0"/>
        <u/>
      </rPr>
      <t>Lastres, protagonista en el anuncio de una gran compañía sobre combustibles renovables: "Lo pasamos muy bien"</t>
    </r>
    <r>
      <rPr>
        <rFont val="Arial, sans-serif"/>
        <color rgb="FF1155CC"/>
        <sz val="11.0"/>
        <u/>
      </rPr>
      <t>La tripulación de la embarcación 'Playa Astilleru' participa en el spot: 'Lo que trata el anuncio también nos afecta a nosotros, al sector de la pesca'</t>
    </r>
    <r>
      <rPr>
        <rFont val="Arial, sans-serif"/>
        <color rgb="FF1155CC"/>
        <sz val="12.0"/>
        <u/>
      </rPr>
      <t>.</t>
    </r>
    <r>
      <rPr>
        <rFont val="Arial, sans-serif"/>
        <color rgb="FF1155CC"/>
        <sz val="11.0"/>
        <u/>
      </rPr>
      <t>18 ago 2024</t>
    </r>
  </si>
  <si>
    <t>LNELastres</t>
  </si>
  <si>
    <t>"Lo pasamos muy bien"</t>
  </si>
  <si>
    <t>La tripulación de la embarcación 'Playa Astilleru' participa en el spot: 'Lo que trata el anuncio también nos afecta a nosotros, al sector de la pesca'.</t>
  </si>
  <si>
    <t>"We had a great time"</t>
  </si>
  <si>
    <t>The crew of the boat 'Playa Astilleru' participates in the spot: 'What the advertisement is about also affects us, the fishing sector.'</t>
  </si>
  <si>
    <r>
      <rPr>
        <rFont val="Arial, sans-serif"/>
        <color rgb="FF1155CC"/>
        <sz val="9.0"/>
        <u/>
      </rPr>
      <t>El Confidencial</t>
    </r>
    <r>
      <rPr>
        <rFont val="Arial, sans-serif"/>
        <color rgb="FF1155CC"/>
        <sz val="15.0"/>
        <u/>
      </rPr>
      <t>Cuatro dividendos del Ibex que crecen más de un 35% y uno que regresa con fuerza</t>
    </r>
    <r>
      <rPr>
        <rFont val="Arial, sans-serif"/>
        <color rgb="FF1155CC"/>
        <sz val="11.0"/>
        <u/>
      </rPr>
      <t>La bolsa española se ha afianzado en 2024 como una de las más atractivas por remuneración al accionista. Varias firmas destacan por la mejora de sus pagos.</t>
    </r>
    <r>
      <rPr>
        <rFont val="Arial, sans-serif"/>
        <color rgb="FF1155CC"/>
        <sz val="12.0"/>
        <u/>
      </rPr>
      <t>.</t>
    </r>
    <r>
      <rPr>
        <rFont val="Arial, sans-serif"/>
        <color rgb="FF1155CC"/>
        <sz val="11.0"/>
        <u/>
      </rPr>
      <t>18 ago 2024</t>
    </r>
  </si>
  <si>
    <t>Cuatro dividendos del Ibex que crecen más de un 35% y uno que regresa con fuerza</t>
  </si>
  <si>
    <t>La bolsa española se ha afianzado en 2024 como una de las más atractivas por remuneración al accionista. Varias firmas destacan por la mejora de sus pagos.</t>
  </si>
  <si>
    <t>Four Ibex dividends that grow more than 35% and one that returns strongly</t>
  </si>
  <si>
    <t>The Spanish stock market has established itself in 2024 as one of the most attractive in terms of shareholder remuneration. Several firms stand out for improving their payments.</t>
  </si>
  <si>
    <r>
      <rPr>
        <rFont val="Arial, sans-serif"/>
        <color rgb="FF1155CC"/>
        <sz val="9.0"/>
        <u/>
      </rPr>
      <t>Europa Press</t>
    </r>
    <r>
      <rPr>
        <rFont val="Arial, sans-serif"/>
        <color rgb="FF1155CC"/>
        <sz val="15.0"/>
        <u/>
      </rPr>
      <t>Joan Mir: "Hemos hecho lo que hemos podido"</t>
    </r>
    <r>
      <rPr>
        <rFont val="Arial, sans-serif"/>
        <color rgb="FF1155CC"/>
        <sz val="11.0"/>
        <u/>
      </rPr>
      <t>El piloto español de MotoGP Joan Mir (Repsol Honda) comentó tras finalizar en decimoséptima posición la...</t>
    </r>
    <r>
      <rPr>
        <rFont val="Arial, sans-serif"/>
        <color rgb="FF1155CC"/>
        <sz val="12.0"/>
        <u/>
      </rPr>
      <t>.</t>
    </r>
    <r>
      <rPr>
        <rFont val="Arial, sans-serif"/>
        <color rgb="FF1155CC"/>
        <sz val="11.0"/>
        <u/>
      </rPr>
      <t>18 ago 2024</t>
    </r>
  </si>
  <si>
    <t>Joan Mir: "Hemos hecho lo que hemos podido"</t>
  </si>
  <si>
    <t>El piloto español de MotoGP Joan Mir (Repsol Honda) comentó tras finalizar en decimoséptima posición la....</t>
  </si>
  <si>
    <t>Joan Mir: "We have done what we could"</t>
  </si>
  <si>
    <t>The Spanish MotoGP rider Joan Mir (Repsol Honda) commented after finishing in seventeenth position the....</t>
  </si>
  <si>
    <r>
      <rPr>
        <rFont val="Arial, sans-serif"/>
        <color rgb="FF1155CC"/>
        <sz val="9.0"/>
        <u/>
      </rPr>
      <t>Infobae</t>
    </r>
    <r>
      <rPr>
        <rFont val="Arial, sans-serif"/>
        <color rgb="FF1155CC"/>
        <sz val="15.0"/>
        <u/>
      </rPr>
      <t>El restaurante de carretera recomendado por la Guía Repsol que triunfa con un buffet libre de cocina tradicional por menos de 20 euros</t>
    </r>
    <r>
      <rPr>
        <rFont val="Arial, sans-serif"/>
        <color rgb="FF1155CC"/>
        <sz val="11.0"/>
        <u/>
      </rPr>
      <t>Este buffet libre ha conquistado a turistas, camioneros y a todo aquel que ha pasado por sus mesas, incluidos los críticos de la prestigiosa guía culinaria.</t>
    </r>
    <r>
      <rPr>
        <rFont val="Arial, sans-serif"/>
        <color rgb="FF1155CC"/>
        <sz val="12.0"/>
        <u/>
      </rPr>
      <t>.</t>
    </r>
    <r>
      <rPr>
        <rFont val="Arial, sans-serif"/>
        <color rgb="FF1155CC"/>
        <sz val="11.0"/>
        <u/>
      </rPr>
      <t>19 ago 2024</t>
    </r>
  </si>
  <si>
    <t>El restaurante de carretera recomendado por la Guía Repsol que triunfa con un buffet libre de cocina tradicional por menos de 20 euros</t>
  </si>
  <si>
    <t>Este buffet libre ha conquistado a turistas, camioneros y a todo aquel que ha pasado por sus mesas, incluidos los críticos de la prestigiosa guía culinaria.</t>
  </si>
  <si>
    <t>The roadside restaurant recommended by the Repsol Guide that succeeds with an open buffet of traditional cuisine for less than 20 euros</t>
  </si>
  <si>
    <t>This all-you-can-eat buffet has conquered tourists, truck drivers and everyone who has passed by its tables, including critics from the prestigious culinary guide.</t>
  </si>
  <si>
    <r>
      <rPr>
        <rFont val="Arial, sans-serif"/>
        <color rgb="FF1155CC"/>
        <sz val="9.0"/>
        <u/>
      </rPr>
      <t>Guía Repsol</t>
    </r>
    <r>
      <rPr>
        <rFont val="Arial, sans-serif"/>
        <color rgb="FF1155CC"/>
        <sz val="15.0"/>
        <u/>
      </rPr>
      <t>Las mejores heladerías en Tenerife según los chefs</t>
    </r>
    <r>
      <rPr>
        <rFont val="Arial, sans-serif"/>
        <color rgb="FF1155CC"/>
        <sz val="11.0"/>
        <u/>
      </rPr>
      <t>La Gelateria by Royal Hidway en Santa Cruz de Tenerife, Il Gelato del Mercato en Los Cristianos y Picacho en El Médano son las heladerías de Tenerife...</t>
    </r>
    <r>
      <rPr>
        <rFont val="Arial, sans-serif"/>
        <color rgb="FF1155CC"/>
        <sz val="12.0"/>
        <u/>
      </rPr>
      <t>.</t>
    </r>
    <r>
      <rPr>
        <rFont val="Arial, sans-serif"/>
        <color rgb="FF1155CC"/>
        <sz val="11.0"/>
        <u/>
      </rPr>
      <t>19 ago 2024</t>
    </r>
  </si>
  <si>
    <t>Las mejores heladerías en Tenerife según los chefs</t>
  </si>
  <si>
    <t>La Gelateria by Royal Hidway en Santa Cruz de Tenerife, Il Gelato del Mercato en Los Cristianos y Picacho en El Médano son las heladerías de Tenerife....</t>
  </si>
  <si>
    <t>The best ice cream parlors in Tenerife according to chefs</t>
  </si>
  <si>
    <t>La Gelateria by Royal Hidway in Santa Cruz de Tenerife, Il Gelato del Mercato in Los Cristianos and Picacho in El Médano are the ice cream shops in Tenerife....</t>
  </si>
  <si>
    <r>
      <rPr>
        <rFont val="Arial, sans-serif"/>
        <color rgb="FF1155CC"/>
        <sz val="9.0"/>
        <u/>
      </rPr>
      <t>Economía Digital</t>
    </r>
    <r>
      <rPr>
        <rFont val="Arial, sans-serif"/>
        <color rgb="FF1155CC"/>
        <sz val="15.0"/>
        <u/>
      </rPr>
      <t>Huelga indefinida y preconcurso en la empresa de mantenimiento de la refinería de Repsol</t>
    </r>
    <r>
      <rPr>
        <rFont val="Arial, sans-serif"/>
        <color rgb="FF1155CC"/>
        <sz val="11.0"/>
        <u/>
      </rPr>
      <t>La CIG denuncia que los 55 trabajadores de Navec, que tiene como único cliente a Repsol, no han cobrado sus salarios y convoca una huelga indefinida a...</t>
    </r>
    <r>
      <rPr>
        <rFont val="Arial, sans-serif"/>
        <color rgb="FF1155CC"/>
        <sz val="12.0"/>
        <u/>
      </rPr>
      <t>.</t>
    </r>
    <r>
      <rPr>
        <rFont val="Arial, sans-serif"/>
        <color rgb="FF1155CC"/>
        <sz val="11.0"/>
        <u/>
      </rPr>
      <t>19 ago 2024</t>
    </r>
  </si>
  <si>
    <t>Huelga indefinida y preconcurso en la empresa de mantenimiento de la refinería de Repsol</t>
  </si>
  <si>
    <t>La CIG denuncia que los 55 trabajadores de Navec, que tiene como único cliente a Repsol, no han cobrado sus salarios y convoca una huelga indefinida a....</t>
  </si>
  <si>
    <t>Indefinite strike and pre-bankruptcy in the maintenance company of the Repsol refinery</t>
  </si>
  <si>
    <t>The CIG denounces that the 55 workers of Navec, whose only client is Repsol, have not received their salaries and calls for an indefinite strike to...</t>
  </si>
  <si>
    <t>Negative as it discusses financial and labor issues affecting Repsol.</t>
  </si>
  <si>
    <t>Huelga indefinida, "preconcurso"</t>
  </si>
  <si>
    <t>Labor conflict harming Repsol’s image.</t>
  </si>
  <si>
    <t>Conflicto laboral que perjudica la imagen de Repsol.</t>
  </si>
  <si>
    <r>
      <rPr>
        <rFont val="Arial, sans-serif"/>
        <color rgb="FF1155CC"/>
        <sz val="9.0"/>
        <u/>
      </rPr>
      <t>El Economista</t>
    </r>
    <r>
      <rPr>
        <rFont val="Arial, sans-serif"/>
        <color rgb="FF1155CC"/>
        <sz val="15.0"/>
        <u/>
      </rPr>
      <t>El 71% de los valores del Ibex ya se ha recuperado del desplome del inicio de agosto</t>
    </r>
    <r>
      <rPr>
        <rFont val="Arial, sans-serif"/>
        <color rgb="FF1155CC"/>
        <sz val="11.0"/>
        <u/>
      </rPr>
      <t>Al igual que hubo muy pocas compañías que se salvaron de la sangría de los primeros días de este mes, la mayor parte de ellas han sacado ...</t>
    </r>
    <r>
      <rPr>
        <rFont val="Arial, sans-serif"/>
        <color rgb="FF1155CC"/>
        <sz val="12.0"/>
        <u/>
      </rPr>
      <t>.</t>
    </r>
    <r>
      <rPr>
        <rFont val="Arial, sans-serif"/>
        <color rgb="FF1155CC"/>
        <sz val="11.0"/>
        <u/>
      </rPr>
      <t>19 ago 2024</t>
    </r>
  </si>
  <si>
    <t>El 71% de los valores del Ibex ya se ha recuperado del desplome del inicio de agosto</t>
  </si>
  <si>
    <t>Al igual que hubo muy pocas compañías que se salvaron de la sangría de los primeros días de este mes, la mayor parte de ellas han sacado ....</t>
  </si>
  <si>
    <t>71% of the Ibex values ​​have already recovered from the collapse at the beginning of August</t>
  </si>
  <si>
    <t>Just as there were very few companies that were saved from the bleeding of the first days of this month, most of them have taken out...</t>
  </si>
  <si>
    <r>
      <rPr>
        <rFont val="Arial, sans-serif"/>
        <color rgb="FF1155CC"/>
        <sz val="9.0"/>
        <u/>
      </rPr>
      <t>El Cierre Digital</t>
    </r>
    <r>
      <rPr>
        <rFont val="Arial, sans-serif"/>
        <color rgb="FF1155CC"/>
        <sz val="15.0"/>
        <u/>
      </rPr>
      <t>El verano más complicado de Juan Urdangarin: Vuelve a Madrid junto a la reina Sofía</t>
    </r>
    <r>
      <rPr>
        <rFont val="Arial, sans-serif"/>
        <color rgb="FF1155CC"/>
        <sz val="11.0"/>
        <u/>
      </rPr>
      <t>Juan Urdangarin podría estar atravesando su verano más complicado. Según ha podido saber elcierredigital.com, el hijo mayor de la infanta Cristina se...</t>
    </r>
    <r>
      <rPr>
        <rFont val="Arial, sans-serif"/>
        <color rgb="FF1155CC"/>
        <sz val="12.0"/>
        <u/>
      </rPr>
      <t>.</t>
    </r>
    <r>
      <rPr>
        <rFont val="Arial, sans-serif"/>
        <color rgb="FF1155CC"/>
        <sz val="11.0"/>
        <u/>
      </rPr>
      <t>19 ago 2024</t>
    </r>
  </si>
  <si>
    <t>El verano más complicado de Juan Urdangarin: Vuelve a Madrid junto a la reina Sofía</t>
  </si>
  <si>
    <t>Juan Urdangarin podría estar atravesando su verano más complicado. Según ha podido saber elcierredigital.com, el hijo mayor de la infanta Cristina se....</t>
  </si>
  <si>
    <t>Juan Urdangarin's most complicated summer: He returns to Madrid with Queen Sofía</t>
  </si>
  <si>
    <t>Juan Urdangarin could be going through his most complicated summer. As elcierredigital.com has learned, the eldest son of Infanta Cristina is....</t>
  </si>
  <si>
    <r>
      <rPr>
        <rFont val="Arial, sans-serif"/>
        <color rgb="FF1155CC"/>
        <sz val="9.0"/>
        <u/>
      </rPr>
      <t>ELLE</t>
    </r>
    <r>
      <rPr>
        <rFont val="Arial, sans-serif"/>
        <color rgb="FF1155CC"/>
        <sz val="15.0"/>
        <u/>
      </rPr>
      <t>Los 17 restaurantes de las Rías Baixas donde comer los mejores pescados, mariscos y carnes gallegas</t>
    </r>
    <r>
      <rPr>
        <rFont val="Arial, sans-serif"/>
        <color rgb="FF1155CC"/>
        <sz val="11.0"/>
        <u/>
      </rPr>
      <t>Recorre el sur de Galicia y su costa en los mejores restaurantes, bares y tabernas donde comer muy bien: Casa Solla, Culler de Pau, D'Berto...</t>
    </r>
    <r>
      <rPr>
        <rFont val="Arial, sans-serif"/>
        <color rgb="FF1155CC"/>
        <sz val="12.0"/>
        <u/>
      </rPr>
      <t>.</t>
    </r>
    <r>
      <rPr>
        <rFont val="Arial, sans-serif"/>
        <color rgb="FF1155CC"/>
        <sz val="11.0"/>
        <u/>
      </rPr>
      <t>19 ago 2024</t>
    </r>
  </si>
  <si>
    <t>Los 17 restaurantes de las Rías Baixas donde comer los mejores pescados, mariscos y carnes gallegas</t>
  </si>
  <si>
    <t>Recorre el sur de Galicia y su costa en los mejores restaurantes, bares y tabernas donde comer muy bien: Casa Solla, Culler de Pau, D'Berto....</t>
  </si>
  <si>
    <t>The 17 restaurants in the Rías Baixas where you can eat the best Galician fish, seafood and meats</t>
  </si>
  <si>
    <t>Explore the south of Galicia and its coast in the best restaurants, bars and taverns where you can eat very well: Casa Solla, Culler de Pau, D'Berto...</t>
  </si>
  <si>
    <r>
      <rPr>
        <rFont val="Arial, sans-serif"/>
        <color rgb="FF1155CC"/>
        <sz val="9.0"/>
        <u/>
      </rPr>
      <t>OkDiario</t>
    </r>
    <r>
      <rPr>
        <rFont val="Arial, sans-serif"/>
        <color rgb="FF1155CC"/>
        <sz val="15.0"/>
        <u/>
      </rPr>
      <t>Cómo debes asegurar la instalación de tus placas fotovoltaicas antes de que sufras un siniestro</t>
    </r>
    <r>
      <rPr>
        <rFont val="Arial, sans-serif"/>
        <color rgb="FF1155CC"/>
        <sz val="11.0"/>
        <u/>
      </rPr>
      <t>La proliferación de placas fotovoltaicas en los tejados de las viviendas durante los últimos años por la subida de los costes energéticos y el abaratamiento...</t>
    </r>
    <r>
      <rPr>
        <rFont val="Arial, sans-serif"/>
        <color rgb="FF1155CC"/>
        <sz val="12.0"/>
        <u/>
      </rPr>
      <t>.</t>
    </r>
    <r>
      <rPr>
        <rFont val="Arial, sans-serif"/>
        <color rgb="FF1155CC"/>
        <sz val="11.0"/>
        <u/>
      </rPr>
      <t>19 ago 2024</t>
    </r>
  </si>
  <si>
    <t>Cómo debes asegurar la instalación de tus placas fotovoltaicas antes de que sufras un siniestro</t>
  </si>
  <si>
    <t>La proliferación de placas fotovoltaicas en los tejados de las viviendas durante los últimos años por la subida de los costes energéticos y el abaratamiento....</t>
  </si>
  <si>
    <t>How you should ensure the installation of your photovoltaic panels before you suffer an accident</t>
  </si>
  <si>
    <t>The proliferation of photovoltaic panels on the roofs of homes in recent years due to the rise in energy costs and lower prices....</t>
  </si>
  <si>
    <r>
      <rPr>
        <rFont val="Arial, sans-serif"/>
        <color rgb="FF1155CC"/>
        <sz val="9.0"/>
        <u/>
      </rPr>
      <t>Salamancahoy</t>
    </r>
    <r>
      <rPr>
        <rFont val="Arial, sans-serif"/>
        <color rgb="FF1155CC"/>
        <sz val="15.0"/>
        <u/>
      </rPr>
      <t>La nueva cafetería, ya premiada, de Salamanca que apuesta por el producto de cercanía</t>
    </r>
    <r>
      <rPr>
        <rFont val="Arial, sans-serif"/>
        <color rgb="FF1155CC"/>
        <sz val="11.0"/>
        <u/>
      </rPr>
      <t>La Drupa nace con la intención de ofrecer en la capital café de especialidad y una carta con opciones veganas y sin gluten.</t>
    </r>
    <r>
      <rPr>
        <rFont val="Arial, sans-serif"/>
        <color rgb="FF1155CC"/>
        <sz val="12.0"/>
        <u/>
      </rPr>
      <t>.</t>
    </r>
    <r>
      <rPr>
        <rFont val="Arial, sans-serif"/>
        <color rgb="FF1155CC"/>
        <sz val="11.0"/>
        <u/>
      </rPr>
      <t>19 ago 2024</t>
    </r>
  </si>
  <si>
    <t>La nueva cafetería, ya premiada, de Salamanca que apuesta por el producto de cercanía</t>
  </si>
  <si>
    <t>La Drupa nace con la intención de ofrecer en la capital café de especialidad y una carta con opciones veganas y sin gluten.</t>
  </si>
  <si>
    <t>The new cafeteria, already awarded, in Salamanca that is committed to local products</t>
  </si>
  <si>
    <t>Drupa was born with the intention of offering specialty coffee and a menu with vegan and gluten-free options in the capital.</t>
  </si>
  <si>
    <r>
      <rPr>
        <rFont val="Arial, sans-serif"/>
        <color rgb="FF1155CC"/>
        <sz val="9.0"/>
        <u/>
      </rPr>
      <t>OkDiario</t>
    </r>
    <r>
      <rPr>
        <rFont val="Arial, sans-serif"/>
        <color rgb="FF1155CC"/>
        <sz val="15.0"/>
        <u/>
      </rPr>
      <t>Alertan de la caza ilegal de linces ibéricos procedentes de proyectos de reintroducción</t>
    </r>
    <r>
      <rPr>
        <rFont val="Arial, sans-serif"/>
        <color rgb="FF1155CC"/>
        <sz val="11.0"/>
        <u/>
      </rPr>
      <t>Los esfuerzos por reintroducir el lince ibérico (Lynx Pardinus) podrían verse truncados a causa de la caza ilegal, una situación que se está detectando en...</t>
    </r>
    <r>
      <rPr>
        <rFont val="Arial, sans-serif"/>
        <color rgb="FF1155CC"/>
        <sz val="12.0"/>
        <u/>
      </rPr>
      <t>.</t>
    </r>
    <r>
      <rPr>
        <rFont val="Arial, sans-serif"/>
        <color rgb="FF1155CC"/>
        <sz val="11.0"/>
        <u/>
      </rPr>
      <t>19 ago 2024</t>
    </r>
  </si>
  <si>
    <t>Alertan de la caza ilegal de linces ibéricos procedentes de proyectos de reintroducción</t>
  </si>
  <si>
    <t>Los esfuerzos por reintroducir el lince ibérico (Lynx Pardinus) podrían verse truncados a causa de la caza ilegal, una situación que se está detectando en....</t>
  </si>
  <si>
    <t>They warn of illegal hunting of Iberian lynxes from reintroduction projects</t>
  </si>
  <si>
    <t>Efforts to reintroduce the Iberian lynx (Lynx Pardinus) could be truncated due to illegal hunting, a situation that is being detected in...</t>
  </si>
  <si>
    <r>
      <rPr>
        <rFont val="Arial, sans-serif"/>
        <color rgb="FF1155CC"/>
        <sz val="9.0"/>
        <u/>
      </rPr>
      <t>OkDiario</t>
    </r>
    <r>
      <rPr>
        <rFont val="Arial, sans-serif"/>
        <color rgb="FF1155CC"/>
        <sz val="15.0"/>
        <u/>
      </rPr>
      <t>El desafío de aumentar la población de mariposas reforestando la sierra de Guadarrama</t>
    </r>
    <r>
      <rPr>
        <rFont val="Arial, sans-serif"/>
        <color rgb="FF1155CC"/>
        <sz val="11.0"/>
        <u/>
      </rPr>
      <t>Reforesta inicia un proyecto de conservación de mariposas y de la biodiversidad en la Sierra de Guadarrama.</t>
    </r>
    <r>
      <rPr>
        <rFont val="Arial, sans-serif"/>
        <color rgb="FF1155CC"/>
        <sz val="12.0"/>
        <u/>
      </rPr>
      <t>.</t>
    </r>
    <r>
      <rPr>
        <rFont val="Arial, sans-serif"/>
        <color rgb="FF1155CC"/>
        <sz val="11.0"/>
        <u/>
      </rPr>
      <t>19 ago 2024</t>
    </r>
  </si>
  <si>
    <t>El desafío de aumentar la población de mariposas reforestando la sierra de Guadarrama</t>
  </si>
  <si>
    <t>Reforesta inicia un proyecto de conservación de mariposas y de la biodiversidad en la Sierra de Guadarrama.</t>
  </si>
  <si>
    <t>The challenge of increasing the butterfly population by reforesting the Guadarrama mountain range</t>
  </si>
  <si>
    <t>Reforesta begins a butterfly and biodiversity conservation project in the Sierra de Guadarrama.</t>
  </si>
  <si>
    <r>
      <rPr>
        <rFont val="Arial, sans-serif"/>
        <color rgb="FF1155CC"/>
        <sz val="9.0"/>
        <u/>
      </rPr>
      <t>El Economista</t>
    </r>
    <r>
      <rPr>
        <rFont val="Arial, sans-serif"/>
        <color rgb="FF1155CC"/>
        <sz val="15.0"/>
        <u/>
      </rPr>
      <t>Repsol se alía con Honeywell en busca de nuevas vías para producir combustibles renovables</t>
    </r>
    <r>
      <rPr>
        <rFont val="Arial, sans-serif"/>
        <color rgb="FF1155CC"/>
        <sz val="11.0"/>
        <u/>
      </rPr>
      <t>Aplicando diferentes tecnologías de Honeywell en sus refinerías, Repsol pretende aprovechar sus refinerías ya existentes para la ...</t>
    </r>
    <r>
      <rPr>
        <rFont val="Arial, sans-serif"/>
        <color rgb="FF1155CC"/>
        <sz val="12.0"/>
        <u/>
      </rPr>
      <t>.</t>
    </r>
    <r>
      <rPr>
        <rFont val="Arial, sans-serif"/>
        <color rgb="FF1155CC"/>
        <sz val="11.0"/>
        <u/>
      </rPr>
      <t>20 ago 2024</t>
    </r>
  </si>
  <si>
    <t>Repsol se alía con Honeywell en busca de nuevas vías para producir combustibles renovables</t>
  </si>
  <si>
    <t>Aplicando diferentes tecnologías de Honeywell en sus refinerías, Repsol pretende aprovechar sus refinerías ya existentes para la ....</t>
  </si>
  <si>
    <t>Repsol joins forces with Honeywell in search of new ways to produce renewable fuels</t>
  </si>
  <si>
    <t>By applying different Honeywell technologies in its refineries, Repsol intends to take advantage of its existing refineries for the...</t>
  </si>
  <si>
    <t>Positive as it highlights Repsol's push for renewable energy innovation.</t>
  </si>
  <si>
    <r>
      <rPr>
        <rFont val="Arial, sans-serif"/>
        <color rgb="FF1155CC"/>
        <sz val="9.0"/>
        <u/>
      </rPr>
      <t>Finanzas.com</t>
    </r>
    <r>
      <rPr>
        <rFont val="Arial, sans-serif"/>
        <color rgb="FF1155CC"/>
        <sz val="15.0"/>
        <u/>
      </rPr>
      <t>Telefónica y Repsol ponen en peligro la racha alcista del IBEX 35</t>
    </r>
    <r>
      <rPr>
        <rFont val="Arial, sans-serif"/>
        <color rgb="FF1155CC"/>
        <sz val="11.0"/>
        <u/>
      </rPr>
      <t>El IBEX 35 cotiza con ligeras caídas a media sesión y pone en peligro la racha alcista de siete sesiones. El castigo al sector energético lastra a Repsol,...</t>
    </r>
    <r>
      <rPr>
        <rFont val="Arial, sans-serif"/>
        <color rgb="FF1155CC"/>
        <sz val="12.0"/>
        <u/>
      </rPr>
      <t>.</t>
    </r>
    <r>
      <rPr>
        <rFont val="Arial, sans-serif"/>
        <color rgb="FF1155CC"/>
        <sz val="11.0"/>
        <u/>
      </rPr>
      <t>20 ago 2024</t>
    </r>
  </si>
  <si>
    <t>Telefónica y Repsol ponen en peligro la racha alcista del IBEX 35</t>
  </si>
  <si>
    <t>El IBEX 35 cotiza con ligeras caídas a media sesión y pone en peligro la racha alcista de siete sesiones. El castigo al sector energético lastra a Repsol,....</t>
  </si>
  <si>
    <t>Telefónica and Repsol endanger the bullish streak of the IBEX 35</t>
  </si>
  <si>
    <t>The IBEX 35 is trading with slight falls in the middle of the session and puts the seven-session bullish streak in danger. The punishment of the energy sector weighs down Repsol,....</t>
  </si>
  <si>
    <t>Negative as it suggests Repsol's stock is contributing to a market decline.</t>
  </si>
  <si>
    <t>ponen en peligro</t>
  </si>
  <si>
    <r>
      <rPr>
        <rFont val="Arial, sans-serif"/>
        <color rgb="FF1155CC"/>
        <sz val="9.0"/>
        <u/>
      </rPr>
      <t>Guía Repsol</t>
    </r>
    <r>
      <rPr>
        <rFont val="Arial, sans-serif"/>
        <color rgb="FF1155CC"/>
        <sz val="15.0"/>
        <u/>
      </rPr>
      <t>Chiringuitos con encanto en Punta umbría (Huelva)</t>
    </r>
    <r>
      <rPr>
        <rFont val="Arial, sans-serif"/>
        <color rgb="FF1155CC"/>
        <sz val="11.0"/>
        <u/>
      </rPr>
      <t>Saborea el auténtico sabor de Huelva en los chiringuitos de Punta Umbría. Pescado fresco, mariscos y tapas deliciosas te esperan en un entorno privilegiado.</t>
    </r>
    <r>
      <rPr>
        <rFont val="Arial, sans-serif"/>
        <color rgb="FF1155CC"/>
        <sz val="12.0"/>
        <u/>
      </rPr>
      <t>.</t>
    </r>
    <r>
      <rPr>
        <rFont val="Arial, sans-serif"/>
        <color rgb="FF1155CC"/>
        <sz val="11.0"/>
        <u/>
      </rPr>
      <t>20 ago 2024</t>
    </r>
  </si>
  <si>
    <t>Chiringuitos con encanto en Punta Umbría (Huelva)</t>
  </si>
  <si>
    <t>Saborea el auténtico sabor de Huelva en los chiringuitos de Punta Umbría. Pescado fresco, mariscos y tapas deliciosas te esperan en un entorno privilegiado.</t>
  </si>
  <si>
    <t>Charming beach bars in Punta Umbría (Huelva)</t>
  </si>
  <si>
    <t>Savor the authentic flavor of Huelva in the beach bars of Punta Umbría. Fresh fish, seafood and delicious tapas await you in a privileged environment.</t>
  </si>
  <si>
    <r>
      <rPr>
        <rFont val="Arial, sans-serif"/>
        <color rgb="FF1155CC"/>
        <sz val="9.0"/>
        <u/>
      </rPr>
      <t>Gasteiz Hoy</t>
    </r>
    <r>
      <rPr>
        <rFont val="Arial, sans-serif"/>
        <color rgb="FF1155CC"/>
        <sz val="15.0"/>
        <u/>
      </rPr>
      <t>Los 10 nuevos restaurantes con Solete para este verano en Álava</t>
    </r>
    <r>
      <rPr>
        <rFont val="Arial, sans-serif"/>
        <color rgb="FF1155CC"/>
        <sz val="11.0"/>
        <u/>
      </rPr>
      <t>Edorta Lamo, del Restaurante Arrea!, ha seleccionado 10 locales que, en su parecer, deben estar en esta guía. Álava suma Soletes de la Guía Repsol.</t>
    </r>
    <r>
      <rPr>
        <rFont val="Arial, sans-serif"/>
        <color rgb="FF1155CC"/>
        <sz val="12.0"/>
        <u/>
      </rPr>
      <t>.</t>
    </r>
    <r>
      <rPr>
        <rFont val="Arial, sans-serif"/>
        <color rgb="FF1155CC"/>
        <sz val="11.0"/>
        <u/>
      </rPr>
      <t>20 ago 2024</t>
    </r>
  </si>
  <si>
    <t>Los 10 nuevos restaurantes con Solete para este verano en Álava</t>
  </si>
  <si>
    <t>Edorta Lamo, del Restaurante Arrea!, ha seleccionado 10 locales que, en su parecer, deben estar en esta guía. Álava suma Soletes de la Guía Repsol.</t>
  </si>
  <si>
    <t>The 10 new restaurants with Solete for this summer in Álava</t>
  </si>
  <si>
    <t>Edorta Lamo, from Restaurante Arrea!, has selected 10 establishments that, in his opinion, should be in this guide. Álava adds Solets from the Repsol Guide.</t>
  </si>
  <si>
    <r>
      <rPr>
        <rFont val="Arial, sans-serif"/>
        <color rgb="FF1155CC"/>
        <sz val="9.0"/>
        <u/>
      </rPr>
      <t>Hule y Mantel</t>
    </r>
    <r>
      <rPr>
        <rFont val="Arial, sans-serif"/>
        <color rgb="FF1155CC"/>
        <sz val="15.0"/>
        <u/>
      </rPr>
      <t>El único buffet libre de Cataluña con Solete Repsol: comida ilimitada por menos de 25 €</t>
    </r>
    <r>
      <rPr>
        <rFont val="Arial, sans-serif"/>
        <color rgb="FF1155CC"/>
        <sz val="11.0"/>
        <u/>
      </rPr>
      <t>Los buffets libres se volvieron especialmente populares a finales de los años 90, especialmente aquellos relacionados con las carnes a la brasa,...</t>
    </r>
    <r>
      <rPr>
        <rFont val="Arial, sans-serif"/>
        <color rgb="FF1155CC"/>
        <sz val="12.0"/>
        <u/>
      </rPr>
      <t>.</t>
    </r>
    <r>
      <rPr>
        <rFont val="Arial, sans-serif"/>
        <color rgb="FF1155CC"/>
        <sz val="11.0"/>
        <u/>
      </rPr>
      <t>20 ago 2024</t>
    </r>
  </si>
  <si>
    <t>El único buffet libre de Cataluña con Solete Repsol: comida ilimitada por menos de 25 €</t>
  </si>
  <si>
    <t>Los buffets libres se volvieron especialmente populares a finales de los años 90, especialmente aquellos relacionados con las carnes a la brasa,....</t>
  </si>
  <si>
    <t>The only all-you-can-eat buffet in Catalonia with Solete Repsol: unlimited food for less than €25</t>
  </si>
  <si>
    <t>All-you-can-eat buffets became especially popular in the late 90s, especially those related to grilled meats,...</t>
  </si>
  <si>
    <r>
      <rPr>
        <rFont val="Arial, sans-serif"/>
        <color rgb="FF1155CC"/>
        <sz val="9.0"/>
        <u/>
      </rPr>
      <t>MiCiudadReal.es</t>
    </r>
    <r>
      <rPr>
        <rFont val="Arial, sans-serif"/>
        <color rgb="FF1155CC"/>
        <sz val="15.0"/>
        <u/>
      </rPr>
      <t>Navec abona sus nóminas a 130 empleados en Puertollano tras anunciar que no podría en agosto</t>
    </r>
    <r>
      <rPr>
        <rFont val="Arial, sans-serif"/>
        <color rgb="FF1155CC"/>
        <sz val="11.0"/>
        <u/>
      </rPr>
      <t>La central sindical CCOO ha celebrado este martes que el grupo industrial Navez, contrata proveedora de servicios de Repsol, haya comenzado a abonar sus...</t>
    </r>
    <r>
      <rPr>
        <rFont val="Arial, sans-serif"/>
        <color rgb="FF1155CC"/>
        <sz val="12.0"/>
        <u/>
      </rPr>
      <t>.</t>
    </r>
    <r>
      <rPr>
        <rFont val="Arial, sans-serif"/>
        <color rgb="FF1155CC"/>
        <sz val="11.0"/>
        <u/>
      </rPr>
      <t>20 ago 2024</t>
    </r>
  </si>
  <si>
    <t>Navec abona sus nóminas a 130 empleados en Puertollano tras anunciar que no podría en agosto</t>
  </si>
  <si>
    <t>La central sindical CCOO ha celebrado este martes que el grupo industrial Navez, contrata proveedora de servicios de Repsol, haya comenzado a abonar sus....</t>
  </si>
  <si>
    <t>Navec pays salaries to 130 employees in Puertollano after announcing that it would not be able to in August</t>
  </si>
  <si>
    <t>The CCOO union center celebrated this Tuesday that the industrial group Navez, which hires a Repsol service provider, has begun to pay its...</t>
  </si>
  <si>
    <t>Slightly positive as it indicates resolution of a labor issue affecting a Repsol contractor.</t>
  </si>
  <si>
    <t>Neutral resolution of prior issue.</t>
  </si>
  <si>
    <t>Resolución neutral de asunto anterior.</t>
  </si>
  <si>
    <r>
      <rPr>
        <rFont val="Arial, sans-serif"/>
        <color rgb="FF1155CC"/>
        <sz val="9.0"/>
        <u/>
      </rPr>
      <t>Box Repsol</t>
    </r>
    <r>
      <rPr>
        <rFont val="Arial, sans-serif"/>
        <color rgb="FF1155CC"/>
        <sz val="15.0"/>
        <u/>
      </rPr>
      <t>Las mejores motos de trail y off road en 2025</t>
    </r>
    <r>
      <rPr>
        <rFont val="Arial, sans-serif"/>
        <color rgb="FF1155CC"/>
        <sz val="11.0"/>
        <u/>
      </rPr>
      <t>Las motos de tipo trail viven un momento de esplendor y en la actualidad son un segmento clave para la industria de la moto. La lista de matriculaciones lo...</t>
    </r>
    <r>
      <rPr>
        <rFont val="Arial, sans-serif"/>
        <color rgb="FF1155CC"/>
        <sz val="12.0"/>
        <u/>
      </rPr>
      <t>.</t>
    </r>
    <r>
      <rPr>
        <rFont val="Arial, sans-serif"/>
        <color rgb="FF1155CC"/>
        <sz val="11.0"/>
        <u/>
      </rPr>
      <t>20 ago 2024</t>
    </r>
  </si>
  <si>
    <t>Las mejores motos de trail y off road en 2025</t>
  </si>
  <si>
    <t>Las motos de tipo trail viven un momento de esplendor y en la actualidad son un segmento clave para la industria de la moto. La lista de matriculaciones lo....</t>
  </si>
  <si>
    <t>The best trail and off road motorcycles in 2025</t>
  </si>
  <si>
    <t>Trail-type motorcycles are experiencing a moment of splendor and are currently a key segment for the motorcycle industry. The registration list...</t>
  </si>
  <si>
    <r>
      <rPr>
        <rFont val="Arial, sans-serif"/>
        <color rgb="FF1155CC"/>
        <sz val="9.0"/>
        <u/>
      </rPr>
      <t>Finanzas.com</t>
    </r>
    <r>
      <rPr>
        <rFont val="Arial, sans-serif"/>
        <color rgb="FF1155CC"/>
        <sz val="15.0"/>
        <u/>
      </rPr>
      <t>El IBEX 35 corta la racha de subidas con el lastre de Telefónica y Repsol</t>
    </r>
    <r>
      <rPr>
        <rFont val="Arial, sans-serif"/>
        <color rgb="FF1155CC"/>
        <sz val="11.0"/>
        <u/>
      </rPr>
      <t>El IBEX 35 cierra con una caída del 0,13% y da un último cambio en los 11.087 puntos. Poco fuelle en el mercado a la espera de la Fed. El castigo al sector...</t>
    </r>
    <r>
      <rPr>
        <rFont val="Arial, sans-serif"/>
        <color rgb="FF1155CC"/>
        <sz val="12.0"/>
        <u/>
      </rPr>
      <t>.</t>
    </r>
    <r>
      <rPr>
        <rFont val="Arial, sans-serif"/>
        <color rgb="FF1155CC"/>
        <sz val="11.0"/>
        <u/>
      </rPr>
      <t>20 ago 2024</t>
    </r>
  </si>
  <si>
    <t>El IBEX 35 corta la racha de subidas con el lastre de Telefónica y Repsol</t>
  </si>
  <si>
    <t>El IBEX 35 cierra con una caída del 0,13% y da un último cambio en los 11.087 puntos. Poco fuelle en el mercado a la espera de la Fed. El castigo al sector....</t>
  </si>
  <si>
    <t>The IBEX 35 cuts the streak of increases with the burden of Telefónica and Repsol</t>
  </si>
  <si>
    <t>The IBEX 35 closes with a drop of 0.13% and gives a final change at 11,087 points. Little power in the market waiting for the Fed. The punishment to the sector....</t>
  </si>
  <si>
    <t>Negative as it highlights Repsol's impact on the stock market decline.</t>
  </si>
  <si>
    <t>lastre</t>
  </si>
  <si>
    <t>Negative market performance.</t>
  </si>
  <si>
    <t>Desempeño negativo del mercado.</t>
  </si>
  <si>
    <r>
      <rPr>
        <rFont val="Arial, sans-serif"/>
        <color rgb="FF1155CC"/>
        <sz val="9.0"/>
        <u/>
      </rPr>
      <t>Bon Viveur</t>
    </r>
    <r>
      <rPr>
        <rFont val="Arial, sans-serif"/>
        <color rgb="FF1155CC"/>
        <sz val="15.0"/>
        <u/>
      </rPr>
      <t>Los 15 mejores restaurantes de las Islas Canarias</t>
    </r>
    <r>
      <rPr>
        <rFont val="Arial, sans-serif"/>
        <color rgb="FF1155CC"/>
        <sz val="11.0"/>
        <u/>
      </rPr>
      <t>Nombres como los de los hermanos Padrón o Martín Berasategui enriquecen la oferta gastronómica del archipiélago canario. Te descubrimos los mejores...</t>
    </r>
    <r>
      <rPr>
        <rFont val="Arial, sans-serif"/>
        <color rgb="FF1155CC"/>
        <sz val="12.0"/>
        <u/>
      </rPr>
      <t>.</t>
    </r>
    <r>
      <rPr>
        <rFont val="Arial, sans-serif"/>
        <color rgb="FF1155CC"/>
        <sz val="11.0"/>
        <u/>
      </rPr>
      <t>20 ago 2024</t>
    </r>
  </si>
  <si>
    <t>Los 15 mejores restaurantes de las Islas Canarias</t>
  </si>
  <si>
    <t>Nombres como los de los hermanos Padrón o Martín Berasategui enriquecen la oferta gastronómica del archipiélago canario. Te descubrimos los mejores....</t>
  </si>
  <si>
    <t>The 15 best restaurants in the Canary Islands</t>
  </si>
  <si>
    <t>Names such as those of the Padrón brothers or Martín Berasategui enrich the gastronomic offer of the Canary archipelago. We discover the best...</t>
  </si>
  <si>
    <r>
      <rPr>
        <rFont val="Arial, sans-serif"/>
        <color rgb="FF1155CC"/>
        <sz val="9.0"/>
        <u/>
      </rPr>
      <t>El Economista</t>
    </r>
    <r>
      <rPr>
        <rFont val="Arial, sans-serif"/>
        <color rgb="FF1155CC"/>
        <sz val="15.0"/>
        <u/>
      </rPr>
      <t>Bacterias para convertir dióxido de carbono en azúcar</t>
    </r>
    <r>
      <rPr>
        <rFont val="Arial, sans-serif"/>
        <color rgb="FF1155CC"/>
        <sz val="11.0"/>
        <u/>
      </rPr>
      <t>Simran Ramchandani fue una de las finalistas del Challenge Universitario de Fundación Repsol por su proyecto Biotech UCM para absorber ...</t>
    </r>
    <r>
      <rPr>
        <rFont val="Arial, sans-serif"/>
        <color rgb="FF1155CC"/>
        <sz val="12.0"/>
        <u/>
      </rPr>
      <t>.</t>
    </r>
    <r>
      <rPr>
        <rFont val="Arial, sans-serif"/>
        <color rgb="FF1155CC"/>
        <sz val="11.0"/>
        <u/>
      </rPr>
      <t>20 ago 2024</t>
    </r>
  </si>
  <si>
    <t>Bacterias para convertir dióxido de carbono en azúcar</t>
  </si>
  <si>
    <t>Simran Ramchandani fue una de las finalistas del Challenge Universitario de Fundación Repsol por su proyecto Biotech UCM para absorber ....</t>
  </si>
  <si>
    <t>Bacteria to convert carbon dioxide into sugar</t>
  </si>
  <si>
    <t>Simran Ramchandani was one of the finalists of the Repsol Foundation University Challenge for her Biotech UCM project to absorb....</t>
  </si>
  <si>
    <t>Neutral as it discusses a scientific project.</t>
  </si>
  <si>
    <t>No Repsol link.</t>
  </si>
  <si>
    <t>Sin vínculo con Repsol.</t>
  </si>
  <si>
    <r>
      <rPr>
        <rFont val="Arial, sans-serif"/>
        <color rgb="FF1155CC"/>
        <sz val="9.0"/>
        <u/>
      </rPr>
      <t>Guía Repsol</t>
    </r>
    <r>
      <rPr>
        <rFont val="Arial, sans-serif"/>
        <color rgb="FF1155CC"/>
        <sz val="15.0"/>
        <u/>
      </rPr>
      <t>Restaurante San Hô (Tenerife): la Trinidad de Adrián Bosch</t>
    </r>
    <r>
      <rPr>
        <rFont val="Arial, sans-serif"/>
        <color rgb="FF1155CC"/>
        <sz val="11.0"/>
        <u/>
      </rPr>
      <t>Disfruta de una experiencia culinaria única en San Hô, Costa Adeje. Descubre la fusión perfecta entre los sabores de Canarias y técnicas innovadoras en cada...</t>
    </r>
    <r>
      <rPr>
        <rFont val="Arial, sans-serif"/>
        <color rgb="FF1155CC"/>
        <sz val="12.0"/>
        <u/>
      </rPr>
      <t>.</t>
    </r>
    <r>
      <rPr>
        <rFont val="Arial, sans-serif"/>
        <color rgb="FF1155CC"/>
        <sz val="11.0"/>
        <u/>
      </rPr>
      <t>21 ago 2024</t>
    </r>
  </si>
  <si>
    <t>Restaurante San Hô (Tenerife): la Trinidad de Adrián Bosch</t>
  </si>
  <si>
    <t>Disfruta de una experiencia culinaria única en San Hô, Costa Adeje. Descubre la fusión perfecta entre los sabores de Canarias y técnicas innovadoras en cada....</t>
  </si>
  <si>
    <t>San Hô Restaurant (Tenerife): Adrián Bosch's Trinidad</t>
  </si>
  <si>
    <t>Enjoy a unique culinary experience in San Hô, Costa Adeje. Discover the perfect fusion between the flavors of the Canary Islands and innovative techniques in each....</t>
  </si>
  <si>
    <r>
      <rPr>
        <rFont val="Arial, sans-serif"/>
        <color rgb="FF1155CC"/>
        <sz val="9.0"/>
        <u/>
      </rPr>
      <t>El Español</t>
    </r>
    <r>
      <rPr>
        <rFont val="Arial, sans-serif"/>
        <color rgb="FF1155CC"/>
        <sz val="15.0"/>
        <u/>
      </rPr>
      <t>Balance de 2023 con luz y sombra del Puerto de A Coruña: Repsol, cruceros, tráficos y muelles</t>
    </r>
    <r>
      <rPr>
        <rFont val="Arial, sans-serif"/>
        <color rgb="FF1155CC"/>
        <sz val="11.0"/>
        <u/>
      </rPr>
      <t>La Autoridad Portuaria publica la memoria y las cuentas de un ejercicio del que destaca el aumento de actividad en Langosteira, el récord de cruceristas y...</t>
    </r>
    <r>
      <rPr>
        <rFont val="Arial, sans-serif"/>
        <color rgb="FF1155CC"/>
        <sz val="12.0"/>
        <u/>
      </rPr>
      <t>.</t>
    </r>
    <r>
      <rPr>
        <rFont val="Arial, sans-serif"/>
        <color rgb="FF1155CC"/>
        <sz val="11.0"/>
        <u/>
      </rPr>
      <t>21 ago 2024</t>
    </r>
  </si>
  <si>
    <t>Balance de 2023 con luz y sombra del Puerto de A Coruña: Repsol, cruceros, tráficos y muelles</t>
  </si>
  <si>
    <t>La Autoridad Portuaria publica la memoria y las cuentas de un ejercicio del que destaca el aumento de actividad en Langosteira, el récord de cruceristas y....</t>
  </si>
  <si>
    <t>Balance of 2023 with light and shadow of the Port of A Coruña: Repsol, cruise ships, traffic and docks</t>
  </si>
  <si>
    <t>The Port Authority publishes the report and accounts of a year that highlights the increase in activity in Langosteira, the record number of cruise passengers and...</t>
  </si>
  <si>
    <t>Neutral as it discusses business performance.</t>
  </si>
  <si>
    <r>
      <rPr>
        <rFont val="Arial, sans-serif"/>
        <color rgb="FF1155CC"/>
        <sz val="9.0"/>
        <u/>
      </rPr>
      <t>Honda Racing Corporation</t>
    </r>
    <r>
      <rPr>
        <rFont val="Arial, sans-serif"/>
        <color rgb="FF1155CC"/>
        <sz val="15.0"/>
        <u/>
      </rPr>
      <t>Toni Bou tendrá la primera oportunidad de ser Campeón del Mundo en Cahors (Francia)</t>
    </r>
    <r>
      <rPr>
        <rFont val="Arial, sans-serif"/>
        <color rgb="FF1155CC"/>
        <sz val="11.0"/>
        <u/>
      </rPr>
      <t>El piloto de la Montesa Cota 4RT podría adjudicarse un nuevo título de TrialGP este domingo. Gabriel Marcelli, es segundo en la general con 135 puntos.</t>
    </r>
    <r>
      <rPr>
        <rFont val="Arial, sans-serif"/>
        <color rgb="FF1155CC"/>
        <sz val="12.0"/>
        <u/>
      </rPr>
      <t>.</t>
    </r>
    <r>
      <rPr>
        <rFont val="Arial, sans-serif"/>
        <color rgb="FF1155CC"/>
        <sz val="11.0"/>
        <u/>
      </rPr>
      <t>21 ago 2024</t>
    </r>
  </si>
  <si>
    <t>Toni Bou tendrá la primera oportunidad de ser Campeón del Mundo en Cahors (Francia)</t>
  </si>
  <si>
    <t>El piloto de la Montesa Cota 4RT podría adjudicarse un nuevo título de TrialGP este domingo. Gabriel Marcelli, es segundo en la general con 135 puntos.</t>
  </si>
  <si>
    <t>Toni Bou will have the first opportunity to be World Champion in Cahors (France)</t>
  </si>
  <si>
    <t>The Montesa Cota 4RT rider could win a new TrialGP title this Sunday. Gabriel Marcelli is second overall with 135 points.</t>
  </si>
  <si>
    <r>
      <rPr>
        <rFont val="Arial, sans-serif"/>
        <color rgb="FF1155CC"/>
        <sz val="9.0"/>
        <u/>
      </rPr>
      <t>OkDiario</t>
    </r>
    <r>
      <rPr>
        <rFont val="Arial, sans-serif"/>
        <color rgb="FF1155CC"/>
        <sz val="15.0"/>
        <u/>
      </rPr>
      <t>El XX aniversario de la Copa del Rey Repsol atrae a nuevos barcos</t>
    </r>
    <r>
      <rPr>
        <rFont val="Arial, sans-serif"/>
        <color rgb="FF1155CC"/>
        <sz val="11.0"/>
        <u/>
      </rPr>
      <t>La Copa del Rey Repsol de Barcos de Época reunirá un año más a la mejor flota de clásicos del Mediterráneo.Arrancará el próximo martes.</t>
    </r>
    <r>
      <rPr>
        <rFont val="Arial, sans-serif"/>
        <color rgb="FF1155CC"/>
        <sz val="12.0"/>
        <u/>
      </rPr>
      <t>.</t>
    </r>
    <r>
      <rPr>
        <rFont val="Arial, sans-serif"/>
        <color rgb="FF1155CC"/>
        <sz val="11.0"/>
        <u/>
      </rPr>
      <t>21 ago 2024</t>
    </r>
  </si>
  <si>
    <t>El XX aniversario de la Copa del Rey Repsol atrae a nuevos barcos</t>
  </si>
  <si>
    <t>La Copa del Rey Repsol de Barcos de Época reunirá un año más a la mejor flota de clásicos del Mediterráneo. Arrancará el próximo martes.</t>
  </si>
  <si>
    <t>The 20th anniversary of the Copa del Rey Repsol attracts new boats</t>
  </si>
  <si>
    <t>The Repsol King's Cup for Vintage Boats will once again bring together the best fleet of classics in the Mediterranean. It will start next Tuesday.</t>
  </si>
  <si>
    <t>Positive as it highlights Repsol's involvement in an event.</t>
  </si>
  <si>
    <t>Positive brand event.</t>
  </si>
  <si>
    <t>Evento de marca positivo.</t>
  </si>
  <si>
    <r>
      <rPr>
        <rFont val="Arial, sans-serif"/>
        <color rgb="FF1155CC"/>
        <sz val="9.0"/>
        <u/>
      </rPr>
      <t>Guía Repsol</t>
    </r>
    <r>
      <rPr>
        <rFont val="Arial, sans-serif"/>
        <color rgb="FF1155CC"/>
        <sz val="15.0"/>
        <u/>
      </rPr>
      <t>Restaurantes con terraza en Valladolid para disfrutar en verano</t>
    </r>
    <r>
      <rPr>
        <rFont val="Arial, sans-serif"/>
        <color rgb="FF1155CC"/>
        <sz val="11.0"/>
        <u/>
      </rPr>
      <t>Cañas y vinos, raciones y menús, y demás. El calor aprieta en la ciudad del Pisuerga y las terrazas de Valladolid se convierten en un refugio para...</t>
    </r>
    <r>
      <rPr>
        <rFont val="Arial, sans-serif"/>
        <color rgb="FF1155CC"/>
        <sz val="12.0"/>
        <u/>
      </rPr>
      <t>.</t>
    </r>
    <r>
      <rPr>
        <rFont val="Arial, sans-serif"/>
        <color rgb="FF1155CC"/>
        <sz val="11.0"/>
        <u/>
      </rPr>
      <t>21 ago 2024</t>
    </r>
  </si>
  <si>
    <t>Restaurantes con terraza en Valladolid para disfrutar en verano</t>
  </si>
  <si>
    <t>Cañas y vinos, raciones y menús, y demás. El calor aprieta en la ciudad del Pisuerga y las terrazas de Valladolid se convierten en un refugio para....</t>
  </si>
  <si>
    <t>Restaurants with terrace in Valladolid to enjoy in summer</t>
  </si>
  <si>
    <t>Canes and wines, portions and menus, and so on. The heat is pressing in the city of Pisuerga and the terraces of Valladolid become a refuge for....</t>
  </si>
  <si>
    <r>
      <rPr>
        <rFont val="Arial, sans-serif"/>
        <color rgb="FF1155CC"/>
        <sz val="9.0"/>
        <u/>
      </rPr>
      <t>OkDiario</t>
    </r>
    <r>
      <rPr>
        <rFont val="Arial, sans-serif"/>
        <color rgb="FF1155CC"/>
        <sz val="15.0"/>
        <u/>
      </rPr>
      <t>El mejor restaurante de carretera de Valencia está al lado de la A3: lo recomienda la guía Repsol</t>
    </r>
    <r>
      <rPr>
        <rFont val="Arial, sans-serif"/>
        <color rgb="FF1155CC"/>
        <sz val="11.0"/>
        <u/>
      </rPr>
      <t>Descubre el restaurante de carretera en Valencia que ofrece los mejores arroces a leña. Una experiencia gastronómica imprescindible.</t>
    </r>
    <r>
      <rPr>
        <rFont val="Arial, sans-serif"/>
        <color rgb="FF1155CC"/>
        <sz val="12.0"/>
        <u/>
      </rPr>
      <t>.</t>
    </r>
    <r>
      <rPr>
        <rFont val="Arial, sans-serif"/>
        <color rgb="FF1155CC"/>
        <sz val="11.0"/>
        <u/>
      </rPr>
      <t>21 ago 2024</t>
    </r>
  </si>
  <si>
    <t>El mejor restaurante de carretera de Valencia está al lado de la A3: lo recomienda la guía Repsol</t>
  </si>
  <si>
    <t>Descubre el restaurante de carretera en Valencia que ofrece los mejores arroces a leña. Una experiencia gastronómica imprescindible.</t>
  </si>
  <si>
    <t>The best roadside restaurant in Valencia is next to the A3: the Repsol guide recommends it</t>
  </si>
  <si>
    <t>Discover the roadside restaurant in Valencia that offers the best wood-fired rice dishes. An essential gastronomic experience.</t>
  </si>
  <si>
    <r>
      <rPr>
        <rFont val="Arial, sans-serif"/>
        <color rgb="FF1155CC"/>
        <sz val="9.0"/>
        <u/>
      </rPr>
      <t>Moto1Pro</t>
    </r>
    <r>
      <rPr>
        <rFont val="Arial, sans-serif"/>
        <color rgb="FF1155CC"/>
        <sz val="15.0"/>
        <u/>
      </rPr>
      <t>Toni Bou podría de ser Campeón del Mundo de TrialGP este fin de semana</t>
    </r>
    <r>
      <rPr>
        <rFont val="Arial, sans-serif"/>
        <color rgb="FF1155CC"/>
        <sz val="11.0"/>
        <u/>
      </rPr>
      <t>Regresa la acción del Mundial de TrialGP este fin de semana en Cahors (Francia) tras el parón veraniego. Los pilotos del Repsol Honda Team llegan con muchas...</t>
    </r>
    <r>
      <rPr>
        <rFont val="Arial, sans-serif"/>
        <color rgb="FF1155CC"/>
        <sz val="12.0"/>
        <u/>
      </rPr>
      <t>.</t>
    </r>
    <r>
      <rPr>
        <rFont val="Arial, sans-serif"/>
        <color rgb="FF1155CC"/>
        <sz val="11.0"/>
        <u/>
      </rPr>
      <t>21 ago 2024</t>
    </r>
  </si>
  <si>
    <t>Toni Bou podría de ser Campeón del Mundo de TrialGP este fin de semana</t>
  </si>
  <si>
    <t>Regresa la acción del Mundial de TrialGP este fin de semana en Cahors (Francia) tras el parón veraniego. Los pilotos del Repsol Honda Team llegan con muchas....</t>
  </si>
  <si>
    <t>Toni Bou could be TrialGP World Champion this weekend</t>
  </si>
  <si>
    <t>TrialGP World Championship action returns this weekend in Cahors (France) after the summer break. The Repsol Honda Team riders arrive with many...</t>
  </si>
  <si>
    <r>
      <rPr>
        <rFont val="Arial, sans-serif"/>
        <color rgb="FF1155CC"/>
        <sz val="9.0"/>
        <u/>
      </rPr>
      <t>OkDiario</t>
    </r>
    <r>
      <rPr>
        <rFont val="Arial, sans-serif"/>
        <color rgb="FF1155CC"/>
        <sz val="15.0"/>
        <u/>
      </rPr>
      <t>Australia da luz verde para levantar la mayor planta de energía solar del mundo</t>
    </r>
    <r>
      <rPr>
        <rFont val="Arial, sans-serif"/>
        <color rgb="FF1155CC"/>
        <sz val="11.0"/>
        <u/>
      </rPr>
      <t>Australia ha dado luz verde al que será el mayor proyecto de energía solar del planeta, según afirma el Gobierno australiano, una planta fotovoltaica con...</t>
    </r>
    <r>
      <rPr>
        <rFont val="Arial, sans-serif"/>
        <color rgb="FF1155CC"/>
        <sz val="12.0"/>
        <u/>
      </rPr>
      <t>.</t>
    </r>
    <r>
      <rPr>
        <rFont val="Arial, sans-serif"/>
        <color rgb="FF1155CC"/>
        <sz val="11.0"/>
        <u/>
      </rPr>
      <t>21 ago 2024</t>
    </r>
  </si>
  <si>
    <t>Australia da luz verde para levantar la mayor planta de energía solar del mundo</t>
  </si>
  <si>
    <t>Australia ha dado luz verde al que será el mayor proyecto de energía solar del planeta, según afirma el Gobierno australiano, una planta fotovoltaica con....</t>
  </si>
  <si>
    <t>Australia gives the green light to build the largest solar power plant in the world</t>
  </si>
  <si>
    <t>Australia has given the green light to what will be the largest solar energy project on the planet, according to the Australian Government, a photovoltaic plant with...</t>
  </si>
  <si>
    <r>
      <rPr>
        <rFont val="Arial, sans-serif"/>
        <color rgb="FF1155CC"/>
        <sz val="9.0"/>
        <u/>
      </rPr>
      <t>OkDiario</t>
    </r>
    <r>
      <rPr>
        <rFont val="Arial, sans-serif"/>
        <color rgb="FF1155CC"/>
        <sz val="15.0"/>
        <u/>
      </rPr>
      <t>La superficie ecológica en Andalucía aumenta un 88 % en una década</t>
    </r>
    <r>
      <rPr>
        <rFont val="Arial, sans-serif"/>
        <color rgb="FF1155CC"/>
        <sz val="11.0"/>
        <u/>
      </rPr>
      <t>La apuesta de los agricultores y ganaderos de Andalucía por la sostenibilidad queda patente en el auge del sector de la producción ecológica, puesto que ya...</t>
    </r>
    <r>
      <rPr>
        <rFont val="Arial, sans-serif"/>
        <color rgb="FF1155CC"/>
        <sz val="12.0"/>
        <u/>
      </rPr>
      <t>.</t>
    </r>
    <r>
      <rPr>
        <rFont val="Arial, sans-serif"/>
        <color rgb="FF1155CC"/>
        <sz val="11.0"/>
        <u/>
      </rPr>
      <t>21 ago 2024</t>
    </r>
  </si>
  <si>
    <t>La superficie ecológica en Andalucía aumenta un 88 % en una década</t>
  </si>
  <si>
    <t>La apuesta de los agricultores y ganaderos de Andalucía por la sostenibilidad queda patente en el auge del sector de la producción ecológica, puesto que ya....</t>
  </si>
  <si>
    <t>The ecological surface in Andalusia increases by 88% in a decade</t>
  </si>
  <si>
    <t>The commitment of Andalusian farmers and ranchers to sustainability is evident in the rise of the organic production sector, since already...</t>
  </si>
  <si>
    <r>
      <rPr>
        <rFont val="Arial, sans-serif"/>
        <color rgb="FF1155CC"/>
        <sz val="9.0"/>
        <u/>
      </rPr>
      <t>OkDiario</t>
    </r>
    <r>
      <rPr>
        <rFont val="Arial, sans-serif"/>
        <color rgb="FF1155CC"/>
        <sz val="15.0"/>
        <u/>
      </rPr>
      <t>Canarias recibirá asesoramiento científico para reducir el riesgo volcánico</t>
    </r>
    <r>
      <rPr>
        <rFont val="Arial, sans-serif"/>
        <color rgb="FF1155CC"/>
        <sz val="11.0"/>
        <u/>
      </rPr>
      <t>El CSIC y el Gobierno de Canarias firman un protocolo para colaborar en la reducción del riesgo volcánico y elaborar unos mapas de riesgo.</t>
    </r>
    <r>
      <rPr>
        <rFont val="Arial, sans-serif"/>
        <color rgb="FF1155CC"/>
        <sz val="12.0"/>
        <u/>
      </rPr>
      <t>.</t>
    </r>
    <r>
      <rPr>
        <rFont val="Arial, sans-serif"/>
        <color rgb="FF1155CC"/>
        <sz val="11.0"/>
        <u/>
      </rPr>
      <t>21 ago 2024</t>
    </r>
  </si>
  <si>
    <t>Canarias recibirá asesoramiento científico para reducir el riesgo volcánico</t>
  </si>
  <si>
    <t>El CSIC y el Gobierno de Canarias firman un protocolo para colaborar en la reducción del riesgo volcánico y elaborar unos mapas de riesgo.</t>
  </si>
  <si>
    <t>The Canary Islands will receive scientific advice to reduce volcanic risk</t>
  </si>
  <si>
    <t>The CSIC and the Government of the Canary Islands sign a protocol to collaborate in reducing volcanic risk and developing risk maps.</t>
  </si>
  <si>
    <r>
      <rPr>
        <rFont val="Arial, sans-serif"/>
        <color rgb="FF1155CC"/>
        <sz val="9.0"/>
        <u/>
      </rPr>
      <t>El Economista</t>
    </r>
    <r>
      <rPr>
        <rFont val="Arial, sans-serif"/>
        <color rgb="FF1155CC"/>
        <sz val="15.0"/>
        <u/>
      </rPr>
      <t>Repsol roza los dos millones de clientes de electricidad y lidera las subidas desde 2019</t>
    </r>
    <r>
      <rPr>
        <rFont val="Arial, sans-serif"/>
        <color rgb="FF1155CC"/>
        <sz val="11.0"/>
        <u/>
      </rPr>
      <t>El mercado eléctrico tiene a uno de sus actores más relevantes en subida libre. Según los últimos datos publicados por la Comisión Nacional de los Mercados...</t>
    </r>
    <r>
      <rPr>
        <rFont val="Arial, sans-serif"/>
        <color rgb="FF1155CC"/>
        <sz val="12.0"/>
        <u/>
      </rPr>
      <t>.</t>
    </r>
    <r>
      <rPr>
        <rFont val="Arial, sans-serif"/>
        <color rgb="FF1155CC"/>
        <sz val="11.0"/>
        <u/>
      </rPr>
      <t>22 ago 2024</t>
    </r>
  </si>
  <si>
    <t>Repsol roza los dos millones de clientes de electricidad y lidera las subidas desde 2019</t>
  </si>
  <si>
    <t>Repsol roza los dos millones de clientes de electricidad y lidera las subidas desde 2019. El mercado eléctrico tiene a uno de sus actores más relevantes en subida libre. Según los últimos datos publicados por la Comisión Nacional de los Mercados....</t>
  </si>
  <si>
    <t>Repsol is close to two million electricity customers and has led the increases since 2019</t>
  </si>
  <si>
    <t>Repsol is close to two million electricity customers and has been leading the increases since 2019. The electricity market has one of its most relevant players in free rise. According to the latest data published by the National Markets Commission....</t>
  </si>
  <si>
    <t>Positive as it highlights Repsol's growth in the electricity market.</t>
  </si>
  <si>
    <t>lidera las subidas</t>
  </si>
  <si>
    <t>Positive business growth.</t>
  </si>
  <si>
    <t>Crecimiento empresarial positivo.</t>
  </si>
  <si>
    <r>
      <rPr>
        <rFont val="Arial, sans-serif"/>
        <color rgb="FF1155CC"/>
        <sz val="9.0"/>
        <u/>
      </rPr>
      <t>Hoy</t>
    </r>
    <r>
      <rPr>
        <rFont val="Arial, sans-serif"/>
        <color rgb="FF1155CC"/>
        <sz val="15.0"/>
        <u/>
      </rPr>
      <t>La red provincial de electrolineras de Cáceres pasa a manos de Repsol y será de pago</t>
    </r>
    <r>
      <rPr>
        <rFont val="Arial, sans-serif"/>
        <color rgb="FF1155CC"/>
        <sz val="11.0"/>
        <u/>
      </rPr>
      <t>Los 65 puntos de recarga públicos que hasta ahora gestionaba la Diputación y eran gratuitos llevan inactivos desde el 1 de agosto y no hay fecha fijada para...</t>
    </r>
    <r>
      <rPr>
        <rFont val="Arial, sans-serif"/>
        <color rgb="FF1155CC"/>
        <sz val="12.0"/>
        <u/>
      </rPr>
      <t>.</t>
    </r>
    <r>
      <rPr>
        <rFont val="Arial, sans-serif"/>
        <color rgb="FF1155CC"/>
        <sz val="11.0"/>
        <u/>
      </rPr>
      <t>22 ago 2024</t>
    </r>
  </si>
  <si>
    <t>La red provincial de electrolineras de Cáceres pasa a manos de Repsol y será de pago</t>
  </si>
  <si>
    <t>Los 65 puntos de recarga públicos que hasta ahora gestionaba la Diputación y eran gratuitos llevan inactivos desde el 1 de agosto y no hay fecha fijada para....</t>
  </si>
  <si>
    <t>The provincial network of Cáceres electric stations passes into the hands of Repsol and will be paid</t>
  </si>
  <si>
    <t>The 65 public charging points that until now were managed by the Provincial Council and were free, have been inactive since August 1 and there is no date set for...</t>
  </si>
  <si>
    <t>Positive as it highlights Repsol's expansion into electric vehicle infrastructure.</t>
  </si>
  <si>
    <r>
      <rPr>
        <rFont val="Arial, sans-serif"/>
        <color rgb="FF1155CC"/>
        <sz val="9.0"/>
        <u/>
      </rPr>
      <t>Guía Repsol</t>
    </r>
    <r>
      <rPr>
        <rFont val="Arial, sans-serif"/>
        <color rgb="FF1155CC"/>
        <sz val="15.0"/>
        <u/>
      </rPr>
      <t>El Laberinto de los Pirineos, o cómo perderse y divertirse a la vez</t>
    </r>
    <r>
      <rPr>
        <rFont val="Arial, sans-serif"/>
        <color rgb="FF1155CC"/>
        <sz val="11.0"/>
        <u/>
      </rPr>
      <t>Jugar a perderse en un laberinto tejiendo estrategias sobre cómo salir de él es algo divertido si se hace en compañía. Pon a prueba tu orientación y tu...</t>
    </r>
    <r>
      <rPr>
        <rFont val="Arial, sans-serif"/>
        <color rgb="FF1155CC"/>
        <sz val="12.0"/>
        <u/>
      </rPr>
      <t>.</t>
    </r>
    <r>
      <rPr>
        <rFont val="Arial, sans-serif"/>
        <color rgb="FF1155CC"/>
        <sz val="11.0"/>
        <u/>
      </rPr>
      <t>22 ago 2024</t>
    </r>
  </si>
  <si>
    <t>El Laberinto de los Pirineos, o cómo perderse y divertirse a la vez</t>
  </si>
  <si>
    <t>Jugar a perderse en un laberinto tejiendo estrategias sobre cómo salir de él es algo divertido si se hace en compañía. Pon a prueba tu orientación y tu....</t>
  </si>
  <si>
    <t>The Labyrinth of the Pyrenees, or how to get lost and have fun at the same time</t>
  </si>
  <si>
    <t>Playing at getting lost in a maze by weaving strategies on how to get out of it is fun if done in company. Test your orientation and your....</t>
  </si>
  <si>
    <r>
      <rPr>
        <rFont val="Arial, sans-serif"/>
        <color rgb="FF1155CC"/>
        <sz val="9.0"/>
        <u/>
      </rPr>
      <t>heraldo.es</t>
    </r>
    <r>
      <rPr>
        <rFont val="Arial, sans-serif"/>
        <color rgb="FF1155CC"/>
        <sz val="15.0"/>
        <u/>
      </rPr>
      <t>El mejor restaurante de carretera para comer de tapas en Aragón</t>
    </r>
    <r>
      <rPr>
        <rFont val="Arial, sans-serif"/>
        <color rgb="FF1155CC"/>
        <sz val="11.0"/>
        <u/>
      </rPr>
      <t>Se trata de uno de los favoritos de la prestigiosa Guía Repsol en Aragón dentro de lo que denominan restaurantes de carretera.</t>
    </r>
    <r>
      <rPr>
        <rFont val="Arial, sans-serif"/>
        <color rgb="FF1155CC"/>
        <sz val="12.0"/>
        <u/>
      </rPr>
      <t>.</t>
    </r>
    <r>
      <rPr>
        <rFont val="Arial, sans-serif"/>
        <color rgb="FF1155CC"/>
        <sz val="11.0"/>
        <u/>
      </rPr>
      <t>22 ago 2024</t>
    </r>
  </si>
  <si>
    <t>El mejor restaurante de carretera para comer de tapas en Aragón</t>
  </si>
  <si>
    <t>Se trata de uno de los favoritos de la prestigiosa Guía Repsol en Aragón dentro de lo que denominan restaurantes de carretera.</t>
  </si>
  <si>
    <t>The best roadside restaurant to eat tapas in Aragón</t>
  </si>
  <si>
    <t>It is one of the favorites of the prestigious Repsol Guide in Aragon within what they call roadside restaurants.</t>
  </si>
  <si>
    <r>
      <rPr>
        <rFont val="Arial, sans-serif"/>
        <color rgb="FF1155CC"/>
        <sz val="9.0"/>
        <u/>
      </rPr>
      <t>Confidencial Digital</t>
    </r>
    <r>
      <rPr>
        <rFont val="Arial, sans-serif"/>
        <color rgb="FF1155CC"/>
        <sz val="15.0"/>
        <u/>
      </rPr>
      <t>Militares españoles en excedencia adiestran a milicias rebeldes en Libia</t>
    </r>
    <r>
      <rPr>
        <rFont val="Arial, sans-serif"/>
        <color rgb="FF1155CC"/>
        <sz val="11.0"/>
        <u/>
      </rPr>
      <t>Fueron detectados hace años por los servicios de inteligencia y, pese a los avisos, siguen trabajando allí. Algunos pertenecieron a unidades de operaciones.</t>
    </r>
    <r>
      <rPr>
        <rFont val="Arial, sans-serif"/>
        <color rgb="FF1155CC"/>
        <sz val="12.0"/>
        <u/>
      </rPr>
      <t>.</t>
    </r>
    <r>
      <rPr>
        <rFont val="Arial, sans-serif"/>
        <color rgb="FF1155CC"/>
        <sz val="11.0"/>
        <u/>
      </rPr>
      <t>22 ago 2024</t>
    </r>
  </si>
  <si>
    <t>Militares españoles en excedencia adiestran a milicias rebeldes en Libia</t>
  </si>
  <si>
    <t>Fueron detectados hace años por los servicios de inteligencia y, pese a los avisos, siguen trabajando allí. Algunos pertenecieron a unidades de operaciones.</t>
  </si>
  <si>
    <t>Spanish soldiers on leave train rebel militias in Libya</t>
  </si>
  <si>
    <t>They were detected years ago by the intelligence services and, despite the warnings, they continue to work there. Some belonged to operations units.</t>
  </si>
  <si>
    <r>
      <rPr>
        <rFont val="Arial, sans-serif"/>
        <color rgb="FF1155CC"/>
        <sz val="9.0"/>
        <u/>
      </rPr>
      <t>Cinco Días</t>
    </r>
    <r>
      <rPr>
        <rFont val="Arial, sans-serif"/>
        <color rgb="FF1155CC"/>
        <sz val="15.0"/>
        <u/>
      </rPr>
      <t>La OCU apoya la prohibición de la contratación telefónica de servicios impulsada por el Gobierno</t>
    </r>
    <r>
      <rPr>
        <rFont val="Arial, sans-serif"/>
        <color rgb="FF1155CC"/>
        <sz val="11.0"/>
        <u/>
      </rPr>
      <t>La organización cree que la medida debería extenderse a las empresas de telefonía y recuerda que sigue pendiente de aprobarse la Ley de Servicios de...</t>
    </r>
    <r>
      <rPr>
        <rFont val="Arial, sans-serif"/>
        <color rgb="FF1155CC"/>
        <sz val="12.0"/>
        <u/>
      </rPr>
      <t>.</t>
    </r>
    <r>
      <rPr>
        <rFont val="Arial, sans-serif"/>
        <color rgb="FF1155CC"/>
        <sz val="11.0"/>
        <u/>
      </rPr>
      <t>22 ago 2024</t>
    </r>
  </si>
  <si>
    <t>La OCU apoya la prohibición de la contratación telefónica de servicios impulsada por el Gobierno</t>
  </si>
  <si>
    <t>La organización cree que la medida debería extenderse a las empresas de telefonía y recuerda que sigue pendiente de aprobarse la Ley de Servicios de....</t>
  </si>
  <si>
    <t>The OCU supports the prohibition of telephone contracting of services promoted by the Government</t>
  </si>
  <si>
    <t>The organization believes that the measure should be extended to telephone companies and remembers that the Law on Telephone Services is still pending approval....</t>
  </si>
  <si>
    <t>Consumer Rights</t>
  </si>
  <si>
    <r>
      <rPr>
        <rFont val="Arial, sans-serif"/>
        <color rgb="FF1155CC"/>
        <sz val="9.0"/>
        <u/>
      </rPr>
      <t>Expansión</t>
    </r>
    <r>
      <rPr>
        <rFont val="Arial, sans-serif"/>
        <color rgb="FF1155CC"/>
        <sz val="15.0"/>
        <u/>
      </rPr>
      <t>Ibex 35 hoy, La Bolsa en Directo | El Ibex cierra con un alza del 0,37% hasta 11.156,30 puntos</t>
    </r>
    <r>
      <rPr>
        <rFont val="Arial, sans-serif"/>
        <color rgb="FF1155CC"/>
        <sz val="11.0"/>
        <u/>
      </rPr>
      <t>El Ibex cierra con un alza del 0,37% hasta 11.156,30 puntos Mejores valores del Ibex al cierre: Grifols (+2,34%), IAG (+1,71%) y Solaria (+1,61%) May.</t>
    </r>
    <r>
      <rPr>
        <rFont val="Arial, sans-serif"/>
        <color rgb="FF1155CC"/>
        <sz val="12.0"/>
        <u/>
      </rPr>
      <t>.</t>
    </r>
    <r>
      <rPr>
        <rFont val="Arial, sans-serif"/>
        <color rgb="FF1155CC"/>
        <sz val="11.0"/>
        <u/>
      </rPr>
      <t>22 ago 2024</t>
    </r>
  </si>
  <si>
    <t>El Ibex cierra con un alza del 0,37% hasta 11.156,30 puntos</t>
  </si>
  <si>
    <t>El Ibex cierra con un alza del 0,37% hasta 11.156,30 puntos Mejores valores del Ibex al cierre: Grifols (+2,34%), IAG (+1,71%) y Solaria (+1,61%)</t>
  </si>
  <si>
    <t>The Ibex closes with an increase of 0.37% to 11,156.30 points</t>
  </si>
  <si>
    <t>The Ibex closes with an increase of 0.37% to 11,156.30 points. Best values ​​of the Ibex at the close: Grifols (+2.34%), IAG (+1.71%) and Solaria (+1.61%)</t>
  </si>
  <si>
    <r>
      <rPr>
        <rFont val="Arial, sans-serif"/>
        <color rgb="FF1155CC"/>
        <sz val="9.0"/>
        <u/>
      </rPr>
      <t>El Cierre Digital</t>
    </r>
    <r>
      <rPr>
        <rFont val="Arial, sans-serif"/>
        <color rgb="FF1155CC"/>
        <sz val="15.0"/>
        <u/>
      </rPr>
      <t>Crecen los suicidios en las Fuerzas de Seguridad: 'Van 14 familias rotas desde mayo'</t>
    </r>
    <r>
      <rPr>
        <rFont val="Arial, sans-serif"/>
        <color rgb="FF1155CC"/>
        <sz val="11.0"/>
        <u/>
      </rPr>
      <t>El suicidio en la sociedad española continúa siendo una problemática que no para de incrementar. Dentro de esta problemática apar...</t>
    </r>
    <r>
      <rPr>
        <rFont val="Arial, sans-serif"/>
        <color rgb="FF1155CC"/>
        <sz val="12.0"/>
        <u/>
      </rPr>
      <t>.</t>
    </r>
    <r>
      <rPr>
        <rFont val="Arial, sans-serif"/>
        <color rgb="FF1155CC"/>
        <sz val="11.0"/>
        <u/>
      </rPr>
      <t>22 ago 2024</t>
    </r>
  </si>
  <si>
    <t>Crecen los suicidios en las Fuerzas de Seguridad: 'Van 14 familias rotas desde mayo'</t>
  </si>
  <si>
    <t>El suicidio en la sociedad española continúa siendo una problemática que no para de incrementar. Dentro de esta problemática apar....</t>
  </si>
  <si>
    <t>Suicides increase in the Security Forces: 'There have been 14 families broken since May'</t>
  </si>
  <si>
    <t>Suicide in Spanish society continues to be a problem that continues to increase. Within this separate problem....</t>
  </si>
  <si>
    <r>
      <rPr>
        <rFont val="Arial, sans-serif"/>
        <color rgb="FF1155CC"/>
        <sz val="9.0"/>
        <u/>
      </rPr>
      <t>Bon Viveur</t>
    </r>
    <r>
      <rPr>
        <rFont val="Arial, sans-serif"/>
        <color rgb="FF1155CC"/>
        <sz val="15.0"/>
        <u/>
      </rPr>
      <t>Los 5 mejores restaurantes de Málaga</t>
    </r>
    <r>
      <rPr>
        <rFont val="Arial, sans-serif"/>
        <color rgb="FF1155CC"/>
        <sz val="11.0"/>
        <u/>
      </rPr>
      <t>Estos son los mejores restaurantes de la provincia de Málaga. Disfruta de las mejores mesas de la región gracias a esta selección de establecimientos...</t>
    </r>
    <r>
      <rPr>
        <rFont val="Arial, sans-serif"/>
        <color rgb="FF1155CC"/>
        <sz val="12.0"/>
        <u/>
      </rPr>
      <t>.</t>
    </r>
    <r>
      <rPr>
        <rFont val="Arial, sans-serif"/>
        <color rgb="FF1155CC"/>
        <sz val="11.0"/>
        <u/>
      </rPr>
      <t>22 ago 2024</t>
    </r>
  </si>
  <si>
    <t>Los 5 mejores restaurantes de Málaga</t>
  </si>
  <si>
    <t>Estos son los mejores restaurantes de la provincia de Málaga. Disfruta de las mejores mesas de la región gracias a esta selección de establecimientos....</t>
  </si>
  <si>
    <t>The 5 best restaurants in Malaga</t>
  </si>
  <si>
    <t>These are the best restaurants in the province of Malaga. Enjoy the best tables in the region thanks to this selection of establishments....</t>
  </si>
  <si>
    <r>
      <rPr>
        <rFont val="Arial, sans-serif"/>
        <color rgb="FF1155CC"/>
        <sz val="9.0"/>
        <u/>
      </rPr>
      <t>OkDiario</t>
    </r>
    <r>
      <rPr>
        <rFont val="Arial, sans-serif"/>
        <color rgb="FF1155CC"/>
        <sz val="15.0"/>
        <u/>
      </rPr>
      <t>¿Por qué es más barato el mantenimiento de un vehículo eléctrico?</t>
    </r>
    <r>
      <rPr>
        <rFont val="Arial, sans-serif"/>
        <color rgb="FF1155CC"/>
        <sz val="11.0"/>
        <u/>
      </rPr>
      <t>La electrificación del parque móvil, además de las ventajas ambientales de las cero emisiones, también es beneficiosa para el bolsillo de los usuarios de un...</t>
    </r>
    <r>
      <rPr>
        <rFont val="Arial, sans-serif"/>
        <color rgb="FF1155CC"/>
        <sz val="12.0"/>
        <u/>
      </rPr>
      <t>.</t>
    </r>
    <r>
      <rPr>
        <rFont val="Arial, sans-serif"/>
        <color rgb="FF1155CC"/>
        <sz val="11.0"/>
        <u/>
      </rPr>
      <t>22 ago 2024</t>
    </r>
  </si>
  <si>
    <t>¿Por qué es más barato el mantenimiento de un vehículo eléctrico?</t>
  </si>
  <si>
    <t>La electrificación del parque móvil, además de las ventajas ambientales de las cero emisiones, también es beneficiosa para el bolsillo de los usuarios de un....</t>
  </si>
  <si>
    <t>Why is the maintenance of an electric vehicle cheaper?</t>
  </si>
  <si>
    <t>The electrification of the vehicle fleet, in addition to the environmental advantages of zero emissions, is also beneficial for the pockets of the users of a...</t>
  </si>
  <si>
    <r>
      <rPr>
        <rFont val="Arial, sans-serif"/>
        <color rgb="FF1155CC"/>
        <sz val="9.0"/>
        <u/>
      </rPr>
      <t>Expansión</t>
    </r>
    <r>
      <rPr>
        <rFont val="Arial, sans-serif"/>
        <color rgb="FF1155CC"/>
        <sz val="15.0"/>
        <u/>
      </rPr>
      <t>¿Puede subir Repsol casi un 40% en Bolsa?</t>
    </r>
    <r>
      <rPr>
        <rFont val="Arial, sans-serif"/>
        <color rgb="FF1155CC"/>
        <sz val="11.0"/>
        <u/>
      </rPr>
      <t>Repsol sigue en horas bajas en Bolsa. La última corrección que arrancó en la primera semana de julio ha llevado la acción hasta la zona de los 12,5 euros,...</t>
    </r>
    <r>
      <rPr>
        <rFont val="Arial, sans-serif"/>
        <color rgb="FF1155CC"/>
        <sz val="12.0"/>
        <u/>
      </rPr>
      <t>.</t>
    </r>
    <r>
      <rPr>
        <rFont val="Arial, sans-serif"/>
        <color rgb="FF1155CC"/>
        <sz val="11.0"/>
        <u/>
      </rPr>
      <t>23 ago 2024</t>
    </r>
  </si>
  <si>
    <t>¿Puede subir Repsol casi un 40% en Bolsa?</t>
  </si>
  <si>
    <t>Repsol sigue en horas bajas en Bolsa. La última corrección que arrancó en la primera semana de julio ha llevado la acción hasta la zona de los 12,5 euros,...</t>
  </si>
  <si>
    <t>Can Repsol rise almost 40% on the stock market?</t>
  </si>
  <si>
    <t>Repsol continues in low hours on the stock market. The latest correction that started in the first week of July has taken the action to the 12.5 euro area,...</t>
  </si>
  <si>
    <t>Positive as it suggests a potential stock market rebound for Repsol.</t>
  </si>
  <si>
    <t>Neutral financial speculation.</t>
  </si>
  <si>
    <t>Especulación financiera neutral.</t>
  </si>
  <si>
    <r>
      <rPr>
        <rFont val="Arial, sans-serif"/>
        <color rgb="FF1155CC"/>
        <sz val="9.0"/>
        <u/>
      </rPr>
      <t>Guía Repsol</t>
    </r>
    <r>
      <rPr>
        <rFont val="Arial, sans-serif"/>
        <color rgb="FF1155CC"/>
        <sz val="15.0"/>
        <u/>
      </rPr>
      <t>Los Soletes onubenses donde Xanty Elías se chupa los dedos</t>
    </r>
    <r>
      <rPr>
        <rFont val="Arial, sans-serif"/>
        <color rgb="FF1155CC"/>
        <sz val="11.0"/>
        <u/>
      </rPr>
      <t>Xanty Elías, cuyo restaurante, 'Finca Alfoliz', es un Recomendado Guía Repsol, nos lleva de la mano por algunos de sus negocios favoritos de la provincia d.</t>
    </r>
    <r>
      <rPr>
        <rFont val="Arial, sans-serif"/>
        <color rgb="FF1155CC"/>
        <sz val="12.0"/>
        <u/>
      </rPr>
      <t>.</t>
    </r>
    <r>
      <rPr>
        <rFont val="Arial, sans-serif"/>
        <color rgb="FF1155CC"/>
        <sz val="11.0"/>
        <u/>
      </rPr>
      <t>23 ago 2024</t>
    </r>
  </si>
  <si>
    <t>Los Soletes onubenses donde Xanty Elías se chupa los dedos</t>
  </si>
  <si>
    <t>Xanty Elías, cuyo restaurante, 'Finca Alfoliz', es un Recomendado Guía Repsol, nos lleva de la mano por algunos de sus negocios favoritos de la provincia d..</t>
  </si>
  <si>
    <t>The Huelva Soletes where Xanty Elías licks his fingers</t>
  </si>
  <si>
    <t>Xanty Elías, whose restaurant, 'Finca Alfoliz', is a Recommended Repsol Guide, takes us by the hand through some of his favorite businesses in the province of..</t>
  </si>
  <si>
    <r>
      <rPr>
        <rFont val="Arial, sans-serif"/>
        <color rgb="FF1155CC"/>
        <sz val="9.0"/>
        <u/>
      </rPr>
      <t>Ayuntamiento de Talavera de la Reina</t>
    </r>
    <r>
      <rPr>
        <rFont val="Arial, sans-serif"/>
        <color rgb="FF1155CC"/>
        <sz val="15.0"/>
        <u/>
      </rPr>
      <t>El alcalde visita los Soletes de la ciudad</t>
    </r>
    <r>
      <rPr>
        <rFont val="Arial, sans-serif"/>
        <color rgb="FF1155CC"/>
        <sz val="11.0"/>
        <u/>
      </rPr>
      <t>El alcalde, José Julián Gregorio, ha comenzado con las visitas a los diferentes establecimientos de la ciudad que han obtenido o han renovado el Solete de...</t>
    </r>
    <r>
      <rPr>
        <rFont val="Arial, sans-serif"/>
        <color rgb="FF1155CC"/>
        <sz val="12.0"/>
        <u/>
      </rPr>
      <t>.</t>
    </r>
    <r>
      <rPr>
        <rFont val="Arial, sans-serif"/>
        <color rgb="FF1155CC"/>
        <sz val="11.0"/>
        <u/>
      </rPr>
      <t>23 ago 2024</t>
    </r>
  </si>
  <si>
    <t>Ayuntamiento de Talavera de la Reina</t>
  </si>
  <si>
    <t>El alcalde visita los Soletes de la ciudad</t>
  </si>
  <si>
    <t>El alcalde, José Julián Gregorio, ha comenzado con las visitas a los diferentes establecimientos de la ciudad que han obtenido o han renovado el Solete de....</t>
  </si>
  <si>
    <t>The mayor visits the city's Soletes</t>
  </si>
  <si>
    <t>The mayor, José Julián Gregorio, has begun visits to the different establishments in the city that have obtained or have renewed the Solete de....</t>
  </si>
  <si>
    <r>
      <rPr>
        <rFont val="Arial, sans-serif"/>
        <color rgb="FF1155CC"/>
        <sz val="9.0"/>
        <u/>
      </rPr>
      <t>Energía Estratégica España</t>
    </r>
    <r>
      <rPr>
        <rFont val="Arial, sans-serif"/>
        <color rgb="FF1155CC"/>
        <sz val="15.0"/>
        <u/>
      </rPr>
      <t>Se presentaron 1,5 GW de proyectos renovables híbridos en lo que va del 2024</t>
    </r>
    <r>
      <rPr>
        <rFont val="Arial, sans-serif"/>
        <color rgb="FF1155CC"/>
        <sz val="11.0"/>
        <u/>
      </rPr>
      <t>De acuerdo a un análisis de Energía Estratégica España, 20 proyectos híbridos han comenzado su tramitación ambiental en lo que va del 2024, con una potencia...</t>
    </r>
    <r>
      <rPr>
        <rFont val="Arial, sans-serif"/>
        <color rgb="FF1155CC"/>
        <sz val="12.0"/>
        <u/>
      </rPr>
      <t>.</t>
    </r>
    <r>
      <rPr>
        <rFont val="Arial, sans-serif"/>
        <color rgb="FF1155CC"/>
        <sz val="11.0"/>
        <u/>
      </rPr>
      <t>23 ago 2024</t>
    </r>
  </si>
  <si>
    <t>Se presentaron 1,5 GW de proyectos renovables híbridos en lo que va del 2024</t>
  </si>
  <si>
    <t>De acuerdo a un análisis de Energía Estratégica España, 20 proyectos híbridos han comenzado su tramitación ambiental en lo que va del 2024, con una potencia....</t>
  </si>
  <si>
    <t>1.5 GW of hybrid renewable projects were presented so far in 2024</t>
  </si>
  <si>
    <t>According to an analysis by Energía Estratégica España, 20 hybrid projects have begun their environmental processing so far in 2024, with a power...</t>
  </si>
  <si>
    <t>Industry news, no Repsol focus.</t>
  </si>
  <si>
    <t>Noticias del sector, sin foco en Repsol.</t>
  </si>
  <si>
    <r>
      <rPr>
        <rFont val="Arial, sans-serif"/>
        <color rgb="FF1155CC"/>
        <sz val="9.0"/>
        <u/>
      </rPr>
      <t>Guía Repsol</t>
    </r>
    <r>
      <rPr>
        <rFont val="Arial, sans-serif"/>
        <color rgb="FF1155CC"/>
        <sz val="15.0"/>
        <u/>
      </rPr>
      <t>Dónde comer rico y barato el día de la Tomatina</t>
    </r>
    <r>
      <rPr>
        <rFont val="Arial, sans-serif"/>
        <color rgb="FF1155CC"/>
        <sz val="11.0"/>
        <u/>
      </rPr>
      <t>En 'Setaygues' se puede probar la cocina del interior de Valencia, con influencias manchegas, de montaña y mediterránea, en 'Mesón de la Villa' tienen una...</t>
    </r>
    <r>
      <rPr>
        <rFont val="Arial, sans-serif"/>
        <color rgb="FF1155CC"/>
        <sz val="12.0"/>
        <u/>
      </rPr>
      <t>.</t>
    </r>
    <r>
      <rPr>
        <rFont val="Arial, sans-serif"/>
        <color rgb="FF1155CC"/>
        <sz val="11.0"/>
        <u/>
      </rPr>
      <t>23 ago 2024</t>
    </r>
  </si>
  <si>
    <t>Dónde comer rico y barato el día de la Tomatina</t>
  </si>
  <si>
    <t>En 'Setaygues' se puede probar la cocina del interior de Valencia, con influencias manchegas, de montaña y mediterránea, en 'Mesón de la Villa' tienen una....</t>
  </si>
  <si>
    <t>Where to eat delicious and cheap on Tomatina day</t>
  </si>
  <si>
    <t>In 'Setaygues' you can try the cuisine of the interior of Valencia, with La Mancha, mountain and Mediterranean influences, in 'Mesón de la Villa' they have one....</t>
  </si>
  <si>
    <r>
      <rPr>
        <rFont val="Arial, sans-serif"/>
        <color rgb="FF1155CC"/>
        <sz val="9.0"/>
        <u/>
      </rPr>
      <t>El Español</t>
    </r>
    <r>
      <rPr>
        <rFont val="Arial, sans-serif"/>
        <color rgb="FF1155CC"/>
        <sz val="15.0"/>
        <u/>
      </rPr>
      <t>El restaurante de Cádiz donde Iker Casillas ha probado platos andaluces típicos: con vistas al mar y arroces desde 20€</t>
    </r>
    <r>
      <rPr>
        <rFont val="Arial, sans-serif"/>
        <color rgb="FF1155CC"/>
        <sz val="11.0"/>
        <u/>
      </rPr>
      <t>El establecimiento, recomendado por la Guía Repsol, está especializado en pescado fresco, atún de almadraba, arroces y carnes a la brasa.</t>
    </r>
    <r>
      <rPr>
        <rFont val="Arial, sans-serif"/>
        <color rgb="FF1155CC"/>
        <sz val="12.0"/>
        <u/>
      </rPr>
      <t>.</t>
    </r>
    <r>
      <rPr>
        <rFont val="Arial, sans-serif"/>
        <color rgb="FF1155CC"/>
        <sz val="11.0"/>
        <u/>
      </rPr>
      <t>23 ago 2024</t>
    </r>
  </si>
  <si>
    <t>El restaurante de Cádiz donde Iker Casillas ha probado platos andaluces típicos: con vistas al mar y arroces desde 20€</t>
  </si>
  <si>
    <t>El establecimiento, recomendado por la Guía Repsol, está especializado en pescado fresco, atún de almadraba, arroces y carnes a la brasa.</t>
  </si>
  <si>
    <t>The restaurant in Cádiz where Iker Casillas has tried typical Andalusian dishes: with sea views and rice dishes from €20</t>
  </si>
  <si>
    <t>The establishment, recommended by the Repsol Guide, specializes in fresh fish, almadraba tuna, rice and grilled meats.</t>
  </si>
  <si>
    <r>
      <rPr>
        <rFont val="Arial, sans-serif"/>
        <color rgb="FF1155CC"/>
        <sz val="9.0"/>
        <u/>
      </rPr>
      <t>20Minutos</t>
    </r>
    <r>
      <rPr>
        <rFont val="Arial, sans-serif"/>
        <color rgb="FF1155CC"/>
        <sz val="15.0"/>
        <u/>
      </rPr>
      <t>Los cinco mejores chiringuitos en las playas de Málaga</t>
    </r>
    <r>
      <rPr>
        <rFont val="Arial, sans-serif"/>
        <color rgb="FF1155CC"/>
        <sz val="11.0"/>
        <u/>
      </rPr>
      <t>El paraíso en verano está para muchos en un chiringuito de playa. Para beber, comer o ambas cosas, la Costa del Sol tiene decenas de chiringuitos repartidos...</t>
    </r>
    <r>
      <rPr>
        <rFont val="Arial, sans-serif"/>
        <color rgb="FF1155CC"/>
        <sz val="12.0"/>
        <u/>
      </rPr>
      <t>.</t>
    </r>
    <r>
      <rPr>
        <rFont val="Arial, sans-serif"/>
        <color rgb="FF1155CC"/>
        <sz val="11.0"/>
        <u/>
      </rPr>
      <t>23 ago 2024</t>
    </r>
  </si>
  <si>
    <t>Los cinco mejores chiringuitos en las playas de Málaga</t>
  </si>
  <si>
    <t>El paraíso en verano está para muchos en un chiringuito de playa. Para beber, comer o ambas cosas, la Costa del Sol tiene decenas de chiringuitos repartidos....</t>
  </si>
  <si>
    <t>The five best beach bars on the beaches of Malaga</t>
  </si>
  <si>
    <t>Paradise in summer is for many in a beach bar. To drink, eat or both, the Costa del Sol has dozens of beach bars spread out...</t>
  </si>
  <si>
    <r>
      <rPr>
        <rFont val="Arial, sans-serif"/>
        <color rgb="FF1155CC"/>
        <sz val="9.0"/>
        <u/>
      </rPr>
      <t>Time Out</t>
    </r>
    <r>
      <rPr>
        <rFont val="Arial, sans-serif"/>
        <color rgb="FF1155CC"/>
        <sz val="15.0"/>
        <u/>
      </rPr>
      <t>Todos los restaurantes con estrella Michelin en Madrid</t>
    </r>
    <r>
      <rPr>
        <rFont val="Arial, sans-serif"/>
        <color rgb="FF1155CC"/>
        <sz val="11.0"/>
        <u/>
      </rPr>
      <t>Os presentamos los establecimientos madrileños que han sido premiados con la prestigiosa distinción por su alta gastronomía.</t>
    </r>
    <r>
      <rPr>
        <rFont val="Arial, sans-serif"/>
        <color rgb="FF1155CC"/>
        <sz val="12.0"/>
        <u/>
      </rPr>
      <t>.</t>
    </r>
    <r>
      <rPr>
        <rFont val="Arial, sans-serif"/>
        <color rgb="FF1155CC"/>
        <sz val="11.0"/>
        <u/>
      </rPr>
      <t>23 ago 2024</t>
    </r>
  </si>
  <si>
    <t>Time Out</t>
  </si>
  <si>
    <t>Todos los restaurantes con estrella Michelin en Madrid</t>
  </si>
  <si>
    <t>Os presentamos los establecimientos madrileños que han sido premiados con la prestigiosa distinción por su alta gastronomía.</t>
  </si>
  <si>
    <t>All Michelin star restaurants in Madrid</t>
  </si>
  <si>
    <t>We present to you the Madrid establishments that have been awarded the prestigious distinction for their haute cuisine.</t>
  </si>
  <si>
    <r>
      <rPr>
        <rFont val="Arial, sans-serif"/>
        <color rgb="FF1155CC"/>
        <sz val="9.0"/>
        <u/>
      </rPr>
      <t>Bolsamania</t>
    </r>
    <r>
      <rPr>
        <rFont val="Arial, sans-serif"/>
        <color rgb="FF1155CC"/>
        <sz val="15.0"/>
        <u/>
      </rPr>
      <t>Grifols, Inditex e IAG, líderes destacados de la semana en el Ibex 35; Repsol cae</t>
    </r>
    <r>
      <rPr>
        <rFont val="Arial, sans-serif"/>
        <color rgb="FF1155CC"/>
        <sz val="11.0"/>
        <u/>
      </rPr>
      <t>Nueva semana de abultadas alzas en el Ibex 35, del 3%, que se ha visto propulsado por el discurso del presidente de la Fed, quien ha señalado que “ha...</t>
    </r>
    <r>
      <rPr>
        <rFont val="Arial, sans-serif"/>
        <color rgb="FF1155CC"/>
        <sz val="12.0"/>
        <u/>
      </rPr>
      <t>.</t>
    </r>
    <r>
      <rPr>
        <rFont val="Arial, sans-serif"/>
        <color rgb="FF1155CC"/>
        <sz val="11.0"/>
        <u/>
      </rPr>
      <t>24 ago 2024</t>
    </r>
  </si>
  <si>
    <t>Grifols, Inditex e IAG, líderes destacados de la semana en el Ibex 35; Repsol cae</t>
  </si>
  <si>
    <t>Nueva semana de abultadas alzas en el Ibex 35, del 3%, que se ha visto propulsado por el discurso del presidente de la Fed, quien ha señalado que “ha....</t>
  </si>
  <si>
    <t>Grifols, Inditex and IAG, notable leaders of the week on the Ibex 35; Repsol falls</t>
  </si>
  <si>
    <t>New week of large increases in the Ibex 35, of 3%, which has been propelled by the speech of the president of the Fed, who has indicated that “has...</t>
  </si>
  <si>
    <r>
      <rPr>
        <rFont val="Arial, sans-serif"/>
        <color rgb="FF1155CC"/>
        <sz val="9.0"/>
        <u/>
      </rPr>
      <t>Business Insider España</t>
    </r>
    <r>
      <rPr>
        <rFont val="Arial, sans-serif"/>
        <color rgb="FF1155CC"/>
        <sz val="15.0"/>
        <u/>
      </rPr>
      <t>¿Cuál es la empresa más grande de España?</t>
    </r>
    <r>
      <rPr>
        <rFont val="Arial, sans-serif"/>
        <color rgb="FF1155CC"/>
        <sz val="11.0"/>
        <u/>
      </rPr>
      <t>Cuál es la empresa más grande de España? Esta es la empresa número 1: ranking de las mayores compañías por facturación y por plantilla, de distintos...</t>
    </r>
    <r>
      <rPr>
        <rFont val="Arial, sans-serif"/>
        <color rgb="FF1155CC"/>
        <sz val="12.0"/>
        <u/>
      </rPr>
      <t>.</t>
    </r>
    <r>
      <rPr>
        <rFont val="Arial, sans-serif"/>
        <color rgb="FF1155CC"/>
        <sz val="11.0"/>
        <u/>
      </rPr>
      <t>24 ago 2024</t>
    </r>
  </si>
  <si>
    <t>¿Cuál es la empresa más grande de España?</t>
  </si>
  <si>
    <t>Esta es la empresa número 1: ranking de las mayores compañías por facturación y por plantilla, de distintos....</t>
  </si>
  <si>
    <t>What is the largest company in Spain?</t>
  </si>
  <si>
    <t>This is the number 1 company: ranking of the largest companies by turnover and by workforce, of different....</t>
  </si>
  <si>
    <r>
      <rPr>
        <rFont val="Arial, sans-serif"/>
        <color rgb="FF1155CC"/>
        <sz val="9.0"/>
        <u/>
      </rPr>
      <t>ECOticias.com</t>
    </r>
    <r>
      <rPr>
        <rFont val="Arial, sans-serif"/>
        <color rgb="FF1155CC"/>
        <sz val="15.0"/>
        <u/>
      </rPr>
      <t>Ni hidrógeno, ni electricidad: el combustible del futuro lo usas desde hace décadas, pero no para el coche</t>
    </r>
    <r>
      <rPr>
        <rFont val="Arial, sans-serif"/>
        <color rgb="FF1155CC"/>
        <sz val="11.0"/>
        <u/>
      </rPr>
      <t>Hay espacios donde se hace imperativo tomar acciones para la reducción de las emisiones. Uno de estos es el sector transporte que es responsable del 25 % de...</t>
    </r>
    <r>
      <rPr>
        <rFont val="Arial, sans-serif"/>
        <color rgb="FF1155CC"/>
        <sz val="12.0"/>
        <u/>
      </rPr>
      <t>.</t>
    </r>
    <r>
      <rPr>
        <rFont val="Arial, sans-serif"/>
        <color rgb="FF1155CC"/>
        <sz val="11.0"/>
        <u/>
      </rPr>
      <t>24 ago 2024</t>
    </r>
  </si>
  <si>
    <t>Ni hidrógeno, ni electricidad: el combustible del futuro lo usas desde hace décadas, pero no para el coche</t>
  </si>
  <si>
    <t>Hay espacios donde se hace imperativo tomar acciones para la reducción de las emisiones. Uno de estos es el sector transporte que es responsable del 25 %.</t>
  </si>
  <si>
    <t>Neither hydrogen nor electricity: you have been using the fuel of the future for decades, but not for the car</t>
  </si>
  <si>
    <t>There are spaces where it is imperative to take actions to reduce emissions. One of these is the transportation sector, which is responsible for 25%.</t>
  </si>
  <si>
    <r>
      <rPr>
        <rFont val="Arial, sans-serif"/>
        <color rgb="FF1155CC"/>
        <sz val="9.0"/>
        <u/>
      </rPr>
      <t>ELLE</t>
    </r>
    <r>
      <rPr>
        <rFont val="Arial, sans-serif"/>
        <color rgb="FF1155CC"/>
        <sz val="15.0"/>
        <u/>
      </rPr>
      <t>7 restaurantes de Madrid donde comer un buen ramen</t>
    </r>
    <r>
      <rPr>
        <rFont val="Arial, sans-serif"/>
        <color rgb="FF1155CC"/>
        <sz val="11.0"/>
        <u/>
      </rPr>
      <t>Localizamos los mejores locales de la capital para disfrutar de esta receta japonesa durante el Día Internacional del Ramen.</t>
    </r>
    <r>
      <rPr>
        <rFont val="Arial, sans-serif"/>
        <color rgb="FF1155CC"/>
        <sz val="12.0"/>
        <u/>
      </rPr>
      <t>.</t>
    </r>
    <r>
      <rPr>
        <rFont val="Arial, sans-serif"/>
        <color rgb="FF1155CC"/>
        <sz val="11.0"/>
        <u/>
      </rPr>
      <t>24 ago 2024</t>
    </r>
  </si>
  <si>
    <t>7 restaurantes de Madrid donde comer un buen ramen</t>
  </si>
  <si>
    <t>Localizamos los mejores locales de la capital para disfrutar de esta receta japonesa durante el Día Internacional del Ramen.</t>
  </si>
  <si>
    <t>7 restaurants in Madrid where you can eat good ramen</t>
  </si>
  <si>
    <t>We located the best places in the capital to enjoy this Japanese recipe during International Ramen Day.</t>
  </si>
  <si>
    <r>
      <rPr>
        <rFont val="Arial, sans-serif"/>
        <color rgb="FF1155CC"/>
        <sz val="9.0"/>
        <u/>
      </rPr>
      <t>Bon Viveur</t>
    </r>
    <r>
      <rPr>
        <rFont val="Arial, sans-serif"/>
        <color rgb="FF1155CC"/>
        <sz val="15.0"/>
        <u/>
      </rPr>
      <t>Los 15 mejores restaurantes japoneses de España</t>
    </r>
    <r>
      <rPr>
        <rFont val="Arial, sans-serif"/>
        <color rgb="FF1155CC"/>
        <sz val="11.0"/>
        <u/>
      </rPr>
      <t>Recorremos la geografía española para descubrirte los mejores restaurantes japoneses de España donde disfrutar de la mejor tradición gastronómica de Japón.</t>
    </r>
    <r>
      <rPr>
        <rFont val="Arial, sans-serif"/>
        <color rgb="FF1155CC"/>
        <sz val="12.0"/>
        <u/>
      </rPr>
      <t>.</t>
    </r>
    <r>
      <rPr>
        <rFont val="Arial, sans-serif"/>
        <color rgb="FF1155CC"/>
        <sz val="11.0"/>
        <u/>
      </rPr>
      <t>24 ago 2024</t>
    </r>
  </si>
  <si>
    <t>Los 15 mejores restaurantes japoneses de España</t>
  </si>
  <si>
    <t>Recorremos la geografía española para descubrirte los mejores restaurantes japoneses de España donde disfrutar de la mejor tradición gastronómica de Japón.</t>
  </si>
  <si>
    <t>The 15 best Japanese restaurants in Spain</t>
  </si>
  <si>
    <t>We travel through the Spanish geography to discover the best Japanese restaurants in Spain where you can enjoy the best gastronomic tradition of Japan.</t>
  </si>
  <si>
    <r>
      <rPr>
        <rFont val="Arial, sans-serif"/>
        <color rgb="FF1155CC"/>
        <sz val="9.0"/>
        <u/>
      </rPr>
      <t>OkDiario</t>
    </r>
    <r>
      <rPr>
        <rFont val="Arial, sans-serif"/>
        <color rgb="FF1155CC"/>
        <sz val="15.0"/>
        <u/>
      </rPr>
      <t>Científicos del CSIC recurren a la vainilla para luchar contra los ataques del lobo ibérico</t>
    </r>
    <r>
      <rPr>
        <rFont val="Arial, sans-serif"/>
        <color rgb="FF1155CC"/>
        <sz val="11.0"/>
        <u/>
      </rPr>
      <t>Un llamativo proyecto piloto en el que participa personal del CSIC y el Instituto de Investigación de Recursos Cinegéticos (IREC) está utilizando la...</t>
    </r>
    <r>
      <rPr>
        <rFont val="Arial, sans-serif"/>
        <color rgb="FF1155CC"/>
        <sz val="12.0"/>
        <u/>
      </rPr>
      <t>.</t>
    </r>
    <r>
      <rPr>
        <rFont val="Arial, sans-serif"/>
        <color rgb="FF1155CC"/>
        <sz val="11.0"/>
        <u/>
      </rPr>
      <t>24 ago 2024</t>
    </r>
  </si>
  <si>
    <t>Científicos del CSIC recurren a la vainilla para luchar contra los ataques del lobo ibérico</t>
  </si>
  <si>
    <t>Un llamativo proyecto piloto en el que participa personal del CSIC y el Instituto de Investigación de Recursos Cinegéticos (IREC) está utilizando la....</t>
  </si>
  <si>
    <t>CSIC scientists turn to vanilla to fight against the attacks of the Iberian wolf</t>
  </si>
  <si>
    <t>An eye-catching pilot project in which personnel from the CSIC and the Hunting Resources Research Institute (IREC) participate is using the...</t>
  </si>
  <si>
    <r>
      <rPr>
        <rFont val="Arial, sans-serif"/>
        <color rgb="FF1155CC"/>
        <sz val="9.0"/>
        <u/>
      </rPr>
      <t>El Español</t>
    </r>
    <r>
      <rPr>
        <rFont val="Arial, sans-serif"/>
        <color rgb="FF1155CC"/>
        <sz val="15.0"/>
        <u/>
      </rPr>
      <t>Este es el bar de carretera zaragozano en el que hay que parar si viajas de Madrid a Barcelona</t>
    </r>
    <r>
      <rPr>
        <rFont val="Arial, sans-serif"/>
        <color rgb="FF1155CC"/>
        <sz val="11.0"/>
        <u/>
      </rPr>
      <t>En los trayectos largos se recomienda parar cada dos horas. Es una buena oportunidad para disfrutar de una gastronomía diferente y auténtica.</t>
    </r>
    <r>
      <rPr>
        <rFont val="Arial, sans-serif"/>
        <color rgb="FF1155CC"/>
        <sz val="12.0"/>
        <u/>
      </rPr>
      <t>.</t>
    </r>
    <r>
      <rPr>
        <rFont val="Arial, sans-serif"/>
        <color rgb="FF1155CC"/>
        <sz val="11.0"/>
        <u/>
      </rPr>
      <t>24 ago 2024</t>
    </r>
  </si>
  <si>
    <t>Este es el bar de carretera zaragozano en el que hay que parar si viajas de Madrid a Barcelona</t>
  </si>
  <si>
    <t>En los trayectos largos se recomienda parar cada dos horas. Es una buena oportunidad para disfrutar de una gastronomía diferente y auténtica.</t>
  </si>
  <si>
    <t>This is the Zaragoza roadside bar you have to stop at if you travel from Madrid to Barcelona</t>
  </si>
  <si>
    <t>On long journeys it is recommended to stop every two hours. It is a good opportunity to enjoy different and authentic cuisine.</t>
  </si>
  <si>
    <r>
      <rPr>
        <rFont val="Arial, sans-serif"/>
        <color rgb="FF1155CC"/>
        <sz val="9.0"/>
        <u/>
      </rPr>
      <t>La Voz de Galicia</t>
    </r>
    <r>
      <rPr>
        <rFont val="Arial, sans-serif"/>
        <color rgb="FF1155CC"/>
        <sz val="15.0"/>
        <u/>
      </rPr>
      <t>Mónica Veiga Gómez, jefa de desarrollos estratégicos en la refinería Repsol en Lima: «Nunca me sentí un bicho raro en ingeniería, aunque éramos pocas»</t>
    </r>
    <r>
      <rPr>
        <rFont val="Arial, sans-serif"/>
        <color rgb="FF1155CC"/>
        <sz val="11.0"/>
        <u/>
      </rPr>
      <t>A sus 41 años, la ingeniera industrial ferrolana Mónica Veiga Gómez está viviendo su propia aventura personal y profesional en Lima, donde ejerce como jefa...</t>
    </r>
    <r>
      <rPr>
        <rFont val="Arial, sans-serif"/>
        <color rgb="FF1155CC"/>
        <sz val="12.0"/>
        <u/>
      </rPr>
      <t>.</t>
    </r>
    <r>
      <rPr>
        <rFont val="Arial, sans-serif"/>
        <color rgb="FF1155CC"/>
        <sz val="11.0"/>
        <u/>
      </rPr>
      <t>25 ago 2024</t>
    </r>
  </si>
  <si>
    <t>Mónica Veiga Gómez, jefa de desarrollos estratégicos en la refinería Repsol en Lima: «Nunca me sentí un bicho raro en ingeniería, aunque éramos pocas»</t>
  </si>
  <si>
    <t>A sus 41 años, la ingeniera industrial ferrolana Mónica Veiga Gómez está viviendo su propia aventura personal y profesional en Lima, donde ejerce como jefa....</t>
  </si>
  <si>
    <t>Mónica Veiga Gómez, head of strategic developments at the Repsol refinery in Lima: "I never felt like a weirdo in engineering, although there were few of us"</t>
  </si>
  <si>
    <t>At 41 years old, the industrial engineer from Ferrol Mónica Veiga Gómez is living her own personal and professional adventure in Lima, where she works as boss....</t>
  </si>
  <si>
    <t>Repsol leadership, corporate strategy</t>
  </si>
  <si>
    <t>Liderazgo Repsol, estrategia corporativa</t>
  </si>
  <si>
    <t>Positive as it highlights a personal and professional success story.</t>
  </si>
  <si>
    <t>Mildly positive for diversity</t>
  </si>
  <si>
    <t>Ligeramente positivo para la diversidad</t>
  </si>
  <si>
    <r>
      <rPr>
        <rFont val="Arial, sans-serif"/>
        <color rgb="FF1155CC"/>
        <sz val="9.0"/>
        <u/>
      </rPr>
      <t>Box Repsol</t>
    </r>
    <r>
      <rPr>
        <rFont val="Arial, sans-serif"/>
        <color rgb="FF1155CC"/>
        <sz val="15.0"/>
        <u/>
      </rPr>
      <t>Toni Bou sigue reinando</t>
    </r>
    <r>
      <rPr>
        <rFont val="Arial, sans-serif"/>
        <color rgb="FF1155CC"/>
        <sz val="11.0"/>
        <u/>
      </rPr>
      <t>A falta de dos pruebas para terminar el Mundial 2024, Toni Bou ha logrado ampliar su palmarés en la prueba celebrada hoy en Francia con un nuevo título de...</t>
    </r>
    <r>
      <rPr>
        <rFont val="Arial, sans-serif"/>
        <color rgb="FF1155CC"/>
        <sz val="12.0"/>
        <u/>
      </rPr>
      <t>.</t>
    </r>
    <r>
      <rPr>
        <rFont val="Arial, sans-serif"/>
        <color rgb="FF1155CC"/>
        <sz val="11.0"/>
        <u/>
      </rPr>
      <t>25 ago 2024</t>
    </r>
  </si>
  <si>
    <t>Toni Bou sigue reinando</t>
  </si>
  <si>
    <t>A falta de dos pruebas para terminar el Mundial 2024, Toni Bou ha logrado ampliar su palmarés en la prueba celebrada hoy en Francia con un nuevo título de....</t>
  </si>
  <si>
    <t>Toni Bou continues to reign</t>
  </si>
  <si>
    <t>With two events left to finish the 2024 World Championship, Toni Bou has managed to expand his record in the event held today in France with a new title of...</t>
  </si>
  <si>
    <r>
      <rPr>
        <rFont val="Arial, sans-serif"/>
        <color rgb="FF1155CC"/>
        <sz val="9.0"/>
        <u/>
      </rPr>
      <t>La Vanguardia</t>
    </r>
    <r>
      <rPr>
        <rFont val="Arial, sans-serif"/>
        <color rgb="FF1155CC"/>
        <sz val="15.0"/>
        <u/>
      </rPr>
      <t>Toni Bou sigue engrosando su cuenta interminable en el trial con su 35.º título mundial</t>
    </r>
    <r>
      <rPr>
        <rFont val="Arial, sans-serif"/>
        <color rgb="FF1155CC"/>
        <sz val="11.0"/>
        <u/>
      </rPr>
      <t>Lo ha vuelto a hacer. Toni Bou (Montesa Repsol) se ha apuntado su 18.º título mundial de trial al aire libre con su victoria en el TrialGP de Francia,...</t>
    </r>
    <r>
      <rPr>
        <rFont val="Arial, sans-serif"/>
        <color rgb="FF1155CC"/>
        <sz val="12.0"/>
        <u/>
      </rPr>
      <t>.</t>
    </r>
    <r>
      <rPr>
        <rFont val="Arial, sans-serif"/>
        <color rgb="FF1155CC"/>
        <sz val="11.0"/>
        <u/>
      </rPr>
      <t>25 ago 2024</t>
    </r>
  </si>
  <si>
    <t>Toni Bou sigue engrosando su cuenta interminable en el trial con su 35.º título mundial</t>
  </si>
  <si>
    <t>Lo ha vuelto a hacer. Toni Bou (Montesa Repsol) se ha apuntado su 18.º título mundial de trial al aire libre con su victoria en el TrialGP de Francia,....</t>
  </si>
  <si>
    <t>Toni Bou continues adding to his endless tally in trials with his 35th world title</t>
  </si>
  <si>
    <t>He has done it again. Toni Bou (Montesa Repsol) has claimed his 18th outdoor trial world title with his victory in the French TrialGP,....</t>
  </si>
  <si>
    <r>
      <rPr>
        <rFont val="Arial, sans-serif"/>
        <color rgb="FF1155CC"/>
        <sz val="9.0"/>
        <u/>
      </rPr>
      <t>Relevo</t>
    </r>
    <r>
      <rPr>
        <rFont val="Arial, sans-serif"/>
        <color rgb="FF1155CC"/>
        <sz val="15.0"/>
        <u/>
      </rPr>
      <t>Suma y sigue Toni Bou: campeón del mundo de trial... ¡por 35ª vez!</t>
    </r>
    <r>
      <rPr>
        <rFont val="Arial, sans-serif"/>
        <color rgb="FF1155CC"/>
        <sz val="11.0"/>
        <u/>
      </rPr>
      <t>El piloto español ganó el Gran Premio de Francia y consiguió su decimoctavo título al aire libre.</t>
    </r>
    <r>
      <rPr>
        <rFont val="Arial, sans-serif"/>
        <color rgb="FF1155CC"/>
        <sz val="12.0"/>
        <u/>
      </rPr>
      <t>.</t>
    </r>
    <r>
      <rPr>
        <rFont val="Arial, sans-serif"/>
        <color rgb="FF1155CC"/>
        <sz val="11.0"/>
        <u/>
      </rPr>
      <t>25 ago 2024</t>
    </r>
  </si>
  <si>
    <t>Suma y sigue Toni Bou: campeón del mundo de trial... ¡por 35ª vez!</t>
  </si>
  <si>
    <t>El piloto español ganó el Gran Premio de Francia y consiguió su decimoctavo título al aire libre.</t>
  </si>
  <si>
    <t>Add and continue Toni Bou: trial world champion... for the 35th time!</t>
  </si>
  <si>
    <t>The Spanish driver won the French Grand Prix and won his eighteenth outdoor title.</t>
  </si>
  <si>
    <r>
      <rPr>
        <rFont val="Arial, sans-serif"/>
        <color rgb="FF1155CC"/>
        <sz val="9.0"/>
        <u/>
      </rPr>
      <t>Moto1Pro</t>
    </r>
    <r>
      <rPr>
        <rFont val="Arial, sans-serif"/>
        <color rgb="FF1155CC"/>
        <sz val="15.0"/>
        <u/>
      </rPr>
      <t>Toni Bou ¡Campeón del Mundo de TrialGP 2024!</t>
    </r>
    <r>
      <rPr>
        <rFont val="Arial, sans-serif"/>
        <color rgb="FF1155CC"/>
        <sz val="11.0"/>
        <u/>
      </rPr>
      <t>El piloto del Repsol Honda Team Toni Bou amplía su palmarés hasta los 35 títulos mundiales; 18 en la disciplina al aire libre y 17 en X-Trial.</t>
    </r>
    <r>
      <rPr>
        <rFont val="Arial, sans-serif"/>
        <color rgb="FF1155CC"/>
        <sz val="12.0"/>
        <u/>
      </rPr>
      <t>.</t>
    </r>
    <r>
      <rPr>
        <rFont val="Arial, sans-serif"/>
        <color rgb="FF1155CC"/>
        <sz val="11.0"/>
        <u/>
      </rPr>
      <t>25 ago 2024</t>
    </r>
  </si>
  <si>
    <t>¡Campeón del Mundo de TrialGP 2024!</t>
  </si>
  <si>
    <t>El piloto del Repsol Honda Team Toni Bou amplía su palmarés hasta los 35 títulos mundiales; 18 en la disciplina al aire libre y 17 en X-Trial.</t>
  </si>
  <si>
    <t>TrialGP World Champion 2024!</t>
  </si>
  <si>
    <t>Repsol Honda Team rider Toni Bou extends his record to 35 world titles; 18 in the outdoor discipline and 17 in X-Trial.</t>
  </si>
  <si>
    <r>
      <rPr>
        <rFont val="Arial, sans-serif"/>
        <color rgb="FF1155CC"/>
        <sz val="9.0"/>
        <u/>
      </rPr>
      <t>El Periódico Extremadura</t>
    </r>
    <r>
      <rPr>
        <rFont val="Arial, sans-serif"/>
        <color rgb="FF1155CC"/>
        <sz val="15.0"/>
        <u/>
      </rPr>
      <t>La cocina viajera de Plasencia que aparece en las guías más prestigiosas</t>
    </r>
    <r>
      <rPr>
        <rFont val="Arial, sans-serif"/>
        <color rgb="FF1155CC"/>
        <sz val="11.0"/>
        <u/>
      </rPr>
      <t>Juanjo Piris es el dueño del restaurante de éxito en Plasencia, Parada de la Reina. Desde que su restaurante está incluido en célebres guías su evolución ha...</t>
    </r>
    <r>
      <rPr>
        <rFont val="Arial, sans-serif"/>
        <color rgb="FF1155CC"/>
        <sz val="12.0"/>
        <u/>
      </rPr>
      <t>.</t>
    </r>
    <r>
      <rPr>
        <rFont val="Arial, sans-serif"/>
        <color rgb="FF1155CC"/>
        <sz val="11.0"/>
        <u/>
      </rPr>
      <t>25 ago 2024</t>
    </r>
  </si>
  <si>
    <t>La cocina viajera de Plasencia que aparece en las guías más prestigiosas</t>
  </si>
  <si>
    <t>Juanjo Piris es el dueño del restaurante de éxito en Plasencia, Parada de la Reina. Desde que su restaurante está incluido en célebres guías su evolución ha....</t>
  </si>
  <si>
    <t>The traveling cuisine of Plasencia that appears in the most prestigious guides</t>
  </si>
  <si>
    <t>Juanjo Piris is the owner of the successful restaurant in Plasencia, Parada de la Reina. Since his restaurant is included in famous guides, its evolution has....</t>
  </si>
  <si>
    <r>
      <rPr>
        <rFont val="Arial, sans-serif"/>
        <color rgb="FF1155CC"/>
        <sz val="9.0"/>
        <u/>
      </rPr>
      <t>DAZN</t>
    </r>
    <r>
      <rPr>
        <rFont val="Arial, sans-serif"/>
        <color rgb="FF1155CC"/>
        <sz val="15.0"/>
        <u/>
      </rPr>
      <t>¿Quién es Fabio Sterlacchini? El ingeniero que ilusiona a Honda y que fue mano derecha de Gigi Dall’Igna en Ducati</t>
    </r>
    <r>
      <rPr>
        <rFont val="Arial, sans-serif"/>
        <color rgb="FF1155CC"/>
        <sz val="11.0"/>
        <u/>
      </rPr>
      <t>Descubre en DAZN quién es la posible próxima incorporación del equipo japonés Honda, Fabiano Sterlacchini, para resolver su crisis de resultados.</t>
    </r>
    <r>
      <rPr>
        <rFont val="Arial, sans-serif"/>
        <color rgb="FF1155CC"/>
        <sz val="12.0"/>
        <u/>
      </rPr>
      <t>.</t>
    </r>
    <r>
      <rPr>
        <rFont val="Arial, sans-serif"/>
        <color rgb="FF1155CC"/>
        <sz val="11.0"/>
        <u/>
      </rPr>
      <t>25 ago 2024</t>
    </r>
  </si>
  <si>
    <t>¿Quién es Fabio Sterlacchini? El ingeniero que ilusiona a Honda y que fue mano derecha de Gigi Dall’Igna en Ducati</t>
  </si>
  <si>
    <t>Descubre en DAZN quién es la posible próxima incorporación del equipo japonés Honda, Fabiano Sterlacchini, para resolver su crisis de resultados.</t>
  </si>
  <si>
    <t>Who is Fabio Sterlacchini? The engineer who excites Honda and who was Gigi Dall'Igna's right-hand man at Ducati</t>
  </si>
  <si>
    <t>Discover on DAZN who is the possible next incorporation of the Japanese Honda team, Fabiano Sterlacchini, to resolve its results crisis.</t>
  </si>
  <si>
    <r>
      <rPr>
        <rFont val="Arial, sans-serif"/>
        <color rgb="FF1155CC"/>
        <sz val="9.0"/>
        <u/>
      </rPr>
      <t>Marca.com</t>
    </r>
    <r>
      <rPr>
        <rFont val="Arial, sans-serif"/>
        <color rgb="FF1155CC"/>
        <sz val="15.0"/>
        <u/>
      </rPr>
      <t>Toni Bou hace historia y gana su 35º título mundial</t>
    </r>
    <r>
      <rPr>
        <rFont val="Arial, sans-serif"/>
        <color rgb="FF1155CC"/>
        <sz val="11.0"/>
        <u/>
      </rPr>
      <t>El español agranda su leyenda tras conseguir su decimoctavo campeonato del Mundo de trial outdoor.</t>
    </r>
    <r>
      <rPr>
        <rFont val="Arial, sans-serif"/>
        <color rgb="FF1155CC"/>
        <sz val="12.0"/>
        <u/>
      </rPr>
      <t>.</t>
    </r>
    <r>
      <rPr>
        <rFont val="Arial, sans-serif"/>
        <color rgb="FF1155CC"/>
        <sz val="11.0"/>
        <u/>
      </rPr>
      <t>25 ago 2024</t>
    </r>
  </si>
  <si>
    <t>Toni Bou hace historia y gana su 35º título mundial</t>
  </si>
  <si>
    <t>El español agranda su leyenda tras conseguir su decimoctavo campeonato del Mundo de trial outdoor.</t>
  </si>
  <si>
    <t>Toni Bou makes history and wins his 35th world title</t>
  </si>
  <si>
    <t>The Spaniard expands his legend after winning his eighteenth outdoor trial World Championship.</t>
  </si>
  <si>
    <r>
      <rPr>
        <rFont val="Arial, sans-serif"/>
        <color rgb="FF1155CC"/>
        <sz val="9.0"/>
        <u/>
      </rPr>
      <t>Diari ARA</t>
    </r>
    <r>
      <rPr>
        <rFont val="Arial, sans-serif"/>
        <color rgb="FF1155CC"/>
        <sz val="15.0"/>
        <u/>
      </rPr>
      <t>Eólica marina en el golfo de Roses: Repsol Renovables presenta un proyecto de 70 molinos con 1.050 MW</t>
    </r>
    <r>
      <rPr>
        <rFont val="Arial, sans-serif"/>
        <color rgb="FF1155CC"/>
        <sz val="11.0"/>
        <u/>
      </rPr>
      <t>La compañía energética estudia un proyecto de 70 aerogeneradores, con una potencia total de 1.050 MW.</t>
    </r>
    <r>
      <rPr>
        <rFont val="Arial, sans-serif"/>
        <color rgb="FF1155CC"/>
        <sz val="12.0"/>
        <u/>
      </rPr>
      <t>.</t>
    </r>
    <r>
      <rPr>
        <rFont val="Arial, sans-serif"/>
        <color rgb="FF1155CC"/>
        <sz val="11.0"/>
        <u/>
      </rPr>
      <t>26 ago 2024</t>
    </r>
  </si>
  <si>
    <t>Eólica marina en el golfo de Roses: Repsol Renovables presenta un proyecto de 70 molinos con 1.050 MW</t>
  </si>
  <si>
    <t>La compañía energética estudia un proyecto de 70 aerogeneradores, con una potencia total de 1.050 MW.</t>
  </si>
  <si>
    <t>Offshore wind in the Gulf of Roses: Repsol Renovables presents a project of 70 mills with 1,050 MW</t>
  </si>
  <si>
    <t>The energy company is studying a project of 70 wind turbines, with a total power of 1,050 MW.</t>
  </si>
  <si>
    <t>Positive as it discusses a renewable energy project.</t>
  </si>
  <si>
    <r>
      <rPr>
        <rFont val="Arial, sans-serif"/>
        <color rgb="FF1155CC"/>
        <sz val="9.0"/>
        <u/>
      </rPr>
      <t>XTB.com</t>
    </r>
    <r>
      <rPr>
        <rFont val="Arial, sans-serif"/>
        <color rgb="FF1155CC"/>
        <sz val="15.0"/>
        <u/>
      </rPr>
      <t>¿Por qué suben las acciones de Repsol?</t>
    </r>
    <r>
      <rPr>
        <rFont val="Arial, sans-serif"/>
        <color rgb="FF1155CC"/>
        <sz val="11.0"/>
        <u/>
      </rPr>
      <t>Las acciones de Repsol suben y lideran la tabla del Ibex35 tras el último ataque de Hezbollah a Israel, que ha disparado el precio del petróleo.</t>
    </r>
    <r>
      <rPr>
        <rFont val="Arial, sans-serif"/>
        <color rgb="FF1155CC"/>
        <sz val="12.0"/>
        <u/>
      </rPr>
      <t>.</t>
    </r>
    <r>
      <rPr>
        <rFont val="Arial, sans-serif"/>
        <color rgb="FF1155CC"/>
        <sz val="11.0"/>
        <u/>
      </rPr>
      <t>26 ago 2024</t>
    </r>
  </si>
  <si>
    <t>¿Por qué suben las acciones de Repsol?</t>
  </si>
  <si>
    <t>Las acciones de Repsol suben y lideran la tabla del Ibex35 tras el último ataque de Hezbollah a Israel, que ha disparado el precio del petróleo.</t>
  </si>
  <si>
    <t>Why are Repsol shares rising?</t>
  </si>
  <si>
    <t>Repsol shares rise and lead the Ibex35 table after the latest attack by Hezbollah on Israel, which has skyrocketed the price of oil.</t>
  </si>
  <si>
    <t>Positive for Repsol's stock, though the reason is a geopolitical crisis.</t>
  </si>
  <si>
    <t>suben</t>
  </si>
  <si>
    <t>Positive for stock performance</t>
  </si>
  <si>
    <t>Positivo para el rendimiento de las acciones</t>
  </si>
  <si>
    <r>
      <rPr>
        <rFont val="Arial, sans-serif"/>
        <color rgb="FF1155CC"/>
        <sz val="9.0"/>
        <u/>
      </rPr>
      <t>Finanzas.com</t>
    </r>
    <r>
      <rPr>
        <rFont val="Arial, sans-serif"/>
        <color rgb="FF1155CC"/>
        <sz val="15.0"/>
        <u/>
      </rPr>
      <t>Repsol lidera un IBEX 35 sin fuelle en la media sesión</t>
    </r>
    <r>
      <rPr>
        <rFont val="Arial, sans-serif"/>
        <color rgb="FF1155CC"/>
        <sz val="11.0"/>
        <u/>
      </rPr>
      <t>El IBEX 35 repite precio a media sesión en una jornada marcada por el festivo de Londres y la cautela ante el incremento de la tensión en Oriente Medio.</t>
    </r>
    <r>
      <rPr>
        <rFont val="Arial, sans-serif"/>
        <color rgb="FF1155CC"/>
        <sz val="12.0"/>
        <u/>
      </rPr>
      <t>.</t>
    </r>
    <r>
      <rPr>
        <rFont val="Arial, sans-serif"/>
        <color rgb="FF1155CC"/>
        <sz val="11.0"/>
        <u/>
      </rPr>
      <t>26 ago 2024</t>
    </r>
  </si>
  <si>
    <t>Repsol lidera un IBEX 35 sin fuelle en la media sesión</t>
  </si>
  <si>
    <t>El IBEX 35 repite precio a media sesión en una jornada marcada por el festivo de Londres y la cautela ante el incremento de la tensión en Oriente Medio.</t>
  </si>
  <si>
    <t>Repsol leads an IBEX 35 without steam in the mid-session</t>
  </si>
  <si>
    <t>The IBEX 35 repeats its price at mid-session in a day marked by the London holiday and caution regarding the increase in tension in the Middle East.</t>
  </si>
  <si>
    <t>Negative due to concerns about market uncertainty.</t>
  </si>
  <si>
    <t>lidera</t>
  </si>
  <si>
    <t>Mildly positive for market position</t>
  </si>
  <si>
    <t>Ligeramente positivo para la posición en el mercado</t>
  </si>
  <si>
    <r>
      <rPr>
        <rFont val="Arial, sans-serif"/>
        <color rgb="FF1155CC"/>
        <sz val="9.0"/>
        <u/>
      </rPr>
      <t>Guía Repsol</t>
    </r>
    <r>
      <rPr>
        <rFont val="Arial, sans-serif"/>
        <color rgb="FF1155CC"/>
        <sz val="15.0"/>
        <u/>
      </rPr>
      <t>Bares, heladerías, cafeterías y dónde comer en Albacete</t>
    </r>
    <r>
      <rPr>
        <rFont val="Arial, sans-serif"/>
        <color rgb="FF1155CC"/>
        <sz val="11.0"/>
        <u/>
      </rPr>
      <t>Desde tapas hasta helados artesanales, Albacete te ofrece una variedad de opciones gastronómicas. Encuentra bares, cafeterías y restaurantes para cualquier...</t>
    </r>
    <r>
      <rPr>
        <rFont val="Arial, sans-serif"/>
        <color rgb="FF1155CC"/>
        <sz val="12.0"/>
        <u/>
      </rPr>
      <t>.</t>
    </r>
    <r>
      <rPr>
        <rFont val="Arial, sans-serif"/>
        <color rgb="FF1155CC"/>
        <sz val="11.0"/>
        <u/>
      </rPr>
      <t>26 ago 2024</t>
    </r>
  </si>
  <si>
    <t>Bares, heladerías, cafeterías y dónde comer en Albacete</t>
  </si>
  <si>
    <t>Desde tapas hasta helados artesanales, Albacete te ofrece una variedad de opciones gastronómicas. Encuentra bares, cafeterías y restaurantes para cualquier....</t>
  </si>
  <si>
    <t>Bars, ice cream parlors, cafes and where to eat in Albacete</t>
  </si>
  <si>
    <t>From tapas to artisanal ice cream, Albacete offers you a variety of gastronomic options. Find bars, cafes and restaurants for any...</t>
  </si>
  <si>
    <r>
      <rPr>
        <rFont val="Arial, sans-serif"/>
        <color rgb="FF1155CC"/>
        <sz val="9.0"/>
        <u/>
      </rPr>
      <t>Bolsamania</t>
    </r>
    <r>
      <rPr>
        <rFont val="Arial, sans-serif"/>
        <color rgb="FF1155CC"/>
        <sz val="15.0"/>
        <u/>
      </rPr>
      <t>"Repsol y otras siete acciones europeas con un claro potencial alcista"</t>
    </r>
    <r>
      <rPr>
        <rFont val="Arial, sans-serif"/>
        <color rgb="FF1155CC"/>
        <sz val="11.0"/>
        <u/>
      </rPr>
      <t>En su repaso periódico a la renta variable europea, los expertos de Morningstar destacan el potencial alcista que observan en ocho compañías europeas en...</t>
    </r>
    <r>
      <rPr>
        <rFont val="Arial, sans-serif"/>
        <color rgb="FF1155CC"/>
        <sz val="12.0"/>
        <u/>
      </rPr>
      <t>.</t>
    </r>
    <r>
      <rPr>
        <rFont val="Arial, sans-serif"/>
        <color rgb="FF1155CC"/>
        <sz val="11.0"/>
        <u/>
      </rPr>
      <t>26 ago 2024</t>
    </r>
  </si>
  <si>
    <t>Repsol y otras siete acciones europeas con un claro potencial alcista</t>
  </si>
  <si>
    <t>En su repaso periódico a la renta variable europea, los expertos de Morningstar destacan el potencial alcista que observan en ocho compañías europeas en....</t>
  </si>
  <si>
    <t>Repsol and seven other European stocks with clear upside potential</t>
  </si>
  <si>
    <t>In their periodic review of European equities, Morningstar experts highlight the upward potential they observe in eight European companies in...</t>
  </si>
  <si>
    <t>Positive as it suggests Repsol’s stock may rise.</t>
  </si>
  <si>
    <t>Positive for investment outlook</t>
  </si>
  <si>
    <t>Positivo para las perspectivas de inversión</t>
  </si>
  <si>
    <r>
      <rPr>
        <rFont val="Arial, sans-serif"/>
        <color rgb="FF1155CC"/>
        <sz val="9.0"/>
        <u/>
      </rPr>
      <t>EL PAÍS</t>
    </r>
    <r>
      <rPr>
        <rFont val="Arial, sans-serif"/>
        <color rgb="FF1155CC"/>
        <sz val="15.0"/>
        <u/>
      </rPr>
      <t>Repsol se suma a la eólica marina con la propuesta de instalar 70 aerogeneradores en la Costa Brava</t>
    </r>
    <r>
      <rPr>
        <rFont val="Arial, sans-serif"/>
        <color rgb="FF1155CC"/>
        <sz val="11.0"/>
        <u/>
      </rPr>
      <t>Con este son siete los proyectos existentes pendientes de optar al concurso que convocará el Estado.</t>
    </r>
    <r>
      <rPr>
        <rFont val="Arial, sans-serif"/>
        <color rgb="FF1155CC"/>
        <sz val="12.0"/>
        <u/>
      </rPr>
      <t>.</t>
    </r>
    <r>
      <rPr>
        <rFont val="Arial, sans-serif"/>
        <color rgb="FF1155CC"/>
        <sz val="11.0"/>
        <u/>
      </rPr>
      <t>26 ago 2024</t>
    </r>
  </si>
  <si>
    <t>Repsol se suma a la eólica marina con la propuesta de instalar 70 aerogeneradores en la Costa Brava</t>
  </si>
  <si>
    <t>Con este son siete los proyectos existentes pendientes de optar al concurso que convocará el Estado.</t>
  </si>
  <si>
    <t>Repsol joins the offshore wind industry with the proposal to install 70 wind turbines on the Costa Brava</t>
  </si>
  <si>
    <t>With this, there are seven existing projects pending to be eligible for the competition that the State will call.</t>
  </si>
  <si>
    <t>Positive as it discusses a renewable energy initiative.</t>
  </si>
  <si>
    <r>
      <rPr>
        <rFont val="Arial, sans-serif"/>
        <color rgb="FF1155CC"/>
        <sz val="9.0"/>
        <u/>
      </rPr>
      <t>RTVE.es</t>
    </r>
    <r>
      <rPr>
        <rFont val="Arial, sans-serif"/>
        <color rgb="FF1155CC"/>
        <sz val="15.0"/>
        <u/>
      </rPr>
      <t>Inteligencia Artificial en el entorno laboral: puede suponer un ahorro de más de 100 horas de trabajo al año</t>
    </r>
    <r>
      <rPr>
        <rFont val="Arial, sans-serif"/>
        <color rgb="FF1155CC"/>
        <sz val="11.0"/>
        <u/>
      </rPr>
      <t>Repsol ha calculado el impacto de la IA generativa y concluyen que los empleados son más productivos y consiguen un trabajo de mayor calidad.</t>
    </r>
    <r>
      <rPr>
        <rFont val="Arial, sans-serif"/>
        <color rgb="FF1155CC"/>
        <sz val="12.0"/>
        <u/>
      </rPr>
      <t>.</t>
    </r>
    <r>
      <rPr>
        <rFont val="Arial, sans-serif"/>
        <color rgb="FF1155CC"/>
        <sz val="11.0"/>
        <u/>
      </rPr>
      <t>26 ago 2024</t>
    </r>
  </si>
  <si>
    <t>Inteligencia Artificial en el entorno laboral: puede suponer un ahorro de más de 100 horas de trabajo al año</t>
  </si>
  <si>
    <t>Repsol ha calculado el impacto de la IA generativa y concluyen que los empleados son más productivos y consiguen un trabajo de mayor calidad.</t>
  </si>
  <si>
    <t>Artificial Intelligence in the work environment: it can save more than 100 hours of work per year</t>
  </si>
  <si>
    <t>Repsol has calculated the impact of generative AI and concludes that employees are more productive and achieve higher quality work.</t>
  </si>
  <si>
    <t>Repsol AI initiatives, business efficiency</t>
  </si>
  <si>
    <t>Iniciativas de Repsol en IA, eficiencia empresarial</t>
  </si>
  <si>
    <t>Positive as it discusses efficiency and technological progress.</t>
  </si>
  <si>
    <r>
      <rPr>
        <rFont val="Arial, sans-serif"/>
        <color rgb="FF1155CC"/>
        <sz val="9.0"/>
        <u/>
      </rPr>
      <t>Estrategias de Inversión</t>
    </r>
    <r>
      <rPr>
        <rFont val="Arial, sans-serif"/>
        <color rgb="FF1155CC"/>
        <sz val="15.0"/>
        <u/>
      </rPr>
      <t>Repsol y Colonial intentan llevar al Ibex 35 a los 11.300 puntos</t>
    </r>
    <r>
      <rPr>
        <rFont val="Arial, sans-serif"/>
        <color rgb="FF1155CC"/>
        <sz val="11.0"/>
        <u/>
      </rPr>
      <t>Ibex 35: Tímidas subidas para el índice, que de la mano de Repsol y Colonial intenta alcanzar los 11.300 puntos.</t>
    </r>
    <r>
      <rPr>
        <rFont val="Arial, sans-serif"/>
        <color rgb="FF1155CC"/>
        <sz val="12.0"/>
        <u/>
      </rPr>
      <t>.</t>
    </r>
    <r>
      <rPr>
        <rFont val="Arial, sans-serif"/>
        <color rgb="FF1155CC"/>
        <sz val="11.0"/>
        <u/>
      </rPr>
      <t>26 ago 2024</t>
    </r>
  </si>
  <si>
    <t>Repsol y Colonial intentan llevar al Ibex 35 a los 11.300 puntos</t>
  </si>
  <si>
    <t>Tímidas subidas para el índice, que de la mano de Repsol y Colonial intenta alcanzar los 11.300 puntos.</t>
  </si>
  <si>
    <t>Repsol and Colonial try to take the Ibex 35 to 11,300 points</t>
  </si>
  <si>
    <t>Timid increases for the index, which, thanks to Repsol and Colonial, is trying to reach 11,300 points.</t>
  </si>
  <si>
    <t>Positive as it suggests stock market improvement.</t>
  </si>
  <si>
    <t>Mildly positive for market influence</t>
  </si>
  <si>
    <t>Ligeramente positivo para la influencia del mercado</t>
  </si>
  <si>
    <r>
      <rPr>
        <rFont val="Arial, sans-serif"/>
        <color rgb="FF1155CC"/>
        <sz val="9.0"/>
        <u/>
      </rPr>
      <t>El Español</t>
    </r>
    <r>
      <rPr>
        <rFont val="Arial, sans-serif"/>
        <color rgb="FF1155CC"/>
        <sz val="15.0"/>
        <u/>
      </rPr>
      <t>El restaurante de carretera en la A-7 que ofrece un buffet libre recomendado por la Guía Repsol por menos de 20 euros</t>
    </r>
    <r>
      <rPr>
        <rFont val="Arial, sans-serif"/>
        <color rgb="FF1155CC"/>
        <sz val="11.0"/>
        <u/>
      </rPr>
      <t>Ubicado en Altafulla, Tarragona, este restaurante destaca por su precio y es un favorito de los viajeros de la Autovía del Mediterráneo.</t>
    </r>
    <r>
      <rPr>
        <rFont val="Arial, sans-serif"/>
        <color rgb="FF1155CC"/>
        <sz val="12.0"/>
        <u/>
      </rPr>
      <t>.</t>
    </r>
    <r>
      <rPr>
        <rFont val="Arial, sans-serif"/>
        <color rgb="FF1155CC"/>
        <sz val="11.0"/>
        <u/>
      </rPr>
      <t>26 ago 2024</t>
    </r>
  </si>
  <si>
    <t>El restaurante de carretera en la A-7 que ofrece un buffet libre recomendado por la Guía Repsol por menos de 20 euros</t>
  </si>
  <si>
    <t>Ubicado en Altafulla, Tarragona, este restaurante destaca por su precio y es un favorito de los viajeros de la Autovía del Mediterráneo.</t>
  </si>
  <si>
    <t>The roadside restaurant on the A-7 that offers an all-you-can-eat buffet recommended by the Repsol Guide for less than 20 euros</t>
  </si>
  <si>
    <t>Located in Altafulla, Tarragona, this restaurant stands out for its price and is a favorite of travelers on the Mediterranean Highway.</t>
  </si>
  <si>
    <r>
      <rPr>
        <rFont val="Arial, sans-serif"/>
        <color rgb="FF1155CC"/>
        <sz val="9.0"/>
        <u/>
      </rPr>
      <t>Box Repsol</t>
    </r>
    <r>
      <rPr>
        <rFont val="Arial, sans-serif"/>
        <color rgb="FF1155CC"/>
        <sz val="15.0"/>
        <u/>
      </rPr>
      <t>MotoGP MotorLand 2024: Horarios y dónde ver por TV y online la actividad del GP de Aragón</t>
    </r>
    <r>
      <rPr>
        <rFont val="Arial, sans-serif"/>
        <color rgb="FF1155CC"/>
        <sz val="11.0"/>
        <u/>
      </rPr>
      <t>El circuito de Aragón será sede de la duodécima cita mundialista de la temporada 2024 para los pilotos de MotoGP. Tras el GP de Austria, el Gran Premio de...</t>
    </r>
    <r>
      <rPr>
        <rFont val="Arial, sans-serif"/>
        <color rgb="FF1155CC"/>
        <sz val="12.0"/>
        <u/>
      </rPr>
      <t>.</t>
    </r>
    <r>
      <rPr>
        <rFont val="Arial, sans-serif"/>
        <color rgb="FF1155CC"/>
        <sz val="11.0"/>
        <u/>
      </rPr>
      <t>26 ago 2024</t>
    </r>
  </si>
  <si>
    <t>MotorLand 2024: Horarios y dónde ver por TV y online la actividad del GP de Aragón</t>
  </si>
  <si>
    <t>El circuito de Aragón será sede de la duodécima cita mundialista de la temporada 2024 para los pilotos de MotoGP. Tras el GP de Austria, el Gran Premio de....</t>
  </si>
  <si>
    <t>MotorLand 2024: Schedules and where to watch the Aragon GP activity on TV and online</t>
  </si>
  <si>
    <t>The Aragón circuit will host the twelfth World Cup event of the 2024 season for MotoGP riders. After the Austrian GP, ​​the Grand Prix of...</t>
  </si>
  <si>
    <r>
      <rPr>
        <rFont val="Arial, sans-serif"/>
        <color rgb="FF1155CC"/>
        <sz val="9.0"/>
        <u/>
      </rPr>
      <t>VIA Empresa</t>
    </r>
    <r>
      <rPr>
        <rFont val="Arial, sans-serif"/>
        <color rgb="FF1155CC"/>
        <sz val="15.0"/>
        <u/>
      </rPr>
      <t>Proyectan un nuevo parque eólico marino en el golfo de Roses con 70 aerogeneradores</t>
    </r>
    <r>
      <rPr>
        <rFont val="Arial, sans-serif"/>
        <color rgb="FF1155CC"/>
        <sz val="11.0"/>
        <u/>
      </rPr>
      <t>El proyecto está en fase de consultas previas y es el séptimo que se plantea en la zona conocida como LEBA-1. Girona. Repsol Renovables projecta un nou parc...</t>
    </r>
    <r>
      <rPr>
        <rFont val="Arial, sans-serif"/>
        <color rgb="FF1155CC"/>
        <sz val="12.0"/>
        <u/>
      </rPr>
      <t>.</t>
    </r>
    <r>
      <rPr>
        <rFont val="Arial, sans-serif"/>
        <color rgb="FF1155CC"/>
        <sz val="11.0"/>
        <u/>
      </rPr>
      <t>26 ago 2024</t>
    </r>
  </si>
  <si>
    <t>Proyectan un nuevo parque eólico marino en el golfo de Roses con 70 aerogeneradores</t>
  </si>
  <si>
    <t>El proyecto está en fase de consultas previas y es el séptimo que se plantea en la zona conocida como LEBA-1. Girona. Repsol Renovables projecta un nou parc....</t>
  </si>
  <si>
    <t>They plan a new offshore wind farm in the Gulf of Roses with 70 wind turbines</t>
  </si>
  <si>
    <t>The project is in the prior consultation phase and is the seventh proposed in the area known as LEBA-1. Girona. Repsol Renovables projects a new park....</t>
  </si>
  <si>
    <t>eólico marino</t>
  </si>
  <si>
    <r>
      <rPr>
        <rFont val="Arial, sans-serif"/>
        <color rgb="FF1155CC"/>
        <sz val="9.0"/>
        <u/>
      </rPr>
      <t>El Món</t>
    </r>
    <r>
      <rPr>
        <rFont val="Arial, sans-serif"/>
        <color rgb="FF1155CC"/>
        <sz val="15.0"/>
        <u/>
      </rPr>
      <t>Proyectan un nuevo parque eólico marino en el golf de Roses con 70 aerogeneradores</t>
    </r>
    <r>
      <rPr>
        <rFont val="Arial, sans-serif"/>
        <color rgb="FF1155CC"/>
        <sz val="11.0"/>
        <u/>
      </rPr>
      <t>El proyecto se encuentra en fase de consultas previas después de haber sido presentado en noviembre.</t>
    </r>
    <r>
      <rPr>
        <rFont val="Arial, sans-serif"/>
        <color rgb="FF1155CC"/>
        <sz val="12.0"/>
        <u/>
      </rPr>
      <t>.</t>
    </r>
    <r>
      <rPr>
        <rFont val="Arial, sans-serif"/>
        <color rgb="FF1155CC"/>
        <sz val="11.0"/>
        <u/>
      </rPr>
      <t>26 ago 2024</t>
    </r>
  </si>
  <si>
    <t>Proyectan un nuevo parque eólico marino en el golf de Roses con 70 aerogeneradores</t>
  </si>
  <si>
    <t>El proyecto se encuentra en fase de consultas previas después de haber sido presentado en noviembre.</t>
  </si>
  <si>
    <t>They plan a new offshore wind farm in the Golf of Roses with 70 wind turbines</t>
  </si>
  <si>
    <t>The project is in the prior consultation phase after having been presented in November.</t>
  </si>
  <si>
    <t>Positive as it highlights a renewable energy initiative.</t>
  </si>
  <si>
    <r>
      <rPr>
        <rFont val="Arial, sans-serif"/>
        <color rgb="FF1155CC"/>
        <sz val="9.0"/>
        <u/>
      </rPr>
      <t>La Voz de Galicia</t>
    </r>
    <r>
      <rPr>
        <rFont val="Arial, sans-serif"/>
        <color rgb="FF1155CC"/>
        <sz val="15.0"/>
        <u/>
      </rPr>
      <t>Personal de una empresa auxiliar de Refinería de A Coruña suspende huelga tras cobrar salario</t>
    </r>
    <r>
      <rPr>
        <rFont val="Arial, sans-serif"/>
        <color rgb="FF1155CC"/>
        <sz val="11.0"/>
        <u/>
      </rPr>
      <t>La plantilla cobró los salarios y levantó el paro que tenía convocado.</t>
    </r>
    <r>
      <rPr>
        <rFont val="Arial, sans-serif"/>
        <color rgb="FF1155CC"/>
        <sz val="12.0"/>
        <u/>
      </rPr>
      <t>.</t>
    </r>
    <r>
      <rPr>
        <rFont val="Arial, sans-serif"/>
        <color rgb="FF1155CC"/>
        <sz val="11.0"/>
        <u/>
      </rPr>
      <t>26 ago 2024</t>
    </r>
  </si>
  <si>
    <t>Personal de una empresa auxiliar de Refinería de A Coruña suspende huelga tras cobrar salario</t>
  </si>
  <si>
    <t>La plantilla cobró los salarios y levantó el paro que tenía convocado.</t>
  </si>
  <si>
    <t>Staff of an auxiliary company of the A Coruña Refinery suspends strike after collecting salary</t>
  </si>
  <si>
    <t>The staff collected their salaries and lifted the strike they had called for.</t>
  </si>
  <si>
    <t>Positive as it resolves a labor dispute.</t>
  </si>
  <si>
    <t>huelga</t>
  </si>
  <si>
    <t>Negative for labor relations</t>
  </si>
  <si>
    <t>Negativo para las relaciones laborales.</t>
  </si>
  <si>
    <r>
      <rPr>
        <rFont val="Arial, sans-serif"/>
        <color rgb="FF1155CC"/>
        <sz val="9.0"/>
        <u/>
      </rPr>
      <t>El Español</t>
    </r>
    <r>
      <rPr>
        <rFont val="Arial, sans-serif"/>
        <color rgb="FF1155CC"/>
        <sz val="15.0"/>
        <u/>
      </rPr>
      <t>Repsol rebota desde los 12,46 euros impulsado por las alzas en el precio del crudo</t>
    </r>
    <r>
      <rPr>
        <rFont val="Arial, sans-serif"/>
        <color rgb="FF1155CC"/>
        <sz val="11.0"/>
        <u/>
      </rPr>
      <t>El valor, que ha sufrido un duro castigo en los últimos meses, rebota y busca recuperar parte del último tramo de caídas.</t>
    </r>
    <r>
      <rPr>
        <rFont val="Arial, sans-serif"/>
        <color rgb="FF1155CC"/>
        <sz val="12.0"/>
        <u/>
      </rPr>
      <t>.</t>
    </r>
    <r>
      <rPr>
        <rFont val="Arial, sans-serif"/>
        <color rgb="FF1155CC"/>
        <sz val="11.0"/>
        <u/>
      </rPr>
      <t>26 ago 2024</t>
    </r>
  </si>
  <si>
    <t>Repsol rebota desde los 12,46 euros impulsado por las alzas en el precio del crudo</t>
  </si>
  <si>
    <t>El valor, que ha sufrido un duro castigo en los últimos meses, rebota y busca recuperar parte del último tramo de caídas.</t>
  </si>
  <si>
    <t>Repsol rebounds from 12.46 euros driven by increases in the price of crude oil</t>
  </si>
  <si>
    <t>The value, which has suffered a harsh punishment in recent months, rebounds and seeks to recover part of the last stretch of falls.</t>
  </si>
  <si>
    <t>Positive as it suggests a financial recovery.</t>
  </si>
  <si>
    <t>rebota</t>
  </si>
  <si>
    <t>Mildly positive for stock recovery</t>
  </si>
  <si>
    <t>Ligeramente positivo para la recuperación de las acciones</t>
  </si>
  <si>
    <r>
      <rPr>
        <rFont val="Arial, sans-serif"/>
        <color rgb="FF1155CC"/>
        <sz val="9.0"/>
        <u/>
      </rPr>
      <t>Guía Repsol</t>
    </r>
    <r>
      <rPr>
        <rFont val="Arial, sans-serif"/>
        <color rgb="FF1155CC"/>
        <sz val="15.0"/>
        <u/>
      </rPr>
      <t>Dónde comer rico y barato en Alicante según los chefs</t>
    </r>
    <r>
      <rPr>
        <rFont val="Arial, sans-serif"/>
        <color rgb="FF1155CC"/>
        <sz val="11.0"/>
        <u/>
      </rPr>
      <t>Dónde probar buenos arroces o rico pescado frente al mar? Cocineros del universo Guía Repsol nos cuentan dónde hay que ir a comer si estás por la Costa...</t>
    </r>
    <r>
      <rPr>
        <rFont val="Arial, sans-serif"/>
        <color rgb="FF1155CC"/>
        <sz val="12.0"/>
        <u/>
      </rPr>
      <t>.</t>
    </r>
    <r>
      <rPr>
        <rFont val="Arial, sans-serif"/>
        <color rgb="FF1155CC"/>
        <sz val="11.0"/>
        <u/>
      </rPr>
      <t>26 ago 2024</t>
    </r>
  </si>
  <si>
    <t>Dónde comer rico y barato en Alicante según los chefs</t>
  </si>
  <si>
    <t>Dónde probar buenos arroces o rico pescado frente al mar? Cocineros del universo Guía Repsol nos cuentan dónde hay que ir a comer si estás por la Costa....</t>
  </si>
  <si>
    <t>Where to eat delicious and cheap in Alicante according to the chefs</t>
  </si>
  <si>
    <t>Where to try good rice or delicious fish facing the sea? Chefs from the Repsol Guide universe tell us where to go to eat if you are on the Coast....</t>
  </si>
  <si>
    <r>
      <rPr>
        <rFont val="Arial, sans-serif"/>
        <color rgb="FF1155CC"/>
        <sz val="9.0"/>
        <u/>
      </rPr>
      <t>El Economista</t>
    </r>
    <r>
      <rPr>
        <rFont val="Arial, sans-serif"/>
        <color rgb="FF1155CC"/>
        <sz val="15.0"/>
        <u/>
      </rPr>
      <t>Repsol emite 850 millones de euros a 10 años con un cupón del 3,625%</t>
    </r>
    <r>
      <rPr>
        <rFont val="Arial, sans-serif"/>
        <color rgb="FF1155CC"/>
        <sz val="11.0"/>
        <u/>
      </rPr>
      <t>Durante la jornada de este martes dos empresas comunicaron al mercado el resultado de sus últimas colocaciones de deuda en el mercado. Estas fueron Repsol y...</t>
    </r>
    <r>
      <rPr>
        <rFont val="Arial, sans-serif"/>
        <color rgb="FF1155CC"/>
        <sz val="12.0"/>
        <u/>
      </rPr>
      <t>.</t>
    </r>
    <r>
      <rPr>
        <rFont val="Arial, sans-serif"/>
        <color rgb="FF1155CC"/>
        <sz val="11.0"/>
        <u/>
      </rPr>
      <t>27 ago 2024</t>
    </r>
  </si>
  <si>
    <t>Repsol emite 850 millones de euros a 10 años con un cupón del 3,625%</t>
  </si>
  <si>
    <t>Durante la jornada de este martes dos empresas comunicaron al mercado el resultado de sus últimas colocaciones de deuda en el mercado. Estas fueron Repsol y....</t>
  </si>
  <si>
    <t>Repsol issues 850 million euros over 10 years with a coupon of 3.625%</t>
  </si>
  <si>
    <t>During the day this Tuesday, two companies communicated to the market the results of their latest debt placements in the market. These were Repsol and....</t>
  </si>
  <si>
    <t>Repsol finance, business expansion</t>
  </si>
  <si>
    <t>Repsol finanzas, expansión empresarial</t>
  </si>
  <si>
    <t>Positive as it reflects investor confidence.</t>
  </si>
  <si>
    <t>emite</t>
  </si>
  <si>
    <t>Neutral financial activity</t>
  </si>
  <si>
    <t>Actividad financiera neutral</t>
  </si>
  <si>
    <r>
      <rPr>
        <rFont val="Arial, sans-serif"/>
        <color rgb="FF1155CC"/>
        <sz val="9.0"/>
        <u/>
      </rPr>
      <t>La Razón</t>
    </r>
    <r>
      <rPr>
        <rFont val="Arial, sans-serif"/>
        <color rgb="FF1155CC"/>
        <sz val="15.0"/>
        <u/>
      </rPr>
      <t>Repsol coloca 850 millones de euros en una emisión de bonos a diez años cuya demanda ha triplicado la oferta</t>
    </r>
    <r>
      <rPr>
        <rFont val="Arial, sans-serif"/>
        <color rgb="FF1155CC"/>
        <sz val="11.0"/>
        <u/>
      </rPr>
      <t>Repsol ha cerrado con éxito una emisión de bonos por un importe total de 850 millones de euros a 10 años, con una demanda por los inversores que triplicó la...</t>
    </r>
    <r>
      <rPr>
        <rFont val="Arial, sans-serif"/>
        <color rgb="FF1155CC"/>
        <sz val="12.0"/>
        <u/>
      </rPr>
      <t>.</t>
    </r>
    <r>
      <rPr>
        <rFont val="Arial, sans-serif"/>
        <color rgb="FF1155CC"/>
        <sz val="11.0"/>
        <u/>
      </rPr>
      <t>27 ago 2024</t>
    </r>
  </si>
  <si>
    <t>Repsol coloca 850 millones de euros en una emisión de bonos a diez años cuya demanda ha triplicado la oferta</t>
  </si>
  <si>
    <t>Repsol ha cerrado con éxito una emisión de bonos por un importe total de 850 millones de euros a 10 años, con una demanda por los inversores que triplicó la....</t>
  </si>
  <si>
    <t>Repsol places 850 million euros in a ten-year bond issue whose demand has tripled the supply</t>
  </si>
  <si>
    <t>Repsol has successfully closed a bond issue for a total amount of 850 million euros over 10 years, with demand from investors that tripled the...</t>
  </si>
  <si>
    <t>Positive as it suggests strong financial interest.</t>
  </si>
  <si>
    <t>bonos</t>
  </si>
  <si>
    <t>Positive for financial management</t>
  </si>
  <si>
    <t>Positivo para la gestión financiera</t>
  </si>
  <si>
    <r>
      <rPr>
        <rFont val="Arial, sans-serif"/>
        <color rgb="FF1155CC"/>
        <sz val="9.0"/>
        <u/>
      </rPr>
      <t>Crónica Global</t>
    </r>
    <r>
      <rPr>
        <rFont val="Arial, sans-serif"/>
        <color rgb="FF1155CC"/>
        <sz val="15.0"/>
        <u/>
      </rPr>
      <t>El buffet libre más antiguo de Cataluña donde tienes que parar si vas a Tarragona: recomendado por la Guía Repsol</t>
    </r>
    <r>
      <rPr>
        <rFont val="Arial, sans-serif"/>
        <color rgb="FF1155CC"/>
        <sz val="11.0"/>
        <u/>
      </rPr>
      <t>El restaurante, que cuenta con un solete Repsol, es una de las mejores opciones que existe en la zona de Tarragona: esto es lo que debes saber.</t>
    </r>
    <r>
      <rPr>
        <rFont val="Arial, sans-serif"/>
        <color rgb="FF1155CC"/>
        <sz val="12.0"/>
        <u/>
      </rPr>
      <t>.</t>
    </r>
    <r>
      <rPr>
        <rFont val="Arial, sans-serif"/>
        <color rgb="FF1155CC"/>
        <sz val="11.0"/>
        <u/>
      </rPr>
      <t>27 ago 2024</t>
    </r>
  </si>
  <si>
    <t>El buffet libre más antiguo de Cataluña donde tienes que parar si vas a Tarragona: recomendado por la Guía Repsol</t>
  </si>
  <si>
    <t>El restaurante, que cuenta con un solete Repsol, es una de las mejores opciones que existe en la zona de Tarragona: esto es lo que debes saber.</t>
  </si>
  <si>
    <t>The oldest free buffet in Catalonia where you have to stop if you go to Tarragona: recommended by the Repsol Guide</t>
  </si>
  <si>
    <t>The restaurant, which has a Repsol solete, is one of the best options in the Tarragona area: this is what you should know.</t>
  </si>
  <si>
    <r>
      <rPr>
        <rFont val="Arial, sans-serif"/>
        <color rgb="FF1155CC"/>
        <sz val="9.0"/>
        <u/>
      </rPr>
      <t>Energías Renovables, el periodismo de las energías limpias.</t>
    </r>
    <r>
      <rPr>
        <rFont val="Arial, sans-serif"/>
        <color rgb="FF1155CC"/>
        <sz val="15.0"/>
        <u/>
      </rPr>
      <t>Las compañías energéticas españolas importan hoy un 75% más gas ruso que antes de la guerra de Ucrania</t>
    </r>
    <r>
      <rPr>
        <rFont val="Arial, sans-serif"/>
        <color rgb="FF1155CC"/>
        <sz val="11.0"/>
        <u/>
      </rPr>
      <t>El gas natural ruso no cesa de llegar a España, donde las grandes energéticas (Iberdrola, Naturgy, Endesa, Repsol y compañía) operan decenas de centrales de...</t>
    </r>
    <r>
      <rPr>
        <rFont val="Arial, sans-serif"/>
        <color rgb="FF1155CC"/>
        <sz val="12.0"/>
        <u/>
      </rPr>
      <t>.</t>
    </r>
    <r>
      <rPr>
        <rFont val="Arial, sans-serif"/>
        <color rgb="FF1155CC"/>
        <sz val="11.0"/>
        <u/>
      </rPr>
      <t>27 ago 2024</t>
    </r>
  </si>
  <si>
    <t>Las compañías energéticas españolas importan hoy un 75% más gas ruso que antes de la guerra de Ucrania</t>
  </si>
  <si>
    <t>El gas natural ruso no cesa de llegar a España, donde las grandes energéticas (Iberdrola, Naturgy, Endesa, Repsol y compañía) operan decenas de....</t>
  </si>
  <si>
    <t>Spanish energy companies today import 75% more Russian gas than before the Ukrainian war</t>
  </si>
  <si>
    <t>Russian natural gas does not stop arriving in Spain, where the major energy companies (Iberdrola, Naturgy, Endesa, Repsol and company) operate dozens of...</t>
  </si>
  <si>
    <t>Negative as it discusses controversial energy imports.</t>
  </si>
  <si>
    <t>Mildly negative for energy sourcing</t>
  </si>
  <si>
    <t>Ligeramente negativo para el abastecimiento de energía</t>
  </si>
  <si>
    <r>
      <rPr>
        <rFont val="Arial, sans-serif"/>
        <color rgb="FF1155CC"/>
        <sz val="9.0"/>
        <u/>
      </rPr>
      <t>Revista Sobremesa</t>
    </r>
    <r>
      <rPr>
        <rFont val="Arial, sans-serif"/>
        <color rgb="FF1155CC"/>
        <sz val="15.0"/>
        <u/>
      </rPr>
      <t>Epílogo, el restaurante de Tomelloso que se inspira en el Guadiana</t>
    </r>
    <r>
      <rPr>
        <rFont val="Arial, sans-serif"/>
        <color rgb="FF1155CC"/>
        <sz val="11.0"/>
        <u/>
      </rPr>
      <t>En Tomelloso, cuna del pintor Antonio López, se guarece el chef Rubén Sánchez Camacho para ofrecer una cocina de relato fluvial hecha con trazos emocionales...</t>
    </r>
    <r>
      <rPr>
        <rFont val="Arial, sans-serif"/>
        <color rgb="FF1155CC"/>
        <sz val="12.0"/>
        <u/>
      </rPr>
      <t>.</t>
    </r>
    <r>
      <rPr>
        <rFont val="Arial, sans-serif"/>
        <color rgb="FF1155CC"/>
        <sz val="11.0"/>
        <u/>
      </rPr>
      <t>27 ago 2024</t>
    </r>
  </si>
  <si>
    <t>Epílogo, el restaurante de Tomelloso que se inspira en el Guadiana</t>
  </si>
  <si>
    <t>En Tomelloso, cuna del pintor Antonio López, se guarece el chef Rubén Sánchez Camacho para ofrecer una cocina de relato fluvial hecha con trazos emocionales....</t>
  </si>
  <si>
    <t>Epilogue, the Tomelloso restaurant that is inspired by the Guadiana</t>
  </si>
  <si>
    <t>In Tomelloso, birthplace of the painter Antonio López, chef Rubén Sánchez Camacho takes refuge to offer a river story cuisine made with emotional strokes....</t>
  </si>
  <si>
    <r>
      <rPr>
        <rFont val="Arial, sans-serif"/>
        <color rgb="FF1155CC"/>
        <sz val="9.0"/>
        <u/>
      </rPr>
      <t>Gentleman - El valor de la elegancia</t>
    </r>
    <r>
      <rPr>
        <rFont val="Arial, sans-serif"/>
        <color rgb="FF1155CC"/>
        <sz val="15.0"/>
        <u/>
      </rPr>
      <t>Don Giovanni, el restaurante italiano más famoso de Madrid, se instala en Park Piolets | Gentleman - El</t>
    </r>
    <r>
      <rPr>
        <rFont val="Arial, sans-serif"/>
        <color rgb="FF1155CC"/>
        <sz val="11.0"/>
        <u/>
      </rPr>
      <t>El hotel Park Piolets MountainHotel &amp; SPA de Andorra amplía su oferta culinaria con la apertura del restaurante italiano Don Giovanni del chef Andrea...</t>
    </r>
    <r>
      <rPr>
        <rFont val="Arial, sans-serif"/>
        <color rgb="FF1155CC"/>
        <sz val="12.0"/>
        <u/>
      </rPr>
      <t>.</t>
    </r>
    <r>
      <rPr>
        <rFont val="Arial, sans-serif"/>
        <color rgb="FF1155CC"/>
        <sz val="11.0"/>
        <u/>
      </rPr>
      <t>27 ago 2024</t>
    </r>
  </si>
  <si>
    <t>Don Giovanni, el restaurante italiano más famoso de Madrid, se instala en Park Piolets</t>
  </si>
  <si>
    <t>El hotel Park Piolets Mountain Hotel &amp; SPA de Andorra amplía su oferta culinaria con la apertura del restaurante italiano Don Giovanni del chef Andrea....</t>
  </si>
  <si>
    <t>Don Giovanni, the most famous Italian restaurant in Madrid, opens in Park Piolets</t>
  </si>
  <si>
    <t>The Park Piolets Mountain Hotel &amp; SPA hotel in Andorra expands its culinary offer with the opening of the Italian restaurant Don Giovanni by chef Andrea....</t>
  </si>
  <si>
    <r>
      <rPr>
        <rFont val="Arial, sans-serif"/>
        <color rgb="FF1155CC"/>
        <sz val="9.0"/>
        <u/>
      </rPr>
      <t>MurciaEconomía.com</t>
    </r>
    <r>
      <rPr>
        <rFont val="Arial, sans-serif"/>
        <color rgb="FF1155CC"/>
        <sz val="15.0"/>
        <u/>
      </rPr>
      <t>El Centro de Cualificación Turística ofrece nuevos cursos de hostelería</t>
    </r>
    <r>
      <rPr>
        <rFont val="Arial, sans-serif"/>
        <color rgb="FF1155CC"/>
        <sz val="11.0"/>
        <u/>
      </rPr>
      <t>La Consejería de Turismo, Cultura, Juventud y Deportes, a través del Centro de Cualificación Turística (CCT), ha lanzado una nueva programación de cursos de...</t>
    </r>
    <r>
      <rPr>
        <rFont val="Arial, sans-serif"/>
        <color rgb="FF1155CC"/>
        <sz val="12.0"/>
        <u/>
      </rPr>
      <t>.</t>
    </r>
    <r>
      <rPr>
        <rFont val="Arial, sans-serif"/>
        <color rgb="FF1155CC"/>
        <sz val="11.0"/>
        <u/>
      </rPr>
      <t>27 ago 2024</t>
    </r>
  </si>
  <si>
    <t>El Centro de Cualificación Turística ofrece nuevos cursos de hostelería</t>
  </si>
  <si>
    <t>La Consejería de Turismo, Cultura, Juventud y Deportes, a través del Centro de Cualificación Turística (CCT), ha lanzado una nueva programación de cursos de....</t>
  </si>
  <si>
    <t>The Tourism Qualification Center offers new hospitality courses</t>
  </si>
  <si>
    <t>The Ministry of Tourism, Culture, Youth and Sports, through the Tourism Qualification Center (CCT), has launched a new program of courses....</t>
  </si>
  <si>
    <r>
      <rPr>
        <rFont val="Arial, sans-serif"/>
        <color rgb="FF1155CC"/>
        <sz val="9.0"/>
        <u/>
      </rPr>
      <t>Bon Viveur</t>
    </r>
    <r>
      <rPr>
        <rFont val="Arial, sans-serif"/>
        <color rgb="FF1155CC"/>
        <sz val="15.0"/>
        <u/>
      </rPr>
      <t>Los 5 mejores restaurantes de Murcia</t>
    </r>
    <r>
      <rPr>
        <rFont val="Arial, sans-serif"/>
        <color rgb="FF1155CC"/>
        <sz val="11.0"/>
        <u/>
      </rPr>
      <t>Te presentamos una selección de restaurantes imprescindibles en la región de Murcia. Descubre los mejores restaurantes de Murcia y disfruta de su tradición...</t>
    </r>
    <r>
      <rPr>
        <rFont val="Arial, sans-serif"/>
        <color rgb="FF1155CC"/>
        <sz val="12.0"/>
        <u/>
      </rPr>
      <t>.</t>
    </r>
    <r>
      <rPr>
        <rFont val="Arial, sans-serif"/>
        <color rgb="FF1155CC"/>
        <sz val="11.0"/>
        <u/>
      </rPr>
      <t>27 ago 2024</t>
    </r>
  </si>
  <si>
    <t>Los 5 mejores restaurantes de Murcia</t>
  </si>
  <si>
    <t>Te presentamos una selección de restaurantes imprescindibles en la región de Murcia. Descubre los mejores restaurantes de Murcia y disfruta de su tradición....</t>
  </si>
  <si>
    <t>The 5 best restaurants in Murcia</t>
  </si>
  <si>
    <t>We present a selection of essential restaurants in the Murcia region. Discover the best restaurants in Murcia and enjoy its tradition....</t>
  </si>
  <si>
    <r>
      <rPr>
        <rFont val="Arial, sans-serif"/>
        <color rgb="FF1155CC"/>
        <sz val="9.0"/>
        <u/>
      </rPr>
      <t>El Español</t>
    </r>
    <r>
      <rPr>
        <rFont val="Arial, sans-serif"/>
        <color rgb="FF1155CC"/>
        <sz val="15.0"/>
        <u/>
      </rPr>
      <t>Qué es Chefs on Fire, el festival gastronómico que llega a Madrid: cocineros con estrella Michelin y mucha brasa</t>
    </r>
    <r>
      <rPr>
        <rFont val="Arial, sans-serif"/>
        <color rgb="FF1155CC"/>
        <sz val="11.0"/>
        <u/>
      </rPr>
      <t>Las entradas de un día cuestan desde 95 euros, aunque está la opción de ir las dos jornadas y pagar 220 euros.</t>
    </r>
    <r>
      <rPr>
        <rFont val="Arial, sans-serif"/>
        <color rgb="FF1155CC"/>
        <sz val="12.0"/>
        <u/>
      </rPr>
      <t>.</t>
    </r>
    <r>
      <rPr>
        <rFont val="Arial, sans-serif"/>
        <color rgb="FF1155CC"/>
        <sz val="11.0"/>
        <u/>
      </rPr>
      <t>27 ago 2024</t>
    </r>
  </si>
  <si>
    <t>Qué es Chefs on Fire, el festival gastronómico que llega a Madrid: cocineros con estrella Michelin y mucha brasa</t>
  </si>
  <si>
    <t>Las entradas de un día cuestan desde 95 euros, aunque está la opción de ir las dos jornadas y pagar 220 euros.</t>
  </si>
  <si>
    <t>What is Chefs on Fire, the gastronomic festival that comes to Madrid: chefs with Michelin stars and lots of embers</t>
  </si>
  <si>
    <t>One-day tickets cost from 95 euros, although there is the option of going both days and paying 220 euros.</t>
  </si>
  <si>
    <r>
      <rPr>
        <rFont val="Arial, sans-serif"/>
        <color rgb="FF1155CC"/>
        <sz val="9.0"/>
        <u/>
      </rPr>
      <t>Cinco Días</t>
    </r>
    <r>
      <rPr>
        <rFont val="Arial, sans-serif"/>
        <color rgb="FF1155CC"/>
        <sz val="15.0"/>
        <u/>
      </rPr>
      <t>Repsol cancela la venta de su filial noruega cinco meses después de lanzarla</t>
    </r>
    <r>
      <rPr>
        <rFont val="Arial, sans-serif"/>
        <color rgb="FF1155CC"/>
        <sz val="11.0"/>
        <u/>
      </rPr>
      <t>Repsol da marcha atrás al plan de vender su filial noruega. Según informa Reuters citando a tres fuentes distintas con conocimiento de las negociaciones,...</t>
    </r>
    <r>
      <rPr>
        <rFont val="Arial, sans-serif"/>
        <color rgb="FF1155CC"/>
        <sz val="12.0"/>
        <u/>
      </rPr>
      <t>.</t>
    </r>
    <r>
      <rPr>
        <rFont val="Arial, sans-serif"/>
        <color rgb="FF1155CC"/>
        <sz val="11.0"/>
        <u/>
      </rPr>
      <t>28 ago 2024</t>
    </r>
  </si>
  <si>
    <t>Repsol cancela la venta de su filial noruega cinco meses después de lanzarla</t>
  </si>
  <si>
    <t>Repsol da marcha atrás al plan de vender su filial noruega. Según informa Reuters citando a tres fuentes distintas con conocimiento de las negociaciones,....</t>
  </si>
  <si>
    <t>Repsol cancels the sale of its Norwegian subsidiary five months after launching it</t>
  </si>
  <si>
    <t>Repsol reverses the plan to sell its Norwegian subsidiary. As reported by Reuters citing three different sources with knowledge of the negotiations,...</t>
  </si>
  <si>
    <t>Repsol business strategy, energy expansion</t>
  </si>
  <si>
    <t>Estrategia de negocio de Repsol, expansión energética</t>
  </si>
  <si>
    <t>Positive as it reflects a strategic business decision.</t>
  </si>
  <si>
    <t>cancela venta</t>
  </si>
  <si>
    <t>Negative for strategic change</t>
  </si>
  <si>
    <t>Negativo para el cambio estratégico</t>
  </si>
  <si>
    <r>
      <rPr>
        <rFont val="Arial, sans-serif"/>
        <color rgb="FF1155CC"/>
        <sz val="9.0"/>
        <u/>
      </rPr>
      <t>The New York Times</t>
    </r>
    <r>
      <rPr>
        <rFont val="Arial, sans-serif"/>
        <color rgb="FF1155CC"/>
        <sz val="15.0"/>
        <u/>
      </rPr>
      <t>Para seguir siendo relevante, Repsol recurre a los residuos</t>
    </r>
    <r>
      <rPr>
        <rFont val="Arial, sans-serif"/>
        <color rgb="FF1155CC"/>
        <sz val="11.0"/>
        <u/>
      </rPr>
      <t>El gigante energético español cree que los biocombustibles jugarán un papel importante en el transporte del futuro gracias a su baja huella de carbono.</t>
    </r>
    <r>
      <rPr>
        <rFont val="Arial, sans-serif"/>
        <color rgb="FF1155CC"/>
        <sz val="12.0"/>
        <u/>
      </rPr>
      <t>.</t>
    </r>
    <r>
      <rPr>
        <rFont val="Arial, sans-serif"/>
        <color rgb="FF1155CC"/>
        <sz val="11.0"/>
        <u/>
      </rPr>
      <t>28 ago 2024</t>
    </r>
  </si>
  <si>
    <t>The New York Times</t>
  </si>
  <si>
    <t>Para seguir siendo relevante, Repsol recurre a los residuos</t>
  </si>
  <si>
    <t>El gigante energético español cree que los biocombustibles jugarán un papel importante en el transporte del futuro gracias a su baja huella de carbono.</t>
  </si>
  <si>
    <t>To remain relevant, Repsol turns to waste</t>
  </si>
  <si>
    <t>The Spanish energy giant believes that biofuels will play an important role in the transportation of the future thanks to their low carbon footprint.</t>
  </si>
  <si>
    <t>Positive as it discusses sustainability efforts.</t>
  </si>
  <si>
    <t>residuos</t>
  </si>
  <si>
    <r>
      <rPr>
        <rFont val="Arial, sans-serif"/>
        <color rgb="FF1155CC"/>
        <sz val="9.0"/>
        <u/>
      </rPr>
      <t>Infoveritas</t>
    </r>
    <r>
      <rPr>
        <rFont val="Arial, sans-serif"/>
        <color rgb="FF1155CC"/>
        <sz val="15.0"/>
        <u/>
      </rPr>
      <t>Repsol no regala un iPad Pro por contestar una encuesta</t>
    </r>
    <r>
      <rPr>
        <rFont val="Arial, sans-serif"/>
        <color rgb="FF1155CC"/>
        <sz val="11.0"/>
        <u/>
      </rPr>
      <t>Ciberdelincuentes han suplantado a Repsol para hacerse con los datos sensibles de los incautos a cambio de un supuesto iPad Pro.</t>
    </r>
    <r>
      <rPr>
        <rFont val="Arial, sans-serif"/>
        <color rgb="FF1155CC"/>
        <sz val="12.0"/>
        <u/>
      </rPr>
      <t>.</t>
    </r>
    <r>
      <rPr>
        <rFont val="Arial, sans-serif"/>
        <color rgb="FF1155CC"/>
        <sz val="11.0"/>
        <u/>
      </rPr>
      <t>28 ago 2024</t>
    </r>
  </si>
  <si>
    <t>Repsol no regala un iPad Pro por contestar una encuesta</t>
  </si>
  <si>
    <t>Ciberdelincuentes han suplantado a Repsol para hacerse con los datos sensibles de los incautos a cambio de un supuesto iPad Pro.</t>
  </si>
  <si>
    <t>Repsol does not give away an iPad Pro for answering a survey</t>
  </si>
  <si>
    <t>Cybercriminals have impersonated Repsol to obtain the sensitive data of the unwary in exchange for a supposed iPad Pro.</t>
  </si>
  <si>
    <t>Repsol cybersecurity, fraud alert</t>
  </si>
  <si>
    <t>Ciberseguridad Repsol, alerta de fraude</t>
  </si>
  <si>
    <t>Negative as it discusses a scam affecting Repsol.</t>
  </si>
  <si>
    <t>Mildly negative for brand reputation</t>
  </si>
  <si>
    <t>Ligeramente negativo para la reputación de la marca</t>
  </si>
  <si>
    <r>
      <rPr>
        <rFont val="Arial, sans-serif"/>
        <color rgb="FF1155CC"/>
        <sz val="9.0"/>
        <u/>
      </rPr>
      <t>El Economista</t>
    </r>
    <r>
      <rPr>
        <rFont val="Arial, sans-serif"/>
        <color rgb="FF1155CC"/>
        <sz val="15.0"/>
        <u/>
      </rPr>
      <t>Repsol da marcha atrás en la venta de su negocio en Noruega valorado en 1.000 millones</t>
    </r>
    <r>
      <rPr>
        <rFont val="Arial, sans-serif"/>
        <color rgb="FF1155CC"/>
        <sz val="11.0"/>
        <u/>
      </rPr>
      <t>Repsol ha dado marcha atrás en el proceso de venta de su filial en Noruega, Repsol Norge AS, según ha informado Reuters este miércoles. ...</t>
    </r>
    <r>
      <rPr>
        <rFont val="Arial, sans-serif"/>
        <color rgb="FF1155CC"/>
        <sz val="12.0"/>
        <u/>
      </rPr>
      <t>.</t>
    </r>
    <r>
      <rPr>
        <rFont val="Arial, sans-serif"/>
        <color rgb="FF1155CC"/>
        <sz val="11.0"/>
        <u/>
      </rPr>
      <t>28 ago 2024</t>
    </r>
  </si>
  <si>
    <t>Repsol da marcha atrás en la venta de su negocio en Noruega valorado en 1.000 millones</t>
  </si>
  <si>
    <t>Repsol ha dado marcha atrás en el proceso de venta de su filial en Noruega, Repsol Norge AS, según ha informado Reuters este miércoles.</t>
  </si>
  <si>
    <t>Repsol reverses the sale of its business in Norway valued at 1,000 million</t>
  </si>
  <si>
    <t>Repsol has reversed the process of selling its subsidiary in Norway, Repsol Norge AS, as reported by Reuters this Wednesday.</t>
  </si>
  <si>
    <t>Positive as it indicates a strategic business shift.</t>
  </si>
  <si>
    <r>
      <rPr>
        <rFont val="Arial, sans-serif"/>
        <color rgb="FF1155CC"/>
        <sz val="9.0"/>
        <u/>
      </rPr>
      <t>20Minutos</t>
    </r>
    <r>
      <rPr>
        <rFont val="Arial, sans-serif"/>
        <color rgb="FF1155CC"/>
        <sz val="15.0"/>
        <u/>
      </rPr>
      <t>Repsol cancela la venta de su filial noruega y 'congela' una operación de 900 millones</t>
    </r>
    <r>
      <rPr>
        <rFont val="Arial, sans-serif"/>
        <color rgb="FF1155CC"/>
        <sz val="11.0"/>
        <u/>
      </rPr>
      <t>La española contrató al banco de inversión Rothschild para gestionar la transacción, que incluía una decena de activos. Opera en el país desde 2003 y...</t>
    </r>
    <r>
      <rPr>
        <rFont val="Arial, sans-serif"/>
        <color rgb="FF1155CC"/>
        <sz val="12.0"/>
        <u/>
      </rPr>
      <t>.</t>
    </r>
    <r>
      <rPr>
        <rFont val="Arial, sans-serif"/>
        <color rgb="FF1155CC"/>
        <sz val="11.0"/>
        <u/>
      </rPr>
      <t>28 ago 2024</t>
    </r>
  </si>
  <si>
    <t>Repsol cancela la venta de su filial noruega y 'congela' una operación de 900 millones</t>
  </si>
  <si>
    <t>La española contrató al banco de inversión Rothschild para gestionar la transacción, que incluía una decena de activos. Opera en el país desde 2003 y....</t>
  </si>
  <si>
    <t>Repsol cancels the sale of its Norwegian subsidiary and 'freezes' a 900 million operation</t>
  </si>
  <si>
    <t>The Spanish company hired the investment bank Rothschild to manage the transaction, which included a dozen assets. It has operated in the country since 2003 and....</t>
  </si>
  <si>
    <t>Positive as it suggests a reconsidered investment strategy.</t>
  </si>
  <si>
    <r>
      <rPr>
        <rFont val="Arial, sans-serif"/>
        <color rgb="FF1155CC"/>
        <sz val="9.0"/>
        <u/>
      </rPr>
      <t>Bolsamania</t>
    </r>
    <r>
      <rPr>
        <rFont val="Arial, sans-serif"/>
        <color rgb="FF1155CC"/>
        <sz val="15.0"/>
        <u/>
      </rPr>
      <t>Repsol cancela la venta de sus operaciones en Noruega y se centra en otros activos</t>
    </r>
    <r>
      <rPr>
        <rFont val="Arial, sans-serif"/>
        <color rgb="FF1155CC"/>
        <sz val="11.0"/>
        <u/>
      </rPr>
      <t>Repsol ha cancelado la venta de su negocio en Noruega, según una información de 'Reuters', por lo que la firma descarta una operación que estaba valorada en...</t>
    </r>
    <r>
      <rPr>
        <rFont val="Arial, sans-serif"/>
        <color rgb="FF1155CC"/>
        <sz val="12.0"/>
        <u/>
      </rPr>
      <t>.</t>
    </r>
    <r>
      <rPr>
        <rFont val="Arial, sans-serif"/>
        <color rgb="FF1155CC"/>
        <sz val="11.0"/>
        <u/>
      </rPr>
      <t>28 ago 2024</t>
    </r>
  </si>
  <si>
    <t>Repsol cancela la venta de sus operaciones en Noruega y se centra en otros activos</t>
  </si>
  <si>
    <t>Repsol ha cancelado la venta de su negocio en Noruega, según una información de 'Reuters', por lo que la firma descarta una operación que estaba valorada en....</t>
  </si>
  <si>
    <t>Repsol cancels the sale of its operations in Norway and focuses on other assets</t>
  </si>
  <si>
    <t>Repsol has canceled the sale of its business in Norway, according to information from 'Reuters', so the firm is ruling out an operation that was valued at...</t>
  </si>
  <si>
    <t>Positive as it indicates a strategic business focus shift.</t>
  </si>
  <si>
    <t>Mildly negative for strategic change</t>
  </si>
  <si>
    <t>Ligeramente negativo para el cambio estratégico</t>
  </si>
  <si>
    <r>
      <rPr>
        <rFont val="Arial, sans-serif"/>
        <color rgb="FF1155CC"/>
        <sz val="9.0"/>
        <u/>
      </rPr>
      <t>Repsol</t>
    </r>
    <r>
      <rPr>
        <rFont val="Arial, sans-serif"/>
        <color rgb="FF1155CC"/>
        <sz val="15.0"/>
        <u/>
      </rPr>
      <t>¿Qué es el I+D en una empresa?</t>
    </r>
    <r>
      <rPr>
        <rFont val="Arial, sans-serif"/>
        <color rgb="FF1155CC"/>
        <sz val="11.0"/>
        <u/>
      </rPr>
      <t>Innovar y desarrollar nuevos productos, servicios, tecnologías o procesos es en la actualidad un aspecto fundamental de la actividad de las empresas,...</t>
    </r>
    <r>
      <rPr>
        <rFont val="Arial, sans-serif"/>
        <color rgb="FF1155CC"/>
        <sz val="12.0"/>
        <u/>
      </rPr>
      <t>.</t>
    </r>
    <r>
      <rPr>
        <rFont val="Arial, sans-serif"/>
        <color rgb="FF1155CC"/>
        <sz val="11.0"/>
        <u/>
      </rPr>
      <t>28 ago 2024</t>
    </r>
  </si>
  <si>
    <t>¿Qué es el I+D en una empresa?</t>
  </si>
  <si>
    <t>Innovar y desarrollar nuevos productos, servicios, tecnologías o procesos es en la actualidad un aspecto fundamental de la actividad de las empresas,....</t>
  </si>
  <si>
    <t>What is R&amp;D in a company?</t>
  </si>
  <si>
    <t>Innovating and developing new products, services, technologies or processes is currently a fundamental aspect of company activity,...</t>
  </si>
  <si>
    <r>
      <rPr>
        <rFont val="Arial, sans-serif"/>
        <color rgb="FF1155CC"/>
        <sz val="9.0"/>
        <u/>
      </rPr>
      <t>Guía Repsol</t>
    </r>
    <r>
      <rPr>
        <rFont val="Arial, sans-serif"/>
        <color rgb="FF1155CC"/>
        <sz val="15.0"/>
        <u/>
      </rPr>
      <t>Garden Pizza: El placer de saborear una pizza súper sostenible</t>
    </r>
    <r>
      <rPr>
        <rFont val="Arial, sans-serif"/>
        <color rgb="FF1155CC"/>
        <sz val="11.0"/>
        <u/>
      </rPr>
      <t>Saborea el auténtico sabor de una pizza elaborada con ingredientes frescos y de temporada. Descubre Garden Pizza en Sant Cugat: tu pizza, más natural que...</t>
    </r>
    <r>
      <rPr>
        <rFont val="Arial, sans-serif"/>
        <color rgb="FF1155CC"/>
        <sz val="12.0"/>
        <u/>
      </rPr>
      <t>.</t>
    </r>
    <r>
      <rPr>
        <rFont val="Arial, sans-serif"/>
        <color rgb="FF1155CC"/>
        <sz val="11.0"/>
        <u/>
      </rPr>
      <t>28 ago 2024</t>
    </r>
  </si>
  <si>
    <t>Garden Pizza: El placer de saborear una pizza súper sostenible</t>
  </si>
  <si>
    <t>Saborea el auténtico sabor de una pizza elaborada con ingredientes frescos y de temporada. Descubre Garden Pizza en Sant Cugat: tu pizza, más natural que....</t>
  </si>
  <si>
    <t>Garden Pizza: The pleasure of tasting a super sustainable pizza</t>
  </si>
  <si>
    <t>Savor the authentic flavor of a pizza made with fresh and seasonal ingredients. Discover Garden Pizza in Sant Cugat: your pizza, more natural than....</t>
  </si>
  <si>
    <r>
      <rPr>
        <rFont val="Arial, sans-serif"/>
        <color rgb="FF1155CC"/>
        <sz val="9.0"/>
        <u/>
      </rPr>
      <t>Crónica Vasca</t>
    </r>
    <r>
      <rPr>
        <rFont val="Arial, sans-serif"/>
        <color rgb="FF1155CC"/>
        <sz val="15.0"/>
        <u/>
      </rPr>
      <t>El mejor restaurante de brasa de Euskadi está en este pueblo de Gipuzkoa: tiene un solete Repsol</t>
    </r>
    <r>
      <rPr>
        <rFont val="Arial, sans-serif"/>
        <color rgb="FF1155CC"/>
        <sz val="11.0"/>
        <u/>
      </rPr>
      <t>Este restaurante, galardonado con un solete Repsol, se ha ganado una reputación por su cocina a la brasa que combina la autenticidad del fuego con...</t>
    </r>
    <r>
      <rPr>
        <rFont val="Arial, sans-serif"/>
        <color rgb="FF1155CC"/>
        <sz val="12.0"/>
        <u/>
      </rPr>
      <t>.</t>
    </r>
    <r>
      <rPr>
        <rFont val="Arial, sans-serif"/>
        <color rgb="FF1155CC"/>
        <sz val="11.0"/>
        <u/>
      </rPr>
      <t>28 ago 2024</t>
    </r>
  </si>
  <si>
    <t>El mejor restaurante de brasa de Euskadi está en este pueblo de Gipuzkoa: tiene un solete Repsol</t>
  </si>
  <si>
    <t>Este restaurante, galardonado con un solete Repsol, se ha ganado una reputación por su cocina a la brasa que combina la autenticidad del fuego con....</t>
  </si>
  <si>
    <t>The best grill restaurant in the Basque Country is in this town in Gipuzkoa: it has a Repsol solete</t>
  </si>
  <si>
    <t>This restaurant, awarded a Repsol solete, has earned a reputation for its grilled cuisine that combines the authenticity of fire with...</t>
  </si>
  <si>
    <t>Branding</t>
  </si>
  <si>
    <r>
      <rPr>
        <rFont val="Arial, sans-serif"/>
        <color rgb="FF1155CC"/>
        <sz val="9.0"/>
        <u/>
      </rPr>
      <t>Repsol</t>
    </r>
    <r>
      <rPr>
        <rFont val="Arial, sans-serif"/>
        <color rgb="FF1155CC"/>
        <sz val="15.0"/>
        <u/>
      </rPr>
      <t>Lenguaje inclusivo: Qué es y cómo utilizarlo</t>
    </r>
    <r>
      <rPr>
        <rFont val="Arial, sans-serif"/>
        <color rgb="FF1155CC"/>
        <sz val="11.0"/>
        <u/>
      </rPr>
      <t>Aprende sobre el lenguaje inclusivo, qué es y en qué situaciones debes utilizarlo para poder comunicar de la forma correcta.</t>
    </r>
    <r>
      <rPr>
        <rFont val="Arial, sans-serif"/>
        <color rgb="FF1155CC"/>
        <sz val="12.0"/>
        <u/>
      </rPr>
      <t>.</t>
    </r>
    <r>
      <rPr>
        <rFont val="Arial, sans-serif"/>
        <color rgb="FF1155CC"/>
        <sz val="11.0"/>
        <u/>
      </rPr>
      <t>28 ago 2024</t>
    </r>
  </si>
  <si>
    <t>Lenguaje inclusivo: Qué es y cómo utilizarlo</t>
  </si>
  <si>
    <t>Aprende sobre el lenguaje inclusivo, qué es y en qué situaciones debes utilizarlo para poder comunicar de la forma correcta.</t>
  </si>
  <si>
    <t>Inclusive language: What it is and how to use it</t>
  </si>
  <si>
    <t>Learn about inclusive language, what it is and in what situations you should use it to be able to communicate correctly.</t>
  </si>
  <si>
    <r>
      <rPr>
        <rFont val="Arial, sans-serif"/>
        <color rgb="FF1155CC"/>
        <sz val="9.0"/>
        <u/>
      </rPr>
      <t>XTB.com</t>
    </r>
    <r>
      <rPr>
        <rFont val="Arial, sans-serif"/>
        <color rgb="FF1155CC"/>
        <sz val="15.0"/>
        <u/>
      </rPr>
      <t>Las acciones de Repsol caen: estos son los motivos</t>
    </r>
    <r>
      <rPr>
        <rFont val="Arial, sans-serif"/>
        <color rgb="FF1155CC"/>
        <sz val="11.0"/>
        <u/>
      </rPr>
      <t>Las acciones de Repsol caen y rompen su racha ascendente a pesar de las subidas que han experimentado los precios del Brent o el West Texas.</t>
    </r>
    <r>
      <rPr>
        <rFont val="Arial, sans-serif"/>
        <color rgb="FF1155CC"/>
        <sz val="12.0"/>
        <u/>
      </rPr>
      <t>.</t>
    </r>
    <r>
      <rPr>
        <rFont val="Arial, sans-serif"/>
        <color rgb="FF1155CC"/>
        <sz val="11.0"/>
        <u/>
      </rPr>
      <t>29 ago 2024</t>
    </r>
  </si>
  <si>
    <t>Las acciones de Repsol caen: estos son los motivos</t>
  </si>
  <si>
    <t>Las acciones de Repsol caen y rompen su racha ascendente a pesar de las subidas que han experimentado los precios del Brent o el West Texas.</t>
  </si>
  <si>
    <t>Repsol shares fall: these are the reasons</t>
  </si>
  <si>
    <t>Repsol shares fall and break their upward streak despite the increases in Brent or West Texas prices.</t>
  </si>
  <si>
    <t>Repsol stock market, financial analysis</t>
  </si>
  <si>
    <t>Bolsa Repsol, análisis financiero</t>
  </si>
  <si>
    <t>Negative as it discusses a stock price decline.</t>
  </si>
  <si>
    <r>
      <rPr>
        <rFont val="Arial, sans-serif"/>
        <color rgb="FF1155CC"/>
        <sz val="9.0"/>
        <u/>
      </rPr>
      <t>Cinco Días</t>
    </r>
    <r>
      <rPr>
        <rFont val="Arial, sans-serif"/>
        <color rgb="FF1155CC"/>
        <sz val="15.0"/>
        <u/>
      </rPr>
      <t>Repsol ahonda sus mínimos anuales tras la rebaja de Morgan Stanley de sobreponderar a neutral</t>
    </r>
    <r>
      <rPr>
        <rFont val="Arial, sans-serif"/>
        <color rgb="FF1155CC"/>
        <sz val="11.0"/>
        <u/>
      </rPr>
      <t>Repsol lleva camino de cerrar el mes de agosto con una caída en Bolsa del 6%, entre las mayores del selectivo, que está dejando el precio de la acción al...</t>
    </r>
    <r>
      <rPr>
        <rFont val="Arial, sans-serif"/>
        <color rgb="FF1155CC"/>
        <sz val="12.0"/>
        <u/>
      </rPr>
      <t>.</t>
    </r>
    <r>
      <rPr>
        <rFont val="Arial, sans-serif"/>
        <color rgb="FF1155CC"/>
        <sz val="11.0"/>
        <u/>
      </rPr>
      <t>29 ago 2024</t>
    </r>
  </si>
  <si>
    <t>Repsol ahonda sus mínimos anuales tras la rebaja de Morgan Stanley de sobreponderar a neutral</t>
  </si>
  <si>
    <t>Repsol lleva camino de cerrar el mes de agosto con una caída en Bolsa del 6%, entre las mayores del selectivo, que está dejando el precio de la acción al....</t>
  </si>
  <si>
    <t>Repsol deepens its annual lows after Morgan Stanley's downgrade from overweight to neutral</t>
  </si>
  <si>
    <t>Repsol is on track to close the month of August with a 6% drop in the stock market, among the largest on the selective market, which is leaving the share price...</t>
  </si>
  <si>
    <t>Repsol stock market, investment</t>
  </si>
  <si>
    <t>Bolsa Repsol, inversión</t>
  </si>
  <si>
    <t>Negative as it highlights a significant stock decline.</t>
  </si>
  <si>
    <t>mínimos anuales</t>
  </si>
  <si>
    <r>
      <rPr>
        <rFont val="Arial, sans-serif"/>
        <color rgb="FF1155CC"/>
        <sz val="9.0"/>
        <u/>
      </rPr>
      <t>Guía Repsol</t>
    </r>
    <r>
      <rPr>
        <rFont val="Arial, sans-serif"/>
        <color rgb="FF1155CC"/>
        <sz val="15.0"/>
        <u/>
      </rPr>
      <t>Las hamburguesas y pizzas favoritas de los mejores cocineros</t>
    </r>
    <r>
      <rPr>
        <rFont val="Arial, sans-serif"/>
        <color rgb="FF1155CC"/>
        <sz val="11.0"/>
        <u/>
      </rPr>
      <t>Buena materia prima, precios contenidos y un horario amplio ofrecen los sitios de fast good (buena cocina rápida). Los cocineros con 3 Soles Guía Repsol te...</t>
    </r>
    <r>
      <rPr>
        <rFont val="Arial, sans-serif"/>
        <color rgb="FF1155CC"/>
        <sz val="12.0"/>
        <u/>
      </rPr>
      <t>.</t>
    </r>
    <r>
      <rPr>
        <rFont val="Arial, sans-serif"/>
        <color rgb="FF1155CC"/>
        <sz val="11.0"/>
        <u/>
      </rPr>
      <t>29 ago 2024</t>
    </r>
  </si>
  <si>
    <t>Las hamburguesas y pizzas favoritas de los mejores cocineros</t>
  </si>
  <si>
    <t>Buena materia prima, precios contenidos y un horario amplio ofrecen los sitios de fast good (buena cocina rápida). Los cocineros con 3 Soles Guía Repsol te....</t>
  </si>
  <si>
    <t>The favorite burgers and pizzas of the best chefs</t>
  </si>
  <si>
    <t>Good raw materials, low prices and ample hours are offered by fast good places. The chefs with 3 Suns Repsol Guide will...</t>
  </si>
  <si>
    <r>
      <rPr>
        <rFont val="Arial, sans-serif"/>
        <color rgb="FF1155CC"/>
        <sz val="9.0"/>
        <u/>
      </rPr>
      <t>Cadena SER</t>
    </r>
    <r>
      <rPr>
        <rFont val="Arial, sans-serif"/>
        <color rgb="FF1155CC"/>
        <sz val="15.0"/>
        <u/>
      </rPr>
      <t>Arsenio Salvador se despide como director de Repsol Puertollano en la SER</t>
    </r>
    <r>
      <rPr>
        <rFont val="Arial, sans-serif"/>
        <color rgb="FF1155CC"/>
        <sz val="11.0"/>
        <u/>
      </rPr>
      <t>El máximo responsable del Complejo Industrial, en su única entrevista en un medio audiovisual, expone las claves de presente y futuro de un centro de...</t>
    </r>
    <r>
      <rPr>
        <rFont val="Arial, sans-serif"/>
        <color rgb="FF1155CC"/>
        <sz val="12.0"/>
        <u/>
      </rPr>
      <t>.</t>
    </r>
    <r>
      <rPr>
        <rFont val="Arial, sans-serif"/>
        <color rgb="FF1155CC"/>
        <sz val="11.0"/>
        <u/>
      </rPr>
      <t>29 ago 2024</t>
    </r>
  </si>
  <si>
    <t>Arsenio Salvador se despide como director de Repsol Puertollano en la SER</t>
  </si>
  <si>
    <t>El máximo responsable del Complejo Industrial, en su única entrevista en un medio audiovisual, expone las claves de presente y futuro de un centro de....</t>
  </si>
  <si>
    <t>Arsenio Salvador says goodbye as director of Repsol Puertollano in SER</t>
  </si>
  <si>
    <t>The head of the Industrial Complex, in his only interview in an audiovisual medium, exposes the keys to the present and future of a...</t>
  </si>
  <si>
    <t>Repsol corporate, management change</t>
  </si>
  <si>
    <t>Repsol corporativo, cambio de gestión</t>
  </si>
  <si>
    <t>Slightly positive as it acknowledges a leadership transition.</t>
  </si>
  <si>
    <t>Neutral personnel change</t>
  </si>
  <si>
    <t>Cambio de personal neutral</t>
  </si>
  <si>
    <r>
      <rPr>
        <rFont val="Arial, sans-serif"/>
        <color rgb="FF1155CC"/>
        <sz val="9.0"/>
        <u/>
      </rPr>
      <t>menorca al día</t>
    </r>
    <r>
      <rPr>
        <rFont val="Arial, sans-serif"/>
        <color rgb="FF1155CC"/>
        <sz val="15.0"/>
        <u/>
      </rPr>
      <t>(Fotos) La Copa del Rey Repsol aprovecha el viento justo para estrenar su vigésima edición en Maó</t>
    </r>
    <r>
      <rPr>
        <rFont val="Arial, sans-serif"/>
        <color rgb="FF1155CC"/>
        <sz val="11.0"/>
        <u/>
      </rPr>
      <t>La XX Copa del Rey Repsol de Barcos de Época se estrenó hoy con viento de Levante muy suave y un recorrido costero de apenas 6,5 millas náuticas.</t>
    </r>
    <r>
      <rPr>
        <rFont val="Arial, sans-serif"/>
        <color rgb="FF1155CC"/>
        <sz val="12.0"/>
        <u/>
      </rPr>
      <t>.</t>
    </r>
    <r>
      <rPr>
        <rFont val="Arial, sans-serif"/>
        <color rgb="FF1155CC"/>
        <sz val="11.0"/>
        <u/>
      </rPr>
      <t>29 ago 2024</t>
    </r>
  </si>
  <si>
    <t>menorca al día</t>
  </si>
  <si>
    <t>La Copa del Rey Repsol aprovecha el viento justo para estrenar su vigésima edición en Maó</t>
  </si>
  <si>
    <t>La XX Copa del Rey Repsol de Barcos de Época se estrenó hoy con viento de Levante muy suave y un recorrido costero de apenas 6,5 millas náuticas.</t>
  </si>
  <si>
    <t>The Copa del Rey Repsol takes advantage of the right wind to launch its twentieth edition in Maó</t>
  </si>
  <si>
    <t>The XX Repsol King's Cup for Vintage Boats premiered today with a very light Levante wind and a coastal route of just 6.5 nautical miles.</t>
  </si>
  <si>
    <t>Repsol branding, sports sponsorship</t>
  </si>
  <si>
    <t>Marca Repsol, patrocinio deportivo</t>
  </si>
  <si>
    <t>Positive as it discusses a successful event.</t>
  </si>
  <si>
    <r>
      <rPr>
        <rFont val="Arial, sans-serif"/>
        <color rgb="FF1155CC"/>
        <sz val="9.0"/>
        <u/>
      </rPr>
      <t>El Cierre Digital</t>
    </r>
    <r>
      <rPr>
        <rFont val="Arial, sans-serif"/>
        <color rgb="FF1155CC"/>
        <sz val="15.0"/>
        <u/>
      </rPr>
      <t>El aviso de BBVA para todos los que tienen coche: un regalo que no podrás dejar ir</t>
    </r>
    <r>
      <rPr>
        <rFont val="Arial, sans-serif"/>
        <color rgb="FF1155CC"/>
        <sz val="11.0"/>
        <u/>
      </rPr>
      <t>Si te encuentras en la búsqueda de formas eficientes de ahorrar en combustible, debes conocer la tarjeta de BBVA, Tarjeta Repsol más Visa D&amp;eac...</t>
    </r>
    <r>
      <rPr>
        <rFont val="Arial, sans-serif"/>
        <color rgb="FF1155CC"/>
        <sz val="12.0"/>
        <u/>
      </rPr>
      <t>.</t>
    </r>
    <r>
      <rPr>
        <rFont val="Arial, sans-serif"/>
        <color rgb="FF1155CC"/>
        <sz val="11.0"/>
        <u/>
      </rPr>
      <t>29 ago 2024</t>
    </r>
  </si>
  <si>
    <t>El aviso de BBVA para todos los que tienen coche: un regalo que no podrás dejar ir</t>
  </si>
  <si>
    <t>Si te encuentras en la búsqueda de formas eficientes de ahorrar en combustible, debes conocer la tarjeta de BBVA, Tarjeta Repsol más Visa D&amp;eac....</t>
  </si>
  <si>
    <t>BBVA's notice for all those who have a car: a gift that you will not be able to let go</t>
  </si>
  <si>
    <t>If you are looking for efficient ways to save on fuel, you should know the BBVA card, Repsol Card plus Visa D&amp;eac....</t>
  </si>
  <si>
    <t>Neutral as it discusses a financial offer.</t>
  </si>
  <si>
    <r>
      <rPr>
        <rFont val="Arial, sans-serif"/>
        <color rgb="FF1155CC"/>
        <sz val="9.0"/>
        <u/>
      </rPr>
      <t>Noticiastrabajo</t>
    </r>
    <r>
      <rPr>
        <rFont val="Arial, sans-serif"/>
        <color rgb="FF1155CC"/>
        <sz val="15.0"/>
        <u/>
      </rPr>
      <t>El precio de la gasolina da un giro radical y el diésel ya se vende a menos de 1 euro en estas gasolineras</t>
    </r>
    <r>
      <rPr>
        <rFont val="Arial, sans-serif"/>
        <color rgb="FF1155CC"/>
        <sz val="11.0"/>
        <u/>
      </rPr>
      <t>Los combustibles vuelven a bajar de precio, alcanzando mínimos. La gasolina se vende a 1565 euros y el diésel a 1437 euros.</t>
    </r>
    <r>
      <rPr>
        <rFont val="Arial, sans-serif"/>
        <color rgb="FF1155CC"/>
        <sz val="12.0"/>
        <u/>
      </rPr>
      <t>.</t>
    </r>
    <r>
      <rPr>
        <rFont val="Arial, sans-serif"/>
        <color rgb="FF1155CC"/>
        <sz val="11.0"/>
        <u/>
      </rPr>
      <t>29 ago 2024</t>
    </r>
  </si>
  <si>
    <t>El precio de la gasolina da un giro radical y el diésel ya se vende a menos de 1 euro en estas gasolineras</t>
  </si>
  <si>
    <t>Los combustibles vuelven a bajar de precio, alcanzando mínimos. La gasolina se vende a 1565 euros y el diésel a 1437 euros.</t>
  </si>
  <si>
    <t>The price of gasoline takes a radical turn and diesel is now sold for less than 1 euro at these gas stations</t>
  </si>
  <si>
    <t>Fuel prices drop again, reaching minimums. Gasoline is sold at 1,565 euros and diesel at 1,437 euros.</t>
  </si>
  <si>
    <t>fuel prices, energy market</t>
  </si>
  <si>
    <t>precios del combustible, mercado energético</t>
  </si>
  <si>
    <t>Slightly positive as it mentions lower fuel prices.</t>
  </si>
  <si>
    <r>
      <rPr>
        <rFont val="Arial, sans-serif"/>
        <color rgb="FF1155CC"/>
        <sz val="9.0"/>
        <u/>
      </rPr>
      <t>La Opinión A Coruña</t>
    </r>
    <r>
      <rPr>
        <rFont val="Arial, sans-serif"/>
        <color rgb="FF1155CC"/>
        <sz val="15.0"/>
        <u/>
      </rPr>
      <t>El oleoducto y Alfonso Molina, condenados a entenderse</t>
    </r>
    <r>
      <rPr>
        <rFont val="Arial, sans-serif"/>
        <color rgb="FF1155CC"/>
        <sz val="11.0"/>
        <u/>
      </rPr>
      <t>La empresa supervisará el refuerzo de la protección de la infraestructura de hidrocarburos durante las obras de ampliación de la avenida, con la que se...</t>
    </r>
    <r>
      <rPr>
        <rFont val="Arial, sans-serif"/>
        <color rgb="FF1155CC"/>
        <sz val="12.0"/>
        <u/>
      </rPr>
      <t>.</t>
    </r>
    <r>
      <rPr>
        <rFont val="Arial, sans-serif"/>
        <color rgb="FF1155CC"/>
        <sz val="11.0"/>
        <u/>
      </rPr>
      <t>29 ago 2024</t>
    </r>
  </si>
  <si>
    <t>El oleoducto y Alfonso Molina, condenados a entenderse</t>
  </si>
  <si>
    <t>La empresa supervisará el refuerzo de la protección de la infraestructura de hidrocarburos durante las obras de ampliación de la avenida, con la que se....</t>
  </si>
  <si>
    <t>The oil pipeline and Alfonso Molina, condemned to understand each other</t>
  </si>
  <si>
    <t>The company will supervise the reinforcement of the protection of the hydrocarbon infrastructure during the works to expand the avenue, which will...</t>
  </si>
  <si>
    <r>
      <rPr>
        <rFont val="Arial, sans-serif"/>
        <color rgb="FF1155CC"/>
        <sz val="9.0"/>
        <u/>
      </rPr>
      <t>Box Repsol</t>
    </r>
    <r>
      <rPr>
        <rFont val="Arial, sans-serif"/>
        <color rgb="FF1155CC"/>
        <sz val="15.0"/>
        <u/>
      </rPr>
      <t>Top 5 cámaras para moto en 2025: ¿Cuál es mejor?</t>
    </r>
    <r>
      <rPr>
        <rFont val="Arial, sans-serif"/>
        <color rgb="FF1155CC"/>
        <sz val="11.0"/>
        <u/>
      </rPr>
      <t>Conoce las mejores cámaras para motos: modelos recomendados, características y consejos para grabar tus aventuras sobre dos ruedas con calidad.</t>
    </r>
    <r>
      <rPr>
        <rFont val="Arial, sans-serif"/>
        <color rgb="FF1155CC"/>
        <sz val="12.0"/>
        <u/>
      </rPr>
      <t>.</t>
    </r>
    <r>
      <rPr>
        <rFont val="Arial, sans-serif"/>
        <color rgb="FF1155CC"/>
        <sz val="11.0"/>
        <u/>
      </rPr>
      <t>29 ago 2024</t>
    </r>
  </si>
  <si>
    <t>Top 5 cámaras para moto en 2025: ¿Cuál es mejor?</t>
  </si>
  <si>
    <t>Conoce las mejores cámaras para motos: modelos recomendados, características y consejos para grabar tus aventuras sobre dos ruedas con calidad.</t>
  </si>
  <si>
    <t>Top 5 motorcycle cameras in 2025: Which one is better?</t>
  </si>
  <si>
    <t>Learn about the best cameras for motorcycles: recommended models, features and tips to record your adventures on two wheels with quality.</t>
  </si>
  <si>
    <r>
      <rPr>
        <rFont val="Arial, sans-serif"/>
        <color rgb="FF1155CC"/>
        <sz val="9.0"/>
        <u/>
      </rPr>
      <t>OkDiario</t>
    </r>
    <r>
      <rPr>
        <rFont val="Arial, sans-serif"/>
        <color rgb="FF1155CC"/>
        <sz val="15.0"/>
        <u/>
      </rPr>
      <t>Ecologistas se oponen a los derribos de presas fluviales en Galicia y piden no conceder más licencias</t>
    </r>
    <r>
      <rPr>
        <rFont val="Arial, sans-serif"/>
        <color rgb="FF1155CC"/>
        <sz val="11.0"/>
        <u/>
      </rPr>
      <t>Una organización ecologista se opone a los derribos de presas fluviales en Galicia y piden no conceder más licencias a los ayuntamientos.</t>
    </r>
    <r>
      <rPr>
        <rFont val="Arial, sans-serif"/>
        <color rgb="FF1155CC"/>
        <sz val="12.0"/>
        <u/>
      </rPr>
      <t>.</t>
    </r>
    <r>
      <rPr>
        <rFont val="Arial, sans-serif"/>
        <color rgb="FF1155CC"/>
        <sz val="11.0"/>
        <u/>
      </rPr>
      <t>29 ago 2024</t>
    </r>
  </si>
  <si>
    <t>Ecologistas se oponen a los derribos de presas fluviales en Galicia y piden no conceder más licencias</t>
  </si>
  <si>
    <t>Una organización ecologista se opone a los derribos de presas fluviales en Galicia y piden no conceder más licencias a los ayuntamientos.</t>
  </si>
  <si>
    <t>Environmentalists oppose the demolition of river dams in Galicia and ask not to grant more licenses</t>
  </si>
  <si>
    <t>An environmental organization opposes the demolition of river dams in Galicia and asks that no more licenses be granted to city councils.</t>
  </si>
  <si>
    <r>
      <rPr>
        <rFont val="Arial, sans-serif"/>
        <color rgb="FF1155CC"/>
        <sz val="9.0"/>
        <u/>
      </rPr>
      <t>Repsol</t>
    </r>
    <r>
      <rPr>
        <rFont val="Arial, sans-serif"/>
        <color rgb="FF1155CC"/>
        <sz val="15.0"/>
        <u/>
      </rPr>
      <t>Instala tu aire acondicionado: pasos a seguir</t>
    </r>
    <r>
      <rPr>
        <rFont val="Arial, sans-serif"/>
        <color rgb="FF1155CC"/>
        <sz val="11.0"/>
        <u/>
      </rPr>
      <t>En este post te contamos cómo instalar los aparatos de aire acondicionado en tu hogar, su precio y cuánto se tarda, ¡haz clic!</t>
    </r>
    <r>
      <rPr>
        <rFont val="Arial, sans-serif"/>
        <color rgb="FF1155CC"/>
        <sz val="12.0"/>
        <u/>
      </rPr>
      <t>.</t>
    </r>
    <r>
      <rPr>
        <rFont val="Arial, sans-serif"/>
        <color rgb="FF1155CC"/>
        <sz val="11.0"/>
        <u/>
      </rPr>
      <t>30 ago 2024</t>
    </r>
  </si>
  <si>
    <t>Instala tu aire acondicionado: pasos a seguir</t>
  </si>
  <si>
    <t>En este post te contamos cómo instalar los aparatos de aire acondicionado en tu hogar, su precio y cuánto se tarda, ¡haz clic!.</t>
  </si>
  <si>
    <t>Install your air conditioning: steps to follow</t>
  </si>
  <si>
    <t>In this post we tell you how to install air conditioning units in your home, their price and how long it takes, click!</t>
  </si>
  <si>
    <r>
      <rPr>
        <rFont val="Arial, sans-serif"/>
        <color rgb="FF1155CC"/>
        <sz val="9.0"/>
        <u/>
      </rPr>
      <t>Universidad Pontificia Comillas</t>
    </r>
    <r>
      <rPr>
        <rFont val="Arial, sans-serif"/>
        <color rgb="FF1155CC"/>
        <sz val="15.0"/>
        <u/>
      </rPr>
      <t>Tecnología para una industria papelera más sostenible</t>
    </r>
    <r>
      <rPr>
        <rFont val="Arial, sans-serif"/>
        <color rgb="FF1155CC"/>
        <sz val="11.0"/>
        <u/>
      </rPr>
      <t>La Cátedra Fundación Repsol de Transición Energética celebra su segundo webinar del curso 2023-24 centrado en la descarbonización de la industria papelera.</t>
    </r>
    <r>
      <rPr>
        <rFont val="Arial, sans-serif"/>
        <color rgb="FF1155CC"/>
        <sz val="12.0"/>
        <u/>
      </rPr>
      <t>.</t>
    </r>
    <r>
      <rPr>
        <rFont val="Arial, sans-serif"/>
        <color rgb="FF1155CC"/>
        <sz val="11.0"/>
        <u/>
      </rPr>
      <t>30 ago 2024</t>
    </r>
  </si>
  <si>
    <t>Tecnología para una industria papelera más sostenible</t>
  </si>
  <si>
    <t>La Cátedra Fundación Repsol de Transición Energética celebra su segundo webinar del curso 2023-24 centrado en la descarbonización de la industria papelera.</t>
  </si>
  <si>
    <t>Technology for a more sustainable paper industry</t>
  </si>
  <si>
    <t>The Repsol Foundation Chair in Energy Transition holds its second webinar of the 2023-24 academic year focused on the decarbonization of the paper industry.</t>
  </si>
  <si>
    <t>Repsol sustainability, corporate responsibility</t>
  </si>
  <si>
    <t>Sostenibilidad Repsol, responsabilidad corporativa</t>
  </si>
  <si>
    <t>Positive as it highlights sustainability efforts.</t>
  </si>
  <si>
    <r>
      <rPr>
        <rFont val="Arial, sans-serif"/>
        <color rgb="FF1155CC"/>
        <sz val="9.0"/>
        <u/>
      </rPr>
      <t>Noticias Ciudad Rodrigo</t>
    </r>
    <r>
      <rPr>
        <rFont val="Arial, sans-serif"/>
        <color rgb="FF1155CC"/>
        <sz val="15.0"/>
        <u/>
      </rPr>
      <t>"Lo que nadie te ha contado de Ciudad Rodrigo" en la Guía Repsol</t>
    </r>
    <r>
      <rPr>
        <rFont val="Arial, sans-serif"/>
        <color rgb="FF1155CC"/>
        <sz val="11.0"/>
        <u/>
      </rPr>
      <t>Original artículo publicado en la guía Repsol con aquello que es llamativo y único en la ciudad amurallada.</t>
    </r>
    <r>
      <rPr>
        <rFont val="Arial, sans-serif"/>
        <color rgb="FF1155CC"/>
        <sz val="12.0"/>
        <u/>
      </rPr>
      <t>.</t>
    </r>
    <r>
      <rPr>
        <rFont val="Arial, sans-serif"/>
        <color rgb="FF1155CC"/>
        <sz val="11.0"/>
        <u/>
      </rPr>
      <t>30 ago 2024</t>
    </r>
  </si>
  <si>
    <t>"Lo que nadie te ha contado de Ciudad Rodrigo" en la Guía Repsol</t>
  </si>
  <si>
    <t>Original artículo publicado en la guía Repsol con aquello que es llamativo y único en la ciudad amurallada.</t>
  </si>
  <si>
    <t>"What no one has told you about Ciudad Rodrigo" in the Repsol Guide</t>
  </si>
  <si>
    <t>Original article published in the Repsol guide with what is striking and unique in the walled city.</t>
  </si>
  <si>
    <r>
      <rPr>
        <rFont val="Arial, sans-serif"/>
        <color rgb="FF1155CC"/>
        <sz val="9.0"/>
        <u/>
      </rPr>
      <t>Guía Repsol</t>
    </r>
    <r>
      <rPr>
        <rFont val="Arial, sans-serif"/>
        <color rgb="FF1155CC"/>
        <sz val="15.0"/>
        <u/>
      </rPr>
      <t>Terrazas urbanas y rurales donde comer rico y barato según los chefs</t>
    </r>
    <r>
      <rPr>
        <rFont val="Arial, sans-serif"/>
        <color rgb="FF1155CC"/>
        <sz val="11.0"/>
        <u/>
      </rPr>
      <t>Dónde comer al aire libre en provincias del interior? Los cocineros del universo Guía Repsol cuentan sus lugares favoritos para el verano.</t>
    </r>
    <r>
      <rPr>
        <rFont val="Arial, sans-serif"/>
        <color rgb="FF1155CC"/>
        <sz val="12.0"/>
        <u/>
      </rPr>
      <t>.</t>
    </r>
    <r>
      <rPr>
        <rFont val="Arial, sans-serif"/>
        <color rgb="FF1155CC"/>
        <sz val="11.0"/>
        <u/>
      </rPr>
      <t>30 ago 2024</t>
    </r>
  </si>
  <si>
    <t>Terrazas urbanas y rurales donde comer rico y barato según los chefs</t>
  </si>
  <si>
    <t>¿Dónde comer al aire libre en provincias del interior? Los cocineros del universo Guía Repsol cuentan sus lugares favoritos para el verano.</t>
  </si>
  <si>
    <t>Urban and rural terraces where you can eat delicious and cheap according to the chefs</t>
  </si>
  <si>
    <t>Where to eat outdoors in inland provinces? The chefs of the Repsol Guide universe tell their favorite places for the summer.</t>
  </si>
  <si>
    <r>
      <rPr>
        <rFont val="Arial, sans-serif"/>
        <color rgb="FF1155CC"/>
        <sz val="9.0"/>
        <u/>
      </rPr>
      <t>Box Repsol</t>
    </r>
    <r>
      <rPr>
        <rFont val="Arial, sans-serif"/>
        <color rgb="FF1155CC"/>
        <sz val="15.0"/>
        <u/>
      </rPr>
      <t>Resultados de los entrenamientos del GP de Aragón de MotoGP</t>
    </r>
    <r>
      <rPr>
        <rFont val="Arial, sans-serif"/>
        <color rgb="FF1155CC"/>
        <sz val="11.0"/>
        <u/>
      </rPr>
      <t>Marc Márquez, con récord absoluto de la pista, domina con solvencia las dos sesiones del viernes en MotorLand ante la atenta mirada de las Aprilia,...</t>
    </r>
    <r>
      <rPr>
        <rFont val="Arial, sans-serif"/>
        <color rgb="FF1155CC"/>
        <sz val="12.0"/>
        <u/>
      </rPr>
      <t>.</t>
    </r>
    <r>
      <rPr>
        <rFont val="Arial, sans-serif"/>
        <color rgb="FF1155CC"/>
        <sz val="11.0"/>
        <u/>
      </rPr>
      <t>30 ago 2024</t>
    </r>
  </si>
  <si>
    <t>Resultados de los entrenamientos del GP de Aragón de MotoGP</t>
  </si>
  <si>
    <t>Marc Márquez, con récord absoluto de la pista, domina con solvencia las dos sesiones del viernes en MotorLand ante la atenta mirada de las Aprilia,....</t>
  </si>
  <si>
    <t>MotoGP Aragon GP practice results</t>
  </si>
  <si>
    <t>Marc Márquez, with an absolute track record, dominates the two sessions on Friday at MotorLand under the watchful eye of the Aprilia....</t>
  </si>
  <si>
    <r>
      <rPr>
        <rFont val="Arial, sans-serif"/>
        <color rgb="FF1155CC"/>
        <sz val="9.0"/>
        <u/>
      </rPr>
      <t>América Retail</t>
    </r>
    <r>
      <rPr>
        <rFont val="Arial, sans-serif"/>
        <color rgb="FF1155CC"/>
        <sz val="15.0"/>
        <u/>
      </rPr>
      <t>Los empleados de El Corte Inglés recibirán descuentos del 30% en luz y gas</t>
    </r>
    <r>
      <rPr>
        <rFont val="Arial, sans-serif"/>
        <color rgb="FF1155CC"/>
        <sz val="11.0"/>
        <u/>
      </rPr>
      <t>Los empleados de El Corte Inglés recibirán descuentos del 30% en luz y gas. Repsol y El Corte Inglés, dos gigantes de sus respectivos sectores en España,...</t>
    </r>
    <r>
      <rPr>
        <rFont val="Arial, sans-serif"/>
        <color rgb="FF1155CC"/>
        <sz val="12.0"/>
        <u/>
      </rPr>
      <t>.</t>
    </r>
    <r>
      <rPr>
        <rFont val="Arial, sans-serif"/>
        <color rgb="FF1155CC"/>
        <sz val="11.0"/>
        <u/>
      </rPr>
      <t>30 ago 2024</t>
    </r>
  </si>
  <si>
    <t>América Retail</t>
  </si>
  <si>
    <t>Los empleados de El Corte Inglés recibirán descuentos del 30% en luz y gas.</t>
  </si>
  <si>
    <t>Los empleados de El Corte Inglés recibirán descuentos del 30% en luz y gas. Repsol y El Corte Inglés, dos gigantes de sus respectivos sectores en España,...</t>
  </si>
  <si>
    <t>El Corte Inglés employees will receive 30% discounts on electricity and gas.</t>
  </si>
  <si>
    <t>El Corte Inglés employees will receive 30% discounts on electricity and gas. Repsol and El Corte Inglés, two giants in their respective sectors in Spain,...</t>
  </si>
  <si>
    <t>Neutral as it discusses a corporate agreement.</t>
  </si>
  <si>
    <r>
      <rPr>
        <rFont val="Arial, sans-serif"/>
        <color rgb="FF1155CC"/>
        <sz val="9.0"/>
        <u/>
      </rPr>
      <t>Ayuntamiento de Talavera de la Reina</t>
    </r>
    <r>
      <rPr>
        <rFont val="Arial, sans-serif"/>
        <color rgb="FF1155CC"/>
        <sz val="15.0"/>
        <u/>
      </rPr>
      <t>El alcalde continúa con las visitas a los establecimientos distinguidos con ‘Soletes’ en la ciudad</t>
    </r>
    <r>
      <rPr>
        <rFont val="Arial, sans-serif"/>
        <color rgb="FF1155CC"/>
        <sz val="11.0"/>
        <u/>
      </rPr>
      <t>El alcalde, José Julián Gregorio, ha continuado con las visitas a los diferentes establecimientos de la ciudad que han obtenido o han renovado el Solete de...</t>
    </r>
    <r>
      <rPr>
        <rFont val="Arial, sans-serif"/>
        <color rgb="FF1155CC"/>
        <sz val="12.0"/>
        <u/>
      </rPr>
      <t>.</t>
    </r>
    <r>
      <rPr>
        <rFont val="Arial, sans-serif"/>
        <color rgb="FF1155CC"/>
        <sz val="11.0"/>
        <u/>
      </rPr>
      <t>30 ago 2024</t>
    </r>
  </si>
  <si>
    <t>El alcalde continúa con las visitas a los establecimientos distinguidos con ‘Soletes’ en la ciudad</t>
  </si>
  <si>
    <t>El alcalde, José Julián Gregorio, ha continuado con las visitas a los diferentes establecimientos de la ciudad que han obtenido o han renovado el Solete de....</t>
  </si>
  <si>
    <t>The mayor continues with visits to the establishments distinguished with 'Soletes' in the city</t>
  </si>
  <si>
    <t>The mayor, José Julián Gregorio, has continued with his visits to the different establishments in the city that have obtained or have renewed the Solete de....</t>
  </si>
  <si>
    <r>
      <rPr>
        <rFont val="Arial, sans-serif"/>
        <color rgb="FF1155CC"/>
        <sz val="9.0"/>
        <u/>
      </rPr>
      <t>DAZN</t>
    </r>
    <r>
      <rPr>
        <rFont val="Arial, sans-serif"/>
        <color rgb="FF1155CC"/>
        <sz val="15.0"/>
        <u/>
      </rPr>
      <t>¿Qué pilotos españoles participan en el Mundial de MotoGP 2024?</t>
    </r>
    <r>
      <rPr>
        <rFont val="Arial, sans-serif"/>
        <color rgb="FF1155CC"/>
        <sz val="11.0"/>
        <u/>
      </rPr>
      <t>El campeonato del mundo de motociclismo es una de las disciplinas deportivas con más adeptos alrededor del mundo y que más alegrías ha dado a España y,...</t>
    </r>
    <r>
      <rPr>
        <rFont val="Arial, sans-serif"/>
        <color rgb="FF1155CC"/>
        <sz val="12.0"/>
        <u/>
      </rPr>
      <t>.</t>
    </r>
    <r>
      <rPr>
        <rFont val="Arial, sans-serif"/>
        <color rgb="FF1155CC"/>
        <sz val="11.0"/>
        <u/>
      </rPr>
      <t>30 ago 2024</t>
    </r>
  </si>
  <si>
    <t>¿Qué pilotos españoles participan en el Mundial de MotoGP 2024?</t>
  </si>
  <si>
    <t>¿Qué pilotos españoles participan en el Mundial de MotoGP 2024? El campeonato del mundo de motociclismo es una de las disciplinas deportivas con más adeptos alrededor del mundo y que más alegrías ha dado a España y,....</t>
  </si>
  <si>
    <t>Which Spanish riders participate in the 2024 MotoGP World Championship?</t>
  </si>
  <si>
    <t>Which Spanish riders participate in the 2024 MotoGP World Championship? The motorcycle world championship is one of the sporting disciplines with the most followers around the world and that has brought the most joy to Spain and...</t>
  </si>
  <si>
    <r>
      <rPr>
        <rFont val="Arial, sans-serif"/>
        <color rgb="FF1155CC"/>
        <sz val="9.0"/>
        <u/>
      </rPr>
      <t>Hoy</t>
    </r>
    <r>
      <rPr>
        <rFont val="Arial, sans-serif"/>
        <color rgb="FF1155CC"/>
        <sz val="15.0"/>
        <u/>
      </rPr>
      <t>Víctor Manuel disfruta de la cocina del Lugaris antes de su concierto en Mérida</t>
    </r>
    <r>
      <rPr>
        <rFont val="Arial, sans-serif"/>
        <color rgb="FF1155CC"/>
        <sz val="11.0"/>
        <u/>
      </rPr>
      <t>El cantautor reanuda la novena edición del Festival Stone junto a la Orquesta de Extremadura.</t>
    </r>
    <r>
      <rPr>
        <rFont val="Arial, sans-serif"/>
        <color rgb="FF1155CC"/>
        <sz val="12.0"/>
        <u/>
      </rPr>
      <t>.</t>
    </r>
    <r>
      <rPr>
        <rFont val="Arial, sans-serif"/>
        <color rgb="FF1155CC"/>
        <sz val="11.0"/>
        <u/>
      </rPr>
      <t>30 ago 2024</t>
    </r>
  </si>
  <si>
    <t>Víctor Manuel disfruta de la cocina del Lugaris antes de su concierto en Mérida</t>
  </si>
  <si>
    <t>El cantautor reanuda la novena edición del Festival Stone junto a la Orquesta de Extremadura.</t>
  </si>
  <si>
    <t>Víctor Manuel enjoys the Lugaris cuisine before his concert in Mérida</t>
  </si>
  <si>
    <t>The singer-songwriter resumes the ninth edition of the Stone Festival with the Extremadura Orchestra.</t>
  </si>
  <si>
    <r>
      <rPr>
        <rFont val="Arial, sans-serif"/>
        <color rgb="FF1155CC"/>
        <sz val="9.0"/>
        <u/>
      </rPr>
      <t>El Español</t>
    </r>
    <r>
      <rPr>
        <rFont val="Arial, sans-serif"/>
        <color rgb="FF1155CC"/>
        <sz val="15.0"/>
        <u/>
      </rPr>
      <t>El mítico restaurante de carretera en el que tienes que comer si pasas por Toledo</t>
    </r>
    <r>
      <rPr>
        <rFont val="Arial, sans-serif"/>
        <color rgb="FF1155CC"/>
        <sz val="11.0"/>
        <u/>
      </rPr>
      <t>Con un Solete Repsol, destaca por "sus carnes a la brasa y guisos manchegos".</t>
    </r>
    <r>
      <rPr>
        <rFont val="Arial, sans-serif"/>
        <color rgb="FF1155CC"/>
        <sz val="12.0"/>
        <u/>
      </rPr>
      <t>.</t>
    </r>
    <r>
      <rPr>
        <rFont val="Arial, sans-serif"/>
        <color rgb="FF1155CC"/>
        <sz val="11.0"/>
        <u/>
      </rPr>
      <t>30 ago 2024</t>
    </r>
  </si>
  <si>
    <t>El mítico restaurante de carretera en el que tienes que comer si pasas por Toledo</t>
  </si>
  <si>
    <t>Con un Solete Repsol, destaca por "sus carnes a la brasa y guisos manchegos".</t>
  </si>
  <si>
    <t>The legendary roadside restaurant where you have to eat if you pass through Toledo</t>
  </si>
  <si>
    <t>With a Repsol Solete, it stands out for "its grilled meats and La Mancha stews."</t>
  </si>
  <si>
    <r>
      <rPr>
        <rFont val="Arial, sans-serif"/>
        <color rgb="FF1155CC"/>
        <sz val="9.0"/>
        <u/>
      </rPr>
      <t>La Voz de Galicia</t>
    </r>
    <r>
      <rPr>
        <rFont val="Arial, sans-serif"/>
        <color rgb="FF1155CC"/>
        <sz val="15.0"/>
        <u/>
      </rPr>
      <t>El Gobierno del este de Libia castiga a Repsol con el cierre de un yacimiento</t>
    </r>
    <r>
      <rPr>
        <rFont val="Arial, sans-serif"/>
        <color rgb="FF1155CC"/>
        <sz val="11.0"/>
        <u/>
      </rPr>
      <t>La medida es una represalia por las investigaciones de la Justicia española contra un miembro del clan Haftar, que lidera el ejecutivo libio.</t>
    </r>
    <r>
      <rPr>
        <rFont val="Arial, sans-serif"/>
        <color rgb="FF1155CC"/>
        <sz val="12.0"/>
        <u/>
      </rPr>
      <t>.</t>
    </r>
    <r>
      <rPr>
        <rFont val="Arial, sans-serif"/>
        <color rgb="FF1155CC"/>
        <sz val="11.0"/>
        <u/>
      </rPr>
      <t>31 ago 2024</t>
    </r>
  </si>
  <si>
    <t>El Gobierno del este de Libia castiga a Repsol con el cierre de un yacimiento</t>
  </si>
  <si>
    <t>La medida es una represalia por las investigaciones de la Justicia española contra un miembro del clan Haftar, que lidera el ejecutivo libio.</t>
  </si>
  <si>
    <t>The Government of eastern Libya punishes Repsol with the closure of a field</t>
  </si>
  <si>
    <t>The measure is a retaliation for the investigations of the Spanish Justice against a member of the Haftar clan, which leads the Libyan executive.</t>
  </si>
  <si>
    <t>Negative as it highlights geopolitical tensions affecting Repsol.</t>
  </si>
  <si>
    <t>cierre</t>
  </si>
  <si>
    <r>
      <rPr>
        <rFont val="Arial, sans-serif"/>
        <color rgb="FF1155CC"/>
        <sz val="9.0"/>
        <u/>
      </rPr>
      <t>menorca al día</t>
    </r>
    <r>
      <rPr>
        <rFont val="Arial, sans-serif"/>
        <color rgb="FF1155CC"/>
        <sz val="15.0"/>
        <u/>
      </rPr>
      <t>(Fotos) 'Lady Anne' pone fin a una espectacular Copa del Rey Repsol de Barcos de Época en Maó</t>
    </r>
    <r>
      <rPr>
        <rFont val="Arial, sans-serif"/>
        <color rgb="FF1155CC"/>
        <sz val="11.0"/>
        <u/>
      </rPr>
      <t>La vela clásica es una afición que va a más; cuando te empieza a gustar, es un veneno para siempre”. Gonzalo Botín, patrón del Lady Anne, se ha declarado...</t>
    </r>
    <r>
      <rPr>
        <rFont val="Arial, sans-serif"/>
        <color rgb="FF1155CC"/>
        <sz val="12.0"/>
        <u/>
      </rPr>
      <t>.</t>
    </r>
    <r>
      <rPr>
        <rFont val="Arial, sans-serif"/>
        <color rgb="FF1155CC"/>
        <sz val="11.0"/>
        <u/>
      </rPr>
      <t>31 ago 2024</t>
    </r>
  </si>
  <si>
    <t>'Lady Anne' pone fin a una espectacular Copa del Rey Repsol de Barcos de Época en Maó</t>
  </si>
  <si>
    <t>La vela clásica es una afición que va a más; cuando te empieza a gustar, es un veneno para siempre”. Gonzalo Botín, patrón del Lady Anne, se ha declarado....</t>
  </si>
  <si>
    <t>'Lady Anne' ends a spectacular Repsol King's Cup for Vintage Boats in Maó</t>
  </si>
  <si>
    <t>Classical sailing is a hobby that is growing; “When you start to like it, it is a poison forever.” Gonzalo Botín, skipper of the Lady Anne, has declared....</t>
  </si>
  <si>
    <t>Positive as it discusses a successful sporting event.</t>
  </si>
  <si>
    <r>
      <rPr>
        <rFont val="Arial, sans-serif"/>
        <color rgb="FF1155CC"/>
        <sz val="9.0"/>
        <u/>
      </rPr>
      <t>OkDiario</t>
    </r>
    <r>
      <rPr>
        <rFont val="Arial, sans-serif"/>
        <color rgb="FF1155CC"/>
        <sz val="15.0"/>
        <u/>
      </rPr>
      <t>La entrega de trofeos pone el broche de oro a la Copa del Rey Repsol</t>
    </r>
    <r>
      <rPr>
        <rFont val="Arial, sans-serif"/>
        <color rgb="FF1155CC"/>
        <sz val="11.0"/>
        <u/>
      </rPr>
      <t>La ceremonia de entrega de trofeos ha marcado esta tarde el punto final a la XX Copa del Rey Repsol de Barcos de Época.</t>
    </r>
    <r>
      <rPr>
        <rFont val="Arial, sans-serif"/>
        <color rgb="FF1155CC"/>
        <sz val="12.0"/>
        <u/>
      </rPr>
      <t>.</t>
    </r>
    <r>
      <rPr>
        <rFont val="Arial, sans-serif"/>
        <color rgb="FF1155CC"/>
        <sz val="11.0"/>
        <u/>
      </rPr>
      <t>31 ago 2024</t>
    </r>
  </si>
  <si>
    <t>La entrega de trofeos pone el broche de oro a la Copa del Rey Repsol</t>
  </si>
  <si>
    <t>La ceremonia de entrega de trofeos ha marcado esta tarde el punto final a la XX Copa del Rey Repsol de Barcos de Época.</t>
  </si>
  <si>
    <t>The presentation of trophies puts the finishing touch to the Copa del Rey Repsol</t>
  </si>
  <si>
    <t>The trophy presentation ceremony this afternoon marked the end of the XX Repsol King's Cup for Vintage Boats.</t>
  </si>
  <si>
    <t>Positive as it celebrates an event’s conclusion.</t>
  </si>
  <si>
    <r>
      <rPr>
        <rFont val="Arial, sans-serif"/>
        <color rgb="FF1155CC"/>
        <sz val="9.0"/>
        <u/>
      </rPr>
      <t>Bon Viveur</t>
    </r>
    <r>
      <rPr>
        <rFont val="Arial, sans-serif"/>
        <color rgb="FF1155CC"/>
        <sz val="15.0"/>
        <u/>
      </rPr>
      <t>Los 10 mejores restaurantes de La Rioja</t>
    </r>
    <r>
      <rPr>
        <rFont val="Arial, sans-serif"/>
        <color rgb="FF1155CC"/>
        <sz val="11.0"/>
        <u/>
      </rPr>
      <t>Te hablamos de los mejores restaurante de La Rioja, una selección de establecimientos donde disfrutar de la cocina tradicional riojana y de otras muchas...</t>
    </r>
    <r>
      <rPr>
        <rFont val="Arial, sans-serif"/>
        <color rgb="FF1155CC"/>
        <sz val="12.0"/>
        <u/>
      </rPr>
      <t>.</t>
    </r>
    <r>
      <rPr>
        <rFont val="Arial, sans-serif"/>
        <color rgb="FF1155CC"/>
        <sz val="11.0"/>
        <u/>
      </rPr>
      <t>31 ago 2024</t>
    </r>
  </si>
  <si>
    <t>Los 10 mejores restaurantes de La Rioja</t>
  </si>
  <si>
    <t>Te hablamos de los mejores restaurante de La Rioja, una selección de establecimientos donde disfrutar de la cocina tradicional riojana y de otras muchas....</t>
  </si>
  <si>
    <t>The 10 best restaurants in La Rioja</t>
  </si>
  <si>
    <t>We talk to you about the best restaurants in La Rioja, a selection of establishments where you can enjoy traditional Riojan cuisine and many others....</t>
  </si>
  <si>
    <r>
      <rPr>
        <rFont val="Arial, sans-serif"/>
        <color rgb="FF1155CC"/>
        <sz val="9.0"/>
        <u/>
      </rPr>
      <t>Box Repsol</t>
    </r>
    <r>
      <rPr>
        <rFont val="Arial, sans-serif"/>
        <color rgb="FF1155CC"/>
        <sz val="15.0"/>
        <u/>
      </rPr>
      <t>Resultados de la carrera sprint del GP de Aragón de MotoGP</t>
    </r>
    <r>
      <rPr>
        <rFont val="Arial, sans-serif"/>
        <color rgb="FF1155CC"/>
        <sz val="11.0"/>
        <u/>
      </rPr>
      <t>Primera victoria al sprint de Marc Márquez, que se sube al podio de MotorLand acompañado de Jorge Martín y Pedro Acosta. Luca Marini, sábado, Aragón (web)...</t>
    </r>
    <r>
      <rPr>
        <rFont val="Arial, sans-serif"/>
        <color rgb="FF1155CC"/>
        <sz val="12.0"/>
        <u/>
      </rPr>
      <t>.</t>
    </r>
    <r>
      <rPr>
        <rFont val="Arial, sans-serif"/>
        <color rgb="FF1155CC"/>
        <sz val="11.0"/>
        <u/>
      </rPr>
      <t>31 ago 2024</t>
    </r>
  </si>
  <si>
    <t>Primera victoria al sprint de Marc Márquez, que se sube al podio de MotorLand acompañado de Jorge Martín y Pedro Acosta.</t>
  </si>
  <si>
    <t>First sprint victory for Marc Márquez, who climbs onto the MotorLand podium accompanied by Jorge Martín and Pedro Acosta.</t>
  </si>
  <si>
    <r>
      <rPr>
        <rFont val="Arial, sans-serif"/>
        <color rgb="FF1155CC"/>
        <sz val="9.0"/>
        <u/>
      </rPr>
      <t>Eldía</t>
    </r>
    <r>
      <rPr>
        <rFont val="Arial, sans-serif"/>
        <color rgb="FF1155CC"/>
        <sz val="15.0"/>
        <u/>
      </rPr>
      <t>Este es el truco secreto para que la bombona de butano te dure más</t>
    </r>
    <r>
      <rPr>
        <rFont val="Arial, sans-serif"/>
        <color rgb="FF1155CC"/>
        <sz val="11.0"/>
        <u/>
      </rPr>
      <t>Aumentará la vida útil con un consejo que desconocen los consumidores.</t>
    </r>
    <r>
      <rPr>
        <rFont val="Arial, sans-serif"/>
        <color rgb="FF1155CC"/>
        <sz val="12.0"/>
        <u/>
      </rPr>
      <t>.</t>
    </r>
    <r>
      <rPr>
        <rFont val="Arial, sans-serif"/>
        <color rgb="FF1155CC"/>
        <sz val="11.0"/>
        <u/>
      </rPr>
      <t>31 ago 2024</t>
    </r>
  </si>
  <si>
    <t>Este es el truco secreto para que la bombona de butano te dure más</t>
  </si>
  <si>
    <t>Aumentará la vida útil con un consejo que desconocen los consumidores.</t>
  </si>
  <si>
    <t>This is the secret trick to make the butane cylinder last longer</t>
  </si>
  <si>
    <t>It will increase the useful life with a tip that consumers are unaware of.</t>
  </si>
  <si>
    <r>
      <rPr>
        <rFont val="Arial, sans-serif"/>
        <color rgb="FF1155CC"/>
        <sz val="9.0"/>
        <u/>
      </rPr>
      <t>ELLE</t>
    </r>
    <r>
      <rPr>
        <rFont val="Arial, sans-serif"/>
        <color rgb="FF1155CC"/>
        <sz val="15.0"/>
        <u/>
      </rPr>
      <t>Los 21 mejores restaurantes de Girona donde comer bien</t>
    </r>
    <r>
      <rPr>
        <rFont val="Arial, sans-serif"/>
        <color rgb="FF1155CC"/>
        <sz val="11.0"/>
        <u/>
      </rPr>
      <t>Girona es una ciudad gastronómica. Estos son sus restaurantes imprescindibles, donde comer muy bien, muchos de ellos con el producto de proximidad por...</t>
    </r>
    <r>
      <rPr>
        <rFont val="Arial, sans-serif"/>
        <color rgb="FF1155CC"/>
        <sz val="12.0"/>
        <u/>
      </rPr>
      <t>.</t>
    </r>
    <r>
      <rPr>
        <rFont val="Arial, sans-serif"/>
        <color rgb="FF1155CC"/>
        <sz val="11.0"/>
        <u/>
      </rPr>
      <t>31 ago 2024</t>
    </r>
  </si>
  <si>
    <t>Los 21 mejores restaurantes de Girona donde comer bien</t>
  </si>
  <si>
    <t>Girona es una ciudad gastronómica. Estos son sus restaurantes imprescindibles, donde comer muy bien, muchos de ellos con el producto de proximidad por....</t>
  </si>
  <si>
    <t>The 21 best restaurants in Girona where you can eat well</t>
  </si>
  <si>
    <t>Girona is a gastronomic city. These are your essential restaurants, where you can eat very well, many of them with local products for...</t>
  </si>
  <si>
    <r>
      <rPr>
        <rFont val="Arial, sans-serif"/>
        <color rgb="FF1155CC"/>
        <sz val="9.0"/>
        <u/>
      </rPr>
      <t>Diario de Almería</t>
    </r>
    <r>
      <rPr>
        <rFont val="Arial, sans-serif"/>
        <color rgb="FF1155CC"/>
        <sz val="15.0"/>
        <u/>
      </rPr>
      <t>Los mejores restaurantes para comer en Cabo de Gata y alrededores</t>
    </r>
    <r>
      <rPr>
        <rFont val="Arial, sans-serif"/>
        <color rgb="FF1155CC"/>
        <sz val="11.0"/>
        <u/>
      </rPr>
      <t>15 recomendaciones para esas personas que visitan el parque natural y no saben dónde ir a comer. Desde Cabo de Gata a Agua Amarga hay bares y restaurantes...</t>
    </r>
    <r>
      <rPr>
        <rFont val="Arial, sans-serif"/>
        <color rgb="FF1155CC"/>
        <sz val="12.0"/>
        <u/>
      </rPr>
      <t>.</t>
    </r>
    <r>
      <rPr>
        <rFont val="Arial, sans-serif"/>
        <color rgb="FF1155CC"/>
        <sz val="11.0"/>
        <u/>
      </rPr>
      <t>31 ago 2024</t>
    </r>
  </si>
  <si>
    <t>Los mejores restaurantes para comer en Cabo de Gata y alrededores</t>
  </si>
  <si>
    <t>15 recomendaciones para esas personas que visitan el parque natural y no saben dónde ir a comer. Desde Cabo de Gata a Agua Amarga hay bares y restaurantes....</t>
  </si>
  <si>
    <t>The best restaurants to eat in Cabo de Gata and surroundings</t>
  </si>
  <si>
    <t>15 recommendations for those people who visit the natural park and don't know where to go to eat. From Cabo de Gata to Agua Amarga there are bars and restaurants....</t>
  </si>
  <si>
    <r>
      <rPr>
        <rFont val="Arial, sans-serif"/>
        <color rgb="FF1155CC"/>
        <sz val="9.0"/>
        <u/>
      </rPr>
      <t>El Economista</t>
    </r>
    <r>
      <rPr>
        <rFont val="Arial, sans-serif"/>
        <color rgb="FF1155CC"/>
        <sz val="15.0"/>
        <u/>
      </rPr>
      <t>'La Cartera' redoblaría su posición en Repsol si llega a caer a 11,5 euros por acción</t>
    </r>
    <r>
      <rPr>
        <rFont val="Arial, sans-serif"/>
        <color rgb="FF1155CC"/>
        <sz val="11.0"/>
        <u/>
      </rPr>
      <t>La Cartera de elEconomista.es confía en una recuperación del precio de la acción de la petrolera integrada del Ibex 35: Repsol. Era el ...</t>
    </r>
    <r>
      <rPr>
        <rFont val="Arial, sans-serif"/>
        <color rgb="FF1155CC"/>
        <sz val="12.0"/>
        <u/>
      </rPr>
      <t>.</t>
    </r>
    <r>
      <rPr>
        <rFont val="Arial, sans-serif"/>
        <color rgb="FF1155CC"/>
        <sz val="11.0"/>
        <u/>
      </rPr>
      <t>1 sept 2024</t>
    </r>
  </si>
  <si>
    <t>La Cartera' redoblaría su posición en Repsol si llega a caer a 11,5 euros por acción</t>
  </si>
  <si>
    <t>La Cartera de elEconomista.es confía en una recuperación del precio de la acción de la petrolera integrada del Ibex 35: Repsol. Era el ....</t>
  </si>
  <si>
    <t>La Cartera' would redouble its position in Repsol if it falls to 11.5 euros per share</t>
  </si>
  <si>
    <t>The elEconomista.es Portfolio trusts in a recovery of the share price of the integrated oil company of the Ibex 35: Repsol. It was the....</t>
  </si>
  <si>
    <t>Positive as it suggests investment confidence in Repsol.</t>
  </si>
  <si>
    <t>Mildly positive for investment outlook</t>
  </si>
  <si>
    <t>Ligeramente positivo para las perspectivas de inversión</t>
  </si>
  <si>
    <r>
      <rPr>
        <rFont val="Arial, sans-serif"/>
        <color rgb="FF1155CC"/>
        <sz val="9.0"/>
        <u/>
      </rPr>
      <t>El Español</t>
    </r>
    <r>
      <rPr>
        <rFont val="Arial, sans-serif"/>
        <color rgb="FF1155CC"/>
        <sz val="15.0"/>
        <u/>
      </rPr>
      <t>Repsol quiere que Waylet sea la app líder del coche eléctrico: ya se puede recargar en Ionity, EDP y Porsche</t>
    </r>
    <r>
      <rPr>
        <rFont val="Arial, sans-serif"/>
        <color rgb="FF1155CC"/>
        <sz val="11.0"/>
        <u/>
      </rPr>
      <t>La compañía energética apuesta por la interoperabilidad para utilizar una sola aplicación en diferentes puntos de recarga.</t>
    </r>
    <r>
      <rPr>
        <rFont val="Arial, sans-serif"/>
        <color rgb="FF1155CC"/>
        <sz val="12.0"/>
        <u/>
      </rPr>
      <t>.</t>
    </r>
    <r>
      <rPr>
        <rFont val="Arial, sans-serif"/>
        <color rgb="FF1155CC"/>
        <sz val="11.0"/>
        <u/>
      </rPr>
      <t>1 sept 2024</t>
    </r>
  </si>
  <si>
    <t>Repsol quiere que Waylet sea la app líder del coche eléctrico: ya se puede recargar en Ionity, EDP y Porsche</t>
  </si>
  <si>
    <t>La compañía energética apuesta por la interoperabilidad para utilizar una sola aplicación en diferentes puntos de recarga.</t>
  </si>
  <si>
    <t>Repsol wants Waylet to be the leading electric car app: it can now be recharged in Ionity, EDP and Porsche</t>
  </si>
  <si>
    <t>The energy company is committed to interoperability to use a single application at different charging points.</t>
  </si>
  <si>
    <t>Positive as it discusses Repsol’s innovation in electric mobility.</t>
  </si>
  <si>
    <t>Positive for digital innovation</t>
  </si>
  <si>
    <t>Positivo para la innovación digital</t>
  </si>
  <si>
    <r>
      <rPr>
        <rFont val="Arial, sans-serif"/>
        <color rgb="FF1155CC"/>
        <sz val="9.0"/>
        <u/>
      </rPr>
      <t>La Voz de Galicia</t>
    </r>
    <r>
      <rPr>
        <rFont val="Arial, sans-serif"/>
        <color rgb="FF1155CC"/>
        <sz val="15.0"/>
        <u/>
      </rPr>
      <t>Casi 30 hectáreas en el puerto exterior de A Coruña esperan por un gran proyecto de Repsol</t>
    </r>
    <r>
      <rPr>
        <rFont val="Arial, sans-serif"/>
        <color rgb="FF1155CC"/>
        <sz val="11.0"/>
        <u/>
      </rPr>
      <t>El tráfico de crudo creció un 60 % y abre la puerta a nuevos negocios en el puerto exterior.</t>
    </r>
    <r>
      <rPr>
        <rFont val="Arial, sans-serif"/>
        <color rgb="FF1155CC"/>
        <sz val="12.0"/>
        <u/>
      </rPr>
      <t>.</t>
    </r>
    <r>
      <rPr>
        <rFont val="Arial, sans-serif"/>
        <color rgb="FF1155CC"/>
        <sz val="11.0"/>
        <u/>
      </rPr>
      <t>1 sept 2024</t>
    </r>
  </si>
  <si>
    <t>Casi 30 hectáreas en el puerto exterior de A Coruña esperan por un gran proyecto de Repsol</t>
  </si>
  <si>
    <t>El tráfico de crudo creció un 60 % y abre la puerta a nuevos negocios en el puerto exterior.</t>
  </si>
  <si>
    <t>Almost 30 hectares in the outer port of A Coruña await a large Repsol project</t>
  </si>
  <si>
    <t>Crude oil traffic grew by 60% and opens the door to new business in the outer port.</t>
  </si>
  <si>
    <t>Positive as it mentions business expansion for Repsol.</t>
  </si>
  <si>
    <t>Mildly positive for potential investment</t>
  </si>
  <si>
    <t>Ligeramente positivo para la inversión potencial</t>
  </si>
  <si>
    <r>
      <rPr>
        <rFont val="Arial, sans-serif"/>
        <color rgb="FF1155CC"/>
        <sz val="9.0"/>
        <u/>
      </rPr>
      <t>Expansión</t>
    </r>
    <r>
      <rPr>
        <rFont val="Arial, sans-serif"/>
        <color rgb="FF1155CC"/>
        <sz val="15.0"/>
        <u/>
      </rPr>
      <t>El restaurante de carretera más grande de España de carne a la brasa y recomendado por la Guía Repsol</t>
    </r>
    <r>
      <rPr>
        <rFont val="Arial, sans-serif"/>
        <color rgb="FF1155CC"/>
        <sz val="11.0"/>
        <u/>
      </rPr>
      <t>Los viajes por carretera pueden resultar más o menos agradables dependiendo de cada persona, las condiciones de conducción y la compañía,...</t>
    </r>
    <r>
      <rPr>
        <rFont val="Arial, sans-serif"/>
        <color rgb="FF1155CC"/>
        <sz val="12.0"/>
        <u/>
      </rPr>
      <t>.</t>
    </r>
    <r>
      <rPr>
        <rFont val="Arial, sans-serif"/>
        <color rgb="FF1155CC"/>
        <sz val="11.0"/>
        <u/>
      </rPr>
      <t>1 sept 2024</t>
    </r>
  </si>
  <si>
    <t>El restaurante de carretera más grande de España de carne a la brasa y recomendado por la Guía Repsol</t>
  </si>
  <si>
    <t>Los viajes por carretera pueden resultar más o menos agradables dependiendo de cada persona, las condiciones de conducción y la compañía.</t>
  </si>
  <si>
    <t>The largest roadside restaurant in Spain with grilled meat and recommended by the Repsol Guide</t>
  </si>
  <si>
    <t>Road trips can be more or less pleasant depending on the person, the driving conditions and the company.</t>
  </si>
  <si>
    <r>
      <rPr>
        <rFont val="Arial, sans-serif"/>
        <color rgb="FF1155CC"/>
        <sz val="9.0"/>
        <u/>
      </rPr>
      <t>Cinco Días</t>
    </r>
    <r>
      <rPr>
        <rFont val="Arial, sans-serif"/>
        <color rgb="FF1155CC"/>
        <sz val="15.0"/>
        <u/>
      </rPr>
      <t>Las ‘telecos’ sufren un apagón en su negocio eléctrico</t>
    </r>
    <r>
      <rPr>
        <rFont val="Arial, sans-serif"/>
        <color rgb="FF1155CC"/>
        <sz val="11.0"/>
        <u/>
      </rPr>
      <t>Vodafone cierra su comercializadora, Masorange pausó la contratación y Telefónica no arranca con sus paneles solares.</t>
    </r>
    <r>
      <rPr>
        <rFont val="Arial, sans-serif"/>
        <color rgb="FF1155CC"/>
        <sz val="12.0"/>
        <u/>
      </rPr>
      <t>.</t>
    </r>
    <r>
      <rPr>
        <rFont val="Arial, sans-serif"/>
        <color rgb="FF1155CC"/>
        <sz val="11.0"/>
        <u/>
      </rPr>
      <t>1 sept 2024</t>
    </r>
  </si>
  <si>
    <t>Las ‘telecos’ sufren un apagón en su negocio eléctrico</t>
  </si>
  <si>
    <t>Vodafone cierra su comercializadora, Masorange pausó la contratación y Telefónica no arranca con sus paneles solares.</t>
  </si>
  <si>
    <t>The 'telecos' suffer a blackout in their electricity business</t>
  </si>
  <si>
    <t>Vodafone closes its marketing company, Masorange paused contracting and Telefónica does not start with its solar panels.</t>
  </si>
  <si>
    <r>
      <rPr>
        <rFont val="Arial, sans-serif"/>
        <color rgb="FF1155CC"/>
        <sz val="9.0"/>
        <u/>
      </rPr>
      <t>El Mundo</t>
    </r>
    <r>
      <rPr>
        <rFont val="Arial, sans-serif"/>
        <color rgb="FF1155CC"/>
        <sz val="15.0"/>
        <u/>
      </rPr>
      <t>El 'Lady Anne' de los Botín gana la XX edición de la regata de grandes veleros clásicos de Mahón</t>
    </r>
    <r>
      <rPr>
        <rFont val="Arial, sans-serif"/>
        <color rgb="FF1155CC"/>
        <sz val="11.0"/>
        <u/>
      </rPr>
      <t>"La vela clásica es una afición que va a más; cuando te empieza a gustar, es un veneno para siempre". Gonzalo Botín, patrón del velero de época The Lady...</t>
    </r>
    <r>
      <rPr>
        <rFont val="Arial, sans-serif"/>
        <color rgb="FF1155CC"/>
        <sz val="12.0"/>
        <u/>
      </rPr>
      <t>.</t>
    </r>
    <r>
      <rPr>
        <rFont val="Arial, sans-serif"/>
        <color rgb="FF1155CC"/>
        <sz val="11.0"/>
        <u/>
      </rPr>
      <t>1 sept 2024</t>
    </r>
  </si>
  <si>
    <t>El 'Lady Anne' de los Botín gana la XX edición de la regata de grandes veleros clásicos de Mahón</t>
  </si>
  <si>
    <t>"La vela clásica es una afición que va a más; cuando te empieza a gustar, es un veneno para siempre". Gonzalo Botín, patrón del velero de época The Lady....</t>
  </si>
  <si>
    <t>The Botín's 'Lady Anne' wins the 20th edition of the Mahón classic tall ship regatta</t>
  </si>
  <si>
    <t>"Classic sailing is a hobby that is growing; when you start to like it, it is a poison forever." Gonzalo Botín, skipper of the vintage sailboat The Lady....</t>
  </si>
  <si>
    <t>Positive as it celebrates a sporting event.</t>
  </si>
  <si>
    <r>
      <rPr>
        <rFont val="Arial, sans-serif"/>
        <color rgb="FF1155CC"/>
        <sz val="9.0"/>
        <u/>
      </rPr>
      <t>Mundo Deportivo</t>
    </r>
    <r>
      <rPr>
        <rFont val="Arial, sans-serif"/>
        <color rgb="FF1155CC"/>
        <sz val="15.0"/>
        <u/>
      </rPr>
      <t>Así queda la clasificación del Mundial de MotoGP tras la victoria en el Sprint de Aragón de Marc Márquez: Martín, de nuevo líder</t>
    </r>
    <r>
      <rPr>
        <rFont val="Arial, sans-serif"/>
        <color rgb="FF1155CC"/>
        <sz val="11.0"/>
        <u/>
      </rPr>
      <t>Marc Márquez está siendo el gran protagonista del fin de semana en el circuito de MotorLand. El piloto de Cervera no está teniendo rival y se ha impuesto en...</t>
    </r>
    <r>
      <rPr>
        <rFont val="Arial, sans-serif"/>
        <color rgb="FF1155CC"/>
        <sz val="12.0"/>
        <u/>
      </rPr>
      <t>.</t>
    </r>
    <r>
      <rPr>
        <rFont val="Arial, sans-serif"/>
        <color rgb="FF1155CC"/>
        <sz val="11.0"/>
        <u/>
      </rPr>
      <t>1 sept 2024</t>
    </r>
  </si>
  <si>
    <t>Así queda la clasificación del Mundial de MotoGP tras la victoria en el Sprint de Aragón de Marc Márquez: Martín, de nuevo líder</t>
  </si>
  <si>
    <t>Marc Márquez está siendo el gran protagonista del fin de semana en el circuito de MotorLand. El piloto de Cervera no está teniendo rival y se ha impuesto en....</t>
  </si>
  <si>
    <t>This is how the MotoGP World Championship standings remain after Marc Márquez's victory in the Aragón Sprint: Martín, leader again</t>
  </si>
  <si>
    <t>Marc Márquez is being the star of the weekend at the MotorLand circuit. The Cervera driver is having no rival and has won in....</t>
  </si>
  <si>
    <r>
      <rPr>
        <rFont val="Arial, sans-serif"/>
        <color rgb="FF1155CC"/>
        <sz val="9.0"/>
        <u/>
      </rPr>
      <t>Crónica Balear</t>
    </r>
    <r>
      <rPr>
        <rFont val="Arial, sans-serif"/>
        <color rgb="FF1155CC"/>
        <sz val="15.0"/>
        <u/>
      </rPr>
      <t>MotoGP | Joan Mir: "Los cambios nos han ayudado a entender muchas cosas"</t>
    </r>
    <r>
      <rPr>
        <rFont val="Arial, sans-serif"/>
        <color rgb="FF1155CC"/>
        <sz val="11.0"/>
        <u/>
      </rPr>
      <t>El piloto español de MotoGP Joan Mir (Repsol Honda), que ha terminado decimoquinto este domingo en la carrera del Gran Premio de Aragón, ha asegurado...</t>
    </r>
    <r>
      <rPr>
        <rFont val="Arial, sans-serif"/>
        <color rgb="FF1155CC"/>
        <sz val="12.0"/>
        <u/>
      </rPr>
      <t>.</t>
    </r>
    <r>
      <rPr>
        <rFont val="Arial, sans-serif"/>
        <color rgb="FF1155CC"/>
        <sz val="11.0"/>
        <u/>
      </rPr>
      <t>1 sept 2024</t>
    </r>
  </si>
  <si>
    <t>Crónica Balear</t>
  </si>
  <si>
    <t>MotoGP | Joan Mir: "Los cambios nos han ayudado a entender muchas cosas"</t>
  </si>
  <si>
    <t>El piloto español de MotoGP Joan Mir (Repsol Honda), que ha terminado decimoquinto este domingo en la carrera del Gran Premio de Aragón, ha asegurado....</t>
  </si>
  <si>
    <t>MotoGP | Joan Mir: "The changes have helped us understand many things"</t>
  </si>
  <si>
    <t>The Spanish MotoGP rider Joan Mir (Repsol Honda), who finished fifteenth this Sunday in the Aragon Grand Prix race, has assured...</t>
  </si>
  <si>
    <r>
      <rPr>
        <rFont val="Arial, sans-serif"/>
        <color rgb="FF1155CC"/>
        <sz val="9.0"/>
        <u/>
      </rPr>
      <t>DAZN</t>
    </r>
    <r>
      <rPr>
        <rFont val="Arial, sans-serif"/>
        <color rgb="FF1155CC"/>
        <sz val="15.0"/>
        <u/>
      </rPr>
      <t>MotoGP contratos: ¿hasta qué año tienen contrato los pilotos y cuándo terminan? Renovaciones, rumores y parrilla completa</t>
    </r>
    <r>
      <rPr>
        <rFont val="Arial, sans-serif"/>
        <color rgb="FF1155CC"/>
        <sz val="11.0"/>
        <u/>
      </rPr>
      <t>Conoce toda la información sobre el mercado de fichajes de MotoGP.</t>
    </r>
    <r>
      <rPr>
        <rFont val="Arial, sans-serif"/>
        <color rgb="FF1155CC"/>
        <sz val="12.0"/>
        <u/>
      </rPr>
      <t>.</t>
    </r>
    <r>
      <rPr>
        <rFont val="Arial, sans-serif"/>
        <color rgb="FF1155CC"/>
        <sz val="11.0"/>
        <u/>
      </rPr>
      <t>1 sept 2024</t>
    </r>
  </si>
  <si>
    <t>Contratos: ¿hasta qué año tienen contrato los pilotos y cuándo terminan? Renovaciones, rumores y parrilla completa.</t>
  </si>
  <si>
    <t>Conoce toda la información sobre el mercado de fichajes de MotoGP.</t>
  </si>
  <si>
    <t>Contracts: until what year do the pilots have a contract and when do they end? Renovations, rumors and full grill.</t>
  </si>
  <si>
    <t>Find out all the information about the MotoGP transfer market.</t>
  </si>
  <si>
    <r>
      <rPr>
        <rFont val="Arial, sans-serif"/>
        <color rgb="FF1155CC"/>
        <sz val="9.0"/>
        <u/>
      </rPr>
      <t>El Economista</t>
    </r>
    <r>
      <rPr>
        <rFont val="Arial, sans-serif"/>
        <color rgb="FF1155CC"/>
        <sz val="15.0"/>
        <u/>
      </rPr>
      <t>Cuatro valores en los que 'cosechar' lo acumulado y una gran oportunidad</t>
    </r>
    <r>
      <rPr>
        <rFont val="Arial, sans-serif"/>
        <color rgb="FF1155CC"/>
        <sz val="11.0"/>
        <u/>
      </rPr>
      <t>El traspiés bajista que protagonizaron las principales referencias bursátiles mundiales a comienzos de mes ya es historia para muchas de ...</t>
    </r>
    <r>
      <rPr>
        <rFont val="Arial, sans-serif"/>
        <color rgb="FF1155CC"/>
        <sz val="12.0"/>
        <u/>
      </rPr>
      <t>.</t>
    </r>
    <r>
      <rPr>
        <rFont val="Arial, sans-serif"/>
        <color rgb="FF1155CC"/>
        <sz val="11.0"/>
        <u/>
      </rPr>
      <t>1 sept 2024</t>
    </r>
  </si>
  <si>
    <t>Cuatro valores en los que 'cosechar' lo acumulado y una gran oportunidad</t>
  </si>
  <si>
    <t>El traspiés bajista que protagonizaron las principales referencias bursátiles mundiales a comienzos de mes ya es historia para muchas de ....</t>
  </si>
  <si>
    <t>Four values ​​​​in which to 'harvest' what has been accumulated and a great opportunity</t>
  </si>
  <si>
    <t>The bearish setback that the main global stock market references experienced at the beginning of the month is now history for many of...</t>
  </si>
  <si>
    <r>
      <rPr>
        <rFont val="Arial, sans-serif"/>
        <color rgb="FF1155CC"/>
        <sz val="9.0"/>
        <u/>
      </rPr>
      <t>Estrategias de Inversión</t>
    </r>
    <r>
      <rPr>
        <rFont val="Arial, sans-serif"/>
        <color rgb="FF1155CC"/>
        <sz val="15.0"/>
        <u/>
      </rPr>
      <t>La petrolera Repsol sigue dando disgustos a sus accionistas: pierde un 15% en 6 meses</t>
    </r>
    <r>
      <rPr>
        <rFont val="Arial, sans-serif"/>
        <color rgb="FF1155CC"/>
        <sz val="11.0"/>
        <u/>
      </rPr>
      <t>La petrolera Repsol sigue otro año más dando disgustos a sus inversores y accionistas, ya que no es capaz de subir en bolsa si no lo hace el petróleo,...</t>
    </r>
    <r>
      <rPr>
        <rFont val="Arial, sans-serif"/>
        <color rgb="FF1155CC"/>
        <sz val="12.0"/>
        <u/>
      </rPr>
      <t>.</t>
    </r>
    <r>
      <rPr>
        <rFont val="Arial, sans-serif"/>
        <color rgb="FF1155CC"/>
        <sz val="11.0"/>
        <u/>
      </rPr>
      <t>2 sept 2024</t>
    </r>
  </si>
  <si>
    <t>La petrolera Repsol sigue dando disgustos a sus accionistas: pierde un 15% en 6 meses</t>
  </si>
  <si>
    <t>La petrolera Repsol sigue otro año más dando disgustos a sus inversores y accionistas, ya que no es capaz de subir en bolsa si no lo hace el petróleo,....</t>
  </si>
  <si>
    <t>The oil company Repsol continues to upset its shareholders: it loses 15% in 6 months</t>
  </si>
  <si>
    <t>The oil company Repsol continues for another year causing displeasure to its investors and shareholders, since it is not capable of rising in the stock market if oil does not do so....</t>
  </si>
  <si>
    <t>Negative as it highlights Repsol's stock market struggles.</t>
  </si>
  <si>
    <t>pierde</t>
  </si>
  <si>
    <t>Negative for financial performance</t>
  </si>
  <si>
    <t>Negativo para el desempeño financiero</t>
  </si>
  <si>
    <r>
      <rPr>
        <rFont val="Arial, sans-serif"/>
        <color rgb="FF1155CC"/>
        <sz val="9.0"/>
        <u/>
      </rPr>
      <t>Jaén Hoy</t>
    </r>
    <r>
      <rPr>
        <rFont val="Arial, sans-serif"/>
        <color rgb="FF1155CC"/>
        <sz val="15.0"/>
        <u/>
      </rPr>
      <t>Chefs Estrella Michelín y Soles Repsol resaltan en Jaén la gastronomía como motor de desarrollo</t>
    </r>
    <r>
      <rPr>
        <rFont val="Arial, sans-serif"/>
        <color rgb="FF1155CC"/>
        <sz val="11.0"/>
        <u/>
      </rPr>
      <t>El curso 'El caso de la provincia de Jaén', se celebra hasta el 4 de septiembre en el edificio de la Casa Forestal Torre del Vinagre de la UJA, en el Parque...</t>
    </r>
    <r>
      <rPr>
        <rFont val="Arial, sans-serif"/>
        <color rgb="FF1155CC"/>
        <sz val="12.0"/>
        <u/>
      </rPr>
      <t>.</t>
    </r>
    <r>
      <rPr>
        <rFont val="Arial, sans-serif"/>
        <color rgb="FF1155CC"/>
        <sz val="11.0"/>
        <u/>
      </rPr>
      <t>2 sept 2024</t>
    </r>
  </si>
  <si>
    <t>Chefs Estrella Michelín y Soles Repsol resaltan en Jaén la gastronomía como motor de desarrollo</t>
  </si>
  <si>
    <t>El curso 'El caso de la provincia de Jaén', se celebra hasta el 4 de septiembre en el edificio de la Casa Forestal Torre del Vinagre de la UJA, en el Parque....</t>
  </si>
  <si>
    <t>Michelin Star Chefs and Repsol Soles highlight gastronomy as a driver of development in Jaén</t>
  </si>
  <si>
    <t>The course 'The case of the province of Jaén', is held until September 4 in the Torre del Vinagre Forest House building of the UJA, in the Park....</t>
  </si>
  <si>
    <r>
      <rPr>
        <rFont val="Arial, sans-serif"/>
        <color rgb="FF1155CC"/>
        <sz val="9.0"/>
        <u/>
      </rPr>
      <t>Guía Repsol</t>
    </r>
    <r>
      <rPr>
        <rFont val="Arial, sans-serif"/>
        <color rgb="FF1155CC"/>
        <sz val="15.0"/>
        <u/>
      </rPr>
      <t>Santos Bregaña: el diseñador que viste con arte los restaurantes</t>
    </r>
    <r>
      <rPr>
        <rFont val="Arial, sans-serif"/>
        <color rgb="FF1155CC"/>
        <sz val="11.0"/>
        <u/>
      </rPr>
      <t>El talento en el diseño de vajillas, cubiertos y espacios han convertido al navarro Santos Bregaña en uno de los artistas más reconocidos en el universo de...</t>
    </r>
    <r>
      <rPr>
        <rFont val="Arial, sans-serif"/>
        <color rgb="FF1155CC"/>
        <sz val="12.0"/>
        <u/>
      </rPr>
      <t>.</t>
    </r>
    <r>
      <rPr>
        <rFont val="Arial, sans-serif"/>
        <color rgb="FF1155CC"/>
        <sz val="11.0"/>
        <u/>
      </rPr>
      <t>2 sept 2024</t>
    </r>
  </si>
  <si>
    <t>Santos Bregaña: el diseñador que viste con arte los restaurantes</t>
  </si>
  <si>
    <t>El talento en el diseño de vajillas, cubiertos y espacios han convertido al navarro Santos Bregaña en uno de los artistas más reconocidos en el universo de....</t>
  </si>
  <si>
    <t>Santos Bregaña: the designer who dresses restaurants with art</t>
  </si>
  <si>
    <t>The talent in the design of tableware, cutlery and spaces has turned the Navarrese Santos Bregaña into one of the most recognized artists in the universe of...</t>
  </si>
  <si>
    <r>
      <rPr>
        <rFont val="Arial, sans-serif"/>
        <color rgb="FF1155CC"/>
        <sz val="9.0"/>
        <u/>
      </rPr>
      <t>Fenadismer en carretera</t>
    </r>
    <r>
      <rPr>
        <rFont val="Arial, sans-serif"/>
        <color rgb="FF1155CC"/>
        <sz val="15.0"/>
        <u/>
      </rPr>
      <t>Repsol planea modificar sus instalaciones para producir más biocombustibles</t>
    </r>
    <r>
      <rPr>
        <rFont val="Arial, sans-serif"/>
        <color rgb="FF1155CC"/>
        <sz val="11.0"/>
        <u/>
      </rPr>
      <t>Repsol planea modificar sus instalaciones para producir más biocombustibles, para lo que ha firmado un acuerdo con la multinacional Honeywell.</t>
    </r>
    <r>
      <rPr>
        <rFont val="Arial, sans-serif"/>
        <color rgb="FF1155CC"/>
        <sz val="12.0"/>
        <u/>
      </rPr>
      <t>.</t>
    </r>
    <r>
      <rPr>
        <rFont val="Arial, sans-serif"/>
        <color rgb="FF1155CC"/>
        <sz val="11.0"/>
        <u/>
      </rPr>
      <t>2 sept 2024</t>
    </r>
  </si>
  <si>
    <t>Fenadismer</t>
  </si>
  <si>
    <t>Repsol planea modificar sus instalaciones para producir más biocombustibles</t>
  </si>
  <si>
    <t>Repsol planea modificar sus instalaciones para producir más biocombustibles, para lo que ha firmado un acuerdo con la multinacional Honeywell.</t>
  </si>
  <si>
    <t>Repsol plans to modify its facilities to produce more biofuels</t>
  </si>
  <si>
    <t>Repsol plans to modify its facilities to produce more biofuels, for which it has signed an agreement with the multinational Honeywell.</t>
  </si>
  <si>
    <t>Repsol renewable fuel, business expansion</t>
  </si>
  <si>
    <t>Repsol combustibles renovables, expansión empresarial</t>
  </si>
  <si>
    <t>Positive as it discusses Repsol's investment in renewable energy.</t>
  </si>
  <si>
    <r>
      <rPr>
        <rFont val="Arial, sans-serif"/>
        <color rgb="FF1155CC"/>
        <sz val="9.0"/>
        <u/>
      </rPr>
      <t>El Mundo</t>
    </r>
    <r>
      <rPr>
        <rFont val="Arial, sans-serif"/>
        <color rgb="FF1155CC"/>
        <sz val="15.0"/>
        <u/>
      </rPr>
      <t>El restaurante de carretera cerca de Barcelona que recomienda la Guía Repsol y tiene un buffet libre por menos de 20 euros</t>
    </r>
    <r>
      <rPr>
        <rFont val="Arial, sans-serif"/>
        <color rgb="FF1155CC"/>
        <sz val="11.0"/>
        <u/>
      </rPr>
      <t>Ya hemos hablado de los mejores restaurantes que puedes encontrar en Barcelona. Hay decenas de ellos: lujosos, con vistas increíbles, de diseño único y...</t>
    </r>
    <r>
      <rPr>
        <rFont val="Arial, sans-serif"/>
        <color rgb="FF1155CC"/>
        <sz val="12.0"/>
        <u/>
      </rPr>
      <t>.</t>
    </r>
    <r>
      <rPr>
        <rFont val="Arial, sans-serif"/>
        <color rgb="FF1155CC"/>
        <sz val="11.0"/>
        <u/>
      </rPr>
      <t>2 sept 2024</t>
    </r>
  </si>
  <si>
    <t>El restaurante de carretera cerca de Barcelona que recomienda la Guía Repsol y tiene un buffet libre por menos de 20 euros</t>
  </si>
  <si>
    <t>Ya hemos hablado de los mejores restaurantes que puedes encontrar en Barcelona. Hay decenas de ellos: lujosos, con vistas increíbles, de diseño único y....</t>
  </si>
  <si>
    <t>The roadside restaurant near Barcelona that the Repsol Guide recommends and has an all-you-can-eat buffet for less than 20 euros</t>
  </si>
  <si>
    <t>We have already talked about the best restaurants you can find in Barcelona. There are dozens of them: luxurious, with incredible views, unique design and....</t>
  </si>
  <si>
    <r>
      <rPr>
        <rFont val="Arial, sans-serif"/>
        <color rgb="FF1155CC"/>
        <sz val="9.0"/>
        <u/>
      </rPr>
      <t>Automovilismo Canario</t>
    </r>
    <r>
      <rPr>
        <rFont val="Arial, sans-serif"/>
        <color rgb="FF1155CC"/>
        <sz val="15.0"/>
        <u/>
      </rPr>
      <t>La primera hidrogenera de Canarias apuesta por el Hyundai NEXO para lanzar un pionero rent-a-car con vehículos de hidrógeno</t>
    </r>
    <r>
      <rPr>
        <rFont val="Arial, sans-serif"/>
        <color rgb="FF1155CC"/>
        <sz val="11.0"/>
        <u/>
      </rPr>
      <t>La estación de servicio H2GO Repsol Morro Jable, en Fuerteventura, dará servicio a una exclusiva flota de alquiler con cero emisiones contaminantes…</t>
    </r>
    <r>
      <rPr>
        <rFont val="Arial, sans-serif"/>
        <color rgb="FF1155CC"/>
        <sz val="12.0"/>
        <u/>
      </rPr>
      <t>.</t>
    </r>
    <r>
      <rPr>
        <rFont val="Arial, sans-serif"/>
        <color rgb="FF1155CC"/>
        <sz val="11.0"/>
        <u/>
      </rPr>
      <t>2 sept 2024</t>
    </r>
  </si>
  <si>
    <t>La primera hidrogenera de Canarias apuesta por el Hyundai NEXO para lanzar un pionero rent-a-car con vehículos de hidrógeno</t>
  </si>
  <si>
    <t>La estación de servicio H2GO Repsol Morro Jable, en Fuerteventura, dará servicio a una exclusiva flota de alquiler con cero emisiones contaminantes.</t>
  </si>
  <si>
    <t>The first hydrogen plant in the Canary Islands relies on the Hyundai NEXO to launch a pioneering rent-a-car with hydrogen vehicles</t>
  </si>
  <si>
    <t>The H2GO Repsol Morro Jable service station, in Fuerteventura, will serve an exclusive rental fleet with zero polluting emissions.</t>
  </si>
  <si>
    <t>Positive as it highlights a sustainable energy initiative by Repsol.</t>
  </si>
  <si>
    <t>hidrogenera</t>
  </si>
  <si>
    <t>Positive for clean energy</t>
  </si>
  <si>
    <t>Positivo para la energía limpia</t>
  </si>
  <si>
    <r>
      <rPr>
        <rFont val="Arial, sans-serif"/>
        <color rgb="FF1155CC"/>
        <sz val="9.0"/>
        <u/>
      </rPr>
      <t>La Voz de Galicia</t>
    </r>
    <r>
      <rPr>
        <rFont val="Arial, sans-serif"/>
        <color rgb="FF1155CC"/>
        <sz val="15.0"/>
        <u/>
      </rPr>
      <t>Plenoil rompe el mercado con precios baratos</t>
    </r>
    <r>
      <rPr>
        <rFont val="Arial, sans-serif"/>
        <color rgb="FF1155CC"/>
        <sz val="11.0"/>
        <u/>
      </rPr>
      <t>Compite directamente con dos Repsol situadas en la carretera de Catabois.</t>
    </r>
    <r>
      <rPr>
        <rFont val="Arial, sans-serif"/>
        <color rgb="FF1155CC"/>
        <sz val="12.0"/>
        <u/>
      </rPr>
      <t>.</t>
    </r>
    <r>
      <rPr>
        <rFont val="Arial, sans-serif"/>
        <color rgb="FF1155CC"/>
        <sz val="11.0"/>
        <u/>
      </rPr>
      <t>2 sept 2024</t>
    </r>
  </si>
  <si>
    <t>Plenoil rompe el mercado con precios baratos</t>
  </si>
  <si>
    <t>Compite directamente con dos Repsol situadas en la carretera de Catabois.</t>
  </si>
  <si>
    <t>Plenoil breaks the market with cheap prices</t>
  </si>
  <si>
    <t>It competes directly with two Repsols located on the Catabois road.</t>
  </si>
  <si>
    <t>Repsol fuel market, business competition</t>
  </si>
  <si>
    <t>Mercado de combustibles Repsol, competencia empresarial</t>
  </si>
  <si>
    <t>Negative as it suggests competition against Repsol.</t>
  </si>
  <si>
    <t>Mildly negative for competition</t>
  </si>
  <si>
    <t>Ligeramente negativo para la competencia</t>
  </si>
  <si>
    <r>
      <rPr>
        <rFont val="Arial, sans-serif"/>
        <color rgb="FF1155CC"/>
        <sz val="9.0"/>
        <u/>
      </rPr>
      <t>La Razón</t>
    </r>
    <r>
      <rPr>
        <rFont val="Arial, sans-serif"/>
        <color rgb="FF1155CC"/>
        <sz val="15.0"/>
        <u/>
      </rPr>
      <t>Cambia el precio de la botella de butano a partir de este mes de septiembre: este será el precio exacto</t>
    </r>
    <r>
      <rPr>
        <rFont val="Arial, sans-serif"/>
        <color rgb="FF1155CC"/>
        <sz val="11.0"/>
        <u/>
      </rPr>
      <t>El Ejecutivo revisa cada dos meses el precio del gas butano y establece uno nuevo en función de diversos factores. La normativa vigente establece que la...</t>
    </r>
    <r>
      <rPr>
        <rFont val="Arial, sans-serif"/>
        <color rgb="FF1155CC"/>
        <sz val="12.0"/>
        <u/>
      </rPr>
      <t>.</t>
    </r>
    <r>
      <rPr>
        <rFont val="Arial, sans-serif"/>
        <color rgb="FF1155CC"/>
        <sz val="11.0"/>
        <u/>
      </rPr>
      <t>2 sept 2024</t>
    </r>
  </si>
  <si>
    <t>Cambia el precio de la botella de butano a partir de este mes de septiembre: este será el precio exacto</t>
  </si>
  <si>
    <t>The price of the butane bottle changes starting this September: this will be the exact price</t>
  </si>
  <si>
    <r>
      <rPr>
        <rFont val="Arial, sans-serif"/>
        <color rgb="FF1155CC"/>
        <sz val="9.0"/>
        <u/>
      </rPr>
      <t>MotorEnLinea.es</t>
    </r>
    <r>
      <rPr>
        <rFont val="Arial, sans-serif"/>
        <color rgb="FF1155CC"/>
        <sz val="15.0"/>
        <u/>
      </rPr>
      <t>Pájara acoge la primera hidrogenera de Canarias</t>
    </r>
    <r>
      <rPr>
        <rFont val="Arial, sans-serif"/>
        <color rgb="FF1155CC"/>
        <sz val="11.0"/>
        <u/>
      </rPr>
      <t>En una iniciativa sin precedentes en Canarias, IR Maxoinversioones, compañía propietaria de las instalaciones, pone en marcha la primera hidrogenera del...</t>
    </r>
    <r>
      <rPr>
        <rFont val="Arial, sans-serif"/>
        <color rgb="FF1155CC"/>
        <sz val="12.0"/>
        <u/>
      </rPr>
      <t>.</t>
    </r>
    <r>
      <rPr>
        <rFont val="Arial, sans-serif"/>
        <color rgb="FF1155CC"/>
        <sz val="11.0"/>
        <u/>
      </rPr>
      <t>2 sept 2024</t>
    </r>
  </si>
  <si>
    <t>MotorEnLinea.es</t>
  </si>
  <si>
    <t>Pájara acoge la primera hidrogenera de Canarias</t>
  </si>
  <si>
    <t>En una iniciativa sin precedentes en Canarias, IR Maxoinversioones, compañía propietaria de las instalaciones, pone en marcha la primera hidrogenera del....</t>
  </si>
  <si>
    <t>Pájara hosts the first hydrogen station in the Canary Islands</t>
  </si>
  <si>
    <t>In an unprecedented initiative in the Canary Islands, IR Maxoinversioones, the company that owns the facilities, launches the first hydrogen plant in the...</t>
  </si>
  <si>
    <t>Positive as it highlights a renewable energy development.</t>
  </si>
  <si>
    <r>
      <rPr>
        <rFont val="Arial, sans-serif"/>
        <color rgb="FF1155CC"/>
        <sz val="9.0"/>
        <u/>
      </rPr>
      <t>Expansión</t>
    </r>
    <r>
      <rPr>
        <rFont val="Arial, sans-serif"/>
        <color rgb="FF1155CC"/>
        <sz val="15.0"/>
        <u/>
      </rPr>
      <t>El CEO de Repsol compra 15.000 títulos en horas bajas en Bolsa</t>
    </r>
    <r>
      <rPr>
        <rFont val="Arial, sans-serif"/>
        <color rgb="FF1155CC"/>
        <sz val="11.0"/>
        <u/>
      </rPr>
      <t>El consejero delegado de Repsol, Josu Jon Imaz, ha realizado su tercera compra de acciones de la petrolera en el año. Como es habitual cada último día del...</t>
    </r>
    <r>
      <rPr>
        <rFont val="Arial, sans-serif"/>
        <color rgb="FF1155CC"/>
        <sz val="12.0"/>
        <u/>
      </rPr>
      <t>.</t>
    </r>
    <r>
      <rPr>
        <rFont val="Arial, sans-serif"/>
        <color rgb="FF1155CC"/>
        <sz val="11.0"/>
        <u/>
      </rPr>
      <t>3 sept 2024</t>
    </r>
  </si>
  <si>
    <t>El CEO de Repsol compra 15.000 títulos en horas bajas en Bolsa</t>
  </si>
  <si>
    <t>El consejero delegado de Repsol, Josu Jon Imaz, ha realizado su tercera compra de acciones de la petrolera en el año. Como es habitual cada último día del....</t>
  </si>
  <si>
    <t>The CEO of Repsol buys 15,000 securities during low hours on the Stock Market</t>
  </si>
  <si>
    <t>The CEO of Repsol, Josu Jon Imaz, has made his third purchase of shares in the oil company this year. As usual every last day of...</t>
  </si>
  <si>
    <t>Repsol stock market, executive confidence</t>
  </si>
  <si>
    <t>Bolsa Repsol, confianza de los ejecutivos</t>
  </si>
  <si>
    <t>Positive as it suggests confidence from Repsol’s CEO.</t>
  </si>
  <si>
    <t>compra, horas bajas</t>
  </si>
  <si>
    <t>Neutral-positive: CEO's purchase signals confidence but amid market struggles.</t>
  </si>
  <si>
    <t>Neutral-positivo: la compra del CEO indica confianza, pero en medio de luchas en el mercado.</t>
  </si>
  <si>
    <r>
      <rPr>
        <rFont val="Arial, sans-serif"/>
        <color rgb="FF1155CC"/>
        <sz val="9.0"/>
        <u/>
      </rPr>
      <t>Repsol</t>
    </r>
    <r>
      <rPr>
        <rFont val="Arial, sans-serif"/>
        <color rgb="FF1155CC"/>
        <sz val="15.0"/>
        <u/>
      </rPr>
      <t>Aplica saldo Waylet a tus facturas de la luz y el gas</t>
    </r>
    <r>
      <rPr>
        <rFont val="Arial, sans-serif"/>
        <color rgb="FF1155CC"/>
        <sz val="11.0"/>
        <u/>
      </rPr>
      <t>El precio de la luz, cuánto saldrá la factura de este mes... suelen ser dudas frecuentes en el día a día. Pero, si eres cliente de Repsol, no tienes de que...</t>
    </r>
    <r>
      <rPr>
        <rFont val="Arial, sans-serif"/>
        <color rgb="FF1155CC"/>
        <sz val="12.0"/>
        <u/>
      </rPr>
      <t>.</t>
    </r>
    <r>
      <rPr>
        <rFont val="Arial, sans-serif"/>
        <color rgb="FF1155CC"/>
        <sz val="11.0"/>
        <u/>
      </rPr>
      <t>3 sept 2024</t>
    </r>
  </si>
  <si>
    <t>Aplica saldo Waylet a tus facturas de la luz y el gas</t>
  </si>
  <si>
    <t>El precio de la luz, cuánto saldrá la factura de este mes... suelen ser dudas frecuentes en el día a día. Pero, si eres cliente de Repsol, no tienes de que....</t>
  </si>
  <si>
    <t>Apply Waylet balance to your electricity and gas bills</t>
  </si>
  <si>
    <t>The price of electricity, how much this month's bill will be... these tend to be common doubts on a day-to-day basis. But, if you are a Repsol customer, you don't have to...</t>
  </si>
  <si>
    <r>
      <rPr>
        <rFont val="Arial, sans-serif"/>
        <color rgb="FF1155CC"/>
        <sz val="9.0"/>
        <u/>
      </rPr>
      <t>XTB.com</t>
    </r>
    <r>
      <rPr>
        <rFont val="Arial, sans-serif"/>
        <color rgb="FF1155CC"/>
        <sz val="15.0"/>
        <u/>
      </rPr>
      <t>Las acciones de Repsol caen a pesar de las compras de su CEO</t>
    </r>
    <r>
      <rPr>
        <rFont val="Arial, sans-serif"/>
        <color rgb="FF1155CC"/>
        <sz val="11.0"/>
        <u/>
      </rPr>
      <t>La compra de 15.000 acciones de Repsol acometida por el CEO de la compañía, Josu Jon Imaz, no son suficientes para detener las caídas.</t>
    </r>
    <r>
      <rPr>
        <rFont val="Arial, sans-serif"/>
        <color rgb="FF1155CC"/>
        <sz val="12.0"/>
        <u/>
      </rPr>
      <t>.</t>
    </r>
    <r>
      <rPr>
        <rFont val="Arial, sans-serif"/>
        <color rgb="FF1155CC"/>
        <sz val="11.0"/>
        <u/>
      </rPr>
      <t>3 sept 2024</t>
    </r>
  </si>
  <si>
    <t>Las acciones de Repsol caen a pesar de las compras de su CEO</t>
  </si>
  <si>
    <t>La compra de 15.000 acciones de Repsol acometida por el CEO de la compañía, Josu Jon Imaz, no son suficientes para detener las caídas.</t>
  </si>
  <si>
    <t>Repsol shares fall despite its CEO's purchases</t>
  </si>
  <si>
    <t>The purchase of 15,000 Repsol shares undertaken by the company's CEO, Josu Jon Imaz, is not enough to stop the falls.</t>
  </si>
  <si>
    <t>Negative as it discusses declining Repsol shares.</t>
  </si>
  <si>
    <t>Negative: Stock decline despite CEO's efforts.</t>
  </si>
  <si>
    <t>Negativo: Caída de las acciones a pesar de los esfuerzos del CEO.</t>
  </si>
  <si>
    <r>
      <rPr>
        <rFont val="Arial, sans-serif"/>
        <color rgb="FF1155CC"/>
        <sz val="9.0"/>
        <u/>
      </rPr>
      <t>Capital Radio</t>
    </r>
    <r>
      <rPr>
        <rFont val="Arial, sans-serif"/>
        <color rgb="FF1155CC"/>
        <sz val="15.0"/>
        <u/>
      </rPr>
      <t>¿Niveles de compra en Repsol? "Es un buen refugio donde estar"</t>
    </r>
    <r>
      <rPr>
        <rFont val="Arial, sans-serif"/>
        <color rgb="FF1155CC"/>
        <sz val="11.0"/>
        <u/>
      </rPr>
      <t>Repsol es uno de los protagonistas de la sesión en el Ibex 35. En horas bajas, ha caído un 10% en bolsa en lo que va de año, la cuestión es si se toma un...</t>
    </r>
    <r>
      <rPr>
        <rFont val="Arial, sans-serif"/>
        <color rgb="FF1155CC"/>
        <sz val="12.0"/>
        <u/>
      </rPr>
      <t>.</t>
    </r>
    <r>
      <rPr>
        <rFont val="Arial, sans-serif"/>
        <color rgb="FF1155CC"/>
        <sz val="11.0"/>
        <u/>
      </rPr>
      <t>3 sept 2024</t>
    </r>
  </si>
  <si>
    <t>Niveles de compra en Repsol? "Es un buen refugio donde estar"</t>
  </si>
  <si>
    <t>Repsol es uno de los protagonistas de la sesión en el Ibex 35. En horas bajas, ha caído un 10% en bolsa en lo que va de año, la cuestión es si se toma un....</t>
  </si>
  <si>
    <t>Purchasing levels at Repsol? "It's a good refuge to be in"</t>
  </si>
  <si>
    <t>Repsol is one of the protagonists of the session on the Ibex 35. In low hours, it has fallen 10% in the stock market so far this year, the question is whether to take a...</t>
  </si>
  <si>
    <t>Positive as it suggests Repsol as a stable investment.</t>
  </si>
  <si>
    <t>buen refugio</t>
  </si>
  <si>
    <t>Positive: Suggests investment opportunity.</t>
  </si>
  <si>
    <t>Positivo: Sugiere oportunidad de inversión.</t>
  </si>
  <si>
    <r>
      <rPr>
        <rFont val="Arial, sans-serif"/>
        <color rgb="FF1155CC"/>
        <sz val="9.0"/>
        <u/>
      </rPr>
      <t>Guía Repsol</t>
    </r>
    <r>
      <rPr>
        <rFont val="Arial, sans-serif"/>
        <color rgb="FF1155CC"/>
        <sz val="15.0"/>
        <u/>
      </rPr>
      <t>Restaurante Donaire (Tenerife): El pastelero de lo salado</t>
    </r>
    <r>
      <rPr>
        <rFont val="Arial, sans-serif"/>
        <color rgb="FF1155CC"/>
        <sz val="11.0"/>
        <u/>
      </rPr>
      <t>Restaurante Donaire: Más que un pastelero. Saborea platos salados elaborados con la maestría de un pastelero. ¡Disfruta de una fusión de sabores única en...</t>
    </r>
    <r>
      <rPr>
        <rFont val="Arial, sans-serif"/>
        <color rgb="FF1155CC"/>
        <sz val="12.0"/>
        <u/>
      </rPr>
      <t>.</t>
    </r>
    <r>
      <rPr>
        <rFont val="Arial, sans-serif"/>
        <color rgb="FF1155CC"/>
        <sz val="11.0"/>
        <u/>
      </rPr>
      <t>3 sept 2024</t>
    </r>
  </si>
  <si>
    <t>Restaurante Donaire (Tenerife): El pastelero de lo salado</t>
  </si>
  <si>
    <t>Saborea platos salados elaborados con la maestría de un pastelero. ¡Disfruta de una fusión de sabores única en....</t>
  </si>
  <si>
    <t>Donaire Restaurant (Tenerife): The savory pastry chef</t>
  </si>
  <si>
    <t>Savor savory dishes prepared with the skill of a pastry chef. Enjoy a unique fusion of flavors in....</t>
  </si>
  <si>
    <r>
      <rPr>
        <rFont val="Arial, sans-serif"/>
        <color rgb="FF1155CC"/>
        <sz val="9.0"/>
        <u/>
      </rPr>
      <t>Bolsamania</t>
    </r>
    <r>
      <rPr>
        <rFont val="Arial, sans-serif"/>
        <color rgb="FF1155CC"/>
        <sz val="15.0"/>
        <u/>
      </rPr>
      <t>JP Morgan incluye a Repsol en su grupo de petroleras favoritas, aunque recorta su precio</t>
    </r>
    <r>
      <rPr>
        <rFont val="Arial, sans-serif"/>
        <color rgb="FF1155CC"/>
        <sz val="11.0"/>
        <u/>
      </rPr>
      <t>JP Morgan ha recortado este martes su precio objetivo de Repsol hasta 17 euros desde 18 euros. Este precio aún supone otorgar a la compañía un potencial de...</t>
    </r>
    <r>
      <rPr>
        <rFont val="Arial, sans-serif"/>
        <color rgb="FF1155CC"/>
        <sz val="12.0"/>
        <u/>
      </rPr>
      <t>.</t>
    </r>
    <r>
      <rPr>
        <rFont val="Arial, sans-serif"/>
        <color rgb="FF1155CC"/>
        <sz val="11.0"/>
        <u/>
      </rPr>
      <t>3 sept 2024</t>
    </r>
  </si>
  <si>
    <t>JP Morgan incluye a Repsol en su grupo de petroleras favoritas, aunque recorta su precio</t>
  </si>
  <si>
    <t>JP Morgan ha recortado este martes su precio objetivo de Repsol hasta 17 euros desde 18 euros. Este precio aún supone otorgar a la compañía un potencial de....</t>
  </si>
  <si>
    <t>JP Morgan includes Repsol in its group of favorite oil companies, although it cuts its price</t>
  </si>
  <si>
    <t>This Tuesday, JP Morgan cut its target price for Repsol to 17 euros from 18 euros. This price still gives the company a potential of...</t>
  </si>
  <si>
    <t>Positive as it recognizes Repsol as a strong investment despite price cuts.</t>
  </si>
  <si>
    <t>favoritas, recorta</t>
  </si>
  <si>
    <t>Mixed: Endorsement but price target cut.</t>
  </si>
  <si>
    <t>Mixto: Respaldo pero reducción del precio objetivo.</t>
  </si>
  <si>
    <r>
      <rPr>
        <rFont val="Arial, sans-serif"/>
        <color rgb="FF1155CC"/>
        <sz val="9.0"/>
        <u/>
      </rPr>
      <t>Diari de Tarragona</t>
    </r>
    <r>
      <rPr>
        <rFont val="Arial, sans-serif"/>
        <color rgb="FF1155CC"/>
        <sz val="15.0"/>
        <u/>
      </rPr>
      <t>La ‘nave espacial’ que desmantelará farolas y señales en Tarragona esta semana</t>
    </r>
    <r>
      <rPr>
        <rFont val="Arial, sans-serif"/>
        <color rgb="FF1155CC"/>
        <sz val="11.0"/>
        <u/>
      </rPr>
      <t>Si desea usted rememorar el clasicismo espacial de Ray Bradbury, Isaac Asimov, Philip K. Dick o H. G. Wells, sepa que tiene una oportunidad de oro dur...</t>
    </r>
    <r>
      <rPr>
        <rFont val="Arial, sans-serif"/>
        <color rgb="FF1155CC"/>
        <sz val="12.0"/>
        <u/>
      </rPr>
      <t>.</t>
    </r>
    <r>
      <rPr>
        <rFont val="Arial, sans-serif"/>
        <color rgb="FF1155CC"/>
        <sz val="11.0"/>
        <u/>
      </rPr>
      <t>3 sept 2024</t>
    </r>
  </si>
  <si>
    <t>La ‘nave espacial’ que desmantelará farolas y señales en Tarragona esta semana</t>
  </si>
  <si>
    <t>Si desea usted rememorar el clasicismo espacial de Ray Bradbury, Isaac Asimov, Philip K. Dick o H. G. Wells, sepa que tiene una oportunidad de oro dur....</t>
  </si>
  <si>
    <t>The 'spaceship' that will dismantle streetlights and signs in Tarragona this week</t>
  </si>
  <si>
    <t>If you want to remember the space classicism of Ray Bradbury, Isaac Asimov, Philip K. Dick or H. G. Wells, know that you have a long golden opportunity....</t>
  </si>
  <si>
    <r>
      <rPr>
        <rFont val="Arial, sans-serif"/>
        <color rgb="FF1155CC"/>
        <sz val="9.0"/>
        <u/>
      </rPr>
      <t>Estrategias de Inversión</t>
    </r>
    <r>
      <rPr>
        <rFont val="Arial, sans-serif"/>
        <color rgb="FF1155CC"/>
        <sz val="15.0"/>
        <u/>
      </rPr>
      <t>ArcelorMittal y Repsol lastran a un Ibex 35 que mira de reojo los 11.300 puntos</t>
    </r>
    <r>
      <rPr>
        <rFont val="Arial, sans-serif"/>
        <color rgb="FF1155CC"/>
        <sz val="11.0"/>
        <u/>
      </rPr>
      <t>Ibex 35. Caídas para el índice, que pone en riesgo los 11.300 puntos. Valores más alcistas: Acciona Energía e IAG. Valores más bajistas: ArcelorMittal y...</t>
    </r>
    <r>
      <rPr>
        <rFont val="Arial, sans-serif"/>
        <color rgb="FF1155CC"/>
        <sz val="12.0"/>
        <u/>
      </rPr>
      <t>.</t>
    </r>
    <r>
      <rPr>
        <rFont val="Arial, sans-serif"/>
        <color rgb="FF1155CC"/>
        <sz val="11.0"/>
        <u/>
      </rPr>
      <t>3 sept 2024</t>
    </r>
  </si>
  <si>
    <t>ArcelorMittal y Repsol lastran a un Ibex 35 que mira de reojo los 11.300 puntos</t>
  </si>
  <si>
    <t>Caídas para el índice, que pone en riesgo los 11.300 puntos. Valores más alcistas: Acciona Energía e IAG. Valores más bajistas: ArcelorMittal y....</t>
  </si>
  <si>
    <t>ArcelorMittal and Repsol weigh down an Ibex 35 that looks askance at 11,300 points</t>
  </si>
  <si>
    <t>Falls for the index, which puts 11,300 points at risk. Most bullish values: Acciona Energía and IAG. Most bearish values: ArcelorMittal and....</t>
  </si>
  <si>
    <t>Negative as it discusses stock market losses involving Repsol.</t>
  </si>
  <si>
    <t>lastran</t>
  </si>
  <si>
    <t>Negative: Repsol drags index down.</t>
  </si>
  <si>
    <t>Negativo: Repsol arrastra el índice a la baja.</t>
  </si>
  <si>
    <r>
      <rPr>
        <rFont val="Arial, sans-serif"/>
        <color rgb="FF1155CC"/>
        <sz val="9.0"/>
        <u/>
      </rPr>
      <t>Repsol</t>
    </r>
    <r>
      <rPr>
        <rFont val="Arial, sans-serif"/>
        <color rgb="FF1155CC"/>
        <sz val="15.0"/>
        <u/>
      </rPr>
      <t>Accesorios para bombonas de gas</t>
    </r>
    <r>
      <rPr>
        <rFont val="Arial, sans-serif"/>
        <color rgb="FF1155CC"/>
        <sz val="11.0"/>
        <u/>
      </rPr>
      <t>En la Tienda Online de Repsol encontrarás los accesorios que necesitas para usar tu bombona, unos de uso obligatorio, otros que facilitan su uso:.</t>
    </r>
    <r>
      <rPr>
        <rFont val="Arial, sans-serif"/>
        <color rgb="FF1155CC"/>
        <sz val="12.0"/>
        <u/>
      </rPr>
      <t>.</t>
    </r>
    <r>
      <rPr>
        <rFont val="Arial, sans-serif"/>
        <color rgb="FF1155CC"/>
        <sz val="11.0"/>
        <u/>
      </rPr>
      <t>3 sept 2024</t>
    </r>
  </si>
  <si>
    <t>Accesorios para bombonas de gas</t>
  </si>
  <si>
    <t>En la Tienda Online de Repsol encontrarás los accesorios que necesitas para usar tu bombona, unos de uso obligatorio, otros que facilitan su uso:..</t>
  </si>
  <si>
    <t>Accessories for gas cylinders</t>
  </si>
  <si>
    <t>In the Repsol Online Store you will find the accessories you need to use your cylinder, some of which are mandatory, others that make it easier to use:...</t>
  </si>
  <si>
    <r>
      <rPr>
        <rFont val="Arial, sans-serif"/>
        <color rgb="FF1155CC"/>
        <sz val="9.0"/>
        <u/>
      </rPr>
      <t>Box Repsol</t>
    </r>
    <r>
      <rPr>
        <rFont val="Arial, sans-serif"/>
        <color rgb="FF1155CC"/>
        <sz val="15.0"/>
        <u/>
      </rPr>
      <t>Horarios MotoGP San Marino 2024: fechas y dónde ver por TV y online</t>
    </r>
    <r>
      <rPr>
        <rFont val="Arial, sans-serif"/>
        <color rgb="FF1155CC"/>
        <sz val="11.0"/>
        <u/>
      </rPr>
      <t>Consulta los horarios y canales para ver el GP de San Marino 2024 de MotoGP. No te pierdas ni un solo detalle de esta emocionante carrera.</t>
    </r>
    <r>
      <rPr>
        <rFont val="Arial, sans-serif"/>
        <color rgb="FF1155CC"/>
        <sz val="12.0"/>
        <u/>
      </rPr>
      <t>.</t>
    </r>
    <r>
      <rPr>
        <rFont val="Arial, sans-serif"/>
        <color rgb="FF1155CC"/>
        <sz val="11.0"/>
        <u/>
      </rPr>
      <t>3 sept 2024</t>
    </r>
  </si>
  <si>
    <t>Horarios MotoGP San Marino 2024: fechas y dónde ver por TV y online</t>
  </si>
  <si>
    <t>Consulta los horarios y canales para ver el GP de San Marino 2024 de MotoGP. No te pierdas ni un solo detalle de esta emocionante carrera.</t>
  </si>
  <si>
    <t>MotoGP San Marino 2024 schedules: dates and where to watch on TV and online</t>
  </si>
  <si>
    <t>Check the schedules and channels to watch the 2024 San Marino GP of MotoGP. Don't miss a single detail of this exciting race.</t>
  </si>
  <si>
    <r>
      <rPr>
        <rFont val="Arial, sans-serif"/>
        <color rgb="FF1155CC"/>
        <sz val="9.0"/>
        <u/>
      </rPr>
      <t>El Economista</t>
    </r>
    <r>
      <rPr>
        <rFont val="Arial, sans-serif"/>
        <color rgb="FF1155CC"/>
        <sz val="15.0"/>
        <u/>
      </rPr>
      <t>Las empresas retoman las emisiones de deuda antes de lo habitual tras el parón del verano</t>
    </r>
    <r>
      <rPr>
        <rFont val="Arial, sans-serif"/>
        <color rgb="FF1155CC"/>
        <sz val="11.0"/>
        <u/>
      </rPr>
      <t>La actividad en el mercado de deuda ha regresado este año antes de lo habitual.</t>
    </r>
    <r>
      <rPr>
        <rFont val="Arial, sans-serif"/>
        <color rgb="FF1155CC"/>
        <sz val="12.0"/>
        <u/>
      </rPr>
      <t>.</t>
    </r>
    <r>
      <rPr>
        <rFont val="Arial, sans-serif"/>
        <color rgb="FF1155CC"/>
        <sz val="11.0"/>
        <u/>
      </rPr>
      <t>3 sept 2024</t>
    </r>
  </si>
  <si>
    <t>Las empresas retoman las emisiones de deuda antes de lo habitual tras el parón del verano</t>
  </si>
  <si>
    <t>La actividad en el mercado de deuda ha regresado este año antes de lo habitual.</t>
  </si>
  <si>
    <t>Companies resume debt issues earlier than usual after the summer break</t>
  </si>
  <si>
    <t>Activity in the debt market has returned earlier than usual this year.</t>
  </si>
  <si>
    <r>
      <rPr>
        <rFont val="Arial, sans-serif"/>
        <color rgb="FF1155CC"/>
        <sz val="9.0"/>
        <u/>
      </rPr>
      <t>Diario AS</t>
    </r>
    <r>
      <rPr>
        <rFont val="Arial, sans-serif"/>
        <color rgb="FF1155CC"/>
        <sz val="15.0"/>
        <u/>
      </rPr>
      <t>Marini tira de humor: “Al final gané y Márquez fue segundo”</t>
    </r>
    <r>
      <rPr>
        <rFont val="Arial, sans-serif"/>
        <color rgb="FF1155CC"/>
        <sz val="11.0"/>
        <u/>
      </rPr>
      <t>El piloto del Repsol Honda Team bromea al casi ser doblado por el ilerdense, aunque no camufla un fin de semana muy complicado que acabó sin puntos.</t>
    </r>
    <r>
      <rPr>
        <rFont val="Arial, sans-serif"/>
        <color rgb="FF1155CC"/>
        <sz val="12.0"/>
        <u/>
      </rPr>
      <t>.</t>
    </r>
    <r>
      <rPr>
        <rFont val="Arial, sans-serif"/>
        <color rgb="FF1155CC"/>
        <sz val="11.0"/>
        <u/>
      </rPr>
      <t>3 sept 2024</t>
    </r>
  </si>
  <si>
    <t>Marini tira de humor: “Al final gané y Márquez fue segundo”</t>
  </si>
  <si>
    <t>El piloto del Repsol Honda Team bromea al casi ser doblado por el ilerdense, aunque no camufla un fin de semana muy complicado que acabó sin puntos.</t>
  </si>
  <si>
    <t>Marini is humorous: “In the end I won and Márquez was second”</t>
  </si>
  <si>
    <t>The Repsol Honda Team rider jokes about being almost overtaken by the man from Ilerda, although it does not camouflage a very complicated weekend that ended without points.</t>
  </si>
  <si>
    <r>
      <rPr>
        <rFont val="Arial, sans-serif"/>
        <color rgb="FF1155CC"/>
        <sz val="9.0"/>
        <u/>
      </rPr>
      <t>Guía Repsol</t>
    </r>
    <r>
      <rPr>
        <rFont val="Arial, sans-serif"/>
        <color rgb="FF1155CC"/>
        <sz val="15.0"/>
        <u/>
      </rPr>
      <t>Cuando el hotel forma parte de la postal</t>
    </r>
    <r>
      <rPr>
        <rFont val="Arial, sans-serif"/>
        <color rgb="FF1155CC"/>
        <sz val="11.0"/>
        <u/>
      </rPr>
      <t>Cuando Joan Ferrer compró los terrenos de Cala Saona para construir un hotel, le tomaron por loco. Eran los años 50 y este visionario, que trabajó como pas.</t>
    </r>
    <r>
      <rPr>
        <rFont val="Arial, sans-serif"/>
        <color rgb="FF1155CC"/>
        <sz val="12.0"/>
        <u/>
      </rPr>
      <t>.</t>
    </r>
    <r>
      <rPr>
        <rFont val="Arial, sans-serif"/>
        <color rgb="FF1155CC"/>
        <sz val="11.0"/>
        <u/>
      </rPr>
      <t>3 sept 2024</t>
    </r>
  </si>
  <si>
    <t>Cuando el hotel forma parte de la postal</t>
  </si>
  <si>
    <t>Cuando Joan Ferrer compró los terrenos de Cala Saona para construir un hotel, le tomaron por loco. Eran los años 50 y este visionario, que trabajó como pas…</t>
  </si>
  <si>
    <t>When the hotel is part of the postcard</t>
  </si>
  <si>
    <t>When Joan Ferrer bought the land in Cala Saona to build a hotel, they thought he was crazy. It was the 50s and this visionary, who worked as a pa…</t>
  </si>
  <si>
    <r>
      <rPr>
        <rFont val="Arial, sans-serif"/>
        <color rgb="FF1155CC"/>
        <sz val="9.0"/>
        <u/>
      </rPr>
      <t>Bolsamania</t>
    </r>
    <r>
      <rPr>
        <rFont val="Arial, sans-serif"/>
        <color rgb="FF1155CC"/>
        <sz val="15.0"/>
        <u/>
      </rPr>
      <t>Telefónica y dos valores más que han perforado resistencias este martes</t>
    </r>
    <r>
      <rPr>
        <rFont val="Arial, sans-serif"/>
        <color rgb="FF1155CC"/>
        <sz val="11.0"/>
        <u/>
      </rPr>
      <t>Atentos que Sacyr se encuentra atacando la resistencia del corto plazo que presenta en los 3,31 euros.</t>
    </r>
    <r>
      <rPr>
        <rFont val="Arial, sans-serif"/>
        <color rgb="FF1155CC"/>
        <sz val="12.0"/>
        <u/>
      </rPr>
      <t>.</t>
    </r>
    <r>
      <rPr>
        <rFont val="Arial, sans-serif"/>
        <color rgb="FF1155CC"/>
        <sz val="11.0"/>
        <u/>
      </rPr>
      <t>3 sept 2024</t>
    </r>
  </si>
  <si>
    <t>Telefónica y dos valores más que han perforado resistencias este martes</t>
  </si>
  <si>
    <t>Atentos que Sacyr se encuentra atacando la resistencia del corto plazo que presenta en los 3,31 euros.</t>
  </si>
  <si>
    <t>Telefónica and two more values ​​that have pierced resistance this Tuesday</t>
  </si>
  <si>
    <t>Pay attention that Sacyr is attacking the short-term resistance that it presents at 3.31 euros.</t>
  </si>
  <si>
    <r>
      <rPr>
        <rFont val="Arial, sans-serif"/>
        <color rgb="FF1155CC"/>
        <sz val="9.0"/>
        <u/>
      </rPr>
      <t>Tarifa Luz Hora</t>
    </r>
    <r>
      <rPr>
        <rFont val="Arial, sans-serif"/>
        <color rgb="FF1155CC"/>
        <sz val="15.0"/>
        <u/>
      </rPr>
      <t>Waylet: acumula puntos y canjéalos en compras o carburante</t>
    </r>
    <r>
      <rPr>
        <rFont val="Arial, sans-serif"/>
        <color rgb="FF1155CC"/>
        <sz val="11.0"/>
        <u/>
      </rPr>
      <t>Paga con la aplicación Waylet de Repsol y ahorra en cada compra: ¿qué ventajas y descuentos puedes conseguir? Obtén carburante a un menor precio.</t>
    </r>
    <r>
      <rPr>
        <rFont val="Arial, sans-serif"/>
        <color rgb="FF1155CC"/>
        <sz val="12.0"/>
        <u/>
      </rPr>
      <t>.</t>
    </r>
    <r>
      <rPr>
        <rFont val="Arial, sans-serif"/>
        <color rgb="FF1155CC"/>
        <sz val="11.0"/>
        <u/>
      </rPr>
      <t>4 sept 2024</t>
    </r>
  </si>
  <si>
    <t>Paga con la aplicación Waylet de Repsol y ahorra en cada compra: ¿qué ventajas y descuentos puedes conseguir? Obtén carburante a un menor precio.</t>
  </si>
  <si>
    <t>Pay with the Repsol Waylet application and save on every purchase: what advantages and discounts can you get? Get fuel at a lower price.</t>
  </si>
  <si>
    <r>
      <rPr>
        <rFont val="Arial, sans-serif"/>
        <color rgb="FF1155CC"/>
        <sz val="9.0"/>
        <u/>
      </rPr>
      <t>Diari ARA</t>
    </r>
    <r>
      <rPr>
        <rFont val="Arial, sans-serif"/>
        <color rgb="FF1155CC"/>
        <sz val="15.0"/>
        <u/>
      </rPr>
      <t>El este de Libia corta el grifo en Repsol en represalia contra España</t>
    </r>
    <r>
      <rPr>
        <rFont val="Arial, sans-serif"/>
        <color rgb="FF1155CC"/>
        <sz val="11.0"/>
        <u/>
      </rPr>
      <t>Drones militares, pozos de petróleo y diplomacia en una trama que golpea a Repsol. El este de Libia cierra el yacimiento de Al Charara por las pesquisas...</t>
    </r>
    <r>
      <rPr>
        <rFont val="Arial, sans-serif"/>
        <color rgb="FF1155CC"/>
        <sz val="12.0"/>
        <u/>
      </rPr>
      <t>.</t>
    </r>
    <r>
      <rPr>
        <rFont val="Arial, sans-serif"/>
        <color rgb="FF1155CC"/>
        <sz val="11.0"/>
        <u/>
      </rPr>
      <t>4 sept 2024</t>
    </r>
  </si>
  <si>
    <t>El este de Libia corta el grifo en Repsol en represalia contra España</t>
  </si>
  <si>
    <t>Drones militares, pozos de petróleo y diplomacia en una trama que golpea a Repsol. El este de Libia cierra el yacimiento de Al Charara por las pesquisas....</t>
  </si>
  <si>
    <t>Eastern Libya cuts off the tap at Repsol in retaliation against Spain</t>
  </si>
  <si>
    <t>Military drones, oil wells and diplomacy in a plot that hits Repsol. Eastern Libya closes the Al Charara field due to investigations....</t>
  </si>
  <si>
    <t>Negative as it discusses political retaliation affecting Repsol.</t>
  </si>
  <si>
    <t>corta, represalia</t>
  </si>
  <si>
    <t>Negative: Political retaliation disrupts operations.</t>
  </si>
  <si>
    <t>Negativo: Las represalias políticas perturban las operaciones.</t>
  </si>
  <si>
    <r>
      <rPr>
        <rFont val="Arial, sans-serif"/>
        <color rgb="FF1155CC"/>
        <sz val="9.0"/>
        <u/>
      </rPr>
      <t>El Cronista</t>
    </r>
    <r>
      <rPr>
        <rFont val="Arial, sans-serif"/>
        <color rgb="FF1155CC"/>
        <sz val="15.0"/>
        <u/>
      </rPr>
      <t>La acción de Repsol en caída libre, ¿oportunidad para comprar?</t>
    </r>
    <r>
      <rPr>
        <rFont val="Arial, sans-serif"/>
        <color rgb="FF1155CC"/>
        <sz val="11.0"/>
        <u/>
      </rPr>
      <t>Nubarrones tan negros como el crudo sobrevuelan sobre Repsol. Como consecuencia de la caída del precio del petróleo, a lo que hay que sumar el exceso de...</t>
    </r>
    <r>
      <rPr>
        <rFont val="Arial, sans-serif"/>
        <color rgb="FF1155CC"/>
        <sz val="12.0"/>
        <u/>
      </rPr>
      <t>.</t>
    </r>
    <r>
      <rPr>
        <rFont val="Arial, sans-serif"/>
        <color rgb="FF1155CC"/>
        <sz val="11.0"/>
        <u/>
      </rPr>
      <t>4 sept 2024</t>
    </r>
  </si>
  <si>
    <t>La acción de Repsol en caída libre, ¿oportunidad para comprar?</t>
  </si>
  <si>
    <t>Nubarrones tan negros como el crudo sobrevuelan sobre Repsol. Como consecuencia de la caída del precio del petróleo, a lo que hay que sumar el exceso de....</t>
  </si>
  <si>
    <t>Repsol stock in free fall, opportunity to buy?</t>
  </si>
  <si>
    <t>Dark clouds as black as crude oil fly over Repsol. As a consequence of the fall in the price of oil, to which must be added the excess of...</t>
  </si>
  <si>
    <t>Negative as it describes Repsol's declining stock price.</t>
  </si>
  <si>
    <t>caída libre</t>
  </si>
  <si>
    <t>Negative: Stock plunge framed as risky.</t>
  </si>
  <si>
    <t>Negativo: La caída de las acciones se considera riesgosa.</t>
  </si>
  <si>
    <r>
      <rPr>
        <rFont val="Arial, sans-serif"/>
        <color rgb="FF1155CC"/>
        <sz val="9.0"/>
        <u/>
      </rPr>
      <t>Bolsamania</t>
    </r>
    <r>
      <rPr>
        <rFont val="Arial, sans-serif"/>
        <color rgb="FF1155CC"/>
        <sz val="15.0"/>
        <u/>
      </rPr>
      <t>Negros nubarrones en Repsol</t>
    </r>
    <r>
      <rPr>
        <rFont val="Arial, sans-serif"/>
        <color rgb="FF1155CC"/>
        <sz val="11.0"/>
        <u/>
      </rPr>
      <t>A comienzos del mes de julio vimos cómo Repsol comenzó a empeorar su aspecto técnico y, a día de hoy, no levanta cabeza.</t>
    </r>
    <r>
      <rPr>
        <rFont val="Arial, sans-serif"/>
        <color rgb="FF1155CC"/>
        <sz val="12.0"/>
        <u/>
      </rPr>
      <t>.</t>
    </r>
    <r>
      <rPr>
        <rFont val="Arial, sans-serif"/>
        <color rgb="FF1155CC"/>
        <sz val="11.0"/>
        <u/>
      </rPr>
      <t>4 sept 2024</t>
    </r>
  </si>
  <si>
    <t>Negros nubarrones en Repsol</t>
  </si>
  <si>
    <t>A comienzos del mes de julio vimos cómo Repsol comenzó a empeorar su aspecto técnico y, a día de hoy, no levanta cabeza.</t>
  </si>
  <si>
    <t>Black clouds at Repsol</t>
  </si>
  <si>
    <t>At the beginning of July we saw how Repsol began to worsen its technical aspect and, to this day, it is not lifting its head.</t>
  </si>
  <si>
    <t>Repsol business strategy, investment outlook</t>
  </si>
  <si>
    <t>Estrategia de negocio de Repsol, perspectivas de inversión</t>
  </si>
  <si>
    <t>Negative as it highlights ongoing financial struggles for Repsol.</t>
  </si>
  <si>
    <t>negros nubarrones</t>
  </si>
  <si>
    <t>Negative: Metaphor for financial trouble.</t>
  </si>
  <si>
    <t>Negativo: Metáfora de los problemas financieros.</t>
  </si>
  <si>
    <r>
      <rPr>
        <rFont val="Arial, sans-serif"/>
        <color rgb="FF1155CC"/>
        <sz val="9.0"/>
        <u/>
      </rPr>
      <t>El Español</t>
    </r>
    <r>
      <rPr>
        <rFont val="Arial, sans-serif"/>
        <color rgb="FF1155CC"/>
        <sz val="15.0"/>
        <u/>
      </rPr>
      <t>El bar de carretera con solete Repsol donde tienes que parar si vas a Mataró: tiene un menú a 10 euros</t>
    </r>
    <r>
      <rPr>
        <rFont val="Arial, sans-serif"/>
        <color rgb="FF1155CC"/>
        <sz val="11.0"/>
        <u/>
      </rPr>
      <t>Ya sea que estés de paso o vivas en la zona, una visita a este lugar te permitirá disfrutar de una excelente comida, un ambiente cálido y un servicio que te...</t>
    </r>
    <r>
      <rPr>
        <rFont val="Arial, sans-serif"/>
        <color rgb="FF1155CC"/>
        <sz val="12.0"/>
        <u/>
      </rPr>
      <t>.</t>
    </r>
    <r>
      <rPr>
        <rFont val="Arial, sans-serif"/>
        <color rgb="FF1155CC"/>
        <sz val="11.0"/>
        <u/>
      </rPr>
      <t>4 sept 2024</t>
    </r>
  </si>
  <si>
    <t>El bar de carretera con solete Repsol donde tienes que parar si vas a Mataró: tiene un menú a 10 euros</t>
  </si>
  <si>
    <t>Una visita a este lugar te permitirá disfrutar de una excelente comida, un ambiente cálido y un servicio que te....</t>
  </si>
  <si>
    <t>The Repsol roadside bar where you have to stop if you go to Mataró: it has a menu for 10 euros</t>
  </si>
  <si>
    <t>A visit to this place will allow you to enjoy excellent food, a warm atmosphere and service that will...</t>
  </si>
  <si>
    <r>
      <rPr>
        <rFont val="Arial, sans-serif"/>
        <color rgb="FF1155CC"/>
        <sz val="9.0"/>
        <u/>
      </rPr>
      <t>Bolsamania</t>
    </r>
    <r>
      <rPr>
        <rFont val="Arial, sans-serif"/>
        <color rgb="FF1155CC"/>
        <sz val="15.0"/>
        <u/>
      </rPr>
      <t>Consultorio de análisis técnico: IAG, Endesa, Enagás, Repsol, Talgo, Acerinox, Dow Jones...</t>
    </r>
    <r>
      <rPr>
        <rFont val="Arial, sans-serif"/>
        <color rgb="FF1155CC"/>
        <sz val="11.0"/>
        <u/>
      </rPr>
      <t>A continuación, damos respuesta a los valores por los que más han preguntado este martes a César Nuez, analista técnico de Bolsamanía, que pone bajo la lupa...</t>
    </r>
    <r>
      <rPr>
        <rFont val="Arial, sans-serif"/>
        <color rgb="FF1155CC"/>
        <sz val="12.0"/>
        <u/>
      </rPr>
      <t>.</t>
    </r>
    <r>
      <rPr>
        <rFont val="Arial, sans-serif"/>
        <color rgb="FF1155CC"/>
        <sz val="11.0"/>
        <u/>
      </rPr>
      <t>4 sept 2024</t>
    </r>
  </si>
  <si>
    <t>Consultorio de análisis técnico: IAG, Endesa, Enagás, Repsol, Talgo, Acerinox, Dow Jones...</t>
  </si>
  <si>
    <t>Technical analysis consultancy: IAG, Endesa, Enagás, Repsol, Talgo, Acerinox, Dow Jones...</t>
  </si>
  <si>
    <t>Positive as it discusses stock opportunities, including Repsol.</t>
  </si>
  <si>
    <t>Neutral: Market analysis.</t>
  </si>
  <si>
    <t>Neutral: Análisis de mercado.</t>
  </si>
  <si>
    <r>
      <rPr>
        <rFont val="Arial, sans-serif"/>
        <color rgb="FF1155CC"/>
        <sz val="9.0"/>
        <u/>
      </rPr>
      <t>Capital Radio</t>
    </r>
    <r>
      <rPr>
        <rFont val="Arial, sans-serif"/>
        <color rgb="FF1155CC"/>
        <sz val="15.0"/>
        <u/>
      </rPr>
      <t>¿Invertir en Bitcoin? "Se acabará yendo al alza", según Ortega</t>
    </r>
    <r>
      <rPr>
        <rFont val="Arial, sans-serif"/>
        <color rgb="FF1155CC"/>
        <sz val="11.0"/>
        <u/>
      </rPr>
      <t>Gerardo Ortega, de gerardoortega.es, examina los títulos de Nvidia, Repsol, Ezentis o Bitcoin, entre otros.</t>
    </r>
    <r>
      <rPr>
        <rFont val="Arial, sans-serif"/>
        <color rgb="FF1155CC"/>
        <sz val="12.0"/>
        <u/>
      </rPr>
      <t>.</t>
    </r>
    <r>
      <rPr>
        <rFont val="Arial, sans-serif"/>
        <color rgb="FF1155CC"/>
        <sz val="11.0"/>
        <u/>
      </rPr>
      <t>4 sept 2024</t>
    </r>
  </si>
  <si>
    <t>Invertir en Bitcoin? "Se acabará yendo al alza", según Ortega</t>
  </si>
  <si>
    <t>"Se acabará yendo al alza", según Ortega. Gerardo Ortega, de gerardoortega.es, examina los títulos de Nvidia, Repsol, Ezentis o Bitcoin, entre otros.</t>
  </si>
  <si>
    <t>Invest in Bitcoin? "It will end up going up," according to Ortega</t>
  </si>
  <si>
    <t>"It will end up going up," according to Ortega. Gerardo Ortega, from gerardoortega.es, examines the titles of Nvidia, Repsol, Ezentis and Bitcoin, among others.</t>
  </si>
  <si>
    <r>
      <rPr>
        <rFont val="Arial, sans-serif"/>
        <color rgb="FF1155CC"/>
        <sz val="9.0"/>
        <u/>
      </rPr>
      <t>El Periódico Extremadura</t>
    </r>
    <r>
      <rPr>
        <rFont val="Arial, sans-serif"/>
        <color rgb="FF1155CC"/>
        <sz val="15.0"/>
        <u/>
      </rPr>
      <t>Alaska, Dioni (Camela), Leticia Sabater y Natalia, entre los primeros concursantes del estreno de 'El rival más débil'</t>
    </r>
    <r>
      <rPr>
        <rFont val="Arial, sans-serif"/>
        <color rgb="FF1155CC"/>
        <sz val="11.0"/>
        <u/>
      </rPr>
      <t>Conocidos políticos, cantantes, actores, humoristas, deportistas y periodistas vivirán la emocionante y divertida experiencia de participar en el programa...</t>
    </r>
    <r>
      <rPr>
        <rFont val="Arial, sans-serif"/>
        <color rgb="FF1155CC"/>
        <sz val="12.0"/>
        <u/>
      </rPr>
      <t>.</t>
    </r>
    <r>
      <rPr>
        <rFont val="Arial, sans-serif"/>
        <color rgb="FF1155CC"/>
        <sz val="11.0"/>
        <u/>
      </rPr>
      <t>4 sept 2024</t>
    </r>
  </si>
  <si>
    <t>Alaska, Dioni (Camela), Leticia Sabater y Natalia, entre los primeros concursantes del estreno de 'El rival más débil'</t>
  </si>
  <si>
    <t>Conocidos políticos, cantantes, actores, humoristas, deportistas y periodistas vivirán la emocionante y divertida experiencia de participar en el programa....</t>
  </si>
  <si>
    <t>Alaska, Dioni (Camela), Leticia Sabater and Natalia, among the first contestants at the premiere of 'The weakest rival'</t>
  </si>
  <si>
    <t>Well-known politicians, singers, actors, comedians, athletes and journalists will live the exciting and fun experience of participating in the program...</t>
  </si>
  <si>
    <r>
      <rPr>
        <rFont val="Arial, sans-serif"/>
        <color rgb="FF1155CC"/>
        <sz val="9.0"/>
        <u/>
      </rPr>
      <t>OkDiario</t>
    </r>
    <r>
      <rPr>
        <rFont val="Arial, sans-serif"/>
        <color rgb="FF1155CC"/>
        <sz val="15.0"/>
        <u/>
      </rPr>
      <t>El restaurante de carretera más ‘español’ camino de Barcelona: abierto 24 horas y con buffet li...</t>
    </r>
    <r>
      <rPr>
        <rFont val="Arial, sans-serif"/>
        <color rgb="FF1155CC"/>
        <sz val="11.0"/>
        <u/>
      </rPr>
      <t>Después de manejar por varias horas, una parada en el camino puede hacer toda la diferencia. En medio del ajetreo de los viajes por carretera, El Español se...</t>
    </r>
    <r>
      <rPr>
        <rFont val="Arial, sans-serif"/>
        <color rgb="FF1155CC"/>
        <sz val="12.0"/>
        <u/>
      </rPr>
      <t>.</t>
    </r>
    <r>
      <rPr>
        <rFont val="Arial, sans-serif"/>
        <color rgb="FF1155CC"/>
        <sz val="11.0"/>
        <u/>
      </rPr>
      <t>4 sept 2024</t>
    </r>
  </si>
  <si>
    <t>El restaurante de carretera más ‘español’ camino de Barcelona: abierto 24 horas y con buffet li...</t>
  </si>
  <si>
    <t>Después de manejar por varias horas, una parada en el camino puede hacer toda la diferencia. En medio del ajetreo de los viajes por carretera, El Español se....</t>
  </si>
  <si>
    <t>The most 'Spanish' roadside restaurant on the way to Barcelona: open 24 hours and with a free buffet...</t>
  </si>
  <si>
    <t>After driving for several hours, a stop along the way can make all the difference. In the midst of the hustle and bustle of road trips, El Español is....</t>
  </si>
  <si>
    <r>
      <rPr>
        <rFont val="Arial, sans-serif"/>
        <color rgb="FF1155CC"/>
        <sz val="9.0"/>
        <u/>
      </rPr>
      <t>Bolsamania</t>
    </r>
    <r>
      <rPr>
        <rFont val="Arial, sans-serif"/>
        <color rgb="FF1155CC"/>
        <sz val="15.0"/>
        <u/>
      </rPr>
      <t>Grifols se anima: este es el nivel clave de resistencia</t>
    </r>
    <r>
      <rPr>
        <rFont val="Arial, sans-serif"/>
        <color rgb="FF1155CC"/>
        <sz val="11.0"/>
        <u/>
      </rPr>
      <t>Las alzas de las últimas semanas en Grifols le han permitido subirse por encima de la media de 200 sesiones.</t>
    </r>
    <r>
      <rPr>
        <rFont val="Arial, sans-serif"/>
        <color rgb="FF1155CC"/>
        <sz val="12.0"/>
        <u/>
      </rPr>
      <t>.</t>
    </r>
    <r>
      <rPr>
        <rFont val="Arial, sans-serif"/>
        <color rgb="FF1155CC"/>
        <sz val="11.0"/>
        <u/>
      </rPr>
      <t>4 sept 2024</t>
    </r>
  </si>
  <si>
    <t>Grifols se anima: este es el nivel clave de resistencia</t>
  </si>
  <si>
    <t>Las alzas de las últimas semanas en Grifols le han permitido subirse por encima de la media de 200 sesiones.</t>
  </si>
  <si>
    <t>Grifols is encouraged: this is the key resistance level</t>
  </si>
  <si>
    <t>The increases in recent weeks in Grifols have allowed it to rise above the 200 session average.</t>
  </si>
  <si>
    <r>
      <rPr>
        <rFont val="Arial, sans-serif"/>
        <color rgb="FF1155CC"/>
        <sz val="9.0"/>
        <u/>
      </rPr>
      <t>Libre Mercado</t>
    </r>
    <r>
      <rPr>
        <rFont val="Arial, sans-serif"/>
        <color rgb="FF1155CC"/>
        <sz val="15.0"/>
        <u/>
      </rPr>
      <t>El Gobierno, contra Repsol por desafiar los mantras ecologistas: quiere sanciones por "greenwashing"</t>
    </r>
    <r>
      <rPr>
        <rFont val="Arial, sans-serif"/>
        <color rgb="FF1155CC"/>
        <sz val="11.0"/>
        <u/>
      </rPr>
      <t>Se ha plasmado en un documento registrado ya oficialmente en el Congreso de los Diputados y que lleva la firma de Sumar.</t>
    </r>
    <r>
      <rPr>
        <rFont val="Arial, sans-serif"/>
        <color rgb="FF1155CC"/>
        <sz val="12.0"/>
        <u/>
      </rPr>
      <t>.</t>
    </r>
    <r>
      <rPr>
        <rFont val="Arial, sans-serif"/>
        <color rgb="FF1155CC"/>
        <sz val="11.0"/>
        <u/>
      </rPr>
      <t>5 sept 2024</t>
    </r>
  </si>
  <si>
    <t>El Gobierno, contra Repsol por desafiar los mantras ecologistas: quiere sanciones por "greenwashing"</t>
  </si>
  <si>
    <t>Se ha plasmado en un documento registrado ya oficialmente en el Congreso de los Diputados y que lleva la firma de Sumar.</t>
  </si>
  <si>
    <t>The Government, against Repsol for challenging environmentalist mantras: wants sanctions for "greenwashing"</t>
  </si>
  <si>
    <t>It has been reflected in a document already officially registered in the Congress of Deputies and which bears the signature of Sumar.</t>
  </si>
  <si>
    <t>Repsol legal issues, business challenges</t>
  </si>
  <si>
    <t>Cuestiones legales de Repsol, retos empresariales</t>
  </si>
  <si>
    <t>Negative as it discusses potential sanctions against Repsol.</t>
  </si>
  <si>
    <t>sanciones, greenwashing</t>
  </si>
  <si>
    <t>Negative: Regulatory scrutiny and reputational risk.</t>
  </si>
  <si>
    <t>Negativo: Escrutinio regulatorio y riesgo reputacional.</t>
  </si>
  <si>
    <r>
      <rPr>
        <rFont val="Arial, sans-serif"/>
        <color rgb="FF1155CC"/>
        <sz val="9.0"/>
        <u/>
      </rPr>
      <t>heraldo.es</t>
    </r>
    <r>
      <rPr>
        <rFont val="Arial, sans-serif"/>
        <color rgb="FF1155CC"/>
        <sz val="15.0"/>
        <u/>
      </rPr>
      <t>Los mejores restaurantes de carretera en Aragón, según la Guía Repsol</t>
    </r>
    <r>
      <rPr>
        <rFont val="Arial, sans-serif"/>
        <color rgb="FF1155CC"/>
        <sz val="11.0"/>
        <u/>
      </rPr>
      <t>La lista de 'Soletes de carretera' que emite cada año la Guía Repsol nos invita a descubrir establecimientos en los que disfrutar de buena gastronomía.</t>
    </r>
    <r>
      <rPr>
        <rFont val="Arial, sans-serif"/>
        <color rgb="FF1155CC"/>
        <sz val="12.0"/>
        <u/>
      </rPr>
      <t>.</t>
    </r>
    <r>
      <rPr>
        <rFont val="Arial, sans-serif"/>
        <color rgb="FF1155CC"/>
        <sz val="11.0"/>
        <u/>
      </rPr>
      <t>5 sept 2024</t>
    </r>
  </si>
  <si>
    <t>Los mejores restaurantes de carretera en Aragón, según la Guía Repsol</t>
  </si>
  <si>
    <t>La lista de 'Soletes de carretera' que emite cada año la Guía Repsol nos invita a descubrir establecimientos en los que disfrutar de buena gastronomía.</t>
  </si>
  <si>
    <t>The best roadside restaurants in Aragon, according to the Repsol Guide</t>
  </si>
  <si>
    <t>The list of 'Road Soletes' issued each year by the Repsol Guide invites us to discover establishments where we can enjoy good gastronomy.</t>
  </si>
  <si>
    <r>
      <rPr>
        <rFont val="Arial, sans-serif"/>
        <color rgb="FF1155CC"/>
        <sz val="9.0"/>
        <u/>
      </rPr>
      <t>El Periódico de España</t>
    </r>
    <r>
      <rPr>
        <rFont val="Arial, sans-serif"/>
        <color rgb="FF1155CC"/>
        <sz val="15.0"/>
        <u/>
      </rPr>
      <t>Repsol, Cepsa y BP denuncian la entrada del "crimen organizado" en las gasolineras de España</t>
    </r>
    <r>
      <rPr>
        <rFont val="Arial, sans-serif"/>
        <color rgb="FF1155CC"/>
        <sz val="11.0"/>
        <u/>
      </rPr>
      <t>Las grandes petroleras alertan del problema de “seguridad nacional” por el fraude fiscal masivo en la venta de combustibles de 1.000 millones al año y...</t>
    </r>
    <r>
      <rPr>
        <rFont val="Arial, sans-serif"/>
        <color rgb="FF1155CC"/>
        <sz val="12.0"/>
        <u/>
      </rPr>
      <t>.</t>
    </r>
    <r>
      <rPr>
        <rFont val="Arial, sans-serif"/>
        <color rgb="FF1155CC"/>
        <sz val="11.0"/>
        <u/>
      </rPr>
      <t>5 sept 2024</t>
    </r>
  </si>
  <si>
    <t>Repsol, Cepsa y BP denuncian la entrada del "crimen organizado" en las gasolineras de España</t>
  </si>
  <si>
    <t>Las grandes petroleras alertan del problema de “seguridad nacional” por el fraude fiscal masivo en la venta de combustibles de 1.000 millones al año y....</t>
  </si>
  <si>
    <t>Repsol, Cepsa and BP denounce the entry of "organized crime" in gas stations in Spain</t>
  </si>
  <si>
    <t>The big oil companies warn of the problem of “national security” due to the massive tax fraud in the sale of fuel of 1,000 million a year and...</t>
  </si>
  <si>
    <t>Repsol fuel market, business challenges</t>
  </si>
  <si>
    <t>Mercado de combustibles Repsol, retos empresariales</t>
  </si>
  <si>
    <t>Negative as it highlights criminal activity affecting the industry.</t>
  </si>
  <si>
    <t>crimen organizado</t>
  </si>
  <si>
    <t>Negative: Highlights security risks.</t>
  </si>
  <si>
    <t>Negativo: Destaca los riesgos de seguridad.</t>
  </si>
  <si>
    <r>
      <rPr>
        <rFont val="Arial, sans-serif"/>
        <color rgb="FF1155CC"/>
        <sz val="9.0"/>
        <u/>
      </rPr>
      <t>Guía Repsol</t>
    </r>
    <r>
      <rPr>
        <rFont val="Arial, sans-serif"/>
        <color rgb="FF1155CC"/>
        <sz val="15.0"/>
        <u/>
      </rPr>
      <t>Bar Guerra (San Pedro Alcántara): la fritura malagueña más top</t>
    </r>
    <r>
      <rPr>
        <rFont val="Arial, sans-serif"/>
        <color rgb="FF1155CC"/>
        <sz val="11.0"/>
        <u/>
      </rPr>
      <t>En el renovado espacio del 'Bar Guerra' (San Pedro Alcántara), que estos días celebra su 70 cumpleaños, se hace la mejor fritura de Málaga.</t>
    </r>
    <r>
      <rPr>
        <rFont val="Arial, sans-serif"/>
        <color rgb="FF1155CC"/>
        <sz val="12.0"/>
        <u/>
      </rPr>
      <t>.</t>
    </r>
    <r>
      <rPr>
        <rFont val="Arial, sans-serif"/>
        <color rgb="FF1155CC"/>
        <sz val="11.0"/>
        <u/>
      </rPr>
      <t>5 sept 2024</t>
    </r>
  </si>
  <si>
    <t>Bar Guerra (San Pedro Alcántara): la fritura malagueña más top</t>
  </si>
  <si>
    <t>En el renovado espacio del 'Bar Guerra' (San Pedro Alcántara), que estos días celebra su 70 cumpleaños, se hace la mejor fritura de Málaga.</t>
  </si>
  <si>
    <t>Bar Guerra (San Pedro Alcántara): the top Malaga fried food</t>
  </si>
  <si>
    <t>In the renovated space of 'Bar Guerra' (San Pedro Alcántara), which is celebrating its 70th birthday these days, the best fried food in Malaga is made.</t>
  </si>
  <si>
    <r>
      <rPr>
        <rFont val="Arial, sans-serif"/>
        <color rgb="FF1155CC"/>
        <sz val="9.0"/>
        <u/>
      </rPr>
      <t>El Economista</t>
    </r>
    <r>
      <rPr>
        <rFont val="Arial, sans-serif"/>
        <color rgb="FF1155CC"/>
        <sz val="15.0"/>
        <u/>
      </rPr>
      <t>Cae el precio del petróleo: la rentabilidad por dividendo del sector europeo sube al 6,7%</t>
    </r>
    <r>
      <rPr>
        <rFont val="Arial, sans-serif"/>
        <color rgb="FF1155CC"/>
        <sz val="11.0"/>
        <u/>
      </rPr>
      <t>La caída del precio del petróleo cotizado en estas jornadas hace pensar a los inversores en un recorte de los márgenes de beneficio de ...</t>
    </r>
    <r>
      <rPr>
        <rFont val="Arial, sans-serif"/>
        <color rgb="FF1155CC"/>
        <sz val="12.0"/>
        <u/>
      </rPr>
      <t>.</t>
    </r>
    <r>
      <rPr>
        <rFont val="Arial, sans-serif"/>
        <color rgb="FF1155CC"/>
        <sz val="11.0"/>
        <u/>
      </rPr>
      <t>5 sept 2024</t>
    </r>
  </si>
  <si>
    <t>Cae el precio del petróleo: la rentabilidad por dividendo del sector europeo sube al 6,7%</t>
  </si>
  <si>
    <t>La caída del precio del petróleo cotizado en estas jornadas hace pensar a los inversores en un recorte de los márgenes de beneficio de ....</t>
  </si>
  <si>
    <t>The price of oil falls: the dividend yield of the European sector rises to 6.7%</t>
  </si>
  <si>
    <t>The fall in the price of oil quoted in these days makes investors think about a cut in the profit margins of....</t>
  </si>
  <si>
    <t>Negative as it discusses the declining oil market.</t>
  </si>
  <si>
    <t>Neutral: Market trend, no direct impact.</t>
  </si>
  <si>
    <t>Neutral: Tendencia del mercado, sin impacto directo.</t>
  </si>
  <si>
    <r>
      <rPr>
        <rFont val="Arial, sans-serif"/>
        <color rgb="FF1155CC"/>
        <sz val="9.0"/>
        <u/>
      </rPr>
      <t>Cinco Días</t>
    </r>
    <r>
      <rPr>
        <rFont val="Arial, sans-serif"/>
        <color rgb="FF1155CC"/>
        <sz val="15.0"/>
        <u/>
      </rPr>
      <t>Imaz reclama la eliminación del impuesto a las energéticas para acelerar las inversiones</t>
    </r>
    <r>
      <rPr>
        <rFont val="Arial, sans-serif"/>
        <color rgb="FF1155CC"/>
        <sz val="11.0"/>
        <u/>
      </rPr>
      <t>Las empresas energéticas no ceden en su presión al Gobierno para que retire el impuesto extraordinario fijado en plena guerra de Ucrania. Josu Jon Imaz...</t>
    </r>
    <r>
      <rPr>
        <rFont val="Arial, sans-serif"/>
        <color rgb="FF1155CC"/>
        <sz val="12.0"/>
        <u/>
      </rPr>
      <t>.</t>
    </r>
    <r>
      <rPr>
        <rFont val="Arial, sans-serif"/>
        <color rgb="FF1155CC"/>
        <sz val="11.0"/>
        <u/>
      </rPr>
      <t>5 sept 2024</t>
    </r>
  </si>
  <si>
    <t>Imaz reclama la eliminación del impuesto a las energéticas para acelerar las inversiones</t>
  </si>
  <si>
    <t>Las empresas energéticas no ceden en su presión al Gobierno para que retire el impuesto extraordinario fijado en plena guerra de Ucrania. Josu Jon Imaz.</t>
  </si>
  <si>
    <t>Imaz demands the elimination of the tax on energy companies to accelerate investments</t>
  </si>
  <si>
    <t>The energy companies do not give in to their pressure on the Government to withdraw the extraordinary tax imposed in the middle of the war in Ukraine. Josu Jon Imaz.</t>
  </si>
  <si>
    <t>Negative as it discusses corporate resistance against government taxation.</t>
  </si>
  <si>
    <t>acelerar, inversiones</t>
  </si>
  <si>
    <t>Positive: Advocacy for growth-friendly policies.</t>
  </si>
  <si>
    <t>Positivo: Promoción de políticas favorables al crecimiento.</t>
  </si>
  <si>
    <r>
      <rPr>
        <rFont val="Arial, sans-serif"/>
        <color rgb="FF1155CC"/>
        <sz val="9.0"/>
        <u/>
      </rPr>
      <t>OkDiario</t>
    </r>
    <r>
      <rPr>
        <rFont val="Arial, sans-serif"/>
        <color rgb="FF1155CC"/>
        <sz val="15.0"/>
        <u/>
      </rPr>
      <t>Los 4 mejores bares de carretera si viajas de Madrid a Barcelona, según la guía Repsol</t>
    </r>
    <r>
      <rPr>
        <rFont val="Arial, sans-serif"/>
        <color rgb="FF1155CC"/>
        <sz val="11.0"/>
        <u/>
      </rPr>
      <t>Explora los mejores bares de carretera entre Madrid y Barcelona con las recomendaciones de la Guía Repsol.</t>
    </r>
    <r>
      <rPr>
        <rFont val="Arial, sans-serif"/>
        <color rgb="FF1155CC"/>
        <sz val="12.0"/>
        <u/>
      </rPr>
      <t>.</t>
    </r>
    <r>
      <rPr>
        <rFont val="Arial, sans-serif"/>
        <color rgb="FF1155CC"/>
        <sz val="11.0"/>
        <u/>
      </rPr>
      <t>5 sept 2024</t>
    </r>
  </si>
  <si>
    <t>Los 4 mejores bares de carretera si viajas de Madrid a Barcelona, según la guía Repsol</t>
  </si>
  <si>
    <t>Explora los mejores bares de carretera entre Madrid y Barcelona con las recomendaciones de la Guía Repsol.</t>
  </si>
  <si>
    <t>The 4 best roadside bars if you travel from Madrid to Barcelona, ​​according to the Repsol guide</t>
  </si>
  <si>
    <t>Explore the best roadside bars between Madrid and Barcelona with the recommendations of the Repsol Guide.</t>
  </si>
  <si>
    <r>
      <rPr>
        <rFont val="Arial, sans-serif"/>
        <color rgb="FF1155CC"/>
        <sz val="9.0"/>
        <u/>
      </rPr>
      <t>Hule y Mantel</t>
    </r>
    <r>
      <rPr>
        <rFont val="Arial, sans-serif"/>
        <color rgb="FF1155CC"/>
        <sz val="15.0"/>
        <u/>
      </rPr>
      <t>El único buffet libre de Aragón con solete Repsol: comida ilimitada por menos de 20 euros</t>
    </r>
    <r>
      <rPr>
        <rFont val="Arial, sans-serif"/>
        <color rgb="FF1155CC"/>
        <sz val="11.0"/>
        <u/>
      </rPr>
      <t>En Zaragoza encontramos una de las mejores opciones de toda la comunidad para disfrutar de una comida excelente a un precio competitivo: te contamos todos...</t>
    </r>
    <r>
      <rPr>
        <rFont val="Arial, sans-serif"/>
        <color rgb="FF1155CC"/>
        <sz val="12.0"/>
        <u/>
      </rPr>
      <t>.</t>
    </r>
    <r>
      <rPr>
        <rFont val="Arial, sans-serif"/>
        <color rgb="FF1155CC"/>
        <sz val="11.0"/>
        <u/>
      </rPr>
      <t>5 sept 2024</t>
    </r>
  </si>
  <si>
    <t>El único buffet libre de Aragón con solete Repsol: comida ilimitada por menos de 20 euros</t>
  </si>
  <si>
    <t>En Zaragoza encontramos una de las mejores opciones de toda la comunidad para disfrutar de una comida excelente a un precio competitivo: te contamos todos....</t>
  </si>
  <si>
    <t>The only all-you-can-eat buffet in Aragon with Repsol solete: unlimited food for less than 20 euros</t>
  </si>
  <si>
    <t>In Zaragoza we find one of the best options in the entire community to enjoy an excellent meal at a competitive price: we will tell you all about it...</t>
  </si>
  <si>
    <r>
      <rPr>
        <rFont val="Arial, sans-serif"/>
        <color rgb="FF1155CC"/>
        <sz val="9.0"/>
        <u/>
      </rPr>
      <t>El Español</t>
    </r>
    <r>
      <rPr>
        <rFont val="Arial, sans-serif"/>
        <color rgb="FF1155CC"/>
        <sz val="15.0"/>
        <u/>
      </rPr>
      <t>Este es el pueblo donde mejor se come en Valencia: una combinación de la cocina tradicional de huerta y mar</t>
    </r>
    <r>
      <rPr>
        <rFont val="Arial, sans-serif"/>
        <color rgb="FF1155CC"/>
        <sz val="11.0"/>
        <u/>
      </rPr>
      <t>Este pequeño municipio cuenta con restaurantes reconocidos por la Guía Repsol gracias a la gran calidad de sus platos.</t>
    </r>
    <r>
      <rPr>
        <rFont val="Arial, sans-serif"/>
        <color rgb="FF1155CC"/>
        <sz val="12.0"/>
        <u/>
      </rPr>
      <t>.</t>
    </r>
    <r>
      <rPr>
        <rFont val="Arial, sans-serif"/>
        <color rgb="FF1155CC"/>
        <sz val="11.0"/>
        <u/>
      </rPr>
      <t>5 sept 2024</t>
    </r>
  </si>
  <si>
    <t>Este es el pueblo donde mejor se come en Valencia: una combinación de la cocina tradicional de huerta y mar</t>
  </si>
  <si>
    <t>Este pequeño municipio cuenta con restaurantes reconocidos por la Guía Repsol gracias a la gran calidad de sus platos.</t>
  </si>
  <si>
    <t>This is the town where you can eat the best in Valencia: a combination of traditional garden and sea cuisine</t>
  </si>
  <si>
    <t>This small municipality has restaurants recognized by the Repsol Guide thanks to the high quality of their dishes.</t>
  </si>
  <si>
    <r>
      <rPr>
        <rFont val="Arial, sans-serif"/>
        <color rgb="FF1155CC"/>
        <sz val="9.0"/>
        <u/>
      </rPr>
      <t>Banca y Negocios</t>
    </r>
    <r>
      <rPr>
        <rFont val="Arial, sans-serif"/>
        <color rgb="FF1155CC"/>
        <sz val="15.0"/>
        <u/>
      </rPr>
      <t>Exportaciones de petróleo venezolano reportaron aumento mensual de 50% en agosto</t>
    </r>
    <r>
      <rPr>
        <rFont val="Arial, sans-serif"/>
        <color rgb="FF1155CC"/>
        <sz val="11.0"/>
        <u/>
      </rPr>
      <t>Chevron, Repsol y otras empresas petroleras extranjeras han ampliado sus negocios en Venezuela por las licencias otorgadas por el Gobierno de Estados.</t>
    </r>
    <r>
      <rPr>
        <rFont val="Arial, sans-serif"/>
        <color rgb="FF1155CC"/>
        <sz val="12.0"/>
        <u/>
      </rPr>
      <t>.</t>
    </r>
    <r>
      <rPr>
        <rFont val="Arial, sans-serif"/>
        <color rgb="FF1155CC"/>
        <sz val="11.0"/>
        <u/>
      </rPr>
      <t>5 sept 2024</t>
    </r>
  </si>
  <si>
    <t>Exportaciones de petróleo venezolano reportaron aumento mensual de 50% en agosto</t>
  </si>
  <si>
    <t>Exportaciones de petróleo venezolano reportaron aumento mensual de 50% en agosto. Chevron, Repsol y otras empresas petroleras extranjeras han ampliado sus negocios en Venezuela por las licencias otorgadas por el Gobierno de Estados.</t>
  </si>
  <si>
    <t>Venezuelan oil exports reported a monthly increase of 50% in August</t>
  </si>
  <si>
    <t>Venezuelan oil exports reported a monthly increase of 50% in August. Chevron, Repsol and other foreign oil companies have expanded their businesses in Venezuela due to licenses granted by the State Government.</t>
  </si>
  <si>
    <t>Positive as it highlights an increase in exports benefiting Repsol.</t>
  </si>
  <si>
    <t>Neutral: No direct Repsol impact.</t>
  </si>
  <si>
    <t>Neutro: Sin impacto directo de Repsol.</t>
  </si>
  <si>
    <r>
      <rPr>
        <rFont val="Arial, sans-serif"/>
        <color rgb="FF1155CC"/>
        <sz val="9.0"/>
        <u/>
      </rPr>
      <t>Finanzas Digital</t>
    </r>
    <r>
      <rPr>
        <rFont val="Arial, sans-serif"/>
        <color rgb="FF1155CC"/>
        <sz val="15.0"/>
        <u/>
      </rPr>
      <t>Reuters: exportaciones petroleras de Venezuela suben en agosto 2024 a máximo de 4 años</t>
    </r>
    <r>
      <rPr>
        <rFont val="Arial, sans-serif"/>
        <color rgb="FF1155CC"/>
        <sz val="11.0"/>
        <u/>
      </rPr>
      <t>Las exportaciones petroleras de Venezuela alcanzaron en agosto su nivel más alto en más de cuatro años, impulsadas por una expansión de los envíos a China,...</t>
    </r>
    <r>
      <rPr>
        <rFont val="Arial, sans-serif"/>
        <color rgb="FF1155CC"/>
        <sz val="12.0"/>
        <u/>
      </rPr>
      <t>.</t>
    </r>
    <r>
      <rPr>
        <rFont val="Arial, sans-serif"/>
        <color rgb="FF1155CC"/>
        <sz val="11.0"/>
        <u/>
      </rPr>
      <t>5 sept 2024</t>
    </r>
  </si>
  <si>
    <t>Finanzas Digital</t>
  </si>
  <si>
    <t>exportaciones petroleras de Venezuela suben en agosto 2024 a máximo de 4 años</t>
  </si>
  <si>
    <t>Las exportaciones petroleras de Venezuela alcanzaron en agosto su nivel más alto en más de cuatro años, impulsadas por una expansión de los envíos a China,....</t>
  </si>
  <si>
    <t>Venezuelan oil exports rise in August 2024 to a 4-year high</t>
  </si>
  <si>
    <t>Venezuela's oil exports reached their highest level in more than four years in August, driven by an expansion in shipments to China,...</t>
  </si>
  <si>
    <t>Positive as it highlights significant growth in oil exports.</t>
  </si>
  <si>
    <t>Neutral: Unrelated.</t>
  </si>
  <si>
    <t>Neutral: No relacionado.</t>
  </si>
  <si>
    <r>
      <rPr>
        <rFont val="Arial, sans-serif"/>
        <color rgb="FF1155CC"/>
        <sz val="9.0"/>
        <u/>
      </rPr>
      <t>Aragón Hoy</t>
    </r>
    <r>
      <rPr>
        <rFont val="Arial, sans-serif"/>
        <color rgb="FF1155CC"/>
        <sz val="15.0"/>
        <u/>
      </rPr>
      <t>Medio Ambiente firma un convenio con Repsol para instalar 70 puntos de recogida aceite de cocina usado en las estaciones de servicio</t>
    </r>
    <r>
      <rPr>
        <rFont val="Arial, sans-serif"/>
        <color rgb="FF1155CC"/>
        <sz val="11.0"/>
        <u/>
      </rPr>
      <t>El Departamento de Medio Ambiente y Turismo del Gobierno de Aragón y Repsol han firmado un convenio de colaboración para impulsar acciones de economía...</t>
    </r>
    <r>
      <rPr>
        <rFont val="Arial, sans-serif"/>
        <color rgb="FF1155CC"/>
        <sz val="12.0"/>
        <u/>
      </rPr>
      <t>.</t>
    </r>
    <r>
      <rPr>
        <rFont val="Arial, sans-serif"/>
        <color rgb="FF1155CC"/>
        <sz val="11.0"/>
        <u/>
      </rPr>
      <t>6 sept 2024</t>
    </r>
  </si>
  <si>
    <t>Medio Ambiente firma un convenio con Repsol para instalar 70 puntos de recogida aceite de cocina usado en las estaciones de servicio</t>
  </si>
  <si>
    <t>El Departamento de Medio Ambiente y Turismo del Gobierno de Aragón y Repsol han firmado un convenio de colaboración para impulsar acciones de economía.</t>
  </si>
  <si>
    <t>Environment signs an agreement with Repsol to install 70 used cooking oil collection points at service stations</t>
  </si>
  <si>
    <t>The Department of Environment and Tourism of the Government of Aragon and Repsol have signed a collaboration agreement to promote economic actions.</t>
  </si>
  <si>
    <t>Positive as it emphasizes environmental sustainability efforts.</t>
  </si>
  <si>
    <t>convenio, recogida</t>
  </si>
  <si>
    <t>Positive: Sustainability initiative.</t>
  </si>
  <si>
    <t>Positivo: Iniciativa de sostenibilidad.</t>
  </si>
  <si>
    <r>
      <rPr>
        <rFont val="Arial, sans-serif"/>
        <color rgb="FF1155CC"/>
        <sz val="9.0"/>
        <u/>
      </rPr>
      <t>heraldo.es</t>
    </r>
    <r>
      <rPr>
        <rFont val="Arial, sans-serif"/>
        <color rgb="FF1155CC"/>
        <sz val="15.0"/>
        <u/>
      </rPr>
      <t>Repsol instalará 70 puntos de recogida aceite de cocina usado en estaciones de servicio</t>
    </r>
    <r>
      <rPr>
        <rFont val="Arial, sans-serif"/>
        <color rgb="FF1155CC"/>
        <sz val="11.0"/>
        <u/>
      </rPr>
      <t>El Departamento de Medio Ambiente del Gobierno de Aragón y Repsol han firmado un convenio de colaboración para impulsar, en el marco de acciones para...</t>
    </r>
    <r>
      <rPr>
        <rFont val="Arial, sans-serif"/>
        <color rgb="FF1155CC"/>
        <sz val="12.0"/>
        <u/>
      </rPr>
      <t>.</t>
    </r>
    <r>
      <rPr>
        <rFont val="Arial, sans-serif"/>
        <color rgb="FF1155CC"/>
        <sz val="11.0"/>
        <u/>
      </rPr>
      <t>6 sept 2024</t>
    </r>
  </si>
  <si>
    <t>Repsol instalará 70 puntos de recogida aceite de cocina usado en estaciones de servicio</t>
  </si>
  <si>
    <t>El Departamento de Medio Ambiente del Gobierno de Aragón y Repsol han firmado un convenio de colaboración para impulsar, en el marco de acciones para....</t>
  </si>
  <si>
    <t>Repsol will install 70 used cooking oil collection points at service stations</t>
  </si>
  <si>
    <t>The Department of the Environment of the Government of Aragon and Repsol have signed a collaboration agreement to promote, within the framework of actions to...</t>
  </si>
  <si>
    <t>Positive as it promotes renewable energy initiatives.</t>
  </si>
  <si>
    <t>recogida</t>
  </si>
  <si>
    <t>Positive: Eco-friendly effort.</t>
  </si>
  <si>
    <t>Positivo: Esfuerzo ecológico.</t>
  </si>
  <si>
    <r>
      <rPr>
        <rFont val="Arial, sans-serif"/>
        <color rgb="FF1155CC"/>
        <sz val="9.0"/>
        <u/>
      </rPr>
      <t>Europa Press</t>
    </r>
    <r>
      <rPr>
        <rFont val="Arial, sans-serif"/>
        <color rgb="FF1155CC"/>
        <sz val="15.0"/>
        <u/>
      </rPr>
      <t>Imaz (Repsol), reconocido como mejor CEO de Europa en el sector de hidrocarburos</t>
    </r>
    <r>
      <rPr>
        <rFont val="Arial, sans-serif"/>
        <color rgb="FF1155CC"/>
        <sz val="11.0"/>
        <u/>
      </rPr>
      <t>La energética, distinguida como 'Most Honoured Company'. MADRID, 6 Sep. (EUROPA PRESS) -. El consejero delegado de Repsol, Josu Jon Imaz, ha sido elegido...</t>
    </r>
    <r>
      <rPr>
        <rFont val="Arial, sans-serif"/>
        <color rgb="FF1155CC"/>
        <sz val="12.0"/>
        <u/>
      </rPr>
      <t>.</t>
    </r>
    <r>
      <rPr>
        <rFont val="Arial, sans-serif"/>
        <color rgb="FF1155CC"/>
        <sz val="11.0"/>
        <u/>
      </rPr>
      <t>6 sept 2024</t>
    </r>
  </si>
  <si>
    <t>Imaz (Repsol), reconocido como mejor CEO de Europa en el sector de hidrocarburos</t>
  </si>
  <si>
    <t>El consejero delegado de Repsol, Josu Jon Imaz, ha sido elegido como el mejor CEO de Europa en el sector de hidrocarburos.</t>
  </si>
  <si>
    <t>Imaz (Repsol), recognized as the best CEO in Europe in the hydrocarbon sector</t>
  </si>
  <si>
    <t>The CEO of Repsol, Josu Jon Imaz, has been chosen as the best CEO in Europe in the hydrocarbons sector.</t>
  </si>
  <si>
    <t>Positive as it recognizes leadership excellence.</t>
  </si>
  <si>
    <t>mejor CEO</t>
  </si>
  <si>
    <t>Positive: Leadership recognition.</t>
  </si>
  <si>
    <t>Positivo: Reconocimiento al liderazgo.</t>
  </si>
  <si>
    <r>
      <rPr>
        <rFont val="Arial, sans-serif"/>
        <color rgb="FF1155CC"/>
        <sz val="9.0"/>
        <u/>
      </rPr>
      <t>La Opinión A Coruña</t>
    </r>
    <r>
      <rPr>
        <rFont val="Arial, sans-serif"/>
        <color rgb="FF1155CC"/>
        <sz val="15.0"/>
        <u/>
      </rPr>
      <t>Repsol, Cepsa y BP alertan de un “crimen organizado” en el sector</t>
    </r>
    <r>
      <rPr>
        <rFont val="Arial, sans-serif"/>
        <color rgb="FF1155CC"/>
        <sz val="11.0"/>
        <u/>
      </rPr>
      <t>Los máximos responsables de Repsol, Cepsa y BP, que controlan las tres mayores redes de gasolineras del mercado español, advirtieron ayer al unísono de la...</t>
    </r>
    <r>
      <rPr>
        <rFont val="Arial, sans-serif"/>
        <color rgb="FF1155CC"/>
        <sz val="12.0"/>
        <u/>
      </rPr>
      <t>.</t>
    </r>
    <r>
      <rPr>
        <rFont val="Arial, sans-serif"/>
        <color rgb="FF1155CC"/>
        <sz val="11.0"/>
        <u/>
      </rPr>
      <t>6 sept 2024</t>
    </r>
  </si>
  <si>
    <t>Repsol, Cepsa y BP alertan de un “crimen organizado” en el sector</t>
  </si>
  <si>
    <t>Los máximos responsables de Repsol, Cepsa y BP, que controlan las tres mayores redes de gasolineras del mercado español, advirtieron ayer al unísono de la....</t>
  </si>
  <si>
    <t>Repsol, Cepsa and BP warn of “organized crime” in the sector</t>
  </si>
  <si>
    <t>The heads of Repsol, Cepsa and BP, which control the three largest gas station networks in the Spanish market, warned yesterday in unison of the...</t>
  </si>
  <si>
    <t>Negative as it discusses criminal activity affecting the sector.</t>
  </si>
  <si>
    <t>Negative: Security concerns.</t>
  </si>
  <si>
    <t>Negativo: Preocupaciones de seguridad.</t>
  </si>
  <si>
    <r>
      <rPr>
        <rFont val="Arial, sans-serif"/>
        <color rgb="FF1155CC"/>
        <sz val="9.0"/>
        <u/>
      </rPr>
      <t>Guía Repsol</t>
    </r>
    <r>
      <rPr>
        <rFont val="Arial, sans-serif"/>
        <color rgb="FF1155CC"/>
        <sz val="15.0"/>
        <u/>
      </rPr>
      <t>Heladería artesanal Helados de Luna en Cantabria</t>
    </r>
    <r>
      <rPr>
        <rFont val="Arial, sans-serif"/>
        <color rgb="FF1155CC"/>
        <sz val="11.0"/>
        <u/>
      </rPr>
      <t>Vente a probar los auténticos helados artesanales de Helados Luna en Cantabria. Descubre su variedad de sabores en esta Heladería en Somo y Castro Urdiales.</t>
    </r>
    <r>
      <rPr>
        <rFont val="Arial, sans-serif"/>
        <color rgb="FF1155CC"/>
        <sz val="12.0"/>
        <u/>
      </rPr>
      <t>.</t>
    </r>
    <r>
      <rPr>
        <rFont val="Arial, sans-serif"/>
        <color rgb="FF1155CC"/>
        <sz val="11.0"/>
        <u/>
      </rPr>
      <t>6 sept 2024</t>
    </r>
  </si>
  <si>
    <t>Heladería artesanal Helados de Luna en Cantabria</t>
  </si>
  <si>
    <t>Vente a probar los auténticos helados artesanales de Helados Luna en Cantabria. Descubre su variedad de sabores en esta Heladería en Somo y Castro Urdiales.</t>
  </si>
  <si>
    <t>Artisanal ice cream shop Helados de Luna in Cantabria</t>
  </si>
  <si>
    <t>Come try the authentic artisanal ice creams from Helados Luna in Cantabria. Discover its variety of flavors at this Ice Cream Shop in Somo and Castro Urdiales.</t>
  </si>
  <si>
    <r>
      <rPr>
        <rFont val="Arial, sans-serif"/>
        <color rgb="FF1155CC"/>
        <sz val="9.0"/>
        <u/>
      </rPr>
      <t>OkDiario</t>
    </r>
    <r>
      <rPr>
        <rFont val="Arial, sans-serif"/>
        <color rgb="FF1155CC"/>
        <sz val="15.0"/>
        <u/>
      </rPr>
      <t>El restaurante de carretera recomendado por la Guía Repsol para comer carne a la brasa</t>
    </r>
    <r>
      <rPr>
        <rFont val="Arial, sans-serif"/>
        <color rgb="FF1155CC"/>
        <sz val="11.0"/>
        <u/>
      </rPr>
      <t>La Guía Repsol recomienda un restaurante de carretera ideal para disfrutar de un buen plato de carne a la brasa.</t>
    </r>
    <r>
      <rPr>
        <rFont val="Arial, sans-serif"/>
        <color rgb="FF1155CC"/>
        <sz val="12.0"/>
        <u/>
      </rPr>
      <t>.</t>
    </r>
    <r>
      <rPr>
        <rFont val="Arial, sans-serif"/>
        <color rgb="FF1155CC"/>
        <sz val="11.0"/>
        <u/>
      </rPr>
      <t>6 sept 2024</t>
    </r>
  </si>
  <si>
    <t>El restaurante de carretera recomendado por la Guía Repsol para comer carne a la brasa</t>
  </si>
  <si>
    <t>La Guía Repsol recomienda un restaurante de carretera ideal para disfrutar de un buen plato de carne a la brasa.</t>
  </si>
  <si>
    <t>The roadside restaurant recommended by the Repsol Guide to eat grilled meat</t>
  </si>
  <si>
    <t>The Repsol Guide recommends an ideal roadside restaurant to enjoy a good plate of grilled meat.</t>
  </si>
  <si>
    <r>
      <rPr>
        <rFont val="Arial, sans-serif"/>
        <color rgb="FF1155CC"/>
        <sz val="9.0"/>
        <u/>
      </rPr>
      <t>diarimes.com</t>
    </r>
    <r>
      <rPr>
        <rFont val="Arial, sans-serif"/>
        <color rgb="FF1155CC"/>
        <sz val="15.0"/>
        <u/>
      </rPr>
      <t>La ACA estudia qué hacer con el pantano del Gaià y no se descarta suprimir parte de la presa</t>
    </r>
    <r>
      <rPr>
        <rFont val="Arial, sans-serif"/>
        <color rgb="FF1155CC"/>
        <sz val="11.0"/>
        <u/>
      </rPr>
      <t>Repsol ya no necesita el agua y se ha encargado un estudio para determinar las consecuencias de desmantelarlo.</t>
    </r>
    <r>
      <rPr>
        <rFont val="Arial, sans-serif"/>
        <color rgb="FF1155CC"/>
        <sz val="12.0"/>
        <u/>
      </rPr>
      <t>.</t>
    </r>
    <r>
      <rPr>
        <rFont val="Arial, sans-serif"/>
        <color rgb="FF1155CC"/>
        <sz val="11.0"/>
        <u/>
      </rPr>
      <t>6 sept 2024</t>
    </r>
  </si>
  <si>
    <t>La ACA estudia qué hacer con el pantano del Gaià y no se descarta suprimir parte de la presa.</t>
  </si>
  <si>
    <t>Repsol ya no necesita el agua y se ha encargado un estudio para determinar las consecuencias de desmantelarlo.</t>
  </si>
  <si>
    <t>The ACA is studying what to do with the Gaià reservoir and removing part of the dam is not ruled out.</t>
  </si>
  <si>
    <t>Repsol no longer needs the water and a study has been commissioned to determine the consequences of dismantling it.</t>
  </si>
  <si>
    <t>Negative as it suggests potential environmental and industrial changes.</t>
  </si>
  <si>
    <t>Neutral: Unclear Repsol link.</t>
  </si>
  <si>
    <t>Neutral: Enlace poco claro con Repsol.</t>
  </si>
  <si>
    <r>
      <rPr>
        <rFont val="Arial, sans-serif"/>
        <color rgb="FF1155CC"/>
        <sz val="9.0"/>
        <u/>
      </rPr>
      <t>El Faro de Ceuta</t>
    </r>
    <r>
      <rPr>
        <rFont val="Arial, sans-serif"/>
        <color rgb="FF1155CC"/>
        <sz val="15.0"/>
        <u/>
      </rPr>
      <t>'La Golosa' recibe un 'solete' gastronómico</t>
    </r>
    <r>
      <rPr>
        <rFont val="Arial, sans-serif"/>
        <color rgb="FF1155CC"/>
        <sz val="11.0"/>
        <u/>
      </rPr>
      <t>La Guía Repsol ha reconocido la labor de esta heladería dotándola por sorpresa con este galardón por su constante dedicación e innovación.</t>
    </r>
    <r>
      <rPr>
        <rFont val="Arial, sans-serif"/>
        <color rgb="FF1155CC"/>
        <sz val="12.0"/>
        <u/>
      </rPr>
      <t>.</t>
    </r>
    <r>
      <rPr>
        <rFont val="Arial, sans-serif"/>
        <color rgb="FF1155CC"/>
        <sz val="11.0"/>
        <u/>
      </rPr>
      <t>6 sept 2024</t>
    </r>
  </si>
  <si>
    <t>El Faro de Ceuta</t>
  </si>
  <si>
    <t>'La Golosa' recibe un 'solete' gastronómico</t>
  </si>
  <si>
    <t>La Guía Repsol ha reconocido la labor de esta heladería dotándola por sorpresa con este galardón por su constante dedicación e innovación.</t>
  </si>
  <si>
    <t>'La Golosa' receives a gastronomic 'solete'</t>
  </si>
  <si>
    <t>The Repsol Guide has recognized the work of this ice cream parlor, unexpectedly awarding it with this award for its constant dedication and innovation.</t>
  </si>
  <si>
    <r>
      <rPr>
        <rFont val="Arial, sans-serif"/>
        <color rgb="FF1155CC"/>
        <sz val="9.0"/>
        <u/>
      </rPr>
      <t>Infobae</t>
    </r>
    <r>
      <rPr>
        <rFont val="Arial, sans-serif"/>
        <color rgb="FF1155CC"/>
        <sz val="15.0"/>
        <u/>
      </rPr>
      <t>El restaurante de carretera en plena A-3 especializado en paellas y arroces a la leña: un negocio familiar recomendado por la Guía Repsol</t>
    </r>
    <r>
      <rPr>
        <rFont val="Arial, sans-serif"/>
        <color rgb="FF1155CC"/>
        <sz val="11.0"/>
        <u/>
      </rPr>
      <t>Este restaurante familiar, que está en el municipio de Chiva, lleva años especializándose en cocinar todo tipo de arroces y paellas.</t>
    </r>
    <r>
      <rPr>
        <rFont val="Arial, sans-serif"/>
        <color rgb="FF1155CC"/>
        <sz val="12.0"/>
        <u/>
      </rPr>
      <t>.</t>
    </r>
    <r>
      <rPr>
        <rFont val="Arial, sans-serif"/>
        <color rgb="FF1155CC"/>
        <sz val="11.0"/>
        <u/>
      </rPr>
      <t>6 sept 2024</t>
    </r>
  </si>
  <si>
    <t>El restaurante de carretera en plena A-3 especializado en paellas y arroces a la leña: un negocio familiar recomendado por la Guía Repsol</t>
  </si>
  <si>
    <t>Este restaurante familiar, que está en el municipio de Chiva, lleva años especializándose en cocinar todo tipo de arroces y paellas.</t>
  </si>
  <si>
    <t>The roadside restaurant in the middle of A-3 specializing in paellas and wood-fired rice: a family business recommended by the Repsol Guide</t>
  </si>
  <si>
    <t>This family restaurant, which is in the municipality of Chiva, has been specializing in cooking all types of rice and paellas for years.</t>
  </si>
  <si>
    <r>
      <rPr>
        <rFont val="Arial, sans-serif"/>
        <color rgb="FF1155CC"/>
        <sz val="9.0"/>
        <u/>
      </rPr>
      <t>Box Repsol</t>
    </r>
    <r>
      <rPr>
        <rFont val="Arial, sans-serif"/>
        <color rgb="FF1155CC"/>
        <sz val="15.0"/>
        <u/>
      </rPr>
      <t>Resultados de los entrenamientos del GP de San Marino de MotoGP</t>
    </r>
    <r>
      <rPr>
        <rFont val="Arial, sans-serif"/>
        <color rgb="FF1155CC"/>
        <sz val="11.0"/>
        <u/>
      </rPr>
      <t>'Pecco' Bagnaia empieza mandando en su circuito de casa con Marc Márquez y Jorge Martín siguiéndole de cerca. Luca Marini, viernes, San Marino (web)...</t>
    </r>
    <r>
      <rPr>
        <rFont val="Arial, sans-serif"/>
        <color rgb="FF1155CC"/>
        <sz val="12.0"/>
        <u/>
      </rPr>
      <t>.</t>
    </r>
    <r>
      <rPr>
        <rFont val="Arial, sans-serif"/>
        <color rgb="FF1155CC"/>
        <sz val="11.0"/>
        <u/>
      </rPr>
      <t>6 sept 2024</t>
    </r>
  </si>
  <si>
    <t>Resultados de los entrenamientos del GP de San Marino de MotoGP</t>
  </si>
  <si>
    <t>'Pecco' Bagnaia empieza mandando en su circuito de casa con Marc Márquez y Jorge Martín siguiéndole de cerca. Luca Marini, viernes, San Marino (web)....6 sept 2024</t>
  </si>
  <si>
    <t>MotoGP San Marino GP practice results</t>
  </si>
  <si>
    <t>'Pecco' Bagnaia starts in charge at his home circuit with Marc Márquez and Jorge Martín following closely behind. Luca Marini, Friday, San Marino (web)....Sept 6, 2024</t>
  </si>
  <si>
    <r>
      <rPr>
        <rFont val="Arial, sans-serif"/>
        <color rgb="FF1155CC"/>
        <sz val="9.0"/>
        <u/>
      </rPr>
      <t>El Correo</t>
    </r>
    <r>
      <rPr>
        <rFont val="Arial, sans-serif"/>
        <color rgb="FF1155CC"/>
        <sz val="15.0"/>
        <u/>
      </rPr>
      <t>Imaz, reconocido como mejor CEO de Europa en el sector de hidrocarburos</t>
    </r>
    <r>
      <rPr>
        <rFont val="Arial, sans-serif"/>
        <color rgb="FF1155CC"/>
        <sz val="11.0"/>
        <u/>
      </rPr>
      <t>El consejero delegado de Repsol, Josu Jon Imaz, ha sido elegido como mejor CEO de Europa en el sector del petróleo y el gas por los analistas financieros de...</t>
    </r>
    <r>
      <rPr>
        <rFont val="Arial, sans-serif"/>
        <color rgb="FF1155CC"/>
        <sz val="12.0"/>
        <u/>
      </rPr>
      <t>.</t>
    </r>
    <r>
      <rPr>
        <rFont val="Arial, sans-serif"/>
        <color rgb="FF1155CC"/>
        <sz val="11.0"/>
        <u/>
      </rPr>
      <t>6 sept 2024</t>
    </r>
  </si>
  <si>
    <t>Imaz, reconocido como mejor CEO de Europa en el sector de hidrocarburos</t>
  </si>
  <si>
    <t>El consejero delegado de Repsol, Josu Jon Imaz, ha sido elegido como mejor CEO de Europa en el sector del petróleo y el gas por los analistas financieros de....</t>
  </si>
  <si>
    <t>Imaz, recognized as the best CEO in Europe in the hydrocarbon sector</t>
  </si>
  <si>
    <t>The CEO of Repsol, Josu Jon Imaz, has been chosen as the best CEO in Europe in the oil and gas sector by the financial analysts of....</t>
  </si>
  <si>
    <t>Positive as it praises the executive leadership of Repsol.</t>
  </si>
  <si>
    <t>Positive: Reiterated leadership praise.</t>
  </si>
  <si>
    <t>Positivo: Elogios reiterados al liderazgo.</t>
  </si>
  <si>
    <r>
      <rPr>
        <rFont val="Arial, sans-serif"/>
        <color rgb="FF1155CC"/>
        <sz val="9.0"/>
        <u/>
      </rPr>
      <t>14yMedio</t>
    </r>
    <r>
      <rPr>
        <rFont val="Arial, sans-serif"/>
        <color rgb="FF1155CC"/>
        <sz val="15.0"/>
        <u/>
      </rPr>
      <t>España se ha convertido en uno de los principales compradores de petróleo venezolano</t>
    </r>
    <r>
      <rPr>
        <rFont val="Arial, sans-serif"/>
        <color rgb="FF1155CC"/>
        <sz val="11.0"/>
        <u/>
      </rPr>
      <t>Pese a la crisis política y el fraude electoral organizado por el Gobierno de Maduro, EE UU sigue importando crudo.</t>
    </r>
    <r>
      <rPr>
        <rFont val="Arial, sans-serif"/>
        <color rgb="FF1155CC"/>
        <sz val="12.0"/>
        <u/>
      </rPr>
      <t>.</t>
    </r>
    <r>
      <rPr>
        <rFont val="Arial, sans-serif"/>
        <color rgb="FF1155CC"/>
        <sz val="11.0"/>
        <u/>
      </rPr>
      <t>6 sept 2024</t>
    </r>
  </si>
  <si>
    <t>MedioEspaña</t>
  </si>
  <si>
    <t>España se ha convertido en uno de los principales compradores de petróleo venezolano.</t>
  </si>
  <si>
    <t>Pese a la crisis política y el fraude electoral organizado por el Gobierno de Maduro, EE UU sigue importando crudo.</t>
  </si>
  <si>
    <t>Spain has become one of the main buyers of Venezuelan oil.</t>
  </si>
  <si>
    <t>Despite the political crisis and the electoral fraud organized by the Maduro Government, the United States continues to import crude oil.</t>
  </si>
  <si>
    <t>Positive as it highlights Spain's role in oil imports.</t>
  </si>
  <si>
    <t>Neutral: No direct Repsol link.</t>
  </si>
  <si>
    <t>Neutro: Sin vínculo directo con Repsol.</t>
  </si>
  <si>
    <r>
      <rPr>
        <rFont val="Arial, sans-serif"/>
        <color rgb="FF1155CC"/>
        <sz val="9.0"/>
        <u/>
      </rPr>
      <t>Guía Repsol</t>
    </r>
    <r>
      <rPr>
        <rFont val="Arial, sans-serif"/>
        <color rgb="FF1155CC"/>
        <sz val="15.0"/>
        <u/>
      </rPr>
      <t>Dónde comer en Arenas de San Pedro (Ávila): Ruta de Soletes</t>
    </r>
    <r>
      <rPr>
        <rFont val="Arial, sans-serif"/>
        <color rgb="FF1155CC"/>
        <sz val="11.0"/>
        <u/>
      </rPr>
      <t>Descubre los mejores restaurantes de Arenas de San Pedro recomendados por la Guía Repsol. Saborea la cocina local en un recorrido por los Soletes,...</t>
    </r>
    <r>
      <rPr>
        <rFont val="Arial, sans-serif"/>
        <color rgb="FF1155CC"/>
        <sz val="12.0"/>
        <u/>
      </rPr>
      <t>.</t>
    </r>
    <r>
      <rPr>
        <rFont val="Arial, sans-serif"/>
        <color rgb="FF1155CC"/>
        <sz val="11.0"/>
        <u/>
      </rPr>
      <t>6 sept 2024</t>
    </r>
  </si>
  <si>
    <t>Dónde comer en Arenas de San Pedro (Ávila): Ruta de Soletes</t>
  </si>
  <si>
    <t>Descubre los mejores restaurantes de Arenas de San Pedro recomendados por la Guía Repsol. Saborea la cocina local en un recorrido por los Soletes,....</t>
  </si>
  <si>
    <t>Where to eat in Arenas de San Pedro (Ávila): Ruta de Soletes</t>
  </si>
  <si>
    <t>Discover the best restaurants in Arenas de San Pedro recommended by the Repsol Guide. Savor local cuisine on a tour of the Soletes,....</t>
  </si>
  <si>
    <r>
      <rPr>
        <rFont val="Arial, sans-serif"/>
        <color rgb="FF1155CC"/>
        <sz val="9.0"/>
        <u/>
      </rPr>
      <t>CooperAcción</t>
    </r>
    <r>
      <rPr>
        <rFont val="Arial, sans-serif"/>
        <color rgb="FF1155CC"/>
        <sz val="15.0"/>
        <u/>
      </rPr>
      <t>Afectados por el derrame de Repsol iniciarán un paro el 9 de septiembre en demanda de atención</t>
    </r>
    <r>
      <rPr>
        <rFont val="Arial, sans-serif"/>
        <color rgb="FF1155CC"/>
        <sz val="11.0"/>
        <u/>
      </rPr>
      <t>Más de cuatro mil pescadores, comerciantes y conexos afectados por el derrame de petróleo de Repsol, de los distritos de Ventanilla, Santa Rosa, Ancón,...</t>
    </r>
    <r>
      <rPr>
        <rFont val="Arial, sans-serif"/>
        <color rgb="FF1155CC"/>
        <sz val="12.0"/>
        <u/>
      </rPr>
      <t>.</t>
    </r>
    <r>
      <rPr>
        <rFont val="Arial, sans-serif"/>
        <color rgb="FF1155CC"/>
        <sz val="11.0"/>
        <u/>
      </rPr>
      <t>6 sept 2024</t>
    </r>
  </si>
  <si>
    <t>Afectados por el derrame de Repsol iniciarán un paro el 9 de septiembre en demanda de atención</t>
  </si>
  <si>
    <t>Más de cuatro mil pescadores, comerciantes y conexos afectados por el derrame de petróleo de Repsol, de los distritos de Ventanilla, Santa Rosa, Ancón,...</t>
  </si>
  <si>
    <t>Those affected by the Repsol spill will begin a strike on September 9 to demand attention</t>
  </si>
  <si>
    <t>More than four thousand fishermen, merchants and related parties affected by the Repsol oil spill, from the districts of Ventanilla, Santa Rosa, Ancón,...</t>
  </si>
  <si>
    <t>Repsol oil spill, legal issues</t>
  </si>
  <si>
    <t>Derrame de petróleo de Repsol, cuestiones legales</t>
  </si>
  <si>
    <t>Negative as it discusses ongoing protests against Repsol.</t>
  </si>
  <si>
    <t>derrame, paro</t>
  </si>
  <si>
    <t>Negative: Protest over environmental damage.</t>
  </si>
  <si>
    <t>Negativo: Protesta por el daño ambiental.</t>
  </si>
  <si>
    <r>
      <rPr>
        <rFont val="Arial, sans-serif"/>
        <color rgb="FF1155CC"/>
        <sz val="9.0"/>
        <u/>
      </rPr>
      <t>Mejor Energía</t>
    </r>
    <r>
      <rPr>
        <rFont val="Arial, sans-serif"/>
        <color rgb="FF1155CC"/>
        <sz val="15.0"/>
        <u/>
      </rPr>
      <t>Los petroleros se reúnen en Rincón para recordar el paro contra Repsol de 1999</t>
    </r>
    <r>
      <rPr>
        <rFont val="Arial, sans-serif"/>
        <color rgb="FF1155CC"/>
        <sz val="11.0"/>
        <u/>
      </rPr>
      <t>Marcelo Rucci encabezará una asamblea en Rincón de los Sauces el próximo lunes, donde el eje central será el recuerdo por parte del Sindicato del Petróleo y...</t>
    </r>
    <r>
      <rPr>
        <rFont val="Arial, sans-serif"/>
        <color rgb="FF1155CC"/>
        <sz val="12.0"/>
        <u/>
      </rPr>
      <t>.</t>
    </r>
    <r>
      <rPr>
        <rFont val="Arial, sans-serif"/>
        <color rgb="FF1155CC"/>
        <sz val="11.0"/>
        <u/>
      </rPr>
      <t>6 sept 2024</t>
    </r>
  </si>
  <si>
    <t>Mejor Energía</t>
  </si>
  <si>
    <t>Los petroleros se reúnen en Rincón para recordar el paro contra Repsol de 1999</t>
  </si>
  <si>
    <t>Los petroleros se reúnen en Rincón para recordar el paro contra Repsol de 1999.</t>
  </si>
  <si>
    <t>Oil workers meet in Rincón to remember the strike against Repsol in 1999</t>
  </si>
  <si>
    <t>Oil workers meet in Rincón to remember the strike against Repsol in 1999.</t>
  </si>
  <si>
    <t>Labor</t>
  </si>
  <si>
    <t>Neutral as it is a retrospective mention of a past event.</t>
  </si>
  <si>
    <t>paro</t>
  </si>
  <si>
    <t>Negative: Historical labor conflict.</t>
  </si>
  <si>
    <t>Negativo: Conflicto laboral histórico.</t>
  </si>
  <si>
    <r>
      <rPr>
        <rFont val="Arial, sans-serif"/>
        <color rgb="FF1155CC"/>
        <sz val="9.0"/>
        <u/>
      </rPr>
      <t>Merca2.es</t>
    </r>
    <r>
      <rPr>
        <rFont val="Arial, sans-serif"/>
        <color rgb="FF1155CC"/>
        <sz val="15.0"/>
        <u/>
      </rPr>
      <t>Repsol se convierte en una oportunidad dorada para los inversores</t>
    </r>
    <r>
      <rPr>
        <rFont val="Arial, sans-serif"/>
        <color rgb="FF1155CC"/>
        <sz val="11.0"/>
        <u/>
      </rPr>
      <t>Es tan grande la desesperación bursátil en Repsol, cuya cotización bordea mínimos anuales, que su CEO, Josu Jon Imaz, ha tenido que hacer un pan con unas...</t>
    </r>
    <r>
      <rPr>
        <rFont val="Arial, sans-serif"/>
        <color rgb="FF1155CC"/>
        <sz val="12.0"/>
        <u/>
      </rPr>
      <t>.</t>
    </r>
    <r>
      <rPr>
        <rFont val="Arial, sans-serif"/>
        <color rgb="FF1155CC"/>
        <sz val="11.0"/>
        <u/>
      </rPr>
      <t>7 sept 2024</t>
    </r>
  </si>
  <si>
    <t>Repsol se convierte en una oportunidad dorada para los inversores</t>
  </si>
  <si>
    <t>Es tan grande la desesperación bursátil en Repsol, cuya cotización bordea mínimos anuales, que su CEO, Josu Jon Imaz, ha tenido que hacer un pan con unas....</t>
  </si>
  <si>
    <t>Repsol becomes a golden opportunity for investors</t>
  </si>
  <si>
    <t>The stock market desperation in Repsol is so great, whose price is bordering on annual lows, that its CEO, Josu Jon Imaz, has had to make a living out of some...</t>
  </si>
  <si>
    <t>Positive as it presents Repsol as an investment opportunity.</t>
  </si>
  <si>
    <t>oportunidad dorada</t>
  </si>
  <si>
    <t>Positive: Framed as investment chance.</t>
  </si>
  <si>
    <t>Positivo: Enmarcado como oportunidad de inversión.</t>
  </si>
  <si>
    <r>
      <rPr>
        <rFont val="Arial, sans-serif"/>
        <color rgb="FF1155CC"/>
        <sz val="9.0"/>
        <u/>
      </rPr>
      <t>20Minutos</t>
    </r>
    <r>
      <rPr>
        <rFont val="Arial, sans-serif"/>
        <color rgb="FF1155CC"/>
        <sz val="15.0"/>
        <u/>
      </rPr>
      <t>El buffet libre de carretera que recomienda la Guía Repsol: comida tradicional por 20 euros</t>
    </r>
    <r>
      <rPr>
        <rFont val="Arial, sans-serif"/>
        <color rgb="FF1155CC"/>
        <sz val="11.0"/>
        <u/>
      </rPr>
      <t>El restaurante Buffet d'Altafulla, situado en Tarragona, presume de ser el primer buffet libre de todo el territorio.</t>
    </r>
    <r>
      <rPr>
        <rFont val="Arial, sans-serif"/>
        <color rgb="FF1155CC"/>
        <sz val="12.0"/>
        <u/>
      </rPr>
      <t>.</t>
    </r>
    <r>
      <rPr>
        <rFont val="Arial, sans-serif"/>
        <color rgb="FF1155CC"/>
        <sz val="11.0"/>
        <u/>
      </rPr>
      <t>7 sept 2024</t>
    </r>
  </si>
  <si>
    <t>El buffet libre de carretera que recomienda la Guía Repsol: comida tradicional por 20 euros</t>
  </si>
  <si>
    <t>El restaurante Buffet d'Altafulla, situado en Tarragona, presume de ser el primer buffet libre de todo el territorio.</t>
  </si>
  <si>
    <t>The free roadside buffet recommended by the Repsol Guide: traditional food for 20 euros</t>
  </si>
  <si>
    <t>The Buffet d'Altafulla restaurant, located in Tarragona, boasts of being the first all-you-can-eat buffet in the entire territory.</t>
  </si>
  <si>
    <r>
      <rPr>
        <rFont val="Arial, sans-serif"/>
        <color rgb="FF1155CC"/>
        <sz val="9.0"/>
        <u/>
      </rPr>
      <t>MotoGP</t>
    </r>
    <r>
      <rPr>
        <rFont val="Arial, sans-serif"/>
        <color rgb="FF1155CC"/>
        <sz val="15.0"/>
        <u/>
      </rPr>
      <t>Joan Mir se retira del GP de San Marino y de la Riviera de Rimini</t>
    </r>
    <r>
      <rPr>
        <rFont val="Arial, sans-serif"/>
        <color rgb="FF1155CC"/>
        <sz val="11.0"/>
        <u/>
      </rPr>
      <t>El piloto del Repsol Honda Team ha decidido no participar en la decimotercera prueba de la temporada 2024 debido a una fuerte gastroenteritis.</t>
    </r>
    <r>
      <rPr>
        <rFont val="Arial, sans-serif"/>
        <color rgb="FF1155CC"/>
        <sz val="12.0"/>
        <u/>
      </rPr>
      <t>.</t>
    </r>
    <r>
      <rPr>
        <rFont val="Arial, sans-serif"/>
        <color rgb="FF1155CC"/>
        <sz val="11.0"/>
        <u/>
      </rPr>
      <t>7 sept 2024</t>
    </r>
  </si>
  <si>
    <t>Joan Mir se retira del GP de San Marino y de la Riviera de Rimini</t>
  </si>
  <si>
    <t>El piloto del Repsol Honda Team ha decidido no participar en la decimotercera prueba de la temporada 2024 debido a una fuerte gastroenteritis.</t>
  </si>
  <si>
    <t>Joan Mir withdraws from the San Marino GP and the Rimini Riviera</t>
  </si>
  <si>
    <t>The Repsol Honda Team rider has decided not to participate in the thirteenth round of the 2024 season due to severe gastroenteritis.</t>
  </si>
  <si>
    <r>
      <rPr>
        <rFont val="Arial, sans-serif"/>
        <color rgb="FF1155CC"/>
        <sz val="9.0"/>
        <u/>
      </rPr>
      <t>El Economista</t>
    </r>
    <r>
      <rPr>
        <rFont val="Arial, sans-serif"/>
        <color rgb="FF1155CC"/>
        <sz val="15.0"/>
        <u/>
      </rPr>
      <t>'La Cartera' compra Global Dominion con un 130% de potencial alcista</t>
    </r>
    <r>
      <rPr>
        <rFont val="Arial, sans-serif"/>
        <color rgb="FF1155CC"/>
        <sz val="11.0"/>
        <u/>
      </rPr>
      <t>Tras varias semanas sin comprar ni vender ninguna posición en La Cartera Estratégica de elEconomista.es, las caídas de este inicio de ...</t>
    </r>
    <r>
      <rPr>
        <rFont val="Arial, sans-serif"/>
        <color rgb="FF1155CC"/>
        <sz val="12.0"/>
        <u/>
      </rPr>
      <t>.</t>
    </r>
    <r>
      <rPr>
        <rFont val="Arial, sans-serif"/>
        <color rgb="FF1155CC"/>
        <sz val="11.0"/>
        <u/>
      </rPr>
      <t>7 sept 2024</t>
    </r>
  </si>
  <si>
    <t>La Cartera compra Global Dominion con un 130% de potencial alcista</t>
  </si>
  <si>
    <t>Tras varias semanas sin comprar ni vender ninguna posición en La Cartera Estratégica de elEconomista.es, las caídas de este inicio de ...</t>
  </si>
  <si>
    <t>Portfolio buys Global Dominion with 130% upside potential</t>
  </si>
  <si>
    <t>After several weeks without buying or selling any position in The Strategic Portfolio of elEconomista.es, the falls at the beginning of...</t>
  </si>
  <si>
    <r>
      <rPr>
        <rFont val="Arial, sans-serif"/>
        <color rgb="FF1155CC"/>
        <sz val="9.0"/>
        <u/>
      </rPr>
      <t>EL PAÍS</t>
    </r>
    <r>
      <rPr>
        <rFont val="Arial, sans-serif"/>
        <color rgb="FF1155CC"/>
        <sz val="15.0"/>
        <u/>
      </rPr>
      <t>Repsol rompe con Honda después de 30 años y 15 títulos en MotoGP</t>
    </r>
    <r>
      <rPr>
        <rFont val="Arial, sans-serif"/>
        <color rgb="FF1155CC"/>
        <sz val="11.0"/>
        <u/>
      </rPr>
      <t>La profunda crisis deportiva de Honda en MotoGP sigue acentuándose con la despedida de Repsol como patrocinador principal de la fábrica japonesa.</t>
    </r>
    <r>
      <rPr>
        <rFont val="Arial, sans-serif"/>
        <color rgb="FF1155CC"/>
        <sz val="12.0"/>
        <u/>
      </rPr>
      <t>.</t>
    </r>
    <r>
      <rPr>
        <rFont val="Arial, sans-serif"/>
        <color rgb="FF1155CC"/>
        <sz val="11.0"/>
        <u/>
      </rPr>
      <t>8 sept 2024</t>
    </r>
  </si>
  <si>
    <t>Repsol rompe con Honda después de 30 años y 15 títulos en MotoGP</t>
  </si>
  <si>
    <t>La profunda crisis deportiva de Honda en MotoGP sigue acentuándose con la despedida de Repsol como patrocinador principal de la fábrica japonesa.</t>
  </si>
  <si>
    <t>Repsol breaks with Honda after 30 years and 15 titles in MotoGP</t>
  </si>
  <si>
    <t>Honda's deep sporting crisis in MotoGP continues to worsen with the departure of Repsol as the main sponsor of the Japanese factory.</t>
  </si>
  <si>
    <t>Repsol sponsorship, business decision</t>
  </si>
  <si>
    <t>Patrocinio Repsol, decisión empresarial</t>
  </si>
  <si>
    <t>Negative as it marks the end of a historic sports partnership.</t>
  </si>
  <si>
    <t>rompe</t>
  </si>
  <si>
    <t>Negative: End of historic partnership.</t>
  </si>
  <si>
    <t>Negativo: Fin de una asociación histórica.</t>
  </si>
  <si>
    <r>
      <rPr>
        <rFont val="Arial, sans-serif"/>
        <color rgb="FF1155CC"/>
        <sz val="9.0"/>
        <u/>
      </rPr>
      <t>LaSexta</t>
    </r>
    <r>
      <rPr>
        <rFont val="Arial, sans-serif"/>
        <color rgb="FF1155CC"/>
        <sz val="15.0"/>
        <u/>
      </rPr>
      <t>Adiós a una asociación legendaria: Honda y Repsol se separan</t>
    </r>
    <r>
      <rPr>
        <rFont val="Arial, sans-serif"/>
        <color rgb="FF1155CC"/>
        <sz val="11.0"/>
        <u/>
      </rPr>
      <t>HRC ha anunciado tras la carrera de Misano la separación al término de la temporada 2024 del que ha sido su gran sponsor y socio en el Campeonato del Mundo...</t>
    </r>
    <r>
      <rPr>
        <rFont val="Arial, sans-serif"/>
        <color rgb="FF1155CC"/>
        <sz val="12.0"/>
        <u/>
      </rPr>
      <t>.</t>
    </r>
    <r>
      <rPr>
        <rFont val="Arial, sans-serif"/>
        <color rgb="FF1155CC"/>
        <sz val="11.0"/>
        <u/>
      </rPr>
      <t>8 sept 2024</t>
    </r>
  </si>
  <si>
    <t>Adiós a una asociación legendaria: Honda y Repsol se separan</t>
  </si>
  <si>
    <t>HRC ha anunciado tras la carrera de Misano la separación al término de la temporada 2024 del que ha sido su gran sponsor y socio en el Campeonato del Mundo.</t>
  </si>
  <si>
    <t>Goodbye to a legendary partnership: Honda and Repsol separate</t>
  </si>
  <si>
    <t>After the Misano race, HRC has announced the separation at the end of the 2024 season from what has been its great sponsor and partner in the World Championship.</t>
  </si>
  <si>
    <t>Negative as it signals the end of a long-standing association.</t>
  </si>
  <si>
    <t>se separan</t>
  </si>
  <si>
    <t>Negative: Loss of long-term collaboration.</t>
  </si>
  <si>
    <t>Negativo: Pérdida de colaboración a largo plazo.</t>
  </si>
  <si>
    <r>
      <rPr>
        <rFont val="Arial, sans-serif"/>
        <color rgb="FF1155CC"/>
        <sz val="9.0"/>
        <u/>
      </rPr>
      <t>El Confidencial</t>
    </r>
    <r>
      <rPr>
        <rFont val="Arial, sans-serif"/>
        <color rgb="FF1155CC"/>
        <sz val="15.0"/>
        <u/>
      </rPr>
      <t>Repsol y Honda, fin a un idilio de más de 30 años</t>
    </r>
    <r>
      <rPr>
        <rFont val="Arial, sans-serif"/>
        <color rgb="FF1155CC"/>
        <sz val="11.0"/>
        <u/>
      </rPr>
      <t>El Repsol Honda Team ha sido el equipo más exitoso de la historia del campeonato de motociclismo y ha tenido a los mejores pilotos en sus filas,...</t>
    </r>
    <r>
      <rPr>
        <rFont val="Arial, sans-serif"/>
        <color rgb="FF1155CC"/>
        <sz val="12.0"/>
        <u/>
      </rPr>
      <t>.</t>
    </r>
    <r>
      <rPr>
        <rFont val="Arial, sans-serif"/>
        <color rgb="FF1155CC"/>
        <sz val="11.0"/>
        <u/>
      </rPr>
      <t>8 sept 2024</t>
    </r>
  </si>
  <si>
    <t>Repsol y Honda, fin a un idilio de más de 30 años</t>
  </si>
  <si>
    <t>El Repsol Honda Team ha sido el equipo más exitoso de la historia del campeonato de motociclismo y ha tenido a los mejores pilotos en sus filas,....</t>
  </si>
  <si>
    <t>Repsol and Honda, end to an idyll of more than 30 years</t>
  </si>
  <si>
    <t>The Repsol Honda Team has been the most successful team in the history of the motorcycle championship and has had the best riders in its ranks,...</t>
  </si>
  <si>
    <t>Negative as it marks the termination of a successful partnership.</t>
  </si>
  <si>
    <t>fin</t>
  </si>
  <si>
    <t>Negative: Emotional tone about breakup.</t>
  </si>
  <si>
    <t>Negativo: Tono emocional sobre la ruptura.</t>
  </si>
  <si>
    <r>
      <rPr>
        <rFont val="Arial, sans-serif"/>
        <color rgb="FF1155CC"/>
        <sz val="9.0"/>
        <u/>
      </rPr>
      <t>El Correo</t>
    </r>
    <r>
      <rPr>
        <rFont val="Arial, sans-serif"/>
        <color rgb="FF1155CC"/>
        <sz val="15.0"/>
        <u/>
      </rPr>
      <t>Repsol y Honda separarán sus caminos en 2025</t>
    </r>
    <r>
      <rPr>
        <rFont val="Arial, sans-serif"/>
        <color rgb="FF1155CC"/>
        <sz val="11.0"/>
        <u/>
      </rPr>
      <t>La compañía española no renovará su acuerdo de patrocinio con HRC a final de este año y pone fin a una asociación con tres décadas de historia.</t>
    </r>
    <r>
      <rPr>
        <rFont val="Arial, sans-serif"/>
        <color rgb="FF1155CC"/>
        <sz val="12.0"/>
        <u/>
      </rPr>
      <t>.</t>
    </r>
    <r>
      <rPr>
        <rFont val="Arial, sans-serif"/>
        <color rgb="FF1155CC"/>
        <sz val="11.0"/>
        <u/>
      </rPr>
      <t>8 sept 2024</t>
    </r>
  </si>
  <si>
    <t>Repsol y Honda separarán sus caminos en 2025</t>
  </si>
  <si>
    <t>La compañía española no renovará su acuerdo de patrocinio con HRC a final de este año y pone fin a una asociación con tres décadas de historia.</t>
  </si>
  <si>
    <t>Repsol and Honda will separate their paths in 2025</t>
  </si>
  <si>
    <t>The Spanish company will not renew its sponsorship agreement with HRC at the end of this year and ends a partnership with three decades of history.</t>
  </si>
  <si>
    <t>Negative as it represents a major sponsorship loss.</t>
  </si>
  <si>
    <t>separarán</t>
  </si>
  <si>
    <t>Negative: Partnership dissolution.</t>
  </si>
  <si>
    <t>Negativo: Disolución de la sociedad.</t>
  </si>
  <si>
    <r>
      <rPr>
        <rFont val="Arial, sans-serif"/>
        <color rgb="FF1155CC"/>
        <sz val="9.0"/>
        <u/>
      </rPr>
      <t>Relevo</t>
    </r>
    <r>
      <rPr>
        <rFont val="Arial, sans-serif"/>
        <color rgb="FF1155CC"/>
        <sz val="15.0"/>
        <u/>
      </rPr>
      <t>La meditada decisión de romper el matrimonio Repsol - Honda que cierra un ciclo histórico: «Lo mejor era no renovar</t>
    </r>
    <r>
      <rPr>
        <rFont val="Arial, sans-serif"/>
        <color rgb="FF1155CC"/>
        <sz val="11.0"/>
        <u/>
      </rPr>
      <t>Circuito de Misano (Italia)-. "Es una pena, evidentemente, es una mala noticia, porque yo me siento piloto de Repsol, y familia de Honda.</t>
    </r>
    <r>
      <rPr>
        <rFont val="Arial, sans-serif"/>
        <color rgb="FF1155CC"/>
        <sz val="12.0"/>
        <u/>
      </rPr>
      <t>.</t>
    </r>
    <r>
      <rPr>
        <rFont val="Arial, sans-serif"/>
        <color rgb="FF1155CC"/>
        <sz val="11.0"/>
        <u/>
      </rPr>
      <t>8 sept 2024</t>
    </r>
  </si>
  <si>
    <t>La meditada decisión de romper el matrimonio Repsol - Honda que cierra un ciclo histórico: «Lo mejor era no renovar"</t>
  </si>
  <si>
    <t>Es una pena, evidentemente, es una mala noticia, porque yo me siento piloto de Repsol, y familia de Honda.</t>
  </si>
  <si>
    <t>The thoughtful decision to break the Repsol - Honda marriage that closes a historic cycle: "The best thing was not to renew"</t>
  </si>
  <si>
    <t>It's a shame, obviously, it's bad news, because I feel like a Repsol driver, and a Honda family.</t>
  </si>
  <si>
    <t>Negative as it reflects disappointment over the sponsorship split.</t>
  </si>
  <si>
    <t>romper</t>
  </si>
  <si>
    <t>Negative: Emphasizes finality of split.</t>
  </si>
  <si>
    <t>Negativo: enfatiza la finalidad de la división.</t>
  </si>
  <si>
    <r>
      <rPr>
        <rFont val="Arial, sans-serif"/>
        <color rgb="FF1155CC"/>
        <sz val="9.0"/>
        <u/>
      </rPr>
      <t>2Playbook</t>
    </r>
    <r>
      <rPr>
        <rFont val="Arial, sans-serif"/>
        <color rgb="FF1155CC"/>
        <sz val="15.0"/>
        <u/>
      </rPr>
      <t>Repsol dejará de patrocinar a Honda en MotoGP a partir de 2025 treinta años después</t>
    </r>
    <r>
      <rPr>
        <rFont val="Arial, sans-serif"/>
        <color rgb="FF1155CC"/>
        <sz val="11.0"/>
        <u/>
      </rPr>
      <t>La petrolera española renovó el acuerdo con el fabricante nipón por un año y otro adicional con la condición de que Marc Márquez continuara en el equipo,...</t>
    </r>
    <r>
      <rPr>
        <rFont val="Arial, sans-serif"/>
        <color rgb="FF1155CC"/>
        <sz val="12.0"/>
        <u/>
      </rPr>
      <t>.</t>
    </r>
    <r>
      <rPr>
        <rFont val="Arial, sans-serif"/>
        <color rgb="FF1155CC"/>
        <sz val="11.0"/>
        <u/>
      </rPr>
      <t>8 sept 2024</t>
    </r>
  </si>
  <si>
    <t>Repsol dejará de patrocinar a Honda en MotoGP a partir de 2025 treinta años después</t>
  </si>
  <si>
    <t>La petrolera española renovó el acuerdo con el fabricante nipón por un año y otro adicional con la condición de que Marc Márquez continuara en el equipo.</t>
  </si>
  <si>
    <t>Repsol will stop sponsoring Honda in MotoGP starting in 2025 thirty years later</t>
  </si>
  <si>
    <t>The Spanish oil company renewed the agreement with the Japanese manufacturer for one year and an additional year on the condition that Marc Márquez continue in the team.</t>
  </si>
  <si>
    <t>Negative as it confirms the end of a sponsorship deal.</t>
  </si>
  <si>
    <t>dejará</t>
  </si>
  <si>
    <t>Negative: Sponsorship loss.</t>
  </si>
  <si>
    <t>Negativo: Pérdida de patrocinio.</t>
  </si>
  <si>
    <r>
      <rPr>
        <rFont val="Arial, sans-serif"/>
        <color rgb="FF1155CC"/>
        <sz val="9.0"/>
        <u/>
      </rPr>
      <t>Todotrial</t>
    </r>
    <r>
      <rPr>
        <rFont val="Arial, sans-serif"/>
        <color rgb="FF1155CC"/>
        <sz val="15.0"/>
        <u/>
      </rPr>
      <t>Honda Racing Corporation y Repsol se despiden tras 30 años</t>
    </r>
    <r>
      <rPr>
        <rFont val="Arial, sans-serif"/>
        <color rgb="FF1155CC"/>
        <sz val="11.0"/>
        <u/>
      </rPr>
      <t>Honda Racing Corporation y Repsol han anunciado que al finalizar el presente año 2024 pondrán fin a su colaboración en MotoGP.</t>
    </r>
    <r>
      <rPr>
        <rFont val="Arial, sans-serif"/>
        <color rgb="FF1155CC"/>
        <sz val="12.0"/>
        <u/>
      </rPr>
      <t>.</t>
    </r>
    <r>
      <rPr>
        <rFont val="Arial, sans-serif"/>
        <color rgb="FF1155CC"/>
        <sz val="11.0"/>
        <u/>
      </rPr>
      <t>8 sept 2024</t>
    </r>
  </si>
  <si>
    <t>Honda Racing Corporation y Repsol</t>
  </si>
  <si>
    <t>Honda Racing Corporation y Repsol se despiden tras 30 años</t>
  </si>
  <si>
    <t>Honda Racing Corporation y Repsol han anunciado que al finalizar el presente año 2024 pondrán fin a su colaboración en MotoGP.</t>
  </si>
  <si>
    <t>Honda Racing Corporation and Repsol say goodbye after 30 years</t>
  </si>
  <si>
    <t>Honda Racing Corporation and Repsol have announced that at the end of this year 2024 they will end their collaboration in MotoGP.</t>
  </si>
  <si>
    <t>Negative as it ends a high-profile partnership.</t>
  </si>
  <si>
    <t>se despiden</t>
  </si>
  <si>
    <t>Negative: Emotional separation.</t>
  </si>
  <si>
    <t>Negativo: Separación emocional.</t>
  </si>
  <si>
    <r>
      <rPr>
        <rFont val="Arial, sans-serif"/>
        <color rgb="FF1155CC"/>
        <sz val="9.0"/>
        <u/>
      </rPr>
      <t>Marca.com</t>
    </r>
    <r>
      <rPr>
        <rFont val="Arial, sans-serif"/>
        <color rgb="FF1155CC"/>
        <sz val="15.0"/>
        <u/>
      </rPr>
      <t>Repsol se divorcia de Honda después de tres décadas de asociación</t>
    </r>
    <r>
      <rPr>
        <rFont val="Arial, sans-serif"/>
        <color rgb="FF1155CC"/>
        <sz val="11.0"/>
        <u/>
      </rPr>
      <t>Durante este domingo de carreras en Misano, Repsol ha hecho oficial que no seguirá colaborando con Honda en el Mundial de MotoGP.</t>
    </r>
    <r>
      <rPr>
        <rFont val="Arial, sans-serif"/>
        <color rgb="FF1155CC"/>
        <sz val="12.0"/>
        <u/>
      </rPr>
      <t>.</t>
    </r>
    <r>
      <rPr>
        <rFont val="Arial, sans-serif"/>
        <color rgb="FF1155CC"/>
        <sz val="11.0"/>
        <u/>
      </rPr>
      <t>8 sept 2024</t>
    </r>
  </si>
  <si>
    <t>Repsol se divorcia de Honda después de tres décadas de asociación</t>
  </si>
  <si>
    <t>Repsol ha hecho oficial que no seguirá colaborando con Honda en el Mundial de MotoGP.</t>
  </si>
  <si>
    <t>Repsol divorces Honda after three decades of association</t>
  </si>
  <si>
    <t>Repsol has made it official that it will no longer collaborate with Honda in the MotoGP World Championship.</t>
  </si>
  <si>
    <t>Negative as it marks the end of a significant business relationship.</t>
  </si>
  <si>
    <t>divorcia</t>
  </si>
  <si>
    <t>Negative: Strong negative metaphor.</t>
  </si>
  <si>
    <t>Negativo: Fuerte metáfora negativa.</t>
  </si>
  <si>
    <r>
      <rPr>
        <rFont val="Arial, sans-serif"/>
        <color rgb="FF1155CC"/>
        <sz val="9.0"/>
        <u/>
      </rPr>
      <t>Box Repsol</t>
    </r>
    <r>
      <rPr>
        <rFont val="Arial, sans-serif"/>
        <color rgb="FF1155CC"/>
        <sz val="15.0"/>
        <u/>
      </rPr>
      <t>Repsol no renovará su acuerdo con HRC en MotoGP</t>
    </r>
    <r>
      <rPr>
        <rFont val="Arial, sans-serif"/>
        <color rgb="FF1155CC"/>
        <sz val="11.0"/>
        <u/>
      </rPr>
      <t>Repsol ha decidido no renovar el actual contrato de patrocinio con Honda Racing Corporation (HRC) en el Mundial de MotoGP, que finaliza el 31 de diciembre...</t>
    </r>
    <r>
      <rPr>
        <rFont val="Arial, sans-serif"/>
        <color rgb="FF1155CC"/>
        <sz val="12.0"/>
        <u/>
      </rPr>
      <t>.</t>
    </r>
    <r>
      <rPr>
        <rFont val="Arial, sans-serif"/>
        <color rgb="FF1155CC"/>
        <sz val="11.0"/>
        <u/>
      </rPr>
      <t>8 sept 2024</t>
    </r>
  </si>
  <si>
    <t>Repsol no renovará su acuerdo con HRC en MotoGP</t>
  </si>
  <si>
    <t>Repsol ha decidido no renovar el actual contrato de patrocinio con Honda Racing Corporation (HRC) en el Mundial de MotoGP, que finaliza el 31 de diciembre.</t>
  </si>
  <si>
    <t>Repsol will not renew its agreement with HRC in MotoGP</t>
  </si>
  <si>
    <t>Repsol has decided not to renew the current sponsorship contract with Honda Racing Corporation (HRC) in the MotoGP World Championship, which ends on December 31.</t>
  </si>
  <si>
    <t>Negative as it results in the discontinuation of a long-term sponsorship.</t>
  </si>
  <si>
    <t>no renovará</t>
  </si>
  <si>
    <t>Negative: Contract termination.</t>
  </si>
  <si>
    <t>Negativo: Terminación del contrato.</t>
  </si>
  <si>
    <r>
      <rPr>
        <rFont val="Arial, sans-serif"/>
        <color rgb="FF1155CC"/>
        <sz val="9.0"/>
        <u/>
      </rPr>
      <t>La Vanguardia</t>
    </r>
    <r>
      <rPr>
        <rFont val="Arial, sans-serif"/>
        <color rgb="FF1155CC"/>
        <sz val="15.0"/>
        <u/>
      </rPr>
      <t>Repsol y Honda se divorcian después de 30 años juntos en MotoGP</t>
    </r>
    <r>
      <rPr>
        <rFont val="Arial, sans-serif"/>
        <color rgb="FF1155CC"/>
        <sz val="11.0"/>
        <u/>
      </rPr>
      <t>En un comunicado de 14 líneas, Honda ha finiquitado una relación de 30 años con Repsol. La colaboración más longeva de patrocinio en el Mundial de MotoGP,...</t>
    </r>
    <r>
      <rPr>
        <rFont val="Arial, sans-serif"/>
        <color rgb="FF1155CC"/>
        <sz val="12.0"/>
        <u/>
      </rPr>
      <t>.</t>
    </r>
    <r>
      <rPr>
        <rFont val="Arial, sans-serif"/>
        <color rgb="FF1155CC"/>
        <sz val="11.0"/>
        <u/>
      </rPr>
      <t>8 sept 2024</t>
    </r>
  </si>
  <si>
    <t>Repsol y Honda se divorcian después de 30 años juntos en MotoGP</t>
  </si>
  <si>
    <t>En un comunicado de 14 líneas, Honda ha finiquitado una relación de 30 años con Repsol. La colaboración más longeva de patrocinio en el Mundial de MotoGP,....</t>
  </si>
  <si>
    <t>Repsol and Honda divorce after 30 years together in MotoGP</t>
  </si>
  <si>
    <t>In a 14-line statement, Honda has ended a 30-year relationship with Repsol. The longest sponsorship collaboration in the MotoGP World Championship,....</t>
  </si>
  <si>
    <t>Negative as it finalizes a long-standing partnership.</t>
  </si>
  <si>
    <t>divorcian</t>
  </si>
  <si>
    <t>Negative: Harsh framing of split.</t>
  </si>
  <si>
    <t>Negativo: Encuadre duro de la división.</t>
  </si>
  <si>
    <r>
      <rPr>
        <rFont val="Arial, sans-serif"/>
        <color rgb="FF1155CC"/>
        <sz val="9.0"/>
        <u/>
      </rPr>
      <t>Todocircuito.com</t>
    </r>
    <r>
      <rPr>
        <rFont val="Arial, sans-serif"/>
        <color rgb="FF1155CC"/>
        <sz val="15.0"/>
        <u/>
      </rPr>
      <t>29 años después, Repsol se divorcia oficialmente de Honda en MotoGP</t>
    </r>
    <r>
      <rPr>
        <rFont val="Arial, sans-serif"/>
        <color rgb="FF1155CC"/>
        <sz val="11.0"/>
        <u/>
      </rPr>
      <t>Llegó el fin de una etapa para Honda en MotoGP: Repsol ha anunciado final y oficialmente que no renovará su contrato publicitario con el equipo japonés en...</t>
    </r>
    <r>
      <rPr>
        <rFont val="Arial, sans-serif"/>
        <color rgb="FF1155CC"/>
        <sz val="12.0"/>
        <u/>
      </rPr>
      <t>.</t>
    </r>
    <r>
      <rPr>
        <rFont val="Arial, sans-serif"/>
        <color rgb="FF1155CC"/>
        <sz val="11.0"/>
        <u/>
      </rPr>
      <t>8 sept 2024</t>
    </r>
  </si>
  <si>
    <t>29 años después, Repsol se divorcia oficialmente de Honda en MotoGP</t>
  </si>
  <si>
    <t>Llegó el fin de una etapa para Honda en MotoGP: Repsol ha anunciado final y oficialmente que no renovará su contrato publicitario con el equipo japonés en....</t>
  </si>
  <si>
    <t>29 years later, Repsol officially divorces Honda in MotoGP</t>
  </si>
  <si>
    <t>The end of a stage for Honda in MotoGP has arrived: Repsol has finally and officially announced that it will not renew its advertising contract with the Japanese team in...</t>
  </si>
  <si>
    <t>Negative as it emphasizes the conclusion of a decades-long sponsorship.</t>
  </si>
  <si>
    <t>Negative: Reiterated negative tone.</t>
  </si>
  <si>
    <t>Negativo: Tono negativo reiterado.</t>
  </si>
  <si>
    <r>
      <rPr>
        <rFont val="Arial, sans-serif"/>
        <color rgb="FF1155CC"/>
        <sz val="9.0"/>
        <u/>
      </rPr>
      <t>OkDiario</t>
    </r>
    <r>
      <rPr>
        <rFont val="Arial, sans-serif"/>
        <color rgb="FF1155CC"/>
        <sz val="15.0"/>
        <u/>
      </rPr>
      <t>Histórico: Repsol no renovará su acuerdo con Honda y dejará MotoGP</t>
    </r>
    <r>
      <rPr>
        <rFont val="Arial, sans-serif"/>
        <color rgb="FF1155CC"/>
        <sz val="11.0"/>
        <u/>
      </rPr>
      <t>Repsol y Honda han decidido no renovar su contrato que expira el 31 de diciembre de 2024 y la multinacional abandona MotGP tras 30 años de colaboración.</t>
    </r>
    <r>
      <rPr>
        <rFont val="Arial, sans-serif"/>
        <color rgb="FF1155CC"/>
        <sz val="12.0"/>
        <u/>
      </rPr>
      <t>.</t>
    </r>
    <r>
      <rPr>
        <rFont val="Arial, sans-serif"/>
        <color rgb="FF1155CC"/>
        <sz val="11.0"/>
        <u/>
      </rPr>
      <t>8 sept 2024</t>
    </r>
  </si>
  <si>
    <t>Repsol no renovará su acuerdo con Honda y dejará MotoGP</t>
  </si>
  <si>
    <t>Repsol y Honda han decidido no renovar su contrato que expira el 31 de diciembre de 2024 y la multinacional abandona MotGP tras 30 años de colaboración.</t>
  </si>
  <si>
    <t>Repsol will not renew its agreement with Honda and will leave MotoGP</t>
  </si>
  <si>
    <t>Repsol and Honda have decided not to renew their contract that expires on December 31, 2024 and the multinational is leaving MotGP after 30 years of collaboration.</t>
  </si>
  <si>
    <t>Negative as it signals an exit from a major motorsport platform.</t>
  </si>
  <si>
    <t>Negative: Exit from MotoGP.</t>
  </si>
  <si>
    <t>Negativo: Salida de MotoGP.</t>
  </si>
  <si>
    <r>
      <rPr>
        <rFont val="Arial, sans-serif"/>
        <color rgb="FF1155CC"/>
        <sz val="9.0"/>
        <u/>
      </rPr>
      <t>Diario AS</t>
    </r>
    <r>
      <rPr>
        <rFont val="Arial, sans-serif"/>
        <color rgb="FF1155CC"/>
        <sz val="15.0"/>
        <u/>
      </rPr>
      <t>Honda y Repsol rompen su relación</t>
    </r>
    <r>
      <rPr>
        <rFont val="Arial, sans-serif"/>
        <color rgb="FF1155CC"/>
        <sz val="11.0"/>
        <u/>
      </rPr>
      <t>Nada más acabar la carrera de Misano 1 que ganó Marc Márquez, expiloto de Honda, Repsol y HRC anunciaron que ponen fin a su asociación de más de tres...</t>
    </r>
    <r>
      <rPr>
        <rFont val="Arial, sans-serif"/>
        <color rgb="FF1155CC"/>
        <sz val="12.0"/>
        <u/>
      </rPr>
      <t>.</t>
    </r>
    <r>
      <rPr>
        <rFont val="Arial, sans-serif"/>
        <color rgb="FF1155CC"/>
        <sz val="11.0"/>
        <u/>
      </rPr>
      <t>8 sept 2024</t>
    </r>
  </si>
  <si>
    <t>Honda y Repsol rompen su relación</t>
  </si>
  <si>
    <t>Nada más acabar la carrera de Misano 1 que ganó Marc Márquez, expiloto de Honda, Repsol y HRC anunciaron que ponen fin a su asociación de más de tres....</t>
  </si>
  <si>
    <t>Honda and Repsol break their relationship</t>
  </si>
  <si>
    <t>Right after the Misano 1 race won by Marc Márquez, former Honda driver, Repsol and HRC announced that they are ending their partnership of more than three....</t>
  </si>
  <si>
    <t>Negative as it reinforces the end of the collaboration.</t>
  </si>
  <si>
    <t>rompen</t>
  </si>
  <si>
    <t>Negative: Partnership breakdown.</t>
  </si>
  <si>
    <t>Negativo: ruptura de la asociación.</t>
  </si>
  <si>
    <r>
      <rPr>
        <rFont val="Arial, sans-serif"/>
        <color rgb="FF1155CC"/>
        <sz val="9.0"/>
        <u/>
      </rPr>
      <t>Valor Compartido</t>
    </r>
    <r>
      <rPr>
        <rFont val="Arial, sans-serif"/>
        <color rgb="FF1155CC"/>
        <sz val="15.0"/>
        <u/>
      </rPr>
      <t>Repsol presenta Plan Global de Sostenibilidad 2024</t>
    </r>
    <r>
      <rPr>
        <rFont val="Arial, sans-serif"/>
        <color rgb="FF1155CC"/>
        <sz val="11.0"/>
        <u/>
      </rPr>
      <t>Enfocada en satisfacer la creciente demanda de energía y productos mientras maximiza su contribución al desarrollo sostenible, Repsol México presentó su...</t>
    </r>
    <r>
      <rPr>
        <rFont val="Arial, sans-serif"/>
        <color rgb="FF1155CC"/>
        <sz val="12.0"/>
        <u/>
      </rPr>
      <t>.</t>
    </r>
    <r>
      <rPr>
        <rFont val="Arial, sans-serif"/>
        <color rgb="FF1155CC"/>
        <sz val="11.0"/>
        <u/>
      </rPr>
      <t>8 sept 2024</t>
    </r>
  </si>
  <si>
    <t>Valor Compartido</t>
  </si>
  <si>
    <t>Repsol presenta Plan Global de Sostenibilidad 2024</t>
  </si>
  <si>
    <t>Enfocada en satisfacer la creciente demanda de energía y productos mientras maximiza su contribución al desarrollo sostenible, Repsol México presentó su....</t>
  </si>
  <si>
    <t>Repsol presents Global Sustainability Plan 2024</t>
  </si>
  <si>
    <t>Focused on meeting the growing demand for energy and products while maximizing its contribution to sustainable development, Repsol México presented its....</t>
  </si>
  <si>
    <t>Positive as it highlights Repsol's sustainability initiatives.</t>
  </si>
  <si>
    <t>sostenibilidad</t>
  </si>
  <si>
    <t>Positive: Sustainability commitment.</t>
  </si>
  <si>
    <t>Positivo: Compromiso de sostenibilidad.</t>
  </si>
  <si>
    <r>
      <rPr>
        <rFont val="Arial, sans-serif"/>
        <color rgb="FF1155CC"/>
        <sz val="9.0"/>
        <u/>
      </rPr>
      <t>20Minutos</t>
    </r>
    <r>
      <rPr>
        <rFont val="Arial, sans-serif"/>
        <color rgb="FF1155CC"/>
        <sz val="15.0"/>
        <u/>
      </rPr>
      <t>Repsol anuncia que no renovará el acuerdo con Honda en el Mundial de MotoGP</t>
    </r>
    <r>
      <rPr>
        <rFont val="Arial, sans-serif"/>
        <color rgb="FF1155CC"/>
        <sz val="11.0"/>
        <u/>
      </rPr>
      <t>La compañía energética ha anunciado que no prolongará su acuerdo con Honda Racing Corporation más allá de su vencimiento a finales de este año,...</t>
    </r>
    <r>
      <rPr>
        <rFont val="Arial, sans-serif"/>
        <color rgb="FF1155CC"/>
        <sz val="12.0"/>
        <u/>
      </rPr>
      <t>.</t>
    </r>
    <r>
      <rPr>
        <rFont val="Arial, sans-serif"/>
        <color rgb="FF1155CC"/>
        <sz val="11.0"/>
        <u/>
      </rPr>
      <t>8 sept 2024</t>
    </r>
  </si>
  <si>
    <t>Repsol anuncia que no renovará el acuerdo con Honda en el Mundial de MotoGP</t>
  </si>
  <si>
    <t>La compañía energética ha anunciado que no prolongará su acuerdo con Honda Racing Corporation más allá de su vencimiento a finales de este año.</t>
  </si>
  <si>
    <t>Repsol announces that it will not renew the agreement with Honda in the MotoGP World Championship</t>
  </si>
  <si>
    <t>The energy company has announced that it will not extend its agreement with Honda Racing Corporation beyond its expiration at the end of this year.</t>
  </si>
  <si>
    <t>Negative as it confirms the non-renewal of a high-profile sponsorship.</t>
  </si>
  <si>
    <t>Negative: Reiterated split.</t>
  </si>
  <si>
    <t>Negativo: Reiterada división.</t>
  </si>
  <si>
    <r>
      <rPr>
        <rFont val="Arial, sans-serif"/>
        <color rgb="FF1155CC"/>
        <sz val="9.0"/>
        <u/>
      </rPr>
      <t>Motorsport.com España</t>
    </r>
    <r>
      <rPr>
        <rFont val="Arial, sans-serif"/>
        <color rgb="FF1155CC"/>
        <sz val="15.0"/>
        <u/>
      </rPr>
      <t>Oficial: Repsol no renovará su acuerdo con HRC en MotoGP</t>
    </r>
    <r>
      <rPr>
        <rFont val="Arial, sans-serif"/>
        <color rgb="FF1155CC"/>
        <sz val="11.0"/>
        <u/>
      </rPr>
      <t>Tal y como adelantó en exclusiva Motorsport.com el pasado 28 de mayo, la multinacional petrolera española Repsol no seguirá siendo patrocinador principal...</t>
    </r>
    <r>
      <rPr>
        <rFont val="Arial, sans-serif"/>
        <color rgb="FF1155CC"/>
        <sz val="12.0"/>
        <u/>
      </rPr>
      <t>.</t>
    </r>
    <r>
      <rPr>
        <rFont val="Arial, sans-serif"/>
        <color rgb="FF1155CC"/>
        <sz val="11.0"/>
        <u/>
      </rPr>
      <t>8 sept 2024</t>
    </r>
  </si>
  <si>
    <t>Oficial: Repsol no renovará su acuerdo con HRC en MotoGP</t>
  </si>
  <si>
    <t>Oficial: Repsol no renovará su acuerdo con HRC en MotoGP y como adelantó en exclusiva Motorsport.com el pasado 28 de mayo, la multinacional petrolera española Repsol no seguirá siendo patrocinador principal....</t>
  </si>
  <si>
    <t>Official: Repsol will not renew its agreement with HRC in MotoGP</t>
  </si>
  <si>
    <t>Official: Repsol will not renew its agreement with HRC in MotoGP and as Motorsport.com exclusively announced on May 28, the Spanish oil multinational Repsol will not continue to be the main sponsor....</t>
  </si>
  <si>
    <t>Negative as it marks the end of a long-term partnership.</t>
  </si>
  <si>
    <t>Negative: Official confirmation.</t>
  </si>
  <si>
    <t>Negativo: Confirmación oficial.</t>
  </si>
  <si>
    <r>
      <rPr>
        <rFont val="Arial, sans-serif"/>
        <color rgb="FF1155CC"/>
        <sz val="9.0"/>
        <u/>
      </rPr>
      <t>Motociclismo</t>
    </r>
    <r>
      <rPr>
        <rFont val="Arial, sans-serif"/>
        <color rgb="FF1155CC"/>
        <sz val="15.0"/>
        <u/>
      </rPr>
      <t>Repsol no renovará con Honda en MotoGP</t>
    </r>
    <r>
      <rPr>
        <rFont val="Arial, sans-serif"/>
        <color rgb="FF1155CC"/>
        <sz val="11.0"/>
        <u/>
      </rPr>
      <t>La compañía española Repsol ha anunciado que su vinculación con Honda en MotoGP terminará a finales de 2024.</t>
    </r>
    <r>
      <rPr>
        <rFont val="Arial, sans-serif"/>
        <color rgb="FF1155CC"/>
        <sz val="12.0"/>
        <u/>
      </rPr>
      <t>.</t>
    </r>
    <r>
      <rPr>
        <rFont val="Arial, sans-serif"/>
        <color rgb="FF1155CC"/>
        <sz val="11.0"/>
        <u/>
      </rPr>
      <t>8 sept 2024</t>
    </r>
  </si>
  <si>
    <t>Repsol no renovará con Honda en MotoGP</t>
  </si>
  <si>
    <t>La compañía española Repsol ha anunciado que su vinculación con Honda en MotoGP terminará a finales de 2024.</t>
  </si>
  <si>
    <t>Repsol will not renew with Honda in MotoGP</t>
  </si>
  <si>
    <t>The Spanish company Repsol has announced that its relationship with Honda in MotoGP will end at the end of 2024.</t>
  </si>
  <si>
    <t>Negative as it confirms the termination of a sponsorship deal.</t>
  </si>
  <si>
    <t>Negative: Reiterated.</t>
  </si>
  <si>
    <t>Negativo: Reiterado.</t>
  </si>
  <si>
    <r>
      <rPr>
        <rFont val="Arial, sans-serif"/>
        <color rgb="FF1155CC"/>
        <sz val="9.0"/>
        <u/>
      </rPr>
      <t>Mundo Deportivo</t>
    </r>
    <r>
      <rPr>
        <rFont val="Arial, sans-serif"/>
        <color rgb="FF1155CC"/>
        <sz val="15.0"/>
        <u/>
      </rPr>
      <t>Histórico: Repsol no renovará su acuerdo con HRC en MotoGP</t>
    </r>
    <r>
      <rPr>
        <rFont val="Arial, sans-serif"/>
        <color rgb="FF1155CC"/>
        <sz val="11.0"/>
        <u/>
      </rPr>
      <t>Más de tres décadas juntos han permanecido HRC y Repsol en el Mundial de MotoGP. En el día de hoy, durante la carrera del Gran Premio de San Marino,...</t>
    </r>
    <r>
      <rPr>
        <rFont val="Arial, sans-serif"/>
        <color rgb="FF1155CC"/>
        <sz val="12.0"/>
        <u/>
      </rPr>
      <t>.</t>
    </r>
    <r>
      <rPr>
        <rFont val="Arial, sans-serif"/>
        <color rgb="FF1155CC"/>
        <sz val="11.0"/>
        <u/>
      </rPr>
      <t>8 sept 2024</t>
    </r>
  </si>
  <si>
    <t>Histórico: Repsol no renovará su acuerdo con HRC en MotoGP</t>
  </si>
  <si>
    <t>Más de tres décadas juntos han permanecido HRC y Repsol en el Mundial de MotoGP. En el día de hoy, durante la carrera del Gran Premio de San Marino,....</t>
  </si>
  <si>
    <t>Historic: Repsol will not renew its agreement with HRC in MotoGP</t>
  </si>
  <si>
    <t>HRC and Repsol have remained together in the MotoGP World Championship for more than three decades. Today, during the San Marino Grand Prix race,....</t>
  </si>
  <si>
    <t>Negative as it emphasizes the historic nature of the breakup.</t>
  </si>
  <si>
    <t>Negative: Historic end.</t>
  </si>
  <si>
    <t>Negativo: Final histórico.</t>
  </si>
  <si>
    <r>
      <rPr>
        <rFont val="Arial, sans-serif"/>
        <color rgb="FF1155CC"/>
        <sz val="9.0"/>
        <u/>
      </rPr>
      <t>Málaga Hoy</t>
    </r>
    <r>
      <rPr>
        <rFont val="Arial, sans-serif"/>
        <color rgb="FF1155CC"/>
        <sz val="15.0"/>
        <u/>
      </rPr>
      <t>El plan gastronómico perfecto que recomienda la Guía Repsol para un día completo en Fuengirola</t>
    </r>
    <r>
      <rPr>
        <rFont val="Arial, sans-serif"/>
        <color rgb="FF1155CC"/>
        <sz val="11.0"/>
        <u/>
      </rPr>
      <t>Tres paradas gastronómicas recomendadas por el chef Diego Gallegos, de Sollo, en Fuengirola. Casa Colón (Troncón, 2), La Casa del Bocadillo (Plaza de la...</t>
    </r>
    <r>
      <rPr>
        <rFont val="Arial, sans-serif"/>
        <color rgb="FF1155CC"/>
        <sz val="12.0"/>
        <u/>
      </rPr>
      <t>.</t>
    </r>
    <r>
      <rPr>
        <rFont val="Arial, sans-serif"/>
        <color rgb="FF1155CC"/>
        <sz val="11.0"/>
        <u/>
      </rPr>
      <t>8 sept 2024</t>
    </r>
  </si>
  <si>
    <t>El plan gastronómico perfecto que recomienda la Guía Repsol para un día completo en Fuengirola</t>
  </si>
  <si>
    <t>Tres paradas gastronómicas recomendadas por el chef Diego Gallegos, de Sollo, en Fuengirola. Casa Colón (Troncón, 2), La Casa del Bocadillo (Plaza de la....</t>
  </si>
  <si>
    <t>The perfect gastronomic plan recommended by the Repsol Guide for a full day in Fuengirola</t>
  </si>
  <si>
    <t>Three gastronomic stops recommended by chef Diego Gallegos, from Sollo, in Fuengirola. Casa Colón (Troncón, 2), La Casa del Bocadillo (Plaza de la....</t>
  </si>
  <si>
    <r>
      <rPr>
        <rFont val="Arial, sans-serif"/>
        <color rgb="FF1155CC"/>
        <sz val="9.0"/>
        <u/>
      </rPr>
      <t>Cinco Días</t>
    </r>
    <r>
      <rPr>
        <rFont val="Arial, sans-serif"/>
        <color rgb="FF1155CC"/>
        <sz val="15.0"/>
        <u/>
      </rPr>
      <t>Repsol no renovará su patrocinio con Honda en el mundial de Moto GP</t>
    </r>
    <r>
      <rPr>
        <rFont val="Arial, sans-serif"/>
        <color rgb="FF1155CC"/>
        <sz val="11.0"/>
        <u/>
      </rPr>
      <t>Repsol ha anunciado este domingo, en el marco del Gran Premio de San Marino, que no renovará el actual contrato de patrocinio con Honda Racing Corporation...</t>
    </r>
    <r>
      <rPr>
        <rFont val="Arial, sans-serif"/>
        <color rgb="FF1155CC"/>
        <sz val="12.0"/>
        <u/>
      </rPr>
      <t>.</t>
    </r>
    <r>
      <rPr>
        <rFont val="Arial, sans-serif"/>
        <color rgb="FF1155CC"/>
        <sz val="11.0"/>
        <u/>
      </rPr>
      <t>8 sept 2024</t>
    </r>
  </si>
  <si>
    <t>Repsol no renovará su patrocinio con Honda en el mundial de Moto GP</t>
  </si>
  <si>
    <t>Repsol ha anunciado este domingo, en el marco del Gran Premio de San Marino, que no renovará el actual contrato de patrocinio con Honda Racing Corporation.</t>
  </si>
  <si>
    <t>Repsol will not renew its sponsorship with Honda in the Moto GP world championship</t>
  </si>
  <si>
    <t>Repsol has announced this Sunday, within the framework of the San Marino Grand Prix, that it will not renew the current sponsorship contract with Honda Racing Corporation.</t>
  </si>
  <si>
    <t>Negative as it signals a sponsorship withdrawal.</t>
  </si>
  <si>
    <t>Negative: Sponsorship end.</t>
  </si>
  <si>
    <t>Negativo: Fin del patrocinio.</t>
  </si>
  <si>
    <r>
      <rPr>
        <rFont val="Arial, sans-serif"/>
        <color rgb="FF1155CC"/>
        <sz val="9.0"/>
        <u/>
      </rPr>
      <t>Motorbike Magazine</t>
    </r>
    <r>
      <rPr>
        <rFont val="Arial, sans-serif"/>
        <color rgb="FF1155CC"/>
        <sz val="15.0"/>
        <u/>
      </rPr>
      <t>Repsol y Honda separan sus caminos después de 30 temporadas</t>
    </r>
    <r>
      <rPr>
        <rFont val="Arial, sans-serif"/>
        <color rgb="FF1155CC"/>
        <sz val="11.0"/>
        <u/>
      </rPr>
      <t>Repsol confirma que no renovará su acuerdo con HRC, que expirará el próximo 31 de diciembre de 2024. Se pone fin así a 30 temporadas de una de las uniones...</t>
    </r>
    <r>
      <rPr>
        <rFont val="Arial, sans-serif"/>
        <color rgb="FF1155CC"/>
        <sz val="12.0"/>
        <u/>
      </rPr>
      <t>.</t>
    </r>
    <r>
      <rPr>
        <rFont val="Arial, sans-serif"/>
        <color rgb="FF1155CC"/>
        <sz val="11.0"/>
        <u/>
      </rPr>
      <t>8 sept 2024</t>
    </r>
  </si>
  <si>
    <t>Repsol y Honda separan sus caminos después de 30 temporadas</t>
  </si>
  <si>
    <t>Repsol confirma que no renovará su acuerdo con HRC, que expirará el próximo 31 de diciembre de 2024. Se pone fin así a 30 temporadas de una de las uniones....</t>
  </si>
  <si>
    <t>Repsol and Honda separate their paths after 30 seasons</t>
  </si>
  <si>
    <t>Repsol confirms that it will not renew its agreement with HRC, which will expire on December 31, 2024. This puts an end to 30 seasons of one of the unions....</t>
  </si>
  <si>
    <t>Negative as it marks the end of a long-standing sports partnership.</t>
  </si>
  <si>
    <t>separan</t>
  </si>
  <si>
    <t>Negative: Split.</t>
  </si>
  <si>
    <t>Negativo: Dividir.</t>
  </si>
  <si>
    <r>
      <rPr>
        <rFont val="Arial, sans-serif"/>
        <color rgb="FF1155CC"/>
        <sz val="9.0"/>
        <u/>
      </rPr>
      <t>MOTOSAN</t>
    </r>
    <r>
      <rPr>
        <rFont val="Arial, sans-serif"/>
        <color rgb="FF1155CC"/>
        <sz val="15.0"/>
        <u/>
      </rPr>
      <t>Repsol y Honda, el final de una Era que contó con Doohan, Rossi, Stoner o Márquez entre otros campeones</t>
    </r>
    <r>
      <rPr>
        <rFont val="Arial, sans-serif"/>
        <color rgb="FF1155CC"/>
        <sz val="11.0"/>
        <u/>
      </rPr>
      <t>Hoy hemos conocido que después de 30 temporadas juntos, Repsol y Honda separarán sus caminos en MotoGP. Hay decoraciones icónicas en el Mundial de.</t>
    </r>
    <r>
      <rPr>
        <rFont val="Arial, sans-serif"/>
        <color rgb="FF1155CC"/>
        <sz val="12.0"/>
        <u/>
      </rPr>
      <t>.</t>
    </r>
    <r>
      <rPr>
        <rFont val="Arial, sans-serif"/>
        <color rgb="FF1155CC"/>
        <sz val="11.0"/>
        <u/>
      </rPr>
      <t>8 sept 2024</t>
    </r>
  </si>
  <si>
    <t>Repsol y Honda, el final de una Era que contó con Doohan, Rossi, Stoner o Márquez entre otros campeones</t>
  </si>
  <si>
    <t>Después de 30 temporadas juntos, Repsol y Honda separarán sus caminos en MotoGP. Hay decoraciones icónicas en el Mundial de..</t>
  </si>
  <si>
    <t>Repsol and Honda, the end of an Era that included Doohan, Rossi, Stoner and Márquez among other champions</t>
  </si>
  <si>
    <t>After 30 seasons together, Repsol and Honda will separate their paths in MotoGP. There are iconic decorations at the World Cup.</t>
  </si>
  <si>
    <t>Negative as it highlights the impact of the split on MotoGP history.</t>
  </si>
  <si>
    <t>final</t>
  </si>
  <si>
    <t>Negative: Nostalgic loss.</t>
  </si>
  <si>
    <t>Negativo: Pérdida nostálgica.</t>
  </si>
  <si>
    <r>
      <rPr>
        <rFont val="Arial, sans-serif"/>
        <color rgb="FF1155CC"/>
        <sz val="9.0"/>
        <u/>
      </rPr>
      <t>Diario Alhaurín</t>
    </r>
    <r>
      <rPr>
        <rFont val="Arial, sans-serif"/>
        <color rgb="FF1155CC"/>
        <sz val="15.0"/>
        <u/>
      </rPr>
      <t>El restaurante Karmela de Alhaurín de la Torre logra un Solete Repsol</t>
    </r>
    <r>
      <rPr>
        <rFont val="Arial, sans-serif"/>
        <color rgb="FF1155CC"/>
        <sz val="11.0"/>
        <u/>
      </rPr>
      <t>El restaurante Karmela de Alhaurín de la Torre logra un Solete Repsol.</t>
    </r>
    <r>
      <rPr>
        <rFont val="Arial, sans-serif"/>
        <color rgb="FF1155CC"/>
        <sz val="12.0"/>
        <u/>
      </rPr>
      <t>.</t>
    </r>
    <r>
      <rPr>
        <rFont val="Arial, sans-serif"/>
        <color rgb="FF1155CC"/>
        <sz val="11.0"/>
        <u/>
      </rPr>
      <t>8 sept 2024</t>
    </r>
  </si>
  <si>
    <t>Diario Alhaurín</t>
  </si>
  <si>
    <t>El restaurante Karmela de Alhaurín de la Torre logra un Solete Repsol</t>
  </si>
  <si>
    <t>El restaurante Karmela de Alhaurín de la Torre logra un Solete Repsol.</t>
  </si>
  <si>
    <t>The Karmela restaurant in Alhaurín de la Torre achieves a Repsol Solete</t>
  </si>
  <si>
    <t>The Karmela restaurant in Alhaurín de la Torre achieves a Repsol Solete.</t>
  </si>
  <si>
    <r>
      <rPr>
        <rFont val="Arial, sans-serif"/>
        <color rgb="FF1155CC"/>
        <sz val="9.0"/>
        <u/>
      </rPr>
      <t>Motorsport.com Latinoamérica | F1, MotoGP, Nascar, Rally</t>
    </r>
    <r>
      <rPr>
        <rFont val="Arial, sans-serif"/>
        <color rgb="FF1155CC"/>
        <sz val="15.0"/>
        <u/>
      </rPr>
      <t>Repsol finalizará su relación con Honda tras 39 años</t>
    </r>
    <r>
      <rPr>
        <rFont val="Arial, sans-serif"/>
        <color rgb="FF1155CC"/>
        <sz val="11.0"/>
        <u/>
      </rPr>
      <t>Repsol ha anunciado que pondrá fin a una relación de 30 años con Honda al final de la actual temporada de MotoGP. El gigante petrolero español ha sido...</t>
    </r>
    <r>
      <rPr>
        <rFont val="Arial, sans-serif"/>
        <color rgb="FF1155CC"/>
        <sz val="12.0"/>
        <u/>
      </rPr>
      <t>.</t>
    </r>
    <r>
      <rPr>
        <rFont val="Arial, sans-serif"/>
        <color rgb="FF1155CC"/>
        <sz val="11.0"/>
        <u/>
      </rPr>
      <t>8 sept 2024</t>
    </r>
  </si>
  <si>
    <t>Motorsport.com Latinoamérica</t>
  </si>
  <si>
    <t>Repsol finalizará su relación con Honda tras 39 años</t>
  </si>
  <si>
    <t>Repsol ha anunciado que pondrá fin a una relación de 30 años con Honda al final de la actual temporada de MotoGP. El gigante petrolero español ha sido....</t>
  </si>
  <si>
    <t>Repsol will end its relationship with Honda after 39 years</t>
  </si>
  <si>
    <t>Repsol has announced that it will end a 30-year relationship with Honda at the end of the current MotoGP season. The Spanish oil giant has been...</t>
  </si>
  <si>
    <t>Negative as it finalizes a long-term collaboration.</t>
  </si>
  <si>
    <t>finalizará</t>
  </si>
  <si>
    <t>Negative: Relationship end.</t>
  </si>
  <si>
    <t>Negativo: Fin de la relación.</t>
  </si>
  <si>
    <r>
      <rPr>
        <rFont val="Arial, sans-serif"/>
        <color rgb="FF1155CC"/>
        <sz val="9.0"/>
        <u/>
      </rPr>
      <t>El Economista</t>
    </r>
    <r>
      <rPr>
        <rFont val="Arial, sans-serif"/>
        <color rgb="FF1155CC"/>
        <sz val="15.0"/>
        <u/>
      </rPr>
      <t>Repsol anuncia su decisión de no renovar el acuerdo con Honda en el Mundial de MotoGP</t>
    </r>
    <r>
      <rPr>
        <rFont val="Arial, sans-serif"/>
        <color rgb="FF1155CC"/>
        <sz val="11.0"/>
        <u/>
      </rPr>
      <t>La compañía energética Repsol ha anunciado este domingo su decisión de no renovar su actual acuerdo con el equipo oficial Honda (Honda Racing Corporation,...</t>
    </r>
    <r>
      <rPr>
        <rFont val="Arial, sans-serif"/>
        <color rgb="FF1155CC"/>
        <sz val="12.0"/>
        <u/>
      </rPr>
      <t>.</t>
    </r>
    <r>
      <rPr>
        <rFont val="Arial, sans-serif"/>
        <color rgb="FF1155CC"/>
        <sz val="11.0"/>
        <u/>
      </rPr>
      <t>8 sept 2024</t>
    </r>
  </si>
  <si>
    <t>Repsol anuncia su decisión de no renovar el acuerdo con Honda en el Mundial de MotoGP</t>
  </si>
  <si>
    <t>La compañía energética Repsol ha anunciado este domingo su decisión de no renovar su actual acuerdo con el equipo oficial Honda (Honda Racing Corporation,....</t>
  </si>
  <si>
    <t>Repsol announces its decision not to renew the agreement with Honda in the MotoGP World Championship</t>
  </si>
  <si>
    <t>The energy company Repsol announced this Sunday its decision not to renew its current agreement with the official Honda team (Honda Racing Corporation,....</t>
  </si>
  <si>
    <t>Negative as it confirms the split.</t>
  </si>
  <si>
    <t>no renovar</t>
  </si>
  <si>
    <t>Negative: Decision confirmed.</t>
  </si>
  <si>
    <t>Negativo: Decisión confirmada.</t>
  </si>
  <si>
    <r>
      <rPr>
        <rFont val="Arial, sans-serif"/>
        <color rgb="FF1155CC"/>
        <sz val="9.0"/>
        <u/>
      </rPr>
      <t>MOTOSAN</t>
    </r>
    <r>
      <rPr>
        <rFont val="Arial, sans-serif"/>
        <color rgb="FF1155CC"/>
        <sz val="15.0"/>
        <u/>
      </rPr>
      <t>ÚLTIMA HORA | Honda pierde a su patrocinador principal en MotoGP</t>
    </r>
    <r>
      <rPr>
        <rFont val="Arial, sans-serif"/>
        <color rgb="FF1155CC"/>
        <sz val="11.0"/>
        <u/>
      </rPr>
      <t>Repsol y HRC separarán sus caminos a finales de año. HRC y Repsol han estado juntos en el Mundial de Motociclismo durante más de tres décadas. Se trata.</t>
    </r>
    <r>
      <rPr>
        <rFont val="Arial, sans-serif"/>
        <color rgb="FF1155CC"/>
        <sz val="12.0"/>
        <u/>
      </rPr>
      <t>.</t>
    </r>
    <r>
      <rPr>
        <rFont val="Arial, sans-serif"/>
        <color rgb="FF1155CC"/>
        <sz val="11.0"/>
        <u/>
      </rPr>
      <t>8 sept 2024</t>
    </r>
  </si>
  <si>
    <t>Honda pierde a su patrocinador principal en MotoGP</t>
  </si>
  <si>
    <t>HRC y Repsol han estado juntos en el Mundial de Motociclismo durante más de tres décadas. Se trata..</t>
  </si>
  <si>
    <t>Honda loses its main sponsor in MotoGP</t>
  </si>
  <si>
    <t>HRC and Repsol have been together in the Motorcycle World Championship for more than three decades. It's about...</t>
  </si>
  <si>
    <t>Negative as it states Honda's loss of a major sponsor.</t>
  </si>
  <si>
    <t>Negative: Sponsor loss.</t>
  </si>
  <si>
    <t>Negativo: Pérdida del patrocinador.</t>
  </si>
  <si>
    <r>
      <rPr>
        <rFont val="Arial, sans-serif"/>
        <color rgb="FF1155CC"/>
        <sz val="9.0"/>
        <u/>
      </rPr>
      <t>MotoGP</t>
    </r>
    <r>
      <rPr>
        <rFont val="Arial, sans-serif"/>
        <color rgb="FF1155CC"/>
        <sz val="15.0"/>
        <u/>
      </rPr>
      <t>Luca Marini no disputará la carrera del GP de San Marino y de la Riviera de Rimini</t>
    </r>
    <r>
      <rPr>
        <rFont val="Arial, sans-serif"/>
        <color rgb="FF1155CC"/>
        <sz val="11.0"/>
        <u/>
      </rPr>
      <t>El piloto italiano ha sido diagnóstico con un virus que le impedirá participar en la decimotercera carrera de la temporada en Misano.</t>
    </r>
    <r>
      <rPr>
        <rFont val="Arial, sans-serif"/>
        <color rgb="FF1155CC"/>
        <sz val="12.0"/>
        <u/>
      </rPr>
      <t>.</t>
    </r>
    <r>
      <rPr>
        <rFont val="Arial, sans-serif"/>
        <color rgb="FF1155CC"/>
        <sz val="11.0"/>
        <u/>
      </rPr>
      <t>8 sept 2024</t>
    </r>
  </si>
  <si>
    <t>Luca Marini no disputará la carrera del GP de San Marino y de la Riviera de Rimini</t>
  </si>
  <si>
    <t>El piloto italiano ha sido diagnóstico con un virus que le impedirá participar en la decimotercera carrera de la temporada en Misano.</t>
  </si>
  <si>
    <t>Luca Marini will not compete in the San Marino GP and the Rimini Riviera race</t>
  </si>
  <si>
    <t>The Italian driver has been diagnosed with a virus that will prevent him from participating in the thirteenth race of the season in Misano.</t>
  </si>
  <si>
    <r>
      <rPr>
        <rFont val="Arial, sans-serif"/>
        <color rgb="FF1155CC"/>
        <sz val="9.0"/>
        <u/>
      </rPr>
      <t>El Español</t>
    </r>
    <r>
      <rPr>
        <rFont val="Arial, sans-serif"/>
        <color rgb="FF1155CC"/>
        <sz val="15.0"/>
        <u/>
      </rPr>
      <t>Este es el pueblo donde mejor se come de Alicante: el santuario de la gamba roja</t>
    </r>
    <r>
      <rPr>
        <rFont val="Arial, sans-serif"/>
        <color rgb="FF1155CC"/>
        <sz val="11.0"/>
        <u/>
      </rPr>
      <t>Esta localidad de la Marina Alta cuenta con varios restaurantes reconocidos con Soles en la Guía Repsol 2024.</t>
    </r>
    <r>
      <rPr>
        <rFont val="Arial, sans-serif"/>
        <color rgb="FF1155CC"/>
        <sz val="12.0"/>
        <u/>
      </rPr>
      <t>.</t>
    </r>
    <r>
      <rPr>
        <rFont val="Arial, sans-serif"/>
        <color rgb="FF1155CC"/>
        <sz val="11.0"/>
        <u/>
      </rPr>
      <t>8 sept 2024</t>
    </r>
  </si>
  <si>
    <t>Este es el pueblo donde mejor se come de Alicante: el santuario de la gamba roja.</t>
  </si>
  <si>
    <t>Este es el pueblo donde mejor se come de Alicante: el santuario de la gamba roja. Esta localidad de la Marina Alta cuenta con varios restaurantes reconocidos con Soles en la Guía Repsol 2024.</t>
  </si>
  <si>
    <t>This is the town where you can eat the best in Alicante: the sanctuary of the red shrimp.</t>
  </si>
  <si>
    <t>This is the town where you can eat the best in Alicante: the sanctuary of the red shrimp. This town in the Marina Alta has several restaurants recognized with Suns in the Repsol Guide 2024.</t>
  </si>
  <si>
    <r>
      <rPr>
        <rFont val="Arial, sans-serif"/>
        <color rgb="FF1155CC"/>
        <sz val="9.0"/>
        <u/>
      </rPr>
      <t>Agencia Peruana de Noticias | ANDINA</t>
    </r>
    <r>
      <rPr>
        <rFont val="Arial, sans-serif"/>
        <color rgb="FF1155CC"/>
        <sz val="15.0"/>
        <u/>
      </rPr>
      <t>Ventanilla: Incendio en refinería La Pampilla deja dos heridos</t>
    </r>
    <r>
      <rPr>
        <rFont val="Arial, sans-serif"/>
        <color rgb="FF1155CC"/>
        <sz val="11.0"/>
        <u/>
      </rPr>
      <t>Últimas noticias de Perú y el mundo sobre política, locales, deportes, culturales, espectáculos, economía, y tecnología en la Agencia Peruana de Noticias...</t>
    </r>
    <r>
      <rPr>
        <rFont val="Arial, sans-serif"/>
        <color rgb="FF1155CC"/>
        <sz val="12.0"/>
        <u/>
      </rPr>
      <t>.</t>
    </r>
    <r>
      <rPr>
        <rFont val="Arial, sans-serif"/>
        <color rgb="FF1155CC"/>
        <sz val="11.0"/>
        <u/>
      </rPr>
      <t>8 sept 2024</t>
    </r>
  </si>
  <si>
    <t>Ventanilla: Incendio en refinería La Pampilla deja dos heridos</t>
  </si>
  <si>
    <t>Incendio en refinería La Pampilla deja dos heridos.</t>
  </si>
  <si>
    <t>Ventanilla: Fire at La Pampilla refinery leaves two injured</t>
  </si>
  <si>
    <t>Fire at the La Pampilla refinery leaves two injured.</t>
  </si>
  <si>
    <t>Strongly negative as it reports an industrial accident.</t>
  </si>
  <si>
    <t>Negative: Safety incident.</t>
  </si>
  <si>
    <t>Negativo: Incidente de seguridad.</t>
  </si>
  <si>
    <r>
      <rPr>
        <rFont val="Arial, sans-serif"/>
        <color rgb="FF1155CC"/>
        <sz val="9.0"/>
        <u/>
      </rPr>
      <t>Agencia Peruana de Noticias | ANDINA</t>
    </r>
    <r>
      <rPr>
        <rFont val="Arial, sans-serif"/>
        <color rgb="FF1155CC"/>
        <sz val="15.0"/>
        <u/>
      </rPr>
      <t>Incendio en Ventanilla: emergencia dentro de refinería La Pampilla ha sido controlada</t>
    </r>
    <r>
      <rPr>
        <rFont val="Arial, sans-serif"/>
        <color rgb="FF1155CC"/>
        <sz val="11.0"/>
        <u/>
      </rPr>
      <t>Las instalaciones de la empresa, ubicada a muy pocos metros del litoral, fueron envueltas por un denso humo de color negro, emanado desde el interior de la...</t>
    </r>
    <r>
      <rPr>
        <rFont val="Arial, sans-serif"/>
        <color rgb="FF1155CC"/>
        <sz val="12.0"/>
        <u/>
      </rPr>
      <t>.</t>
    </r>
    <r>
      <rPr>
        <rFont val="Arial, sans-serif"/>
        <color rgb="FF1155CC"/>
        <sz val="11.0"/>
        <u/>
      </rPr>
      <t>8 sept 2024</t>
    </r>
  </si>
  <si>
    <t>Las instalaciones de la empresa, ubicada a muy pocos metros del litoral, fueron envueltas por un denso humo de color negro, emanado desde el interior de la....</t>
  </si>
  <si>
    <t>The company's facilities, located just a few meters from the coast, were enveloped by dense black smoke, emanating from inside the...</t>
  </si>
  <si>
    <t>Strongly negative as it highlights the impact of the fire.</t>
  </si>
  <si>
    <t>Negative: Incident resolved but damage done.</t>
  </si>
  <si>
    <t>Negativo: Incidente resuelto pero daño causado.</t>
  </si>
  <si>
    <r>
      <rPr>
        <rFont val="Arial, sans-serif"/>
        <color rgb="FF1155CC"/>
        <sz val="9.0"/>
        <u/>
      </rPr>
      <t>El Periódico de España</t>
    </r>
    <r>
      <rPr>
        <rFont val="Arial, sans-serif"/>
        <color rgb="FF1155CC"/>
        <sz val="15.0"/>
        <u/>
      </rPr>
      <t>Cepsa reta a Naturgy y Repsol y abre otra batalla por el ‘boom’ de los gases verdes en España</t>
    </r>
    <r>
      <rPr>
        <rFont val="Arial, sans-serif"/>
        <color rgb="FF1155CC"/>
        <sz val="11.0"/>
        <u/>
      </rPr>
      <t>La energética se estrena ahora como 'trader' de biometano para sustituir el gas natural de la industria en España tras sellar varias alianzas para construir...</t>
    </r>
    <r>
      <rPr>
        <rFont val="Arial, sans-serif"/>
        <color rgb="FF1155CC"/>
        <sz val="12.0"/>
        <u/>
      </rPr>
      <t>.</t>
    </r>
    <r>
      <rPr>
        <rFont val="Arial, sans-serif"/>
        <color rgb="FF1155CC"/>
        <sz val="11.0"/>
        <u/>
      </rPr>
      <t>9 sept 2024</t>
    </r>
  </si>
  <si>
    <t>Cepsa reta a Naturgy y Repsol y abre otra batalla por el ‘boom’ de los gases verdes en España</t>
  </si>
  <si>
    <t>La energética se estrena ahora como 'trader' de biometano para sustituir el gas natural de la industria en España tras sellar varias alianzas para construir....</t>
  </si>
  <si>
    <t>Cepsa challenges Naturgy and Repsol and opens another battle for the 'boom' of green gases in Spain</t>
  </si>
  <si>
    <t>The energy company is now launching as a biomethane 'trader' to replace natural gas in the industry in Spain after sealing several alliances to build...</t>
  </si>
  <si>
    <t>Negative as it highlights competition for Repsol.</t>
  </si>
  <si>
    <t>reta, batalla</t>
  </si>
  <si>
    <t>Negative: Competitive pressure.</t>
  </si>
  <si>
    <t>Negativo: Presión competitiva.</t>
  </si>
  <si>
    <r>
      <rPr>
        <rFont val="Arial, sans-serif"/>
        <color rgb="FF1155CC"/>
        <sz val="9.0"/>
        <u/>
      </rPr>
      <t>Diari de Tarragona</t>
    </r>
    <r>
      <rPr>
        <rFont val="Arial, sans-serif"/>
        <color rgb="FF1155CC"/>
        <sz val="15.0"/>
        <u/>
      </rPr>
      <t>Repsol encaja las últimas piezas de sus mejoras en el área química</t>
    </r>
    <r>
      <rPr>
        <rFont val="Arial, sans-serif"/>
        <color rgb="FF1155CC"/>
        <sz val="11.0"/>
        <u/>
      </rPr>
      <t>Repsol ha empezado a encajar las últimas piezas de la parada programada de mantenimiento de las unidades de OPSM (Óxido de Propileno/Estireno Monómero...</t>
    </r>
    <r>
      <rPr>
        <rFont val="Arial, sans-serif"/>
        <color rgb="FF1155CC"/>
        <sz val="12.0"/>
        <u/>
      </rPr>
      <t>.</t>
    </r>
    <r>
      <rPr>
        <rFont val="Arial, sans-serif"/>
        <color rgb="FF1155CC"/>
        <sz val="11.0"/>
        <u/>
      </rPr>
      <t>9 sept 2024</t>
    </r>
  </si>
  <si>
    <t>Repsol encaja las últimas piezas de sus mejoras en el área química</t>
  </si>
  <si>
    <t>Repsol ha empezado a encajar las últimas piezas de la parada programada de mantenimiento de las unidades de OPSM (Óxido de Propileno/Estireno Monómero....</t>
  </si>
  <si>
    <t>Repsol fits the last pieces of its improvements in the chemical area</t>
  </si>
  <si>
    <t>Repsol has begun to put together the last pieces of the scheduled maintenance stoppage of the OPSM (Propylene Oxide/Styrene Monomer) units....</t>
  </si>
  <si>
    <t>Repsol infrastructure, business expansion</t>
  </si>
  <si>
    <t>Infraestructuras Repsol, expansión empresarial</t>
  </si>
  <si>
    <t>Positive as it discusses operational improvements.</t>
  </si>
  <si>
    <t>mejoras</t>
  </si>
  <si>
    <t>Positive: Operational progress.</t>
  </si>
  <si>
    <t>Positivo: Avance operativo.</t>
  </si>
  <si>
    <r>
      <rPr>
        <rFont val="Arial, sans-serif"/>
        <color rgb="FF1155CC"/>
        <sz val="9.0"/>
        <u/>
      </rPr>
      <t>La Opinión de Murcia</t>
    </r>
    <r>
      <rPr>
        <rFont val="Arial, sans-serif"/>
        <color rgb="FF1155CC"/>
        <sz val="15.0"/>
        <u/>
      </rPr>
      <t>El Ayuntamiento de Cartagena negociará con Repsol la retirada de la gasolinera del puerto de Cabo de Palos</t>
    </r>
    <r>
      <rPr>
        <rFont val="Arial, sans-serif"/>
        <color rgb="FF1155CC"/>
        <sz val="11.0"/>
        <u/>
      </rPr>
      <t>La estación de servicio de Repsol se encuentra en pleno puerto de Cabo de Palos. / Iván J. Urquízar. Salvador González. 09 SEPT 2024 6:00 Actualizada 09...</t>
    </r>
    <r>
      <rPr>
        <rFont val="Arial, sans-serif"/>
        <color rgb="FF1155CC"/>
        <sz val="12.0"/>
        <u/>
      </rPr>
      <t>.</t>
    </r>
    <r>
      <rPr>
        <rFont val="Arial, sans-serif"/>
        <color rgb="FF1155CC"/>
        <sz val="11.0"/>
        <u/>
      </rPr>
      <t>9 sept 2024</t>
    </r>
  </si>
  <si>
    <t>El Ayuntamiento de Cartagena negociará con Repsol la retirada de la gasolinera del puerto de Cabo de Palos</t>
  </si>
  <si>
    <t>La estación de servicio de Repsol se encuentra en pleno puerto de Cabo de Palos. / Iván J. Urquízar. Salvador González.</t>
  </si>
  <si>
    <t>The Cartagena City Council will negotiate with Repsol the withdrawal of the gas station from the port of Cabo de Palos</t>
  </si>
  <si>
    <t>The Repsol service station is located in the port of Cabo de Palos. / Iván J. Urquízar. Salvador González.</t>
  </si>
  <si>
    <t>Repsol infrastructure, business challenges</t>
  </si>
  <si>
    <t>Infraestructuras Repsol, retos empresariales</t>
  </si>
  <si>
    <t>Negative as it suggests Repsol may need to relocate a service station.</t>
  </si>
  <si>
    <t>retirada</t>
  </si>
  <si>
    <t>Negative: Potential business loss.</t>
  </si>
  <si>
    <t>Negativo: Posible pérdida comercial.</t>
  </si>
  <si>
    <r>
      <rPr>
        <rFont val="Arial, sans-serif"/>
        <color rgb="FF1155CC"/>
        <sz val="9.0"/>
        <u/>
      </rPr>
      <t>Radio Intereconomía</t>
    </r>
    <r>
      <rPr>
        <rFont val="Arial, sans-serif"/>
        <color rgb="FF1155CC"/>
        <sz val="15.0"/>
        <u/>
      </rPr>
      <t>Repsol rompe con Honda MotoGP</t>
    </r>
    <r>
      <rPr>
        <rFont val="Arial, sans-serif"/>
        <color rgb="FF1155CC"/>
        <sz val="11.0"/>
        <u/>
      </rPr>
      <t>a compañía energética Repsol ha anunciado este domingo su decisión de no renovar su actual acuerdo con el equipo oficial Honda (Honda Racing Corporation,...</t>
    </r>
    <r>
      <rPr>
        <rFont val="Arial, sans-serif"/>
        <color rgb="FF1155CC"/>
        <sz val="12.0"/>
        <u/>
      </rPr>
      <t>.</t>
    </r>
    <r>
      <rPr>
        <rFont val="Arial, sans-serif"/>
        <color rgb="FF1155CC"/>
        <sz val="11.0"/>
        <u/>
      </rPr>
      <t>9 sept 2024</t>
    </r>
  </si>
  <si>
    <t>Repsol rompe con Honda MotoGP</t>
  </si>
  <si>
    <t>La compañía energética Repsol ha anunciado este domingo su decisión de no renovar su actual acuerdo con el equipo oficial Honda.</t>
  </si>
  <si>
    <t>Repsol breaks with Honda MotoGP</t>
  </si>
  <si>
    <t>The energy company Repsol announced this Sunday its decision not to renew its current agreement with the official Honda team.</t>
  </si>
  <si>
    <t>Negative as it marks the end of a sponsorship.</t>
  </si>
  <si>
    <r>
      <rPr>
        <rFont val="Arial, sans-serif"/>
        <color rgb="FF1155CC"/>
        <sz val="9.0"/>
        <u/>
      </rPr>
      <t>Motorsport.com España</t>
    </r>
    <r>
      <rPr>
        <rFont val="Arial, sans-serif"/>
        <color rgb="FF1155CC"/>
        <sz val="15.0"/>
        <u/>
      </rPr>
      <t>Los pilotos ven en la marcha de Repsol una gran pérdida para MotoGP</t>
    </r>
    <r>
      <rPr>
        <rFont val="Arial, sans-serif"/>
        <color rgb="FF1155CC"/>
        <sz val="11.0"/>
        <u/>
      </rPr>
      <t>La noticia la adelantó Motorsport.com el 28 de mayo, pero la confirmación oficial llegó este domingo, en Misano, inmediatamente después de la carrera de...</t>
    </r>
    <r>
      <rPr>
        <rFont val="Arial, sans-serif"/>
        <color rgb="FF1155CC"/>
        <sz val="12.0"/>
        <u/>
      </rPr>
      <t>.</t>
    </r>
    <r>
      <rPr>
        <rFont val="Arial, sans-serif"/>
        <color rgb="FF1155CC"/>
        <sz val="11.0"/>
        <u/>
      </rPr>
      <t>9 sept 2024</t>
    </r>
  </si>
  <si>
    <t>Los pilotos ven en la marcha de Repsol una gran pérdida para MotoGP</t>
  </si>
  <si>
    <t>La noticia la adelantó Motorsport.com el 28 de mayo, pero la confirmación oficial llegó este domingo, en Misano, inmediatamente después de la carrera de....</t>
  </si>
  <si>
    <t>The riders see the departure of Repsol as a great loss for MotoGP</t>
  </si>
  <si>
    <t>The news was announced by Motorsport.com on May 28, but the official confirmation came this Sunday, in Misano, immediately after the race of...</t>
  </si>
  <si>
    <t>Negative as it emphasizes the significance of the split.</t>
  </si>
  <si>
    <t>pérdida</t>
  </si>
  <si>
    <t>Negative: Industry impact.</t>
  </si>
  <si>
    <t>Negativo: Impacto en la industria.</t>
  </si>
  <si>
    <r>
      <rPr>
        <rFont val="Arial, sans-serif"/>
        <color rgb="FF1155CC"/>
        <sz val="9.0"/>
        <u/>
      </rPr>
      <t>ABC</t>
    </r>
    <r>
      <rPr>
        <rFont val="Arial, sans-serif"/>
        <color rgb="FF1155CC"/>
        <sz val="15.0"/>
        <u/>
      </rPr>
      <t>Cepsa abre otro frente en la guerra de los gases verdes con Repsol y Naturgy y empieza a vender biometano</t>
    </r>
    <r>
      <rPr>
        <rFont val="Arial, sans-serif"/>
        <color rgb="FF1155CC"/>
        <sz val="11.0"/>
        <u/>
      </rPr>
      <t>La compañía ha conseguido la certificación para poder operar como 'trader' en el mercado de este gas.</t>
    </r>
    <r>
      <rPr>
        <rFont val="Arial, sans-serif"/>
        <color rgb="FF1155CC"/>
        <sz val="12.0"/>
        <u/>
      </rPr>
      <t>.</t>
    </r>
    <r>
      <rPr>
        <rFont val="Arial, sans-serif"/>
        <color rgb="FF1155CC"/>
        <sz val="11.0"/>
        <u/>
      </rPr>
      <t>9 sept 2024</t>
    </r>
  </si>
  <si>
    <t>Cepsa abre otro frente en la guerra de los gases verdes con Repsol y Naturgy y empieza a vender biometano</t>
  </si>
  <si>
    <t>La compañía ha conseguido la certificación para poder operar como 'trader' en el mercado de este gas.</t>
  </si>
  <si>
    <t>Cepsa opens another front in the green gas war with Repsol and Naturgy and begins to sell biomethane</t>
  </si>
  <si>
    <t>The company has achieved certification to be able to operate as a 'trader' in the market for this gas.</t>
  </si>
  <si>
    <t>Negative as it highlights competition for Repsol in the green gas market.</t>
  </si>
  <si>
    <t>guerra</t>
  </si>
  <si>
    <t>Negative: Market competition.</t>
  </si>
  <si>
    <t>Negativo: Competencia en el mercado.</t>
  </si>
  <si>
    <r>
      <rPr>
        <rFont val="Arial, sans-serif"/>
        <color rgb="FF1155CC"/>
        <sz val="9.0"/>
        <u/>
      </rPr>
      <t>Guía Repsol</t>
    </r>
    <r>
      <rPr>
        <rFont val="Arial, sans-serif"/>
        <color rgb="FF1155CC"/>
        <sz val="15.0"/>
        <u/>
      </rPr>
      <t>Casa del Vino de Tenerife: donde se rinde tributo a los 'Tenerife wines'</t>
    </r>
    <r>
      <rPr>
        <rFont val="Arial, sans-serif"/>
        <color rgb="FF1155CC"/>
        <sz val="11.0"/>
        <u/>
      </rPr>
      <t>La Casa del Vino de Tenerife te invita a un viaje a través de sus vinos. Disfruta de catas, visitas guiadas y una experiencia inolvidable en una hacienda...</t>
    </r>
    <r>
      <rPr>
        <rFont val="Arial, sans-serif"/>
        <color rgb="FF1155CC"/>
        <sz val="12.0"/>
        <u/>
      </rPr>
      <t>.</t>
    </r>
    <r>
      <rPr>
        <rFont val="Arial, sans-serif"/>
        <color rgb="FF1155CC"/>
        <sz val="11.0"/>
        <u/>
      </rPr>
      <t>9 sept 2024</t>
    </r>
  </si>
  <si>
    <t>Casa del Vino de Tenerife: donde se rinde tributo a los 'Tenerife wines'</t>
  </si>
  <si>
    <t>La Casa del Vino de Tenerife te invita a un viaje a través de sus vinos. Disfruta de catas, visitas guiadas y una experiencia inolvidable en una hacienda....</t>
  </si>
  <si>
    <t>Casa del Vino de Tenerife: where tribute is paid to the 'Tenerife wines'</t>
  </si>
  <si>
    <t>The Tenerife Wine House invites you on a journey through its wines. Enjoy tastings, guided tours and an unforgettable experience at a hacienda....</t>
  </si>
  <si>
    <r>
      <rPr>
        <rFont val="Arial, sans-serif"/>
        <color rgb="FF1155CC"/>
        <sz val="9.0"/>
        <u/>
      </rPr>
      <t>MOTOSAN</t>
    </r>
    <r>
      <rPr>
        <rFont val="Arial, sans-serif"/>
        <color rgb="FF1155CC"/>
        <sz val="15.0"/>
        <u/>
      </rPr>
      <t>Pol Espargaró: "Es triste, Repsol ha llevado a pilotos como Marc Márquez a lo más alto"</t>
    </r>
    <r>
      <rPr>
        <rFont val="Arial, sans-serif"/>
        <color rgb="FF1155CC"/>
        <sz val="11.0"/>
        <u/>
      </rPr>
      <t>Pol Espargaró cuenta cómo vivió la carrera del domingo en Misano. Pol Espargaró ha estado el pasado fin de semana corriendo como wild card en Misano, cuya.</t>
    </r>
    <r>
      <rPr>
        <rFont val="Arial, sans-serif"/>
        <color rgb="FF1155CC"/>
        <sz val="12.0"/>
        <u/>
      </rPr>
      <t>.</t>
    </r>
    <r>
      <rPr>
        <rFont val="Arial, sans-serif"/>
        <color rgb="FF1155CC"/>
        <sz val="11.0"/>
        <u/>
      </rPr>
      <t>9 sept 2024</t>
    </r>
  </si>
  <si>
    <t>"Es triste, Repsol ha llevado a pilotos como Marc Márquez a lo más alto"</t>
  </si>
  <si>
    <t>Es triste, Repsol ha llevado a pilotos como Marc Márquez a lo más alto. Pol Espargaró cuenta cómo vivió la carrera del domingo en Misano. Pol Espargaró ha estado el pasado fin de semana corriendo como wild card en Misano.</t>
  </si>
  <si>
    <t>"It's sad, Repsol has taken drivers like Marc Márquez to the top"</t>
  </si>
  <si>
    <t>It's sad, Repsol has taken drivers like Marc Márquez to the top. Pol Espargaró tells how he experienced Sunday's race in Misano. Pol Espargaró was running as a wild card last weekend in Misano.</t>
  </si>
  <si>
    <r>
      <rPr>
        <rFont val="Arial, sans-serif"/>
        <color rgb="FF1155CC"/>
        <sz val="9.0"/>
        <u/>
      </rPr>
      <t>Mongabay</t>
    </r>
    <r>
      <rPr>
        <rFont val="Arial, sans-serif"/>
        <color rgb="FF1155CC"/>
        <sz val="15.0"/>
        <u/>
      </rPr>
      <t>Testimonios revelan las graves secuelas del derrame de petróleo de Repsol en el mar peruano | Cinco lecturas ambientales</t>
    </r>
    <r>
      <rPr>
        <rFont val="Arial, sans-serif"/>
        <color rgb="FF1155CC"/>
        <sz val="11.0"/>
        <u/>
      </rPr>
      <t>Viajamos a las zonas afectadas por el mayor derrame de petróleo registrado en el mar peruano para hablar con los pescadores y los testimonios son alarmantes...</t>
    </r>
    <r>
      <rPr>
        <rFont val="Arial, sans-serif"/>
        <color rgb="FF1155CC"/>
        <sz val="12.0"/>
        <u/>
      </rPr>
      <t>.</t>
    </r>
    <r>
      <rPr>
        <rFont val="Arial, sans-serif"/>
        <color rgb="FF1155CC"/>
        <sz val="11.0"/>
        <u/>
      </rPr>
      <t>9 sept 2024</t>
    </r>
  </si>
  <si>
    <t>Testimonios revelan las graves secuelas del derrame de petróleo de Repsol en el mar peruano</t>
  </si>
  <si>
    <t>Viajamos a las zonas afectadas por el mayor derrame de petróleo registrado en el mar peruano para hablar con los pescadores y los testimonios son alarmantes....</t>
  </si>
  <si>
    <t>Testimonies reveal the serious consequences of the Repsol oil spill in the Peruvian sea</t>
  </si>
  <si>
    <t>We traveled to the areas affected by the largest oil spill recorded in the Peruvian sea to talk to fishermen and the testimonies are alarming...</t>
  </si>
  <si>
    <t>Strongly negative due to the environmental and economic impact.</t>
  </si>
  <si>
    <t>Negative: Environmental damage.</t>
  </si>
  <si>
    <t>Negativo: Daño ambiental.</t>
  </si>
  <si>
    <r>
      <rPr>
        <rFont val="Arial, sans-serif"/>
        <color rgb="FF1155CC"/>
        <sz val="9.0"/>
        <u/>
      </rPr>
      <t>Repsol</t>
    </r>
    <r>
      <rPr>
        <rFont val="Arial, sans-serif"/>
        <color rgb="FF1155CC"/>
        <sz val="15.0"/>
        <u/>
      </rPr>
      <t>Elimina los malos olores de tu hogar con un purificador de aire</t>
    </r>
    <r>
      <rPr>
        <rFont val="Arial, sans-serif"/>
        <color rgb="FF1155CC"/>
        <sz val="11.0"/>
        <u/>
      </rPr>
      <t>Quieres eliminar los malos olores de tu hogar? En este post te contamos como utilizar tu purificador de aire para combatir los olores, ¡haz clic!</t>
    </r>
    <r>
      <rPr>
        <rFont val="Arial, sans-serif"/>
        <color rgb="FF1155CC"/>
        <sz val="12.0"/>
        <u/>
      </rPr>
      <t>.</t>
    </r>
    <r>
      <rPr>
        <rFont val="Arial, sans-serif"/>
        <color rgb="FF1155CC"/>
        <sz val="11.0"/>
        <u/>
      </rPr>
      <t>9 sept 2024</t>
    </r>
  </si>
  <si>
    <t>Elimina los malos olores de tu hogar con un purificador de aire</t>
  </si>
  <si>
    <t>Quieres eliminar los malos olores de tu hogar? En este post te contamos como utilizar tu purificador de aire para combatir los olores, ¡haz clic!</t>
  </si>
  <si>
    <t>Eliminate bad odors from your home with an air purifier</t>
  </si>
  <si>
    <t>Do you want to eliminate bad odors from your home? In this post we tell you how to use your air purifier to combat odors, click!</t>
  </si>
  <si>
    <t>Home</t>
  </si>
  <si>
    <r>
      <rPr>
        <rFont val="Arial, sans-serif"/>
        <color rgb="FF1155CC"/>
        <sz val="9.0"/>
        <u/>
      </rPr>
      <t>Infobae</t>
    </r>
    <r>
      <rPr>
        <rFont val="Arial, sans-serif"/>
        <color rgb="FF1155CC"/>
        <sz val="15.0"/>
        <u/>
      </rPr>
      <t>Derrame de petróleo de Repsol: A dos años del desastre, “los ánimos de los damnificados están por los suelos”</t>
    </r>
    <r>
      <rPr>
        <rFont val="Arial, sans-serif"/>
        <color rgb="FF1155CC"/>
        <sz val="11.0"/>
        <u/>
      </rPr>
      <t>Este lunes, aproximadamente 4.000 pescadores artesanales y trabajadores de las playas afectadas por el derrame de petróleo de Repsol, ocurrido el 15 de...</t>
    </r>
    <r>
      <rPr>
        <rFont val="Arial, sans-serif"/>
        <color rgb="FF1155CC"/>
        <sz val="12.0"/>
        <u/>
      </rPr>
      <t>.</t>
    </r>
    <r>
      <rPr>
        <rFont val="Arial, sans-serif"/>
        <color rgb="FF1155CC"/>
        <sz val="11.0"/>
        <u/>
      </rPr>
      <t>9 sept 2024</t>
    </r>
  </si>
  <si>
    <t>Derrame de petróleo de Repsol: A dos años del desastre, “los ánimos de los damnificados están por los suelos”</t>
  </si>
  <si>
    <t>A dos años del desastre, “los ánimos de los damnificados están por los suelos”</t>
  </si>
  <si>
    <t>Repsol oil spill: Two years after the disaster, “the spirits of the victims are at rock bottom”</t>
  </si>
  <si>
    <t>Two years after the disaster, “the spirits of the victims are at rock bottom”</t>
  </si>
  <si>
    <t>Strongly negative as it emphasizes ongoing distress among those affected.</t>
  </si>
  <si>
    <t>desastre, ánimos</t>
  </si>
  <si>
    <t>Negative: Long-term reputational harm.</t>
  </si>
  <si>
    <t>Negativo: Daño a la reputación a largo plazo.</t>
  </si>
  <si>
    <r>
      <rPr>
        <rFont val="Arial, sans-serif"/>
        <color rgb="FF1155CC"/>
        <sz val="9.0"/>
        <u/>
      </rPr>
      <t>El Español</t>
    </r>
    <r>
      <rPr>
        <rFont val="Arial, sans-serif"/>
        <color rgb="FF1155CC"/>
        <sz val="15.0"/>
        <u/>
      </rPr>
      <t>Este es el pueblo donde mejor se come en Castellón: cuatro restaurantes con gran tradición y sabor</t>
    </r>
    <r>
      <rPr>
        <rFont val="Arial, sans-serif"/>
        <color rgb="FF1155CC"/>
        <sz val="11.0"/>
        <u/>
      </rPr>
      <t>Este histórico municipio cuenta con establecimientos reconocidos por la Guía Repsol por el cuidado y la calidad de sus platos.</t>
    </r>
    <r>
      <rPr>
        <rFont val="Arial, sans-serif"/>
        <color rgb="FF1155CC"/>
        <sz val="12.0"/>
        <u/>
      </rPr>
      <t>.</t>
    </r>
    <r>
      <rPr>
        <rFont val="Arial, sans-serif"/>
        <color rgb="FF1155CC"/>
        <sz val="11.0"/>
        <u/>
      </rPr>
      <t>9 sept 2024</t>
    </r>
  </si>
  <si>
    <t>Este es el pueblo donde mejor se come en Castellón: cuatro restaurantes con gran tradición y sabor</t>
  </si>
  <si>
    <t>Este histórico municipio cuenta con establecimientos reconocidos por la Guía Repsol por el cuidado y la calidad de sus platos.</t>
  </si>
  <si>
    <t>This is the town where you eat the best in Castellón: four restaurants with great tradition and flavor</t>
  </si>
  <si>
    <t>This historic municipality has establishments recognized by the Repsol Guide for the care and quality of their dishes.</t>
  </si>
  <si>
    <r>
      <rPr>
        <rFont val="Arial, sans-serif"/>
        <color rgb="FF1155CC"/>
        <sz val="9.0"/>
        <u/>
      </rPr>
      <t>puntal.com.ar</t>
    </r>
    <r>
      <rPr>
        <rFont val="Arial, sans-serif"/>
        <color rgb="FF1155CC"/>
        <sz val="15.0"/>
        <u/>
      </rPr>
      <t>Ruptura de un acuerdo histórico: Repsol no renovará su acuerdo con Honda Racing en MotoGP</t>
    </r>
    <r>
      <rPr>
        <rFont val="Arial, sans-serif"/>
        <color rgb="FF1155CC"/>
        <sz val="11.0"/>
        <u/>
      </rPr>
      <t>Los caminos entre Repsol y Honda Racing Corporation (HRC) se separarán luego de más de 30 años, ya que la compañía anunció que no renovará su acuerdo...</t>
    </r>
    <r>
      <rPr>
        <rFont val="Arial, sans-serif"/>
        <color rgb="FF1155CC"/>
        <sz val="12.0"/>
        <u/>
      </rPr>
      <t>.</t>
    </r>
    <r>
      <rPr>
        <rFont val="Arial, sans-serif"/>
        <color rgb="FF1155CC"/>
        <sz val="11.0"/>
        <u/>
      </rPr>
      <t>9 sept 2024</t>
    </r>
  </si>
  <si>
    <t>puntal.com.ar</t>
  </si>
  <si>
    <t>Ruptura de un acuerdo histórico: Repsol no renovará su acuerdo con Honda Racing en MotoGP</t>
  </si>
  <si>
    <t>Los caminos entre Repsol y Honda Racing Corporation (HRC) se separarán luego de más de 30 años, ya que la compañía anunció que no renovará su acuerdo.</t>
  </si>
  <si>
    <t>Breakup of a historic agreement: Repsol will not renew its agreement with Honda Racing in MotoGP</t>
  </si>
  <si>
    <t>The paths between Repsol and Honda Racing Corporation (HRC) will part after more than 30 years, as the company announced that it will not renew its agreement.</t>
  </si>
  <si>
    <t>Negative as it marks the end of a longstanding partnership.</t>
  </si>
  <si>
    <t>ruptura</t>
  </si>
  <si>
    <t>Negative: Historic partnership end.</t>
  </si>
  <si>
    <r>
      <rPr>
        <rFont val="Arial, sans-serif"/>
        <color rgb="FF1155CC"/>
        <sz val="9.0"/>
        <u/>
      </rPr>
      <t>Canal N</t>
    </r>
    <r>
      <rPr>
        <rFont val="Arial, sans-serif"/>
        <color rgb="FF1155CC"/>
        <sz val="15.0"/>
        <u/>
      </rPr>
      <t>Repsol reiteró que cumplió pagos a 98% de afectados tras derrame</t>
    </r>
    <r>
      <rPr>
        <rFont val="Arial, sans-serif"/>
        <color rgb="FF1155CC"/>
        <sz val="11.0"/>
        <u/>
      </rPr>
      <t>Luego de una nueva protesta de pescadores y trabajadores de diversas playas afectadas por el derrame de petróleo de hace dos años, la empresa Repsol aseguró...</t>
    </r>
    <r>
      <rPr>
        <rFont val="Arial, sans-serif"/>
        <color rgb="FF1155CC"/>
        <sz val="12.0"/>
        <u/>
      </rPr>
      <t>.</t>
    </r>
    <r>
      <rPr>
        <rFont val="Arial, sans-serif"/>
        <color rgb="FF1155CC"/>
        <sz val="11.0"/>
        <u/>
      </rPr>
      <t>9 sept 2024</t>
    </r>
  </si>
  <si>
    <t>Repsol reiteró que cumplió pagos a 98% de afectados tras derrame</t>
  </si>
  <si>
    <t>Luego de una nueva protesta de pescadores y trabajadores de diversas playas afectadas por el derrame de petróleo de hace dos años, la empresa Repsol aseguró....</t>
  </si>
  <si>
    <t>Repsol reiterated that it made payments to 98% of those affected after the spill</t>
  </si>
  <si>
    <t>After a new protest by fishermen and workers from various beaches affected by the oil spill two years ago, the Repsol company assured...</t>
  </si>
  <si>
    <t>Negative as it highlights ongoing dissatisfaction despite compensation efforts.</t>
  </si>
  <si>
    <t>cumplió</t>
  </si>
  <si>
    <t>Slightly positive: Claims resolution but context negative.</t>
  </si>
  <si>
    <t>Ligeramente positivo: Resolución de reclamaciones pero contexto negativo.</t>
  </si>
  <si>
    <r>
      <rPr>
        <rFont val="Arial, sans-serif"/>
        <color rgb="FF1155CC"/>
        <sz val="9.0"/>
        <u/>
      </rPr>
      <t>20Minutos</t>
    </r>
    <r>
      <rPr>
        <rFont val="Arial, sans-serif"/>
        <color rgb="FF1155CC"/>
        <sz val="15.0"/>
        <u/>
      </rPr>
      <t>Repsol se desmarca de las 'low cost' con seis de cada diez gasolineras multienergía en tres años</t>
    </r>
    <r>
      <rPr>
        <rFont val="Arial, sans-serif"/>
        <color rgb="FF1155CC"/>
        <sz val="11.0"/>
        <u/>
      </rPr>
      <t>Un 60% de las estaciones de servicio de la compañía ofrecerá en 2027 combustibles renovables, puntos de recarga para coches eléctricos y AutoGas,...</t>
    </r>
    <r>
      <rPr>
        <rFont val="Arial, sans-serif"/>
        <color rgb="FF1155CC"/>
        <sz val="12.0"/>
        <u/>
      </rPr>
      <t>.</t>
    </r>
    <r>
      <rPr>
        <rFont val="Arial, sans-serif"/>
        <color rgb="FF1155CC"/>
        <sz val="11.0"/>
        <u/>
      </rPr>
      <t>10 sept 2024</t>
    </r>
  </si>
  <si>
    <t>Repsol se desmarca de las 'low cost' con seis de cada diez gasolineras multienergía en tres años</t>
  </si>
  <si>
    <t>Un 60% de las estaciones de servicio de la compañía ofrecerá en 2027 combustibles renovables, puntos de recarga para coches eléctricos y AutoGas.</t>
  </si>
  <si>
    <t>Repsol distances itself from the 'low cost' with six out of every ten multi-energy gas stations in three years</t>
  </si>
  <si>
    <t>By 2027, 60% of the company's service stations will offer renewable fuels, charging points for electric cars and AutoGas.</t>
  </si>
  <si>
    <t>Repsol fuel market, business strategy</t>
  </si>
  <si>
    <t>Mercado de combustibles Repsol, estrategia empresarial</t>
  </si>
  <si>
    <t>Positive as it presents Repsol’s shift toward sustainability.</t>
  </si>
  <si>
    <t>Positive: Innovation in energy transition.</t>
  </si>
  <si>
    <t>Positivo: Innovación en transición energética.</t>
  </si>
  <si>
    <r>
      <rPr>
        <rFont val="Arial, sans-serif"/>
        <color rgb="FF1155CC"/>
        <sz val="9.0"/>
        <u/>
      </rPr>
      <t>elDiario.es</t>
    </r>
    <r>
      <rPr>
        <rFont val="Arial, sans-serif"/>
        <color rgb="FF1155CC"/>
        <sz val="15.0"/>
        <u/>
      </rPr>
      <t>El Gobierno obliga a Repsol a 'retramitar' un parque eólico en la Sierra de Gistredo por su alto impacto</t>
    </r>
    <r>
      <rPr>
        <rFont val="Arial, sans-serif"/>
        <color rgb="FF1155CC"/>
        <sz val="11.0"/>
        <u/>
      </rPr>
      <t>El Gobierno, a través del Ministerio para la Transición Ecológica y el Reto Demográfico, obliga a Repsol a someter a la tramitación ambiental ordinaria su...</t>
    </r>
    <r>
      <rPr>
        <rFont val="Arial, sans-serif"/>
        <color rgb="FF1155CC"/>
        <sz val="12.0"/>
        <u/>
      </rPr>
      <t>.</t>
    </r>
    <r>
      <rPr>
        <rFont val="Arial, sans-serif"/>
        <color rgb="FF1155CC"/>
        <sz val="11.0"/>
        <u/>
      </rPr>
      <t>10 sept 2024</t>
    </r>
  </si>
  <si>
    <t>El Gobierno obliga a Repsol a 'retramitar' un parque eólico en la Sierra de Gistredo por su alto impacto</t>
  </si>
  <si>
    <t>El Gobierno, a través del Ministerio para la Transición Ecológica y el Reto Demográfico, obliga a Repsol a someter a la tramitación ambiental ordinaria su....</t>
  </si>
  <si>
    <t>The Government forces Repsol to 'reprocess' a wind farm in the Sierra de Gistredo due to its high impact</t>
  </si>
  <si>
    <t>The Government, through the Ministry for the Ecological Transition and the Demographic Challenge, obliges Repsol to submit its...</t>
  </si>
  <si>
    <t>Repsol renewable energy, business challenges</t>
  </si>
  <si>
    <t>Repsol energías renovables, retos empresariales</t>
  </si>
  <si>
    <t>Negative as it suggests regulatory challenges for Repsol's projects.</t>
  </si>
  <si>
    <t>obliga, impacto</t>
  </si>
  <si>
    <t>Negative: Regulatory hurdle for projects.</t>
  </si>
  <si>
    <t>Negativo: Obstáculo regulatorio para los proyectos.</t>
  </si>
  <si>
    <r>
      <rPr>
        <rFont val="Arial, sans-serif"/>
        <color rgb="FF1155CC"/>
        <sz val="9.0"/>
        <u/>
      </rPr>
      <t>La Opinión de Málaga</t>
    </r>
    <r>
      <rPr>
        <rFont val="Arial, sans-serif"/>
        <color rgb="FF1155CC"/>
        <sz val="15.0"/>
        <u/>
      </rPr>
      <t>Bosque Urbano Málaga aspira a que el Ministerio frene las torres de Repsol por falta de acceso</t>
    </r>
    <r>
      <rPr>
        <rFont val="Arial, sans-serif"/>
        <color rgb="FF1155CC"/>
        <sz val="11.0"/>
        <u/>
      </rPr>
      <t>La plataforma ciudadana advierte que la conexión del bulevar Adolfo Suárez y la Ronda Oeste que pide el Ayuntamiento sólo busca favorecer las obras.</t>
    </r>
    <r>
      <rPr>
        <rFont val="Arial, sans-serif"/>
        <color rgb="FF1155CC"/>
        <sz val="12.0"/>
        <u/>
      </rPr>
      <t>.</t>
    </r>
    <r>
      <rPr>
        <rFont val="Arial, sans-serif"/>
        <color rgb="FF1155CC"/>
        <sz val="11.0"/>
        <u/>
      </rPr>
      <t>10 sept 2024</t>
    </r>
  </si>
  <si>
    <t>Bosque Urbano Málaga aspira a que el Ministerio frene las torres de Repsol por falta de acceso</t>
  </si>
  <si>
    <t>La plataforma ciudadana advierte que la conexión del bulevar Adolfo Suárez y la Ronda Oeste que pide el Ayuntamiento sólo busca favorecer las obras.</t>
  </si>
  <si>
    <t>Málaga Urban Forest hopes that the Ministry stops the Repsol towers due to lack of access</t>
  </si>
  <si>
    <t>The citizen platform warns that the connection of Adolfo Suárez Boulevard and the West Ring Road requested by the City Council only seeks to favor the works.</t>
  </si>
  <si>
    <t>Negative as it signals opposition to Repsol's infrastructure projects.</t>
  </si>
  <si>
    <t>frenar, falta</t>
  </si>
  <si>
    <t>Negative due to opposition to Repsol's construction plans.</t>
  </si>
  <si>
    <t>Negativo por oposición a los planes de construcción de Repsol.</t>
  </si>
  <si>
    <r>
      <rPr>
        <rFont val="Arial, sans-serif"/>
        <color rgb="FF1155CC"/>
        <sz val="9.0"/>
        <u/>
      </rPr>
      <t>SoyMotero</t>
    </r>
    <r>
      <rPr>
        <rFont val="Arial, sans-serif"/>
        <color rgb="FF1155CC"/>
        <sz val="15.0"/>
        <u/>
      </rPr>
      <t>Repsol romperá definitivamente con Honda HRC a finales de este 2024</t>
    </r>
    <r>
      <rPr>
        <rFont val="Arial, sans-serif"/>
        <color rgb="FF1155CC"/>
        <sz val="11.0"/>
        <u/>
      </rPr>
      <t>Crónica de una ruptura anunciada: Tras cerca de 3 décadas juntos y habiendo conseguido ser la unión más exitosa de la historia en el Campeonato de MotoGP,...</t>
    </r>
    <r>
      <rPr>
        <rFont val="Arial, sans-serif"/>
        <color rgb="FF1155CC"/>
        <sz val="12.0"/>
        <u/>
      </rPr>
      <t>.</t>
    </r>
    <r>
      <rPr>
        <rFont val="Arial, sans-serif"/>
        <color rgb="FF1155CC"/>
        <sz val="11.0"/>
        <u/>
      </rPr>
      <t>10 sept 2024</t>
    </r>
  </si>
  <si>
    <t>Repsol romperá definitivamente con Honda HRC a finales de este 2024</t>
  </si>
  <si>
    <t>Tras cerca de 3 décadas juntos y habiendo conseguido ser la unión más exitosa de la historia en el Campeonato de MotoGP,....</t>
  </si>
  <si>
    <t>Repsol will definitively break with Honda HRC at the end of 2024</t>
  </si>
  <si>
    <t>After nearly 3 decades together and having managed to be the most successful union in history in the MotoGP Championship,...</t>
  </si>
  <si>
    <t>Negative as it marks the end of an iconic partnership.</t>
  </si>
  <si>
    <t>Negative sentiment from termination of a long-term partnership.</t>
  </si>
  <si>
    <t>Sentimiento negativo por la terminación de una asociación a largo plazo.</t>
  </si>
  <si>
    <r>
      <rPr>
        <rFont val="Arial, sans-serif"/>
        <color rgb="FF1155CC"/>
        <sz val="9.0"/>
        <u/>
      </rPr>
      <t>Business Insider España</t>
    </r>
    <r>
      <rPr>
        <rFont val="Arial, sans-serif"/>
        <color rgb="FF1155CC"/>
        <sz val="15.0"/>
        <u/>
      </rPr>
      <t>El nuevo reto de MasOrange: conseguir 600.000 clientes vendiendo luz y gas bajo la marca Orange</t>
    </r>
    <r>
      <rPr>
        <rFont val="Arial, sans-serif"/>
        <color rgb="FF1155CC"/>
        <sz val="11.0"/>
        <u/>
      </rPr>
      <t>Masorange va a comercializar servicios de luz y gas bajo la marca Orange y espera conseguir 600.000 clientes, con lo que solo la superaría Repsol.</t>
    </r>
    <r>
      <rPr>
        <rFont val="Arial, sans-serif"/>
        <color rgb="FF1155CC"/>
        <sz val="12.0"/>
        <u/>
      </rPr>
      <t>.</t>
    </r>
    <r>
      <rPr>
        <rFont val="Arial, sans-serif"/>
        <color rgb="FF1155CC"/>
        <sz val="11.0"/>
        <u/>
      </rPr>
      <t>10 sept 2024</t>
    </r>
  </si>
  <si>
    <t>El nuevo reto de MasOrange: conseguir 600.000 clientes vendiendo luz y gas bajo la marca Orange</t>
  </si>
  <si>
    <t>Masorange va a comercializar servicios de luz y gas bajo la marca Orange y espera conseguir 600.000 clientes, con lo que solo la superaría Repsol.</t>
  </si>
  <si>
    <t>MasOrange's new challenge: get 600,000 customers selling electricity and gas under the Orange brand</t>
  </si>
  <si>
    <t>Masorange is going to market electricity and gas services under the Orange brand and hopes to gain 600,000 customers, which would only be surpassed by Repsol.</t>
  </si>
  <si>
    <r>
      <rPr>
        <rFont val="Arial, sans-serif"/>
        <color rgb="FF1155CC"/>
        <sz val="9.0"/>
        <u/>
      </rPr>
      <t>20Minutos</t>
    </r>
    <r>
      <rPr>
        <rFont val="Arial, sans-serif"/>
        <color rgb="FF1155CC"/>
        <sz val="15.0"/>
        <u/>
      </rPr>
      <t>El restaurante de carretera que recomienda la Guía Repsol y está especializado en arroz a la leña</t>
    </r>
    <r>
      <rPr>
        <rFont val="Arial, sans-serif"/>
        <color rgb="FF1155CC"/>
        <sz val="11.0"/>
        <u/>
      </rPr>
      <t>Se trata de un negocio familiar que está situado en Chiva (Valencia) y lleva años elaborando los mejores arroces y paellas.</t>
    </r>
    <r>
      <rPr>
        <rFont val="Arial, sans-serif"/>
        <color rgb="FF1155CC"/>
        <sz val="12.0"/>
        <u/>
      </rPr>
      <t>.</t>
    </r>
    <r>
      <rPr>
        <rFont val="Arial, sans-serif"/>
        <color rgb="FF1155CC"/>
        <sz val="11.0"/>
        <u/>
      </rPr>
      <t>10 sept 2024</t>
    </r>
  </si>
  <si>
    <t>El restaurante de carretera que recomienda la Guía Repsol y está especializado en arroz a la leña</t>
  </si>
  <si>
    <t>Se trata de un negocio familiar que está situado en Chiva (Valencia) y lleva años elaborando los mejores arroces y paellas.</t>
  </si>
  <si>
    <t>The roadside restaurant recommended by the Repsol Guide and specializing in wood-fired rice</t>
  </si>
  <si>
    <t>It is a family business located in Chiva (Valencia) and has been making the best rice and paellas for years.</t>
  </si>
  <si>
    <r>
      <rPr>
        <rFont val="Arial, sans-serif"/>
        <color rgb="FF1155CC"/>
        <sz val="9.0"/>
        <u/>
      </rPr>
      <t>CooperAcción</t>
    </r>
    <r>
      <rPr>
        <rFont val="Arial, sans-serif"/>
        <color rgb="FF1155CC"/>
        <sz val="15.0"/>
        <u/>
      </rPr>
      <t>Pescadores afectados por derrame de Repsol piden ser parte de proceso de rehabilitación</t>
    </r>
    <r>
      <rPr>
        <rFont val="Arial, sans-serif"/>
        <color rgb="FF1155CC"/>
        <sz val="11.0"/>
        <u/>
      </rPr>
      <t>El 5 de setiembre, la Federación de pescadores artesanales ancestrales y tradicionales de los distritos de Ventanilla, Santa Rosa, Ancón,...</t>
    </r>
    <r>
      <rPr>
        <rFont val="Arial, sans-serif"/>
        <color rgb="FF1155CC"/>
        <sz val="12.0"/>
        <u/>
      </rPr>
      <t>.</t>
    </r>
    <r>
      <rPr>
        <rFont val="Arial, sans-serif"/>
        <color rgb="FF1155CC"/>
        <sz val="11.0"/>
        <u/>
      </rPr>
      <t>10 sept 2024</t>
    </r>
  </si>
  <si>
    <t>Pescadores afectados por derrame de Repsol piden ser parte de proceso de rehabilitación</t>
  </si>
  <si>
    <t>Pescadores afectados por derrame de Repsol piden ser parte de proceso de rehabilitación.</t>
  </si>
  <si>
    <t>Fishermen affected by the Repsol spill ask to be part of the rehabilitation process</t>
  </si>
  <si>
    <t>Fishermen affected by the Repsol spill ask to be part of the rehabilitation process.</t>
  </si>
  <si>
    <t>Strongly negative as it highlights ongoing issues related to the spill.</t>
  </si>
  <si>
    <t>afectados, derrame</t>
  </si>
  <si>
    <t>Strongly negative due to environmental damage and protests.</t>
  </si>
  <si>
    <t>Fuertemente negativo debido a daños ambientales y protestas.</t>
  </si>
  <si>
    <r>
      <rPr>
        <rFont val="Arial, sans-serif"/>
        <color rgb="FF1155CC"/>
        <sz val="9.0"/>
        <u/>
      </rPr>
      <t>La República</t>
    </r>
    <r>
      <rPr>
        <rFont val="Arial, sans-serif"/>
        <color rgb="FF1155CC"/>
        <sz val="15.0"/>
        <u/>
      </rPr>
      <t>Pescador denuncia que fue agredido por la PNP durante protesta por derrame de petróleo en Ventanilla</t>
    </r>
    <r>
      <rPr>
        <rFont val="Arial, sans-serif"/>
        <color rgb="FF1155CC"/>
        <sz val="11.0"/>
        <u/>
      </rPr>
      <t>Más de 4.000 pescadores y trabajadores comenzaron un paro indefinido frente a la refinería La Pampilla, exigiendo compensaciones tras el derrame de petróleo...</t>
    </r>
    <r>
      <rPr>
        <rFont val="Arial, sans-serif"/>
        <color rgb="FF1155CC"/>
        <sz val="12.0"/>
        <u/>
      </rPr>
      <t>.</t>
    </r>
    <r>
      <rPr>
        <rFont val="Arial, sans-serif"/>
        <color rgb="FF1155CC"/>
        <sz val="11.0"/>
        <u/>
      </rPr>
      <t>10 sept 2024</t>
    </r>
  </si>
  <si>
    <t>Pescador denuncia que fue agredido por la PNP durante protesta por derrame de petróleo en Ventanilla</t>
  </si>
  <si>
    <t>Más de 4.000 pescadores y trabajadores comenzaron un paro indefinido frente a la refinería La Pampilla, exigiendo compensaciones tras el derrame de petróleo.</t>
  </si>
  <si>
    <t>Fisherman reports that he was attacked by the PNP during an oil spill protest in Ventanilla</t>
  </si>
  <si>
    <t>More than 4,000 fishermen and workers began an indefinite strike in front of the La Pampilla refinery, demanding compensation after the oil spill.</t>
  </si>
  <si>
    <t>Strongly negative due to the reported conflict and protests.</t>
  </si>
  <si>
    <t>agredido, protesta</t>
  </si>
  <si>
    <t>Negative sentiment from violence linked to Repsol's spill.</t>
  </si>
  <si>
    <t>Sentimiento negativo por la violencia vinculada al vertido de Repsol.</t>
  </si>
  <si>
    <r>
      <rPr>
        <rFont val="Arial, sans-serif"/>
        <color rgb="FF1155CC"/>
        <sz val="9.0"/>
        <u/>
      </rPr>
      <t>infoLibre</t>
    </r>
    <r>
      <rPr>
        <rFont val="Arial, sans-serif"/>
        <color rgb="FF1155CC"/>
        <sz val="15.0"/>
        <u/>
      </rPr>
      <t>La crisis en Venezuela amenaza la importación de crudo de Repsol en su mejor momento</t>
    </r>
    <r>
      <rPr>
        <rFont val="Arial, sans-serif"/>
        <color rgb="FF1155CC"/>
        <sz val="11.0"/>
        <u/>
      </rPr>
      <t>En la primera mitad del año España importó la mayor cantidad de petróleo venezolano en nueve años.</t>
    </r>
    <r>
      <rPr>
        <rFont val="Arial, sans-serif"/>
        <color rgb="FF1155CC"/>
        <sz val="12.0"/>
        <u/>
      </rPr>
      <t>.</t>
    </r>
    <r>
      <rPr>
        <rFont val="Arial, sans-serif"/>
        <color rgb="FF1155CC"/>
        <sz val="11.0"/>
        <u/>
      </rPr>
      <t>11 sept 2024</t>
    </r>
  </si>
  <si>
    <t>La crisis en Venezuela amenaza la importación de crudo de Repsol en su mejor momento</t>
  </si>
  <si>
    <t>La crisis en Venezuela amenaza la importación de crudo de Repsol en su mejor momento.</t>
  </si>
  <si>
    <t>The crisis in Venezuela threatens Repsol's crude oil import at its best</t>
  </si>
  <si>
    <t>The crisis in Venezuela threatens Repsol's crude oil import at its best.</t>
  </si>
  <si>
    <t>Negative as it indicates geopolitical risks for Repsol.</t>
  </si>
  <si>
    <t>amenaza, crisis</t>
  </si>
  <si>
    <t>Negative due to operational risks in Venezuela.</t>
  </si>
  <si>
    <t>Negativo por riesgos operacionales en Venezuela.</t>
  </si>
  <si>
    <r>
      <rPr>
        <rFont val="Arial, sans-serif"/>
        <color rgb="FF1155CC"/>
        <sz val="9.0"/>
        <u/>
      </rPr>
      <t>Guía Repsol</t>
    </r>
    <r>
      <rPr>
        <rFont val="Arial, sans-serif"/>
        <color rgb="FF1155CC"/>
        <sz val="15.0"/>
        <u/>
      </rPr>
      <t>3 recetas de otoño con productos de temporada</t>
    </r>
    <r>
      <rPr>
        <rFont val="Arial, sans-serif"/>
        <color rgb="FF1155CC"/>
        <sz val="11.0"/>
        <u/>
      </rPr>
      <t>Descubre esta propuesta de recetas de otoño elaboradas con productos de temporada: receta de pimientos rellenos, receta de tarta de calabaza y de ensalada...</t>
    </r>
    <r>
      <rPr>
        <rFont val="Arial, sans-serif"/>
        <color rgb="FF1155CC"/>
        <sz val="12.0"/>
        <u/>
      </rPr>
      <t>.</t>
    </r>
    <r>
      <rPr>
        <rFont val="Arial, sans-serif"/>
        <color rgb="FF1155CC"/>
        <sz val="11.0"/>
        <u/>
      </rPr>
      <t>11 sept 2024</t>
    </r>
  </si>
  <si>
    <t>3 recetas de otoño con productos de temporada</t>
  </si>
  <si>
    <t>Descubre esta propuesta de recetas de otoño elaboradas con productos de temporada: receta de pimientos rellenos, receta de tarta de calabaza y de ensalada....</t>
  </si>
  <si>
    <t>3 autumn recipes with seasonal products</t>
  </si>
  <si>
    <t>Discover this proposal for autumn recipes made with seasonal products: recipe for stuffed peppers, recipe for pumpkin pie and salad...</t>
  </si>
  <si>
    <r>
      <rPr>
        <rFont val="Arial, sans-serif"/>
        <color rgb="FF1155CC"/>
        <sz val="9.0"/>
        <u/>
      </rPr>
      <t>Motorpasion Moto</t>
    </r>
    <r>
      <rPr>
        <rFont val="Arial, sans-serif"/>
        <color rgb="FF1155CC"/>
        <sz val="15.0"/>
        <u/>
      </rPr>
      <t>Carreras en blanco, cero podios y menos puntos que los probadores de KTM. El triste adiós del Repsol Honda, el peor equipo de MotoGP</t>
    </r>
    <r>
      <rPr>
        <rFont val="Arial, sans-serif"/>
        <color rgb="FF1155CC"/>
        <sz val="11.0"/>
        <u/>
      </rPr>
      <t>Durante el Gran Premio de San Marino se hizo oficial lo que era un secreto a voces, por más desmentidos que llegasen. Repsol y Honda se han separado, y no.</t>
    </r>
    <r>
      <rPr>
        <rFont val="Arial, sans-serif"/>
        <color rgb="FF1155CC"/>
        <sz val="12.0"/>
        <u/>
      </rPr>
      <t>.</t>
    </r>
    <r>
      <rPr>
        <rFont val="Arial, sans-serif"/>
        <color rgb="FF1155CC"/>
        <sz val="11.0"/>
        <u/>
      </rPr>
      <t>11 sept 2024</t>
    </r>
  </si>
  <si>
    <t>Motorpasion</t>
  </si>
  <si>
    <t>Cero podios y menos puntos que los probadores de KTM. El triste adiós del Repsol Honda, el peor equipo de MotoGP</t>
  </si>
  <si>
    <t>Cero podios y menos puntos que los probadores de KTM. El triste adiós del Repsol Honda, el peor equipo de MotoGP.</t>
  </si>
  <si>
    <t>Zero podiums and fewer points than the KTM testers. The sad goodbye of Repsol Honda, the worst MotoGP team</t>
  </si>
  <si>
    <t>Zero podiums and fewer points than the KTM testers. The sad goodbye from Repsol Honda, the worst MotoGP team.</t>
  </si>
  <si>
    <t>Negative as it emphasizes Repsol Honda’s poor performance.</t>
  </si>
  <si>
    <t>triste, peor</t>
  </si>
  <si>
    <t>Negative sentiment from poor performance in MotoGP.</t>
  </si>
  <si>
    <t>Sentimiento negativo por el mal desempeño en MotoGP.</t>
  </si>
  <si>
    <r>
      <rPr>
        <rFont val="Arial, sans-serif"/>
        <color rgb="FF1155CC"/>
        <sz val="9.0"/>
        <u/>
      </rPr>
      <t>PanAm Post</t>
    </r>
    <r>
      <rPr>
        <rFont val="Arial, sans-serif"/>
        <color rgb="FF1155CC"/>
        <sz val="15.0"/>
        <u/>
      </rPr>
      <t>Régimen de Maduro empuja a Venezuela a su máximo aislamiento</t>
    </r>
    <r>
      <rPr>
        <rFont val="Arial, sans-serif"/>
        <color rgb="FF1155CC"/>
        <sz val="11.0"/>
        <u/>
      </rPr>
      <t>El anuncio de la ruptura total de relaciones con España se da en respuesta al reconocimiento a Edmundo González como presidente electo.</t>
    </r>
    <r>
      <rPr>
        <rFont val="Arial, sans-serif"/>
        <color rgb="FF1155CC"/>
        <sz val="12.0"/>
        <u/>
      </rPr>
      <t>.</t>
    </r>
    <r>
      <rPr>
        <rFont val="Arial, sans-serif"/>
        <color rgb="FF1155CC"/>
        <sz val="11.0"/>
        <u/>
      </rPr>
      <t>11 sept 2024</t>
    </r>
  </si>
  <si>
    <t>PanAm Post</t>
  </si>
  <si>
    <t>Régimen de Maduro empuja a Venezuela a su máximo aislamiento</t>
  </si>
  <si>
    <t>El anuncio de la ruptura total de relaciones con España se da en respuesta al reconocimiento a Edmundo González como presidente electo.</t>
  </si>
  <si>
    <t>Maduro regime pushes Venezuela to its maximum isolation</t>
  </si>
  <si>
    <t>The announcement of the total severance of relations with Spain comes in response to the recognition of Edmundo González as president-elect.</t>
  </si>
  <si>
    <r>
      <rPr>
        <rFont val="Arial, sans-serif"/>
        <color rgb="FF1155CC"/>
        <sz val="9.0"/>
        <u/>
      </rPr>
      <t>Guía Repsol</t>
    </r>
    <r>
      <rPr>
        <rFont val="Arial, sans-serif"/>
        <color rgb="FF1155CC"/>
        <sz val="15.0"/>
        <u/>
      </rPr>
      <t>Excursión al embalse de Ullibarri-Gamboa (Álava)</t>
    </r>
    <r>
      <rPr>
        <rFont val="Arial, sans-serif"/>
        <color rgb="FF1155CC"/>
        <sz val="11.0"/>
        <u/>
      </rPr>
      <t>Adéntrate en el Parque Provincial de Gaio, el Parque ornitológico de Mendixur y el Parque Pronvincial de Landa en tu recorrido por el embalse de Ullibarri-...</t>
    </r>
    <r>
      <rPr>
        <rFont val="Arial, sans-serif"/>
        <color rgb="FF1155CC"/>
        <sz val="12.0"/>
        <u/>
      </rPr>
      <t>.</t>
    </r>
    <r>
      <rPr>
        <rFont val="Arial, sans-serif"/>
        <color rgb="FF1155CC"/>
        <sz val="11.0"/>
        <u/>
      </rPr>
      <t>11 sept 2024</t>
    </r>
  </si>
  <si>
    <t>Excursión al embalse de Ullibarri-Gamboa (Álava)</t>
  </si>
  <si>
    <t>Adéntrate en el Parque Provincial de Gaio, el Parque ornitológico de Mendixur y el Parque Pronvincial de Landa en tu recorrido por el embalse de Ullibarri-....</t>
  </si>
  <si>
    <t>Excursion to the Ullibarri-Gamboa reservoir (Álava)</t>
  </si>
  <si>
    <t>Enter the Gaio Provincial Park, the Mendixur Ornithological Park and the Landa Provincial Park on your tour of the Ullibarri reservoir....</t>
  </si>
  <si>
    <r>
      <rPr>
        <rFont val="Arial, sans-serif"/>
        <color rgb="FF1155CC"/>
        <sz val="9.0"/>
        <u/>
      </rPr>
      <t>Guía Repsol</t>
    </r>
    <r>
      <rPr>
        <rFont val="Arial, sans-serif"/>
        <color rgb="FF1155CC"/>
        <sz val="15.0"/>
        <u/>
      </rPr>
      <t>Escenarios de RAPA (temporada 3): Un último caso en Ferrolterra</t>
    </r>
    <r>
      <rPr>
        <rFont val="Arial, sans-serif"/>
        <color rgb="FF1155CC"/>
        <sz val="11.0"/>
        <u/>
      </rPr>
      <t>Descubre los escenarios que acogen la tercera temporada de la serie RAPA. La belleza de Galicia plasmada en esta serie de Movistar Plus.</t>
    </r>
    <r>
      <rPr>
        <rFont val="Arial, sans-serif"/>
        <color rgb="FF1155CC"/>
        <sz val="12.0"/>
        <u/>
      </rPr>
      <t>.</t>
    </r>
    <r>
      <rPr>
        <rFont val="Arial, sans-serif"/>
        <color rgb="FF1155CC"/>
        <sz val="11.0"/>
        <u/>
      </rPr>
      <t>11 sept 2024</t>
    </r>
  </si>
  <si>
    <t>Escenarios de RAPA (temporada 3): Un último caso en Ferrolterra</t>
  </si>
  <si>
    <t>Descubre los escenarios que acogen la tercera temporada de la serie RAPA. La belleza de Galicia plasmada en esta serie de Movistar Plus.</t>
  </si>
  <si>
    <t>RAPA scenarios (season 3): One last case in Ferrolterra</t>
  </si>
  <si>
    <t>Discover the settings that host the third season of the RAPA series. The beauty of Galicia captured in this Movistar Plus series.</t>
  </si>
  <si>
    <r>
      <rPr>
        <rFont val="Arial, sans-serif"/>
        <color rgb="FF1155CC"/>
        <sz val="9.0"/>
        <u/>
      </rPr>
      <t>Radio Intereconomía</t>
    </r>
    <r>
      <rPr>
        <rFont val="Arial, sans-serif"/>
        <color rgb="FF1155CC"/>
        <sz val="15.0"/>
        <u/>
      </rPr>
      <t>Berenberg baja la valoración de Repsol a 13,50 euros por la caída del petróleo</t>
    </r>
    <r>
      <rPr>
        <rFont val="Arial, sans-serif"/>
        <color rgb="FF1155CC"/>
        <sz val="11.0"/>
        <u/>
      </rPr>
      <t>Los analistas de Berenberg han ajustado a la baja el precio objetivo de Repsol, reduciéndolo a 13,50 euros por acción.</t>
    </r>
    <r>
      <rPr>
        <rFont val="Arial, sans-serif"/>
        <color rgb="FF1155CC"/>
        <sz val="12.0"/>
        <u/>
      </rPr>
      <t>.</t>
    </r>
    <r>
      <rPr>
        <rFont val="Arial, sans-serif"/>
        <color rgb="FF1155CC"/>
        <sz val="11.0"/>
        <u/>
      </rPr>
      <t>12 sept 2024</t>
    </r>
  </si>
  <si>
    <t>Berenberg baja la valoración de Repsol a 13,50 euros por la caída del petróleo</t>
  </si>
  <si>
    <t>Los analistas de Berenberg han ajustado a la baja el precio objetivo de Repsol, reduciéndolo a 13,50 euros por acción.</t>
  </si>
  <si>
    <t>Berenberg lowers Repsol's valuation to 13.50 euros due to the fall in oil</t>
  </si>
  <si>
    <t>Berenberg analysts have adjusted Repsol's target price downwards, reducing it to 13.50 euros per share.</t>
  </si>
  <si>
    <t>Negative as it reflects a lower valuation for Repsol shares.</t>
  </si>
  <si>
    <t>baja, caída</t>
  </si>
  <si>
    <t>Negative due to financial downgrade.</t>
  </si>
  <si>
    <t>Negativo por rebaja financiera.</t>
  </si>
  <si>
    <r>
      <rPr>
        <rFont val="Arial, sans-serif"/>
        <color rgb="FF1155CC"/>
        <sz val="9.0"/>
        <u/>
      </rPr>
      <t>Estrategias de Inversión</t>
    </r>
    <r>
      <rPr>
        <rFont val="Arial, sans-serif"/>
        <color rgb="FF1155CC"/>
        <sz val="15.0"/>
        <u/>
      </rPr>
      <t>La petrolera Repsol intenta despegarse de sus mínimos… pero Berenberg le recorta el potencial</t>
    </r>
    <r>
      <rPr>
        <rFont val="Arial, sans-serif"/>
        <color rgb="FF1155CC"/>
        <sz val="11.0"/>
        <u/>
      </rPr>
      <t>Los analistas de Berenberg recortan el precio objetivo de Repsol hasta los 13,50 euros por acción, frente a los 15,50 euros anteriores. Supone un potencial...</t>
    </r>
    <r>
      <rPr>
        <rFont val="Arial, sans-serif"/>
        <color rgb="FF1155CC"/>
        <sz val="12.0"/>
        <u/>
      </rPr>
      <t>.</t>
    </r>
    <r>
      <rPr>
        <rFont val="Arial, sans-serif"/>
        <color rgb="FF1155CC"/>
        <sz val="11.0"/>
        <u/>
      </rPr>
      <t>12 sept 2024</t>
    </r>
  </si>
  <si>
    <t>La petrolera Repsol intenta despegarse de sus mínimos… pero Berenberg le recorta el potencial</t>
  </si>
  <si>
    <t>Los analistas de Berenberg recortan el precio objetivo de Repsol hasta los 13,50 euros por acción, frente a los 15,50 euros anteriores. Supone un potencial....</t>
  </si>
  <si>
    <t>The oil company Repsol tries to detach itself from its lows... but Berenberg cuts its potential</t>
  </si>
  <si>
    <t>Berenberg analysts cut Repsol's target price to 13.50 euros per share, compared to the previous 15.50 euros. It has a potential...</t>
  </si>
  <si>
    <t>Negative as it highlights financial struggles.</t>
  </si>
  <si>
    <t>recorta</t>
  </si>
  <si>
    <t>Negative sentiment from analyst cuts.</t>
  </si>
  <si>
    <t>Sentimiento negativo por los recortes de analistas.</t>
  </si>
  <si>
    <r>
      <rPr>
        <rFont val="Arial, sans-serif"/>
        <color rgb="FF1155CC"/>
        <sz val="9.0"/>
        <u/>
      </rPr>
      <t>Mundo Deportivo</t>
    </r>
    <r>
      <rPr>
        <rFont val="Arial, sans-serif"/>
        <color rgb="FF1155CC"/>
        <sz val="15.0"/>
        <u/>
      </rPr>
      <t>Marc Márquez reacciona a la decisión de Repsol</t>
    </r>
    <r>
      <rPr>
        <rFont val="Arial, sans-serif"/>
        <color rgb="FF1155CC"/>
        <sz val="11.0"/>
        <u/>
      </rPr>
      <t>Marc Márquez, en Misano, celebró su segunda victoria en el Mundial de Motociclismo desde que decidió separar su camino del Repsol Honda Team y unirse al...</t>
    </r>
    <r>
      <rPr>
        <rFont val="Arial, sans-serif"/>
        <color rgb="FF1155CC"/>
        <sz val="12.0"/>
        <u/>
      </rPr>
      <t>.</t>
    </r>
    <r>
      <rPr>
        <rFont val="Arial, sans-serif"/>
        <color rgb="FF1155CC"/>
        <sz val="11.0"/>
        <u/>
      </rPr>
      <t>12 sept 2024</t>
    </r>
  </si>
  <si>
    <t>Marc Márquez reacciona a la decisión de Repsol</t>
  </si>
  <si>
    <t>Marc Márquez, en Misano, celebró su segunda victoria en el Mundial de Motociclismo desde que decidió separar su camino del Repsol Honda Team y unirse al....</t>
  </si>
  <si>
    <t>Marc Márquez reacts to Repsol's decision</t>
  </si>
  <si>
    <t>Marc Márquez, in Misano, celebrated his second victory in the Motorcycle World Championship since he decided to separate his path from the Repsol Honda Team and join the...</t>
  </si>
  <si>
    <r>
      <rPr>
        <rFont val="Arial, sans-serif"/>
        <color rgb="FF1155CC"/>
        <sz val="9.0"/>
        <u/>
      </rPr>
      <t>Guía Repsol</t>
    </r>
    <r>
      <rPr>
        <rFont val="Arial, sans-serif"/>
        <color rgb="FF1155CC"/>
        <sz val="15.0"/>
        <u/>
      </rPr>
      <t>Málaga se rinde a su nueva generación de jóvenes chefs</t>
    </r>
    <r>
      <rPr>
        <rFont val="Arial, sans-serif"/>
        <color rgb="FF1155CC"/>
        <sz val="11.0"/>
        <u/>
      </rPr>
      <t>Rondan los 30 años y dirigen sus propios restaurantes. Descubrimos las historias de los cocineros Cristina Cánovas y Diego Aguilar, Pablo Zamudio y Cristian...</t>
    </r>
    <r>
      <rPr>
        <rFont val="Arial, sans-serif"/>
        <color rgb="FF1155CC"/>
        <sz val="12.0"/>
        <u/>
      </rPr>
      <t>.</t>
    </r>
    <r>
      <rPr>
        <rFont val="Arial, sans-serif"/>
        <color rgb="FF1155CC"/>
        <sz val="11.0"/>
        <u/>
      </rPr>
      <t>12 sept 2024</t>
    </r>
  </si>
  <si>
    <t>Málaga se rinde a su nueva generación de jóvenes chefs</t>
  </si>
  <si>
    <t>Rondan los 30 años y dirigen sus propios restaurantes. Descubrimos las historias de los cocineros Cristina Cánovas y Diego Aguilar, Pablo Zamudio y Cristian....</t>
  </si>
  <si>
    <t>Málaga surrenders to its new generation of young chefs</t>
  </si>
  <si>
    <t>They are around 30 years old and run their own restaurants. We discover the stories of the chefs Cristina Cánovas and Diego Aguilar, Pablo Zamudio and Cristian....</t>
  </si>
  <si>
    <r>
      <rPr>
        <rFont val="Arial, sans-serif"/>
        <color rgb="FF1155CC"/>
        <sz val="9.0"/>
        <u/>
      </rPr>
      <t>Todocircuito.com</t>
    </r>
    <r>
      <rPr>
        <rFont val="Arial, sans-serif"/>
        <color rgb="FF1155CC"/>
        <sz val="15.0"/>
        <u/>
      </rPr>
      <t>Puig valora el adiós de Repsol: "Hay cosas que a veces llegan a su final"</t>
    </r>
    <r>
      <rPr>
        <rFont val="Arial, sans-serif"/>
        <color rgb="FF1155CC"/>
        <sz val="11.0"/>
        <u/>
      </rPr>
      <t>La noticia pasó algo desapercibida, pero sin duda es uno de los titulares del año. Repsol decidió anunciar el final de su larga vinculación con Honda el...</t>
    </r>
    <r>
      <rPr>
        <rFont val="Arial, sans-serif"/>
        <color rgb="FF1155CC"/>
        <sz val="12.0"/>
        <u/>
      </rPr>
      <t>.</t>
    </r>
    <r>
      <rPr>
        <rFont val="Arial, sans-serif"/>
        <color rgb="FF1155CC"/>
        <sz val="11.0"/>
        <u/>
      </rPr>
      <t>12 sept 2024</t>
    </r>
  </si>
  <si>
    <t>Puig valora el adiós de Repsol: "Hay cosas que a veces llegan a su final"</t>
  </si>
  <si>
    <t>La noticia pasó algo desapercibida, pero sin duda es uno de los titulares del año. Repsol decidió anunciar el final de su larga vinculación con Honda el....</t>
  </si>
  <si>
    <t>Puig values ​​Repsol's farewell: "There are things that sometimes come to an end"</t>
  </si>
  <si>
    <t>The news went somewhat unnoticed, but it is undoubtedly one of the headlines of the year. Repsol decided to announce the end of its long relationship with Honda on....</t>
  </si>
  <si>
    <t>Negative as it marks the end of a historic partnership.</t>
  </si>
  <si>
    <t>Mildly negative due to partnership ending.</t>
  </si>
  <si>
    <t>Ligeramente negativo debido al fin de la asociación.</t>
  </si>
  <si>
    <r>
      <rPr>
        <rFont val="Arial, sans-serif"/>
        <color rgb="FF1155CC"/>
        <sz val="9.0"/>
        <u/>
      </rPr>
      <t>Honda Racing Corporation</t>
    </r>
    <r>
      <rPr>
        <rFont val="Arial, sans-serif"/>
        <color rgb="FF1155CC"/>
        <sz val="15.0"/>
        <u/>
      </rPr>
      <t>Gabriel Marcelli a la caza del subcampeonato en Ripoll (España)</t>
    </r>
    <r>
      <rPr>
        <rFont val="Arial, sans-serif"/>
        <color rgb="FF1155CC"/>
        <sz val="11.0"/>
        <u/>
      </rPr>
      <t>El piloto del Repsol Honda Team llega segundo en la general con 150 puntos. Por su parte, Toni Bou buscará adjudicarse dos nuevas victorias esta temporada.</t>
    </r>
    <r>
      <rPr>
        <rFont val="Arial, sans-serif"/>
        <color rgb="FF1155CC"/>
        <sz val="12.0"/>
        <u/>
      </rPr>
      <t>.</t>
    </r>
    <r>
      <rPr>
        <rFont val="Arial, sans-serif"/>
        <color rgb="FF1155CC"/>
        <sz val="11.0"/>
        <u/>
      </rPr>
      <t>12 sept 2024</t>
    </r>
  </si>
  <si>
    <t>Gabriel Marcelli a la caza del subcampeonato en Ripoll (España)</t>
  </si>
  <si>
    <t>El piloto del Repsol Honda Team llega segundo en la general con 150 puntos. Por su parte, Toni Bou buscará adjudicarse dos nuevas victorias esta temporada.</t>
  </si>
  <si>
    <t>Gabriel Marcelli on the hunt for runner-up in Ripoll (Spain)</t>
  </si>
  <si>
    <t>The Repsol Honda Team rider comes second overall with 150 points. For his part, Toni Bou will seek to win two new victories this season.</t>
  </si>
  <si>
    <r>
      <rPr>
        <rFont val="Arial, sans-serif"/>
        <color rgb="FF1155CC"/>
        <sz val="9.0"/>
        <u/>
      </rPr>
      <t>MOTOSAN</t>
    </r>
    <r>
      <rPr>
        <rFont val="Arial, sans-serif"/>
        <color rgb="FF1155CC"/>
        <sz val="15.0"/>
        <u/>
      </rPr>
      <t>Alberto Puig habla de la ruptura entre Repsol y Honda: "Los títulos que conseguimos permanecerán en la historia"</t>
    </r>
    <r>
      <rPr>
        <rFont val="Arial, sans-serif"/>
        <color rgb="FF1155CC"/>
        <sz val="11.0"/>
        <u/>
      </rPr>
      <t>Alberto Puig habló sobre la ruptura de Repsol y Honda en Misano. El pasado domingo se confirmó uno de los rumores que circulaban por el paddock de MotoGP.</t>
    </r>
    <r>
      <rPr>
        <rFont val="Arial, sans-serif"/>
        <color rgb="FF1155CC"/>
        <sz val="12.0"/>
        <u/>
      </rPr>
      <t>.</t>
    </r>
    <r>
      <rPr>
        <rFont val="Arial, sans-serif"/>
        <color rgb="FF1155CC"/>
        <sz val="11.0"/>
        <u/>
      </rPr>
      <t>12 sept 2024</t>
    </r>
  </si>
  <si>
    <t>Alberto Puig habla de la ruptura entre Repsol y Honda: "Los títulos que conseguimos permanecerán en la historia"</t>
  </si>
  <si>
    <t>Alberto Puig habló sobre la ruptura de Repsol y Honda en Misano. El pasado domingo se confirmó uno de los rumores que circulaban por el paddock de MotoGP.</t>
  </si>
  <si>
    <t>Alberto Puig talks about the breakup between Repsol and Honda: "The titles we won will remain in history"</t>
  </si>
  <si>
    <t>Alberto Puig spoke about the breakup of Repsol and Honda in Misano. Last Sunday one of the rumors circulating in the MotoGP paddock was confirmed.</t>
  </si>
  <si>
    <t>Negative as it emphasizes the end of a successful collaboration.</t>
  </si>
  <si>
    <t>Negative due to partnership dissolution.</t>
  </si>
  <si>
    <t>Negativo por disolución de la sociedad.</t>
  </si>
  <si>
    <r>
      <rPr>
        <rFont val="Arial, sans-serif"/>
        <color rgb="FF1155CC"/>
        <sz val="9.0"/>
        <u/>
      </rPr>
      <t>EL PAÍS</t>
    </r>
    <r>
      <rPr>
        <rFont val="Arial, sans-serif"/>
        <color rgb="FF1155CC"/>
        <sz val="15.0"/>
        <u/>
      </rPr>
      <t>Venezuela, cada vez menos relevante para la inversión española y con el foco en el petróleo</t>
    </r>
    <r>
      <rPr>
        <rFont val="Arial, sans-serif"/>
        <color rgb="FF1155CC"/>
        <sz val="11.0"/>
        <u/>
      </rPr>
      <t>Una potencial ruptura de las relaciones comerciales entre Venezuela y España, tras la respuesta del Gobierno de Maduro a la petición del Congreso español de...</t>
    </r>
    <r>
      <rPr>
        <rFont val="Arial, sans-serif"/>
        <color rgb="FF1155CC"/>
        <sz val="12.0"/>
        <u/>
      </rPr>
      <t>.</t>
    </r>
    <r>
      <rPr>
        <rFont val="Arial, sans-serif"/>
        <color rgb="FF1155CC"/>
        <sz val="11.0"/>
        <u/>
      </rPr>
      <t>12 sept 2024</t>
    </r>
  </si>
  <si>
    <t>Venezuela, cada vez menos relevante para la inversión española y con el foco en el petróleo</t>
  </si>
  <si>
    <t>Una potencial ruptura de las relaciones comerciales entre Venezuela y España, tras la respuesta del Gobierno de Maduro a la petición del Congreso español de....</t>
  </si>
  <si>
    <t>Venezuela, increasingly less relevant for Spanish investment and with the focus on oil</t>
  </si>
  <si>
    <t>A potential break in commercial relations between Venezuela and Spain, following the response of the Maduro Government to the request of the Spanish Congress to...</t>
  </si>
  <si>
    <t>Negative due to geopolitical instability affecting Spanish companies, including Repsol.</t>
  </si>
  <si>
    <t>Indirect impact; no direct Repsol mention.</t>
  </si>
  <si>
    <t>Impacto indirecto; ninguna mención directa a Repsol.</t>
  </si>
  <si>
    <r>
      <rPr>
        <rFont val="Arial, sans-serif"/>
        <color rgb="FF1155CC"/>
        <sz val="9.0"/>
        <u/>
      </rPr>
      <t>Radio Intereconomía</t>
    </r>
    <r>
      <rPr>
        <rFont val="Arial, sans-serif"/>
        <color rgb="FF1155CC"/>
        <sz val="15.0"/>
        <u/>
      </rPr>
      <t>Si Venezuela rompe relaciones con España ¿Qué pasa con Repsol?</t>
    </r>
    <r>
      <rPr>
        <rFont val="Arial, sans-serif"/>
        <color rgb="FF1155CC"/>
        <sz val="11.0"/>
        <u/>
      </rPr>
      <t>La petrolera Repsol mantiene unas excelentes relaciones con el régimen de Maduro, peo Venezuela ha amenazado con romper relaciones con España.</t>
    </r>
    <r>
      <rPr>
        <rFont val="Arial, sans-serif"/>
        <color rgb="FF1155CC"/>
        <sz val="12.0"/>
        <u/>
      </rPr>
      <t>.</t>
    </r>
    <r>
      <rPr>
        <rFont val="Arial, sans-serif"/>
        <color rgb="FF1155CC"/>
        <sz val="11.0"/>
        <u/>
      </rPr>
      <t>12 sept 2024</t>
    </r>
  </si>
  <si>
    <t>Si Venezuela rompe relaciones con España ¿Qué pasa con Repsol?</t>
  </si>
  <si>
    <t>La petrolera Repsol mantiene unas excelentes relaciones con el régimen de Maduro, pero Venezuela ha amenazado con romper relaciones con España.</t>
  </si>
  <si>
    <t>If Venezuela breaks relations with Spain, what happens to Repsol?</t>
  </si>
  <si>
    <t>The oil company Repsol maintains excellent relations with the Maduro regime, but Venezuela has threatened to break relations with Spain.</t>
  </si>
  <si>
    <t>Negative as it raises concerns about Repsol’s operations in Venezuela.</t>
  </si>
  <si>
    <t>Negative due to geopolitical risks.</t>
  </si>
  <si>
    <t>Negativo por riesgos geopolíticos.</t>
  </si>
  <si>
    <r>
      <rPr>
        <rFont val="Arial, sans-serif"/>
        <color rgb="FF1155CC"/>
        <sz val="9.0"/>
        <u/>
      </rPr>
      <t>Box Repsol</t>
    </r>
    <r>
      <rPr>
        <rFont val="Arial, sans-serif"/>
        <color rgb="FF1155CC"/>
        <sz val="15.0"/>
        <u/>
      </rPr>
      <t>¿Cuáles son las mejores motos para personas bajas en 2025?</t>
    </r>
    <r>
      <rPr>
        <rFont val="Arial, sans-serif"/>
        <color rgb="FF1155CC"/>
        <sz val="11.0"/>
        <u/>
      </rPr>
      <t>Conoce las mejores motos para personas de poca estatura: modelos recomendados, características y consejos para encontrar la moto perfecta.</t>
    </r>
    <r>
      <rPr>
        <rFont val="Arial, sans-serif"/>
        <color rgb="FF1155CC"/>
        <sz val="12.0"/>
        <u/>
      </rPr>
      <t>.</t>
    </r>
    <r>
      <rPr>
        <rFont val="Arial, sans-serif"/>
        <color rgb="FF1155CC"/>
        <sz val="11.0"/>
        <u/>
      </rPr>
      <t>12 sept 2024</t>
    </r>
  </si>
  <si>
    <t>¿Cuáles son las mejores motos para personas bajas en 2025?</t>
  </si>
  <si>
    <t>Conoce las mejores motos para personas de poca estatura: modelos recomendados, características y consejos para encontrar la moto perfecta.</t>
  </si>
  <si>
    <t>What are the best motorcycles for short people in 2025?</t>
  </si>
  <si>
    <t>Learn about the best motorcycles for short people: recommended models, features and tips to find the perfect motorcycle.</t>
  </si>
  <si>
    <r>
      <rPr>
        <rFont val="Arial, sans-serif"/>
        <color rgb="FF1155CC"/>
        <sz val="9.0"/>
        <u/>
      </rPr>
      <t>Repsol</t>
    </r>
    <r>
      <rPr>
        <rFont val="Arial, sans-serif"/>
        <color rgb="FF1155CC"/>
        <sz val="15.0"/>
        <u/>
      </rPr>
      <t>Repsol y OMODA &amp; JAECOO alcanzan un acuerdo multienergético único en España</t>
    </r>
    <r>
      <rPr>
        <rFont val="Arial, sans-serif"/>
        <color rgb="FF1155CC"/>
        <sz val="11.0"/>
        <u/>
      </rPr>
      <t>La compañía multienergética y las marcas de vehículos OMODA y JAECOO, pertenecientes al grupo Chery International, firman un acuerdo marco para sellan una...</t>
    </r>
    <r>
      <rPr>
        <rFont val="Arial, sans-serif"/>
        <color rgb="FF1155CC"/>
        <sz val="12.0"/>
        <u/>
      </rPr>
      <t>.</t>
    </r>
    <r>
      <rPr>
        <rFont val="Arial, sans-serif"/>
        <color rgb="FF1155CC"/>
        <sz val="11.0"/>
        <u/>
      </rPr>
      <t>13 sept 2024</t>
    </r>
  </si>
  <si>
    <t>Repsol y OMODA &amp; JAECOO alcanzan un acuerdo multienergético único en España</t>
  </si>
  <si>
    <t>La compañía multienergética y las marcas de vehículos OMODA y JAECOO, pertenecientes al grupo Chery International, firman un acuerdo marco para sellan una....</t>
  </si>
  <si>
    <t>Repsol and OMODA &amp; JAECOO reach a unique multi-energy agreement in Spain</t>
  </si>
  <si>
    <t>The multi-energy company and the OMODA and JAECOO vehicle brands, belonging to the Chery International group, sign a framework agreement to seal a...</t>
  </si>
  <si>
    <t>Repsol business expansion, strategic partnerships</t>
  </si>
  <si>
    <t>Expansión del negocio de Repsol, alianzas estratégicas</t>
  </si>
  <si>
    <t>Positive as it highlights a new business partnership.</t>
  </si>
  <si>
    <t>acuerdo, único</t>
  </si>
  <si>
    <t>Positive sentiment from strategic partnership.</t>
  </si>
  <si>
    <t>Sentimiento positivo de la asociación estratégica.</t>
  </si>
  <si>
    <r>
      <rPr>
        <rFont val="Arial, sans-serif"/>
        <color rgb="FF1155CC"/>
        <sz val="9.0"/>
        <u/>
      </rPr>
      <t>Expansión</t>
    </r>
    <r>
      <rPr>
        <rFont val="Arial, sans-serif"/>
        <color rgb="FF1155CC"/>
        <sz val="15.0"/>
        <u/>
      </rPr>
      <t>Repsol alcanza acuerdo multienergético con las marcas chinas de coches Omoda y Jaecoo</t>
    </r>
    <r>
      <rPr>
        <rFont val="Arial, sans-serif"/>
        <color rgb="FF1155CC"/>
        <sz val="11.0"/>
        <u/>
      </rPr>
      <t>La compañía energética española Repsol ha sellado un marco de colaboración con Omoda y Jaecoo, ambas propiedad del grupo automovilístico chino Chery...</t>
    </r>
    <r>
      <rPr>
        <rFont val="Arial, sans-serif"/>
        <color rgb="FF1155CC"/>
        <sz val="12.0"/>
        <u/>
      </rPr>
      <t>.</t>
    </r>
    <r>
      <rPr>
        <rFont val="Arial, sans-serif"/>
        <color rgb="FF1155CC"/>
        <sz val="11.0"/>
        <u/>
      </rPr>
      <t>13 sept 2024</t>
    </r>
  </si>
  <si>
    <t>Repsol alcanza acuerdo multienergético con las marcas chinas de coches Omoda y Jaecoo</t>
  </si>
  <si>
    <t>La compañía energética española Repsol ha sellado un marco de colaboración con Omoda y Jaecoo, ambas propiedad del grupo automovilístico chino Chery.</t>
  </si>
  <si>
    <t>Repsol reaches multi-energy agreement with the Chinese car brands Omoda and Jaecoo</t>
  </si>
  <si>
    <t>The Spanish energy company Repsol has sealed a collaboration framework with Omoda and Jaecoo, both owned by the Chinese automobile group Chery.</t>
  </si>
  <si>
    <t>Positive as it expands Repsol’s international presence.</t>
  </si>
  <si>
    <t>Positive due to business collaboration.</t>
  </si>
  <si>
    <t>Positivo por la colaboración empresarial.</t>
  </si>
  <si>
    <r>
      <rPr>
        <rFont val="Arial, sans-serif"/>
        <color rgb="FF1155CC"/>
        <sz val="9.0"/>
        <u/>
      </rPr>
      <t>Radio Intereconomía</t>
    </r>
    <r>
      <rPr>
        <rFont val="Arial, sans-serif"/>
        <color rgb="FF1155CC"/>
        <sz val="15.0"/>
        <u/>
      </rPr>
      <t>El negocio de España con Venezuela se limita casi en exclusiva al petróleo de Repsol</t>
    </r>
    <r>
      <rPr>
        <rFont val="Arial, sans-serif"/>
        <color rgb="FF1155CC"/>
        <sz val="11.0"/>
        <u/>
      </rPr>
      <t>El negocio de España con Venezuela se limita casi al petróleo de Repsol, la petrolera que mantiene excelentes relaciones con los chavistas.</t>
    </r>
    <r>
      <rPr>
        <rFont val="Arial, sans-serif"/>
        <color rgb="FF1155CC"/>
        <sz val="12.0"/>
        <u/>
      </rPr>
      <t>.</t>
    </r>
    <r>
      <rPr>
        <rFont val="Arial, sans-serif"/>
        <color rgb="FF1155CC"/>
        <sz val="11.0"/>
        <u/>
      </rPr>
      <t>13 sept 2024</t>
    </r>
  </si>
  <si>
    <t>El negocio de España con Venezuela se limita casi en exclusiva al petróleo de Repsol</t>
  </si>
  <si>
    <t>El negocio de España con Venezuela se limita casi al petróleo de Repsol, la petrolera que mantiene excelentes relaciones con los chavistas.</t>
  </si>
  <si>
    <t>Spain's business with Venezuela is limited almost exclusively to Repsol oil</t>
  </si>
  <si>
    <t>Spain's business with Venezuela is almost limited to Repsol oil, the oil company that maintains excellent relations with the Chavistas.</t>
  </si>
  <si>
    <t>Negative as it suggests heavy reliance on a politically unstable market.</t>
  </si>
  <si>
    <t>Neutral; factual statement.</t>
  </si>
  <si>
    <t>Neutral; declaración fáctica.</t>
  </si>
  <si>
    <r>
      <rPr>
        <rFont val="Arial, sans-serif"/>
        <color rgb="FF1155CC"/>
        <sz val="9.0"/>
        <u/>
      </rPr>
      <t>OkDiario</t>
    </r>
    <r>
      <rPr>
        <rFont val="Arial, sans-serif"/>
        <color rgb="FF1155CC"/>
        <sz val="15.0"/>
        <u/>
      </rPr>
      <t>La baza de Repsol contra Maduro: Venezuela se quedaría sin luz si expulsa a la empresa española</t>
    </r>
    <r>
      <rPr>
        <rFont val="Arial, sans-serif"/>
        <color rgb="FF1155CC"/>
        <sz val="11.0"/>
        <u/>
      </rPr>
      <t>Los chavistas han amenazado con expulsar a Repsol de Venezuela, algo que, según fuentes solventes, dejaría al país sin luz ni energía.</t>
    </r>
    <r>
      <rPr>
        <rFont val="Arial, sans-serif"/>
        <color rgb="FF1155CC"/>
        <sz val="12.0"/>
        <u/>
      </rPr>
      <t>.</t>
    </r>
    <r>
      <rPr>
        <rFont val="Arial, sans-serif"/>
        <color rgb="FF1155CC"/>
        <sz val="11.0"/>
        <u/>
      </rPr>
      <t>13 sept 2024</t>
    </r>
  </si>
  <si>
    <t>La baza de Repsol contra Maduro: Venezuela se quedaría sin luz si expulsa a la empresa española</t>
  </si>
  <si>
    <t>Los chavistas han amenazado con expulsar a Repsol de Venezuela, algo que, según fuentes solventes, dejaría al país sin luz ni energía.</t>
  </si>
  <si>
    <t>Repsol's trick against Maduro: Venezuela would be left without electricity if it expels the Spanish company</t>
  </si>
  <si>
    <t>The Chavistas have threatened to expel Repsol from Venezuela, something that, according to reliable sources, would leave the country without light or energy.</t>
  </si>
  <si>
    <t>Negative as it presents a potential geopolitical conflict.</t>
  </si>
  <si>
    <t>expulsa</t>
  </si>
  <si>
    <t>Negative due to political tension.</t>
  </si>
  <si>
    <t>Negativo debido a la tensión política.</t>
  </si>
  <si>
    <r>
      <rPr>
        <rFont val="Arial, sans-serif"/>
        <color rgb="FF1155CC"/>
        <sz val="9.0"/>
        <u/>
      </rPr>
      <t>Interempresas.net</t>
    </r>
    <r>
      <rPr>
        <rFont val="Arial, sans-serif"/>
        <color rgb="FF1155CC"/>
        <sz val="15.0"/>
        <u/>
      </rPr>
      <t>Repsol alcanza un acuerdo multienergético “único en España” con Omoda y Jaecoo</t>
    </r>
    <r>
      <rPr>
        <rFont val="Arial, sans-serif"/>
        <color rgb="FF1155CC"/>
        <sz val="11.0"/>
        <u/>
      </rPr>
      <t>Repsol y las marcas de automóviles Omoda y Jaecoo, pertenecientes al grupo Chery International... - Actualidad.</t>
    </r>
    <r>
      <rPr>
        <rFont val="Arial, sans-serif"/>
        <color rgb="FF1155CC"/>
        <sz val="12.0"/>
        <u/>
      </rPr>
      <t>.</t>
    </r>
    <r>
      <rPr>
        <rFont val="Arial, sans-serif"/>
        <color rgb="FF1155CC"/>
        <sz val="11.0"/>
        <u/>
      </rPr>
      <t>13 sept 2024</t>
    </r>
  </si>
  <si>
    <t>Repsol alcanza un acuerdo multienergético “único en España” con Omoda y Jaecoo</t>
  </si>
  <si>
    <t>Repsol y las marcas de automóviles Omoda y Jaecoo, pertenecientes al grupo Chery International, han alcanzado un acuerdo multienergético “único en España”.</t>
  </si>
  <si>
    <t>Repsol reaches a multi-energy agreement “unique in Spain” with Omoda and Jaecoo</t>
  </si>
  <si>
    <t>Repsol and the Omoda and Jaecoo automobile brands, belonging to the Chery International group, have reached a multi-energy agreement “unique in Spain.”</t>
  </si>
  <si>
    <t>Repsol strategic partnerships, business expansion</t>
  </si>
  <si>
    <t>Asociaciones estratégicas de Repsol, expansión empresarial</t>
  </si>
  <si>
    <t>Positive as it strengthens Repsol’s presence in the automotive sector.</t>
  </si>
  <si>
    <t>Positive sentiment from innovative deal.</t>
  </si>
  <si>
    <t>Sentimiento positivo por un acuerdo innovador.</t>
  </si>
  <si>
    <r>
      <rPr>
        <rFont val="Arial, sans-serif"/>
        <color rgb="FF1155CC"/>
        <sz val="9.0"/>
        <u/>
      </rPr>
      <t>El Periódico de la Energía</t>
    </r>
    <r>
      <rPr>
        <rFont val="Arial, sans-serif"/>
        <color rgb="FF1155CC"/>
        <sz val="15.0"/>
        <u/>
      </rPr>
      <t>Repsol alcanza un acuerdo con Omoda y Jaecoo que impulsará la descarbonización del automóvil en España</t>
    </r>
    <r>
      <rPr>
        <rFont val="Arial, sans-serif"/>
        <color rgb="FF1155CC"/>
        <sz val="11.0"/>
        <u/>
      </rPr>
      <t>Repsol y las marcas Omoda y Jaecoo han alcanzado un acuerdo marco de colaboración para impulsar la descarbonización del sector del automóvil en España.</t>
    </r>
    <r>
      <rPr>
        <rFont val="Arial, sans-serif"/>
        <color rgb="FF1155CC"/>
        <sz val="12.0"/>
        <u/>
      </rPr>
      <t>.</t>
    </r>
    <r>
      <rPr>
        <rFont val="Arial, sans-serif"/>
        <color rgb="FF1155CC"/>
        <sz val="11.0"/>
        <u/>
      </rPr>
      <t>13 sept 2024</t>
    </r>
  </si>
  <si>
    <t>Repsol alcanza un acuerdo con Omoda y Jaecoo que impulsará la descarbonización del automóvil en España</t>
  </si>
  <si>
    <t>Repsol y las marcas Omoda y Jaecoo han alcanzado un acuerdo marco de colaboración para impulsar la descarbonización del sector del automóvil en España.</t>
  </si>
  <si>
    <t>Repsol reaches an agreement with Omoda and Jaecoo that will promote the decarbonization of automobiles in Spain</t>
  </si>
  <si>
    <t>Repsol and the Omoda and Jaecoo brands have reached a collaboration framework agreement to promote the decarbonization of the automobile sector in Spain.</t>
  </si>
  <si>
    <t>Repsol sustainability, business strategy</t>
  </si>
  <si>
    <t>Sostenibilidad Repsol, estrategia empresarial</t>
  </si>
  <si>
    <t>Positive as it aligns with Repsol’s sustainability efforts.</t>
  </si>
  <si>
    <t>acuerdo, impulsará</t>
  </si>
  <si>
    <t>Strongly positive for sustainability efforts.</t>
  </si>
  <si>
    <t>Muy positivo para los esfuerzos de sostenibilidad.</t>
  </si>
  <si>
    <r>
      <rPr>
        <rFont val="Arial, sans-serif"/>
        <color rgb="FF1155CC"/>
        <sz val="9.0"/>
        <u/>
      </rPr>
      <t>Capital Radio</t>
    </r>
    <r>
      <rPr>
        <rFont val="Arial, sans-serif"/>
        <color rgb="FF1155CC"/>
        <sz val="15.0"/>
        <u/>
      </rPr>
      <t>Repsol en foco ante la tensión en relaciones con Venezuela</t>
    </r>
    <r>
      <rPr>
        <rFont val="Arial, sans-serif"/>
        <color rgb="FF1155CC"/>
        <sz val="11.0"/>
        <u/>
      </rPr>
      <t>La presencia de Repsol en Venezuela se remonta a 1993 pero hace años que no invierte en el país; la española opera junto a ENI la empresa Cardón IV.</t>
    </r>
    <r>
      <rPr>
        <rFont val="Arial, sans-serif"/>
        <color rgb="FF1155CC"/>
        <sz val="12.0"/>
        <u/>
      </rPr>
      <t>.</t>
    </r>
    <r>
      <rPr>
        <rFont val="Arial, sans-serif"/>
        <color rgb="FF1155CC"/>
        <sz val="11.0"/>
        <u/>
      </rPr>
      <t>13 sept 2024</t>
    </r>
  </si>
  <si>
    <t>Repsol en foco ante la tensión en relaciones con Venezuela</t>
  </si>
  <si>
    <t>La presencia de Repsol en Venezuela se remonta a 1993 pero hace años que no invierte en el país; la española opera junto a ENI la empresa Cardón IV.</t>
  </si>
  <si>
    <t>Repsol in focus due to the tension in relations with Venezuela</t>
  </si>
  <si>
    <t>Repsol's presence in Venezuela dates back to 1993 but it has not invested in the country for years; The Spanish company operates the Cardón IV company together with ENI.</t>
  </si>
  <si>
    <t>Negative as it signals uncertainty in a key market.</t>
  </si>
  <si>
    <t>tensión</t>
  </si>
  <si>
    <r>
      <rPr>
        <rFont val="Arial, sans-serif"/>
        <color rgb="FF1155CC"/>
        <sz val="9.0"/>
        <u/>
      </rPr>
      <t>El Español</t>
    </r>
    <r>
      <rPr>
        <rFont val="Arial, sans-serif"/>
        <color rgb="FF1155CC"/>
        <sz val="15.0"/>
        <u/>
      </rPr>
      <t>Repsol acuerda con Omoda y Jaecoo ser su proveedor energético de electricidad y combustibles renovables</t>
    </r>
    <r>
      <rPr>
        <rFont val="Arial, sans-serif"/>
        <color rgb="FF1155CC"/>
        <sz val="11.0"/>
        <u/>
      </rPr>
      <t>La compañía energética electrificará los concesionarios, la sede corporativa y ofrecerá combustibles 100% renovables y generación fotovoltaica.</t>
    </r>
    <r>
      <rPr>
        <rFont val="Arial, sans-serif"/>
        <color rgb="FF1155CC"/>
        <sz val="12.0"/>
        <u/>
      </rPr>
      <t>.</t>
    </r>
    <r>
      <rPr>
        <rFont val="Arial, sans-serif"/>
        <color rgb="FF1155CC"/>
        <sz val="11.0"/>
        <u/>
      </rPr>
      <t>13 sept 2024</t>
    </r>
  </si>
  <si>
    <t>Repsol acuerda con Omoda y Jaecoo ser su proveedor energético de electricidad y combustibles renovables</t>
  </si>
  <si>
    <t>La compañía energética electrificará los concesionarios, la sede corporativa y ofrecerá combustibles 100% renovables y generación fotovoltaica.</t>
  </si>
  <si>
    <t>Repsol agrees with Omoda and Jaecoo to be its energy supplier of electricity and renewable fuels</t>
  </si>
  <si>
    <t>The energy company will electrify dealerships, corporate headquarters and offer 100% renewable fuels and photovoltaic generation.</t>
  </si>
  <si>
    <t>Positive due to expansion in renewable energy partnerships.</t>
  </si>
  <si>
    <t>acuerda, renovables</t>
  </si>
  <si>
    <r>
      <rPr>
        <rFont val="Arial, sans-serif"/>
        <color rgb="FF1155CC"/>
        <sz val="9.0"/>
        <u/>
      </rPr>
      <t>Universia</t>
    </r>
    <r>
      <rPr>
        <rFont val="Arial, sans-serif"/>
        <color rgb="FF1155CC"/>
        <sz val="15.0"/>
        <u/>
      </rPr>
      <t>Descubre cómo es trabajar en Repsol</t>
    </r>
    <r>
      <rPr>
        <rFont val="Arial, sans-serif"/>
        <color rgb="FF1155CC"/>
        <sz val="11.0"/>
        <u/>
      </rPr>
      <t>Más de 25.000 personas de 75 nacionalidades diferentes forman parte de Repsol, una de las mayores empresas españolas, que opera en 27 países. Todas ella...</t>
    </r>
    <r>
      <rPr>
        <rFont val="Arial, sans-serif"/>
        <color rgb="FF1155CC"/>
        <sz val="12.0"/>
        <u/>
      </rPr>
      <t>.</t>
    </r>
    <r>
      <rPr>
        <rFont val="Arial, sans-serif"/>
        <color rgb="FF1155CC"/>
        <sz val="11.0"/>
        <u/>
      </rPr>
      <t>13 sept 2024</t>
    </r>
  </si>
  <si>
    <t>Descubre cómo es trabajar en Repsol</t>
  </si>
  <si>
    <t>Más de 25.000 personas de 75 nacionalidades diferentes forman parte de Repsol, una de las mayores empresas españolas, que opera en 27 países. Todas ella....</t>
  </si>
  <si>
    <t>Discover what it's like to work at Repsol</t>
  </si>
  <si>
    <t>More than 25,000 people of 75 different nationalities are part of Repsol, one of the largest Spanish companies, which operates in 27 countries. All of her....</t>
  </si>
  <si>
    <r>
      <rPr>
        <rFont val="Arial, sans-serif"/>
        <color rgb="FF1155CC"/>
        <sz val="9.0"/>
        <u/>
      </rPr>
      <t>Transcamion</t>
    </r>
    <r>
      <rPr>
        <rFont val="Arial, sans-serif"/>
        <color rgb="FF1155CC"/>
        <sz val="15.0"/>
        <u/>
      </rPr>
      <t>Lo que tiene de los nervios a Repsol y Cepsa. Los crack de las gasolineras low cost</t>
    </r>
    <r>
      <rPr>
        <rFont val="Arial, sans-serif"/>
        <color rgb="FF1155CC"/>
        <sz val="11.0"/>
        <u/>
      </rPr>
      <t>Transporte, carretera, camion, tractoras, trailer, autonomo, furgoneta, tacografo, semirremolques, frigorifico, furgon, cisternas, lonas, portacontenedores,...</t>
    </r>
    <r>
      <rPr>
        <rFont val="Arial, sans-serif"/>
        <color rgb="FF1155CC"/>
        <sz val="12.0"/>
        <u/>
      </rPr>
      <t>.</t>
    </r>
    <r>
      <rPr>
        <rFont val="Arial, sans-serif"/>
        <color rgb="FF1155CC"/>
        <sz val="11.0"/>
        <u/>
      </rPr>
      <t>13 sept 2024</t>
    </r>
  </si>
  <si>
    <t>Transcamion</t>
  </si>
  <si>
    <t>Lo que tiene de los nervios a Repsol y Cepsa. Los crack de las gasolineras low cost</t>
  </si>
  <si>
    <t>What has Repsol and Cepsa on edge. The cracks of low cost gas stations</t>
  </si>
  <si>
    <t>Negative due to concerns over competition from low-cost stations.</t>
  </si>
  <si>
    <t>nervios</t>
  </si>
  <si>
    <t>Negative due to competitive pressure.</t>
  </si>
  <si>
    <t>Negativo debido a la presión competitiva.</t>
  </si>
  <si>
    <r>
      <rPr>
        <rFont val="Arial, sans-serif"/>
        <color rgb="FF1155CC"/>
        <sz val="9.0"/>
        <u/>
      </rPr>
      <t>El Mundo</t>
    </r>
    <r>
      <rPr>
        <rFont val="Arial, sans-serif"/>
        <color rgb="FF1155CC"/>
        <sz val="15.0"/>
        <u/>
      </rPr>
      <t>La encrucijada de Repsol: España importa cuatro veces más petróleo de Venezuela desde la invasión de Ucrania con permiso de EEUU</t>
    </r>
    <r>
      <rPr>
        <rFont val="Arial, sans-serif"/>
        <color rgb="FF1155CC"/>
        <sz val="11.0"/>
        <u/>
      </rPr>
      <t>Las importaciones de petróleo venezolano que efectuó España en los primeros siete meses de este año, últimos oficiales, se han multiplicado por cuatro con...</t>
    </r>
    <r>
      <rPr>
        <rFont val="Arial, sans-serif"/>
        <color rgb="FF1155CC"/>
        <sz val="12.0"/>
        <u/>
      </rPr>
      <t>.</t>
    </r>
    <r>
      <rPr>
        <rFont val="Arial, sans-serif"/>
        <color rgb="FF1155CC"/>
        <sz val="11.0"/>
        <u/>
      </rPr>
      <t>13 sept 2024</t>
    </r>
  </si>
  <si>
    <t>La encrucijada de Repsol: España importa cuatro veces más petróleo de Venezuela desde la invasión de Ucrania con permiso de EEUU</t>
  </si>
  <si>
    <t>Las importaciones de petróleo venezolano que efectuó España en los primeros siete meses de este año, últimos oficiales, se han multiplicado por cuatro con....</t>
  </si>
  <si>
    <t>Repsol's crossroads: Spain imports four times more oil from Venezuela since the invasion of Ukraine with US permission</t>
  </si>
  <si>
    <t>Spain's imports of Venezuelan oil in the first seven months of this year, the last official ones, have multiplied by four with...</t>
  </si>
  <si>
    <t>Negative due to geopolitical concerns and dependency on imports.</t>
  </si>
  <si>
    <t>encrucijada</t>
  </si>
  <si>
    <t>Negative due to dependency risks.</t>
  </si>
  <si>
    <t>Negativo por riesgos de dependencia.</t>
  </si>
  <si>
    <r>
      <rPr>
        <rFont val="Arial, sans-serif"/>
        <color rgb="FF1155CC"/>
        <sz val="9.0"/>
        <u/>
      </rPr>
      <t>Mundo Deportivo</t>
    </r>
    <r>
      <rPr>
        <rFont val="Arial, sans-serif"/>
        <color rgb="FF1155CC"/>
        <sz val="15.0"/>
        <u/>
      </rPr>
      <t>Este es el dineral que te regala Repsol por cada litro de aceite de cocina usado que lleves a una de sus estaciones</t>
    </r>
    <r>
      <rPr>
        <rFont val="Arial, sans-serif"/>
        <color rgb="FF1155CC"/>
        <sz val="11.0"/>
        <u/>
      </rPr>
      <t>Repsol ha implementado un programa en el que intercambia aceite de cocina usado por dinero. Desde hace unos meses, la empresa petroquímica española ha...</t>
    </r>
    <r>
      <rPr>
        <rFont val="Arial, sans-serif"/>
        <color rgb="FF1155CC"/>
        <sz val="12.0"/>
        <u/>
      </rPr>
      <t>.</t>
    </r>
    <r>
      <rPr>
        <rFont val="Arial, sans-serif"/>
        <color rgb="FF1155CC"/>
        <sz val="11.0"/>
        <u/>
      </rPr>
      <t>13 sept 2024</t>
    </r>
  </si>
  <si>
    <t>Este es el dineral que te regala Repsol por cada litro de aceite de cocina usado que lleves a una de sus estaciones</t>
  </si>
  <si>
    <t>Repsol ha implementado un programa en el que intercambia aceite de cocina usado por dinero. Desde hace unos meses, la empresa petroquímica española ha....</t>
  </si>
  <si>
    <t>This is the money that Repsol gives you for every liter of used cooking oil that you take to one of its stations</t>
  </si>
  <si>
    <t>Repsol has implemented a program in which it exchanges used cooking oil for money. For a few months now, the Spanish petrochemical company has....</t>
  </si>
  <si>
    <t>Repsol sustainability, customer engagement</t>
  </si>
  <si>
    <t>Sostenibilidad Repsol, compromiso con el cliente</t>
  </si>
  <si>
    <t>Positive due to its environmental initiative.</t>
  </si>
  <si>
    <t>Positive for corporate recycling initiative.</t>
  </si>
  <si>
    <t>Positivo para la iniciativa corporativa de reciclaje.</t>
  </si>
  <si>
    <r>
      <rPr>
        <rFont val="Arial, sans-serif"/>
        <color rgb="FF1155CC"/>
        <sz val="9.0"/>
        <u/>
      </rPr>
      <t>El Economista</t>
    </r>
    <r>
      <rPr>
        <rFont val="Arial, sans-serif"/>
        <color rgb="FF1155CC"/>
        <sz val="15.0"/>
        <u/>
      </rPr>
      <t>La crisis con Venezuela compromete más de 500 millones de inversiones españolas</t>
    </r>
    <r>
      <rPr>
        <rFont val="Arial, sans-serif"/>
        <color rgb="FF1155CC"/>
        <sz val="11.0"/>
        <u/>
      </rPr>
      <t>La proposición no de ley (PNL) que sacó adelante el PP en el Congreso, con los apoyos del PNV, Vox, UPN y Coalición Canaria, para instar ...</t>
    </r>
    <r>
      <rPr>
        <rFont val="Arial, sans-serif"/>
        <color rgb="FF1155CC"/>
        <sz val="12.0"/>
        <u/>
      </rPr>
      <t>.</t>
    </r>
    <r>
      <rPr>
        <rFont val="Arial, sans-serif"/>
        <color rgb="FF1155CC"/>
        <sz val="11.0"/>
        <u/>
      </rPr>
      <t>13 sept 2024</t>
    </r>
  </si>
  <si>
    <t>La crisis con Venezuela compromete más de 500 millones de inversiones españolas</t>
  </si>
  <si>
    <t>La proposición no de ley (PNL) que sacó adelante el PP en el Congreso, con los apoyos del PNV, Vox, UPN y Coalición Canaria, para instar ....</t>
  </si>
  <si>
    <t>The crisis with Venezuela compromises more than 500 million Spanish investments</t>
  </si>
  <si>
    <t>The non-law proposal (PNL) that the PP carried out in Congress, with the support of the PNV, Vox, UPN and Canarian Coalition, to urge....</t>
  </si>
  <si>
    <r>
      <rPr>
        <rFont val="Arial, sans-serif"/>
        <color rgb="FF1155CC"/>
        <sz val="9.0"/>
        <u/>
      </rPr>
      <t>Onda Cero</t>
    </r>
    <r>
      <rPr>
        <rFont val="Arial, sans-serif"/>
        <color rgb="FF1155CC"/>
        <sz val="15.0"/>
        <u/>
      </rPr>
      <t>Un centenar de empresas españolas atrapadas en el enfrentamiento diplomático con Venezuela</t>
    </r>
    <r>
      <rPr>
        <rFont val="Arial, sans-serif"/>
        <color rgb="FF1155CC"/>
        <sz val="11.0"/>
        <u/>
      </rPr>
      <t>Venezuela podría tener apagones sin Repsol. El gobierno lanza un mensaje de tranquilidad y asegura que defenderá los intereses españoles en la zona si fuera...</t>
    </r>
    <r>
      <rPr>
        <rFont val="Arial, sans-serif"/>
        <color rgb="FF1155CC"/>
        <sz val="12.0"/>
        <u/>
      </rPr>
      <t>.</t>
    </r>
    <r>
      <rPr>
        <rFont val="Arial, sans-serif"/>
        <color rgb="FF1155CC"/>
        <sz val="11.0"/>
        <u/>
      </rPr>
      <t>13 sept 2024</t>
    </r>
  </si>
  <si>
    <t>Un centenar de empresas españolas atrapadas en el enfrentamiento diplomático con Venezuela</t>
  </si>
  <si>
    <t>Venezuela podría tener apagones sin Repsol. El gobierno lanza un mensaje de tranquilidad y asegura que defenderá los intereses españoles en la zona si fuera....</t>
  </si>
  <si>
    <t>A hundred Spanish companies trapped in the diplomatic confrontation with Venezuela</t>
  </si>
  <si>
    <t>Venezuela could have blackouts without Repsol. The government sends a message of calm and assures that it will defend Spanish interests in the area if it were...</t>
  </si>
  <si>
    <t>Negative due to the impact of the diplomatic crisis on businesses.</t>
  </si>
  <si>
    <t>atrapadas</t>
  </si>
  <si>
    <t>Negative due to geopolitical tension.</t>
  </si>
  <si>
    <t>Negativo debido a la tensión geopolítica.</t>
  </si>
  <si>
    <r>
      <rPr>
        <rFont val="Arial, sans-serif"/>
        <color rgb="FF1155CC"/>
        <sz val="9.0"/>
        <u/>
      </rPr>
      <t>OkDiario</t>
    </r>
    <r>
      <rPr>
        <rFont val="Arial, sans-serif"/>
        <color rgb="FF1155CC"/>
        <sz val="15.0"/>
        <u/>
      </rPr>
      <t>Maduro amaga con echar a Repsol de Venezuela tras el reconocimiento del Congreso a Edmundo González</t>
    </r>
    <r>
      <rPr>
        <rFont val="Arial, sans-serif"/>
        <color rgb="FF1155CC"/>
        <sz val="11.0"/>
        <u/>
      </rPr>
      <t>El PSUV ha pedido a Maduro, que eche a Repsol y rompa la alianza petrolera que mantiene con la estatal Petróleos de Venezuela (Pdvsa).</t>
    </r>
    <r>
      <rPr>
        <rFont val="Arial, sans-serif"/>
        <color rgb="FF1155CC"/>
        <sz val="12.0"/>
        <u/>
      </rPr>
      <t>.</t>
    </r>
    <r>
      <rPr>
        <rFont val="Arial, sans-serif"/>
        <color rgb="FF1155CC"/>
        <sz val="11.0"/>
        <u/>
      </rPr>
      <t>13 sept 2024</t>
    </r>
  </si>
  <si>
    <t>Maduro amaga con echar a Repsol de Venezuela tras el reconocimiento del Congreso a Edmundo González</t>
  </si>
  <si>
    <t>El PSUV ha pedido a Maduro, que eche a Repsol y rompa la alianza petrolera que mantiene con la estatal Petróleos de Venezuela (Pdvsa).</t>
  </si>
  <si>
    <t>Maduro threatens to kick Repsol out of Venezuela after Congress recognizes Edmundo González</t>
  </si>
  <si>
    <t>The PSUV has asked Maduro to kick out Repsol and break the oil alliance it maintains with the state-owned Petróleos de Venezuela (Pdvsa).</t>
  </si>
  <si>
    <t>Highly negative due to political instability and threats against Repsol.</t>
  </si>
  <si>
    <t>echar</t>
  </si>
  <si>
    <t>Strongly negative due to expulsion threat.</t>
  </si>
  <si>
    <t>Fuertemente negativo por amenaza de expulsión.</t>
  </si>
  <si>
    <r>
      <rPr>
        <rFont val="Arial, sans-serif"/>
        <color rgb="FF1155CC"/>
        <sz val="9.0"/>
        <u/>
      </rPr>
      <t>El Español</t>
    </r>
    <r>
      <rPr>
        <rFont val="Arial, sans-serif"/>
        <color rgb="FF1155CC"/>
        <sz val="15.0"/>
        <u/>
      </rPr>
      <t>Venezuela podría sufrir cortes de suministro energético si rompe relaciones comerciales con las empresas españolas</t>
    </r>
    <r>
      <rPr>
        <rFont val="Arial, sans-serif"/>
        <color rgb="FF1155CC"/>
        <sz val="11.0"/>
        <u/>
      </rPr>
      <t>La principal energética española, Repsol, acordó con el gobierno venezolano un sistema de "canje" para que le pague la deuda "en especie".</t>
    </r>
    <r>
      <rPr>
        <rFont val="Arial, sans-serif"/>
        <color rgb="FF1155CC"/>
        <sz val="12.0"/>
        <u/>
      </rPr>
      <t>.</t>
    </r>
    <r>
      <rPr>
        <rFont val="Arial, sans-serif"/>
        <color rgb="FF1155CC"/>
        <sz val="11.0"/>
        <u/>
      </rPr>
      <t>13 sept 2024</t>
    </r>
  </si>
  <si>
    <t>Venezuela podría sufrir cortes de suministro energético si rompe relaciones comerciales con las empresas españolas</t>
  </si>
  <si>
    <t>Venezuela podría sufrir cortes de suministro energético si rompe relaciones comerciales con las empresas españolas. La principal energética española, Repsol, acordó con el gobierno venezolano un sistema de "canje" para que le pague la deuda "en especie".</t>
  </si>
  <si>
    <t>Venezuela could suffer energy supply cuts if it breaks commercial relations with Spanish companies</t>
  </si>
  <si>
    <t>Venezuela could suffer energy supply cuts if it breaks commercial relations with Spanish companies. The main Spanish energy company, Repsol, agreed with the Venezuelan government on a "swap" system to pay the debt "in kind."</t>
  </si>
  <si>
    <t>Repsol energy market, business leverage</t>
  </si>
  <si>
    <t>Mercado energético de Repsol, apalancamiento empresarial</t>
  </si>
  <si>
    <t>Slightly positive due to Repsol's strategic role in energy supply.</t>
  </si>
  <si>
    <t>cortes, rompe</t>
  </si>
  <si>
    <t>Negative for supply chain risks.</t>
  </si>
  <si>
    <t>Negativo para los riesgos de la cadena de suministro.</t>
  </si>
  <si>
    <r>
      <rPr>
        <rFont val="Arial, sans-serif"/>
        <color rgb="FF1155CC"/>
        <sz val="9.0"/>
        <u/>
      </rPr>
      <t>Venezolana de Televisión</t>
    </r>
    <r>
      <rPr>
        <rFont val="Arial, sans-serif"/>
        <color rgb="FF1155CC"/>
        <sz val="15.0"/>
        <u/>
      </rPr>
      <t>Vicepresidenta Rodríguez se reúne con el director de negocios de Repsol</t>
    </r>
    <r>
      <rPr>
        <rFont val="Arial, sans-serif"/>
        <color rgb="FF1155CC"/>
        <sz val="11.0"/>
        <u/>
      </rPr>
      <t>La vicepresidenta Ejecutiva de la República Bolivariana de Venezuela y ministra de Petróleo, Delcy Rodríguez, encabezó una reunión de trabajo con el...</t>
    </r>
    <r>
      <rPr>
        <rFont val="Arial, sans-serif"/>
        <color rgb="FF1155CC"/>
        <sz val="12.0"/>
        <u/>
      </rPr>
      <t>.</t>
    </r>
    <r>
      <rPr>
        <rFont val="Arial, sans-serif"/>
        <color rgb="FF1155CC"/>
        <sz val="11.0"/>
        <u/>
      </rPr>
      <t>13 sept 2024</t>
    </r>
  </si>
  <si>
    <t>Venezolana de Televisión</t>
  </si>
  <si>
    <t>Vicepresidenta Rodríguez se reúne con el director de negocios de Repsol</t>
  </si>
  <si>
    <t>La vicepresidenta Ejecutiva de la República Bolivariana de Venezuela y ministra de Petróleo, Delcy Rodríguez, encabezó una reunión de trabajo con el....</t>
  </si>
  <si>
    <t>Vice President Rodríguez meets with the business director of Repsol</t>
  </si>
  <si>
    <t>The Executive Vice President of the Bolivarian Republic of Venezuela and Minister of Petroleum, Delcy Rodríguez, led a working meeting with the...</t>
  </si>
  <si>
    <t>Repsol energy market, business diplomacy</t>
  </si>
  <si>
    <t>Mercado energético Repsol, diplomacia empresarial</t>
  </si>
  <si>
    <t>Slightly positive as it indicates an open dialogue despite tensions.</t>
  </si>
  <si>
    <t>Neutral; factual meeting.</t>
  </si>
  <si>
    <t>Neutral; reunión fáctica.</t>
  </si>
  <si>
    <r>
      <rPr>
        <rFont val="Arial, sans-serif"/>
        <color rgb="FF1155CC"/>
        <sz val="9.0"/>
        <u/>
      </rPr>
      <t>Últimas Noticias</t>
    </r>
    <r>
      <rPr>
        <rFont val="Arial, sans-serif"/>
        <color rgb="FF1155CC"/>
        <sz val="15.0"/>
        <u/>
      </rPr>
      <t>Delcy Rodríguez se reúne con directivos de Repsol</t>
    </r>
    <r>
      <rPr>
        <rFont val="Arial, sans-serif"/>
        <color rgb="FF1155CC"/>
        <sz val="11.0"/>
        <u/>
      </rPr>
      <t>La ministra para el Petróleo, Delcy Rodríguez, sostuvo una reunión de trabajo con el director de unidad de negocios de la empresa petrolera española Repsol...</t>
    </r>
    <r>
      <rPr>
        <rFont val="Arial, sans-serif"/>
        <color rgb="FF1155CC"/>
        <sz val="12.0"/>
        <u/>
      </rPr>
      <t>.</t>
    </r>
    <r>
      <rPr>
        <rFont val="Arial, sans-serif"/>
        <color rgb="FF1155CC"/>
        <sz val="11.0"/>
        <u/>
      </rPr>
      <t>13 sept 2024</t>
    </r>
  </si>
  <si>
    <t>Delcy Rodríguez se reúne con directivos de Repsol</t>
  </si>
  <si>
    <t>La ministra para el Petróleo, Delcy Rodríguez, sostuvo una reunión de trabajo con el director de unidad de negocios de la empresa petrolera española Repsol....</t>
  </si>
  <si>
    <t>Delcy Rodríguez meets with Repsol executives</t>
  </si>
  <si>
    <t>The Minister for Petroleum, Delcy Rodríguez, held a working meeting with the business unit director of the Spanish oil company Repsol....</t>
  </si>
  <si>
    <t>Slightly positive due to continued negotiations.</t>
  </si>
  <si>
    <r>
      <rPr>
        <rFont val="Arial, sans-serif"/>
        <color rgb="FF1155CC"/>
        <sz val="9.0"/>
        <u/>
      </rPr>
      <t>El Español</t>
    </r>
    <r>
      <rPr>
        <rFont val="Arial, sans-serif"/>
        <color rgb="FF1155CC"/>
        <sz val="15.0"/>
        <u/>
      </rPr>
      <t>El mejor restaurante de carretera en Huesca: recomendado por camioneros y en la Guía Repsol</t>
    </r>
    <r>
      <rPr>
        <rFont val="Arial, sans-serif"/>
        <color rgb="FF1155CC"/>
        <sz val="11.0"/>
        <u/>
      </rPr>
      <t>Ubicado en Binéfar, Huesca, este restaurante destaca por sus hamburguesas y su precio, es el favorito de los viajeros de la Autovía del Nordeste.</t>
    </r>
    <r>
      <rPr>
        <rFont val="Arial, sans-serif"/>
        <color rgb="FF1155CC"/>
        <sz val="12.0"/>
        <u/>
      </rPr>
      <t>.</t>
    </r>
    <r>
      <rPr>
        <rFont val="Arial, sans-serif"/>
        <color rgb="FF1155CC"/>
        <sz val="11.0"/>
        <u/>
      </rPr>
      <t>13 sept 2024</t>
    </r>
  </si>
  <si>
    <t>El mejor restaurante de carretera en Huesca: recomendado por camioneros y en la Guía Repsol</t>
  </si>
  <si>
    <t>Ubicado en Binéfar, Huesca, este restaurante destaca por sus hamburguesas y su precio, es el favorito de los viajeros de la Autovía del Nordeste.</t>
  </si>
  <si>
    <t>The best roadside restaurant in Huesca: recommended by truck drivers and in the Repsol Guide</t>
  </si>
  <si>
    <t>Located in Binéfar, Huesca, this restaurant stands out for its hamburgers and its price, it is the favorite of travelers on the Northeast Highway.</t>
  </si>
  <si>
    <r>
      <rPr>
        <rFont val="Arial, sans-serif"/>
        <color rgb="FF1155CC"/>
        <sz val="9.0"/>
        <u/>
      </rPr>
      <t>Car and Driver</t>
    </r>
    <r>
      <rPr>
        <rFont val="Arial, sans-serif"/>
        <color rgb="FF1155CC"/>
        <sz val="15.0"/>
        <u/>
      </rPr>
      <t>Omoda y Jaecco unen fuerzas con Repsol: Las marcas chinas echan raíces en España</t>
    </r>
    <r>
      <rPr>
        <rFont val="Arial, sans-serif"/>
        <color rgb="FF1155CC"/>
        <sz val="11.0"/>
        <u/>
      </rPr>
      <t>Un puente empresarial entre España y China: Repsol firma una alianza con Omoda y Jaecco, marcas del grupo Chery que ya gozan de gran presencia en nuestro...</t>
    </r>
    <r>
      <rPr>
        <rFont val="Arial, sans-serif"/>
        <color rgb="FF1155CC"/>
        <sz val="12.0"/>
        <u/>
      </rPr>
      <t>.</t>
    </r>
    <r>
      <rPr>
        <rFont val="Arial, sans-serif"/>
        <color rgb="FF1155CC"/>
        <sz val="11.0"/>
        <u/>
      </rPr>
      <t>14 sept 2024</t>
    </r>
  </si>
  <si>
    <t>Omoda y Jaecco unen fuerzas con Repsol: Las marcas chinas echan raíces en España</t>
  </si>
  <si>
    <t>Un puente empresarial entre España y China: Repsol firma una alianza con Omoda y Jaecco, marcas del grupo Chery que ya gozan de gran presencia en nuestro....</t>
  </si>
  <si>
    <t>Omoda and Jaecco join forces with Repsol: Chinese brands take root in Spain</t>
  </si>
  <si>
    <t>A business bridge between Spain and China: Repsol signs an alliance with Omoda and Jaecco, brands of the Chery group that already have a great presence in our...</t>
  </si>
  <si>
    <t>Positive due to expansion into international partnerships.</t>
  </si>
  <si>
    <t>unen fuerzas</t>
  </si>
  <si>
    <t>Positive for business expansion.</t>
  </si>
  <si>
    <t>Positivo para la expansión empresarial.</t>
  </si>
  <si>
    <r>
      <rPr>
        <rFont val="Arial, sans-serif"/>
        <color rgb="FF1155CC"/>
        <sz val="9.0"/>
        <u/>
      </rPr>
      <t>La Vanguardia</t>
    </r>
    <r>
      <rPr>
        <rFont val="Arial, sans-serif"/>
        <color rgb="FF1155CC"/>
        <sz val="15.0"/>
        <u/>
      </rPr>
      <t>Repsol se reúne con el gobierno de Venezuela en plena crisis diplomática con España</t>
    </r>
    <r>
      <rPr>
        <rFont val="Arial, sans-serif"/>
        <color rgb="FF1155CC"/>
        <sz val="11.0"/>
        <u/>
      </rPr>
      <t>Repsol mantuvo ayer una reunión con la vicepresidenta ejecutiva de Venezuela, Delcy Rodríguez, en plena crisis diplomática con España. El director de la...</t>
    </r>
    <r>
      <rPr>
        <rFont val="Arial, sans-serif"/>
        <color rgb="FF1155CC"/>
        <sz val="12.0"/>
        <u/>
      </rPr>
      <t>.</t>
    </r>
    <r>
      <rPr>
        <rFont val="Arial, sans-serif"/>
        <color rgb="FF1155CC"/>
        <sz val="11.0"/>
        <u/>
      </rPr>
      <t>14 sept 2024</t>
    </r>
  </si>
  <si>
    <t>Repsol se reúne con el gobierno de Venezuela en plena crisis diplomática con España</t>
  </si>
  <si>
    <t>Repsol mantuvo ayer una reunión con la vicepresidenta ejecutiva de Venezuela, Delcy Rodríguez, en plena crisis diplomática con España. El director de la....</t>
  </si>
  <si>
    <t>Repsol meets with the government of Venezuela in the midst of a diplomatic crisis with Spain</t>
  </si>
  <si>
    <t>Yesterday Repsol held a meeting with the executive vice president of Venezuela, Delcy Rodríguez, in the midst of the diplomatic crisis with Spain. The director of the....</t>
  </si>
  <si>
    <t>Slightly positive as it suggests diplomatic efforts to mitigate tensions.</t>
  </si>
  <si>
    <t>crisis</t>
  </si>
  <si>
    <r>
      <rPr>
        <rFont val="Arial, sans-serif"/>
        <color rgb="FF1155CC"/>
        <sz val="9.0"/>
        <u/>
      </rPr>
      <t>Segre.com</t>
    </r>
    <r>
      <rPr>
        <rFont val="Arial, sans-serif"/>
        <color rgb="FF1155CC"/>
        <sz val="15.0"/>
        <u/>
      </rPr>
      <t>Repsol aboga por todas las tecnologías, de la electrificación al combustible tradicional</t>
    </r>
    <r>
      <rPr>
        <rFont val="Arial, sans-serif"/>
        <color rgb="FF1155CC"/>
        <sz val="11.0"/>
        <u/>
      </rPr>
      <t>El presidente de la compañía defiende esta apuesta en Lleida como clave en una economía en crecimiento. Brufau alerta del envejecimiento del parque por la...</t>
    </r>
    <r>
      <rPr>
        <rFont val="Arial, sans-serif"/>
        <color rgb="FF1155CC"/>
        <sz val="12.0"/>
        <u/>
      </rPr>
      <t>.</t>
    </r>
    <r>
      <rPr>
        <rFont val="Arial, sans-serif"/>
        <color rgb="FF1155CC"/>
        <sz val="11.0"/>
        <u/>
      </rPr>
      <t>14 sept 2024</t>
    </r>
  </si>
  <si>
    <t>Segre.com</t>
  </si>
  <si>
    <t>Repsol aboga por todas las tecnologías, de la electrificación al combustible tradicional</t>
  </si>
  <si>
    <t>El presidente de la compañía defiende esta apuesta en Lleida como clave en una economía en crecimiento. Brufau alerta del envejecimiento del parque por la....</t>
  </si>
  <si>
    <t>Repsol advocates for all technologies, from electrification to traditional fuel</t>
  </si>
  <si>
    <t>The president of the company defends this commitment to Lleida as key to a growing economy. Brufau warns of the aging of the park due to...</t>
  </si>
  <si>
    <t>Repsol energy strategy, business direction</t>
  </si>
  <si>
    <t>Estrategia energética de Repsol, dirección empresarial</t>
  </si>
  <si>
    <t>Positive due to commitment to diverse energy solutions.</t>
  </si>
  <si>
    <t>aboga</t>
  </si>
  <si>
    <t>Positive for diversified strategy.</t>
  </si>
  <si>
    <t>Positivo para una estrategia diversificada.</t>
  </si>
  <si>
    <r>
      <rPr>
        <rFont val="Arial, sans-serif"/>
        <color rgb="FF1155CC"/>
        <sz val="9.0"/>
        <u/>
      </rPr>
      <t>EL PAÍS</t>
    </r>
    <r>
      <rPr>
        <rFont val="Arial, sans-serif"/>
        <color rgb="FF1155CC"/>
        <sz val="15.0"/>
        <u/>
      </rPr>
      <t>Maduro intenta tranquilizar a Repsol sobre sus inversiones en Venezuela en plena crisis con España</t>
    </r>
    <r>
      <rPr>
        <rFont val="Arial, sans-serif"/>
        <color rgb="FF1155CC"/>
        <sz val="11.0"/>
        <u/>
      </rPr>
      <t>El mandatario venezolano ordena a su 'número dos', Delcy Rodríguez, que reciba a directivos de la petrolera española.</t>
    </r>
    <r>
      <rPr>
        <rFont val="Arial, sans-serif"/>
        <color rgb="FF1155CC"/>
        <sz val="12.0"/>
        <u/>
      </rPr>
      <t>.</t>
    </r>
    <r>
      <rPr>
        <rFont val="Arial, sans-serif"/>
        <color rgb="FF1155CC"/>
        <sz val="11.0"/>
        <u/>
      </rPr>
      <t>14 sept 2024</t>
    </r>
  </si>
  <si>
    <t>Maduro intenta tranquilizar a Repsol sobre sus inversiones en Venezuela en plena crisis con España</t>
  </si>
  <si>
    <t>El mandatario venezolano ordena a su 'número dos', Delcy Rodríguez, que reciba a directivos de la petrolera española.</t>
  </si>
  <si>
    <t>Maduro tries to reassure Repsol about its investments in Venezuela in the midst of the crisis with Spain</t>
  </si>
  <si>
    <t>The Venezuelan president orders his 'number two', Delcy Rodríguez, to receive executives from the Spanish oil company.</t>
  </si>
  <si>
    <t>Slightly positive as it suggests an effort to stabilize business relations.</t>
  </si>
  <si>
    <t>tranquilizar</t>
  </si>
  <si>
    <t>Mildly positive for stability.</t>
  </si>
  <si>
    <t>Ligeramente positivo para la estabilidad.</t>
  </si>
  <si>
    <r>
      <rPr>
        <rFont val="Arial, sans-serif"/>
        <color rgb="FF1155CC"/>
        <sz val="9.0"/>
        <u/>
      </rPr>
      <t>El Nacional.cat</t>
    </r>
    <r>
      <rPr>
        <rFont val="Arial, sans-serif"/>
        <color rgb="FF1155CC"/>
        <sz val="15.0"/>
        <u/>
      </rPr>
      <t>Venezuela desvela reuniones con Repsol en plena crisis diplomática</t>
    </r>
    <r>
      <rPr>
        <rFont val="Arial, sans-serif"/>
        <color rgb="FF1155CC"/>
        <sz val="11.0"/>
        <u/>
      </rPr>
      <t>La vicepresidenta de Venezuela, Delcy Rodríguez, se reúne con el responsable de Repsol en el país.</t>
    </r>
    <r>
      <rPr>
        <rFont val="Arial, sans-serif"/>
        <color rgb="FF1155CC"/>
        <sz val="12.0"/>
        <u/>
      </rPr>
      <t>.</t>
    </r>
    <r>
      <rPr>
        <rFont val="Arial, sans-serif"/>
        <color rgb="FF1155CC"/>
        <sz val="11.0"/>
        <u/>
      </rPr>
      <t>14 sept 2024</t>
    </r>
  </si>
  <si>
    <t>Venezuela desvela reuniones con Repsol en plena crisis diplomática</t>
  </si>
  <si>
    <t>La vicepresidenta de Venezuela, Delcy Rodríguez, se reúne con el responsable de Repsol en el país.</t>
  </si>
  <si>
    <t>Venezuela reveals meetings with Repsol in the midst of a diplomatic crisis</t>
  </si>
  <si>
    <t>The vice president of Venezuela, Delcy Rodríguez, meets with the head of Repsol in the country.</t>
  </si>
  <si>
    <t>Slightly positive due to continued dialogue.</t>
  </si>
  <si>
    <t>Negative due to political context.</t>
  </si>
  <si>
    <t>Negativo debido al contexto político.</t>
  </si>
  <si>
    <r>
      <rPr>
        <rFont val="Arial, sans-serif"/>
        <color rgb="FF1155CC"/>
        <sz val="9.0"/>
        <u/>
      </rPr>
      <t>El Mundo</t>
    </r>
    <r>
      <rPr>
        <rFont val="Arial, sans-serif"/>
        <color rgb="FF1155CC"/>
        <sz val="15.0"/>
        <u/>
      </rPr>
      <t>Delcy Rodríguez convoca a Repsol "para cooperar" y escenifica que excluye el petróleo de cualquier eventual represalia a España</t>
    </r>
    <r>
      <rPr>
        <rFont val="Arial, sans-serif"/>
        <color rgb="FF1155CC"/>
        <sz val="11.0"/>
        <u/>
      </rPr>
      <t>La vicepresidenta ejecutiva de Venezuela, Delcy Rodríguez, empieza ya a ejercer su nueva cartera de ministra del Petróleo y convocó por sorpresa a Repsol...</t>
    </r>
    <r>
      <rPr>
        <rFont val="Arial, sans-serif"/>
        <color rgb="FF1155CC"/>
        <sz val="12.0"/>
        <u/>
      </rPr>
      <t>.</t>
    </r>
    <r>
      <rPr>
        <rFont val="Arial, sans-serif"/>
        <color rgb="FF1155CC"/>
        <sz val="11.0"/>
        <u/>
      </rPr>
      <t>14 sept 2024</t>
    </r>
  </si>
  <si>
    <t>Delcy Rodríguez convoca a Repsol "para cooperar" y escenifica que excluye el petróleo de cualquier eventual represalia a España</t>
  </si>
  <si>
    <t>La vicepresidenta ejecutiva de Venezuela, Delcy Rodríguez, empieza ya a ejercer su nueva cartera de ministra del Petróleo y convocó por sorpresa a Repsol.</t>
  </si>
  <si>
    <t>Delcy Rodríguez calls on Repsol "to cooperate" and states that she excludes oil from any possible retaliation against Spain</t>
  </si>
  <si>
    <t>The executive vice president of Venezuela, Delcy Rodríguez, is already beginning to exercise her new portfolio as Minister of Petroleum and summoned Repsol by surprise.</t>
  </si>
  <si>
    <t>Slightly positive as it indicates an exemption of Repsol from political tensions.</t>
  </si>
  <si>
    <t>cooperar</t>
  </si>
  <si>
    <t>Positive for diplomatic cooperation.</t>
  </si>
  <si>
    <t>Positivo para la cooperación diplomática.</t>
  </si>
  <si>
    <r>
      <rPr>
        <rFont val="Arial, sans-serif"/>
        <color rgb="FF1155CC"/>
        <sz val="9.0"/>
        <u/>
      </rPr>
      <t>Guía Repsol</t>
    </r>
    <r>
      <rPr>
        <rFont val="Arial, sans-serif"/>
        <color rgb="FF1155CC"/>
        <sz val="15.0"/>
        <u/>
      </rPr>
      <t>Desayunar, pintxos y comer en los barrios de Parte Vieja y Gros de San Sebastián</t>
    </r>
    <r>
      <rPr>
        <rFont val="Arial, sans-serif"/>
        <color rgb="FF1155CC"/>
        <sz val="11.0"/>
        <u/>
      </rPr>
      <t>Te presentamos los mejores sitios de pintxos de San Sebastián, restaurantes y demás, para que cuando escogas dónde comer en San Sebastián, aciertes sí o sí.</t>
    </r>
    <r>
      <rPr>
        <rFont val="Arial, sans-serif"/>
        <color rgb="FF1155CC"/>
        <sz val="12.0"/>
        <u/>
      </rPr>
      <t>.</t>
    </r>
    <r>
      <rPr>
        <rFont val="Arial, sans-serif"/>
        <color rgb="FF1155CC"/>
        <sz val="11.0"/>
        <u/>
      </rPr>
      <t>14 sept 2024</t>
    </r>
  </si>
  <si>
    <t>Desayunar, pintxos y comer en los barrios de Parte Vieja y Gros de San Sebastián</t>
  </si>
  <si>
    <t>Te presentamos los mejores sitios de pintxos de San Sebastián, restaurantes y demás, para que cuando escogas dónde comer en San Sebastián, aciertes sí o sí.</t>
  </si>
  <si>
    <t>Have breakfast, pintxos and lunch in the Parte Vieja and Gros neighborhoods of San Sebastián</t>
  </si>
  <si>
    <t>We present you the best pintxos places in San Sebastián, restaurants and more, so that when you choose where to eat in San Sebastián, you are right.</t>
  </si>
  <si>
    <r>
      <rPr>
        <rFont val="Arial, sans-serif"/>
        <color rgb="FF1155CC"/>
        <sz val="9.0"/>
        <u/>
      </rPr>
      <t>OkDiario</t>
    </r>
    <r>
      <rPr>
        <rFont val="Arial, sans-serif"/>
        <color rgb="FF1155CC"/>
        <sz val="15.0"/>
        <u/>
      </rPr>
      <t>La dictadura de Maduro se reúne con Repsol tras amenazar con su expulsión de Venezuela</t>
    </r>
    <r>
      <rPr>
        <rFont val="Arial, sans-serif"/>
        <color rgb="FF1155CC"/>
        <sz val="11.0"/>
        <u/>
      </rPr>
      <t>Delcy Rodríguez, vicepresidenta del régimen de Nicolás Maduro, se ha reunido en las últimas horas con el director de Negocios de Repsol.</t>
    </r>
    <r>
      <rPr>
        <rFont val="Arial, sans-serif"/>
        <color rgb="FF1155CC"/>
        <sz val="12.0"/>
        <u/>
      </rPr>
      <t>.</t>
    </r>
    <r>
      <rPr>
        <rFont val="Arial, sans-serif"/>
        <color rgb="FF1155CC"/>
        <sz val="11.0"/>
        <u/>
      </rPr>
      <t>14 sept 2024</t>
    </r>
  </si>
  <si>
    <t>La dictadura de Maduro se reúne con Repsol tras amenazar con su expulsión de Venezuela</t>
  </si>
  <si>
    <t>Delcy Rodríguez, vicepresidenta del régimen de Nicolás Maduro, se ha reunido en las últimas horas con el director de Negocios de Repsol.</t>
  </si>
  <si>
    <t>The Maduro dictatorship meets with Repsol after threatening to expel him from Venezuela</t>
  </si>
  <si>
    <t>Delcy Rodríguez, vice president of the Nicolás Maduro regime, has met in the last few hours with the Business Director of Repsol.</t>
  </si>
  <si>
    <t>Negative due to the continued political and economic uncertainty surrounding Repsol.</t>
  </si>
  <si>
    <t>amenazar, expulsión</t>
  </si>
  <si>
    <t>Strongly negative due to political threats.</t>
  </si>
  <si>
    <t>Fuertemente negativo debido a amenazas políticas.</t>
  </si>
  <si>
    <r>
      <rPr>
        <rFont val="Arial, sans-serif"/>
        <color rgb="FF1155CC"/>
        <sz val="9.0"/>
        <u/>
      </rPr>
      <t>Expansión</t>
    </r>
    <r>
      <rPr>
        <rFont val="Arial, sans-serif"/>
        <color rgb="FF1155CC"/>
        <sz val="15.0"/>
        <u/>
      </rPr>
      <t>El conflicto España-Venezuela deja atrapados 1.000 millones de Repsol</t>
    </r>
    <r>
      <rPr>
        <rFont val="Arial, sans-serif"/>
        <color rgb="FF1155CC"/>
        <sz val="11.0"/>
        <u/>
      </rPr>
      <t>Repsol será la empresa española más afectada en el caso de que la escalada de tensión diplomática entre España y Venezuela desemboque en la ruptura total de...</t>
    </r>
    <r>
      <rPr>
        <rFont val="Arial, sans-serif"/>
        <color rgb="FF1155CC"/>
        <sz val="12.0"/>
        <u/>
      </rPr>
      <t>.</t>
    </r>
    <r>
      <rPr>
        <rFont val="Arial, sans-serif"/>
        <color rgb="FF1155CC"/>
        <sz val="11.0"/>
        <u/>
      </rPr>
      <t>14 sept 2024</t>
    </r>
  </si>
  <si>
    <t>El conflicto España-Venezuela deja atrapados 1.000 millones de Repsol</t>
  </si>
  <si>
    <t>Repsol será la empresa española más afectada en el caso de que la escalada de tensión diplomática entre España y Venezuela desemboque en la ruptura total de....</t>
  </si>
  <si>
    <t>The Spain-Venezuela conflict leaves 1,000 million Repsol trapped</t>
  </si>
  <si>
    <t>Repsol will be the Spanish company most affected in the event that the escalation of diplomatic tension between Spain and Venezuela leads to the total rupture of...</t>
  </si>
  <si>
    <t>Highly negative due to financial risks associated with the geopolitical crisis.</t>
  </si>
  <si>
    <t>atrapados</t>
  </si>
  <si>
    <t>Negative for financial risks.</t>
  </si>
  <si>
    <t>Negativo para riesgos financieros.</t>
  </si>
  <si>
    <r>
      <rPr>
        <rFont val="Arial, sans-serif"/>
        <color rgb="FF1155CC"/>
        <sz val="9.0"/>
        <u/>
      </rPr>
      <t>El HuffPost</t>
    </r>
    <r>
      <rPr>
        <rFont val="Arial, sans-serif"/>
        <color rgb="FF1155CC"/>
        <sz val="15.0"/>
        <u/>
      </rPr>
      <t>Delcy Rodríguez se reúne con Repsol para discutir planes de "cooperación energética"</t>
    </r>
    <r>
      <rPr>
        <rFont val="Arial, sans-serif"/>
        <color rgb="FF1155CC"/>
        <sz val="11.0"/>
        <u/>
      </rPr>
      <t>La vicepresidenta y ministra de Petróleo de Nicolás Maduro también ha admitido que la colaboración con la energética española ha permitido ampliar la...</t>
    </r>
    <r>
      <rPr>
        <rFont val="Arial, sans-serif"/>
        <color rgb="FF1155CC"/>
        <sz val="12.0"/>
        <u/>
      </rPr>
      <t>.</t>
    </r>
    <r>
      <rPr>
        <rFont val="Arial, sans-serif"/>
        <color rgb="FF1155CC"/>
        <sz val="11.0"/>
        <u/>
      </rPr>
      <t>14 sept 2024</t>
    </r>
  </si>
  <si>
    <t>Delcy Rodríguez se reúne con Repsol para discutir planes de "cooperación energética"</t>
  </si>
  <si>
    <t>La vicepresidenta y ministra de Petróleo de Nicolás Maduro también ha admitido que la colaboración con la energética española ha permitido ampliar la....</t>
  </si>
  <si>
    <t>Delcy Rodríguez meets with Repsol to discuss "energy cooperation" plans</t>
  </si>
  <si>
    <t>The vice president and Minister of Petroleum of Nicolás Maduro has also admitted that the collaboration with the Spanish energy company has allowed us to expand the...</t>
  </si>
  <si>
    <t>Slightly positive due to discussions on energy cooperation despite tensions.</t>
  </si>
  <si>
    <t>cooperación</t>
  </si>
  <si>
    <t>Positive for collaboration.</t>
  </si>
  <si>
    <t>Positivo para la colaboración.</t>
  </si>
  <si>
    <r>
      <rPr>
        <rFont val="Arial, sans-serif"/>
        <color rgb="FF1155CC"/>
        <sz val="9.0"/>
        <u/>
      </rPr>
      <t>Telecinco</t>
    </r>
    <r>
      <rPr>
        <rFont val="Arial, sans-serif"/>
        <color rgb="FF1155CC"/>
        <sz val="15.0"/>
        <u/>
      </rPr>
      <t>Delcy Rodríguez se reúne con Repsol</t>
    </r>
    <r>
      <rPr>
        <rFont val="Arial, sans-serif"/>
        <color rgb="FF1155CC"/>
        <sz val="11.0"/>
        <u/>
      </rPr>
      <t>La vicepresidenta ejecutiva de Venezuela, Delcy Rodríguez, se ha reunido en las últimas horas con el director de la unidad de negocios de Repsol.</t>
    </r>
    <r>
      <rPr>
        <rFont val="Arial, sans-serif"/>
        <color rgb="FF1155CC"/>
        <sz val="12.0"/>
        <u/>
      </rPr>
      <t>.</t>
    </r>
    <r>
      <rPr>
        <rFont val="Arial, sans-serif"/>
        <color rgb="FF1155CC"/>
        <sz val="11.0"/>
        <u/>
      </rPr>
      <t>14 sept 2024</t>
    </r>
  </si>
  <si>
    <t>Delcy Rodríguez se reúne con Repsol</t>
  </si>
  <si>
    <t>La vicepresidenta ejecutiva de Venezuela, Delcy Rodríguez, se ha reunido en las últimas horas con el director de la unidad de negocios de Repsol.</t>
  </si>
  <si>
    <t>Delcy Rodríguez meets with Repsol</t>
  </si>
  <si>
    <t>The executive vice president of Venezuela, Delcy Rodríguez, has met in the last few hours with the director of the Repsol business unit.</t>
  </si>
  <si>
    <t>Slightly positive due to ongoing negotiations.</t>
  </si>
  <si>
    <r>
      <rPr>
        <rFont val="Arial, sans-serif"/>
        <color rgb="FF1155CC"/>
        <sz val="9.0"/>
        <u/>
      </rPr>
      <t>Antena 3</t>
    </r>
    <r>
      <rPr>
        <rFont val="Arial, sans-serif"/>
        <color rgb="FF1155CC"/>
        <sz val="15.0"/>
        <u/>
      </rPr>
      <t>Calma tensa en las relaciones comerciales entre España y Venezuela tras la reunión entre Delcy Rodríguez y Rep</t>
    </r>
    <r>
      <rPr>
        <rFont val="Arial, sans-serif"/>
        <color rgb="FF1155CC"/>
        <sz val="11.0"/>
        <u/>
      </rPr>
      <t>La vicepresidenta de Venezuela, Delcy Rodríguez, se ha reunido con el director de la unidad de negocio de Repsol en el país. Ambas partes han trasladado un...</t>
    </r>
    <r>
      <rPr>
        <rFont val="Arial, sans-serif"/>
        <color rgb="FF1155CC"/>
        <sz val="12.0"/>
        <u/>
      </rPr>
      <t>.</t>
    </r>
    <r>
      <rPr>
        <rFont val="Arial, sans-serif"/>
        <color rgb="FF1155CC"/>
        <sz val="11.0"/>
        <u/>
      </rPr>
      <t>14 sept 2024</t>
    </r>
  </si>
  <si>
    <t>Calma tensa en las relaciones comerciales entre España y Venezuela tras la reunión entre Delcy Rodríguez y Repsol</t>
  </si>
  <si>
    <t>La vicepresidenta de Venezuela, Delcy Rodríguez, se ha reunido con el director de la unidad de negocio de Repsol en el país. Ambas partes han trasladado un....</t>
  </si>
  <si>
    <t>Tense calm in commercial relations between Spain and Venezuela after the meeting between Delcy Rodríguez and Repsol</t>
  </si>
  <si>
    <t>The vice president of Venezuela, Delcy Rodríguez, has met with the director of Repsol's business unit in the country. Both parties have transferred a...</t>
  </si>
  <si>
    <t>Slightly positive due to continued diplomatic engagement.</t>
  </si>
  <si>
    <t>tensa</t>
  </si>
  <si>
    <t>Negative due to unresolved tension.</t>
  </si>
  <si>
    <t>Negativo por tensión no resuelta.</t>
  </si>
  <si>
    <r>
      <rPr>
        <rFont val="Arial, sans-serif"/>
        <color rgb="FF1155CC"/>
        <sz val="9.0"/>
        <u/>
      </rPr>
      <t>ANSA Latina</t>
    </r>
    <r>
      <rPr>
        <rFont val="Arial, sans-serif"/>
        <color rgb="FF1155CC"/>
        <sz val="15.0"/>
        <u/>
      </rPr>
      <t>Caracas y REPSOL juntos en 'cooperación energética'</t>
    </r>
    <r>
      <rPr>
        <rFont val="Arial, sans-serif"/>
        <color rgb="FF1155CC"/>
        <sz val="11.0"/>
        <u/>
      </rPr>
      <t>La vicepresidenta venezolana, Delcy Rodríguez, se reunió en Caracas con el director de la Unidad de Negocios de la española REPSOL en Venezuela,...</t>
    </r>
    <r>
      <rPr>
        <rFont val="Arial, sans-serif"/>
        <color rgb="FF1155CC"/>
        <sz val="12.0"/>
        <u/>
      </rPr>
      <t>.</t>
    </r>
    <r>
      <rPr>
        <rFont val="Arial, sans-serif"/>
        <color rgb="FF1155CC"/>
        <sz val="11.0"/>
        <u/>
      </rPr>
      <t>14 sept 2024</t>
    </r>
  </si>
  <si>
    <t>ANSA Latina</t>
  </si>
  <si>
    <t>Caracas y REPSOL juntos en 'cooperación energética'</t>
  </si>
  <si>
    <t>La vicepresidenta venezolana, Delcy Rodríguez, se reunió en Caracas con el director de la Unidad de Negocios de la española REPSOL en Venezuela,....</t>
  </si>
  <si>
    <t>Caracas and REPSOL together in 'energy cooperation'</t>
  </si>
  <si>
    <t>The Venezuelan vice president, Delcy Rodríguez, met in Caracas with the director of the Business Unit of the Spanish REPSOL in Venezuela,....</t>
  </si>
  <si>
    <t>Slightly positive as cooperation continues.</t>
  </si>
  <si>
    <t>Positive for partnership.</t>
  </si>
  <si>
    <t>Positivo para la asociación.</t>
  </si>
  <si>
    <r>
      <rPr>
        <rFont val="Arial, sans-serif"/>
        <color rgb="FF1155CC"/>
        <sz val="9.0"/>
        <u/>
      </rPr>
      <t>14yMedio</t>
    </r>
    <r>
      <rPr>
        <rFont val="Arial, sans-serif"/>
        <color rgb="FF1155CC"/>
        <sz val="15.0"/>
        <u/>
      </rPr>
      <t>Venezuela y la española Repsol evalúan alianzas para avanzar en la "cooperación energética"</t>
    </r>
    <r>
      <rPr>
        <rFont val="Arial, sans-serif"/>
        <color rgb="FF1155CC"/>
        <sz val="11.0"/>
        <u/>
      </rPr>
      <t>Caracas/La vicepresidenta ejecutiva de Venezuela, Delcy Rodríguez, se reunió con el director de la unidad de Negocios de la española Repsol en Venezuela,...</t>
    </r>
    <r>
      <rPr>
        <rFont val="Arial, sans-serif"/>
        <color rgb="FF1155CC"/>
        <sz val="12.0"/>
        <u/>
      </rPr>
      <t>.</t>
    </r>
    <r>
      <rPr>
        <rFont val="Arial, sans-serif"/>
        <color rgb="FF1155CC"/>
        <sz val="11.0"/>
        <u/>
      </rPr>
      <t>14 sept 2024</t>
    </r>
  </si>
  <si>
    <t>MedioVenezuela</t>
  </si>
  <si>
    <t>Venezuela y la española Repsol evalúan alianzas para avanzar en la "cooperación energética"</t>
  </si>
  <si>
    <t>La vicepresidenta ejecutiva de Venezuela, Delcy Rodríguez, se reunió con el director de la unidad de Negocios de la española Repsol en Venezuela.</t>
  </si>
  <si>
    <t>Venezuela and the Spanish Repsol evaluate alliances to advance in "energy cooperation"</t>
  </si>
  <si>
    <t>The executive vice president of Venezuela, Delcy Rodríguez, met with the director of the Business unit of the Spanish Repsol in Venezuela.</t>
  </si>
  <si>
    <t>Slightly positive due to business cooperation.</t>
  </si>
  <si>
    <t>alianzas, cooperación</t>
  </si>
  <si>
    <t>Positive for strategic alignment.</t>
  </si>
  <si>
    <t>Positivo para el alineamiento estratégico.</t>
  </si>
  <si>
    <r>
      <rPr>
        <rFont val="Arial, sans-serif"/>
        <color rgb="FF1155CC"/>
        <sz val="9.0"/>
        <u/>
      </rPr>
      <t>Relevo</t>
    </r>
    <r>
      <rPr>
        <rFont val="Arial, sans-serif"/>
        <color rgb="FF1155CC"/>
        <sz val="15.0"/>
        <u/>
      </rPr>
      <t>La falta de avances en Honda comienza a inquietar a sus pilotos: «Los japoneses ven la preocupación en mi cara</t>
    </r>
    <r>
      <rPr>
        <rFont val="Arial, sans-serif"/>
        <color rgb="FF1155CC"/>
        <sz val="11.0"/>
        <u/>
      </rPr>
      <t>El test del pasado martes en Misano dejó malas sensaciones dentro del box del Repsol Honda.</t>
    </r>
    <r>
      <rPr>
        <rFont val="Arial, sans-serif"/>
        <color rgb="FF1155CC"/>
        <sz val="12.0"/>
        <u/>
      </rPr>
      <t>.</t>
    </r>
    <r>
      <rPr>
        <rFont val="Arial, sans-serif"/>
        <color rgb="FF1155CC"/>
        <sz val="11.0"/>
        <u/>
      </rPr>
      <t>14 sept 2024</t>
    </r>
  </si>
  <si>
    <t>La falta de avances en Honda comienza a inquietar a sus pilotos: «Los japoneses ven la preocupación en mi cara»</t>
  </si>
  <si>
    <t>La falta de avances en Honda comienza a inquietar a sus pilotos: «Los japoneses ven la preocupación en mi cara». El test del pasado martes en Misano dejó malas sensaciones dentro del box del Repsol Honda.</t>
  </si>
  <si>
    <t>The lack of progress at Honda is beginning to worry its drivers: "The Japanese see the concern in my face"</t>
  </si>
  <si>
    <t>The lack of progress at Honda is beginning to worry its drivers: "The Japanese see the concern in my face." Last Tuesday's test in Misano left bad feelings inside the Repsol Honda box.</t>
  </si>
  <si>
    <r>
      <rPr>
        <rFont val="Arial, sans-serif"/>
        <color rgb="FF1155CC"/>
        <sz val="9.0"/>
        <u/>
      </rPr>
      <t>El Observador</t>
    </r>
    <r>
      <rPr>
        <rFont val="Arial, sans-serif"/>
        <color rgb="FF1155CC"/>
        <sz val="15.0"/>
        <u/>
      </rPr>
      <t>Al borde de la ruptura con España, el chavismo igual negocia "alianzas estratégicas" con Repsol</t>
    </r>
    <r>
      <rPr>
        <rFont val="Arial, sans-serif"/>
        <color rgb="FF1155CC"/>
        <sz val="11.0"/>
        <u/>
      </rPr>
      <t>La vicepresidenta de Venezuela, Delcy Rodríguez, se reunió en Caracas con directivos de la petrolera española. El chavismo intenta mostrar que la relación...</t>
    </r>
    <r>
      <rPr>
        <rFont val="Arial, sans-serif"/>
        <color rgb="FF1155CC"/>
        <sz val="12.0"/>
        <u/>
      </rPr>
      <t>.</t>
    </r>
    <r>
      <rPr>
        <rFont val="Arial, sans-serif"/>
        <color rgb="FF1155CC"/>
        <sz val="11.0"/>
        <u/>
      </rPr>
      <t>14 sept 2024</t>
    </r>
  </si>
  <si>
    <t>Al borde de la ruptura con España, el chavismo igual negocia "alianzas estratégicas" con Repsol</t>
  </si>
  <si>
    <t>La vicepresidenta de Venezuela, Delcy Rodríguez, se reunió en Caracas con directivos de la petrolera española. El chavismo intenta mostrar que la relación....</t>
  </si>
  <si>
    <t>On the verge of breaking with Spain, Chavismo is still negotiating "strategic alliances" with Repsol</t>
  </si>
  <si>
    <t>The vice president of Venezuela, Delcy Rodríguez, met in Caracas with directors of the Spanish oil company. Chavismo tries to show that the relationship...</t>
  </si>
  <si>
    <t>Slightly positive as discussions are ongoing despite diplomatic tensions.</t>
  </si>
  <si>
    <t>Mixed; negative context but positive talks.</t>
  </si>
  <si>
    <t>Mezclado; contexto negativo pero conversaciones positivas.</t>
  </si>
  <si>
    <r>
      <rPr>
        <rFont val="Arial, sans-serif"/>
        <color rgb="FF1155CC"/>
        <sz val="9.0"/>
        <u/>
      </rPr>
      <t>Efecto Cocuyo</t>
    </r>
    <r>
      <rPr>
        <rFont val="Arial, sans-serif"/>
        <color rgb="FF1155CC"/>
        <sz val="15.0"/>
        <u/>
      </rPr>
      <t>Delcy Rodríguez se reúne con petrolera de España para avanzar en cooperación estratégica</t>
    </r>
    <r>
      <rPr>
        <rFont val="Arial, sans-serif"/>
        <color rgb="FF1155CC"/>
        <sz val="11.0"/>
        <u/>
      </rPr>
      <t>Delcy Rodríguez, se reunió este sábado con el director de la unidad de Negocios de la firma petrolera española Repsol en Venezuela.</t>
    </r>
    <r>
      <rPr>
        <rFont val="Arial, sans-serif"/>
        <color rgb="FF1155CC"/>
        <sz val="12.0"/>
        <u/>
      </rPr>
      <t>.</t>
    </r>
    <r>
      <rPr>
        <rFont val="Arial, sans-serif"/>
        <color rgb="FF1155CC"/>
        <sz val="11.0"/>
        <u/>
      </rPr>
      <t>14 sept 2024</t>
    </r>
  </si>
  <si>
    <t>Efecto Cocuyo</t>
  </si>
  <si>
    <t>Delcy Rodríguez se reúne con petrolera de España para avanzar en cooperación estratégica</t>
  </si>
  <si>
    <t>Delcy Rodríguez, se reunió este sábado con el director de la unidad de Negocios de la firma petrolera española Repsol en Venezuela.</t>
  </si>
  <si>
    <t>Delcy Rodríguez meets with Spanish oil company to advance strategic cooperation</t>
  </si>
  <si>
    <t>Delcy Rodríguez met this Saturday with the director of the Business unit of the Spanish oil company Repsol in Venezuela.</t>
  </si>
  <si>
    <t>Slightly positive as it indicates progress in business relations.</t>
  </si>
  <si>
    <t>Positive for diplomacy.</t>
  </si>
  <si>
    <t>Positivo para la diplomacia.</t>
  </si>
  <si>
    <r>
      <rPr>
        <rFont val="Arial, sans-serif"/>
        <color rgb="FF1155CC"/>
        <sz val="9.0"/>
        <u/>
      </rPr>
      <t>Efecto Cocuyo</t>
    </r>
    <r>
      <rPr>
        <rFont val="Arial, sans-serif"/>
        <color rgb="FF1155CC"/>
        <sz val="15.0"/>
        <u/>
      </rPr>
      <t>Qué rol juegan Repsol y otras petroleras europeas en la producción venezolana</t>
    </r>
    <r>
      <rPr>
        <rFont val="Arial, sans-serif"/>
        <color rgb="FF1155CC"/>
        <sz val="11.0"/>
        <u/>
      </rPr>
      <t>Se estima que las petroleras europeas producen ahora entre 50.000 y 60.000 barriles diarios junto a Pdvsa.</t>
    </r>
    <r>
      <rPr>
        <rFont val="Arial, sans-serif"/>
        <color rgb="FF1155CC"/>
        <sz val="12.0"/>
        <u/>
      </rPr>
      <t>.</t>
    </r>
    <r>
      <rPr>
        <rFont val="Arial, sans-serif"/>
        <color rgb="FF1155CC"/>
        <sz val="11.0"/>
        <u/>
      </rPr>
      <t>14 sept 2024</t>
    </r>
  </si>
  <si>
    <t>Qué rol juegan Repsol y otras petroleras europeas en la producción venezolana</t>
  </si>
  <si>
    <t>Se estima que las petroleras europeas producen ahora entre 50.000 y 60.000 barriles diarios junto a Pdvsa.</t>
  </si>
  <si>
    <t>What role do Repsol and other European oil companies play in Venezuelan production?</t>
  </si>
  <si>
    <t>It is estimated that European oil companies now produce between 50,000 and 60,000 barrels per day together with PDVSA.</t>
  </si>
  <si>
    <t>Repsol energy market, business operations</t>
  </si>
  <si>
    <t>Mercado energético de Repsol, operaciones empresariales</t>
  </si>
  <si>
    <t>Positive as Repsol plays a significant role in production.</t>
  </si>
  <si>
    <t>Neutral; factual analysis.</t>
  </si>
  <si>
    <t>Neutral; análisis fáctico.</t>
  </si>
  <si>
    <r>
      <rPr>
        <rFont val="Arial, sans-serif"/>
        <color rgb="FF1155CC"/>
        <sz val="9.0"/>
        <u/>
      </rPr>
      <t>thediplomatinspain.com</t>
    </r>
    <r>
      <rPr>
        <rFont val="Arial, sans-serif"/>
        <color rgb="FF1155CC"/>
        <sz val="15.0"/>
        <u/>
      </rPr>
      <t>Delcy Rodríguez se reúne con Repsol en plena crisis diplomática entre España y Venezuela</t>
    </r>
    <r>
      <rPr>
        <rFont val="Arial, sans-serif"/>
        <color rgb="FF1155CC"/>
        <sz val="11.0"/>
        <u/>
      </rPr>
      <t>La vicepresidenta de Venezuela, Delcy Rodríguez, se ha reunido en Caracas con el director de la unidad de negocios de Repsol en ese país.</t>
    </r>
    <r>
      <rPr>
        <rFont val="Arial, sans-serif"/>
        <color rgb="FF1155CC"/>
        <sz val="12.0"/>
        <u/>
      </rPr>
      <t>.</t>
    </r>
    <r>
      <rPr>
        <rFont val="Arial, sans-serif"/>
        <color rgb="FF1155CC"/>
        <sz val="11.0"/>
        <u/>
      </rPr>
      <t>15 sept 2024</t>
    </r>
  </si>
  <si>
    <t>thediplomatinspain.com</t>
  </si>
  <si>
    <t>Delcy Rodríguez se reúne con Repsol en plena crisis diplomática entre España y Venezuela</t>
  </si>
  <si>
    <t>La vicepresidenta de Venezuela, Delcy Rodríguez, se ha reunido en Caracas con el director de la unidad de negocios de Repsol en ese país.</t>
  </si>
  <si>
    <t>Delcy Rodríguez meets with Repsol in the midst of the diplomatic crisis between Spain and Venezuela</t>
  </si>
  <si>
    <t>The vice president of Venezuela, Delcy Rodríguez, met in Caracas with the director of the Repsol business unit in that country.</t>
  </si>
  <si>
    <t>Slightly positive due to continued engagement.</t>
  </si>
  <si>
    <r>
      <rPr>
        <rFont val="Arial, sans-serif"/>
        <color rgb="FF1155CC"/>
        <sz val="9.0"/>
        <u/>
      </rPr>
      <t>El Economista</t>
    </r>
    <r>
      <rPr>
        <rFont val="Arial, sans-serif"/>
        <color rgb="FF1155CC"/>
        <sz val="15.0"/>
        <u/>
      </rPr>
      <t>La caída del precio del petróleo mete a Repsol en 'La Cartera' en una segunda operación</t>
    </r>
    <r>
      <rPr>
        <rFont val="Arial, sans-serif"/>
        <color rgb="FF1155CC"/>
        <sz val="11.0"/>
        <u/>
      </rPr>
      <t>El precio del petróleo cotizado se desplomó el pasado martes hasta situar al barril Brent, de referencia en Europa, por debajo de los 69 ...</t>
    </r>
    <r>
      <rPr>
        <rFont val="Arial, sans-serif"/>
        <color rgb="FF1155CC"/>
        <sz val="12.0"/>
        <u/>
      </rPr>
      <t>.</t>
    </r>
    <r>
      <rPr>
        <rFont val="Arial, sans-serif"/>
        <color rgb="FF1155CC"/>
        <sz val="11.0"/>
        <u/>
      </rPr>
      <t>15 sept 2024</t>
    </r>
  </si>
  <si>
    <t>La caída del precio del petróleo mete a Repsol en 'La Cartera' en una segunda operación</t>
  </si>
  <si>
    <t>El precio del petróleo cotizado se desplomó el pasado martes hasta situar al barril Brent, de referencia en Europa, por debajo de los 69 ....</t>
  </si>
  <si>
    <t>The fall in the price of oil puts Repsol in 'The Portfolio' in a second operation</t>
  </si>
  <si>
    <t>The price of quoted oil plummeted last Tuesday to place the Brent barrel, the benchmark in Europe, below 69....</t>
  </si>
  <si>
    <t>Negative due to declining oil prices affecting Repsol’s stock.</t>
  </si>
  <si>
    <r>
      <rPr>
        <rFont val="Arial, sans-serif"/>
        <color rgb="FF1155CC"/>
        <sz val="9.0"/>
        <u/>
      </rPr>
      <t>El Periódico de la Energía</t>
    </r>
    <r>
      <rPr>
        <rFont val="Arial, sans-serif"/>
        <color rgb="FF1155CC"/>
        <sz val="15.0"/>
        <u/>
      </rPr>
      <t>Delcy Rodríguez se reúne con Repsol para discutir planes de "cooperación energética"</t>
    </r>
    <r>
      <rPr>
        <rFont val="Arial, sans-serif"/>
        <color rgb="FF1155CC"/>
        <sz val="11.0"/>
        <u/>
      </rPr>
      <t>La vicepresidenta de Venezuela se ha reunido con el director de negocios de Repsol para discutir las "alianzas con empresas" y avanzar en los planes de...</t>
    </r>
    <r>
      <rPr>
        <rFont val="Arial, sans-serif"/>
        <color rgb="FF1155CC"/>
        <sz val="12.0"/>
        <u/>
      </rPr>
      <t>.</t>
    </r>
    <r>
      <rPr>
        <rFont val="Arial, sans-serif"/>
        <color rgb="FF1155CC"/>
        <sz val="11.0"/>
        <u/>
      </rPr>
      <t>15 sept 2024</t>
    </r>
  </si>
  <si>
    <t>La vicepresidenta de Venezuela se ha reunido con el director de negocios de Repsol para discutir las "alianzas con empresas" y avanzar en los planes de....</t>
  </si>
  <si>
    <t>The vice president of Venezuela has met with the business director of Repsol to discuss "alliances with companies" and advance plans to...</t>
  </si>
  <si>
    <t>Slightly positive due to potential business agreements.</t>
  </si>
  <si>
    <r>
      <rPr>
        <rFont val="Arial, sans-serif"/>
        <color rgb="FF1155CC"/>
        <sz val="9.0"/>
        <u/>
      </rPr>
      <t>El Español</t>
    </r>
    <r>
      <rPr>
        <rFont val="Arial, sans-serif"/>
        <color rgb="FF1155CC"/>
        <sz val="15.0"/>
        <u/>
      </rPr>
      <t>Quién es quién en la carrera del hidrógeno español que mueve más de 25.000 millones de euros y 'enamora' a China</t>
    </r>
    <r>
      <rPr>
        <rFont val="Arial, sans-serif"/>
        <color rgb="FF1155CC"/>
        <sz val="11.0"/>
        <u/>
      </rPr>
      <t>Cepsa, Iberdrola, Repsol, CIP, Enagás, Naturgy o Envision buscan liderar la que es, para muchos, la gran revolución contra el cambio climático.</t>
    </r>
    <r>
      <rPr>
        <rFont val="Arial, sans-serif"/>
        <color rgb="FF1155CC"/>
        <sz val="12.0"/>
        <u/>
      </rPr>
      <t>.</t>
    </r>
    <r>
      <rPr>
        <rFont val="Arial, sans-serif"/>
        <color rgb="FF1155CC"/>
        <sz val="11.0"/>
        <u/>
      </rPr>
      <t>15 sept 2024</t>
    </r>
  </si>
  <si>
    <t>¿Quién es quién en la carrera del hidrógeno español que mueve más de 25.000 millones de euros y 'enamora' a China?</t>
  </si>
  <si>
    <t>Cepsa, Iberdrola, Repsol, CIP, Enagás, Naturgy o Envision buscan liderar la que es, para muchos, la gran revolución contra el cambio climático.</t>
  </si>
  <si>
    <t>Who is who in the Spanish hydrogen race that moves more than 25,000 million euros and China 'falls in love'?</t>
  </si>
  <si>
    <t>Cepsa, Iberdrola, Repsol, CIP, Enagás, Naturgy and Envision seek to lead what is, for many, the great revolution against climate change.</t>
  </si>
  <si>
    <t>Repsol hydrogen market, sustainability</t>
  </si>
  <si>
    <t>Mercado del hidrógeno Repsol, sostenibilidad</t>
  </si>
  <si>
    <t>Positive due to Repsol’s involvement in the hydrogen industry.</t>
  </si>
  <si>
    <t>Indirect; no direct Repsol sentiment.</t>
  </si>
  <si>
    <t>Indirecto; No hay sentimiento directo de Repsol.</t>
  </si>
  <si>
    <r>
      <rPr>
        <rFont val="Arial, sans-serif"/>
        <color rgb="FF1155CC"/>
        <sz val="9.0"/>
        <u/>
      </rPr>
      <t>Don Balón</t>
    </r>
    <r>
      <rPr>
        <rFont val="Arial, sans-serif"/>
        <color rgb="FF1155CC"/>
        <sz val="15.0"/>
        <u/>
      </rPr>
      <t>Un año después, Honda recibe otro palo de Marc Márquez: con el 93 se marcha un acuerdo histórico</t>
    </r>
    <r>
      <rPr>
        <rFont val="Arial, sans-serif"/>
        <color rgb="FF1155CC"/>
        <sz val="11.0"/>
        <u/>
      </rPr>
      <t>Un año después llegan más consecuencias al adiós de Marc Márquez de Honda: fin a la alianza con Repsol en MotoGP.</t>
    </r>
    <r>
      <rPr>
        <rFont val="Arial, sans-serif"/>
        <color rgb="FF1155CC"/>
        <sz val="12.0"/>
        <u/>
      </rPr>
      <t>.</t>
    </r>
    <r>
      <rPr>
        <rFont val="Arial, sans-serif"/>
        <color rgb="FF1155CC"/>
        <sz val="11.0"/>
        <u/>
      </rPr>
      <t>15 sept 2024</t>
    </r>
  </si>
  <si>
    <t>Don Balón</t>
  </si>
  <si>
    <t>Un año después, Honda recibe otro palo de Marc Márquez: con el 93 se marcha un acuerdo histórico.</t>
  </si>
  <si>
    <t>Un año después llegan más consecuencias al adiós de Marc Márquez de Honda: fin a la alianza con Repsol en MotoGP.</t>
  </si>
  <si>
    <t>A year later, Honda receives another blow from Marc Márquez: with the 93 they leave a historic agreement.</t>
  </si>
  <si>
    <t>A year later, more consequences come to Marc Márquez's goodbye to Honda: end to the alliance with Repsol in MotoGP.</t>
  </si>
  <si>
    <r>
      <rPr>
        <rFont val="Arial, sans-serif"/>
        <color rgb="FF1155CC"/>
        <sz val="9.0"/>
        <u/>
      </rPr>
      <t>MOTOSAN</t>
    </r>
    <r>
      <rPr>
        <rFont val="Arial, sans-serif"/>
        <color rgb="FF1155CC"/>
        <sz val="15.0"/>
        <u/>
      </rPr>
      <t>Santi Hernández: “Marc Márquez siempre saca un conejo de la chistera cuando menos te lo esperas”</t>
    </r>
    <r>
      <rPr>
        <rFont val="Arial, sans-serif"/>
        <color rgb="FF1155CC"/>
        <sz val="11.0"/>
        <u/>
      </rPr>
      <t>Santi Hernández habla tras la primera victoria de Marc Márquez con Ducati. Después de 1.043 días, Marc Márquez volvía a lo más alto del podio tras ganar.</t>
    </r>
    <r>
      <rPr>
        <rFont val="Arial, sans-serif"/>
        <color rgb="FF1155CC"/>
        <sz val="12.0"/>
        <u/>
      </rPr>
      <t>.</t>
    </r>
    <r>
      <rPr>
        <rFont val="Arial, sans-serif"/>
        <color rgb="FF1155CC"/>
        <sz val="11.0"/>
        <u/>
      </rPr>
      <t>15 sept 2024</t>
    </r>
  </si>
  <si>
    <t>Marc Márquez siempre saca un conejo de la chistera cuando menos te lo esperas</t>
  </si>
  <si>
    <t>Santi Hernández habla tras la primera victoria de Marc Márquez con Ducati. Después de 1.043 días, Marc Márquez volvía a lo más alto del podio tras ganar.</t>
  </si>
  <si>
    <t>Marc Márquez always pulls a rabbit out of the hat when you least expect it</t>
  </si>
  <si>
    <t>Santi Hernández speaks after Marc Márquez's first victory with Ducati. After 1,043 days, Marc Márquez returned to the top of the podium after winning.</t>
  </si>
  <si>
    <r>
      <rPr>
        <rFont val="Arial, sans-serif"/>
        <color rgb="FF1155CC"/>
        <sz val="9.0"/>
        <u/>
      </rPr>
      <t>diariolasamericas.com</t>
    </r>
    <r>
      <rPr>
        <rFont val="Arial, sans-serif"/>
        <color rgb="FF1155CC"/>
        <sz val="15.0"/>
        <u/>
      </rPr>
      <t>Petróleo, fuera del eventual fin de relaciones entre Venezuela y España</t>
    </r>
    <r>
      <rPr>
        <rFont val="Arial, sans-serif"/>
        <color rgb="FF1155CC"/>
        <sz val="11.0"/>
        <u/>
      </rPr>
      <t>La ministra de Petróleo, Delcy Rodríguez, se reunió con Repsol para preservar la cooperación energética, en medio de la crisis de relaciones de los dos...</t>
    </r>
    <r>
      <rPr>
        <rFont val="Arial, sans-serif"/>
        <color rgb="FF1155CC"/>
        <sz val="12.0"/>
        <u/>
      </rPr>
      <t>.</t>
    </r>
    <r>
      <rPr>
        <rFont val="Arial, sans-serif"/>
        <color rgb="FF1155CC"/>
        <sz val="11.0"/>
        <u/>
      </rPr>
      <t>15 sept 2024</t>
    </r>
  </si>
  <si>
    <t>diariolasamericas.com</t>
  </si>
  <si>
    <t>Petróleo, fuera del eventual fin de relaciones entre Venezuela y España</t>
  </si>
  <si>
    <t>La ministra de Petróleo, Delcy Rodríguez, se reunió con Repsol para preservar la cooperación energética, en medio de la crisis de relaciones de los dos.</t>
  </si>
  <si>
    <t>Oil, outside the eventual end of relations between Venezuela and Spain</t>
  </si>
  <si>
    <t>The Minister of Petroleum, Delcy Rodríguez, met with Repsol to preserve energy cooperation, in the midst of the crisis in relations between the two.</t>
  </si>
  <si>
    <t>Slightly positive due to reassurances about maintaining energy cooperation.</t>
  </si>
  <si>
    <t>Neutral; no direct impact.</t>
  </si>
  <si>
    <t>Neutral; sin impacto directo.</t>
  </si>
  <si>
    <r>
      <rPr>
        <rFont val="Arial, sans-serif"/>
        <color rgb="FF1155CC"/>
        <sz val="9.0"/>
        <u/>
      </rPr>
      <t>CIO España</t>
    </r>
    <r>
      <rPr>
        <rFont val="Arial, sans-serif"/>
        <color rgb="FF1155CC"/>
        <sz val="15.0"/>
        <u/>
      </rPr>
      <t>Talento joven y formación TI, la apuesta de Repsol para impulsar la digitalización</t>
    </r>
    <r>
      <rPr>
        <rFont val="Arial, sans-serif"/>
        <color rgb="FF1155CC"/>
        <sz val="11.0"/>
        <u/>
      </rPr>
      <t>El programa de 'onboarding' para perfiles recién titulados garantiza que se integre la perspectiva digital en distintas áreas de la compañía, a través de...</t>
    </r>
    <r>
      <rPr>
        <rFont val="Arial, sans-serif"/>
        <color rgb="FF1155CC"/>
        <sz val="12.0"/>
        <u/>
      </rPr>
      <t>.</t>
    </r>
    <r>
      <rPr>
        <rFont val="Arial, sans-serif"/>
        <color rgb="FF1155CC"/>
        <sz val="11.0"/>
        <u/>
      </rPr>
      <t>16 sept 2024</t>
    </r>
  </si>
  <si>
    <t>Talento joven y formación TI, la apuesta de Repsol para impulsar la digitalización</t>
  </si>
  <si>
    <t>El programa de 'onboarding' para perfiles recién titulados garantiza que se integre la perspectiva digital en distintas áreas de la compañía, a través de....</t>
  </si>
  <si>
    <t>Young talent and IT training, Repsol's commitment to promoting digitalization</t>
  </si>
  <si>
    <t>The 'onboarding' program for recently graduated profiles guarantees that the digital perspective is integrated into different areas of the company, through...</t>
  </si>
  <si>
    <t>Repsol digital transformation, business strategy</t>
  </si>
  <si>
    <t>Repsol transformación digital, estrategia de negocio</t>
  </si>
  <si>
    <t>Positive due to investment in digitalization and young talent.</t>
  </si>
  <si>
    <t>apuesta, impulsar</t>
  </si>
  <si>
    <t>Positive for innovation.</t>
  </si>
  <si>
    <t>Positivo para la innovación.</t>
  </si>
  <si>
    <r>
      <rPr>
        <rFont val="Arial, sans-serif"/>
        <color rgb="FF1155CC"/>
        <sz val="9.0"/>
        <u/>
      </rPr>
      <t>Expansión</t>
    </r>
    <r>
      <rPr>
        <rFont val="Arial, sans-serif"/>
        <color rgb="FF1155CC"/>
        <sz val="15.0"/>
        <u/>
      </rPr>
      <t>Repsol sufre en el Ibex: UBS rebaja su valoración un 32%</t>
    </r>
    <r>
      <rPr>
        <rFont val="Arial, sans-serif"/>
        <color rgb="FF1155CC"/>
        <sz val="11.0"/>
        <u/>
      </rPr>
      <t>El precio del petróleo sale de mínimos, pero Repsol se queda rezagado hoy en el Ibex. La reciente oleada de rebajas sobre el sector energético por parte de...</t>
    </r>
    <r>
      <rPr>
        <rFont val="Arial, sans-serif"/>
        <color rgb="FF1155CC"/>
        <sz val="12.0"/>
        <u/>
      </rPr>
      <t>.</t>
    </r>
    <r>
      <rPr>
        <rFont val="Arial, sans-serif"/>
        <color rgb="FF1155CC"/>
        <sz val="11.0"/>
        <u/>
      </rPr>
      <t>16 sept 2024</t>
    </r>
  </si>
  <si>
    <t>Repsol sufre en el Ibex: UBS rebaja su valoración un 32%</t>
  </si>
  <si>
    <t>El precio del petróleo sale de mínimos, pero Repsol se queda rezagado hoy en el Ibex. La reciente oleada de rebajas sobre el sector energético por parte de....</t>
  </si>
  <si>
    <t>Repsol suffers on the Ibex: UBS lowers its valuation by 32%</t>
  </si>
  <si>
    <t>The price of oil comes out of lows, but Repsol lags behind today on the Ibex. The recent wave of reductions in the energy sector by...</t>
  </si>
  <si>
    <t>Negative due to lowered valuation impacting stock performance.</t>
  </si>
  <si>
    <t>sufre, rebaja</t>
  </si>
  <si>
    <t>Strongly negative for financial outlook.</t>
  </si>
  <si>
    <t>Muy negativo para las perspectivas financieras.</t>
  </si>
  <si>
    <r>
      <rPr>
        <rFont val="Arial, sans-serif"/>
        <color rgb="FF1155CC"/>
        <sz val="9.0"/>
        <u/>
      </rPr>
      <t>OkDiario</t>
    </r>
    <r>
      <rPr>
        <rFont val="Arial, sans-serif"/>
        <color rgb="FF1155CC"/>
        <sz val="15.0"/>
        <u/>
      </rPr>
      <t>Repsol entorpece la financiación del régimen de Maduro: impide que Rusia o China le compren más petróleo</t>
    </r>
    <r>
      <rPr>
        <rFont val="Arial, sans-serif"/>
        <color rgb="FF1155CC"/>
        <sz val="11.0"/>
        <u/>
      </rPr>
      <t>La actividad de Repsol en Venezuela frena la financiación del régimen de Maduro al impedir que buena parte del crudo se venda a países.</t>
    </r>
    <r>
      <rPr>
        <rFont val="Arial, sans-serif"/>
        <color rgb="FF1155CC"/>
        <sz val="12.0"/>
        <u/>
      </rPr>
      <t>.</t>
    </r>
    <r>
      <rPr>
        <rFont val="Arial, sans-serif"/>
        <color rgb="FF1155CC"/>
        <sz val="11.0"/>
        <u/>
      </rPr>
      <t>16 sept 2024</t>
    </r>
  </si>
  <si>
    <t>Repsol entorpece la financiación del régimen de Maduro: impide que Rusia o China le compren más petróleo</t>
  </si>
  <si>
    <t>La actividad de Repsol en Venezuela frena la financiación del régimen de Maduro al impedir que buena parte del crudo se venda a países..</t>
  </si>
  <si>
    <t>Repsol hinders the financing of the Maduro regime: it prevents Russia or China from buying more oil</t>
  </si>
  <si>
    <t>Repsol's activity in Venezuela slows down the financing of the Maduro regime by preventing a good part of the crude oil from being sold to countries.</t>
  </si>
  <si>
    <t>Slightly positive as it indicates Repsol's strategic influence.</t>
  </si>
  <si>
    <t>entorpece</t>
  </si>
  <si>
    <t>Negative for geopolitical friction.</t>
  </si>
  <si>
    <t>Negativo por fricciones geopolíticas.</t>
  </si>
  <si>
    <r>
      <rPr>
        <rFont val="Arial, sans-serif"/>
        <color rgb="FF1155CC"/>
        <sz val="9.0"/>
        <u/>
      </rPr>
      <t>El Periódico de la Energía</t>
    </r>
    <r>
      <rPr>
        <rFont val="Arial, sans-serif"/>
        <color rgb="FF1155CC"/>
        <sz val="15.0"/>
        <u/>
      </rPr>
      <t>Repsol autoconsumirá energía en su refinería de Puertollano con una planta solar de 48 MW y una batería de 4 MW</t>
    </r>
    <r>
      <rPr>
        <rFont val="Arial, sans-serif"/>
        <color rgb="FF1155CC"/>
        <sz val="11.0"/>
        <u/>
      </rPr>
      <t>El coste total del proyecto se estima en casi 30 millones de euros, de los cuales 23,1 millones corresponden a la instalación solar y 4,5 millones al...</t>
    </r>
    <r>
      <rPr>
        <rFont val="Arial, sans-serif"/>
        <color rgb="FF1155CC"/>
        <sz val="12.0"/>
        <u/>
      </rPr>
      <t>.</t>
    </r>
    <r>
      <rPr>
        <rFont val="Arial, sans-serif"/>
        <color rgb="FF1155CC"/>
        <sz val="11.0"/>
        <u/>
      </rPr>
      <t>16 sept 2024</t>
    </r>
  </si>
  <si>
    <t>Repsol autoconsumirá energía en su refinería de Puertollano con una planta solar de 48 MW y una batería de 4 MW</t>
  </si>
  <si>
    <t>El coste total del proyecto se estima en casi 30 millones de euros, de los cuales 23,1 millones corresponden a la instalación solar y 4,5 millones al....</t>
  </si>
  <si>
    <t>Repsol will self-consume energy at its Puertollano refinery with a 48 MW solar plant and a 4 MW battery</t>
  </si>
  <si>
    <t>The total cost of the project is estimated at almost 30 million euros, of which 23.1 million correspond to the solar installation and 4.5 million to the...</t>
  </si>
  <si>
    <t>Positive due to Repsol’s investment in renewable energy.</t>
  </si>
  <si>
    <t>autoconsumirá, solar</t>
  </si>
  <si>
    <t>Strongly positive for sustainability.</t>
  </si>
  <si>
    <t>Muy positivo para la sostenibilidad.</t>
  </si>
  <si>
    <r>
      <rPr>
        <rFont val="Arial, sans-serif"/>
        <color rgb="FF1155CC"/>
        <sz val="9.0"/>
        <u/>
      </rPr>
      <t>Radio Intereconomía</t>
    </r>
    <r>
      <rPr>
        <rFont val="Arial, sans-serif"/>
        <color rgb="FF1155CC"/>
        <sz val="15.0"/>
        <u/>
      </rPr>
      <t>Repsol, a salvo de la fobia del régimen chavista de Maduro a España</t>
    </r>
    <r>
      <rPr>
        <rFont val="Arial, sans-serif"/>
        <color rgb="FF1155CC"/>
        <sz val="11.0"/>
        <u/>
      </rPr>
      <t>Las magníficas relaciones de Repsol con el régimen chavista de Maduro dejan fuera a la petrolera de la polémica entre España y Venezuela.</t>
    </r>
    <r>
      <rPr>
        <rFont val="Arial, sans-serif"/>
        <color rgb="FF1155CC"/>
        <sz val="12.0"/>
        <u/>
      </rPr>
      <t>.</t>
    </r>
    <r>
      <rPr>
        <rFont val="Arial, sans-serif"/>
        <color rgb="FF1155CC"/>
        <sz val="11.0"/>
        <u/>
      </rPr>
      <t>16 sept 2024</t>
    </r>
  </si>
  <si>
    <t>Repsol, a salvo de la fobia del régimen chavista de Maduro a España</t>
  </si>
  <si>
    <t>Las magníficas relaciones de Repsol con el régimen chavista de Maduro dejan fuera a la petrolera de la polémica entre España y Venezuela.</t>
  </si>
  <si>
    <t>Repsol, safe from the Maduro Chavista regime's phobia of Spain</t>
  </si>
  <si>
    <t>Repsol's magnificent relations with Maduro's Chavista regime leave the oil company out of the controversy between Spain and Venezuela.</t>
  </si>
  <si>
    <t>Slightly positive as Repsol remains unaffected by diplomatic tensions.</t>
  </si>
  <si>
    <t>a salvo</t>
  </si>
  <si>
    <t>Positive for risk mitigation.</t>
  </si>
  <si>
    <t>Positivo para la mitigación de riesgos.</t>
  </si>
  <si>
    <r>
      <rPr>
        <rFont val="Arial, sans-serif"/>
        <color rgb="FF1155CC"/>
        <sz val="9.0"/>
        <u/>
      </rPr>
      <t>La Comarca de Puertollano</t>
    </r>
    <r>
      <rPr>
        <rFont val="Arial, sans-serif"/>
        <color rgb="FF1155CC"/>
        <sz val="15.0"/>
        <u/>
      </rPr>
      <t>Repsol-Puertollano construirá una planta fotovoltaica de autoconsumo con una inversión de casi 30 millones</t>
    </r>
    <r>
      <rPr>
        <rFont val="Arial, sans-serif"/>
        <color rgb="FF1155CC"/>
        <sz val="11.0"/>
        <u/>
      </rPr>
      <t>Ocupará una superficie de 93 hectáreas distribuidos en 88.972 unidades de 540 wp que hacen un total de 48 megavatios de potencia. Complejo Industrial Repsol...</t>
    </r>
    <r>
      <rPr>
        <rFont val="Arial, sans-serif"/>
        <color rgb="FF1155CC"/>
        <sz val="12.0"/>
        <u/>
      </rPr>
      <t>.</t>
    </r>
    <r>
      <rPr>
        <rFont val="Arial, sans-serif"/>
        <color rgb="FF1155CC"/>
        <sz val="11.0"/>
        <u/>
      </rPr>
      <t>16 sept 2024</t>
    </r>
  </si>
  <si>
    <t>Repsol-Puertollano construirá una planta fotovoltaica de autoconsumo con una inversión de casi 30 millones</t>
  </si>
  <si>
    <t>Ocupará una superficie de 93 hectáreas distribuidos en 88.972 unidades de 540 wp que hacen un total de 48 megavatios de potencia. Complejo Industrial Repsol.</t>
  </si>
  <si>
    <t>Repsol-Puertollano will build a self-consumption photovoltaic plant with an investment of almost 30 million</t>
  </si>
  <si>
    <t>It will occupy an area of ​​93 hectares distributed in 88,972 540 wp units that make a total of 48 megawatts of power. Repsol Industrial Complex.</t>
  </si>
  <si>
    <t>Positive due to Repsol’s commitment to sustainability.</t>
  </si>
  <si>
    <t>construirá, inversión</t>
  </si>
  <si>
    <t>Positive for green energy investment.</t>
  </si>
  <si>
    <t>Positivo para la inversión en energía verde.</t>
  </si>
  <si>
    <r>
      <rPr>
        <rFont val="Arial, sans-serif"/>
        <color rgb="FF1155CC"/>
        <sz val="9.0"/>
        <u/>
      </rPr>
      <t>La Voz de Puertollano</t>
    </r>
    <r>
      <rPr>
        <rFont val="Arial, sans-serif"/>
        <color rgb="FF1155CC"/>
        <sz val="15.0"/>
        <u/>
      </rPr>
      <t>Repsol Petróleo solicita construir una planta de autoconsumo en Puertollano con una inversión de 29,6 millones de euros</t>
    </r>
    <r>
      <rPr>
        <rFont val="Arial, sans-serif"/>
        <color rgb="FF1155CC"/>
        <sz val="11.0"/>
        <u/>
      </rPr>
      <t>Repsol Petróleo solicita construir una planta de autoconsumo en Puertollano con una inversión de 29,6 millones de euros.</t>
    </r>
    <r>
      <rPr>
        <rFont val="Arial, sans-serif"/>
        <color rgb="FF1155CC"/>
        <sz val="12.0"/>
        <u/>
      </rPr>
      <t>.</t>
    </r>
    <r>
      <rPr>
        <rFont val="Arial, sans-serif"/>
        <color rgb="FF1155CC"/>
        <sz val="11.0"/>
        <u/>
      </rPr>
      <t>16 sept 2024</t>
    </r>
  </si>
  <si>
    <t>Repsol Petróleo solicita construir una planta de autoconsumo en Puertollano con una inversión de 29,6 millones de euros</t>
  </si>
  <si>
    <t>Repsol Petróleo solicita construir una planta de autoconsumo en Puertollano con una inversión de 29,6 millones de euros.</t>
  </si>
  <si>
    <t>Repsol Petróleo requests to build a self-consumption plant in Puertollano with an investment of 29.6 million euros</t>
  </si>
  <si>
    <t>Repsol Petróleo requests to build a self-consumption plant in Puertollano with an investment of 29.6 million euros.</t>
  </si>
  <si>
    <t>Positive due to renewable energy investment.</t>
  </si>
  <si>
    <t>Positive for sustainability efforts.</t>
  </si>
  <si>
    <t>Positivo para los esfuerzos de sostenibilidad.</t>
  </si>
  <si>
    <r>
      <rPr>
        <rFont val="Arial, sans-serif"/>
        <color rgb="FF1155CC"/>
        <sz val="9.0"/>
        <u/>
      </rPr>
      <t>Híbridos y Eléctricos</t>
    </r>
    <r>
      <rPr>
        <rFont val="Arial, sans-serif"/>
        <color rgb="FF1155CC"/>
        <sz val="15.0"/>
        <u/>
      </rPr>
      <t>Comprar un coche eléctrico de estas marcas chinas incluye ‘extras’ que van más allá de facilitar su recarga</t>
    </r>
    <r>
      <rPr>
        <rFont val="Arial, sans-serif"/>
        <color rgb="FF1155CC"/>
        <sz val="11.0"/>
        <u/>
      </rPr>
      <t>Repsol ha llegado a un acuerdo con Omoda y Jaecoo que tiene como objetivo promover las tecnologías más limpias en la industria del automóvil impulsando la...</t>
    </r>
    <r>
      <rPr>
        <rFont val="Arial, sans-serif"/>
        <color rgb="FF1155CC"/>
        <sz val="12.0"/>
        <u/>
      </rPr>
      <t>.</t>
    </r>
    <r>
      <rPr>
        <rFont val="Arial, sans-serif"/>
        <color rgb="FF1155CC"/>
        <sz val="11.0"/>
        <u/>
      </rPr>
      <t>16 sept 2024</t>
    </r>
  </si>
  <si>
    <t>Comprar un coche eléctrico de estas marcas chinas incluye ‘extras’ que van más allá de facilitar su recarga</t>
  </si>
  <si>
    <t>Repsol ha llegado a un acuerdo con Omoda y Jaecoo que tiene como objetivo promover las tecnologías más limpias en la industria del automóvil impulsando la....</t>
  </si>
  <si>
    <t>Buying an electric car from these Chinese brands includes 'extras' that go beyond facilitating recharging</t>
  </si>
  <si>
    <t>Repsol has reached an agreement with Omoda and Jaecoo that aims to promote cleaner technologies in the automotive industry by promoting...</t>
  </si>
  <si>
    <t>Positive due to Repsol’s involvement in clean technologies.</t>
  </si>
  <si>
    <r>
      <rPr>
        <rFont val="Arial, sans-serif"/>
        <color rgb="FF1155CC"/>
        <sz val="9.0"/>
        <u/>
      </rPr>
      <t>Cinco Días</t>
    </r>
    <r>
      <rPr>
        <rFont val="Arial, sans-serif"/>
        <color rgb="FF1155CC"/>
        <sz val="15.0"/>
        <u/>
      </rPr>
      <t>UBS corta el grifo a Repsol y pone en duda su retribución al accionista hasta 2027</t>
    </r>
    <r>
      <rPr>
        <rFont val="Arial, sans-serif"/>
        <color rgb="FF1155CC"/>
        <sz val="11.0"/>
        <u/>
      </rPr>
      <t>Los analistas del banco suizo UBS han sacado la tijera a su consejo sobre Repsol ante un telón de fondo que definen como más desafiante y que dará al traste...</t>
    </r>
    <r>
      <rPr>
        <rFont val="Arial, sans-serif"/>
        <color rgb="FF1155CC"/>
        <sz val="12.0"/>
        <u/>
      </rPr>
      <t>.</t>
    </r>
    <r>
      <rPr>
        <rFont val="Arial, sans-serif"/>
        <color rgb="FF1155CC"/>
        <sz val="11.0"/>
        <u/>
      </rPr>
      <t>16 sept 2024</t>
    </r>
  </si>
  <si>
    <t>UBS corta el grifo a Repsol y pone en duda su retribución al accionista hasta 2027</t>
  </si>
  <si>
    <t>Los analistas del banco suizo UBS han sacado la tijera a su consejo sobre Repsol ante un telón de fondo que definen como más desafiante y que dará al traste....</t>
  </si>
  <si>
    <t>UBS cuts off the tap to Repsol and calls into question its shareholder remuneration until 2027</t>
  </si>
  <si>
    <t>The analysts of the Swiss bank UBS have taken the scissors to their advice on Repsol against a backdrop that they define as more challenging and that will lead to failure....</t>
  </si>
  <si>
    <t>Negative due to financial uncertainty for shareholders.</t>
  </si>
  <si>
    <t>corta, duda</t>
  </si>
  <si>
    <t>Strongly negative for investor confidence.</t>
  </si>
  <si>
    <t>Muy negativo para la confianza de los inversores.</t>
  </si>
  <si>
    <r>
      <rPr>
        <rFont val="Arial, sans-serif"/>
        <color rgb="FF1155CC"/>
        <sz val="9.0"/>
        <u/>
      </rPr>
      <t>Guía Repsol</t>
    </r>
    <r>
      <rPr>
        <rFont val="Arial, sans-serif"/>
        <color rgb="FF1155CC"/>
        <sz val="15.0"/>
        <u/>
      </rPr>
      <t>Vinos OCAMPO: la última aventura del enólogo Jonatan García</t>
    </r>
    <r>
      <rPr>
        <rFont val="Arial, sans-serif"/>
        <color rgb="FF1155CC"/>
        <sz val="11.0"/>
        <u/>
      </rPr>
      <t>El último proyecto del enólogo Jonatan García ('Suerte del Marqués') es OCAMPO, dos blancos y dos tintos. Descubre su historia y elaboración.</t>
    </r>
    <r>
      <rPr>
        <rFont val="Arial, sans-serif"/>
        <color rgb="FF1155CC"/>
        <sz val="12.0"/>
        <u/>
      </rPr>
      <t>.</t>
    </r>
    <r>
      <rPr>
        <rFont val="Arial, sans-serif"/>
        <color rgb="FF1155CC"/>
        <sz val="11.0"/>
        <u/>
      </rPr>
      <t>16 sept 2024</t>
    </r>
  </si>
  <si>
    <t>Vinos OCAMPO: la última aventura del enólogo Jonatan García</t>
  </si>
  <si>
    <t>El último proyecto del enólogo Jonatan García ('Suerte del Marqués') es OCAMPO, dos blancos y dos tintos. Descubre su historia y elaboración.</t>
  </si>
  <si>
    <t>OCAMPO Wines: the latest adventure of winemaker Jonatan García</t>
  </si>
  <si>
    <t>The latest project by winemaker Jonatan García ('Suerte del Marqués') is OCAMPO, two whites and two reds. Discover its history and elaboration.</t>
  </si>
  <si>
    <r>
      <rPr>
        <rFont val="Arial, sans-serif"/>
        <color rgb="FF1155CC"/>
        <sz val="9.0"/>
        <u/>
      </rPr>
      <t>Capital Radio</t>
    </r>
    <r>
      <rPr>
        <rFont val="Arial, sans-serif"/>
        <color rgb="FF1155CC"/>
        <sz val="15.0"/>
        <u/>
      </rPr>
      <t>Cantos: "Todo el sector de la energía está sumamente barato"</t>
    </r>
    <r>
      <rPr>
        <rFont val="Arial, sans-serif"/>
        <color rgb="FF1155CC"/>
        <sz val="11.0"/>
        <u/>
      </rPr>
      <t>Ignacio Cantos, de altCapital, repasa el desplome de Repsol, el repunte de Rovi y las declaraciones de los principales mandatarios del sector bancario.</t>
    </r>
    <r>
      <rPr>
        <rFont val="Arial, sans-serif"/>
        <color rgb="FF1155CC"/>
        <sz val="12.0"/>
        <u/>
      </rPr>
      <t>.</t>
    </r>
    <r>
      <rPr>
        <rFont val="Arial, sans-serif"/>
        <color rgb="FF1155CC"/>
        <sz val="11.0"/>
        <u/>
      </rPr>
      <t>16 sept 2024</t>
    </r>
  </si>
  <si>
    <t>Cantos: "Todo el sector de la energía está sumamente barato"</t>
  </si>
  <si>
    <t>"Todo el sector de la energía está sumamente barato. Ignacio Cantos, de altCapital, repasa el desplome de Repsol, el repunte de Rovi y las declaraciones de los principales mandatarios del sector bancario."</t>
  </si>
  <si>
    <t>Cantos: "The entire energy sector is extremely cheap"</t>
  </si>
  <si>
    <t>"The entire energy sector is extremely cheap. Ignacio Cantos, from altCapital, reviews the collapse of Repsol, the recovery of Rovi and the statements of the main leaders of the banking sector."</t>
  </si>
  <si>
    <t>Positive as Repsol may present an investment opportunity.</t>
  </si>
  <si>
    <t>Neutral; no direct Repsol sentiment.</t>
  </si>
  <si>
    <t>Neutral; No hay sentimiento directo de Repsol.</t>
  </si>
  <si>
    <r>
      <rPr>
        <rFont val="Arial, sans-serif"/>
        <color rgb="FF1155CC"/>
        <sz val="9.0"/>
        <u/>
      </rPr>
      <t>IG</t>
    </r>
    <r>
      <rPr>
        <rFont val="Arial, sans-serif"/>
        <color rgb="FF1155CC"/>
        <sz val="15.0"/>
        <u/>
      </rPr>
      <t>Ibex 35 hoy: Santander y BBVA suben mientras Repsol cae por la incertidumbre en los precios del petróleo</t>
    </r>
    <r>
      <rPr>
        <rFont val="Arial, sans-serif"/>
        <color rgb="FF1155CC"/>
        <sz val="11.0"/>
        <u/>
      </rPr>
      <t>El IBEX 35 sube levemente mientras acciones como Santander y Repsol muestran movimientos mixtos ante la Fed.</t>
    </r>
    <r>
      <rPr>
        <rFont val="Arial, sans-serif"/>
        <color rgb="FF1155CC"/>
        <sz val="12.0"/>
        <u/>
      </rPr>
      <t>.</t>
    </r>
    <r>
      <rPr>
        <rFont val="Arial, sans-serif"/>
        <color rgb="FF1155CC"/>
        <sz val="11.0"/>
        <u/>
      </rPr>
      <t>16 sept 2024</t>
    </r>
  </si>
  <si>
    <t>El IBEX 35</t>
  </si>
  <si>
    <t>IBIbex 35 hoy: Santander y BBVA suben mientras Repsol cae por la incertidumbre en los precios del petróleo</t>
  </si>
  <si>
    <t>El IBEX 35 sube levemente mientras acciones como Santander y Repsol muestran movimientos mixtos ante la Fed.</t>
  </si>
  <si>
    <t>IBIbex 35 today: Santander and BBVA rise while Repsol falls due to uncertainty in oil prices</t>
  </si>
  <si>
    <t>The IBEX 35 rises slightly while stocks such as Santander and Repsol show mixed movements before the Fed.</t>
  </si>
  <si>
    <t>Negative due to stock decline amid oil market uncertainty.</t>
  </si>
  <si>
    <t>cae, incertidumbre</t>
  </si>
  <si>
    <r>
      <rPr>
        <rFont val="Arial, sans-serif"/>
        <color rgb="FF1155CC"/>
        <sz val="9.0"/>
        <u/>
      </rPr>
      <t>Box Repsol</t>
    </r>
    <r>
      <rPr>
        <rFont val="Arial, sans-serif"/>
        <color rgb="FF1155CC"/>
        <sz val="15.0"/>
        <u/>
      </rPr>
      <t>Resultados y resumen del TrialGP de España 2024</t>
    </r>
    <r>
      <rPr>
        <rFont val="Arial, sans-serif"/>
        <color rgb="FF1155CC"/>
        <sz val="11.0"/>
        <u/>
      </rPr>
      <t>Toni Bou cierra la temporada con dos nuevas victorias y Gabri Marcelli logra el subcampeonato de la disciplina outdoor. Resultados y resumen del TrialGP de...</t>
    </r>
    <r>
      <rPr>
        <rFont val="Arial, sans-serif"/>
        <color rgb="FF1155CC"/>
        <sz val="12.0"/>
        <u/>
      </rPr>
      <t>.</t>
    </r>
    <r>
      <rPr>
        <rFont val="Arial, sans-serif"/>
        <color rgb="FF1155CC"/>
        <sz val="11.0"/>
        <u/>
      </rPr>
      <t>16 sept 2024</t>
    </r>
  </si>
  <si>
    <t>Toni Bou cierra la temporada con dos nuevas victorias y Gabri Marcelli logra el subcampeonato de la disciplina outdoor.</t>
  </si>
  <si>
    <t>Toni Bou closes the season with two new victories and Gabri Marcelli achieves runner-up status in the outdoor discipline.</t>
  </si>
  <si>
    <r>
      <rPr>
        <rFont val="Arial, sans-serif"/>
        <color rgb="FF1155CC"/>
        <sz val="9.0"/>
        <u/>
      </rPr>
      <t>El Debate</t>
    </r>
    <r>
      <rPr>
        <rFont val="Arial, sans-serif"/>
        <color rgb="FF1155CC"/>
        <sz val="15.0"/>
        <u/>
      </rPr>
      <t>Hay una aplicación total con la que puedes hacer de todo: pagar la gasolina, ahorrar en luz o hacer la compra</t>
    </r>
    <r>
      <rPr>
        <rFont val="Arial, sans-serif"/>
        <color rgb="FF1155CC"/>
        <sz val="11.0"/>
        <u/>
      </rPr>
      <t>La app de pagos de Repsol se ha convertido en un referente para ocho millones de usuarios porque es transversal al día a día de cualquier familia.</t>
    </r>
    <r>
      <rPr>
        <rFont val="Arial, sans-serif"/>
        <color rgb="FF1155CC"/>
        <sz val="12.0"/>
        <u/>
      </rPr>
      <t>.</t>
    </r>
    <r>
      <rPr>
        <rFont val="Arial, sans-serif"/>
        <color rgb="FF1155CC"/>
        <sz val="11.0"/>
        <u/>
      </rPr>
      <t>16 sept 2024</t>
    </r>
  </si>
  <si>
    <t>Hay una aplicación total con la que puedes hacer de todo: pagar la gasolina, ahorrar en luz o hacer la compra</t>
  </si>
  <si>
    <t>La app de pagos de Repsol se ha convertido en un referente para ocho millones de usuarios porque es transversal al día a día de cualquier familia.</t>
  </si>
  <si>
    <t>There is a total application with which you can do everything: pay for gas, save on electricity or do the shopping</t>
  </si>
  <si>
    <t>Repsol's payment app has become a reference for eight million users because it cuts across the daily lives of any family.</t>
  </si>
  <si>
    <r>
      <rPr>
        <rFont val="Arial, sans-serif"/>
        <color rgb="FF1155CC"/>
        <sz val="9.0"/>
        <u/>
      </rPr>
      <t>NTN24</t>
    </r>
    <r>
      <rPr>
        <rFont val="Arial, sans-serif"/>
        <color rgb="FF1155CC"/>
        <sz val="15.0"/>
        <u/>
      </rPr>
      <t>Delcy Rodríguez hace un guiño a Repsol y dice que los negocios con los españoles "se mantienen"</t>
    </r>
    <r>
      <rPr>
        <rFont val="Arial, sans-serif"/>
        <color rgb="FF1155CC"/>
        <sz val="11.0"/>
        <u/>
      </rPr>
      <t>Asimismo, admitío que la petrolera española ha permitido ampliar la producción de crudo mediano y ligero en diversos proyectos petrolíferos en el país.</t>
    </r>
    <r>
      <rPr>
        <rFont val="Arial, sans-serif"/>
        <color rgb="FF1155CC"/>
        <sz val="12.0"/>
        <u/>
      </rPr>
      <t>.</t>
    </r>
    <r>
      <rPr>
        <rFont val="Arial, sans-serif"/>
        <color rgb="FF1155CC"/>
        <sz val="11.0"/>
        <u/>
      </rPr>
      <t>16 sept 2024</t>
    </r>
  </si>
  <si>
    <t>NTN24</t>
  </si>
  <si>
    <t>Delcy Rodríguez hace un guiño a Repsol y dice que los negocios con los españoles "se mantienen"</t>
  </si>
  <si>
    <t>Delcy Rodríguez hace un guiño a Repsol y dice que los negocios con los españoles "se mantienen". Asimismo, admitió que la petrolera española ha permitido ampliar la producción de crudo mediano y ligero en diversos proyectos petrolíferos en el país.</t>
  </si>
  <si>
    <t>Delcy Rodríguez winks at Repsol and says that business with the Spanish "is maintained"</t>
  </si>
  <si>
    <t>Delcy Rodríguez winks at Repsol and says that business with the Spanish "is maintained." Likewise, he admitted that the Spanish oil company has allowed the production of medium and light crude oil to be expanded in various oil projects in the country.</t>
  </si>
  <si>
    <t>Slightly positive due to continued business relations.</t>
  </si>
  <si>
    <t>guiño, mantienen</t>
  </si>
  <si>
    <t>Positive for business continuity.</t>
  </si>
  <si>
    <t>Positivo para la continuidad del negocio.</t>
  </si>
  <si>
    <r>
      <rPr>
        <rFont val="Arial, sans-serif"/>
        <color rgb="FF1155CC"/>
        <sz val="9.0"/>
        <u/>
      </rPr>
      <t>Moto1Pro</t>
    </r>
    <r>
      <rPr>
        <rFont val="Arial, sans-serif"/>
        <color rgb="FF1155CC"/>
        <sz val="15.0"/>
        <u/>
      </rPr>
      <t>Gabriel Marcelli se lleva el subcampeonato en el TrialGP en Ripoll</t>
    </r>
    <r>
      <rPr>
        <rFont val="Arial, sans-serif"/>
        <color rgb="FF1155CC"/>
        <sz val="11.0"/>
        <u/>
      </rPr>
      <t>El piloto del Repsol Honda Team se sube al tercer escalón del podio en la última ronda de la temporada. Toni Bou cierra el año como lo comenzó,...</t>
    </r>
    <r>
      <rPr>
        <rFont val="Arial, sans-serif"/>
        <color rgb="FF1155CC"/>
        <sz val="12.0"/>
        <u/>
      </rPr>
      <t>.</t>
    </r>
    <r>
      <rPr>
        <rFont val="Arial, sans-serif"/>
        <color rgb="FF1155CC"/>
        <sz val="11.0"/>
        <u/>
      </rPr>
      <t>16 sept 2024</t>
    </r>
  </si>
  <si>
    <t>Gabriel Marcelli se lleva el subcampeonato en el TrialGP en Ripoll</t>
  </si>
  <si>
    <t>El piloto del Repsol Honda Team se sube al tercer escalón del podio en la última ronda de la temporada. Toni Bou cierra el año como lo comenzó,....</t>
  </si>
  <si>
    <t>Gabriel Marcelli takes second place in the TrialGP in Ripoll</t>
  </si>
  <si>
    <t>The Repsol Honda Team rider climbs to the third step of the podium in the last round of the season. Toni Bou closes the year as he began it,....</t>
  </si>
  <si>
    <r>
      <rPr>
        <rFont val="Arial, sans-serif"/>
        <color rgb="FF1155CC"/>
        <sz val="9.0"/>
        <u/>
      </rPr>
      <t>OkDiario</t>
    </r>
    <r>
      <rPr>
        <rFont val="Arial, sans-serif"/>
        <color rgb="FF1155CC"/>
        <sz val="15.0"/>
        <u/>
      </rPr>
      <t>BYD, Omoda y Jaecoo: las marcas chinas se alían con el Ibex 35 para su desembarco en España</t>
    </r>
    <r>
      <rPr>
        <rFont val="Arial, sans-serif"/>
        <color rgb="FF1155CC"/>
        <sz val="11.0"/>
        <u/>
      </rPr>
      <t>BYD, Omoda y Jaecoo: los fabricantes automovilísticos chinos se alían con las empresas Ibex 35 para su desembarco en el mercado español.</t>
    </r>
    <r>
      <rPr>
        <rFont val="Arial, sans-serif"/>
        <color rgb="FF1155CC"/>
        <sz val="12.0"/>
        <u/>
      </rPr>
      <t>.</t>
    </r>
    <r>
      <rPr>
        <rFont val="Arial, sans-serif"/>
        <color rgb="FF1155CC"/>
        <sz val="11.0"/>
        <u/>
      </rPr>
      <t>16 sept 2024</t>
    </r>
  </si>
  <si>
    <t>BYD, Omoda y Jaecoo: las marcas chinas se alían con el Ibex 35 para su desembarco en España</t>
  </si>
  <si>
    <t>los fabricantes automovilísticos chinos se alían con las empresas Ibex 35 para su desembarco en el mercado español.</t>
  </si>
  <si>
    <t>BYD, Omoda and Jaecoo: the Chinese brands join forces with the Ibex 35 for their landing in Spain</t>
  </si>
  <si>
    <t>Chinese car manufacturers join forces with Ibex 35 companies to enter the Spanish market.</t>
  </si>
  <si>
    <r>
      <rPr>
        <rFont val="Arial, sans-serif"/>
        <color rgb="FF1155CC"/>
        <sz val="9.0"/>
        <u/>
      </rPr>
      <t>PETROGUIA</t>
    </r>
    <r>
      <rPr>
        <rFont val="Arial, sans-serif"/>
        <color rgb="FF1155CC"/>
        <sz val="15.0"/>
        <u/>
      </rPr>
      <t>Venta de divisas de Chevron, Repsol y Maurel &amp; Prom representa hasta 40% del mercado cambiario en Venezuela</t>
    </r>
    <r>
      <rPr>
        <rFont val="Arial, sans-serif"/>
        <color rgb="FF1155CC"/>
        <sz val="11.0"/>
        <u/>
      </rPr>
      <t>Una interrogantes e incertidumbre que expresan los agentes económicos en Venezuela es cuál sería la consecuencia sobre el mercado cambiario si el gobierno...</t>
    </r>
    <r>
      <rPr>
        <rFont val="Arial, sans-serif"/>
        <color rgb="FF1155CC"/>
        <sz val="12.0"/>
        <u/>
      </rPr>
      <t>.</t>
    </r>
    <r>
      <rPr>
        <rFont val="Arial, sans-serif"/>
        <color rgb="FF1155CC"/>
        <sz val="11.0"/>
        <u/>
      </rPr>
      <t>16 sept 2024</t>
    </r>
  </si>
  <si>
    <t>Venta de divisas de Chevron, Repsol y Maurel &amp; Prom representa hasta 40% del mercado cambiario en Venezuela</t>
  </si>
  <si>
    <t>Una interrogantes e incertidumbre que expresan los agentes económicos en Venezuela es cuál sería la consecuencia sobre el mercado cambiario si el gobierno....</t>
  </si>
  <si>
    <t>Sale of currencies from Chevron, Repsol and Maurel &amp; Prom represents up to 40% of the exchange market in Venezuela</t>
  </si>
  <si>
    <t>One question and uncertainty expressed by economic agents in Venezuela is what would be the consequence on the exchange market if the government...</t>
  </si>
  <si>
    <t>Repsol energy market, business risks</t>
  </si>
  <si>
    <t>Mercado energético de Repsol, Riesgos empresariales</t>
  </si>
  <si>
    <t>Negative due to financial concerns involving Repsol in Venezuela.</t>
  </si>
  <si>
    <t>Neutral; factual.</t>
  </si>
  <si>
    <r>
      <rPr>
        <rFont val="Arial, sans-serif"/>
        <color rgb="FF1155CC"/>
        <sz val="9.0"/>
        <u/>
      </rPr>
      <t>La República</t>
    </r>
    <r>
      <rPr>
        <rFont val="Arial, sans-serif"/>
        <color rgb="FF1155CC"/>
        <sz val="15.0"/>
        <u/>
      </rPr>
      <t>¿Cuáles son las gasolineras más baratas en Lima durante septiembre 2024? Ubicación y precio de los combustibles</t>
    </r>
    <r>
      <rPr>
        <rFont val="Arial, sans-serif"/>
        <color rgb="FF1155CC"/>
        <sz val="11.0"/>
        <u/>
      </rPr>
      <t>A través de la plataforma del Organismo Supervisor de la Inversión en Energía y Minería (Osinergmin) podrás descubrir cuáles son las gasolineras más baratas...</t>
    </r>
    <r>
      <rPr>
        <rFont val="Arial, sans-serif"/>
        <color rgb="FF1155CC"/>
        <sz val="12.0"/>
        <u/>
      </rPr>
      <t>.</t>
    </r>
    <r>
      <rPr>
        <rFont val="Arial, sans-serif"/>
        <color rgb="FF1155CC"/>
        <sz val="11.0"/>
        <u/>
      </rPr>
      <t>16 sept 2024</t>
    </r>
  </si>
  <si>
    <t>¿Cuáles son las gasolineras más baratas en Lima durante septiembre 2024?</t>
  </si>
  <si>
    <t>A través de la plataforma del Organismo Supervisor de la Inversión en Energía y Minería (Osinergmin) podrás descubrir cuáles son las gasolineras más baratas....</t>
  </si>
  <si>
    <t>What are the cheapest gas stations in Lima during September 2024?</t>
  </si>
  <si>
    <t>Through the platform of the Supervisory Body for Investment in Energy and Mining (Osinergmin) you can discover which are the cheapest gas stations....</t>
  </si>
  <si>
    <t>Fuel Market</t>
  </si>
  <si>
    <r>
      <rPr>
        <rFont val="Arial, sans-serif"/>
        <color rgb="FF1155CC"/>
        <sz val="9.0"/>
        <u/>
      </rPr>
      <t>pv magazine España</t>
    </r>
    <r>
      <rPr>
        <rFont val="Arial, sans-serif"/>
        <color rgb="FF1155CC"/>
        <sz val="15.0"/>
        <u/>
      </rPr>
      <t>Repsol instalará un autoconsumo fotovoltaico de 48 MW y una batería de 4 MW en su refinería de Puertollano</t>
    </r>
    <r>
      <rPr>
        <rFont val="Arial, sans-serif"/>
        <color rgb="FF1155CC"/>
        <sz val="11.0"/>
        <u/>
      </rPr>
      <t>La empresa invertirá casi 30 millones de euros en el proyecto, cuyas autorizaciones Administrativa Previa y Administrativa de Construcción se someten a...</t>
    </r>
    <r>
      <rPr>
        <rFont val="Arial, sans-serif"/>
        <color rgb="FF1155CC"/>
        <sz val="12.0"/>
        <u/>
      </rPr>
      <t>.</t>
    </r>
    <r>
      <rPr>
        <rFont val="Arial, sans-serif"/>
        <color rgb="FF1155CC"/>
        <sz val="11.0"/>
        <u/>
      </rPr>
      <t>17 sept 2024</t>
    </r>
  </si>
  <si>
    <t>pv magazine España</t>
  </si>
  <si>
    <t>Repsol instalará un autoconsumo fotovoltaico de 48 MW y una batería de 4 MW en su refinería de Puertollano</t>
  </si>
  <si>
    <t>La empresa invertirá casi 30 millones de euros en el proyecto, cuyas autorizaciones Administrativa Previa y Administrativa de Construcción se someten a....</t>
  </si>
  <si>
    <t>Repsol will install a 48 MW photovoltaic self-consumption and a 4 MW battery at its Puertollano refinery</t>
  </si>
  <si>
    <t>The company will invest almost 30 million euros in the project, whose Prior Administrative and Construction Administrative authorizations are subject to...</t>
  </si>
  <si>
    <t>instalará</t>
  </si>
  <si>
    <t>Positive for renewable energy investment.</t>
  </si>
  <si>
    <t>Positivo para la inversión en energías renovables.</t>
  </si>
  <si>
    <r>
      <rPr>
        <rFont val="Arial, sans-serif"/>
        <color rgb="FF1155CC"/>
        <sz val="9.0"/>
        <u/>
      </rPr>
      <t>Xunta de Galicia</t>
    </r>
    <r>
      <rPr>
        <rFont val="Arial, sans-serif"/>
        <color rgb="FF1155CC"/>
        <sz val="15.0"/>
        <u/>
      </rPr>
      <t>El periodista Alberto Ramos gana el XVIII Premio narrativa breve Repsol con el que colabora la Xunta</t>
    </r>
    <r>
      <rPr>
        <rFont val="Arial, sans-serif"/>
        <color rgb="FF1155CC"/>
        <sz val="11.0"/>
        <u/>
      </rPr>
      <t>El jurado, en cuya reunión estuvo el secretario xeral da Lingua, reconoce su novela 'Pirotecnia' como.</t>
    </r>
    <r>
      <rPr>
        <rFont val="Arial, sans-serif"/>
        <color rgb="FF1155CC"/>
        <sz val="12.0"/>
        <u/>
      </rPr>
      <t>.</t>
    </r>
    <r>
      <rPr>
        <rFont val="Arial, sans-serif"/>
        <color rgb="FF1155CC"/>
        <sz val="11.0"/>
        <u/>
      </rPr>
      <t>17 sept 2024</t>
    </r>
  </si>
  <si>
    <t>El periodista Alberto Ramos gana el XVIII Premio narrativa breve Repsol con el que colabora la Xunta</t>
  </si>
  <si>
    <t>El jurado, en cuya reunión estuvo el secretario xeral da Lingua, reconoce su novela 'Pirotecnia' como..</t>
  </si>
  <si>
    <t>Journalist Alberto Ramos wins the 18th Repsol Short Narrative Award with which the Xunta collaborates</t>
  </si>
  <si>
    <t>The jury, at whose meeting the General Secretary of Lingua was present, recognizes his novel 'Pirotecnia' as...</t>
  </si>
  <si>
    <r>
      <rPr>
        <rFont val="Arial, sans-serif"/>
        <color rgb="FF1155CC"/>
        <sz val="9.0"/>
        <u/>
      </rPr>
      <t>Fundación Repsol</t>
    </r>
    <r>
      <rPr>
        <rFont val="Arial, sans-serif"/>
        <color rgb="FF1155CC"/>
        <sz val="15.0"/>
        <u/>
      </rPr>
      <t>Fundación Repsol y Funseam apuestan por la circularidad</t>
    </r>
    <r>
      <rPr>
        <rFont val="Arial, sans-serif"/>
        <color rgb="FF1155CC"/>
        <sz val="11.0"/>
        <u/>
      </rPr>
      <t>El V Ciclo de Economía Circular: “El sector industrial hacia la circularidad” organizado por Fundación Repsol y Funseam, celebrado hoy en Cartagena,...</t>
    </r>
    <r>
      <rPr>
        <rFont val="Arial, sans-serif"/>
        <color rgb="FF1155CC"/>
        <sz val="12.0"/>
        <u/>
      </rPr>
      <t>.</t>
    </r>
    <r>
      <rPr>
        <rFont val="Arial, sans-serif"/>
        <color rgb="FF1155CC"/>
        <sz val="11.0"/>
        <u/>
      </rPr>
      <t>17 sept 2024</t>
    </r>
  </si>
  <si>
    <t>El V Ciclo de Economía Circular: “El sector industrial hacia la circularidad”</t>
  </si>
  <si>
    <t>El V Ciclo de Economía Circular: “El sector industrial hacia la circularidad” organizado por Fundación Repsol y Funseam, celebrado hoy en Cartagena,...</t>
  </si>
  <si>
    <t>The V Cycle of Circular Economy: “The industrial sector towards circularity”</t>
  </si>
  <si>
    <t>The V Cycle of Circular Economy: “The industrial sector towards circularity” organized by the Repsol Foundation and Funseam, held today in Cartagena,...</t>
  </si>
  <si>
    <t>Positive due to Repsol’s commitment to circular economy initiatives.</t>
  </si>
  <si>
    <t>Neutral; no direct sentiment.</t>
  </si>
  <si>
    <t>Neutral; ningún sentimiento directo.</t>
  </si>
  <si>
    <r>
      <rPr>
        <rFont val="Arial, sans-serif"/>
        <color rgb="FF1155CC"/>
        <sz val="9.0"/>
        <u/>
      </rPr>
      <t>Estrategias de Inversión</t>
    </r>
    <r>
      <rPr>
        <rFont val="Arial, sans-serif"/>
        <color rgb="FF1155CC"/>
        <sz val="15.0"/>
        <u/>
      </rPr>
      <t>Choque frontal de la petrolera Repsol con sus socios en EEUU mientras RBC le reduce el potencial</t>
    </r>
    <r>
      <rPr>
        <rFont val="Arial, sans-serif"/>
        <color rgb="FF1155CC"/>
        <sz val="11.0"/>
        <u/>
      </rPr>
      <t>La petrolera Repsol y Hecate Energy han chocado en el cierre de la mayor operación de compra de renovables de la petrolera en Estados Unidos mientras RBC ha...</t>
    </r>
    <r>
      <rPr>
        <rFont val="Arial, sans-serif"/>
        <color rgb="FF1155CC"/>
        <sz val="12.0"/>
        <u/>
      </rPr>
      <t>.</t>
    </r>
    <r>
      <rPr>
        <rFont val="Arial, sans-serif"/>
        <color rgb="FF1155CC"/>
        <sz val="11.0"/>
        <u/>
      </rPr>
      <t>17 sept 2024</t>
    </r>
  </si>
  <si>
    <t>Choque frontal de la petrolera Repsol con sus socios en EEUU mientras RBC le reduce el potencial</t>
  </si>
  <si>
    <t>La petrolera Repsol y Hecate Energy han chocado en el cierre de la mayor operación de compra de renovables de la petrolera en Estados Unidos mientras RBC ha....</t>
  </si>
  <si>
    <t>Frontal clash between the oil company Repsol and its partners in the US while RBC reduces its potential</t>
  </si>
  <si>
    <t>The oil company Repsol and Hecate Energy have clashed in the closing of the oil company's largest renewable purchase operation in the United States while RBC has...</t>
  </si>
  <si>
    <t>Negative due to internal conflicts and downgraded valuation.</t>
  </si>
  <si>
    <t>choque, reduce</t>
  </si>
  <si>
    <t>Negative for partnership conflict.</t>
  </si>
  <si>
    <t>Negativo para conflictos de pareja.</t>
  </si>
  <si>
    <r>
      <rPr>
        <rFont val="Arial, sans-serif"/>
        <color rgb="FF1155CC"/>
        <sz val="9.0"/>
        <u/>
      </rPr>
      <t>El Cierre Digital</t>
    </r>
    <r>
      <rPr>
        <rFont val="Arial, sans-serif"/>
        <color rgb="FF1155CC"/>
        <sz val="15.0"/>
        <u/>
      </rPr>
      <t>Repsol, en jaque: Dispara la compra de petróleo a Venezuela y Reino Unido 'le veta'</t>
    </r>
    <r>
      <rPr>
        <rFont val="Arial, sans-serif"/>
        <color rgb="FF1155CC"/>
        <sz val="11.0"/>
        <u/>
      </rPr>
      <t>La crisis política desatada en Venezuela está golpeando a la única petrolera española, Repsol, para comprar combustibles a la compañía estatal PDVSA.</t>
    </r>
    <r>
      <rPr>
        <rFont val="Arial, sans-serif"/>
        <color rgb="FF1155CC"/>
        <sz val="12.0"/>
        <u/>
      </rPr>
      <t>.</t>
    </r>
    <r>
      <rPr>
        <rFont val="Arial, sans-serif"/>
        <color rgb="FF1155CC"/>
        <sz val="11.0"/>
        <u/>
      </rPr>
      <t>17 sept 2024</t>
    </r>
  </si>
  <si>
    <t>Repsol, en jaque: Dispara la compra de petróleo a Venezuela y Reino Unido 'le veta'</t>
  </si>
  <si>
    <t>La crisis política desatada en Venezuela está golpeando a la única petrolera española, Repsol, para comprar combustibles a la compañía estatal PDVSA.</t>
  </si>
  <si>
    <t>Repsol, in check: It triggers the purchase of oil from Venezuela and the United Kingdom 'vetoes' it</t>
  </si>
  <si>
    <t>The political crisis unleashed in Venezuela is hitting the only Spanish oil company, Repsol, to buy fuel from the state company PDVSA.</t>
  </si>
  <si>
    <t>Repsol energy market, geopolitical risks</t>
  </si>
  <si>
    <t>Mercado energético de Repsol, riesgos geopolíticos</t>
  </si>
  <si>
    <t>Negative due to political complications affecting Repsol’s operations.</t>
  </si>
  <si>
    <t>en jaque, veta</t>
  </si>
  <si>
    <t>Strongly negative for operational risks.</t>
  </si>
  <si>
    <t>Fuertemente negativo para los riesgos operativos.</t>
  </si>
  <si>
    <r>
      <rPr>
        <rFont val="Arial, sans-serif"/>
        <color rgb="FF1155CC"/>
        <sz val="9.0"/>
        <u/>
      </rPr>
      <t>El Economista</t>
    </r>
    <r>
      <rPr>
        <rFont val="Arial, sans-serif"/>
        <color rgb="FF1155CC"/>
        <sz val="15.0"/>
        <u/>
      </rPr>
      <t>Repsol choca con Hecate en su mayor operación de compra de renovables en EEUU</t>
    </r>
    <r>
      <rPr>
        <rFont val="Arial, sans-serif"/>
        <color rgb="FF1155CC"/>
        <sz val="11.0"/>
        <u/>
      </rPr>
      <t>Repsol y sus socios de Hecate Energy Group han chocado en el cierre de la mayor operación de compra de renovables de la petrolera ...</t>
    </r>
    <r>
      <rPr>
        <rFont val="Arial, sans-serif"/>
        <color rgb="FF1155CC"/>
        <sz val="12.0"/>
        <u/>
      </rPr>
      <t>.</t>
    </r>
    <r>
      <rPr>
        <rFont val="Arial, sans-serif"/>
        <color rgb="FF1155CC"/>
        <sz val="11.0"/>
        <u/>
      </rPr>
      <t>17 sept 2024</t>
    </r>
  </si>
  <si>
    <t>Repsol choca con Hecate en su mayor operación de compra de renovables en EEUU</t>
  </si>
  <si>
    <t>Repsol y sus socios de Hecate Energy Group han chocado en el cierre de la mayor operación de compra de renovables de la petrolera ....</t>
  </si>
  <si>
    <t>Repsol clashes with Hecate in its largest renewable purchase operation in the US</t>
  </si>
  <si>
    <t>Repsol and its Hecate Energy Group partners have clashed in the closing of the oil company's largest renewable purchase operation....</t>
  </si>
  <si>
    <t>Negative due to internal conflicts in renewable energy projects.</t>
  </si>
  <si>
    <t>choca</t>
  </si>
  <si>
    <t>Negative for deal friction.</t>
  </si>
  <si>
    <t>Negativo por fricción en el trato.</t>
  </si>
  <si>
    <r>
      <rPr>
        <rFont val="Arial, sans-serif"/>
        <color rgb="FF1155CC"/>
        <sz val="9.0"/>
        <u/>
      </rPr>
      <t>Expansión</t>
    </r>
    <r>
      <rPr>
        <rFont val="Arial, sans-serif"/>
        <color rgb="FF1155CC"/>
        <sz val="15.0"/>
        <u/>
      </rPr>
      <t>Repsol, en el punto de mira de los analistas por las recompras de acciones</t>
    </r>
    <r>
      <rPr>
        <rFont val="Arial, sans-serif"/>
        <color rgb="FF1155CC"/>
        <sz val="11.0"/>
        <u/>
      </rPr>
      <t>Repsol encadena dos jornadas consecutivas con rebajas de perspectivas por parte de los analistas. Ayer por parte de UBS y hoy de la mano de RBC.</t>
    </r>
    <r>
      <rPr>
        <rFont val="Arial, sans-serif"/>
        <color rgb="FF1155CC"/>
        <sz val="12.0"/>
        <u/>
      </rPr>
      <t>.</t>
    </r>
    <r>
      <rPr>
        <rFont val="Arial, sans-serif"/>
        <color rgb="FF1155CC"/>
        <sz val="11.0"/>
        <u/>
      </rPr>
      <t>17 sept 2024</t>
    </r>
  </si>
  <si>
    <t>Repsol, en el punto de mira de los analistas por las recompras de acciones</t>
  </si>
  <si>
    <t>Repsol encadena dos jornadas consecutivas con rebajas de perspectivas por parte de los analistas. Ayer por parte de UBS y hoy de la mano de RBC.</t>
  </si>
  <si>
    <t>Repsol, in the spotlight of analysts for share buybacks</t>
  </si>
  <si>
    <t>Repsol has had two consecutive days of lowering its outlook by analysts. Yesterday by UBS and today by RBC.</t>
  </si>
  <si>
    <t>Negative due to concerns about stock performance.</t>
  </si>
  <si>
    <t>punto de mira</t>
  </si>
  <si>
    <t>Negative for scrutiny.</t>
  </si>
  <si>
    <t>Negativo para el escrutinio.</t>
  </si>
  <si>
    <r>
      <rPr>
        <rFont val="Arial, sans-serif"/>
        <color rgb="FF1155CC"/>
        <sz val="9.0"/>
        <u/>
      </rPr>
      <t>Radio Intereconomía</t>
    </r>
    <r>
      <rPr>
        <rFont val="Arial, sans-serif"/>
        <color rgb="FF1155CC"/>
        <sz val="15.0"/>
        <u/>
      </rPr>
      <t>Malas noticias para Repsol: Ribera acumula poder en Bruselas</t>
    </r>
    <r>
      <rPr>
        <rFont val="Arial, sans-serif"/>
        <color rgb="FF1155CC"/>
        <sz val="11.0"/>
        <u/>
      </rPr>
      <t>Ayer mismo, y no es la primera vez que Repsol critica la política energética española o europea, el presidente de la petrolera, Antonio Brufau, dijo que,...</t>
    </r>
    <r>
      <rPr>
        <rFont val="Arial, sans-serif"/>
        <color rgb="FF1155CC"/>
        <sz val="12.0"/>
        <u/>
      </rPr>
      <t>.</t>
    </r>
    <r>
      <rPr>
        <rFont val="Arial, sans-serif"/>
        <color rgb="FF1155CC"/>
        <sz val="11.0"/>
        <u/>
      </rPr>
      <t>17 sept 2024</t>
    </r>
  </si>
  <si>
    <t>Malas noticias para Repsol: Ribera acumula poder en Bruselas</t>
  </si>
  <si>
    <t>Malas noticias para Repsol: Ribera acumula poder en Bruselas. Ayer mismo, y no es la primera vez que Repsol critica la política energética española o europea, el presidente de la petrolera, Antonio Brufau, dijo que,...</t>
  </si>
  <si>
    <t>Bad news for Repsol: Ribera accumulates power in Brussels</t>
  </si>
  <si>
    <t>Bad news for Repsol: Ribera accumulates power in Brussels. Just yesterday, and it is not the first time that Repsol criticizes Spanish or European energy policy, the president of the oil company, Antonio Brufau, said that...</t>
  </si>
  <si>
    <t>Repsol regulatory risks, business challenges</t>
  </si>
  <si>
    <t>Riesgos regulatorios de Repsol, retos empresariales</t>
  </si>
  <si>
    <t>Negative due to regulatory and political challenges.</t>
  </si>
  <si>
    <t>malas noticias</t>
  </si>
  <si>
    <t>Negative for regulatory risks.</t>
  </si>
  <si>
    <t>Negativo para riesgos regulatorios.</t>
  </si>
  <si>
    <r>
      <rPr>
        <rFont val="Arial, sans-serif"/>
        <color rgb="FF1155CC"/>
        <sz val="9.0"/>
        <u/>
      </rPr>
      <t>elconfidencial.com</t>
    </r>
    <r>
      <rPr>
        <rFont val="Arial, sans-serif"/>
        <color rgb="FF1155CC"/>
        <sz val="15.0"/>
        <u/>
      </rPr>
      <t>Repsol sobre sus primeros grandes soportes</t>
    </r>
    <r>
      <rPr>
        <rFont val="Arial, sans-serif"/>
        <color rgb="FF1155CC"/>
        <sz val="11.0"/>
        <u/>
      </rPr>
      <t>El movimiento bajista, bastante lineal, pone sin embargo ya a prueba zonas de soporte con fuerte lectura tendencial.</t>
    </r>
    <r>
      <rPr>
        <rFont val="Arial, sans-serif"/>
        <color rgb="FF1155CC"/>
        <sz val="12.0"/>
        <u/>
      </rPr>
      <t>.</t>
    </r>
    <r>
      <rPr>
        <rFont val="Arial, sans-serif"/>
        <color rgb="FF1155CC"/>
        <sz val="11.0"/>
        <u/>
      </rPr>
      <t>17 sept 2024</t>
    </r>
  </si>
  <si>
    <t>Repsol sobre sus primeros grandes soportes</t>
  </si>
  <si>
    <t>El movimiento bajista, bastante lineal, pone sin embargo ya a prueba zonas de soporte con fuerte lectura tendencial.</t>
  </si>
  <si>
    <t>Repsol on its first major supports</t>
  </si>
  <si>
    <t>The bearish movement, quite linear, however, is already testing support areas with a strong trend reading.</t>
  </si>
  <si>
    <t>Negative due to stock market struggles.</t>
  </si>
  <si>
    <t>Neutral; technical analysis.</t>
  </si>
  <si>
    <t>Neutral; análisis técnico.</t>
  </si>
  <si>
    <r>
      <rPr>
        <rFont val="Arial, sans-serif"/>
        <color rgb="FF1155CC"/>
        <sz val="9.0"/>
        <u/>
      </rPr>
      <t>Europa Press</t>
    </r>
    <r>
      <rPr>
        <rFont val="Arial, sans-serif"/>
        <color rgb="FF1155CC"/>
        <sz val="15.0"/>
        <u/>
      </rPr>
      <t>El periodista Alberto Ramos gana el XVIII Premio Narrativa Breve Repsol con 'Pirotecnia'</t>
    </r>
    <r>
      <rPr>
        <rFont val="Arial, sans-serif"/>
        <color rgb="FF1155CC"/>
        <sz val="11.0"/>
        <u/>
      </rPr>
      <t>El periodista Alberto Ramos ha ganado el XVIII Premio Narrativa Breve Repsol con 'Pirotecnia', una obra...</t>
    </r>
    <r>
      <rPr>
        <rFont val="Arial, sans-serif"/>
        <color rgb="FF1155CC"/>
        <sz val="12.0"/>
        <u/>
      </rPr>
      <t>.</t>
    </r>
    <r>
      <rPr>
        <rFont val="Arial, sans-serif"/>
        <color rgb="FF1155CC"/>
        <sz val="11.0"/>
        <u/>
      </rPr>
      <t>17 sept 2024</t>
    </r>
  </si>
  <si>
    <t>El periodista Alberto Ramos gana el XVIII Premio Narrativa Breve Repsol con 'Pirotecnia'</t>
  </si>
  <si>
    <t>El periodista Alberto Ramos ha ganado el XVIII Premio Narrativa Breve Repsol con 'Pirotecnia', una obra....</t>
  </si>
  <si>
    <t>Journalist Alberto Ramos wins the 18th Repsol Brief Narrative Award with 'Pirotecnia'</t>
  </si>
  <si>
    <t>The journalist Alberto Ramos has won the 18th Repsol Brief Narrative Award with 'Pirotecnia', a work....</t>
  </si>
  <si>
    <r>
      <rPr>
        <rFont val="Arial, sans-serif"/>
        <color rgb="FF1155CC"/>
        <sz val="9.0"/>
        <u/>
      </rPr>
      <t>Interempresas.net</t>
    </r>
    <r>
      <rPr>
        <rFont val="Arial, sans-serif"/>
        <color rgb="FF1155CC"/>
        <sz val="15.0"/>
        <u/>
      </rPr>
      <t>Repsol instalará 70 puntos de recogida de aceite de cocina usado en sus estaciones de Aragón</t>
    </r>
    <r>
      <rPr>
        <rFont val="Arial, sans-serif"/>
        <color rgb="FF1155CC"/>
        <sz val="11.0"/>
        <u/>
      </rPr>
      <t>El Departamento de Medio Ambiente y Turismo del Gobierno de Aragón y Repsol firmaron un convenio de colaboración para desplegar la recogida de aceite de...</t>
    </r>
    <r>
      <rPr>
        <rFont val="Arial, sans-serif"/>
        <color rgb="FF1155CC"/>
        <sz val="12.0"/>
        <u/>
      </rPr>
      <t>.</t>
    </r>
    <r>
      <rPr>
        <rFont val="Arial, sans-serif"/>
        <color rgb="FF1155CC"/>
        <sz val="11.0"/>
        <u/>
      </rPr>
      <t>17 sept 2024</t>
    </r>
  </si>
  <si>
    <t>Repsol instalará 70 puntos de recogida de aceite de cocina usado en sus estaciones de Aragón</t>
  </si>
  <si>
    <t>El Departamento de Medio Ambiente y Turismo del Gobierno de Aragón y Repsol firmaron un convenio de colaboración para desplegar la recogida de aceite de....</t>
  </si>
  <si>
    <t>Repsol will install 70 collection points for used cooking oil at its stations in Aragon</t>
  </si>
  <si>
    <t>The Department of Environment and Tourism of the Government of Aragon and Repsol signed a collaboration agreement to deploy the collection of olive oil....</t>
  </si>
  <si>
    <t>Positive due to sustainability efforts.</t>
  </si>
  <si>
    <t>Positive for sustainability.</t>
  </si>
  <si>
    <t>Positivo para la sostenibilidad.</t>
  </si>
  <si>
    <r>
      <rPr>
        <rFont val="Arial, sans-serif"/>
        <color rgb="FF1155CC"/>
        <sz val="9.0"/>
        <u/>
      </rPr>
      <t>La Voz de Galicia</t>
    </r>
    <r>
      <rPr>
        <rFont val="Arial, sans-serif"/>
        <color rgb="FF1155CC"/>
        <sz val="15.0"/>
        <u/>
      </rPr>
      <t>«Pirotecnia», de Alberto Ramos, se alza en A Coruña con el Premio Narrativa Breve Repsol</t>
    </r>
    <r>
      <rPr>
        <rFont val="Arial, sans-serif"/>
        <color rgb="FF1155CC"/>
        <sz val="11.0"/>
        <u/>
      </rPr>
      <t>El jurado destaca «la calidade dos diálogos, a caracterización dos personaxes e a acaída recreación de atmósferas» de Polifonía»</t>
    </r>
    <r>
      <rPr>
        <rFont val="Arial, sans-serif"/>
        <color rgb="FF1155CC"/>
        <sz val="12.0"/>
        <u/>
      </rPr>
      <t>.</t>
    </r>
    <r>
      <rPr>
        <rFont val="Arial, sans-serif"/>
        <color rgb="FF1155CC"/>
        <sz val="11.0"/>
        <u/>
      </rPr>
      <t>17 sept 2024</t>
    </r>
  </si>
  <si>
    <t>«Pirotecnia», de Alberto Ramos, se alza en A Coruña con el Premio Narrativa Breve Repsol</t>
  </si>
  <si>
    <t>El jurado destaca «la calidade dos diálogos, a caracterización dos personaxes e a acaída recreación de atmósferas» de Polifonía.</t>
  </si>
  <si>
    <t>“Pirotecnia”, by Alberto Ramos, wins the Repsol Brief Narrative Award in A Coruña</t>
  </si>
  <si>
    <t>The jury highlights "the quality of the dialogues, the characterization of the characters and the casual recreation of atmospheres" of Polifonía.</t>
  </si>
  <si>
    <r>
      <rPr>
        <rFont val="Arial, sans-serif"/>
        <color rgb="FF1155CC"/>
        <sz val="9.0"/>
        <u/>
      </rPr>
      <t>El Español</t>
    </r>
    <r>
      <rPr>
        <rFont val="Arial, sans-serif"/>
        <color rgb="FF1155CC"/>
        <sz val="15.0"/>
        <u/>
      </rPr>
      <t>Alberto Ramos gana el XVIII Premio Narrativa Breve Repsol en gallego</t>
    </r>
    <r>
      <rPr>
        <rFont val="Arial, sans-serif"/>
        <color rgb="FF1155CC"/>
        <sz val="11.0"/>
        <u/>
      </rPr>
      <t>El periodista y escritor, que se ha llevado el galardón con 'Pirotecnia', ya lo había recibido en 2022 con su obra 'Os corpos dos Romanov'</t>
    </r>
    <r>
      <rPr>
        <rFont val="Arial, sans-serif"/>
        <color rgb="FF1155CC"/>
        <sz val="12.0"/>
        <u/>
      </rPr>
      <t>.</t>
    </r>
    <r>
      <rPr>
        <rFont val="Arial, sans-serif"/>
        <color rgb="FF1155CC"/>
        <sz val="11.0"/>
        <u/>
      </rPr>
      <t>17 sept 2024</t>
    </r>
  </si>
  <si>
    <t>Alberto Ramos gana el XVIII Premio Narrativa Breve Repsol en gallego</t>
  </si>
  <si>
    <t>El periodista y escritor, que se ha llevado el galardón con 'Pirotecnia', ya lo había recibido en 2022 con su obra 'Os corpos dos Romanov'.</t>
  </si>
  <si>
    <t>Alberto Ramos wins the 18th Repsol Brief Narrative Award in Galician</t>
  </si>
  <si>
    <t>The journalist and writer, who won the award with 'Pirotecnia', had already received it in 2022 with his work 'Os corpos dos Romanov'.</t>
  </si>
  <si>
    <r>
      <rPr>
        <rFont val="Arial, sans-serif"/>
        <color rgb="FF1155CC"/>
        <sz val="9.0"/>
        <u/>
      </rPr>
      <t>Economía Digital</t>
    </r>
    <r>
      <rPr>
        <rFont val="Arial, sans-serif"/>
        <color rgb="FF1155CC"/>
        <sz val="15.0"/>
        <u/>
      </rPr>
      <t>La encrucijada de Repsol con las crisis políticas de Venezuela y Libia: en juego 1.546 millones de negocio</t>
    </r>
    <r>
      <rPr>
        <rFont val="Arial, sans-serif"/>
        <color rgb="FF1155CC"/>
        <sz val="11.0"/>
        <u/>
      </rPr>
      <t>Repsol vive días de 'fuego cruzado' y polémica por la crisis política en Venezuela, país donde ha vuelto a poner el foco este año.</t>
    </r>
    <r>
      <rPr>
        <rFont val="Arial, sans-serif"/>
        <color rgb="FF1155CC"/>
        <sz val="12.0"/>
        <u/>
      </rPr>
      <t>.</t>
    </r>
    <r>
      <rPr>
        <rFont val="Arial, sans-serif"/>
        <color rgb="FF1155CC"/>
        <sz val="11.0"/>
        <u/>
      </rPr>
      <t>17 sept 2024</t>
    </r>
  </si>
  <si>
    <t>La encrucijada de Repsol con las crisis políticas de Venezuela y Libia: en juego 1.546 millones de negocio</t>
  </si>
  <si>
    <t>Repsol vive días de 'fuego cruzado' y polémica por la crisis política en Venezuela, país donde ha vuelto a poner el foco este año.</t>
  </si>
  <si>
    <t>Repsol's crossroads with the political crises in Venezuela and Libya: 1,546 million in business at stake</t>
  </si>
  <si>
    <t>Repsol is experiencing days of 'crossfire' and controversy due to the political crisis in Venezuela, a country where it has once again focused its attention this year.</t>
  </si>
  <si>
    <t>Negative due to geopolitical instability affecting Repsol.</t>
  </si>
  <si>
    <t>encrucijada, crisis</t>
  </si>
  <si>
    <t>Strongly negative for geopolitical risks.</t>
  </si>
  <si>
    <t>Fuertemente negativo para los riesgos geopolíticos.</t>
  </si>
  <si>
    <r>
      <rPr>
        <rFont val="Arial, sans-serif"/>
        <color rgb="FF1155CC"/>
        <sz val="9.0"/>
        <u/>
      </rPr>
      <t>Guía Repsol</t>
    </r>
    <r>
      <rPr>
        <rFont val="Arial, sans-serif"/>
        <color rgb="FF1155CC"/>
        <sz val="15.0"/>
        <u/>
      </rPr>
      <t>Fuego, humo y leña a ritmo de música en 'Chefs on Fire'</t>
    </r>
    <r>
      <rPr>
        <rFont val="Arial, sans-serif"/>
        <color rgb="FF1155CC"/>
        <sz val="11.0"/>
        <u/>
      </rPr>
      <t>Guía Repsol Portugal participa por primera vez en el festival gastronómico Chefs on Fire, un festival que acoge más de 60 cocineros para cocinar con fuego,...</t>
    </r>
    <r>
      <rPr>
        <rFont val="Arial, sans-serif"/>
        <color rgb="FF1155CC"/>
        <sz val="12.0"/>
        <u/>
      </rPr>
      <t>.</t>
    </r>
    <r>
      <rPr>
        <rFont val="Arial, sans-serif"/>
        <color rgb="FF1155CC"/>
        <sz val="11.0"/>
        <u/>
      </rPr>
      <t>17 sept 2024</t>
    </r>
  </si>
  <si>
    <t>Fuego, humo y leña a ritmo de música en 'Chefs on Fire'</t>
  </si>
  <si>
    <t>Guía Repsol Portugal participa por primera vez en el festival gastronómico Chefs on Fire, un festival que acoge más de 60 cocineros para cocinar con fuego,....</t>
  </si>
  <si>
    <t>Fire, smoke and wood to the rhythm of music in 'Chefs on Fire'</t>
  </si>
  <si>
    <t>Repsol Portugal Guide participates for the first time in the Chefs on Fire gastronomic festival, a festival that welcomes more than 60 chefs to cook with fire,...</t>
  </si>
  <si>
    <r>
      <rPr>
        <rFont val="Arial, sans-serif"/>
        <color rgb="FF1155CC"/>
        <sz val="9.0"/>
        <u/>
      </rPr>
      <t>Diario de Santiago</t>
    </r>
    <r>
      <rPr>
        <rFont val="Arial, sans-serif"/>
        <color rgb="FF1155CC"/>
        <sz val="15.0"/>
        <u/>
      </rPr>
      <t>Alberto Ramos gana el XVIII Premio de Narrativa Breve Repsol en gallego con su obra 'Pirotecnia'</t>
    </r>
    <r>
      <rPr>
        <rFont val="Arial, sans-serif"/>
        <color rgb="FF1155CC"/>
        <sz val="11.0"/>
        <u/>
      </rPr>
      <t>El escritor y periodista Alberto Ramos ha sido galardonado este martes con el XVIII Premio de Narrativa Breve Repsol en Lengua Gallega por su obra...</t>
    </r>
    <r>
      <rPr>
        <rFont val="Arial, sans-serif"/>
        <color rgb="FF1155CC"/>
        <sz val="12.0"/>
        <u/>
      </rPr>
      <t>.</t>
    </r>
    <r>
      <rPr>
        <rFont val="Arial, sans-serif"/>
        <color rgb="FF1155CC"/>
        <sz val="11.0"/>
        <u/>
      </rPr>
      <t>17 sept 2024</t>
    </r>
  </si>
  <si>
    <t>Diario de Santiago</t>
  </si>
  <si>
    <t>Alberto Ramos gana el XVIII Premio de Narrativa Breve Repsol en gallego con su obra 'Pirotecnia'</t>
  </si>
  <si>
    <t>El escritor y periodista Alberto Ramos ha sido galardonado este martes con el XVIII Premio de Narrativa Breve Repsol en Lengua Gallega por su obra....</t>
  </si>
  <si>
    <t>Alberto Ramos wins the 18th Repsol Short Fiction Prize in Galician with his work 'Pirotecnia'</t>
  </si>
  <si>
    <t>The writer and journalist Alberto Ramos has been awarded this Tuesday with the 18th Repsol Brief Narrative Prize in the Galician Language for his work....</t>
  </si>
  <si>
    <r>
      <rPr>
        <rFont val="Arial, sans-serif"/>
        <color rgb="FF1155CC"/>
        <sz val="9.0"/>
        <u/>
      </rPr>
      <t>El Economista</t>
    </r>
    <r>
      <rPr>
        <rFont val="Arial, sans-serif"/>
        <color rgb="FF1155CC"/>
        <sz val="15.0"/>
        <u/>
      </rPr>
      <t>Repsol instalará autoconsumo con baterías en su refinería de Puertollano</t>
    </r>
    <r>
      <rPr>
        <rFont val="Arial, sans-serif"/>
        <color rgb="FF1155CC"/>
        <sz val="11.0"/>
        <u/>
      </rPr>
      <t>La refinería de Repsol en Puertollano (Ciudad Real) se quiere pasar al autoconsumo. La petrolera ha solicitado la Autorización ...</t>
    </r>
    <r>
      <rPr>
        <rFont val="Arial, sans-serif"/>
        <color rgb="FF1155CC"/>
        <sz val="12.0"/>
        <u/>
      </rPr>
      <t>.</t>
    </r>
    <r>
      <rPr>
        <rFont val="Arial, sans-serif"/>
        <color rgb="FF1155CC"/>
        <sz val="11.0"/>
        <u/>
      </rPr>
      <t>17 sept 2024</t>
    </r>
  </si>
  <si>
    <t>Repsol instalará autoconsumo con baterías en su refinería de Puertollano</t>
  </si>
  <si>
    <t>La refinería de Repsol en Puertollano (Ciudad Real) se quiere pasar al autoconsumo. La petrolera ha solicitado la Autorización ....</t>
  </si>
  <si>
    <t>Repsol will install self-consumption with batteries in its Puertollano refinery</t>
  </si>
  <si>
    <t>The Repsol refinery in Puertollano (Ciudad Real) wants to switch to self-consumption. The oil company has requested Authorization....</t>
  </si>
  <si>
    <t>autoconsumo, baterías</t>
  </si>
  <si>
    <t>Positive: Investment in sustainable energy solutions.</t>
  </si>
  <si>
    <t>Positivo: Inversión en soluciones energéticas sostenibles.</t>
  </si>
  <si>
    <r>
      <rPr>
        <rFont val="Arial, sans-serif"/>
        <color rgb="FF1155CC"/>
        <sz val="9.0"/>
        <u/>
      </rPr>
      <t>Misión Verdad</t>
    </r>
    <r>
      <rPr>
        <rFont val="Arial, sans-serif"/>
        <color rgb="FF1155CC"/>
        <sz val="15.0"/>
        <u/>
      </rPr>
      <t>Petróleo y gas venezolano: su importancia estratégica para España</t>
    </r>
    <r>
      <rPr>
        <rFont val="Arial, sans-serif"/>
        <color rgb="FF1155CC"/>
        <sz val="11.0"/>
        <u/>
      </rPr>
      <t>Días atrás la vicepresidenta ejecutiva y ministra del Petróleo, Delcy Rodríguez, sostuvo una reunión con Luis Antonio García Sánchez, director de la Unidad...</t>
    </r>
    <r>
      <rPr>
        <rFont val="Arial, sans-serif"/>
        <color rgb="FF1155CC"/>
        <sz val="12.0"/>
        <u/>
      </rPr>
      <t>.</t>
    </r>
    <r>
      <rPr>
        <rFont val="Arial, sans-serif"/>
        <color rgb="FF1155CC"/>
        <sz val="11.0"/>
        <u/>
      </rPr>
      <t>17 sept 2024</t>
    </r>
  </si>
  <si>
    <t>Petróleo y gas venezolano: su importancia estratégica para España</t>
  </si>
  <si>
    <t>Días atrás la vicepresidenta ejecutiva y ministra del Petróleo, Delcy Rodríguez, sostuvo una reunión con Luis Antonio García Sánchez, director de la Unidad....</t>
  </si>
  <si>
    <t>Venezuelan oil and gas: its strategic importance for Spain</t>
  </si>
  <si>
    <t>Days ago, the executive vice president and Minister of Petroleum, Delcy Rodríguez, held a meeting with Luis Antonio García Sánchez, director of the Unit....</t>
  </si>
  <si>
    <t>Positive due to Repsol's continued operations in Venezuela.</t>
  </si>
  <si>
    <t>estratégica</t>
  </si>
  <si>
    <t>Positive: Highlights strategic partnership.</t>
  </si>
  <si>
    <t>Positivo: Destaca alianza estratégica.</t>
  </si>
  <si>
    <r>
      <rPr>
        <rFont val="Arial, sans-serif"/>
        <color rgb="FF1155CC"/>
        <sz val="9.0"/>
        <u/>
      </rPr>
      <t>Guía Repsol</t>
    </r>
    <r>
      <rPr>
        <rFont val="Arial, sans-serif"/>
        <color rgb="FF1155CC"/>
        <sz val="15.0"/>
        <u/>
      </rPr>
      <t>Descubre el camping motero de Anzánigo</t>
    </r>
    <r>
      <rPr>
        <rFont val="Arial, sans-serif"/>
        <color rgb="FF1155CC"/>
        <sz val="11.0"/>
        <u/>
      </rPr>
      <t>En Anzánigo (Huesca) está el único camping motero de España. Lo singular es que lo dirige un cocinero, Carlos Moliné, al que, por supuesto, le apasionan las...</t>
    </r>
    <r>
      <rPr>
        <rFont val="Arial, sans-serif"/>
        <color rgb="FF1155CC"/>
        <sz val="12.0"/>
        <u/>
      </rPr>
      <t>.</t>
    </r>
    <r>
      <rPr>
        <rFont val="Arial, sans-serif"/>
        <color rgb="FF1155CC"/>
        <sz val="11.0"/>
        <u/>
      </rPr>
      <t>17 sept 2024</t>
    </r>
  </si>
  <si>
    <t>Descubre el camping motero de Anzánigo</t>
  </si>
  <si>
    <t>En Anzánigo (Huesca) está el único camping motero de España. Lo singular es que lo dirige un cocinero, Carlos Moliné, al que, por supuesto, le apasionan las....</t>
  </si>
  <si>
    <t>Discover the Anzánigo biker campsite</t>
  </si>
  <si>
    <t>In Anzánigo (Huesca) is the only biker campsite in Spain. The unique thing is that it is run by a chef, Carlos Moliné, who, of course, is passionate about...</t>
  </si>
  <si>
    <r>
      <rPr>
        <rFont val="Arial, sans-serif"/>
        <color rgb="FF1155CC"/>
        <sz val="9.0"/>
        <u/>
      </rPr>
      <t>El Español</t>
    </r>
    <r>
      <rPr>
        <rFont val="Arial, sans-serif"/>
        <color rgb="FF1155CC"/>
        <sz val="15.0"/>
        <u/>
      </rPr>
      <t>El fundador de Repsol y consejero de Ferrovial Óscar Fanjul promueve una gestora de capital riesgo</t>
    </r>
    <r>
      <rPr>
        <rFont val="Arial, sans-serif"/>
        <color rgb="FF1155CC"/>
        <sz val="11.0"/>
        <u/>
      </rPr>
      <t>Será el presidente de HWK Techinvestment, capitaneada por Juan Santamaría.</t>
    </r>
    <r>
      <rPr>
        <rFont val="Arial, sans-serif"/>
        <color rgb="FF1155CC"/>
        <sz val="12.0"/>
        <u/>
      </rPr>
      <t>.</t>
    </r>
    <r>
      <rPr>
        <rFont val="Arial, sans-serif"/>
        <color rgb="FF1155CC"/>
        <sz val="11.0"/>
        <u/>
      </rPr>
      <t>17 sept 2024</t>
    </r>
  </si>
  <si>
    <t>El fundador de Repsol y consejero de Ferrovial Óscar Fanjul promueve una gestora de capital riesgo.</t>
  </si>
  <si>
    <t>The founder of Repsol and director of Ferrovial Óscar Fanjul promotes a venture capital manager.</t>
  </si>
  <si>
    <r>
      <rPr>
        <rFont val="Arial, sans-serif"/>
        <color rgb="FF1155CC"/>
        <sz val="9.0"/>
        <u/>
      </rPr>
      <t>La Voz del Trubia</t>
    </r>
    <r>
      <rPr>
        <rFont val="Arial, sans-serif"/>
        <color rgb="FF1155CC"/>
        <sz val="15.0"/>
        <u/>
      </rPr>
      <t>SEO/Birdlife alega contra el parque eólico de Bufarán</t>
    </r>
    <r>
      <rPr>
        <rFont val="Arial, sans-serif"/>
        <color rgb="FF1155CC"/>
        <sz val="11.0"/>
        <u/>
      </rPr>
      <t>La Sociedad Española de Ornitología asegura que el proyecto de Repsol incumple las propias directrices del Ministerio de Transición Ecológica y sería el...</t>
    </r>
    <r>
      <rPr>
        <rFont val="Arial, sans-serif"/>
        <color rgb="FF1155CC"/>
        <sz val="12.0"/>
        <u/>
      </rPr>
      <t>.</t>
    </r>
    <r>
      <rPr>
        <rFont val="Arial, sans-serif"/>
        <color rgb="FF1155CC"/>
        <sz val="11.0"/>
        <u/>
      </rPr>
      <t>17 sept 2024</t>
    </r>
  </si>
  <si>
    <t>La Voz del Trubia</t>
  </si>
  <si>
    <t>SEO/Birdlife alega contra el parque eólico de Bufarán</t>
  </si>
  <si>
    <t>La Sociedad Española de Ornitología asegura que el proyecto de Repsol incumple las propias directrices del Ministerio de Transición Ecológica y sería el....</t>
  </si>
  <si>
    <t>SEO/Birdlife alleges against the Bufarán wind farm</t>
  </si>
  <si>
    <t>The Spanish Society of Ornithology assures that the Repsol project fails to comply with the Ministry of Ecological Transition's own guidelines and would be...</t>
  </si>
  <si>
    <t>Repsol renewable energy, environmental impact</t>
  </si>
  <si>
    <t>Repsol energías renovables, impacto ambiental</t>
  </si>
  <si>
    <t>Negative due to environmental opposition to Repsol’s wind energy project.</t>
  </si>
  <si>
    <t>alega</t>
  </si>
  <si>
    <t>Negative: Environmental opposition to project.</t>
  </si>
  <si>
    <t>Negativo: Oposición ambiental al proyecto.</t>
  </si>
  <si>
    <r>
      <rPr>
        <rFont val="Arial, sans-serif"/>
        <color rgb="FF1155CC"/>
        <sz val="9.0"/>
        <u/>
      </rPr>
      <t>Gestión</t>
    </r>
    <r>
      <rPr>
        <rFont val="Arial, sans-serif"/>
        <color rgb="FF1155CC"/>
        <sz val="15.0"/>
        <u/>
      </rPr>
      <t>La Pampilla con luz verde para obras de infraestructura en terminal portuario</t>
    </r>
    <r>
      <rPr>
        <rFont val="Arial, sans-serif"/>
        <color rgb="FF1155CC"/>
        <sz val="11.0"/>
        <u/>
      </rPr>
      <t>Autoridad Portuaria Nacional aprobó la instalación de válvulas breakaway, válvulas de bola de accionamiento manual y estructuras metálicas en el Terminal...</t>
    </r>
    <r>
      <rPr>
        <rFont val="Arial, sans-serif"/>
        <color rgb="FF1155CC"/>
        <sz val="12.0"/>
        <u/>
      </rPr>
      <t>.</t>
    </r>
    <r>
      <rPr>
        <rFont val="Arial, sans-serif"/>
        <color rgb="FF1155CC"/>
        <sz val="11.0"/>
        <u/>
      </rPr>
      <t>17 sept 2024</t>
    </r>
  </si>
  <si>
    <t>La Pampilla con luz verde para obras de infraestructura en terminal portuario</t>
  </si>
  <si>
    <t>La Pampilla con luz verde para obras de infraestructura en terminal portuario. Autoridad Portuaria Nacional aprobó la instalación de válvulas breakaway, válvulas de bola de accionamiento manual y estructuras metálicas en el Terminal.</t>
  </si>
  <si>
    <t>La Pampilla with green light for infrastructure works in port terminal</t>
  </si>
  <si>
    <t>La Pampilla with the green light for infrastructure works in the port terminal. National Port Authority approved the installation of breakaway valves, manually operated ball valves and metal structures in the Terminal.</t>
  </si>
  <si>
    <t>Repsol infrastructure, business operations</t>
  </si>
  <si>
    <t>Infraestructuras de Repsol, operaciones empresariales</t>
  </si>
  <si>
    <t>Positive due to infrastructure development.</t>
  </si>
  <si>
    <t>luz verde</t>
  </si>
  <si>
    <t>Positive: Regulatory approval for operations.</t>
  </si>
  <si>
    <t>Positivo: Aprobación regulatoria para operaciones.</t>
  </si>
  <si>
    <r>
      <rPr>
        <rFont val="Arial, sans-serif"/>
        <color rgb="FF1155CC"/>
        <sz val="9.0"/>
        <u/>
      </rPr>
      <t>Estrategias de Inversión</t>
    </r>
    <r>
      <rPr>
        <rFont val="Arial, sans-serif"/>
        <color rgb="FF1155CC"/>
        <sz val="15.0"/>
        <u/>
      </rPr>
      <t>Generia, filial de Solaria, firma acuerdo con Repsol Renovables para búsqueda de terrenos</t>
    </r>
    <r>
      <rPr>
        <rFont val="Arial, sans-serif"/>
        <color rgb="FF1155CC"/>
        <sz val="11.0"/>
        <u/>
      </rPr>
      <t>Generia, la filial de Solaria, ha firmado un acuerdo con Repsol Renovables para la búsqueda de terrenos y promoción de energías renovables.</t>
    </r>
    <r>
      <rPr>
        <rFont val="Arial, sans-serif"/>
        <color rgb="FF1155CC"/>
        <sz val="12.0"/>
        <u/>
      </rPr>
      <t>.</t>
    </r>
    <r>
      <rPr>
        <rFont val="Arial, sans-serif"/>
        <color rgb="FF1155CC"/>
        <sz val="11.0"/>
        <u/>
      </rPr>
      <t>18 sept 2024</t>
    </r>
  </si>
  <si>
    <t>Generia, filial de Solaria, firma acuerdo con Repsol Renovables para búsqueda de terrenos</t>
  </si>
  <si>
    <t>Generia, la filial de Solaria, ha firmado un acuerdo con Repsol Renovables para la búsqueda de terrenos y promoción de energías renovables.</t>
  </si>
  <si>
    <t>Generia, a subsidiary of Solaria, signs an agreement with Repsol Renovables to search for land</t>
  </si>
  <si>
    <t>Generia, Solaria's subsidiary, has signed an agreement with Repsol Renovables to search for land and promote renewable energy.</t>
  </si>
  <si>
    <t>Positive due to Repsol’s expansion in renewable energy.</t>
  </si>
  <si>
    <t>Positive: Renewable energy partnership.</t>
  </si>
  <si>
    <t>Positivo: Asociación de energías renovables.</t>
  </si>
  <si>
    <r>
      <rPr>
        <rFont val="Arial, sans-serif"/>
        <color rgb="FF1155CC"/>
        <sz val="9.0"/>
        <u/>
      </rPr>
      <t>Cinco Días</t>
    </r>
    <r>
      <rPr>
        <rFont val="Arial, sans-serif"/>
        <color rgb="FF1155CC"/>
        <sz val="15.0"/>
        <u/>
      </rPr>
      <t>Solaria y Repsol se alían para la búsqueda de terrenos donde desarrollar proyectos renovables</t>
    </r>
    <r>
      <rPr>
        <rFont val="Arial, sans-serif"/>
        <color rgb="FF1155CC"/>
        <sz val="11.0"/>
        <u/>
      </rPr>
      <t>Solaria, a través de su filial Generia, ha firmado con Repsol Renovables un acuerdo de prestación de servicios para la búsqueda de terrenos,...</t>
    </r>
    <r>
      <rPr>
        <rFont val="Arial, sans-serif"/>
        <color rgb="FF1155CC"/>
        <sz val="12.0"/>
        <u/>
      </rPr>
      <t>.</t>
    </r>
    <r>
      <rPr>
        <rFont val="Arial, sans-serif"/>
        <color rgb="FF1155CC"/>
        <sz val="11.0"/>
        <u/>
      </rPr>
      <t>18 sept 2024</t>
    </r>
  </si>
  <si>
    <t>Solaria y Repsol se alían para la búsqueda de terrenos donde desarrollar proyectos renovables</t>
  </si>
  <si>
    <t>Solaria, a través de su filial Generia, ha firmado con Repsol Renovables un acuerdo de prestación de servicios para la búsqueda de terrenos,....</t>
  </si>
  <si>
    <t>Solaria and Repsol join forces to search for land to develop renewable projects</t>
  </si>
  <si>
    <t>Solaria, through its subsidiary Generia, has signed an agreement with Repsol Renovables to provide services for the search for land,...</t>
  </si>
  <si>
    <t>alían, renovables</t>
  </si>
  <si>
    <t>Positive: Collaboration for green energy.</t>
  </si>
  <si>
    <t>Positivo: Colaboración por la energía verde.</t>
  </si>
  <si>
    <r>
      <rPr>
        <rFont val="Arial, sans-serif"/>
        <color rgb="FF1155CC"/>
        <sz val="9.0"/>
        <u/>
      </rPr>
      <t>El Economista</t>
    </r>
    <r>
      <rPr>
        <rFont val="Arial, sans-serif"/>
        <color rgb="FF1155CC"/>
        <sz val="15.0"/>
        <u/>
      </rPr>
      <t>Solaria y Repsol se alían para la adquisición de terrenos para renovables</t>
    </r>
    <r>
      <rPr>
        <rFont val="Arial, sans-serif"/>
        <color rgb="FF1155CC"/>
        <sz val="11.0"/>
        <u/>
      </rPr>
      <t>La promotora de Solaria, Generia, y la filial de renovables de Repsol han alcanzado un acuerdo este miércoles para la búsqueda de ...</t>
    </r>
    <r>
      <rPr>
        <rFont val="Arial, sans-serif"/>
        <color rgb="FF1155CC"/>
        <sz val="12.0"/>
        <u/>
      </rPr>
      <t>.</t>
    </r>
    <r>
      <rPr>
        <rFont val="Arial, sans-serif"/>
        <color rgb="FF1155CC"/>
        <sz val="11.0"/>
        <u/>
      </rPr>
      <t>18 sept 2024</t>
    </r>
  </si>
  <si>
    <t>Solaria y Repsol se alían para la adquisición de terrenos para renovables</t>
  </si>
  <si>
    <t>La promotora de Solaria, Generia, y la filial de renovables de Repsol han alcanzado un acuerdo este miércoles para la búsqueda de ....</t>
  </si>
  <si>
    <t>Solaria and Repsol join forces to acquire land for renewables</t>
  </si>
  <si>
    <t>The developer of Solaria, Generia, and Repsol's renewables subsidiary have reached an agreement this Wednesday to search for....</t>
  </si>
  <si>
    <t>Positive due to Repsol's expansion into renewable energy.</t>
  </si>
  <si>
    <t>Positive: Reiterated positive partnership.</t>
  </si>
  <si>
    <t>Positivo: Asociación positiva reiterada.</t>
  </si>
  <si>
    <r>
      <rPr>
        <rFont val="Arial, sans-serif"/>
        <color rgb="FF1155CC"/>
        <sz val="9.0"/>
        <u/>
      </rPr>
      <t>Radio Intereconomía</t>
    </r>
    <r>
      <rPr>
        <rFont val="Arial, sans-serif"/>
        <color rgb="FF1155CC"/>
        <sz val="15.0"/>
        <u/>
      </rPr>
      <t>Solaria y Repsol, junto a la caza de terrenos</t>
    </r>
    <r>
      <rPr>
        <rFont val="Arial, sans-serif"/>
        <color rgb="FF1155CC"/>
        <sz val="11.0"/>
        <u/>
      </rPr>
      <t>Solaria ha firmado con Repsol Renovables un acuerdo de prestación de servicios para la búsqueda de terrenos.</t>
    </r>
    <r>
      <rPr>
        <rFont val="Arial, sans-serif"/>
        <color rgb="FF1155CC"/>
        <sz val="12.0"/>
        <u/>
      </rPr>
      <t>.</t>
    </r>
    <r>
      <rPr>
        <rFont val="Arial, sans-serif"/>
        <color rgb="FF1155CC"/>
        <sz val="11.0"/>
        <u/>
      </rPr>
      <t>18 sept 2024</t>
    </r>
  </si>
  <si>
    <t>Solaria y Repsol, junto a la caza de terrenos</t>
  </si>
  <si>
    <t>Solaria ha firmado con Repsol Renovables un acuerdo de prestación de servicios para la búsqueda de terrenos.</t>
  </si>
  <si>
    <t>Solaria and Repsol, together with the hunt for land</t>
  </si>
  <si>
    <t>Solaria has signed an agreement with Repsol Renovables to provide services for the search for land.</t>
  </si>
  <si>
    <t>Positive due to growth in renewable energy projects.</t>
  </si>
  <si>
    <t>Positive: Implied collaboration.</t>
  </si>
  <si>
    <t>Positivo: Colaboración implícita.</t>
  </si>
  <si>
    <r>
      <rPr>
        <rFont val="Arial, sans-serif"/>
        <color rgb="FF1155CC"/>
        <sz val="9.0"/>
        <u/>
      </rPr>
      <t>Simply Wall Street</t>
    </r>
    <r>
      <rPr>
        <rFont val="Arial, sans-serif"/>
        <color rgb="FF1155CC"/>
        <sz val="15.0"/>
        <u/>
      </rPr>
      <t>Repsol (BME:REP) asume cierto riesgo con su uso de la deuda</t>
    </r>
    <r>
      <rPr>
        <rFont val="Arial, sans-serif"/>
        <color rgb="FF1155CC"/>
        <sz val="11.0"/>
        <u/>
      </rPr>
      <t>Howard Marks lo expresó muy bien cuando dijo que, en lugar de preocuparse por la volatilidad del precio de las acciones, 'La posibilidad de...</t>
    </r>
    <r>
      <rPr>
        <rFont val="Arial, sans-serif"/>
        <color rgb="FF1155CC"/>
        <sz val="12.0"/>
        <u/>
      </rPr>
      <t>.</t>
    </r>
    <r>
      <rPr>
        <rFont val="Arial, sans-serif"/>
        <color rgb="FF1155CC"/>
        <sz val="11.0"/>
        <u/>
      </rPr>
      <t>18 sept 2024</t>
    </r>
  </si>
  <si>
    <t>Repsol (BME:REP) asume cierto riesgo con su uso de la deuda</t>
  </si>
  <si>
    <t>Howard Marks lo expresó muy bien cuando dijo que, en lugar de preocuparse por la volatilidad del precio de las acciones, 'La posibilidad de....</t>
  </si>
  <si>
    <t>Repsol (BME:REP) assumes some risk with its use of debt</t>
  </si>
  <si>
    <t>Howard Marks put it well when he said that, rather than worrying about stock price volatility, 'The possibility of...</t>
  </si>
  <si>
    <t>Negative due to financial risk concerns.</t>
  </si>
  <si>
    <t>riesgo</t>
  </si>
  <si>
    <t>Negative: Financial risk highlighted.</t>
  </si>
  <si>
    <t>Negativo: Se destaca el riesgo financiero.</t>
  </si>
  <si>
    <r>
      <rPr>
        <rFont val="Arial, sans-serif"/>
        <color rgb="FF1155CC"/>
        <sz val="9.0"/>
        <u/>
      </rPr>
      <t>Las Provincias</t>
    </r>
    <r>
      <rPr>
        <rFont val="Arial, sans-serif"/>
        <color rgb="FF1155CC"/>
        <sz val="15.0"/>
        <u/>
      </rPr>
      <t>El restaurante con un Solete Repsol en el que la plantilla del Valencia se ha conjurado para salir de la crisis</t>
    </r>
    <r>
      <rPr>
        <rFont val="Arial, sans-serif"/>
        <color rgb="FF1155CC"/>
        <sz val="11.0"/>
        <u/>
      </rPr>
      <t>El vestuario se conjura para conseguir su primera victoria con la presencia de Rafa Mir.</t>
    </r>
    <r>
      <rPr>
        <rFont val="Arial, sans-serif"/>
        <color rgb="FF1155CC"/>
        <sz val="12.0"/>
        <u/>
      </rPr>
      <t>.</t>
    </r>
    <r>
      <rPr>
        <rFont val="Arial, sans-serif"/>
        <color rgb="FF1155CC"/>
        <sz val="11.0"/>
        <u/>
      </rPr>
      <t>18 sept 2024</t>
    </r>
  </si>
  <si>
    <t>El restaurante con un Solete Repsol en el que la plantilla del Valencia se ha conjurado para salir de la crisis</t>
  </si>
  <si>
    <t>El vestuario se conjura para conseguir su primera victoria con la presencia de Rafa Mir.</t>
  </si>
  <si>
    <t>The restaurant with a Solete Repsol in which the Valencia team has conspired to get out of the crisis</t>
  </si>
  <si>
    <t>The locker room conspires to achieve its first victory with the presence of Rafa Mir.</t>
  </si>
  <si>
    <r>
      <rPr>
        <rFont val="Arial, sans-serif"/>
        <color rgb="FF1155CC"/>
        <sz val="9.0"/>
        <u/>
      </rPr>
      <t>Guía Repsol</t>
    </r>
    <r>
      <rPr>
        <rFont val="Arial, sans-serif"/>
        <color rgb="FF1155CC"/>
        <sz val="15.0"/>
        <u/>
      </rPr>
      <t>'Restaurante Cal Viva' (Morón de la Frontera, Sevilla)</t>
    </r>
    <r>
      <rPr>
        <rFont val="Arial, sans-serif"/>
        <color rgb="FF1155CC"/>
        <sz val="11.0"/>
        <u/>
      </rPr>
      <t>A 30 kilómetros de Sevilla, rodeada de cortijos encalados y campos de cultivo que poseen en el olivo su seña de identidad, se halla Morón de la Frontera.</t>
    </r>
    <r>
      <rPr>
        <rFont val="Arial, sans-serif"/>
        <color rgb="FF1155CC"/>
        <sz val="12.0"/>
        <u/>
      </rPr>
      <t>.</t>
    </r>
    <r>
      <rPr>
        <rFont val="Arial, sans-serif"/>
        <color rgb="FF1155CC"/>
        <sz val="11.0"/>
        <u/>
      </rPr>
      <t>18 sept 2024</t>
    </r>
  </si>
  <si>
    <t>Restaurante Cal Viva: A 30 kilómetros de Sevilla, rodeada de cortijos encalados y campos de cultivo.</t>
  </si>
  <si>
    <t>A 30 kilómetros de Sevilla, rodeada de cortijos encalados y campos de cultivo que poseen en el olivo su seña de identidad, se halla Morón de la Frontera.</t>
  </si>
  <si>
    <t>Cal Viva Restaurant: 30 kilometers from Seville, surrounded by whitewashed farmhouses and crop fields.</t>
  </si>
  <si>
    <t>30 kilometers from Seville, surrounded by whitewashed farmhouses and fields whose identity is the olive tree, is Morón de la Frontera.</t>
  </si>
  <si>
    <r>
      <rPr>
        <rFont val="Arial, sans-serif"/>
        <color rgb="FF1155CC"/>
        <sz val="9.0"/>
        <u/>
      </rPr>
      <t>Diario Sur</t>
    </r>
    <r>
      <rPr>
        <rFont val="Arial, sans-serif"/>
        <color rgb="FF1155CC"/>
        <sz val="15.0"/>
        <u/>
      </rPr>
      <t>Karmela mete a Alhaurín de la Torre en el club de los Soletes Repsol 2024</t>
    </r>
    <r>
      <rPr>
        <rFont val="Arial, sans-serif"/>
        <color rgb="FF1155CC"/>
        <sz val="11.0"/>
        <u/>
      </rPr>
      <t>El restaurante de Dani Peregrina busca seducir al comensal con productos de máxima calidad, como pescado comprado en la plaza de abastos y carne de Asturias...</t>
    </r>
    <r>
      <rPr>
        <rFont val="Arial, sans-serif"/>
        <color rgb="FF1155CC"/>
        <sz val="12.0"/>
        <u/>
      </rPr>
      <t>.</t>
    </r>
    <r>
      <rPr>
        <rFont val="Arial, sans-serif"/>
        <color rgb="FF1155CC"/>
        <sz val="11.0"/>
        <u/>
      </rPr>
      <t>18 sept 2024</t>
    </r>
  </si>
  <si>
    <t>Karmela mete a Alhaurín de la Torre en el club de los Soletes Repsol 2024</t>
  </si>
  <si>
    <t>El restaurante de Dani Peregrina busca seducir al comensal con productos de máxima calidad, como pescado comprado en la plaza de abastos y carne de Asturias....</t>
  </si>
  <si>
    <t>Karmela brings Alhaurín de la Torre into the Soletes Repsol 2024 club</t>
  </si>
  <si>
    <t>Dani Peregrina's restaurant seeks to seduce diners with top quality products, such as fish purchased at the food market and meat from Asturias....</t>
  </si>
  <si>
    <r>
      <rPr>
        <rFont val="Arial, sans-serif"/>
        <color rgb="FF1155CC"/>
        <sz val="9.0"/>
        <u/>
      </rPr>
      <t>El Español</t>
    </r>
    <r>
      <rPr>
        <rFont val="Arial, sans-serif"/>
        <color rgb="FF1155CC"/>
        <sz val="15.0"/>
        <u/>
      </rPr>
      <t>Óscar, el chino en la Guía Repsol que abre un puesto de mercado de biang biang en Madrid: "Lo llenamos a diario"</t>
    </r>
    <r>
      <rPr>
        <rFont val="Arial, sans-serif"/>
        <color rgb="FF1155CC"/>
        <sz val="11.0"/>
        <u/>
      </rPr>
      <t>Los bowles de noodles de su bar de Chueca han triunfado tanto que tiene un Solete Repsol y acaba de abrir su segundo local en la capital.</t>
    </r>
    <r>
      <rPr>
        <rFont val="Arial, sans-serif"/>
        <color rgb="FF1155CC"/>
        <sz val="12.0"/>
        <u/>
      </rPr>
      <t>.</t>
    </r>
    <r>
      <rPr>
        <rFont val="Arial, sans-serif"/>
        <color rgb="FF1155CC"/>
        <sz val="11.0"/>
        <u/>
      </rPr>
      <t>18 sept 2024</t>
    </r>
  </si>
  <si>
    <t>Óscar, el chino en la Guía Repsol que abre un puesto de mercado de biang biang en Madrid: "Lo llenamos a diario"</t>
  </si>
  <si>
    <t>"Lo llenamos a diario"</t>
  </si>
  <si>
    <t>Óscar, the Chinese in the Repsol Guide who opens a biang biang market stall in Madrid: "We fill it daily"</t>
  </si>
  <si>
    <t>"We fill it daily"</t>
  </si>
  <si>
    <r>
      <rPr>
        <rFont val="Arial, sans-serif"/>
        <color rgb="FF1155CC"/>
        <sz val="9.0"/>
        <u/>
      </rPr>
      <t>Bolsamania</t>
    </r>
    <r>
      <rPr>
        <rFont val="Arial, sans-serif"/>
        <color rgb="FF1155CC"/>
        <sz val="15.0"/>
        <u/>
      </rPr>
      <t>Consultorio de análisis técnico: Santander BBVA, Talgo, Ence, Repsol, Aedas Homes, Grenergy...</t>
    </r>
    <r>
      <rPr>
        <rFont val="Arial, sans-serif"/>
        <color rgb="FF1155CC"/>
        <sz val="11.0"/>
        <u/>
      </rPr>
      <t>A continuación, damos respuesta a los valores por los que más han preguntado este martes a César Nuez, analista técnico de Bolsamanía, que pone bajo la lupa...</t>
    </r>
    <r>
      <rPr>
        <rFont val="Arial, sans-serif"/>
        <color rgb="FF1155CC"/>
        <sz val="12.0"/>
        <u/>
      </rPr>
      <t>.</t>
    </r>
    <r>
      <rPr>
        <rFont val="Arial, sans-serif"/>
        <color rgb="FF1155CC"/>
        <sz val="11.0"/>
        <u/>
      </rPr>
      <t>18 sept 2024</t>
    </r>
  </si>
  <si>
    <t>Consultorio de análisis técnico: Santander BBVA, Talgo, Ence, Repsol, Aedas Homes, Grenergy...</t>
  </si>
  <si>
    <t>Technical analysis consultancy: Santander BBVA, Talgo, Ence, Repsol, Aedas Homes, Grenergy...</t>
  </si>
  <si>
    <t>Positive due to financial analysis.</t>
  </si>
  <si>
    <r>
      <rPr>
        <rFont val="Arial, sans-serif"/>
        <color rgb="FF1155CC"/>
        <sz val="9.0"/>
        <u/>
      </rPr>
      <t>Motor16</t>
    </r>
    <r>
      <rPr>
        <rFont val="Arial, sans-serif"/>
        <color rgb="FF1155CC"/>
        <sz val="15.0"/>
        <u/>
      </rPr>
      <t>El movimiento de Repsol para desmarcarse de las ‘low cost’ y que deberían seguir BP, Galp o Cepsa</t>
    </r>
    <r>
      <rPr>
        <rFont val="Arial, sans-serif"/>
        <color rgb="FF1155CC"/>
        <sz val="11.0"/>
        <u/>
      </rPr>
      <t>Repsol ha tomado la delantera en el competitivo mercado de las estaciones de servicio con una estrategia que va más allá de la oferta tradicional de.</t>
    </r>
    <r>
      <rPr>
        <rFont val="Arial, sans-serif"/>
        <color rgb="FF1155CC"/>
        <sz val="12.0"/>
        <u/>
      </rPr>
      <t>.</t>
    </r>
    <r>
      <rPr>
        <rFont val="Arial, sans-serif"/>
        <color rgb="FF1155CC"/>
        <sz val="11.0"/>
        <u/>
      </rPr>
      <t>18 sept 2024</t>
    </r>
  </si>
  <si>
    <t>El movimiento de Repsol para desmarcarse de las ‘low cost’ y que deberían seguir BP, Galp o Cepsa</t>
  </si>
  <si>
    <t>Repsol ha tomado la delantera en el competitivo mercado de las estaciones de servicio con una estrategia que va más allá de la oferta tradicional de..</t>
  </si>
  <si>
    <t>Repsol's movement to distance itself from the 'low cost' and that BP, Galp or Cepsa should follow</t>
  </si>
  <si>
    <t>Repsol has taken the lead in the competitive service station market with a strategy that goes beyond the traditional offering of...</t>
  </si>
  <si>
    <t>Positive due to competitive market positioning.</t>
  </si>
  <si>
    <t>desmarcarse</t>
  </si>
  <si>
    <t>Positive: Strategic differentiation.</t>
  </si>
  <si>
    <t>Positivo: Diferenciación estratégica.</t>
  </si>
  <si>
    <r>
      <rPr>
        <rFont val="Arial, sans-serif"/>
        <color rgb="FF1155CC"/>
        <sz val="9.0"/>
        <u/>
      </rPr>
      <t>El Salto</t>
    </r>
    <r>
      <rPr>
        <rFont val="Arial, sans-serif"/>
        <color rgb="FF1155CC"/>
        <sz val="15.0"/>
        <u/>
      </rPr>
      <t>De Messi a Nadal: ‘sportswashing’ para lavar la cara al petróleo</t>
    </r>
    <r>
      <rPr>
        <rFont val="Arial, sans-serif"/>
        <color rgb="FF1155CC"/>
        <sz val="11.0"/>
        <u/>
      </rPr>
      <t>Una investigación recopila 205 contratos de patrocinio en activo entre las mayores responsables de la aceleración del cambio climático y la industria del...</t>
    </r>
    <r>
      <rPr>
        <rFont val="Arial, sans-serif"/>
        <color rgb="FF1155CC"/>
        <sz val="12.0"/>
        <u/>
      </rPr>
      <t>.</t>
    </r>
    <r>
      <rPr>
        <rFont val="Arial, sans-serif"/>
        <color rgb="FF1155CC"/>
        <sz val="11.0"/>
        <u/>
      </rPr>
      <t>18 sept 2024</t>
    </r>
  </si>
  <si>
    <t>De Messi a Nadal: ‘sportswashing’ para lavar la cara al petróleo</t>
  </si>
  <si>
    <t>Una investigación recopila 205 contratos de patrocinio en activo entre las mayores responsables de la aceleración del cambio climático y la industria del....</t>
  </si>
  <si>
    <t>From Messi to Nadal: 'sportswashing' to wash the face of oil</t>
  </si>
  <si>
    <t>An investigation compiles 205 active sponsorship contracts between those most responsible for the acceleration of climate change and the...</t>
  </si>
  <si>
    <t>PR &amp; Reputation</t>
  </si>
  <si>
    <t>Repsol sponsorship, brand reputation</t>
  </si>
  <si>
    <t>Patrocinio Repsol, reputación de marca</t>
  </si>
  <si>
    <t>Negative due to criticism of sponsorship strategies.</t>
  </si>
  <si>
    <t>sportswashing</t>
  </si>
  <si>
    <t>Negative: Criticism of branding tactics.</t>
  </si>
  <si>
    <t>Negativo: Críticas a las tácticas de branding.</t>
  </si>
  <si>
    <r>
      <rPr>
        <rFont val="Arial, sans-serif"/>
        <color rgb="FF1155CC"/>
        <sz val="9.0"/>
        <u/>
      </rPr>
      <t>Faro de Vigo</t>
    </r>
    <r>
      <rPr>
        <rFont val="Arial, sans-serif"/>
        <color rgb="FF1155CC"/>
        <sz val="15.0"/>
        <u/>
      </rPr>
      <t>El periodista Alberto Ramos gana el XVIII Premio Narrativa Breve Repsol</t>
    </r>
    <r>
      <rPr>
        <rFont val="Arial, sans-serif"/>
        <color rgb="FF1155CC"/>
        <sz val="11.0"/>
        <u/>
      </rPr>
      <t>El escritor y periodista Alberto Ramos recibió ayer el XVIII Premio de Narrativa Breve Repsol por su obra “Pirotecnia”. El jurado destacó el estilo...</t>
    </r>
    <r>
      <rPr>
        <rFont val="Arial, sans-serif"/>
        <color rgb="FF1155CC"/>
        <sz val="12.0"/>
        <u/>
      </rPr>
      <t>.</t>
    </r>
    <r>
      <rPr>
        <rFont val="Arial, sans-serif"/>
        <color rgb="FF1155CC"/>
        <sz val="11.0"/>
        <u/>
      </rPr>
      <t>18 sept 2024</t>
    </r>
  </si>
  <si>
    <t>El periodista Alberto Ramos gana el XVIII Premio Narrativa Breve Repsol</t>
  </si>
  <si>
    <t>El escritor y periodista Alberto Ramos recibió ayer el XVIII Premio de Narrativa Breve Repsol por su obra “Pirotecnia”. El jurado destacó el estilo....</t>
  </si>
  <si>
    <t>Journalist Alberto Ramos wins the 18th Repsol Brief Narrative Award</t>
  </si>
  <si>
    <t>Yesterday, the writer and journalist Alberto Ramos received the 18th Repsol Brief Narrative Award for his work “Pirotecnia”. The jury highlighted the style....</t>
  </si>
  <si>
    <r>
      <rPr>
        <rFont val="Arial, sans-serif"/>
        <color rgb="FF1155CC"/>
        <sz val="9.0"/>
        <u/>
      </rPr>
      <t>El Periódico de la Energía</t>
    </r>
    <r>
      <rPr>
        <rFont val="Arial, sans-serif"/>
        <color rgb="FF1155CC"/>
        <sz val="15.0"/>
        <u/>
      </rPr>
      <t>Presentan un proyecto para generar biometano con restos del olivar y de granjas porcinas</t>
    </r>
    <r>
      <rPr>
        <rFont val="Arial, sans-serif"/>
        <color rgb="FF1155CC"/>
        <sz val="11.0"/>
        <u/>
      </rPr>
      <t>Genia Bioenergy desarrollará proyectos de biometano a partir de residuos orgánicos del olivar o los purines de las granjas porcinas en la provincia.</t>
    </r>
    <r>
      <rPr>
        <rFont val="Arial, sans-serif"/>
        <color rgb="FF1155CC"/>
        <sz val="12.0"/>
        <u/>
      </rPr>
      <t>.</t>
    </r>
    <r>
      <rPr>
        <rFont val="Arial, sans-serif"/>
        <color rgb="FF1155CC"/>
        <sz val="11.0"/>
        <u/>
      </rPr>
      <t>18 sept 2024</t>
    </r>
  </si>
  <si>
    <t>Presentan un proyecto para generar biometano con restos del olivar y de granjas porcinas</t>
  </si>
  <si>
    <t>Genia Bioenergy desarrollará proyectos de biometano a partir de residuos orgánicos del olivar o los purines de las granjas porcinas en la provincia.</t>
  </si>
  <si>
    <t>They present a project to generate biomethane with remains from olive groves and pig farms</t>
  </si>
  <si>
    <t>Genia Bioenergy will develop biomethane projects from organic waste from olive groves or slurry from pig farms in the province.</t>
  </si>
  <si>
    <t>Positive: Sustainable energy initiative.</t>
  </si>
  <si>
    <t>Positivo: Iniciativa de energía sostenible.</t>
  </si>
  <si>
    <r>
      <rPr>
        <rFont val="Arial, sans-serif"/>
        <color rgb="FF1155CC"/>
        <sz val="9.0"/>
        <u/>
      </rPr>
      <t>RETEMA</t>
    </r>
    <r>
      <rPr>
        <rFont val="Arial, sans-serif"/>
        <color rgb="FF1155CC"/>
        <sz val="15.0"/>
        <u/>
      </rPr>
      <t>Jaén se prepara para nuevos proyectos de producción de biometano</t>
    </r>
    <r>
      <rPr>
        <rFont val="Arial, sans-serif"/>
        <color rgb="FF1155CC"/>
        <sz val="11.0"/>
        <u/>
      </rPr>
      <t>La empresa Genia Bioenergy, participada por Repsol, en colaboración con la Fundación JAV, han presentado ante la Junta de Andalucía, su interés por...</t>
    </r>
    <r>
      <rPr>
        <rFont val="Arial, sans-serif"/>
        <color rgb="FF1155CC"/>
        <sz val="12.0"/>
        <u/>
      </rPr>
      <t>.</t>
    </r>
    <r>
      <rPr>
        <rFont val="Arial, sans-serif"/>
        <color rgb="FF1155CC"/>
        <sz val="11.0"/>
        <u/>
      </rPr>
      <t>18 sept 2024</t>
    </r>
  </si>
  <si>
    <t>RETEMA</t>
  </si>
  <si>
    <t>Jaén se prepara para nuevos proyectos de producción de biometano</t>
  </si>
  <si>
    <t>La empresa Genia Bioenergy, participada por Repsol, en colaboración con la Fundación JAV, han presentado ante la Junta de Andalucía, su interés por....</t>
  </si>
  <si>
    <t>Jaén prepares for new biomethane production projects</t>
  </si>
  <si>
    <t>The company Genia Bioenergy, in which Repsol participates, in collaboration with the JAV Foundation, has presented to the Junta de Andalucía its interest in...</t>
  </si>
  <si>
    <t>Positive due to expansion in renewable energy.</t>
  </si>
  <si>
    <t>Positive: Green energy development.</t>
  </si>
  <si>
    <t>Positivo: Desarrollo de energía verde.</t>
  </si>
  <si>
    <r>
      <rPr>
        <rFont val="Arial, sans-serif"/>
        <color rgb="FF1155CC"/>
        <sz val="9.0"/>
        <u/>
      </rPr>
      <t>Motorbike Magazine</t>
    </r>
    <r>
      <rPr>
        <rFont val="Arial, sans-serif"/>
        <color rgb="FF1155CC"/>
        <sz val="15.0"/>
        <u/>
      </rPr>
      <t>Santi Hernández: su análisis técnico de MotoGP, los puntos débiles de Honda, la vuelta de Marc Márquez a lo más alto...</t>
    </r>
    <r>
      <rPr>
        <rFont val="Arial, sans-serif"/>
        <color rgb="FF1155CC"/>
        <sz val="11.0"/>
        <u/>
      </rPr>
      <t>Después del GP de San Marino, tuvimos la gran oportunidad de contar con Santi Hernández en nuestro podcast de MotoGP. El reputado jefe técnico del Repsol...</t>
    </r>
    <r>
      <rPr>
        <rFont val="Arial, sans-serif"/>
        <color rgb="FF1155CC"/>
        <sz val="12.0"/>
        <u/>
      </rPr>
      <t>.</t>
    </r>
    <r>
      <rPr>
        <rFont val="Arial, sans-serif"/>
        <color rgb="FF1155CC"/>
        <sz val="11.0"/>
        <u/>
      </rPr>
      <t>18 sept 2024</t>
    </r>
  </si>
  <si>
    <t>Santi Hernández: su análisis técnico de MotoGP, los puntos débiles de Honda, la vuelta de Marc Márquez a lo más alto...</t>
  </si>
  <si>
    <t>Después del GP de San Marino, tuvimos la gran oportunidad de contar con Santi Hernández en nuestro podcast de MotoGP. El reputado jefe técnico del Repsol...</t>
  </si>
  <si>
    <t>Santi Hernández: his technical analysis of MotoGP, Honda's weak points, Marc Márquez's return to the top...</t>
  </si>
  <si>
    <t>After the San Marino GP, we had the great opportunity to have Santi Hernández on our MotoGP podcast. The reputed technical director of Repsol...</t>
  </si>
  <si>
    <r>
      <rPr>
        <rFont val="Arial, sans-serif"/>
        <color rgb="FF1155CC"/>
        <sz val="9.0"/>
        <u/>
      </rPr>
      <t>Desde Adentro</t>
    </r>
    <r>
      <rPr>
        <rFont val="Arial, sans-serif"/>
        <color rgb="FF1155CC"/>
        <sz val="15.0"/>
        <u/>
      </rPr>
      <t>Emprendimiento del Bajo Urubamba apoyado por REPSOL es reconocido con un premio nacional</t>
    </r>
    <r>
      <rPr>
        <rFont val="Arial, sans-serif"/>
        <color rgb="FF1155CC"/>
        <sz val="11.0"/>
        <u/>
      </rPr>
      <t>Repsol Perú apoyó a la Asociación de Productores Agropecuarios y su marca Payanty en el desarrollo integral de su modelo de negocio.</t>
    </r>
    <r>
      <rPr>
        <rFont val="Arial, sans-serif"/>
        <color rgb="FF1155CC"/>
        <sz val="12.0"/>
        <u/>
      </rPr>
      <t>.</t>
    </r>
    <r>
      <rPr>
        <rFont val="Arial, sans-serif"/>
        <color rgb="FF1155CC"/>
        <sz val="11.0"/>
        <u/>
      </rPr>
      <t>18 sept 2024</t>
    </r>
  </si>
  <si>
    <t>Repsol Perú</t>
  </si>
  <si>
    <t>Emprendimiento del Bajo Urubamba apoyado por REPSOL es reconocido con un premio nacional</t>
  </si>
  <si>
    <t>Repsol Perú apoyó a la Asociación de Productores Agropecuarios y su marca Payanty en el desarrollo integral de su modelo de negocio.</t>
  </si>
  <si>
    <t>Entrepreneurship in Bajo Urubamba supported by REPSOL is recognized with a national award</t>
  </si>
  <si>
    <t>Repsol Peru supported the Association of Agricultural Producers and its Payanty brand in the comprehensive development of its business model.</t>
  </si>
  <si>
    <r>
      <rPr>
        <rFont val="Arial, sans-serif"/>
        <color rgb="FF1155CC"/>
        <sz val="9.0"/>
        <u/>
      </rPr>
      <t>20Minutos</t>
    </r>
    <r>
      <rPr>
        <rFont val="Arial, sans-serif"/>
        <color rgb="FF1155CC"/>
        <sz val="15.0"/>
        <u/>
      </rPr>
      <t>El bar castizo de Madrid para tomar el mejor pincho de tortilla de patatas: recomendado por la Guía Repsol</t>
    </r>
    <r>
      <rPr>
        <rFont val="Arial, sans-serif"/>
        <color rgb="FF1155CC"/>
        <sz val="11.0"/>
        <u/>
      </rPr>
      <t>Bodega La Ardosa, abierta en 1892, es uno de los establecimiento que elogia la guía gastronómica para disfrutar de un vermut y esta típica receta española.</t>
    </r>
    <r>
      <rPr>
        <rFont val="Arial, sans-serif"/>
        <color rgb="FF1155CC"/>
        <sz val="12.0"/>
        <u/>
      </rPr>
      <t>.</t>
    </r>
    <r>
      <rPr>
        <rFont val="Arial, sans-serif"/>
        <color rgb="FF1155CC"/>
        <sz val="11.0"/>
        <u/>
      </rPr>
      <t>19 sept 2024</t>
    </r>
  </si>
  <si>
    <t>El bar castizo de Madrid para tomar el mejor pincho de tortilla de patatas: recomendado por la Guía Repsol</t>
  </si>
  <si>
    <t>Bodega La Ardosa, abierta en 1892, es uno de los establecimiento que elogia la guía gastronómica para disfrutar de un vermut y esta típica receta española.</t>
  </si>
  <si>
    <t>The traditional bar in Madrid to have the best potato omelette skewer: recommended by the Repsol Guide</t>
  </si>
  <si>
    <t>Bodega La Ardosa, opened in 1892, is one of the establishments praised by the gastronomic guide to enjoy a vermouth and this typical Spanish recipe.</t>
  </si>
  <si>
    <r>
      <rPr>
        <rFont val="Arial, sans-serif"/>
        <color rgb="FF1155CC"/>
        <sz val="9.0"/>
        <u/>
      </rPr>
      <t>El Cierre Digital</t>
    </r>
    <r>
      <rPr>
        <rFont val="Arial, sans-serif"/>
        <color rgb="FF1155CC"/>
        <sz val="15.0"/>
        <u/>
      </rPr>
      <t>El Gobierno 'vende' a Naturgy: Los fondos de inversión ya dominan las empresas clave</t>
    </r>
    <r>
      <rPr>
        <rFont val="Arial, sans-serif"/>
        <color rgb="FF1155CC"/>
        <sz val="11.0"/>
        <u/>
      </rPr>
      <t>El Consejo de Ministros dio ayer luz verde a la expansión en España de Blackrock, que irrumpe con fuerza en Naturgy.</t>
    </r>
    <r>
      <rPr>
        <rFont val="Arial, sans-serif"/>
        <color rgb="FF1155CC"/>
        <sz val="12.0"/>
        <u/>
      </rPr>
      <t>.</t>
    </r>
    <r>
      <rPr>
        <rFont val="Arial, sans-serif"/>
        <color rgb="FF1155CC"/>
        <sz val="11.0"/>
        <u/>
      </rPr>
      <t>19 sept 2024</t>
    </r>
  </si>
  <si>
    <t>El Gobierno 'vende' a Naturgy: Los fondos de inversión ya dominan las empresas clave</t>
  </si>
  <si>
    <t>Los fondos de inversión ya dominan las empresas clave.</t>
  </si>
  <si>
    <t>The Government 'sells' Naturgy: Investment funds already dominate key companies</t>
  </si>
  <si>
    <t>Investment funds already dominate key companies.</t>
  </si>
  <si>
    <t>Neutral as it does not impact Repsol’s business.</t>
  </si>
  <si>
    <r>
      <rPr>
        <rFont val="Arial, sans-serif"/>
        <color rgb="FF1155CC"/>
        <sz val="9.0"/>
        <u/>
      </rPr>
      <t>El Español</t>
    </r>
    <r>
      <rPr>
        <rFont val="Arial, sans-serif"/>
        <color rgb="FF1155CC"/>
        <sz val="15.0"/>
        <u/>
      </rPr>
      <t>El restaurante de Pamplona con el mejor chef y la mejor cocina de verduras: vistas a la Ciudadela y un Sol Repsol</t>
    </r>
    <r>
      <rPr>
        <rFont val="Arial, sans-serif"/>
        <color rgb="FF1155CC"/>
        <sz val="11.0"/>
        <u/>
      </rPr>
      <t>El cocinero Nacho Gómara, al frente del proyecto, ofrece un menú inspirado en productos de la huerta navarra.</t>
    </r>
    <r>
      <rPr>
        <rFont val="Arial, sans-serif"/>
        <color rgb="FF1155CC"/>
        <sz val="12.0"/>
        <u/>
      </rPr>
      <t>.</t>
    </r>
    <r>
      <rPr>
        <rFont val="Arial, sans-serif"/>
        <color rgb="FF1155CC"/>
        <sz val="11.0"/>
        <u/>
      </rPr>
      <t>19 sept 2024</t>
    </r>
  </si>
  <si>
    <t>El restaurante de Pamplona con el mejor chef y la mejor cocina de verduras: vistas a la Ciudadela y un Sol Repsol</t>
  </si>
  <si>
    <t>El cocinero Nacho Gómara, al frente del proyecto, ofrece un menú inspirado en productos de la huerta navarra.</t>
  </si>
  <si>
    <t>The restaurant in Pamplona with the best chef and the best vegetable cuisine: views of the Citadel and a Repsol Sun</t>
  </si>
  <si>
    <t>The chef Nacho Gómara, in charge of the project, offers a menu inspired by products from the Navarrese garden.</t>
  </si>
  <si>
    <r>
      <rPr>
        <rFont val="Arial, sans-serif"/>
        <color rgb="FF1155CC"/>
        <sz val="9.0"/>
        <u/>
      </rPr>
      <t>Libre Mercado</t>
    </r>
    <r>
      <rPr>
        <rFont val="Arial, sans-serif"/>
        <color rgb="FF1155CC"/>
        <sz val="15.0"/>
        <u/>
      </rPr>
      <t>Hacienda planea extender la aplicación del impuesto energético para castigar específicamente a los combustibles fósiles</t>
    </r>
    <r>
      <rPr>
        <rFont val="Arial, sans-serif"/>
        <color rgb="FF1155CC"/>
        <sz val="11.0"/>
        <u/>
      </rPr>
      <t>Pedro Sánchez endurece los impuestos a beneficios extraordinarios, especialmente a empresas energéticas y sancionando el greenwashing.</t>
    </r>
    <r>
      <rPr>
        <rFont val="Arial, sans-serif"/>
        <color rgb="FF1155CC"/>
        <sz val="12.0"/>
        <u/>
      </rPr>
      <t>.</t>
    </r>
    <r>
      <rPr>
        <rFont val="Arial, sans-serif"/>
        <color rgb="FF1155CC"/>
        <sz val="11.0"/>
        <u/>
      </rPr>
      <t>19 sept 2024</t>
    </r>
  </si>
  <si>
    <t>Hacienda planea extender la aplicación del impuesto energético para castigar específicamente a los combustibles fósiles</t>
  </si>
  <si>
    <t>Hacienda planea extender la aplicación del impuesto energético para castigar específicamente a los combustibles fósiles.</t>
  </si>
  <si>
    <t>Treasury plans to extend the application of the energy tax to specifically punish fossil fuels</t>
  </si>
  <si>
    <t>The Treasury plans to extend the application of the energy tax to specifically punish fossil fuels.</t>
  </si>
  <si>
    <t>Repsol regulatory risks, energy taxation</t>
  </si>
  <si>
    <t>Riesgos regulatorios de Repsol, fiscalidad energética</t>
  </si>
  <si>
    <t>Negative due to regulatory risks for Repsol.</t>
  </si>
  <si>
    <t>castigar</t>
  </si>
  <si>
    <t>Negative: Regulatory pressure.</t>
  </si>
  <si>
    <t>Negativo: Presión regulatoria.</t>
  </si>
  <si>
    <r>
      <rPr>
        <rFont val="Arial, sans-serif"/>
        <color rgb="FF1155CC"/>
        <sz val="9.0"/>
        <u/>
      </rPr>
      <t>La Razón</t>
    </r>
    <r>
      <rPr>
        <rFont val="Arial, sans-serif"/>
        <color rgb="FF1155CC"/>
        <sz val="15.0"/>
        <u/>
      </rPr>
      <t>¿Qué diferencia hay entre las gasolineras low cost y las normales?</t>
    </r>
    <r>
      <rPr>
        <rFont val="Arial, sans-serif"/>
        <color rgb="FF1155CC"/>
        <sz val="11.0"/>
        <u/>
      </rPr>
      <t>La principal diferencia entre ambas es la heterogeneidad de precios sobre un mismo producto.</t>
    </r>
    <r>
      <rPr>
        <rFont val="Arial, sans-serif"/>
        <color rgb="FF1155CC"/>
        <sz val="12.0"/>
        <u/>
      </rPr>
      <t>.</t>
    </r>
    <r>
      <rPr>
        <rFont val="Arial, sans-serif"/>
        <color rgb="FF1155CC"/>
        <sz val="11.0"/>
        <u/>
      </rPr>
      <t>19 sept 2024</t>
    </r>
  </si>
  <si>
    <t>¿Qué diferencia hay entre las gasolineras low cost y las normales?</t>
  </si>
  <si>
    <t>La principal diferencia entre ambas es la heterogeneidad de precios sobre un mismo producto.</t>
  </si>
  <si>
    <t>What is the difference between low cost gas stations and normal ones?</t>
  </si>
  <si>
    <t>The main difference between the two is the heterogeneity of prices for the same product.</t>
  </si>
  <si>
    <t>Neutral: Industry comparison.</t>
  </si>
  <si>
    <t>Neutral: Comparación de industrias.</t>
  </si>
  <si>
    <r>
      <rPr>
        <rFont val="Arial, sans-serif"/>
        <color rgb="FF1155CC"/>
        <sz val="9.0"/>
        <u/>
      </rPr>
      <t>alimente.elconfidencial.com</t>
    </r>
    <r>
      <rPr>
        <rFont val="Arial, sans-serif"/>
        <color rgb="FF1155CC"/>
        <sz val="15.0"/>
        <u/>
      </rPr>
      <t>El restaurante que recomienda la guía Michelin en un pueblo de 300 habitantes (y donde comes por menos de 40€)</t>
    </r>
    <r>
      <rPr>
        <rFont val="Arial, sans-serif"/>
        <color rgb="FF1155CC"/>
        <sz val="11.0"/>
        <u/>
      </rPr>
      <t>El establecimiento, que ha sido galardonado este año con un Sol Repsol, se encuentra dentro del Parque Natural Sierra de Aracena y Picos de Aroche, en la...</t>
    </r>
    <r>
      <rPr>
        <rFont val="Arial, sans-serif"/>
        <color rgb="FF1155CC"/>
        <sz val="12.0"/>
        <u/>
      </rPr>
      <t>.</t>
    </r>
    <r>
      <rPr>
        <rFont val="Arial, sans-serif"/>
        <color rgb="FF1155CC"/>
        <sz val="11.0"/>
        <u/>
      </rPr>
      <t>19 sept 2024</t>
    </r>
  </si>
  <si>
    <t>alimente.elconfidencial.com</t>
  </si>
  <si>
    <t>El restaurante que recomienda la guía Michelin en un pueblo de 300 habitantes (y donde comes por menos de 40€)</t>
  </si>
  <si>
    <t>El establecimiento, que ha sido galardonado este año con un Sol Repsol, se encuentra dentro del Parque Natural Sierra de Aracena y Picos de Aroche, en la....</t>
  </si>
  <si>
    <t>The restaurant that the Michelin guide recommends in a town of 300 inhabitants (and where you eat for less than €40)</t>
  </si>
  <si>
    <t>The establishment, which has been awarded this year with a Sol Repsol, is located within the Sierra de Aracena and Picos de Aroche Natural Park, in the...</t>
  </si>
  <si>
    <r>
      <rPr>
        <rFont val="Arial, sans-serif"/>
        <color rgb="FF1155CC"/>
        <sz val="9.0"/>
        <u/>
      </rPr>
      <t>www.fundacionrepsol.com</t>
    </r>
    <r>
      <rPr>
        <rFont val="Arial, sans-serif"/>
        <color rgb="FF1155CC"/>
        <sz val="15.0"/>
        <u/>
      </rPr>
      <t>Fundación Repsol organiza formaciones en para impulsar el empleo sostenible</t>
    </r>
    <r>
      <rPr>
        <rFont val="Arial, sans-serif"/>
        <color rgb="FF1155CC"/>
        <sz val="11.0"/>
        <u/>
      </rPr>
      <t>Estas formaciones se enmarcan en el programa de reforestación Motor Verde, promovido por Fundación Repsol y Grupo Sylvestris.</t>
    </r>
    <r>
      <rPr>
        <rFont val="Arial, sans-serif"/>
        <color rgb="FF1155CC"/>
        <sz val="12.0"/>
        <u/>
      </rPr>
      <t>.</t>
    </r>
    <r>
      <rPr>
        <rFont val="Arial, sans-serif"/>
        <color rgb="FF1155CC"/>
        <sz val="11.0"/>
        <u/>
      </rPr>
      <t>20 sept 2024</t>
    </r>
  </si>
  <si>
    <t>Fundación Repsol organiza formaciones en para impulsar el empleo sostenible</t>
  </si>
  <si>
    <t>Estas formaciones se enmarcan en el programa de reforestación Motor Verde, promovido por Fundación Repsol y Grupo Sylvestris.</t>
  </si>
  <si>
    <t>Repsol Foundation organizes training to promote sustainable employment</t>
  </si>
  <si>
    <t>These formations are part of the Motor Verde reforestation program, promoted by the Repsol Foundation and the Sylvestris Group.</t>
  </si>
  <si>
    <t>Positive sentiment as it highlights Repsol's role in environmental and employment sustainability.</t>
  </si>
  <si>
    <t>empleo sostenible</t>
  </si>
  <si>
    <t>Positive: Social responsibility.</t>
  </si>
  <si>
    <t>Positivo: Responsabilidad social.</t>
  </si>
  <si>
    <r>
      <rPr>
        <rFont val="Arial, sans-serif"/>
        <color rgb="FF1155CC"/>
        <sz val="9.0"/>
        <u/>
      </rPr>
      <t>La Vanguardia</t>
    </r>
    <r>
      <rPr>
        <rFont val="Arial, sans-serif"/>
        <color rgb="FF1155CC"/>
        <sz val="15.0"/>
        <u/>
      </rPr>
      <t>Repsol, víctima de un ciberataque: los datos de miles de clientes habrían sido robados</t>
    </r>
    <r>
      <rPr>
        <rFont val="Arial, sans-serif"/>
        <color rgb="FF1155CC"/>
        <sz val="11.0"/>
        <u/>
      </rPr>
      <t>Un ciberataque ha dejado expuestos los datos de miles de clientes de los servicios de electricidad y gas de Repsol en España.</t>
    </r>
    <r>
      <rPr>
        <rFont val="Arial, sans-serif"/>
        <color rgb="FF1155CC"/>
        <sz val="12.0"/>
        <u/>
      </rPr>
      <t>.</t>
    </r>
    <r>
      <rPr>
        <rFont val="Arial, sans-serif"/>
        <color rgb="FF1155CC"/>
        <sz val="11.0"/>
        <u/>
      </rPr>
      <t>20 sept 2024</t>
    </r>
  </si>
  <si>
    <t>Repsol, víctima de un ciberataque: los datos de miles de clientes habrían sido robados</t>
  </si>
  <si>
    <t>Un ciberataque ha dejado expuestos los datos de miles de clientes de los servicios de electricidad y gas de Repsol en España.</t>
  </si>
  <si>
    <t>Repsol, victim of a cyber attack: the data of thousands of clients would have been stolen</t>
  </si>
  <si>
    <t>A cyber attack has left the data of thousands of customers of Repsol's electricity and gas services in Spain exposed.</t>
  </si>
  <si>
    <t>Business Risks</t>
  </si>
  <si>
    <t>Repsol cybersecurity, business risks</t>
  </si>
  <si>
    <t>Ciberseguridad Repsol, riesgos empresariales</t>
  </si>
  <si>
    <t>Negative sentiment due to a security breach affecting Repsol's customers.</t>
  </si>
  <si>
    <t>ciberataque, robados</t>
  </si>
  <si>
    <t>Negative: Security breach harms reputation.</t>
  </si>
  <si>
    <t>Negativo: la violación de la seguridad daña la reputación.</t>
  </si>
  <si>
    <r>
      <rPr>
        <rFont val="Arial, sans-serif"/>
        <color rgb="FF1155CC"/>
        <sz val="9.0"/>
        <u/>
      </rPr>
      <t>El Economista</t>
    </r>
    <r>
      <rPr>
        <rFont val="Arial, sans-serif"/>
        <color rgb="FF1155CC"/>
        <sz val="15.0"/>
        <u/>
      </rPr>
      <t>Repsol compra a la tailandesa PTTP un 16% de un gran yacimiento en México</t>
    </r>
    <r>
      <rPr>
        <rFont val="Arial, sans-serif"/>
        <color rgb="FF1155CC"/>
        <sz val="11.0"/>
        <u/>
      </rPr>
      <t>Repsol ha incrementado su participación en el llamado Bloque 29 del Golfo de México. La petrolera española ha comprado el 16,67% que ...</t>
    </r>
    <r>
      <rPr>
        <rFont val="Arial, sans-serif"/>
        <color rgb="FF1155CC"/>
        <sz val="12.0"/>
        <u/>
      </rPr>
      <t>.</t>
    </r>
    <r>
      <rPr>
        <rFont val="Arial, sans-serif"/>
        <color rgb="FF1155CC"/>
        <sz val="11.0"/>
        <u/>
      </rPr>
      <t>20 sept 2024</t>
    </r>
  </si>
  <si>
    <t>Repsol compra a la tailandesa PTTP un 16% de un gran yacimiento en México</t>
  </si>
  <si>
    <t>Repsol ha incrementado su participación en el llamado Bloque 29 del Golfo de México. La petrolera española ha comprado el 16,67% que ....</t>
  </si>
  <si>
    <t>Repsol buys 16% of a large deposit in Mexico from the Thai company PTTP</t>
  </si>
  <si>
    <t>Repsol has increased its participation in the so-called Block 29 of the Gulf of Mexico. The Spanish oil company has bought the 16.67% that....</t>
  </si>
  <si>
    <t>Positive sentiment as it represents an expansion of Repsol's business.</t>
  </si>
  <si>
    <t>Positive: Strategic asset acquisition.</t>
  </si>
  <si>
    <t>Positivo: Adquisición de activos estratégicos.</t>
  </si>
  <si>
    <r>
      <rPr>
        <rFont val="Arial, sans-serif"/>
        <color rgb="FF1155CC"/>
        <sz val="9.0"/>
        <u/>
      </rPr>
      <t>www.ocu.org</t>
    </r>
    <r>
      <rPr>
        <rFont val="Arial, sans-serif"/>
        <color rgb="FF1155CC"/>
        <sz val="15.0"/>
        <u/>
      </rPr>
      <t>Ciberataque a Repsol, ¿cómo afecta a los usuarios?</t>
    </r>
    <r>
      <rPr>
        <rFont val="Arial, sans-serif"/>
        <color rgb="FF1155CC"/>
        <sz val="11.0"/>
        <u/>
      </rPr>
      <t>Nuevo cibertataqque, que esta vez ha dejado expuestos datos identificativos de miles de clientes de la compañía energética Repsol. Desde OCU animamos a los...</t>
    </r>
    <r>
      <rPr>
        <rFont val="Arial, sans-serif"/>
        <color rgb="FF1155CC"/>
        <sz val="12.0"/>
        <u/>
      </rPr>
      <t>.</t>
    </r>
    <r>
      <rPr>
        <rFont val="Arial, sans-serif"/>
        <color rgb="FF1155CC"/>
        <sz val="11.0"/>
        <u/>
      </rPr>
      <t>20 sept 2024</t>
    </r>
  </si>
  <si>
    <t>www.ocu.org</t>
  </si>
  <si>
    <t>Ciberataque a Repsol, ¿cómo afecta a los usuarios?</t>
  </si>
  <si>
    <t>Nuevo ciberataque, que esta vez ha dejado expuestos datos identificativos de miles de clientes de la compañía energética Repsol. Desde OCU animamos a los....</t>
  </si>
  <si>
    <t>Cyberattack on Repsol, how does it affect users?</t>
  </si>
  <si>
    <t>New cyberattack, which this time has left identifying data of thousands of customers of the energy company Repsol exposed. From OCU we encourage the....</t>
  </si>
  <si>
    <t>Negative sentiment as it concerns a data breach affecting customers.</t>
  </si>
  <si>
    <t>ciberataque</t>
  </si>
  <si>
    <t>Negative: Customer data risk.</t>
  </si>
  <si>
    <t>Negativo: riesgo de datos del cliente.</t>
  </si>
  <si>
    <r>
      <rPr>
        <rFont val="Arial, sans-serif"/>
        <color rgb="FF1155CC"/>
        <sz val="9.0"/>
        <u/>
      </rPr>
      <t>20Minutos</t>
    </r>
    <r>
      <rPr>
        <rFont val="Arial, sans-serif"/>
        <color rgb="FF1155CC"/>
        <sz val="15.0"/>
        <u/>
      </rPr>
      <t>Iberdrola, Repsol, Cepsa y Naturgy pactan un precio de referencia del hidrógeno para abrir mercado en España</t>
    </r>
    <r>
      <rPr>
        <rFont val="Arial, sans-serif"/>
        <color rgb="FF1155CC"/>
        <sz val="11.0"/>
        <u/>
      </rPr>
      <t>El objetivo del grupo de trabajo liderado por Mibgas es promover el primer índice español mediante la obtención de un precio sintético (calculado) y...</t>
    </r>
    <r>
      <rPr>
        <rFont val="Arial, sans-serif"/>
        <color rgb="FF1155CC"/>
        <sz val="12.0"/>
        <u/>
      </rPr>
      <t>.</t>
    </r>
    <r>
      <rPr>
        <rFont val="Arial, sans-serif"/>
        <color rgb="FF1155CC"/>
        <sz val="11.0"/>
        <u/>
      </rPr>
      <t>20 sept 2024</t>
    </r>
  </si>
  <si>
    <t>Iberdrola, Repsol, Cepsa y Naturgy pactan un precio de referencia del hidrógeno para abrir mercado en España</t>
  </si>
  <si>
    <t>El objetivo del grupo de trabajo liderado por Mibgas es promover el primer índice español mediante la obtención de un precio sintético (calculado) y....</t>
  </si>
  <si>
    <t>Iberdrola, Repsol, Cepsa and Naturgy agree on a reference price for hydrogen to open the market in Spain</t>
  </si>
  <si>
    <t>The objective of the working group led by Mibgas is to promote the first Spanish index by obtaining a synthetic (calculated) price and...</t>
  </si>
  <si>
    <t>Positive sentiment as it highlights collaboration for clean energy development.</t>
  </si>
  <si>
    <t>pactan, hidrógeno</t>
  </si>
  <si>
    <t>Positive: Industry collaboration.</t>
  </si>
  <si>
    <t>Positivo: colaboración de la industria.</t>
  </si>
  <si>
    <r>
      <rPr>
        <rFont val="Arial, sans-serif"/>
        <color rgb="FF1155CC"/>
        <sz val="9.0"/>
        <u/>
      </rPr>
      <t>El Periódico de la Energía</t>
    </r>
    <r>
      <rPr>
        <rFont val="Arial, sans-serif"/>
        <color rgb="FF1155CC"/>
        <sz val="15.0"/>
        <u/>
      </rPr>
      <t>Repsol eleva su peso en el Bloque 29 de México al 46,67% tras comprar su participación a la tailandesa PTTEP</t>
    </r>
    <r>
      <rPr>
        <rFont val="Arial, sans-serif"/>
        <color rgb="FF1155CC"/>
        <sz val="11.0"/>
        <u/>
      </rPr>
      <t>Repsol ha alcanzado un acuerdo para adquirir a la compañía estatal tailandesa PTTEP su participación del 16,67% en el Bloque 29 de la Cuenca Salina del...</t>
    </r>
    <r>
      <rPr>
        <rFont val="Arial, sans-serif"/>
        <color rgb="FF1155CC"/>
        <sz val="12.0"/>
        <u/>
      </rPr>
      <t>.</t>
    </r>
    <r>
      <rPr>
        <rFont val="Arial, sans-serif"/>
        <color rgb="FF1155CC"/>
        <sz val="11.0"/>
        <u/>
      </rPr>
      <t>20 sept 2024</t>
    </r>
  </si>
  <si>
    <t>Repsol eleva su peso en el Bloque 29 de México al 46,67% tras comprar su participación a la tailandesa PTTEP</t>
  </si>
  <si>
    <t>Repsol ha alcanzado un acuerdo para adquirir a la compañía estatal tailandesa PTTEP su participación del 16,67% en el Bloque 29 de la Cuenca Salina del....</t>
  </si>
  <si>
    <t>Repsol increases its weight in Block 29 in Mexico to 46.67% after purchasing its participation from the Thai company PTTEP</t>
  </si>
  <si>
    <t>Repsol has reached an agreement to acquire from the Thai state company PTTEP its 16.67% stake in Block 29 of the Salina Basin of the...</t>
  </si>
  <si>
    <t>Positive sentiment due to Repsol’s expansion in the oil market.</t>
  </si>
  <si>
    <t>eleva, comprar</t>
  </si>
  <si>
    <t>Positive: Expansion in key market.</t>
  </si>
  <si>
    <t>Positivo: Expansión en mercado clave.</t>
  </si>
  <si>
    <r>
      <rPr>
        <rFont val="Arial, sans-serif"/>
        <color rgb="FF1155CC"/>
        <sz val="9.0"/>
        <u/>
      </rPr>
      <t>Capital (España)</t>
    </r>
    <r>
      <rPr>
        <rFont val="Arial, sans-serif"/>
        <color rgb="FF1155CC"/>
        <sz val="15.0"/>
        <u/>
      </rPr>
      <t>¿Qué se sabe del ciberataque que ha sufrido Repsol?</t>
    </r>
    <r>
      <rPr>
        <rFont val="Arial, sans-serif"/>
        <color rgb="FF1155CC"/>
        <sz val="11.0"/>
        <u/>
      </rPr>
      <t>Repsol ha sido víctima de un ciberataque que ha comprometido datos de clientes de sus servicios de electricidad y gas en España. El incidente, detectado el.</t>
    </r>
    <r>
      <rPr>
        <rFont val="Arial, sans-serif"/>
        <color rgb="FF1155CC"/>
        <sz val="12.0"/>
        <u/>
      </rPr>
      <t>.</t>
    </r>
    <r>
      <rPr>
        <rFont val="Arial, sans-serif"/>
        <color rgb="FF1155CC"/>
        <sz val="11.0"/>
        <u/>
      </rPr>
      <t>20 sept 2024</t>
    </r>
  </si>
  <si>
    <t>¿Qué se sabe del ciberataque que ha sufrido Repsol?</t>
  </si>
  <si>
    <t>Repsol ha sido víctima de un ciberataque que ha comprometido datos de clientes de sus servicios de electricidad y gas en España. El incidente, detectado el..</t>
  </si>
  <si>
    <t>What is known about the cyber attack that Repsol has suffered?</t>
  </si>
  <si>
    <t>Repsol has been the victim of a cyber attack that has compromised customer data of its electricity and gas services in Spain. The incident, detected on...</t>
  </si>
  <si>
    <t>Negative sentiment because of security issues affecting customers.</t>
  </si>
  <si>
    <t>Negative: Ongoing reputational risk.</t>
  </si>
  <si>
    <t>Negativo: Riesgo reputacional continuo.</t>
  </si>
  <si>
    <r>
      <rPr>
        <rFont val="Arial, sans-serif"/>
        <color rgb="FF1155CC"/>
        <sz val="9.0"/>
        <u/>
      </rPr>
      <t>alimente.elconfidencial.com</t>
    </r>
    <r>
      <rPr>
        <rFont val="Arial, sans-serif"/>
        <color rgb="FF1155CC"/>
        <sz val="15.0"/>
        <u/>
      </rPr>
      <t>El restaurante de la Guía Repsol donde se come por menos de 30€ y que está en este pintoresco pueblo azul</t>
    </r>
    <r>
      <rPr>
        <rFont val="Arial, sans-serif"/>
        <color rgb="FF1155CC"/>
        <sz val="11.0"/>
        <u/>
      </rPr>
      <t>Para los amantes de la buena comida, la Guía Repsol es el recurso perfecto a la hora de descubrir los mejores sabores del país. Con el paso de las décadas,...</t>
    </r>
    <r>
      <rPr>
        <rFont val="Arial, sans-serif"/>
        <color rgb="FF1155CC"/>
        <sz val="12.0"/>
        <u/>
      </rPr>
      <t>.</t>
    </r>
    <r>
      <rPr>
        <rFont val="Arial, sans-serif"/>
        <color rgb="FF1155CC"/>
        <sz val="11.0"/>
        <u/>
      </rPr>
      <t>20 sept 2024</t>
    </r>
  </si>
  <si>
    <t>El restaurante de la Guía Repsol donde se come por menos de 30€ y que está en este pintoresco pueblo azul</t>
  </si>
  <si>
    <t>Para los amantes de la buena comida, la Guía Repsol es el recurso perfecto a la hora de descubrir los mejores sabores del país. Con el paso de las décadas,...</t>
  </si>
  <si>
    <t>The Repsol Guide restaurant where you can eat for less than €30 and which is in this picturesque blue town</t>
  </si>
  <si>
    <t>For lovers of good food, the Repsol Guide is the perfect resource when it comes to discovering the best flavors of the country. As the decades passed,...</t>
  </si>
  <si>
    <r>
      <rPr>
        <rFont val="Arial, sans-serif"/>
        <color rgb="FF1155CC"/>
        <sz val="9.0"/>
        <u/>
      </rPr>
      <t>Hipertextual</t>
    </r>
    <r>
      <rPr>
        <rFont val="Arial, sans-serif"/>
        <color rgb="FF1155CC"/>
        <sz val="15.0"/>
        <u/>
      </rPr>
      <t>Repsol sufre el mayor hackeo de su historia, ¿te afectan los datos robados?</t>
    </r>
    <r>
      <rPr>
        <rFont val="Arial, sans-serif"/>
        <color rgb="FF1155CC"/>
        <sz val="11.0"/>
        <u/>
      </rPr>
      <t>Repsol ha anunciado que ha sufrido un ciberataque a su base de datos de clientes de luz y gas en España. Así puede afectarte esta situación.</t>
    </r>
    <r>
      <rPr>
        <rFont val="Arial, sans-serif"/>
        <color rgb="FF1155CC"/>
        <sz val="12.0"/>
        <u/>
      </rPr>
      <t>.</t>
    </r>
    <r>
      <rPr>
        <rFont val="Arial, sans-serif"/>
        <color rgb="FF1155CC"/>
        <sz val="11.0"/>
        <u/>
      </rPr>
      <t>20 sept 2024</t>
    </r>
  </si>
  <si>
    <t>Hipertextual</t>
  </si>
  <si>
    <t>Repsol sufre el mayor hackeo de su historia, ¿te afectan los datos robados?</t>
  </si>
  <si>
    <t>Repsol ha anunciado que ha sufrido un ciberataque a su base de datos de clientes de luz y gas en España. Así puede afectarte esta situación.</t>
  </si>
  <si>
    <t>Repsol suffers the biggest hack in its history, are you affected by the stolen data?</t>
  </si>
  <si>
    <t>Repsol has announced that it has suffered a cyber attack on its electricity and gas customer database in Spain. This is how this situation can affect you.</t>
  </si>
  <si>
    <t>Strongly negative sentiment as it involves a major security breach.</t>
  </si>
  <si>
    <t>hackeo, robados</t>
  </si>
  <si>
    <t>Negative: Severe cybersecurity issue.</t>
  </si>
  <si>
    <t>Negativo: Grave problema de ciberseguridad.</t>
  </si>
  <si>
    <r>
      <rPr>
        <rFont val="Arial, sans-serif"/>
        <color rgb="FF1155CC"/>
        <sz val="9.0"/>
        <u/>
      </rPr>
      <t>ADSLZone</t>
    </r>
    <r>
      <rPr>
        <rFont val="Arial, sans-serif"/>
        <color rgb="FF1155CC"/>
        <sz val="15.0"/>
        <u/>
      </rPr>
      <t>Han robado nombre y apellidos, DNI, domicilio, datos de contacto y CUPS de clientes con la luz en Repsol</t>
    </r>
    <r>
      <rPr>
        <rFont val="Arial, sans-serif"/>
        <color rgb="FF1155CC"/>
        <sz val="11.0"/>
        <u/>
      </rPr>
      <t>Repsol ha informado de un incidente en su sistema de seguridad que afecta a millones de datos de sus clientes que tienen luz contratada.</t>
    </r>
    <r>
      <rPr>
        <rFont val="Arial, sans-serif"/>
        <color rgb="FF1155CC"/>
        <sz val="12.0"/>
        <u/>
      </rPr>
      <t>.</t>
    </r>
    <r>
      <rPr>
        <rFont val="Arial, sans-serif"/>
        <color rgb="FF1155CC"/>
        <sz val="11.0"/>
        <u/>
      </rPr>
      <t>20 sept 2024</t>
    </r>
  </si>
  <si>
    <t>ADSLZone</t>
  </si>
  <si>
    <t>Han robado nombre y apellidos, DNI, domicilio, datos de contacto y CUPS de clientes con la luz en Repsol</t>
  </si>
  <si>
    <t>Repsol ha informado de un incidente en su sistema de seguridad que afecta a millones de datos de sus clientes que tienen luz contratada.</t>
  </si>
  <si>
    <t>They have stolen the name and surname, ID, address, contact information and CUPS of customers with the electricity at Repsol</t>
  </si>
  <si>
    <t>Repsol has reported an incident in its security system that affects millions of data of its customers who have contracted electricity.</t>
  </si>
  <si>
    <t>Strongly negative sentiment due to the severity of the data breach.</t>
  </si>
  <si>
    <t>robado</t>
  </si>
  <si>
    <t>Negative: Major privacy breach.</t>
  </si>
  <si>
    <t>Negativo: Gran violación de la privacidad.</t>
  </si>
  <si>
    <r>
      <rPr>
        <rFont val="Arial, sans-serif"/>
        <color rgb="FF1155CC"/>
        <sz val="9.0"/>
        <u/>
      </rPr>
      <t>Guía Repsol</t>
    </r>
    <r>
      <rPr>
        <rFont val="Arial, sans-serif"/>
        <color rgb="FF1155CC"/>
        <sz val="15.0"/>
        <u/>
      </rPr>
      <t>¿Qué recorrido suelen hacer los toledanos por su ciudad?</t>
    </r>
    <r>
      <rPr>
        <rFont val="Arial, sans-serif"/>
        <color rgb="FF1155CC"/>
        <sz val="11.0"/>
        <u/>
      </rPr>
      <t>Descubre la belleza del Valle del Tajo de Toledo. Una ruta única que combina historia, naturaleza y paisajes impresionantes.</t>
    </r>
    <r>
      <rPr>
        <rFont val="Arial, sans-serif"/>
        <color rgb="FF1155CC"/>
        <sz val="12.0"/>
        <u/>
      </rPr>
      <t>.</t>
    </r>
    <r>
      <rPr>
        <rFont val="Arial, sans-serif"/>
        <color rgb="FF1155CC"/>
        <sz val="11.0"/>
        <u/>
      </rPr>
      <t>20 sept 2024</t>
    </r>
  </si>
  <si>
    <t>¿qué recorrido suelen hacer los toledanos por su ciudad?</t>
  </si>
  <si>
    <t>Descubre la belleza del Valle del Tajo de Toledo. Una ruta única que combina historia, naturaleza y paisajes impresionantes.</t>
  </si>
  <si>
    <t>What route do Toledo residents usually take around their city?</t>
  </si>
  <si>
    <t>Discover the beauty of the Tagus Valley of Toledo. A unique route that combines history, nature and impressive landscapes.</t>
  </si>
  <si>
    <r>
      <rPr>
        <rFont val="Arial, sans-serif"/>
        <color rgb="FF1155CC"/>
        <sz val="9.0"/>
        <u/>
      </rPr>
      <t>Repsol</t>
    </r>
    <r>
      <rPr>
        <rFont val="Arial, sans-serif"/>
        <color rgb="FF1155CC"/>
        <sz val="15.0"/>
        <u/>
      </rPr>
      <t>Nueva Normativa sobre las calderas de gas en la Unión Europea</t>
    </r>
    <r>
      <rPr>
        <rFont val="Arial, sans-serif"/>
        <color rgb="FF1155CC"/>
        <sz val="11.0"/>
        <u/>
      </rPr>
      <t>Se está diciendo en varias noticias que Europa prohíbe las calderas de gas, ¿pero es realmente así?, ¡en este post te lo contamos!</t>
    </r>
    <r>
      <rPr>
        <rFont val="Arial, sans-serif"/>
        <color rgb="FF1155CC"/>
        <sz val="12.0"/>
        <u/>
      </rPr>
      <t>.</t>
    </r>
    <r>
      <rPr>
        <rFont val="Arial, sans-serif"/>
        <color rgb="FF1155CC"/>
        <sz val="11.0"/>
        <u/>
      </rPr>
      <t>20 sept 2024</t>
    </r>
  </si>
  <si>
    <t>Nueva Normativa sobre las calderas de gas en la Unión Europea</t>
  </si>
  <si>
    <t>Se está diciendo en varias noticias que Europa prohíbe las calderas de gas, ¿pero es realmente así?, ¡en este post te lo contamos!.</t>
  </si>
  <si>
    <t>New Regulations on gas boilers in the European Union</t>
  </si>
  <si>
    <t>It is being said in several news stories that Europe prohibits gas boilers, but is this really the case? In this post we will tell you!</t>
  </si>
  <si>
    <t>Energy Regulation</t>
  </si>
  <si>
    <t>Neutral sentiment, as it explains regulatory changes.</t>
  </si>
  <si>
    <t>Neutral: Regulatory update.</t>
  </si>
  <si>
    <t>Neutral: Actualización regulatoria.</t>
  </si>
  <si>
    <r>
      <rPr>
        <rFont val="Arial, sans-serif"/>
        <color rgb="FF1155CC"/>
        <sz val="9.0"/>
        <u/>
      </rPr>
      <t>Fundación Repsol</t>
    </r>
    <r>
      <rPr>
        <rFont val="Arial, sans-serif"/>
        <color rgb="FF1155CC"/>
        <sz val="15.0"/>
        <u/>
      </rPr>
      <t>Fundación Repsol participa en la X Jornada de Familia y Discapacidad en la Universidad Pontificia de Comillas</t>
    </r>
    <r>
      <rPr>
        <rFont val="Arial, sans-serif"/>
        <color rgb="FF1155CC"/>
        <sz val="11.0"/>
        <u/>
      </rPr>
      <t>Hoy se ha celebrado la X Jornada de Familia y Discapacidad organizada por la Cátedra de Familia y Discapacidad Fundación Repsol-Down Madrid de la...</t>
    </r>
    <r>
      <rPr>
        <rFont val="Arial, sans-serif"/>
        <color rgb="FF1155CC"/>
        <sz val="12.0"/>
        <u/>
      </rPr>
      <t>.</t>
    </r>
    <r>
      <rPr>
        <rFont val="Arial, sans-serif"/>
        <color rgb="FF1155CC"/>
        <sz val="11.0"/>
        <u/>
      </rPr>
      <t>20 sept 2024</t>
    </r>
  </si>
  <si>
    <t>Fundación Repsol participa en la X Jornada de Familia y Discapacidad en la Universidad Pontificia de Comillas</t>
  </si>
  <si>
    <t>Hoy se ha celebrado la X Jornada de Familia y Discapacidad organizada por la Cátedra de Familia y Discapacidad Fundación Repsol-Down Madrid de la....</t>
  </si>
  <si>
    <t>Repsol Foundation participates in the 10th Family and Disability Conference at the Pontifical University of Comillas</t>
  </si>
  <si>
    <t>Today the 10th Family and Disability Conference organized by the Repsol-Down Madrid Foundation Family and Disability Chair of the...</t>
  </si>
  <si>
    <r>
      <rPr>
        <rFont val="Arial, sans-serif"/>
        <color rgb="FF1155CC"/>
        <sz val="9.0"/>
        <u/>
      </rPr>
      <t>El Español</t>
    </r>
    <r>
      <rPr>
        <rFont val="Arial, sans-serif"/>
        <color rgb="FF1155CC"/>
        <sz val="15.0"/>
        <u/>
      </rPr>
      <t>Ni Sagunto ni Jávea: este es el pueblo medieval más bonito de Valencia según la Guía Repsol</t>
    </r>
    <r>
      <rPr>
        <rFont val="Arial, sans-serif"/>
        <color rgb="FF1155CC"/>
        <sz val="11.0"/>
        <u/>
      </rPr>
      <t>Tanto si quieres hacer una escapada o disfrutar de la provincia con más calma, pero este pueblo debe ser uno de tus imprescindibles.</t>
    </r>
    <r>
      <rPr>
        <rFont val="Arial, sans-serif"/>
        <color rgb="FF1155CC"/>
        <sz val="12.0"/>
        <u/>
      </rPr>
      <t>.</t>
    </r>
    <r>
      <rPr>
        <rFont val="Arial, sans-serif"/>
        <color rgb="FF1155CC"/>
        <sz val="11.0"/>
        <u/>
      </rPr>
      <t>20 sept 2024</t>
    </r>
  </si>
  <si>
    <t>Ni Sagunto ni Jávea: este es el pueblo medieval más bonito de Valencia según la Guía Repsol</t>
  </si>
  <si>
    <t>Este pueblo debe ser uno de tus imprescindibles.</t>
  </si>
  <si>
    <t>Neither Sagunto nor Jávea: this is the most beautiful medieval town in Valencia according to the Repsol Guide</t>
  </si>
  <si>
    <t>This town should be one of your essentials.</t>
  </si>
  <si>
    <r>
      <rPr>
        <rFont val="Arial, sans-serif"/>
        <color rgb="FF1155CC"/>
        <sz val="9.0"/>
        <u/>
      </rPr>
      <t>LNE</t>
    </r>
    <r>
      <rPr>
        <rFont val="Arial, sans-serif"/>
        <color rgb="FF1155CC"/>
        <sz val="15.0"/>
        <u/>
      </rPr>
      <t>Repsol moderniza la centenaria central hidroeléctrica de La Paraya, en el alto Aller</t>
    </r>
    <r>
      <rPr>
        <rFont val="Arial, sans-serif"/>
        <color rgb="FF1155CC"/>
        <sz val="11.0"/>
        <u/>
      </rPr>
      <t>Pablo Castaño. Oviedo 20 SEPT 2024 4:00. Repsol ha puesto en marcha el proyecto para la renovación de la centenaria central hidroeléctrica de La Paraya,...</t>
    </r>
    <r>
      <rPr>
        <rFont val="Arial, sans-serif"/>
        <color rgb="FF1155CC"/>
        <sz val="12.0"/>
        <u/>
      </rPr>
      <t>.</t>
    </r>
    <r>
      <rPr>
        <rFont val="Arial, sans-serif"/>
        <color rgb="FF1155CC"/>
        <sz val="11.0"/>
        <u/>
      </rPr>
      <t>20 sept 2024</t>
    </r>
  </si>
  <si>
    <t>Repsol moderniza la centenaria central hidroeléctrica de La Paraya, en el alto Aller</t>
  </si>
  <si>
    <t>Repsol ha puesto en marcha el proyecto para la renovación de la centenaria central hidroeléctrica de La Paraya.</t>
  </si>
  <si>
    <t>Repsol modernizes the centenary hydroelectric plant of La Paraya, in the upper Aller</t>
  </si>
  <si>
    <t>Repsol has launched the project to renovate the century-old La Paraya hydroelectric plant.</t>
  </si>
  <si>
    <t>Positive sentiment due to expansion in Mexico.</t>
  </si>
  <si>
    <t>moderniza</t>
  </si>
  <si>
    <t>Positive: Infrastructure upgrade.</t>
  </si>
  <si>
    <t>Positivo: mejora de la infraestructura.</t>
  </si>
  <si>
    <r>
      <rPr>
        <rFont val="Arial, sans-serif"/>
        <color rgb="FF1155CC"/>
        <sz val="9.0"/>
        <u/>
      </rPr>
      <t>El Economista</t>
    </r>
    <r>
      <rPr>
        <rFont val="Arial, sans-serif"/>
        <color rgb="FF1155CC"/>
        <sz val="15.0"/>
        <u/>
      </rPr>
      <t>Repsol eleva su peso en el Bloque 29 tras comprar participación a la tailandesa PTTEP</t>
    </r>
    <r>
      <rPr>
        <rFont val="Arial, sans-serif"/>
        <color rgb="FF1155CC"/>
        <sz val="11.0"/>
        <u/>
      </rPr>
      <t>Repsol alcanzó un acuerdo para adquirir a la compañía estatal tailandesa PTTEP su participación del 16.67% en el Bloque 29 de la Cuenca Salina, en la zona...</t>
    </r>
    <r>
      <rPr>
        <rFont val="Arial, sans-serif"/>
        <color rgb="FF1155CC"/>
        <sz val="12.0"/>
        <u/>
      </rPr>
      <t>.</t>
    </r>
    <r>
      <rPr>
        <rFont val="Arial, sans-serif"/>
        <color rgb="FF1155CC"/>
        <sz val="11.0"/>
        <u/>
      </rPr>
      <t>20 sept 2024</t>
    </r>
  </si>
  <si>
    <t>Repsol eleva su peso en el Bloque 29 tras comprar participación a la tailandesa PTTEP</t>
  </si>
  <si>
    <t>Repsol alcanzó un acuerdo para adquirir a la compañía estatal tailandesa PTTEP su participación del 16.67% en el Bloque 29 de la Cuenca Salina, en la zona....</t>
  </si>
  <si>
    <t>Repsol increases its weight in Block 29 after purchasing participation from the Thai company PTTEP</t>
  </si>
  <si>
    <t>Repsol reached an agreement to acquire from the Thai state company PTTEP its 16.67% stake in Block 29 of the Salina Basin, in the area....</t>
  </si>
  <si>
    <t>Positive sentiment as it reflects business growth.</t>
  </si>
  <si>
    <t>Positive: Reiterated expansion.</t>
  </si>
  <si>
    <t>Positivo: Ampliación reiterada.</t>
  </si>
  <si>
    <r>
      <rPr>
        <rFont val="Arial, sans-serif"/>
        <color rgb="FF1155CC"/>
        <sz val="9.0"/>
        <u/>
      </rPr>
      <t>Infobae</t>
    </r>
    <r>
      <rPr>
        <rFont val="Arial, sans-serif"/>
        <color rgb="FF1155CC"/>
        <sz val="15.0"/>
        <u/>
      </rPr>
      <t>AMLO niega tener empresas favoritas para contratos: “Calderón tenía a Repsol y Peña a OHL”</t>
    </r>
    <r>
      <rPr>
        <rFont val="Arial, sans-serif"/>
        <color rgb="FF1155CC"/>
        <sz val="11.0"/>
        <u/>
      </rPr>
      <t>En medio de una relación de altibajos con el sector empresarial, durante el sexenio del presidente Andrés Manuel López Obrador, éste defendió una vez más la...</t>
    </r>
    <r>
      <rPr>
        <rFont val="Arial, sans-serif"/>
        <color rgb="FF1155CC"/>
        <sz val="12.0"/>
        <u/>
      </rPr>
      <t>.</t>
    </r>
    <r>
      <rPr>
        <rFont val="Arial, sans-serif"/>
        <color rgb="FF1155CC"/>
        <sz val="11.0"/>
        <u/>
      </rPr>
      <t>20 sept 2024</t>
    </r>
  </si>
  <si>
    <t>AMLO niega tener empresas favoritas para contratos: “Calderón tenía a Repsol y Peña a OHL”</t>
  </si>
  <si>
    <t>“Calderón tenía a Repsol y Peña a OHL” En medio de una relación de altibajos con el sector empresarial, durante el sexenio del presidente Andrés Manuel López Obrador, éste defendió una vez más la....</t>
  </si>
  <si>
    <t>AMLO denies having favorite companies for contracts: “Calderón had Repsol and Peña had OHL”</t>
  </si>
  <si>
    <t>“Calderón had Repsol and Peña had OHL” In the midst of a relationship of ups and downs with the business sector, during the six-year term of President Andrés Manuel López Obrador, he once again defended the...</t>
  </si>
  <si>
    <r>
      <rPr>
        <rFont val="Arial, sans-serif"/>
        <color rgb="FF1155CC"/>
        <sz val="9.0"/>
        <u/>
      </rPr>
      <t>Box Repsol</t>
    </r>
    <r>
      <rPr>
        <rFont val="Arial, sans-serif"/>
        <color rgb="FF1155CC"/>
        <sz val="15.0"/>
        <u/>
      </rPr>
      <t>Resultados de los entrenamientos del GP de la Emilia Romagna MotoGP 2024</t>
    </r>
    <r>
      <rPr>
        <rFont val="Arial, sans-serif"/>
        <color rgb="FF1155CC"/>
        <sz val="11.0"/>
        <u/>
      </rPr>
      <t>Crónica y resultados de los entrenamientos del GP de la Emilia Romagna de MotoGP, disputado en Misano.</t>
    </r>
    <r>
      <rPr>
        <rFont val="Arial, sans-serif"/>
        <color rgb="FF1155CC"/>
        <sz val="12.0"/>
        <u/>
      </rPr>
      <t>.</t>
    </r>
    <r>
      <rPr>
        <rFont val="Arial, sans-serif"/>
        <color rgb="FF1155CC"/>
        <sz val="11.0"/>
        <u/>
      </rPr>
      <t>20 sept 2024</t>
    </r>
  </si>
  <si>
    <t>Resultados de los entrenamientos del GP de la Emilia Romagna MotoGP 2024</t>
  </si>
  <si>
    <t>Crónica y resultados de los entrenamientos del GP de la Emilia Romagna de MotoGP, disputado en Misano.</t>
  </si>
  <si>
    <t>Emilia Romagna MotoGP 2024 GP practice results</t>
  </si>
  <si>
    <t>Chronicle and results of the training sessions of the Emilia Romagna MotoGP GP, held in Misano.</t>
  </si>
  <si>
    <r>
      <rPr>
        <rFont val="Arial, sans-serif"/>
        <color rgb="FF1155CC"/>
        <sz val="9.0"/>
        <u/>
      </rPr>
      <t>Global Energy</t>
    </r>
    <r>
      <rPr>
        <rFont val="Arial, sans-serif"/>
        <color rgb="FF1155CC"/>
        <sz val="15.0"/>
        <u/>
      </rPr>
      <t>Repsol refuerza su presencia en México con la compra del 16% de PTTEP en el Bloque 29</t>
    </r>
    <r>
      <rPr>
        <rFont val="Arial, sans-serif"/>
        <color rgb="FF1155CC"/>
        <sz val="11.0"/>
        <u/>
      </rPr>
      <t>Repsol ha alcanzado un acuerdo para adquirir el 16.67% de la participación de PTTEP en el Bloque 29 de la Cuenca Salina, aumentando así su participación...</t>
    </r>
    <r>
      <rPr>
        <rFont val="Arial, sans-serif"/>
        <color rgb="FF1155CC"/>
        <sz val="12.0"/>
        <u/>
      </rPr>
      <t>.</t>
    </r>
    <r>
      <rPr>
        <rFont val="Arial, sans-serif"/>
        <color rgb="FF1155CC"/>
        <sz val="11.0"/>
        <u/>
      </rPr>
      <t>20 sept 2024</t>
    </r>
  </si>
  <si>
    <t>Repsol refuerza su presencia en México con la compra del 16% de PTTEP en el Bloque 29</t>
  </si>
  <si>
    <t>Repsol ha alcanzado un acuerdo para adquirir el 16.67% de la participación de PTTEP en el Bloque 29 de la Cuenca Salina, aumentando así su participación.</t>
  </si>
  <si>
    <t>Repsol reinforces its presence in Mexico with the purchase of 16% of PTTEP in Block 29</t>
  </si>
  <si>
    <t>Repsol has reached an agreement to acquire 16.67% of PTTEP's interest in Block 29 of the Salina Basin, thus increasing its participation.</t>
  </si>
  <si>
    <t>refuerza, compra</t>
  </si>
  <si>
    <t>Positive: Strategic growth.</t>
  </si>
  <si>
    <t>Positivo: Crecimiento estratégico.</t>
  </si>
  <si>
    <r>
      <rPr>
        <rFont val="Arial, sans-serif"/>
        <color rgb="FF1155CC"/>
        <sz val="9.0"/>
        <u/>
      </rPr>
      <t>Xataka</t>
    </r>
    <r>
      <rPr>
        <rFont val="Arial, sans-serif"/>
        <color rgb="FF1155CC"/>
        <sz val="15.0"/>
        <u/>
      </rPr>
      <t>Un ciberataque golpea una base de datos de clientes de Repsol en España: nombres y DNI entre la...</t>
    </r>
    <r>
      <rPr>
        <rFont val="Arial, sans-serif"/>
        <color rgb="FF1155CC"/>
        <sz val="11.0"/>
        <u/>
      </rPr>
      <t>El incidente se produjo el pasado 10 de septiembre y alcanzó a clientes de electricidad y gas en el país. Repsol Ciberataque Portada.</t>
    </r>
    <r>
      <rPr>
        <rFont val="Arial, sans-serif"/>
        <color rgb="FF1155CC"/>
        <sz val="12.0"/>
        <u/>
      </rPr>
      <t>.</t>
    </r>
    <r>
      <rPr>
        <rFont val="Arial, sans-serif"/>
        <color rgb="FF1155CC"/>
        <sz val="11.0"/>
        <u/>
      </rPr>
      <t>21 sept 2024</t>
    </r>
  </si>
  <si>
    <t>Xataka</t>
  </si>
  <si>
    <t>Un ciberataque golpea una base de datos de clientes de Repsol en España: nombres y DNI entre la...</t>
  </si>
  <si>
    <t>El incidente se produjo el pasado 10 de septiembre y alcanzó a clientes de electricidad y gas en el país.</t>
  </si>
  <si>
    <t>A cyberattack hits a Repsol customer database in Spain: names and ID among the...</t>
  </si>
  <si>
    <t>The incident occurred on September 10 and affected electricity and gas customers in the country.</t>
  </si>
  <si>
    <t>Strongly negative sentiment due to a significant data breach affecting customers.</t>
  </si>
  <si>
    <t>Negative: Reiterated data breach.</t>
  </si>
  <si>
    <t>Negativo: Violación de datos reiterada.</t>
  </si>
  <si>
    <r>
      <rPr>
        <rFont val="Arial, sans-serif"/>
        <color rgb="FF1155CC"/>
        <sz val="9.0"/>
        <u/>
      </rPr>
      <t>El Economista</t>
    </r>
    <r>
      <rPr>
        <rFont val="Arial, sans-serif"/>
        <color rgb="FF1155CC"/>
        <sz val="15.0"/>
        <u/>
      </rPr>
      <t>La doble posición de Repsol deja un nuevo precio de equilibrio en 12,75 euros</t>
    </r>
    <r>
      <rPr>
        <rFont val="Arial, sans-serif"/>
        <color rgb="FF1155CC"/>
        <sz val="11.0"/>
        <u/>
      </rPr>
      <t>La semana pasada se llevó a cabo la compra de la segunda posición en Repsol, una estrategia que se había decidido a finales de agosto ...</t>
    </r>
    <r>
      <rPr>
        <rFont val="Arial, sans-serif"/>
        <color rgb="FF1155CC"/>
        <sz val="12.0"/>
        <u/>
      </rPr>
      <t>.</t>
    </r>
    <r>
      <rPr>
        <rFont val="Arial, sans-serif"/>
        <color rgb="FF1155CC"/>
        <sz val="11.0"/>
        <u/>
      </rPr>
      <t>21 sept 2024</t>
    </r>
  </si>
  <si>
    <t>La doble posición de Repsol deja un nuevo precio de equilibrio en 12,75 euros</t>
  </si>
  <si>
    <t>La semana pasada se llevó a cabo la compra de la segunda posición en Repsol, una estrategia que se había decidido a finales de agosto ....</t>
  </si>
  <si>
    <t>Repsol's double position leaves a new equilibrium price at 12.75 euros</t>
  </si>
  <si>
    <t>Last week the purchase of the second position in Repsol was carried out, a strategy that had been decided at the end of August....</t>
  </si>
  <si>
    <t>Positive sentiment as it suggests stability in Repsol's stock price.</t>
  </si>
  <si>
    <t>Neutral: Financial analysis.</t>
  </si>
  <si>
    <t>Neutral: Análisis financiero.</t>
  </si>
  <si>
    <r>
      <rPr>
        <rFont val="Arial, sans-serif"/>
        <color rgb="FF1155CC"/>
        <sz val="9.0"/>
        <u/>
      </rPr>
      <t>Box Repsol</t>
    </r>
    <r>
      <rPr>
        <rFont val="Arial, sans-serif"/>
        <color rgb="FF1155CC"/>
        <sz val="15.0"/>
        <u/>
      </rPr>
      <t>2024 Emilia Romagna GP Sprint Race Results</t>
    </r>
    <r>
      <rPr>
        <rFont val="Arial, sans-serif"/>
        <color rgb="FF1155CC"/>
        <sz val="11.0"/>
        <u/>
      </rPr>
      <t>Pecco Bagnaia was the winner of the Emilia Romagna GP sprint race, continuing a successful weekend for the Italian. He started from pole position and...</t>
    </r>
    <r>
      <rPr>
        <rFont val="Arial, sans-serif"/>
        <color rgb="FF1155CC"/>
        <sz val="12.0"/>
        <u/>
      </rPr>
      <t>.</t>
    </r>
    <r>
      <rPr>
        <rFont val="Arial, sans-serif"/>
        <color rgb="FF1155CC"/>
        <sz val="11.0"/>
        <u/>
      </rPr>
      <t>21 sept 2024</t>
    </r>
  </si>
  <si>
    <t>Pecco Bagnaia Wins Emilia Romagna GP Sprint Race</t>
  </si>
  <si>
    <t>Pecco Bagnaia was the winner of the Emilia Romagna GP sprint race, continuing a successful weekend for the Italian. He started from pole position and....</t>
  </si>
  <si>
    <t>Pecco Bagnaia was the winner of the Emilia Romagna GP sprint race, continuing a successful weekend for the Italian. I started from pole position and....</t>
  </si>
  <si>
    <r>
      <rPr>
        <rFont val="Arial, sans-serif"/>
        <color rgb="FF1155CC"/>
        <sz val="9.0"/>
        <u/>
      </rPr>
      <t>Cinco Días</t>
    </r>
    <r>
      <rPr>
        <rFont val="Arial, sans-serif"/>
        <color rgb="FF1155CC"/>
        <sz val="15.0"/>
        <u/>
      </rPr>
      <t>El precio del crudo pone a prueba la generosidad de las petroleras</t>
    </r>
    <r>
      <rPr>
        <rFont val="Arial, sans-serif"/>
        <color rgb="FF1155CC"/>
        <sz val="11.0"/>
        <u/>
      </rPr>
      <t>Los valores petroleros viven un mal año en Bolsa ante la caída del precio del crudo. Los analistas esperan menores beneficios con un recorte en los planes...</t>
    </r>
    <r>
      <rPr>
        <rFont val="Arial, sans-serif"/>
        <color rgb="FF1155CC"/>
        <sz val="12.0"/>
        <u/>
      </rPr>
      <t>.</t>
    </r>
    <r>
      <rPr>
        <rFont val="Arial, sans-serif"/>
        <color rgb="FF1155CC"/>
        <sz val="11.0"/>
        <u/>
      </rPr>
      <t>21 sept 2024</t>
    </r>
  </si>
  <si>
    <t>El precio del crudo pone a prueba la generosidad de las petroleras</t>
  </si>
  <si>
    <t>Los valores petroleros viven un mal año en Bolsa ante la caída del precio del crudo. Los analistas esperan menores beneficios con un recorte en los planes....</t>
  </si>
  <si>
    <t>The price of crude oil tests the generosity of oil companies</t>
  </si>
  <si>
    <t>Oil stocks are experiencing a bad year on the stock market due to the fall in the price of crude oil. Analysts expect lower profits with a cut in plans....</t>
  </si>
  <si>
    <t>Negative sentiment due to lower expected profitability in the oil sector.</t>
  </si>
  <si>
    <t>Slightly negative: Market pressure.</t>
  </si>
  <si>
    <t>Ligeramente negativo: presión del mercado.</t>
  </si>
  <si>
    <r>
      <rPr>
        <rFont val="Arial, sans-serif"/>
        <color rgb="FF1155CC"/>
        <sz val="9.0"/>
        <u/>
      </rPr>
      <t>Hule y Mantel</t>
    </r>
    <r>
      <rPr>
        <rFont val="Arial, sans-serif"/>
        <color rgb="FF1155CC"/>
        <sz val="15.0"/>
        <u/>
      </rPr>
      <t>El chef Artur Martínez (AÜRT) es premiado como 'Cocinero Responsable' por el movimiento Slow Food</t>
    </r>
    <r>
      <rPr>
        <rFont val="Arial, sans-serif"/>
        <color rgb="FF1155CC"/>
        <sz val="11.0"/>
        <u/>
      </rPr>
      <t>El reconocimiento se ha entregado en el marco de los III Premios a la Responsabilidad Gastronómica, dentro de la feria Terra i Gust, y también aha premiado...</t>
    </r>
    <r>
      <rPr>
        <rFont val="Arial, sans-serif"/>
        <color rgb="FF1155CC"/>
        <sz val="12.0"/>
        <u/>
      </rPr>
      <t>.</t>
    </r>
    <r>
      <rPr>
        <rFont val="Arial, sans-serif"/>
        <color rgb="FF1155CC"/>
        <sz val="11.0"/>
        <u/>
      </rPr>
      <t>21 sept 2024</t>
    </r>
  </si>
  <si>
    <t>El chef Artur Martínez (AÜRT) es premiado como 'Cocinero Responsable' por el movimiento Slow Food</t>
  </si>
  <si>
    <t>El reconocimiento se ha entregado en el marco de los III Premios a la Responsabilidad Gastronómica, dentro de la feria Terra i Gust, y también ha premiado....</t>
  </si>
  <si>
    <t>Chef Artur Martínez (AÜRT) is awarded as 'Responsible Chef' by the Slow Food movement</t>
  </si>
  <si>
    <t>The recognition has been awarded within the framework of the III Gastronomic Responsibility Awards, within the Terra i Gust fair, and has also awarded...</t>
  </si>
  <si>
    <r>
      <rPr>
        <rFont val="Arial, sans-serif"/>
        <color rgb="FF1155CC"/>
        <sz val="9.0"/>
        <u/>
      </rPr>
      <t>Infobae</t>
    </r>
    <r>
      <rPr>
        <rFont val="Arial, sans-serif"/>
        <color rgb="FF1155CC"/>
        <sz val="15.0"/>
        <u/>
      </rPr>
      <t>Miguel Caño, el chef estrella Michelin que llevó la revolución gastronómica a La Rioja y que solo cocina “en torno al fuego”</t>
    </r>
    <r>
      <rPr>
        <rFont val="Arial, sans-serif"/>
        <color rgb="FF1155CC"/>
        <sz val="11.0"/>
        <u/>
      </rPr>
      <t>Queremos devolver al comensal el placer que en algún momento se ha podido perder”, explica el cocinero a 'Infobae España'</t>
    </r>
    <r>
      <rPr>
        <rFont val="Arial, sans-serif"/>
        <color rgb="FF1155CC"/>
        <sz val="12.0"/>
        <u/>
      </rPr>
      <t>.</t>
    </r>
    <r>
      <rPr>
        <rFont val="Arial, sans-serif"/>
        <color rgb="FF1155CC"/>
        <sz val="11.0"/>
        <u/>
      </rPr>
      <t>21 sept 2024</t>
    </r>
  </si>
  <si>
    <t>Miguel Caño, el chef estrella Michelin que llevó la revolución gastronómica a La Rioja y que solo cocina “en torno al fuego”</t>
  </si>
  <si>
    <t>Queremos devolver al comensal el placer que en algún momento se ha podido perder”, explica el cocinero a 'Infobae España'.</t>
  </si>
  <si>
    <t>Miguel Caño, the Michelin star chef who brought the gastronomic revolution to La Rioja and who only cooks “around the fire”</t>
  </si>
  <si>
    <t>We want to give back to the diner the pleasure that at some point may have been lost,” explains the chef to 'Infobae España'.</t>
  </si>
  <si>
    <r>
      <rPr>
        <rFont val="Arial, sans-serif"/>
        <color rgb="FF1155CC"/>
        <sz val="9.0"/>
        <u/>
      </rPr>
      <t>Box Repsol</t>
    </r>
    <r>
      <rPr>
        <rFont val="Arial, sans-serif"/>
        <color rgb="FF1155CC"/>
        <sz val="15.0"/>
        <u/>
      </rPr>
      <t>Resultados de la clasificación del GP de la Emilia Romagna de MotoGP 2024</t>
    </r>
    <r>
      <rPr>
        <rFont val="Arial, sans-serif"/>
        <color rgb="FF1155CC"/>
        <sz val="11.0"/>
        <u/>
      </rPr>
      <t>Qualifying results for the 2024 Emilia Romagna GP, held at Misano.</t>
    </r>
    <r>
      <rPr>
        <rFont val="Arial, sans-serif"/>
        <color rgb="FF1155CC"/>
        <sz val="12.0"/>
        <u/>
      </rPr>
      <t>.</t>
    </r>
    <r>
      <rPr>
        <rFont val="Arial, sans-serif"/>
        <color rgb="FF1155CC"/>
        <sz val="11.0"/>
        <u/>
      </rPr>
      <t>21 sept 2024</t>
    </r>
  </si>
  <si>
    <t>Resultados de la clasificación del GP de la Emilia Romagna de MotoGP 2024</t>
  </si>
  <si>
    <t>Qualifying results for the 2024 Emilia Romagna GP, held at Misano.</t>
  </si>
  <si>
    <t>MotoGP 2024 Emilia Romagna GP qualifying results</t>
  </si>
  <si>
    <r>
      <rPr>
        <rFont val="Arial, sans-serif"/>
        <color rgb="FF1155CC"/>
        <sz val="9.0"/>
        <u/>
      </rPr>
      <t>Box Repsol</t>
    </r>
    <r>
      <rPr>
        <rFont val="Arial, sans-serif"/>
        <color rgb="FF1155CC"/>
        <sz val="15.0"/>
        <u/>
      </rPr>
      <t>Resultados de la carrera sprint del GP de la Emilia Romagna de MotoGP 2024</t>
    </r>
    <r>
      <rPr>
        <rFont val="Arial, sans-serif"/>
        <color rgb="FF1155CC"/>
        <sz val="11.0"/>
        <u/>
      </rPr>
      <t>La carrera al sprint ha empezado con una muy buena salida de Jorge Martín, que se ha colocado líder, seguido de cerca por Brad Binder que salía un poco más...</t>
    </r>
    <r>
      <rPr>
        <rFont val="Arial, sans-serif"/>
        <color rgb="FF1155CC"/>
        <sz val="12.0"/>
        <u/>
      </rPr>
      <t>.</t>
    </r>
    <r>
      <rPr>
        <rFont val="Arial, sans-serif"/>
        <color rgb="FF1155CC"/>
        <sz val="11.0"/>
        <u/>
      </rPr>
      <t>21 sept 2024</t>
    </r>
  </si>
  <si>
    <t>Resultados de la carrera sprint del GP de la Emilia Romagna de MotoGP 2024</t>
  </si>
  <si>
    <t>La carrera al sprint ha empezado con una muy buena salida de Jorge Martín, que se ha colocado líder, seguido de cerca por Brad Binder que salía un poco más....</t>
  </si>
  <si>
    <t>Results of the 2024 MotoGP Emilia Romagna GP sprint race</t>
  </si>
  <si>
    <t>The sprint race started with a very good start from Jorge Martín, who took the lead, followed closely by Brad Binder who started a little further...</t>
  </si>
  <si>
    <r>
      <rPr>
        <rFont val="Arial, sans-serif"/>
        <color rgb="FF1155CC"/>
        <sz val="9.0"/>
        <u/>
      </rPr>
      <t>EL PAÍS</t>
    </r>
    <r>
      <rPr>
        <rFont val="Arial, sans-serif"/>
        <color rgb="FF1155CC"/>
        <sz val="15.0"/>
        <u/>
      </rPr>
      <t>Venezuela y Repsol, obligados a entenderse</t>
    </r>
    <r>
      <rPr>
        <rFont val="Arial, sans-serif"/>
        <color rgb="FF1155CC"/>
        <sz val="11.0"/>
        <u/>
      </rPr>
      <t>La tensión entre países no afecta a la relación entre Caracas y la petrolera española. PDVSA necesita socios para explotar sus reservas.</t>
    </r>
    <r>
      <rPr>
        <rFont val="Arial, sans-serif"/>
        <color rgb="FF1155CC"/>
        <sz val="12.0"/>
        <u/>
      </rPr>
      <t>.</t>
    </r>
    <r>
      <rPr>
        <rFont val="Arial, sans-serif"/>
        <color rgb="FF1155CC"/>
        <sz val="11.0"/>
        <u/>
      </rPr>
      <t>22 sept 2024</t>
    </r>
  </si>
  <si>
    <t>Venezuela y Repsol, obligados a entenderse</t>
  </si>
  <si>
    <t>La tensión entre países no afecta a la relación entre Caracas y la petrolera española. PDVSA necesita socios para explotar sus reservas.</t>
  </si>
  <si>
    <t>Venezuela and Repsol, forced to understand each other</t>
  </si>
  <si>
    <t>The tension between countries does not affect the relationship between Caracas and the Spanish oil company. PDVSA needs partners to exploit its reserves.</t>
  </si>
  <si>
    <t>Slightly positive as it highlights continued business cooperation despite tensions.</t>
  </si>
  <si>
    <t>obligados</t>
  </si>
  <si>
    <t>Negative: Forced cooperation.</t>
  </si>
  <si>
    <t>Negativo: Cooperación forzada.</t>
  </si>
  <si>
    <r>
      <rPr>
        <rFont val="Arial, sans-serif"/>
        <color rgb="FF1155CC"/>
        <sz val="9.0"/>
        <u/>
      </rPr>
      <t>El Periódico de la Energía</t>
    </r>
    <r>
      <rPr>
        <rFont val="Arial, sans-serif"/>
        <color rgb="FF1155CC"/>
        <sz val="15.0"/>
        <u/>
      </rPr>
      <t>Grenergy adquiere a Repsol e Ibereólica una cartera solar de 1GW por 114 millones de euros</t>
    </r>
    <r>
      <rPr>
        <rFont val="Arial, sans-serif"/>
        <color rgb="FF1155CC"/>
        <sz val="11.0"/>
        <u/>
      </rPr>
      <t>El objetivo de la compañía española es hibridarlo todo con su gigante batería de Oasis de Atacama en Chile.</t>
    </r>
    <r>
      <rPr>
        <rFont val="Arial, sans-serif"/>
        <color rgb="FF1155CC"/>
        <sz val="12.0"/>
        <u/>
      </rPr>
      <t>.</t>
    </r>
    <r>
      <rPr>
        <rFont val="Arial, sans-serif"/>
        <color rgb="FF1155CC"/>
        <sz val="11.0"/>
        <u/>
      </rPr>
      <t>22 sept 2024</t>
    </r>
  </si>
  <si>
    <t>Grenergy adquiere a Repsol e Ibereólica una cartera solar de 1GW por 114 millones de euros</t>
  </si>
  <si>
    <t>El objetivo de la compañía española es hibridarlo todo con su gigante batería de Oasis de Atacama en Chile.</t>
  </si>
  <si>
    <t>Grenergy acquires a 1GW solar portfolio from Repsol and Ibereólica for 114 million euros</t>
  </si>
  <si>
    <t>The Spanish company's goal is to hybridize everything with its giant Oasis de Atacama battery in Chile.</t>
  </si>
  <si>
    <t>Repsol renewable energy, business transactions</t>
  </si>
  <si>
    <t>Repsol energías renovables, transacciones comerciales</t>
  </si>
  <si>
    <t>Positive sentiment as it reflects investment in renewable energy.</t>
  </si>
  <si>
    <t>adquiere, solar</t>
  </si>
  <si>
    <t>Positive: Renewable energy deal.</t>
  </si>
  <si>
    <t>Positivo: Acuerdo sobre energías renovables.</t>
  </si>
  <si>
    <r>
      <rPr>
        <rFont val="Arial, sans-serif"/>
        <color rgb="FF1155CC"/>
        <sz val="9.0"/>
        <u/>
      </rPr>
      <t>Málaga Hoy</t>
    </r>
    <r>
      <rPr>
        <rFont val="Arial, sans-serif"/>
        <color rgb="FF1155CC"/>
        <sz val="15.0"/>
        <u/>
      </rPr>
      <t>Los cuatro restaurantes 'jóvenes' de Málaga que enamoran a la Guía Repsol</t>
    </r>
    <r>
      <rPr>
        <rFont val="Arial, sans-serif"/>
        <color rgb="FF1155CC"/>
        <sz val="11.0"/>
        <u/>
      </rPr>
      <t>Los restaurantes Palodú, Base9, Alita Soho y Mind, en el punto de mira de la Guía Repsol en Málaga.</t>
    </r>
    <r>
      <rPr>
        <rFont val="Arial, sans-serif"/>
        <color rgb="FF1155CC"/>
        <sz val="12.0"/>
        <u/>
      </rPr>
      <t>.</t>
    </r>
    <r>
      <rPr>
        <rFont val="Arial, sans-serif"/>
        <color rgb="FF1155CC"/>
        <sz val="11.0"/>
        <u/>
      </rPr>
      <t>22 sept 2024</t>
    </r>
  </si>
  <si>
    <t>Los cuatro restaurantes 'jóvenes' de Málaga que enamoran a la Guía Repsol</t>
  </si>
  <si>
    <t>Los restaurantes Palodú, Base9, Alita Soho y Mind, en el punto de mira de la Guía Repsol en Málaga.</t>
  </si>
  <si>
    <t>The four 'young' restaurants in Malaga that the Repsol Guide falls in love with</t>
  </si>
  <si>
    <t>The Palodú, Base9, Alita Soho and Mind restaurants, in the spotlight of the Repsol Guide in Malaga.</t>
  </si>
  <si>
    <r>
      <rPr>
        <rFont val="Arial, sans-serif"/>
        <color rgb="FF1155CC"/>
        <sz val="9.0"/>
        <u/>
      </rPr>
      <t>El Diario Montañés</t>
    </r>
    <r>
      <rPr>
        <rFont val="Arial, sans-serif"/>
        <color rgb="FF1155CC"/>
        <sz val="15.0"/>
        <u/>
      </rPr>
      <t>Brittany Ferries estrena en Santander un nuevo biocombustible suministrado por Repsol</t>
    </r>
    <r>
      <rPr>
        <rFont val="Arial, sans-serif"/>
        <color rgb="FF1155CC"/>
        <sz val="11.0"/>
        <u/>
      </rPr>
      <t>El buque Salamanca fue ayer el primero de los dos de la compañía naviera en ser repostado con bioGNL, que se produce a partir de residuos.</t>
    </r>
    <r>
      <rPr>
        <rFont val="Arial, sans-serif"/>
        <color rgb="FF1155CC"/>
        <sz val="12.0"/>
        <u/>
      </rPr>
      <t>.</t>
    </r>
    <r>
      <rPr>
        <rFont val="Arial, sans-serif"/>
        <color rgb="FF1155CC"/>
        <sz val="11.0"/>
        <u/>
      </rPr>
      <t>22 sept 2024</t>
    </r>
  </si>
  <si>
    <t>Brittany Ferries estrena en Santander un nuevo biocombustible suministrado por Repsol</t>
  </si>
  <si>
    <t>El buque Salamanca fue ayer el primero de los dos de la compañía naviera en ser repostado con bioGNL, que se produce a partir de residuos.</t>
  </si>
  <si>
    <t>Brittany Ferries launches a new biofuel supplied by Repsol in Santander</t>
  </si>
  <si>
    <t>Yesterday the Salamanca ship was the first of the shipping company's two to be refueled with bioLNG, which is produced from waste.</t>
  </si>
  <si>
    <t>Positive sentiment, as it highlights the adoption of sustainable fuel.</t>
  </si>
  <si>
    <t>Positive: Sustainable fuel initiative.</t>
  </si>
  <si>
    <t>Positivo: Iniciativa de combustible sostenible.</t>
  </si>
  <si>
    <r>
      <rPr>
        <rFont val="Arial, sans-serif"/>
        <color rgb="FF1155CC"/>
        <sz val="9.0"/>
        <u/>
      </rPr>
      <t>Box Repsol</t>
    </r>
    <r>
      <rPr>
        <rFont val="Arial, sans-serif"/>
        <color rgb="FF1155CC"/>
        <sz val="15.0"/>
        <u/>
      </rPr>
      <t>Resultados del GP de la Emilia Romagna de MotoGP 2024</t>
    </r>
    <r>
      <rPr>
        <rFont val="Arial, sans-serif"/>
        <color rgb="FF1155CC"/>
        <sz val="11.0"/>
        <u/>
      </rPr>
      <t>Enea Bastianini logra la victoria con un polémico adelantamiento en la última vuelta sobre Jorge Martín, que amplía su ventaja sobre Bagnaia,...</t>
    </r>
    <r>
      <rPr>
        <rFont val="Arial, sans-serif"/>
        <color rgb="FF1155CC"/>
        <sz val="12.0"/>
        <u/>
      </rPr>
      <t>.</t>
    </r>
    <r>
      <rPr>
        <rFont val="Arial, sans-serif"/>
        <color rgb="FF1155CC"/>
        <sz val="11.0"/>
        <u/>
      </rPr>
      <t>22 sept 2024</t>
    </r>
  </si>
  <si>
    <t>Enea Bastianini logra la victoria con un polémico adelantamiento en la última vuelta sobre Jorge Martín, que amplía su ventaja sobre Bagnaia.</t>
  </si>
  <si>
    <t>Enea Bastianini logra la victoria con un polémico adelantamiento en la última vuelta sobre Jorge Martín, que amplía su ventaja sobre Bagnaia,....</t>
  </si>
  <si>
    <t>Enea Bastianini achieves victory with a controversial overtaking on the last lap on Jorge Martín, which extends her advantage over Bagnaia.</t>
  </si>
  <si>
    <t>Enea Bastianini achieves victory with a controversial overtaking in the last lap on Jorge Martín, which extends her advantage over Bagnaia,....</t>
  </si>
  <si>
    <r>
      <rPr>
        <rFont val="Arial, sans-serif"/>
        <color rgb="FF1155CC"/>
        <sz val="9.0"/>
        <u/>
      </rPr>
      <t>Crónica Vasca</t>
    </r>
    <r>
      <rPr>
        <rFont val="Arial, sans-serif"/>
        <color rgb="FF1155CC"/>
        <sz val="15.0"/>
        <u/>
      </rPr>
      <t>Ni rabas ni gildas: este es el plato estrella y más típico de Euskadi según los vascos</t>
    </r>
    <r>
      <rPr>
        <rFont val="Arial, sans-serif"/>
        <color rgb="FF1155CC"/>
        <sz val="11.0"/>
        <u/>
      </rPr>
      <t>La gastronomía del País Vasco destaca por la frescura y calidad de sus ingredientes, con una simplicidad que permite que los sabores del mar y la tierra...</t>
    </r>
    <r>
      <rPr>
        <rFont val="Arial, sans-serif"/>
        <color rgb="FF1155CC"/>
        <sz val="12.0"/>
        <u/>
      </rPr>
      <t>.</t>
    </r>
    <r>
      <rPr>
        <rFont val="Arial, sans-serif"/>
        <color rgb="FF1155CC"/>
        <sz val="11.0"/>
        <u/>
      </rPr>
      <t>22 sept 2024</t>
    </r>
  </si>
  <si>
    <t>Ni rabas ni gildas: este es el plato estrella y más típico de Euskadi según los vascos</t>
  </si>
  <si>
    <t>La gastronomía del País Vasco destaca por la frescura y calidad de sus ingredientes, con una simplicidad que permite que los sabores del mar y la tierra....</t>
  </si>
  <si>
    <t>Neither rabas nor gildas: this is the star and most typical dish of Euskadi according to the Basques</t>
  </si>
  <si>
    <t>The gastronomy of the Basque Country stands out for the freshness and quality of its ingredients, with a simplicity that allows the flavors of the sea and the land...</t>
  </si>
  <si>
    <r>
      <rPr>
        <rFont val="Arial, sans-serif"/>
        <color rgb="FF1155CC"/>
        <sz val="9.0"/>
        <u/>
      </rPr>
      <t>Proceso</t>
    </r>
    <r>
      <rPr>
        <rFont val="Arial, sans-serif"/>
        <color rgb="FF1155CC"/>
        <sz val="15.0"/>
        <u/>
      </rPr>
      <t>Repsol aumenta su presencia en proyecto petrolero de México</t>
    </r>
    <r>
      <rPr>
        <rFont val="Arial, sans-serif"/>
        <color rgb="FF1155CC"/>
        <sz val="11.0"/>
        <u/>
      </rPr>
      <t>La firma española alcanzó un acuerdo para adquirir a la compañía estatal tailandesa PTTEP su participación del 16.67% en el Bloque 29,...</t>
    </r>
    <r>
      <rPr>
        <rFont val="Arial, sans-serif"/>
        <color rgb="FF1155CC"/>
        <sz val="12.0"/>
        <u/>
      </rPr>
      <t>.</t>
    </r>
    <r>
      <rPr>
        <rFont val="Arial, sans-serif"/>
        <color rgb="FF1155CC"/>
        <sz val="11.0"/>
        <u/>
      </rPr>
      <t>22 sept 2024</t>
    </r>
  </si>
  <si>
    <t>Proceso</t>
  </si>
  <si>
    <t>Repsol aumenta su presencia en proyecto petrolero de México</t>
  </si>
  <si>
    <t>La firma española alcanzó un acuerdo para adquirir a la compañía estatal tailandesa PTTEP su participación del 16.67% en el Bloque 29,....</t>
  </si>
  <si>
    <t>Repsol increases its presence in Mexico's oil project</t>
  </si>
  <si>
    <t>The Spanish firm reached an agreement to acquire its 16.67% stake in Block 29 from the Thai state company PTTEP....</t>
  </si>
  <si>
    <t>Positive sentiment, as it expands Repsol’s oil operations.</t>
  </si>
  <si>
    <t>aumenta</t>
  </si>
  <si>
    <t>Positive: Strategic expansion.</t>
  </si>
  <si>
    <t>Positivo: Expansión estratégica.</t>
  </si>
  <si>
    <r>
      <rPr>
        <rFont val="Arial, sans-serif"/>
        <color rgb="FF1155CC"/>
        <sz val="9.0"/>
        <u/>
      </rPr>
      <t>Cinco Días</t>
    </r>
    <r>
      <rPr>
        <rFont val="Arial, sans-serif"/>
        <color rgb="FF1155CC"/>
        <sz val="15.0"/>
        <u/>
      </rPr>
      <t>Grenergy invierte 128 millones para duplicar su generación de fotovoltaica en el Oasis de Atacama</t>
    </r>
    <r>
      <rPr>
        <rFont val="Arial, sans-serif"/>
        <color rgb="FF1155CC"/>
        <sz val="11.0"/>
        <u/>
      </rPr>
      <t>La empresa especializada en renovables adquiere el 100% de 1GW solar a Repsol e Iberéolica.</t>
    </r>
    <r>
      <rPr>
        <rFont val="Arial, sans-serif"/>
        <color rgb="FF1155CC"/>
        <sz val="12.0"/>
        <u/>
      </rPr>
      <t>.</t>
    </r>
    <r>
      <rPr>
        <rFont val="Arial, sans-serif"/>
        <color rgb="FF1155CC"/>
        <sz val="11.0"/>
        <u/>
      </rPr>
      <t>22 sept 2024</t>
    </r>
  </si>
  <si>
    <t>Grenergy invierte 128 millones para duplicar su generación de fotovoltaica en el Oasis de Atacama</t>
  </si>
  <si>
    <t>La empresa especializada en renovables adquiere el 100% de 1GW solar a Repsol e Iberéolica.</t>
  </si>
  <si>
    <t>Grenergy invests 128 million to double its photovoltaic generation in the Atacama Oasis</t>
  </si>
  <si>
    <t>The company specialized in renewables acquires 100% of 1GW solar from Repsol and Iberéolica.</t>
  </si>
  <si>
    <t>Positive sentiment as it reflects a strong investment in renewables.</t>
  </si>
  <si>
    <r>
      <rPr>
        <rFont val="Arial, sans-serif"/>
        <color rgb="FF1155CC"/>
        <sz val="9.0"/>
        <u/>
      </rPr>
      <t>El Periódico de la Energía</t>
    </r>
    <r>
      <rPr>
        <rFont val="Arial, sans-serif"/>
        <color rgb="FF1155CC"/>
        <sz val="15.0"/>
        <u/>
      </rPr>
      <t>La estatal venezolana Pdvsa busca incrementar su capacidad de procesamiento de crudo diluido</t>
    </r>
    <r>
      <rPr>
        <rFont val="Arial, sans-serif"/>
        <color rgb="FF1155CC"/>
        <sz val="11.0"/>
        <u/>
      </rPr>
      <t>El objetivo es que la compañía fortalezca su principal destiladora, que opera en este complejo, "para la recuperación de la nafta y la producción de diésel,...</t>
    </r>
    <r>
      <rPr>
        <rFont val="Arial, sans-serif"/>
        <color rgb="FF1155CC"/>
        <sz val="12.0"/>
        <u/>
      </rPr>
      <t>.</t>
    </r>
    <r>
      <rPr>
        <rFont val="Arial, sans-serif"/>
        <color rgb="FF1155CC"/>
        <sz val="11.0"/>
        <u/>
      </rPr>
      <t>22 sept 2024</t>
    </r>
  </si>
  <si>
    <t>La estatal venezolana Pdvsa busca incrementar su capacidad de procesamiento de crudo diluido</t>
  </si>
  <si>
    <t>El objetivo es que la compañía fortalezca su principal destiladora, que opera en este complejo, "para la recuperación de la nafta y la producción de diésel,....</t>
  </si>
  <si>
    <t>Venezuelan state-owned PDVSA seeks to increase its diluted crude oil processing capacity</t>
  </si>
  <si>
    <t>The objective is for the company to strengthen its main distiller, which operates in this complex, "for the recovery of gasoline and the production of diesel,...</t>
  </si>
  <si>
    <t>Neutral sentiment, as it discusses business plans without a clear impact.</t>
  </si>
  <si>
    <r>
      <rPr>
        <rFont val="Arial, sans-serif"/>
        <color rgb="FF1155CC"/>
        <sz val="9.0"/>
        <u/>
      </rPr>
      <t>Honda Racing Corporation</t>
    </r>
    <r>
      <rPr>
        <rFont val="Arial, sans-serif"/>
        <color rgb="FF1155CC"/>
        <sz val="15.0"/>
        <u/>
      </rPr>
      <t>Toni Bou y Gabriel Marcelli suben a lo más alto en el Trial de las Naciones 2024</t>
    </r>
    <r>
      <rPr>
        <rFont val="Arial, sans-serif"/>
        <color rgb="FF1155CC"/>
        <sz val="11.0"/>
        <u/>
      </rPr>
      <t>Los pilotos del Repsol Honda Team se han llevado un nuevo título con el equipo español en Pobladura de las Regueras (León).</t>
    </r>
    <r>
      <rPr>
        <rFont val="Arial, sans-serif"/>
        <color rgb="FF1155CC"/>
        <sz val="12.0"/>
        <u/>
      </rPr>
      <t>.</t>
    </r>
    <r>
      <rPr>
        <rFont val="Arial, sans-serif"/>
        <color rgb="FF1155CC"/>
        <sz val="11.0"/>
        <u/>
      </rPr>
      <t>22 sept 2024</t>
    </r>
  </si>
  <si>
    <t>Toni Bou y Gabriel Marcelli suben a lo más alto en el Trial de las Naciones 2024</t>
  </si>
  <si>
    <t>Los pilotos del Repsol Honda Team se han llevado un nuevo título con el equipo español en Pobladura de las Regueras (León).</t>
  </si>
  <si>
    <t>Toni Bou and Gabriel Marcelli rise to the top in the 2024 Trial of Nations</t>
  </si>
  <si>
    <t>The Repsol Honda Team riders have taken a new title with the Spanish team in Pobladura de las Regueras (León).</t>
  </si>
  <si>
    <r>
      <rPr>
        <rFont val="Arial, sans-serif"/>
        <color rgb="FF1155CC"/>
        <sz val="9.0"/>
        <u/>
      </rPr>
      <t>elmercantil.com</t>
    </r>
    <r>
      <rPr>
        <rFont val="Arial, sans-serif"/>
        <color rgb="FF1155CC"/>
        <sz val="15.0"/>
        <u/>
      </rPr>
      <t>Repsol suministra biometano licuado a los buques de Brittany Ferries en Santander</t>
    </r>
    <r>
      <rPr>
        <rFont val="Arial, sans-serif"/>
        <color rgb="FF1155CC"/>
        <sz val="11.0"/>
        <u/>
      </rPr>
      <t>Los dos primeros buques del armador en funcionar con GNL ya operan en las rutas de larga distancia van desde España a Inglaterra e Irlanda.</t>
    </r>
    <r>
      <rPr>
        <rFont val="Arial, sans-serif"/>
        <color rgb="FF1155CC"/>
        <sz val="12.0"/>
        <u/>
      </rPr>
      <t>.</t>
    </r>
    <r>
      <rPr>
        <rFont val="Arial, sans-serif"/>
        <color rgb="FF1155CC"/>
        <sz val="11.0"/>
        <u/>
      </rPr>
      <t>23 sept 2024</t>
    </r>
  </si>
  <si>
    <t>Repsol suministra biometano licuado a los buques de Brittany Ferries en Santander</t>
  </si>
  <si>
    <t>Los dos primeros buques del armador en funcionar con GNL ya operan en las rutas de larga distancia van desde España a Inglaterra e Irlanda.</t>
  </si>
  <si>
    <t>Repsol supplies liquefied biomethane to Brittany Ferries ships in Santander</t>
  </si>
  <si>
    <t>The shipowner's first two ships to operate with LNG are already operating on long-distance routes from Spain to England and Ireland.</t>
  </si>
  <si>
    <t>Positive sentiment due to sustainable fuel initiatives.</t>
  </si>
  <si>
    <t>Positive: Green energy supply.</t>
  </si>
  <si>
    <t>Positivo: suministro de energía verde.</t>
  </si>
  <si>
    <r>
      <rPr>
        <rFont val="Arial, sans-serif"/>
        <color rgb="FF1155CC"/>
        <sz val="9.0"/>
        <u/>
      </rPr>
      <t>Energías Renovables, el periodismo de las energías limpias.</t>
    </r>
    <r>
      <rPr>
        <rFont val="Arial, sans-serif"/>
        <color rgb="FF1155CC"/>
        <sz val="15.0"/>
        <u/>
      </rPr>
      <t>Grenergy compra a Repsol e Ibereólica 1 GW solar para ampliar el proyecto de baterías Oasis de Atacama</t>
    </r>
    <r>
      <rPr>
        <rFont val="Arial, sans-serif"/>
        <color rgb="FF1155CC"/>
        <sz val="11.0"/>
        <u/>
      </rPr>
      <t>Con este acuerdo Oasis de Atacama alcanza una capacidad de 11GWh de almacenamiento y 2GW de solar.</t>
    </r>
    <r>
      <rPr>
        <rFont val="Arial, sans-serif"/>
        <color rgb="FF1155CC"/>
        <sz val="12.0"/>
        <u/>
      </rPr>
      <t>.</t>
    </r>
    <r>
      <rPr>
        <rFont val="Arial, sans-serif"/>
        <color rgb="FF1155CC"/>
        <sz val="11.0"/>
        <u/>
      </rPr>
      <t>23 sept 2024</t>
    </r>
  </si>
  <si>
    <t>Grenergy compra a Repsol e Ibereólica 1 GW solar para ampliar el proyecto de baterías Oasis de Atacama</t>
  </si>
  <si>
    <t>Con este acuerdo Oasis de Atacama alcanza una capacidad de 11GWh de almacenamiento y 2GW de solar.</t>
  </si>
  <si>
    <t>Grenergy buys 1 GW of solar from Repsol and Ibereólica to expand the Oasis de Atacama battery project</t>
  </si>
  <si>
    <t>With this agreement, Oasis de Atacama reaches a capacity of 11GWh of storage and 2GW of solar.</t>
  </si>
  <si>
    <t>Positive sentiment, as it reflects investment in clean energy projects.</t>
  </si>
  <si>
    <t>compra, solar</t>
  </si>
  <si>
    <t>Positive: Renewable energy investment.</t>
  </si>
  <si>
    <t>Positivo: Inversión en energías renovables.</t>
  </si>
  <si>
    <r>
      <rPr>
        <rFont val="Arial, sans-serif"/>
        <color rgb="FF1155CC"/>
        <sz val="9.0"/>
        <u/>
      </rPr>
      <t>Mobility Plaza</t>
    </r>
    <r>
      <rPr>
        <rFont val="Arial, sans-serif"/>
        <color rgb="FF1155CC"/>
        <sz val="15.0"/>
        <u/>
      </rPr>
      <t>Entrevista con Elena Cano (Repsol): “Buscamos los 10 millones de usuarios de Waylet”</t>
    </r>
    <r>
      <rPr>
        <rFont val="Arial, sans-serif"/>
        <color rgb="FF1155CC"/>
        <sz val="11.0"/>
        <u/>
      </rPr>
      <t>Elena Cano, CEO de Klikin - Waylet, habla con MobilityPlaza sobre el increíble crecimiento de la aplicación de pago y fidelización de Repsol.</t>
    </r>
    <r>
      <rPr>
        <rFont val="Arial, sans-serif"/>
        <color rgb="FF1155CC"/>
        <sz val="12.0"/>
        <u/>
      </rPr>
      <t>.</t>
    </r>
    <r>
      <rPr>
        <rFont val="Arial, sans-serif"/>
        <color rgb="FF1155CC"/>
        <sz val="11.0"/>
        <u/>
      </rPr>
      <t>23 sept 2024</t>
    </r>
  </si>
  <si>
    <t>Mobility Plaza</t>
  </si>
  <si>
    <t>Buscamos los 10 millones de usuarios de Waylet</t>
  </si>
  <si>
    <t>Elena Cano, CEO de Klikin - Waylet, habla con MobilityPlaza sobre el increíble crecimiento de la aplicación de pago y fidelización de Repsol.</t>
  </si>
  <si>
    <t>We are looking for the 10 million Waylet users</t>
  </si>
  <si>
    <t>Elena Cano, CEO of Klikin - Waylet, speaks with MobilityPlaza about the incredible growth of Repsol's payment and loyalty application.</t>
  </si>
  <si>
    <r>
      <rPr>
        <rFont val="Arial, sans-serif"/>
        <color rgb="FF1155CC"/>
        <sz val="9.0"/>
        <u/>
      </rPr>
      <t>Repsol</t>
    </r>
    <r>
      <rPr>
        <rFont val="Arial, sans-serif"/>
        <color rgb="FF1155CC"/>
        <sz val="15.0"/>
        <u/>
      </rPr>
      <t>Innovación abierta (open innovation): Qué es y ventajas de aplicarla</t>
    </r>
    <r>
      <rPr>
        <rFont val="Arial, sans-serif"/>
        <color rgb="FF1155CC"/>
        <sz val="11.0"/>
        <u/>
      </rPr>
      <t>Aprende sobre la innovación abierta y todas las ventajas que supone trabajar con ella, desde la aceleración del desarrollo hasta la reducción de costes.</t>
    </r>
    <r>
      <rPr>
        <rFont val="Arial, sans-serif"/>
        <color rgb="FF1155CC"/>
        <sz val="12.0"/>
        <u/>
      </rPr>
      <t>.</t>
    </r>
    <r>
      <rPr>
        <rFont val="Arial, sans-serif"/>
        <color rgb="FF1155CC"/>
        <sz val="11.0"/>
        <u/>
      </rPr>
      <t>23 sept 2024</t>
    </r>
  </si>
  <si>
    <t>Qué es y ventajas de aplicarla</t>
  </si>
  <si>
    <t>Aprende sobre la innovación abierta y todas las ventajas que supone trabajar con ella, desde la aceleración del desarrollo hasta la reducción de costes.</t>
  </si>
  <si>
    <t>What it is and advantages of applying it</t>
  </si>
  <si>
    <t>Learn about open innovation and all the benefits of working with it, from accelerating development to reducing costs.</t>
  </si>
  <si>
    <r>
      <rPr>
        <rFont val="Arial, sans-serif"/>
        <color rgb="FF1155CC"/>
        <sz val="9.0"/>
        <u/>
      </rPr>
      <t>Cámara de Comercio de Bilbao</t>
    </r>
    <r>
      <rPr>
        <rFont val="Arial, sans-serif"/>
        <color rgb="FF1155CC"/>
        <sz val="15.0"/>
        <u/>
      </rPr>
      <t>Petronor y Repsol impulsan el debate sobre fiscalidad y transición energética en un evento que tendrá lugar en Bilbao</t>
    </r>
    <r>
      <rPr>
        <rFont val="Arial, sans-serif"/>
        <color rgb="FF1155CC"/>
        <sz val="11.0"/>
        <u/>
      </rPr>
      <t>Expertos en energía, fiscalidad y políticas públicas se reunirán en el Palacio Euskalduna para analizar los retos fiscales de la transición energética.</t>
    </r>
    <r>
      <rPr>
        <rFont val="Arial, sans-serif"/>
        <color rgb="FF1155CC"/>
        <sz val="12.0"/>
        <u/>
      </rPr>
      <t>.</t>
    </r>
    <r>
      <rPr>
        <rFont val="Arial, sans-serif"/>
        <color rgb="FF1155CC"/>
        <sz val="11.0"/>
        <u/>
      </rPr>
      <t>23 sept 2024</t>
    </r>
  </si>
  <si>
    <t>Cámara de Comercio de Bilbao</t>
  </si>
  <si>
    <t>Petronor y Repsol impulsan el debate sobre fiscalidad y transición energética en un evento que tendrá lugar en Bilbao</t>
  </si>
  <si>
    <t>Expertos en energía, fiscalidad y políticas públicas se reunirán en el Palacio Euskalduna para analizar los retos fiscales de la transición energética.</t>
  </si>
  <si>
    <t>Petronor and Repsol promote the debate on taxation and energy transition at an event that will take place in Bilbao</t>
  </si>
  <si>
    <t>Experts in energy, taxation and public policies will meet at the Euskalduna Palace to analyze the fiscal challenges of the energy transition.</t>
  </si>
  <si>
    <t>Repsol taxation, energy transition</t>
  </si>
  <si>
    <t>Fiscalidad Repsol, transición energética</t>
  </si>
  <si>
    <t>Slightly positive sentiment, as it discusses Repsol's involvement in energy transition discussions.</t>
  </si>
  <si>
    <t>impulsan</t>
  </si>
  <si>
    <t>Positive: Industry leadership.</t>
  </si>
  <si>
    <t>Positivo: Liderazgo en la industria.</t>
  </si>
  <si>
    <r>
      <rPr>
        <rFont val="Arial, sans-serif"/>
        <color rgb="FF1155CC"/>
        <sz val="9.0"/>
        <u/>
      </rPr>
      <t>Radio Intereconomía</t>
    </r>
    <r>
      <rPr>
        <rFont val="Arial, sans-serif"/>
        <color rgb="FF1155CC"/>
        <sz val="15.0"/>
        <u/>
      </rPr>
      <t>Grenergy sube el 11% en Bolsa tras comprar a Repsol el negocio fotovoltaico en Chile</t>
    </r>
    <r>
      <rPr>
        <rFont val="Arial, sans-serif"/>
        <color rgb="FF1155CC"/>
        <sz val="11.0"/>
        <u/>
      </rPr>
      <t>La petrolera Repsol e Ibereólica vende por unos 128 millones de dólares todo su negocio fotovoltaico en Chile a Grenergy.</t>
    </r>
    <r>
      <rPr>
        <rFont val="Arial, sans-serif"/>
        <color rgb="FF1155CC"/>
        <sz val="12.0"/>
        <u/>
      </rPr>
      <t>.</t>
    </r>
    <r>
      <rPr>
        <rFont val="Arial, sans-serif"/>
        <color rgb="FF1155CC"/>
        <sz val="11.0"/>
        <u/>
      </rPr>
      <t>23 sept 2024</t>
    </r>
  </si>
  <si>
    <t>Grenergy sube el 11% en Bolsa tras comprar a Repsol el negocio fotovoltaico en Chile</t>
  </si>
  <si>
    <t>La petrolera Repsol e Ibereólica vende por unos 128 millones de dólares todo su negocio fotovoltaico en Chile a Grenergy.</t>
  </si>
  <si>
    <t>Grenergy rises 11% on the stock market after purchasing the photovoltaic business in Chile from Repsol</t>
  </si>
  <si>
    <t>The oil company Repsol and Ibereólica sells its entire photovoltaic business in Chile to Grenergy for about 128 million dollars.</t>
  </si>
  <si>
    <t>Positive sentiment, as it highlights stock market growth and investment in renewables.</t>
  </si>
  <si>
    <t>comprar, fotovoltaico</t>
  </si>
  <si>
    <t>Positive: Market-positive deal.</t>
  </si>
  <si>
    <t>Positivo: Acuerdo positivo para el mercado.</t>
  </si>
  <si>
    <r>
      <rPr>
        <rFont val="Arial, sans-serif"/>
        <color rgb="FF1155CC"/>
        <sz val="9.0"/>
        <u/>
      </rPr>
      <t>La Comarca de Puertollano</t>
    </r>
    <r>
      <rPr>
        <rFont val="Arial, sans-serif"/>
        <color rgb="FF1155CC"/>
        <sz val="15.0"/>
        <u/>
      </rPr>
      <t>Puertollano: Convocada una huelga indefinida en 'Repsol Lubricantes y Asfaltos' a partir del 7 de octubre</t>
    </r>
    <r>
      <rPr>
        <rFont val="Arial, sans-serif"/>
        <color rgb="FF1155CC"/>
        <sz val="11.0"/>
        <u/>
      </rPr>
      <t>Con el objetivo de “conseguir un acuerdo que reconozca nuestras peculiaridades en el Complejo Industrial de Puertollano y ponga fin a las desigualdades que.</t>
    </r>
    <r>
      <rPr>
        <rFont val="Arial, sans-serif"/>
        <color rgb="FF1155CC"/>
        <sz val="12.0"/>
        <u/>
      </rPr>
      <t>.</t>
    </r>
    <r>
      <rPr>
        <rFont val="Arial, sans-serif"/>
        <color rgb="FF1155CC"/>
        <sz val="11.0"/>
        <u/>
      </rPr>
      <t>23 sept 2024</t>
    </r>
  </si>
  <si>
    <t>Puertollano: Convocada una huelga indefinida en 'Repsol Lubricantes y Asfaltos' a partir del 7 de octubre</t>
  </si>
  <si>
    <t>Con el objetivo de “conseguir un acuerdo que reconozca nuestras peculiaridades en el Complejo Industrial de Puertollano y ponga fin a las desigualdades que..</t>
  </si>
  <si>
    <t>Puertollano: An indefinite strike called at 'Repsol Lubricantes y Asfaltos' starting October 7</t>
  </si>
  <si>
    <t>With the objective of “achieving an agreement that recognizes our peculiarities in the Puertollano Industrial Complex and puts an end to the inequalities that...</t>
  </si>
  <si>
    <t>Repsol labor disputes, business risks</t>
  </si>
  <si>
    <t>Conflictos laborales de Repsol, riesgos empresariales</t>
  </si>
  <si>
    <t>Negative sentiment, as it relates to labor disputes and industrial action.</t>
  </si>
  <si>
    <t>Negative: Labor dispute.</t>
  </si>
  <si>
    <t>Negativo: Conflicto laboral.</t>
  </si>
  <si>
    <r>
      <rPr>
        <rFont val="Arial, sans-serif"/>
        <color rgb="FF1155CC"/>
        <sz val="9.0"/>
        <u/>
      </rPr>
      <t>Expansión</t>
    </r>
    <r>
      <rPr>
        <rFont val="Arial, sans-serif"/>
        <color rgb="FF1155CC"/>
        <sz val="15.0"/>
        <u/>
      </rPr>
      <t>Grenergy compra toda la fotovoltaica de Repsol en Chile</t>
    </r>
    <r>
      <rPr>
        <rFont val="Arial, sans-serif"/>
        <color rgb="FF1155CC"/>
        <sz val="11.0"/>
        <u/>
      </rPr>
      <t>Repsol ultima un acuerdo con el grupo español de renovables Grenergy para traspasar a esta compañía toda su cartera de proyectos fotovoltaicos en Chile.</t>
    </r>
    <r>
      <rPr>
        <rFont val="Arial, sans-serif"/>
        <color rgb="FF1155CC"/>
        <sz val="12.0"/>
        <u/>
      </rPr>
      <t>.</t>
    </r>
    <r>
      <rPr>
        <rFont val="Arial, sans-serif"/>
        <color rgb="FF1155CC"/>
        <sz val="11.0"/>
        <u/>
      </rPr>
      <t>23 sept 2024</t>
    </r>
  </si>
  <si>
    <t>Grenergy compra toda la fotovoltaica de Repsol en Chile</t>
  </si>
  <si>
    <t>Repsol ultima un acuerdo con el grupo español de renovables Grenergy para traspasar a esta compañía toda su cartera de proyectos fotovoltaicos en Chile.</t>
  </si>
  <si>
    <t>Grenergy buys all of Repsol's photovoltaics in Chile</t>
  </si>
  <si>
    <t>Repsol finalizes an agreement with the Spanish renewable group Grenergy to transfer its entire portfolio of photovoltaic projects in Chile to this company.</t>
  </si>
  <si>
    <t>Positive sentiment, as it reflects investment in clean energy.</t>
  </si>
  <si>
    <t>compra, fotovoltaica</t>
  </si>
  <si>
    <t>Positive: Renewable energy transaction.</t>
  </si>
  <si>
    <t>Positivo: Transacción de energías renovables.</t>
  </si>
  <si>
    <r>
      <rPr>
        <rFont val="Arial, sans-serif"/>
        <color rgb="FF1155CC"/>
        <sz val="9.0"/>
        <u/>
      </rPr>
      <t>El Economista</t>
    </r>
    <r>
      <rPr>
        <rFont val="Arial, sans-serif"/>
        <color rgb="FF1155CC"/>
        <sz val="15.0"/>
        <u/>
      </rPr>
      <t>Grenergy compra 1.000 MW a Repsol e Ibereólica en Chile para reforzar su proyecto Oasis</t>
    </r>
    <r>
      <rPr>
        <rFont val="Arial, sans-serif"/>
        <color rgb="FF1155CC"/>
        <sz val="11.0"/>
        <u/>
      </rPr>
      <t>Grenergy ampliará con dos nuevas fases su faraónico proyecto Oasis de Atacama, el mayor de baterías del mundo, a través de la compra del ...</t>
    </r>
    <r>
      <rPr>
        <rFont val="Arial, sans-serif"/>
        <color rgb="FF1155CC"/>
        <sz val="12.0"/>
        <u/>
      </rPr>
      <t>.</t>
    </r>
    <r>
      <rPr>
        <rFont val="Arial, sans-serif"/>
        <color rgb="FF1155CC"/>
        <sz val="11.0"/>
        <u/>
      </rPr>
      <t>23 sept 2024</t>
    </r>
  </si>
  <si>
    <t>Grenergy compra 1.000 MW a Repsol e Ibereólica en Chile para reforzar su proyecto Oasis</t>
  </si>
  <si>
    <t>Grenergy ampliará con dos nuevas fases su faraónico proyecto Oasis de Atacama, el mayor de baterías del mundo, a través de la compra del ....</t>
  </si>
  <si>
    <t>Grenergy buys 1,000 MW from Repsol and Ibereólica in Chile to reinforce its Oasis project</t>
  </si>
  <si>
    <t>Grenergy will expand its pharaonic Oasis de Atacama project, the largest battery project in the world, with two new phases through the purchase of the...</t>
  </si>
  <si>
    <t>Positive sentiment, emphasizing renewable energy expansion.</t>
  </si>
  <si>
    <t>Positive: Reiterated positive deal.</t>
  </si>
  <si>
    <t>Positivo: Trato positivo reiterado.</t>
  </si>
  <si>
    <r>
      <rPr>
        <rFont val="Arial, sans-serif"/>
        <color rgb="FF1155CC"/>
        <sz val="9.0"/>
        <u/>
      </rPr>
      <t>El Español</t>
    </r>
    <r>
      <rPr>
        <rFont val="Arial, sans-serif"/>
        <color rgb="FF1155CC"/>
        <sz val="15.0"/>
        <u/>
      </rPr>
      <t>Grenergy adquiere a Repsol e Ibereólica un porfolio solar de 1GW por 114 millones</t>
    </r>
    <r>
      <rPr>
        <rFont val="Arial, sans-serif"/>
        <color rgb="FF1155CC"/>
        <sz val="11.0"/>
        <u/>
      </rPr>
      <t>Grenergy ha adquirido a Repsol e Ibereólica un portfolio solar de 1GW de hibridarlo con baterías en el norte de Chile por 128 millones de dólares (114.670...</t>
    </r>
    <r>
      <rPr>
        <rFont val="Arial, sans-serif"/>
        <color rgb="FF1155CC"/>
        <sz val="12.0"/>
        <u/>
      </rPr>
      <t>.</t>
    </r>
    <r>
      <rPr>
        <rFont val="Arial, sans-serif"/>
        <color rgb="FF1155CC"/>
        <sz val="11.0"/>
        <u/>
      </rPr>
      <t>23 sept 2024</t>
    </r>
  </si>
  <si>
    <t>Grenergy adquiere a Repsol e Ibereólica un porfolio solar de 1GW por 114 millones</t>
  </si>
  <si>
    <t>Grenergy ha adquirido a Repsol e Ibereólica un portfolio solar de 1GW de hibridarlo con baterías en el norte de Chile por 128 millones de dólares.</t>
  </si>
  <si>
    <t>Grenergy acquires a 1GW solar portfolio from Repsol and Ibereólica for 114 million</t>
  </si>
  <si>
    <t>Grenergy has acquired a 1GW solar portfolio from Repsol and Ibereólica to hybridize it with batteries in northern Chile for 128 million dollars.</t>
  </si>
  <si>
    <t>Positive sentiment, showcasing growth in solar energy projects.</t>
  </si>
  <si>
    <t>Positive: Reiterated renewable investment.</t>
  </si>
  <si>
    <t>Positivo: Reiterada inversión en renovables.</t>
  </si>
  <si>
    <r>
      <rPr>
        <rFont val="Arial, sans-serif"/>
        <color rgb="FF1155CC"/>
        <sz val="9.0"/>
        <u/>
      </rPr>
      <t>Consenso del Mercado</t>
    </r>
    <r>
      <rPr>
        <rFont val="Arial, sans-serif"/>
        <color rgb="FF1155CC"/>
        <sz val="15.0"/>
        <u/>
      </rPr>
      <t>Noticias Ibex 35 Repsol incrementa su exposición al Golfo de México con la compra de un 16,67% adicional en el Bloque 29 de la Cuenca Salina</t>
    </r>
    <r>
      <rPr>
        <rFont val="Arial, sans-serif"/>
        <color rgb="FF1155CC"/>
        <sz val="11.0"/>
        <u/>
      </rPr>
      <t>Renta 4 | La compañía ha comprado un 16,67% adicional en el Bloque 29 de la Cuenca Salina, en el Golfo de México, alcanzando así el 46,67%. Se espera el.</t>
    </r>
    <r>
      <rPr>
        <rFont val="Arial, sans-serif"/>
        <color rgb="FF1155CC"/>
        <sz val="12.0"/>
        <u/>
      </rPr>
      <t>.</t>
    </r>
    <r>
      <rPr>
        <rFont val="Arial, sans-serif"/>
        <color rgb="FF1155CC"/>
        <sz val="11.0"/>
        <u/>
      </rPr>
      <t>23 sept 2024</t>
    </r>
  </si>
  <si>
    <t>Consenso del Mercado</t>
  </si>
  <si>
    <t>Repsol incrementa su exposición al Golfo de México con la compra de un 16,67% adicional en el Bloque 29 de la Cuenca Salina</t>
  </si>
  <si>
    <t>La compañía ha comprado un 16,67% adicional en el Bloque 29 de la Cuenca Salina, en el Golfo de México, alcanzando así el 46,67%. Se espera el..</t>
  </si>
  <si>
    <t>Repsol increases its exposure to the Gulf of Mexico with the purchase of an additional 16.67% in Block 29 of the Salina Basin</t>
  </si>
  <si>
    <t>The company has purchased an additional 16.67% in Block 29 of the Salina Basin, in the Gulf of Mexico, thus reaching 46.67%. Expected...</t>
  </si>
  <si>
    <t>Positive sentiment, indicating growth in Repsol's energy investments.</t>
  </si>
  <si>
    <t>incrementa, compra</t>
  </si>
  <si>
    <r>
      <rPr>
        <rFont val="Arial, sans-serif"/>
        <color rgb="FF1155CC"/>
        <sz val="9.0"/>
        <u/>
      </rPr>
      <t>El Nacional.cat</t>
    </r>
    <r>
      <rPr>
        <rFont val="Arial, sans-serif"/>
        <color rgb="FF1155CC"/>
        <sz val="15.0"/>
        <u/>
      </rPr>
      <t>Grenergy compra a Ibereólica y Repsol por 114 millones 1 GW para ampliar su megaparque de Atacama</t>
    </r>
    <r>
      <rPr>
        <rFont val="Arial, sans-serif"/>
        <color rgb="FF1155CC"/>
        <sz val="11.0"/>
        <u/>
      </rPr>
      <t>La empresa cotizada de energías renovables Grenergy cerró el primer semestre del año con una facturación un 15% menor que el año pasado, al pasar de los 225...</t>
    </r>
    <r>
      <rPr>
        <rFont val="Arial, sans-serif"/>
        <color rgb="FF1155CC"/>
        <sz val="12.0"/>
        <u/>
      </rPr>
      <t>.</t>
    </r>
    <r>
      <rPr>
        <rFont val="Arial, sans-serif"/>
        <color rgb="FF1155CC"/>
        <sz val="11.0"/>
        <u/>
      </rPr>
      <t>23 sept 2024</t>
    </r>
  </si>
  <si>
    <t>Grenergy compra a Ibereólica y Repsol por 114 millones 1 GW para ampliar su megaparque de Atacama</t>
  </si>
  <si>
    <t>La empresa cotizada de energías renovables Grenergy cerró el primer semestre del año con una facturación un 15% menor que el año pasado, al pasar de los 225....</t>
  </si>
  <si>
    <t>Grenergy buys Ibereólica and Repsol for 114 million 1 GW to expand its Atacama megapark</t>
  </si>
  <si>
    <t>The listed renewable energy company Grenergy closed the first half of the year with a turnover 15% lower than last year, going from 225...</t>
  </si>
  <si>
    <t>Positive sentiment, as it supports renewable energy development.</t>
  </si>
  <si>
    <t>Positive: Reiterated deal benefits.</t>
  </si>
  <si>
    <t>Positivo: Beneficios del trato reiterados.</t>
  </si>
  <si>
    <r>
      <rPr>
        <rFont val="Arial, sans-serif"/>
        <color rgb="FF1155CC"/>
        <sz val="9.0"/>
        <u/>
      </rPr>
      <t>El Confidencial</t>
    </r>
    <r>
      <rPr>
        <rFont val="Arial, sans-serif"/>
        <color rgb="FF1155CC"/>
        <sz val="15.0"/>
        <u/>
      </rPr>
      <t>Grenergy vuela en bolsa tras comprar por 115 M toda la fotovoltaica de Repsol en Chile</t>
    </r>
    <r>
      <rPr>
        <rFont val="Arial, sans-serif"/>
        <color rgb="FF1155CC"/>
        <sz val="11.0"/>
        <u/>
      </rPr>
      <t>Ampliará con dos nuevas fases su mayor proyecto, el de Oasis de Atacama, y permitirá que éste pueda verse incrementado en 1GW solar y en 6GWh de...</t>
    </r>
    <r>
      <rPr>
        <rFont val="Arial, sans-serif"/>
        <color rgb="FF1155CC"/>
        <sz val="12.0"/>
        <u/>
      </rPr>
      <t>.</t>
    </r>
    <r>
      <rPr>
        <rFont val="Arial, sans-serif"/>
        <color rgb="FF1155CC"/>
        <sz val="11.0"/>
        <u/>
      </rPr>
      <t>23 sept 2024</t>
    </r>
  </si>
  <si>
    <t>Grenergy vuela en bolsa tras comprar por 115 M toda la fotovoltaica de Repsol en Chile</t>
  </si>
  <si>
    <t>Ampliará con dos nuevas fases su mayor proyecto, el de Oasis de Atacama, y permitirá que éste pueda verse incrementado en 1GW solar y en 6GWh de....</t>
  </si>
  <si>
    <t>Grenergy flies on the stock market after purchasing all of Repsol's photovoltaics in Chile for 115 million</t>
  </si>
  <si>
    <t>It will expand its largest project, Oasis de Atacama, with two new phases and will allow it to be increased by 1GW solar and 6GWh of...</t>
  </si>
  <si>
    <t>Positive sentiment, as it discusses financial growth in the renewable sector.</t>
  </si>
  <si>
    <t>comprar, fotovoltaica</t>
  </si>
  <si>
    <t>Positive: Market approval.</t>
  </si>
  <si>
    <t>Positivo: Aprobación del mercado.</t>
  </si>
  <si>
    <r>
      <rPr>
        <rFont val="Arial, sans-serif"/>
        <color rgb="FF1155CC"/>
        <sz val="9.0"/>
        <u/>
      </rPr>
      <t>El Nuevo Herald</t>
    </r>
    <r>
      <rPr>
        <rFont val="Arial, sans-serif"/>
        <color rgb="FF1155CC"/>
        <sz val="15.0"/>
        <u/>
      </rPr>
      <t>Maduro se reúne con directivos de Repsol en medio de la tensión entre Venezuela y España</t>
    </r>
    <r>
      <rPr>
        <rFont val="Arial, sans-serif"/>
        <color rgb="FF1155CC"/>
        <sz val="11.0"/>
        <u/>
      </rPr>
      <t>El presidente de Venezuela, Nicolás Maduro, se reunió este lunes con representantes de la energética española Repsol para “avanzar” en nuevos acuerdos de...</t>
    </r>
    <r>
      <rPr>
        <rFont val="Arial, sans-serif"/>
        <color rgb="FF1155CC"/>
        <sz val="12.0"/>
        <u/>
      </rPr>
      <t>.</t>
    </r>
    <r>
      <rPr>
        <rFont val="Arial, sans-serif"/>
        <color rgb="FF1155CC"/>
        <sz val="11.0"/>
        <u/>
      </rPr>
      <t>23 sept 2024</t>
    </r>
  </si>
  <si>
    <t>El Nuevo Herald</t>
  </si>
  <si>
    <t>Maduro se reúne con directivos de Repsol en medio de la tensión entre Venezuela y España</t>
  </si>
  <si>
    <t>El presidente de Venezuela, Nicolás Maduro, se reunió este lunes con representantes de la energética española Repsol para “avanzar” en nuevos acuerdos de....</t>
  </si>
  <si>
    <t>Maduro meets with Repsol executives amid tension between Venezuela and Spain</t>
  </si>
  <si>
    <t>The president of Venezuela, Nicolás Maduro, met this Monday with representatives of the Spanish energy company Repsol to “advance” on new agreements of...</t>
  </si>
  <si>
    <t>Slightly negative sentiment due to the political tension between Venezuela and Spain.</t>
  </si>
  <si>
    <t>Negative: Political risk.</t>
  </si>
  <si>
    <t>Negativo: Riesgo político.</t>
  </si>
  <si>
    <r>
      <rPr>
        <rFont val="Arial, sans-serif"/>
        <color rgb="FF1155CC"/>
        <sz val="9.0"/>
        <u/>
      </rPr>
      <t>Motor16</t>
    </r>
    <r>
      <rPr>
        <rFont val="Arial, sans-serif"/>
        <color rgb="FF1155CC"/>
        <sz val="15.0"/>
        <u/>
      </rPr>
      <t>¿Cuánto cuesta el litro de AdBlue en gasolineras?</t>
    </r>
    <r>
      <rPr>
        <rFont val="Arial, sans-serif"/>
        <color rgb="FF1155CC"/>
        <sz val="11.0"/>
        <u/>
      </rPr>
      <t>Los conductores de vehículos diésel suelen enfrentarse al desafío de encontrar una gasolinera con adblue, un aditivo esencial para el correcto.</t>
    </r>
    <r>
      <rPr>
        <rFont val="Arial, sans-serif"/>
        <color rgb="FF1155CC"/>
        <sz val="12.0"/>
        <u/>
      </rPr>
      <t>.</t>
    </r>
    <r>
      <rPr>
        <rFont val="Arial, sans-serif"/>
        <color rgb="FF1155CC"/>
        <sz val="11.0"/>
        <u/>
      </rPr>
      <t>23 sept 2024</t>
    </r>
  </si>
  <si>
    <t>¿Cuánto cuesta el litro de AdBlue en gasolineras?</t>
  </si>
  <si>
    <t>Los conductores de vehículos diésel suelen enfrentarse al desafío de encontrar una gasolinera con adblue, un aditivo esencial para el correcto.</t>
  </si>
  <si>
    <t>How much does a liter of AdBlue cost at gas stations?</t>
  </si>
  <si>
    <t>Drivers of diesel vehicles often face the challenge of finding a gas station with AdBlue, an essential additive for the correct one.</t>
  </si>
  <si>
    <r>
      <rPr>
        <rFont val="Arial, sans-serif"/>
        <color rgb="FF1155CC"/>
        <sz val="9.0"/>
        <u/>
      </rPr>
      <t>AP News</t>
    </r>
    <r>
      <rPr>
        <rFont val="Arial, sans-serif"/>
        <color rgb="FF1155CC"/>
        <sz val="15.0"/>
        <u/>
      </rPr>
      <t>Venezuela y la petrolera española Repsol revisan su agenda de cooperación</t>
    </r>
    <r>
      <rPr>
        <rFont val="Arial, sans-serif"/>
        <color rgb="FF1155CC"/>
        <sz val="11.0"/>
        <u/>
      </rPr>
      <t>CARACAS (AP) — El presidente Nicolás Maduro se reunió el lunes con directivos de la petrolera española Repsol en un momento de tensiones entre Venezuela y...</t>
    </r>
    <r>
      <rPr>
        <rFont val="Arial, sans-serif"/>
        <color rgb="FF1155CC"/>
        <sz val="12.0"/>
        <u/>
      </rPr>
      <t>.</t>
    </r>
    <r>
      <rPr>
        <rFont val="Arial, sans-serif"/>
        <color rgb="FF1155CC"/>
        <sz val="11.0"/>
        <u/>
      </rPr>
      <t>23 sept 2024</t>
    </r>
  </si>
  <si>
    <t>AP News</t>
  </si>
  <si>
    <t>Venezuela y la petrolera española Repsol revisan su agenda de cooperación</t>
  </si>
  <si>
    <t>El presidente Nicolás Maduro se reunió el lunes con directivos de la petrolera española Repsol en un momento de tensiones entre Venezuela y....</t>
  </si>
  <si>
    <t>Venezuela and the Spanish oil company Repsol review their cooperation agenda</t>
  </si>
  <si>
    <t>President Nicolás Maduro met on Monday with directors of the Spanish oil company Repsol at a time of tensions between Venezuela and...</t>
  </si>
  <si>
    <t>Slightly positive sentiment, indicating continued business cooperation despite political tensions.</t>
  </si>
  <si>
    <t>revisan</t>
  </si>
  <si>
    <t>Slightly positive: Ongoing partnership.</t>
  </si>
  <si>
    <t>Ligeramente positivo: asociación continua.</t>
  </si>
  <si>
    <r>
      <rPr>
        <rFont val="Arial, sans-serif"/>
        <color rgb="FF1155CC"/>
        <sz val="9.0"/>
        <u/>
      </rPr>
      <t>Infodefensa</t>
    </r>
    <r>
      <rPr>
        <rFont val="Arial, sans-serif"/>
        <color rgb="FF1155CC"/>
        <sz val="15.0"/>
        <u/>
      </rPr>
      <t>El caza F-18 del Ejército del Aire español vuela por primera vez con combustible sostenible de Repsol</t>
    </r>
    <r>
      <rPr>
        <rFont val="Arial, sans-serif"/>
        <color rgb="FF1155CC"/>
        <sz val="11.0"/>
        <u/>
      </rPr>
      <t>'Este último vuelo supone un evento de gran relevancia para el programa, puesto que fue la primera vez que se utilizó este combustible en sistemas de...</t>
    </r>
    <r>
      <rPr>
        <rFont val="Arial, sans-serif"/>
        <color rgb="FF1155CC"/>
        <sz val="12.0"/>
        <u/>
      </rPr>
      <t>.</t>
    </r>
    <r>
      <rPr>
        <rFont val="Arial, sans-serif"/>
        <color rgb="FF1155CC"/>
        <sz val="11.0"/>
        <u/>
      </rPr>
      <t>23 sept 2024</t>
    </r>
  </si>
  <si>
    <t>Infodefensa</t>
  </si>
  <si>
    <t>El caza F-18 del Ejército del Aire español vuela por primera vez con combustible sostenible de Repsol</t>
  </si>
  <si>
    <t>'Este último vuelo supone un evento de gran relevancia para el programa, puesto que fue la primera vez que se utilizó este combustible en sistemas de....</t>
  </si>
  <si>
    <t>The F-18 fighter of the Spanish Air Force flies for the first time with sustainable fuel from Repsol</t>
  </si>
  <si>
    <t>'This last flight is an event of great relevance for the program, since it was the first time that this fuel was used in...</t>
  </si>
  <si>
    <t>Repsol sustainable fuels, business innovation</t>
  </si>
  <si>
    <t>Repsol combustibles sostenibles, innovación empresarial</t>
  </si>
  <si>
    <t>Positive sentiment, highlighting a milestone in sustainable fuel use.</t>
  </si>
  <si>
    <t>Positive: Innovation in sustainable fuels.</t>
  </si>
  <si>
    <t>Positivo: Innovación en combustibles sostenibles.</t>
  </si>
  <si>
    <r>
      <rPr>
        <rFont val="Arial, sans-serif"/>
        <color rgb="FF1155CC"/>
        <sz val="9.0"/>
        <u/>
      </rPr>
      <t>Repsol</t>
    </r>
    <r>
      <rPr>
        <rFont val="Arial, sans-serif"/>
        <color rgb="FF1155CC"/>
        <sz val="15.0"/>
        <u/>
      </rPr>
      <t>Los mejores cargadores de coche eléctrico del mercado</t>
    </r>
    <r>
      <rPr>
        <rFont val="Arial, sans-serif"/>
        <color rgb="FF1155CC"/>
        <sz val="11.0"/>
        <u/>
      </rPr>
      <t>Encuentra los mejores cargadores de coches eléctricos y sus especificaciones y descubre cuál es el más adecuado para tu vehículo, ¡haz clic!</t>
    </r>
    <r>
      <rPr>
        <rFont val="Arial, sans-serif"/>
        <color rgb="FF1155CC"/>
        <sz val="12.0"/>
        <u/>
      </rPr>
      <t>.</t>
    </r>
    <r>
      <rPr>
        <rFont val="Arial, sans-serif"/>
        <color rgb="FF1155CC"/>
        <sz val="11.0"/>
        <u/>
      </rPr>
      <t>23 sept 2024</t>
    </r>
  </si>
  <si>
    <t>Los mejores cargadores de coche eléctrico del mercado</t>
  </si>
  <si>
    <t>Encuentra los mejores cargadores de coches eléctricos y sus especificaciones y descubre cuál es el más adecuado para tu vehículo, ¡haz clic!.</t>
  </si>
  <si>
    <t>The best electric car chargers on the market</t>
  </si>
  <si>
    <t>Find the best electric car chargers and their specifications and discover which one is most suitable for your vehicle, click!</t>
  </si>
  <si>
    <r>
      <rPr>
        <rFont val="Arial, sans-serif"/>
        <color rgb="FF1155CC"/>
        <sz val="9.0"/>
        <u/>
      </rPr>
      <t>EDATV News</t>
    </r>
    <r>
      <rPr>
        <rFont val="Arial, sans-serif"/>
        <color rgb="FF1155CC"/>
        <sz val="15.0"/>
        <u/>
      </rPr>
      <t>La popular estafa que acaba de regresar a España: no abras la puerta</t>
    </r>
    <r>
      <rPr>
        <rFont val="Arial, sans-serif"/>
        <color rgb="FF1155CC"/>
        <sz val="11.0"/>
        <u/>
      </rPr>
      <t>En los últimos tiempos, ha proliferado una estafa que tiene como objetivo a los usuarios de gas. Sobre todo, a aquellos que son clientes de Repsol, pu...</t>
    </r>
    <r>
      <rPr>
        <rFont val="Arial, sans-serif"/>
        <color rgb="FF1155CC"/>
        <sz val="12.0"/>
        <u/>
      </rPr>
      <t>.</t>
    </r>
    <r>
      <rPr>
        <rFont val="Arial, sans-serif"/>
        <color rgb="FF1155CC"/>
        <sz val="11.0"/>
        <u/>
      </rPr>
      <t>23 sept 2024</t>
    </r>
  </si>
  <si>
    <t>La popular estafa que acaba de regresar a España: no abras la puerta</t>
  </si>
  <si>
    <t>La popular estafa que acaba de regresar a España: no abras la puerta En los últimos tiempos, ha proliferado una estafa que tiene como objetivo a los usuarios de gas. Sobre todo, a aquellos que son clientes de Repsol, pu....</t>
  </si>
  <si>
    <t>The popular scam that has just returned to Spain: do not open the door</t>
  </si>
  <si>
    <t>The popular scam that has just returned to Spain: do not open the door In recent times, a scam that targets gas users has proliferated. Above all, to those who are Repsol clients, you can...</t>
  </si>
  <si>
    <t>Repsol consumer protection, business risks</t>
  </si>
  <si>
    <t>Repsol protección al consumidor, riesgos empresariales</t>
  </si>
  <si>
    <t>Negative sentiment, warning about scams targeting Repsol customers.</t>
  </si>
  <si>
    <t>Negative: Fraud risk for customers.</t>
  </si>
  <si>
    <t>Negativo: Riesgo de fraude para los clientes.</t>
  </si>
  <si>
    <r>
      <rPr>
        <rFont val="Arial, sans-serif"/>
        <color rgb="FF1155CC"/>
        <sz val="9.0"/>
        <u/>
      </rPr>
      <t>El Español</t>
    </r>
    <r>
      <rPr>
        <rFont val="Arial, sans-serif"/>
        <color rgb="FF1155CC"/>
        <sz val="15.0"/>
        <u/>
      </rPr>
      <t>Bosque Urbano Málaga abre una nueva colecta vecinal para pagar su lucha judicial contra las torres de Repsol</t>
    </r>
    <r>
      <rPr>
        <rFont val="Arial, sans-serif"/>
        <color rgb="FF1155CC"/>
        <sz val="11.0"/>
        <u/>
      </rPr>
      <t>El objetivo del colectivo es lograr 10.000 euros, de los que ya ha logrado 6.700 euros.</t>
    </r>
    <r>
      <rPr>
        <rFont val="Arial, sans-serif"/>
        <color rgb="FF1155CC"/>
        <sz val="12.0"/>
        <u/>
      </rPr>
      <t>.</t>
    </r>
    <r>
      <rPr>
        <rFont val="Arial, sans-serif"/>
        <color rgb="FF1155CC"/>
        <sz val="11.0"/>
        <u/>
      </rPr>
      <t>23 sept 2024</t>
    </r>
  </si>
  <si>
    <t>Bosque Urbano Málaga abre una nueva colecta vecinal para pagar su lucha judicial contra las torres de Repsol</t>
  </si>
  <si>
    <t>El objetivo del colectivo es lograr 10.000 euros, de los que ya ha logrado 6.700 euros.</t>
  </si>
  <si>
    <t>Bosque Urbano Málaga opens a new neighborhood collection to pay for its legal fight against the Repsol towers</t>
  </si>
  <si>
    <t>The group's goal is to achieve 10,000 euros, of which it has already achieved 6,700 euros.</t>
  </si>
  <si>
    <r>
      <rPr>
        <rFont val="Arial, sans-serif"/>
        <color rgb="FF1155CC"/>
        <sz val="9.0"/>
        <u/>
      </rPr>
      <t>Box Repsol</t>
    </r>
    <r>
      <rPr>
        <rFont val="Arial, sans-serif"/>
        <color rgb="FF1155CC"/>
        <sz val="15.0"/>
        <u/>
      </rPr>
      <t>Horarios MotoGP Indonesia 2024: fechas y dónde ver por TV y online todo el GP</t>
    </r>
    <r>
      <rPr>
        <rFont val="Arial, sans-serif"/>
        <color rgb="FF1155CC"/>
        <sz val="11.0"/>
        <u/>
      </rPr>
      <t>El campeonato de MotoGP aterriza en Indonesia para disputar la decimoquinta cita de la temporada. Anota los horarios y disfruta de toda la acción del Gran...</t>
    </r>
    <r>
      <rPr>
        <rFont val="Arial, sans-serif"/>
        <color rgb="FF1155CC"/>
        <sz val="12.0"/>
        <u/>
      </rPr>
      <t>.</t>
    </r>
    <r>
      <rPr>
        <rFont val="Arial, sans-serif"/>
        <color rgb="FF1155CC"/>
        <sz val="11.0"/>
        <u/>
      </rPr>
      <t>23 sept 2024</t>
    </r>
  </si>
  <si>
    <t>Horarios MotoGP Indonesia 2024: fechas y dónde ver por TV y online todo el GP</t>
  </si>
  <si>
    <t>El campeonato de MotoGP aterriza en Indonesia para disputar la decimoquinta cita de la temporada. Anota los horarios y disfruta de toda la acción del Gran....</t>
  </si>
  <si>
    <t>MotoGP Indonesia 2024 schedules: dates and where to watch the entire GP on TV and online</t>
  </si>
  <si>
    <t>The MotoGP championship lands in Indonesia for the fifteenth round of the season. Write down the schedules and enjoy all the action of the Great....</t>
  </si>
  <si>
    <r>
      <rPr>
        <rFont val="Arial, sans-serif"/>
        <color rgb="FF1155CC"/>
        <sz val="9.0"/>
        <u/>
      </rPr>
      <t>teleSUR</t>
    </r>
    <r>
      <rPr>
        <rFont val="Arial, sans-serif"/>
        <color rgb="FF1155CC"/>
        <sz val="15.0"/>
        <u/>
      </rPr>
      <t>Presidente Maduro sostiene encuentro con autoridades de la energética Repsol</t>
    </r>
    <r>
      <rPr>
        <rFont val="Arial, sans-serif"/>
        <color rgb="FF1155CC"/>
        <sz val="11.0"/>
        <u/>
      </rPr>
      <t>El encuentro tuvo lugar en el Palacio de Miraflores. En él también participó la vicepresidenta ejecutiva, Delcy Rodríguez. Foto: Presidencia de Venezuela...</t>
    </r>
    <r>
      <rPr>
        <rFont val="Arial, sans-serif"/>
        <color rgb="FF1155CC"/>
        <sz val="12.0"/>
        <u/>
      </rPr>
      <t>.</t>
    </r>
    <r>
      <rPr>
        <rFont val="Arial, sans-serif"/>
        <color rgb="FF1155CC"/>
        <sz val="11.0"/>
        <u/>
      </rPr>
      <t>23 sept 2024</t>
    </r>
  </si>
  <si>
    <t>teleSUR</t>
  </si>
  <si>
    <t>Presidente Maduro sostiene encuentro con autoridades de la energética Repsol</t>
  </si>
  <si>
    <t>El encuentro tuvo lugar en el Palacio de Miraflores. En él también participó la vicepresidenta ejecutiva, Delcy Rodríguez. Foto: Presidencia de Venezuela.</t>
  </si>
  <si>
    <t>President Maduro holds a meeting with authorities from the energy company Repsol</t>
  </si>
  <si>
    <t>The meeting took place at the Miraflores Palace. The executive vice president, Delcy Rodríguez, also participated in it. Photo: Presidency of Venezuela.</t>
  </si>
  <si>
    <t>Slightly positive sentiment, as it indicates active business discussions despite political tensions.</t>
  </si>
  <si>
    <t>Slightly positive: Diplomatic engagement.</t>
  </si>
  <si>
    <t>Ligeramente positivo: compromiso diplomático.</t>
  </si>
  <si>
    <r>
      <rPr>
        <rFont val="Arial, sans-serif"/>
        <color rgb="FF1155CC"/>
        <sz val="9.0"/>
        <u/>
      </rPr>
      <t>LaPatilla.com</t>
    </r>
    <r>
      <rPr>
        <rFont val="Arial, sans-serif"/>
        <color rgb="FF1155CC"/>
        <sz val="15.0"/>
        <u/>
      </rPr>
      <t>El País: Venezuela y Repsol, obligados a entenderse</t>
    </r>
    <r>
      <rPr>
        <rFont val="Arial, sans-serif"/>
        <color rgb="FF1155CC"/>
        <sz val="11.0"/>
        <u/>
      </rPr>
      <t>Que la tensión y el creciente ruido político y diplomático no afecte a los negocios. Esa parece ser la máxima en la relación entre el Gobierno venezolano y...</t>
    </r>
    <r>
      <rPr>
        <rFont val="Arial, sans-serif"/>
        <color rgb="FF1155CC"/>
        <sz val="12.0"/>
        <u/>
      </rPr>
      <t>.</t>
    </r>
    <r>
      <rPr>
        <rFont val="Arial, sans-serif"/>
        <color rgb="FF1155CC"/>
        <sz val="11.0"/>
        <u/>
      </rPr>
      <t>23 sept 2024</t>
    </r>
  </si>
  <si>
    <t>LaPatilla.com</t>
  </si>
  <si>
    <t>Que la tensión y el creciente ruido político y diplomático no afecte a los negocios. Esa parece ser la máxima en la relación entre el Gobierno venezolano y....</t>
  </si>
  <si>
    <t>Let the tension and growing political and diplomatic noise not affect business. That seems to be the maximum in the relationship between the Venezuelan Government and....</t>
  </si>
  <si>
    <t>Slightly positive sentiment, as it suggests continuity in business despite political tensions.</t>
  </si>
  <si>
    <r>
      <rPr>
        <rFont val="Arial, sans-serif"/>
        <color rgb="FF1155CC"/>
        <sz val="9.0"/>
        <u/>
      </rPr>
      <t>Radio Miraflores</t>
    </r>
    <r>
      <rPr>
        <rFont val="Arial, sans-serif"/>
        <color rgb="FF1155CC"/>
        <sz val="15.0"/>
        <u/>
      </rPr>
      <t>Maduro y autoridades de Repsol se reunieron en Miraflores</t>
    </r>
    <r>
      <rPr>
        <rFont val="Arial, sans-serif"/>
        <color rgb="FF1155CC"/>
        <sz val="11.0"/>
        <u/>
      </rPr>
      <t>El presidente Maduro se reunió con autoridades de la empresa de combustibles renovables, Repsol, que inició en nuestro país en 1993.</t>
    </r>
    <r>
      <rPr>
        <rFont val="Arial, sans-serif"/>
        <color rgb="FF1155CC"/>
        <sz val="12.0"/>
        <u/>
      </rPr>
      <t>.</t>
    </r>
    <r>
      <rPr>
        <rFont val="Arial, sans-serif"/>
        <color rgb="FF1155CC"/>
        <sz val="11.0"/>
        <u/>
      </rPr>
      <t>23 sept 2024</t>
    </r>
  </si>
  <si>
    <t>Maduro y autoridades de Repsol se reunieron en Miraflores</t>
  </si>
  <si>
    <t>El presidente Maduro se reunió con autoridades de la empresa de combustibles renovables, Repsol, que inició en nuestro país en 1993.</t>
  </si>
  <si>
    <t>Maduro and Repsol authorities met in Miraflores</t>
  </si>
  <si>
    <t>President Maduro met with authorities from the renewable fuels company, Repsol, which started in our country in 1993.</t>
  </si>
  <si>
    <t>Slightly positive sentiment, reflecting diplomatic engagement.</t>
  </si>
  <si>
    <t>Slightly positive: Neutral meeting.</t>
  </si>
  <si>
    <t>Ligeramente positivo: reunión neutral.</t>
  </si>
  <si>
    <r>
      <rPr>
        <rFont val="Arial, sans-serif"/>
        <color rgb="FF1155CC"/>
        <sz val="9.0"/>
        <u/>
      </rPr>
      <t>Artículo 66</t>
    </r>
    <r>
      <rPr>
        <rFont val="Arial, sans-serif"/>
        <color rgb="FF1155CC"/>
        <sz val="15.0"/>
        <u/>
      </rPr>
      <t>Maduro se reúne con directivos de Repsol en medio de tensión Venezuela-España</t>
    </r>
    <r>
      <rPr>
        <rFont val="Arial, sans-serif"/>
        <color rgb="FF1155CC"/>
        <sz val="11.0"/>
        <u/>
      </rPr>
      <t>El presidente de Venezuela, Nicolás Maduro, se reunió este lunes con representantes de la energética española Repsol para “avanzar” en nuevos acuerdos de...</t>
    </r>
    <r>
      <rPr>
        <rFont val="Arial, sans-serif"/>
        <color rgb="FF1155CC"/>
        <sz val="12.0"/>
        <u/>
      </rPr>
      <t>.</t>
    </r>
    <r>
      <rPr>
        <rFont val="Arial, sans-serif"/>
        <color rgb="FF1155CC"/>
        <sz val="11.0"/>
        <u/>
      </rPr>
      <t>23 sept 2024</t>
    </r>
  </si>
  <si>
    <t>Artículo 66</t>
  </si>
  <si>
    <t>Maduro se reúne con directivos de Repsol en medio de tensión Venezuela-España</t>
  </si>
  <si>
    <t>Maduro meets with Repsol executives amid Venezuela-Spain tension</t>
  </si>
  <si>
    <t>Slightly positive sentiment, indicating business relations persist despite political issues.</t>
  </si>
  <si>
    <r>
      <rPr>
        <rFont val="Arial, sans-serif"/>
        <color rgb="FF1155CC"/>
        <sz val="9.0"/>
        <u/>
      </rPr>
      <t>Efecto Cocuyo</t>
    </r>
    <r>
      <rPr>
        <rFont val="Arial, sans-serif"/>
        <color rgb="FF1155CC"/>
        <sz val="15.0"/>
        <u/>
      </rPr>
      <t>Gobierno de Maduro y Repsol avanzan en «nuevos» acuerdos de cooperación energética</t>
    </r>
    <r>
      <rPr>
        <rFont val="Arial, sans-serif"/>
        <color rgb="FF1155CC"/>
        <sz val="11.0"/>
        <u/>
      </rPr>
      <t>La vicepresidenta ejecutiva ya se reunió con el director de la unidad de Negocios para discutir las "alianzas estratégicas"</t>
    </r>
    <r>
      <rPr>
        <rFont val="Arial, sans-serif"/>
        <color rgb="FF1155CC"/>
        <sz val="12.0"/>
        <u/>
      </rPr>
      <t>.</t>
    </r>
    <r>
      <rPr>
        <rFont val="Arial, sans-serif"/>
        <color rgb="FF1155CC"/>
        <sz val="11.0"/>
        <u/>
      </rPr>
      <t>23 sept 2024</t>
    </r>
  </si>
  <si>
    <t>Gobierno de Maduro y Repsol avanzan en «nuevos» acuerdos de cooperación energética</t>
  </si>
  <si>
    <t>La vicepresidenta ejecutiva ya se reunió con el director de la unidad de Negocios para discutir las "alianzas estratégicas".</t>
  </si>
  <si>
    <t>Maduro's government and Repsol advance in "new" energy cooperation agreements</t>
  </si>
  <si>
    <t>The executive vice president has already met with the director of the Business unit to discuss "strategic alliances."</t>
  </si>
  <si>
    <t>Slightly positive sentiment, reflecting forward movement in energy cooperation.</t>
  </si>
  <si>
    <t>avanzan, acuerdos</t>
  </si>
  <si>
    <t>Positive: Strategic collaboration.</t>
  </si>
  <si>
    <t>Positivo: Colaboración estratégica.</t>
  </si>
  <si>
    <r>
      <rPr>
        <rFont val="Arial, sans-serif"/>
        <color rgb="FF1155CC"/>
        <sz val="9.0"/>
        <u/>
      </rPr>
      <t>Venezolana de Televisión</t>
    </r>
    <r>
      <rPr>
        <rFont val="Arial, sans-serif"/>
        <color rgb="FF1155CC"/>
        <sz val="15.0"/>
        <u/>
      </rPr>
      <t>Directivos de Repsol recibidos por ministra Delcy Rodríguez para consolidar alianzas</t>
    </r>
    <r>
      <rPr>
        <rFont val="Arial, sans-serif"/>
        <color rgb="FF1155CC"/>
        <sz val="11.0"/>
        <u/>
      </rPr>
      <t>La principal televisora del Estado, con cobertura nacional en señal abierta las 24 horas y transmisión en vivo de programas informativos y de opinión - VTV.</t>
    </r>
    <r>
      <rPr>
        <rFont val="Arial, sans-serif"/>
        <color rgb="FF1155CC"/>
        <sz val="12.0"/>
        <u/>
      </rPr>
      <t>.</t>
    </r>
    <r>
      <rPr>
        <rFont val="Arial, sans-serif"/>
        <color rgb="FF1155CC"/>
        <sz val="11.0"/>
        <u/>
      </rPr>
      <t>23 sept 2024</t>
    </r>
  </si>
  <si>
    <t>Directivos de Repsol recibidos por ministra Delcy Rodríguez para consolidar alianzas</t>
  </si>
  <si>
    <t>La principal televisora del Estado, con cobertura nacional en señal abierta las 24 horas y transmisión en vivo de programas informativos y de opinión - VTV.</t>
  </si>
  <si>
    <t>Repsol executives received by Minister Delcy Rodríguez to consolidate alliances</t>
  </si>
  <si>
    <t>The main television station in the State, with national coverage on an open signal 24 hours a day and live transmission of information and opinion programs - VTV.</t>
  </si>
  <si>
    <t>Slightly positive sentiment, focusing on business consolidation despite political climate.</t>
  </si>
  <si>
    <t>consolidar alianzas</t>
  </si>
  <si>
    <t>Positive: Diplomatic progress.</t>
  </si>
  <si>
    <t>Positivo: Progreso diplomático.</t>
  </si>
  <si>
    <r>
      <rPr>
        <rFont val="Arial, sans-serif"/>
        <color rgb="FF1155CC"/>
        <sz val="9.0"/>
        <u/>
      </rPr>
      <t>Notitarde</t>
    </r>
    <r>
      <rPr>
        <rFont val="Arial, sans-serif"/>
        <color rgb="FF1155CC"/>
        <sz val="15.0"/>
        <u/>
      </rPr>
      <t>Presidente Nicolás Maduro se reunió con directivos de Repsol</t>
    </r>
    <r>
      <rPr>
        <rFont val="Arial, sans-serif"/>
        <color rgb="FF1155CC"/>
        <sz val="11.0"/>
        <u/>
      </rPr>
      <t>País.- El presidente Nicolás Maduro se reunió esta lunes en el Palacio de Miraflores con autoridades la estatal petrolera española Repsol, el objetivo del...</t>
    </r>
    <r>
      <rPr>
        <rFont val="Arial, sans-serif"/>
        <color rgb="FF1155CC"/>
        <sz val="12.0"/>
        <u/>
      </rPr>
      <t>.</t>
    </r>
    <r>
      <rPr>
        <rFont val="Arial, sans-serif"/>
        <color rgb="FF1155CC"/>
        <sz val="11.0"/>
        <u/>
      </rPr>
      <t>23 sept 2024</t>
    </r>
  </si>
  <si>
    <t>Notitarde</t>
  </si>
  <si>
    <t>Presidente Nicolás Maduro se reunió con directivos de Repsol</t>
  </si>
  <si>
    <t>El presidente Nicolás Maduro se reunió esta lunes en el Palacio de Miraflores con autoridades la estatal petrolera española Repsol, el objetivo del....</t>
  </si>
  <si>
    <t>President Nicolás Maduro met with Repsol executives</t>
  </si>
  <si>
    <t>President Nicolás Maduro met this Monday at the Miraflores Palace with authorities from the Spanish state oil company Repsol, the target of the...</t>
  </si>
  <si>
    <t>Slightly positive sentiment, reinforcing ongoing business discussions.</t>
  </si>
  <si>
    <r>
      <rPr>
        <rFont val="Arial, sans-serif"/>
        <color rgb="FF1155CC"/>
        <sz val="9.0"/>
        <u/>
      </rPr>
      <t>Revista Digital Minera REDIMIN</t>
    </r>
    <r>
      <rPr>
        <rFont val="Arial, sans-serif"/>
        <color rgb="FF1155CC"/>
        <sz val="15.0"/>
        <u/>
      </rPr>
      <t>Española Grenergy adquiere el 100% de la cartera solar en Chile al joint venture entre Repsol y el Grupo</t>
    </r>
    <r>
      <rPr>
        <rFont val="Arial, sans-serif"/>
        <color rgb="FF1155CC"/>
        <sz val="11.0"/>
        <u/>
      </rPr>
      <t>En medio del agitado ambiente en el sector energético chileno, este lunes la firma española Grenergy anunció un negocio que le permitirá más que duplicar.</t>
    </r>
    <r>
      <rPr>
        <rFont val="Arial, sans-serif"/>
        <color rgb="FF1155CC"/>
        <sz val="12.0"/>
        <u/>
      </rPr>
      <t>.</t>
    </r>
    <r>
      <rPr>
        <rFont val="Arial, sans-serif"/>
        <color rgb="FF1155CC"/>
        <sz val="11.0"/>
        <u/>
      </rPr>
      <t>23 sept 2024</t>
    </r>
  </si>
  <si>
    <t>Revista Digital Minera REDIMIN</t>
  </si>
  <si>
    <t>Grenergy adquiere el 100% de la cartera solar en Chile al joint venture entre Repsol y el Grupo</t>
  </si>
  <si>
    <t>En medio del agitado ambiente en el sector energético chileno, este lunes la firma española Grenergy anunció un negocio que le permitirá más que duplicar..</t>
  </si>
  <si>
    <t>Grenergy acquires 100% of the solar portfolio in Chile from the joint venture between Repsol and the Group</t>
  </si>
  <si>
    <t>In the midst of the hectic environment in the Chilean energy sector, this Monday the Spanish firm Grenergy announced a deal that will allow it to more than double...</t>
  </si>
  <si>
    <t>Positive sentiment, highlighting investment in solar energy projects.</t>
  </si>
  <si>
    <r>
      <rPr>
        <rFont val="Arial, sans-serif"/>
        <color rgb="FF1155CC"/>
        <sz val="9.0"/>
        <u/>
      </rPr>
      <t>El Universal</t>
    </r>
    <r>
      <rPr>
        <rFont val="Arial, sans-serif"/>
        <color rgb="FF1155CC"/>
        <sz val="15.0"/>
        <u/>
      </rPr>
      <t>Gobierno de Venezuela y Repsol avanzan en "nuevos" acuerdos de cooperación energética</t>
    </r>
    <r>
      <rPr>
        <rFont val="Arial, sans-serif"/>
        <color rgb="FF1155CC"/>
        <sz val="11.0"/>
        <u/>
      </rPr>
      <t>Durante el encuentro con los directivos, Nicolás Maduro reiteró "el llamado a todos los inversionistas del mundo" para "sellar alianzas importantes" en el...</t>
    </r>
    <r>
      <rPr>
        <rFont val="Arial, sans-serif"/>
        <color rgb="FF1155CC"/>
        <sz val="12.0"/>
        <u/>
      </rPr>
      <t>.</t>
    </r>
    <r>
      <rPr>
        <rFont val="Arial, sans-serif"/>
        <color rgb="FF1155CC"/>
        <sz val="11.0"/>
        <u/>
      </rPr>
      <t>23 sept 2024</t>
    </r>
  </si>
  <si>
    <t>Gobierno de Venezuela y Repsol avanzan en "nuevos" acuerdos de cooperación energética</t>
  </si>
  <si>
    <t>Durante el encuentro con los directivos, Nicolás Maduro reiteró "el llamado a todos los inversionistas del mundo" para "sellar alianzas importantes" en el....</t>
  </si>
  <si>
    <t>Government of Venezuela and Repsol advance in "new" energy cooperation agreements</t>
  </si>
  <si>
    <t>During the meeting with the directors, Nicolás Maduro reiterated "the call to all investors in the world" to "seal important alliances" in the...</t>
  </si>
  <si>
    <t>Slightly positive sentiment, showing a proactive approach toward energy cooperation.</t>
  </si>
  <si>
    <t>Positive: Collaboration.</t>
  </si>
  <si>
    <t>Positivo: Colaboración.</t>
  </si>
  <si>
    <r>
      <rPr>
        <rFont val="Arial, sans-serif"/>
        <color rgb="FF1155CC"/>
        <sz val="9.0"/>
        <u/>
      </rPr>
      <t>Yvke Mundial</t>
    </r>
    <r>
      <rPr>
        <rFont val="Arial, sans-serif"/>
        <color rgb="FF1155CC"/>
        <sz val="15.0"/>
        <u/>
      </rPr>
      <t>Presidente Maduro se reúne con ejecutivos de Repsol para fortalecer acuerdos energéticos</t>
    </r>
    <r>
      <rPr>
        <rFont val="Arial, sans-serif"/>
        <color rgb="FF1155CC"/>
        <sz val="11.0"/>
        <u/>
      </rPr>
      <t>El Presidente de la República, Nicolás Maduro, recibió este lunes en el Palacio de Miraflores a representantes de la estatal petrolera española Repsol.</t>
    </r>
    <r>
      <rPr>
        <rFont val="Arial, sans-serif"/>
        <color rgb="FF1155CC"/>
        <sz val="12.0"/>
        <u/>
      </rPr>
      <t>.</t>
    </r>
    <r>
      <rPr>
        <rFont val="Arial, sans-serif"/>
        <color rgb="FF1155CC"/>
        <sz val="11.0"/>
        <u/>
      </rPr>
      <t>23 sept 2024</t>
    </r>
  </si>
  <si>
    <t>Yvke Mundial</t>
  </si>
  <si>
    <t>Presidente Maduro se reúne con ejecutivos de Repsol para fortalecer acuerdos energéticos</t>
  </si>
  <si>
    <t>El Presidente de la República, Nicolás Maduro, recibió este lunes en el Palacio de Miraflores a representantes de la estatal petrolera española Repsol.</t>
  </si>
  <si>
    <t>President Maduro meets with Repsol executives to strengthen energy agreements</t>
  </si>
  <si>
    <t>The President of the Republic, Nicolás Maduro, received representatives of the Spanish state oil company Repsol this Monday at the Miraflores Palace.</t>
  </si>
  <si>
    <t>Slightly positive sentiment, reflecting diplomatic and business alignment.</t>
  </si>
  <si>
    <t>fortalecer acuerdos</t>
  </si>
  <si>
    <t>Positive: Strategic partnership.</t>
  </si>
  <si>
    <t>Positivo: Asociación estratégica.</t>
  </si>
  <si>
    <r>
      <rPr>
        <rFont val="Arial, sans-serif"/>
        <color rgb="FF1155CC"/>
        <sz val="9.0"/>
        <u/>
      </rPr>
      <t>Últimas Noticias</t>
    </r>
    <r>
      <rPr>
        <rFont val="Arial, sans-serif"/>
        <color rgb="FF1155CC"/>
        <sz val="15.0"/>
        <u/>
      </rPr>
      <t>Pdvsa y Repsol revisan acuerdos de cooperación energética</t>
    </r>
    <r>
      <rPr>
        <rFont val="Arial, sans-serif"/>
        <color rgb="FF1155CC"/>
        <sz val="11.0"/>
        <u/>
      </rPr>
      <t>El presidente Nicolás Maduro recibió en el Palacio de Miraflores a representantes de la estatal petrolera española Repsol.</t>
    </r>
    <r>
      <rPr>
        <rFont val="Arial, sans-serif"/>
        <color rgb="FF1155CC"/>
        <sz val="12.0"/>
        <u/>
      </rPr>
      <t>.</t>
    </r>
    <r>
      <rPr>
        <rFont val="Arial, sans-serif"/>
        <color rgb="FF1155CC"/>
        <sz val="11.0"/>
        <u/>
      </rPr>
      <t>23 sept 2024</t>
    </r>
  </si>
  <si>
    <t>Pdvsa y Repsol revisan acuerdos de cooperación energética</t>
  </si>
  <si>
    <t>El presidente Nicolás Maduro recibió en el Palacio de Miraflores a representantes de la estatal petrolera española Repsol.</t>
  </si>
  <si>
    <t>PDVSA and Repsol review energy cooperation agreements</t>
  </si>
  <si>
    <t>President Nicolás Maduro received representatives of the Spanish state oil company Repsol at the Miraflores Palace.</t>
  </si>
  <si>
    <t>Slightly positive sentiment, continuing the theme of business discussions.</t>
  </si>
  <si>
    <t>revisan acuerdos</t>
  </si>
  <si>
    <t>Positive: Ongoing collaboration.</t>
  </si>
  <si>
    <t>Positivo: Colaboración continua.</t>
  </si>
  <si>
    <r>
      <rPr>
        <rFont val="Arial, sans-serif"/>
        <color rgb="FF1155CC"/>
        <sz val="9.0"/>
        <u/>
      </rPr>
      <t>Diario Primicia</t>
    </r>
    <r>
      <rPr>
        <rFont val="Arial, sans-serif"/>
        <color rgb="FF1155CC"/>
        <sz val="15.0"/>
        <u/>
      </rPr>
      <t>Maduro se reunió con representantes de Repsol en busca de nuevas alianzas</t>
    </r>
    <r>
      <rPr>
        <rFont val="Arial, sans-serif"/>
        <color rgb="FF1155CC"/>
        <sz val="11.0"/>
        <u/>
      </rPr>
      <t>El presidente de la República, Nicolás Maduro, tuvo un encuentro con autoridades de Repsol con la finalidad de avanzar en la firma de nuevos acuerdos.</t>
    </r>
    <r>
      <rPr>
        <rFont val="Arial, sans-serif"/>
        <color rgb="FF1155CC"/>
        <sz val="12.0"/>
        <u/>
      </rPr>
      <t>.</t>
    </r>
    <r>
      <rPr>
        <rFont val="Arial, sans-serif"/>
        <color rgb="FF1155CC"/>
        <sz val="11.0"/>
        <u/>
      </rPr>
      <t>23 sept 2024</t>
    </r>
  </si>
  <si>
    <t>Maduro se reunió con representantes de Repsol en busca de nuevas alianzas</t>
  </si>
  <si>
    <t>El presidente de la República, Nicolás Maduro, tuvo un encuentro con autoridades de Repsol con la finalidad de avanzar en la firma de nuevos acuerdos.</t>
  </si>
  <si>
    <t>Maduro met with Repsol representatives in search of new alliances</t>
  </si>
  <si>
    <t>The President of the Republic, Nicolás Maduro, had a meeting with Repsol authorities in order to advance the signing of new agreements.</t>
  </si>
  <si>
    <t>Slightly positive sentiment, emphasizing active engagement in energy projects.</t>
  </si>
  <si>
    <t>nuevas alianzas</t>
  </si>
  <si>
    <t>Positive: Partnership potential.</t>
  </si>
  <si>
    <t>Positivo: potencial de asociación.</t>
  </si>
  <si>
    <r>
      <rPr>
        <rFont val="Arial, sans-serif"/>
        <color rgb="FF1155CC"/>
        <sz val="9.0"/>
        <u/>
      </rPr>
      <t>MUNDIARIO</t>
    </r>
    <r>
      <rPr>
        <rFont val="Arial, sans-serif"/>
        <color rgb="FF1155CC"/>
        <sz val="15.0"/>
        <u/>
      </rPr>
      <t>Venezuela y Repsol mantienen su alianza a pesar de la tensión diplomática</t>
    </r>
    <r>
      <rPr>
        <rFont val="Arial, sans-serif"/>
        <color rgb="FF1155CC"/>
        <sz val="11.0"/>
        <u/>
      </rPr>
      <t>La petrolera española, en colaboración con PDVSA, continúa con sus proyectos en el país sudamericano, vitales para la recuperación de la producción ene...</t>
    </r>
    <r>
      <rPr>
        <rFont val="Arial, sans-serif"/>
        <color rgb="FF1155CC"/>
        <sz val="12.0"/>
        <u/>
      </rPr>
      <t>.</t>
    </r>
    <r>
      <rPr>
        <rFont val="Arial, sans-serif"/>
        <color rgb="FF1155CC"/>
        <sz val="11.0"/>
        <u/>
      </rPr>
      <t>23 sept 2024</t>
    </r>
  </si>
  <si>
    <t>MUNDIARIO</t>
  </si>
  <si>
    <t>Venezuela y Repsol mantienen su alianza a pesar de la tensión diplomática</t>
  </si>
  <si>
    <t>La petrolera española, en colaboración con PDVSA, continúa con sus proyectos en el país sudamericano, vitales para la recuperación de la producción ene....</t>
  </si>
  <si>
    <t>Venezuela and Repsol maintain their alliance despite diplomatic tension</t>
  </si>
  <si>
    <t>The Spanish oil company, in collaboration with PDVSA, continues with its projects in the South American country, vital for the recovery of energy production....</t>
  </si>
  <si>
    <t>Slightly positive sentiment, highlighting stability in business relations.</t>
  </si>
  <si>
    <t>mantienen, alianza</t>
  </si>
  <si>
    <t>Positive for maintaining business relations despite political tensions.</t>
  </si>
  <si>
    <t>Positivo para mantener las relaciones comerciales a pesar de las tensiones políticas.</t>
  </si>
  <si>
    <r>
      <rPr>
        <rFont val="Arial, sans-serif"/>
        <color rgb="FF1155CC"/>
        <sz val="9.0"/>
        <u/>
      </rPr>
      <t>Fundación Repsol</t>
    </r>
    <r>
      <rPr>
        <rFont val="Arial, sans-serif"/>
        <color rgb="FF1155CC"/>
        <sz val="15.0"/>
        <u/>
      </rPr>
      <t>Siete nuevas startups para el Fondo de Emprendedores</t>
    </r>
    <r>
      <rPr>
        <rFont val="Arial, sans-serif"/>
        <color rgb="FF1155CC"/>
        <sz val="11.0"/>
        <u/>
      </rPr>
      <t>Fundación Repsol ha presentado hoy las siete startups seleccionadas en la decimotercera convocatoria internacional de su aceleradora empresarial.</t>
    </r>
    <r>
      <rPr>
        <rFont val="Arial, sans-serif"/>
        <color rgb="FF1155CC"/>
        <sz val="12.0"/>
        <u/>
      </rPr>
      <t>.</t>
    </r>
    <r>
      <rPr>
        <rFont val="Arial, sans-serif"/>
        <color rgb="FF1155CC"/>
        <sz val="11.0"/>
        <u/>
      </rPr>
      <t>24 sept 2024</t>
    </r>
  </si>
  <si>
    <t>Siete nuevas startups para el Fondo de Emprendedores</t>
  </si>
  <si>
    <t>Fundación Repsol ha presentado hoy las siete startups seleccionadas en la decimotercera convocatoria internacional de su aceleradora empresarial.</t>
  </si>
  <si>
    <t>Seven new startups for the Entrepreneurs Fund</t>
  </si>
  <si>
    <t>Today, Fundación Repsol presented the seven startups selected in the thirteenth international call for its business accelerator.</t>
  </si>
  <si>
    <r>
      <rPr>
        <rFont val="Arial, sans-serif"/>
        <color rgb="FF1155CC"/>
        <sz val="9.0"/>
        <u/>
      </rPr>
      <t>El Blog de Self Bank</t>
    </r>
    <r>
      <rPr>
        <rFont val="Arial, sans-serif"/>
        <color rgb="FF1155CC"/>
        <sz val="15.0"/>
        <u/>
      </rPr>
      <t>Repsol: Las fuertes caídas de los últimos meses disparan la rentabilidad por dividendo</t>
    </r>
    <r>
      <rPr>
        <rFont val="Arial, sans-serif"/>
        <color rgb="FF1155CC"/>
        <sz val="11.0"/>
        <u/>
      </rPr>
      <t>REPSOL (BME; REP; ES0173516115) es una multinacional energética y petroquímica española, con sede social en Madrid, que fue fundada en 1987.</t>
    </r>
    <r>
      <rPr>
        <rFont val="Arial, sans-serif"/>
        <color rgb="FF1155CC"/>
        <sz val="12.0"/>
        <u/>
      </rPr>
      <t>.</t>
    </r>
    <r>
      <rPr>
        <rFont val="Arial, sans-serif"/>
        <color rgb="FF1155CC"/>
        <sz val="11.0"/>
        <u/>
      </rPr>
      <t>24 sept 2024</t>
    </r>
  </si>
  <si>
    <t>Repsol: Las fuertes caídas de los últimos meses disparan la rentabilidad por dividendo</t>
  </si>
  <si>
    <t>REPSOL (BME; REP; ES0173516115) es una multinacional energética y petroquímica española, con sede social en Madrid, que fue fundada en 1987.</t>
  </si>
  <si>
    <t>Repsol: The sharp falls in recent months have triggered dividend yields</t>
  </si>
  <si>
    <t>REPSOL (BME; REP; ES0173516115) is a Spanish energy and petrochemical multinational, with headquarters in Madrid, which was founded in 1987.</t>
  </si>
  <si>
    <t>Neutral to slightly positive sentiment, highlighting dividend adjustments amid stock fluctuations.</t>
  </si>
  <si>
    <t>Negative due to financial decline, though dividend focus mitigates.</t>
  </si>
  <si>
    <t>Negativo por la caída financiera, aunque el foco en dividendos lo mitiga.</t>
  </si>
  <si>
    <r>
      <rPr>
        <rFont val="Arial, sans-serif"/>
        <color rgb="FF1155CC"/>
        <sz val="9.0"/>
        <u/>
      </rPr>
      <t>Estrategias de Inversión</t>
    </r>
    <r>
      <rPr>
        <rFont val="Arial, sans-serif"/>
        <color rgb="FF1155CC"/>
        <sz val="15.0"/>
        <u/>
      </rPr>
      <t>Los analistas rebajan en bloque las perspectivas de la petrolera Repsol</t>
    </r>
    <r>
      <rPr>
        <rFont val="Arial, sans-serif"/>
        <color rgb="FF1155CC"/>
        <sz val="11.0"/>
        <u/>
      </rPr>
      <t>Los analistas rebajan en bloque las perspectivas de la petrolera Repsol. Recomendaciones de los analistas sobre Repsol y precio objetivo del valor revisado...</t>
    </r>
    <r>
      <rPr>
        <rFont val="Arial, sans-serif"/>
        <color rgb="FF1155CC"/>
        <sz val="12.0"/>
        <u/>
      </rPr>
      <t>.</t>
    </r>
    <r>
      <rPr>
        <rFont val="Arial, sans-serif"/>
        <color rgb="FF1155CC"/>
        <sz val="11.0"/>
        <u/>
      </rPr>
      <t>24 sept 2024</t>
    </r>
  </si>
  <si>
    <t>Los analistas rebajan en bloque las perspectivas de la petrolera Repsol.</t>
  </si>
  <si>
    <t>Los analistas rebajan en bloque las perspectivas de la petrolera Repsol. Recomendaciones de los analistas sobre Repsol y precio objetivo del valor revisado.</t>
  </si>
  <si>
    <t>Analysts en bloc lower the prospects of the oil company Repsol.</t>
  </si>
  <si>
    <t>Analysts en bloc lower the prospects of the oil company Repsol. Analyst recommendations on Repsol and target price of the revised stock.</t>
  </si>
  <si>
    <t>Negative sentiment, as it reflects declining market confidence.</t>
  </si>
  <si>
    <t>rebajan</t>
  </si>
  <si>
    <t>Strongly negative due to widespread analyst downgrades.</t>
  </si>
  <si>
    <t>Fuertemente negativo debido a las rebajas generalizadas de las calificaciones de los analistas.</t>
  </si>
  <si>
    <r>
      <rPr>
        <rFont val="Arial, sans-serif"/>
        <color rgb="FF1155CC"/>
        <sz val="9.0"/>
        <u/>
      </rPr>
      <t>Finanzas.com</t>
    </r>
    <r>
      <rPr>
        <rFont val="Arial, sans-serif"/>
        <color rgb="FF1155CC"/>
        <sz val="15.0"/>
        <u/>
      </rPr>
      <t>Repsol flirtea con los mínimos anuales tras la llegada del primer bajista en dos años</t>
    </r>
    <r>
      <rPr>
        <rFont val="Arial, sans-serif"/>
        <color rgb="FF1155CC"/>
        <sz val="11.0"/>
        <u/>
      </rPr>
      <t>Repsol se aferra a los mínimos del año tras la entrada del primer fondo bajista en más de dos años. Los inversores están posicionados muy agresivamente...</t>
    </r>
    <r>
      <rPr>
        <rFont val="Arial, sans-serif"/>
        <color rgb="FF1155CC"/>
        <sz val="12.0"/>
        <u/>
      </rPr>
      <t>.</t>
    </r>
    <r>
      <rPr>
        <rFont val="Arial, sans-serif"/>
        <color rgb="FF1155CC"/>
        <sz val="11.0"/>
        <u/>
      </rPr>
      <t>24 sept 2024</t>
    </r>
  </si>
  <si>
    <t>Repsol flirtea con los mínimos anuales tras la llegada del primer bajista en dos años</t>
  </si>
  <si>
    <t>Repsol se aferra a los mínimos del año tras la entrada del primer fondo bajista en más de dos años. Los inversores están posicionados muy agresivamente....</t>
  </si>
  <si>
    <t>Repsol flirts with annual lows after the arrival of the first bassist in two years</t>
  </si>
  <si>
    <t>Repsol clings to the lows of the year after the entry of the first bearish bottom in more than two years. Investors are positioned very aggressively....</t>
  </si>
  <si>
    <t>Repsol stock market, investment risks</t>
  </si>
  <si>
    <t>Bolsa Repsol, Riesgos de la inversión</t>
  </si>
  <si>
    <t>Negative sentiment, indicating financial struggles and bearish investor positioning.</t>
  </si>
  <si>
    <t>mínimos, bajista</t>
  </si>
  <si>
    <t>Negative for stock performance and bearish sentiment.</t>
  </si>
  <si>
    <t>Negativo para el rendimiento de las acciones y el sentimiento bajista.</t>
  </si>
  <si>
    <r>
      <rPr>
        <rFont val="Arial, sans-serif"/>
        <color rgb="FF1155CC"/>
        <sz val="9.0"/>
        <u/>
      </rPr>
      <t>CapitalMadrid</t>
    </r>
    <r>
      <rPr>
        <rFont val="Arial, sans-serif"/>
        <color rgb="FF1155CC"/>
        <sz val="15.0"/>
        <u/>
      </rPr>
      <t>Repsol mantendrá su política de dividendos pese a la caída del crudo y el margen de refino</t>
    </r>
    <r>
      <rPr>
        <rFont val="Arial, sans-serif"/>
        <color rgb="FF1155CC"/>
        <sz val="11.0"/>
        <u/>
      </rPr>
      <t>Repsol mantendrá invariable su política de dividendos al margen de lo que pueda ocurrir con el precio del petróleo, actualmente a la baja, y de la política...</t>
    </r>
    <r>
      <rPr>
        <rFont val="Arial, sans-serif"/>
        <color rgb="FF1155CC"/>
        <sz val="12.0"/>
        <u/>
      </rPr>
      <t>.</t>
    </r>
    <r>
      <rPr>
        <rFont val="Arial, sans-serif"/>
        <color rgb="FF1155CC"/>
        <sz val="11.0"/>
        <u/>
      </rPr>
      <t>24 sept 2024</t>
    </r>
  </si>
  <si>
    <t>Repsol mantendrá su política de dividendos pese a la caída del crudo y el margen de refino</t>
  </si>
  <si>
    <t>Repsol mantendrá invariable su política de dividendos al margen de lo que pueda ocurrir con el precio del petróleo, actualmente a la baja, y de la política....</t>
  </si>
  <si>
    <t>Repsol will maintain its dividend policy despite the fall in crude oil and the refining margin</t>
  </si>
  <si>
    <t>Repsol will maintain its dividend policy unchanged regardless of what may happen with the price of oil, currently falling, and politics....</t>
  </si>
  <si>
    <t>Repsol stock market, investment strategy</t>
  </si>
  <si>
    <t>Bolsa Repsol, estrategia de inversión</t>
  </si>
  <si>
    <t>Slightly positive sentiment, as it reassures investors about financial stability.</t>
  </si>
  <si>
    <t>mantendrá</t>
  </si>
  <si>
    <t>Positive for dividend stability despite sector challenges.</t>
  </si>
  <si>
    <t>Positivo para la estabilidad de los dividendos a pesar de los desafíos del sector.</t>
  </si>
  <si>
    <r>
      <rPr>
        <rFont val="Arial, sans-serif"/>
        <color rgb="FF1155CC"/>
        <sz val="9.0"/>
        <u/>
      </rPr>
      <t>Benzinga España</t>
    </r>
    <r>
      <rPr>
        <rFont val="Arial, sans-serif"/>
        <color rgb="FF1155CC"/>
        <sz val="15.0"/>
        <u/>
      </rPr>
      <t>Acciones de Repsol bajo presión: análisis de la tendencia bajista</t>
    </r>
    <r>
      <rPr>
        <rFont val="Arial, sans-serif"/>
        <color rgb="FF1155CC"/>
        <sz val="11.0"/>
        <u/>
      </rPr>
      <t>Repsol enfrenta recortes de valoración de analistas y niveles de soporte clave. ¿Podrán sus acciones superar el desafío o caerán más?</t>
    </r>
    <r>
      <rPr>
        <rFont val="Arial, sans-serif"/>
        <color rgb="FF1155CC"/>
        <sz val="12.0"/>
        <u/>
      </rPr>
      <t>.</t>
    </r>
    <r>
      <rPr>
        <rFont val="Arial, sans-serif"/>
        <color rgb="FF1155CC"/>
        <sz val="11.0"/>
        <u/>
      </rPr>
      <t>24 sept 2024</t>
    </r>
  </si>
  <si>
    <t>Acciones de Repsol bajo presión: análisis de la tendencia bajista</t>
  </si>
  <si>
    <t>Repsol enfrenta recortes de valoración de analistas y niveles de soporte clave. ¿Podrán sus acciones superar el desafío o caerán más?</t>
  </si>
  <si>
    <t>Repsol shares under pressure: analysis of the bearish trend</t>
  </si>
  <si>
    <t>Repsol faces analyst valuation cuts and key support levels. Will their stocks rise to the challenge or will they fall further?</t>
  </si>
  <si>
    <t>Negative sentiment, as it highlights stock market pressure and uncertainty.</t>
  </si>
  <si>
    <t>presión, bajista</t>
  </si>
  <si>
    <t>Negative for downward stock trend.</t>
  </si>
  <si>
    <t>Negativo para la tendencia a la baja de las acciones.</t>
  </si>
  <si>
    <r>
      <rPr>
        <rFont val="Arial, sans-serif"/>
        <color rgb="FF1155CC"/>
        <sz val="9.0"/>
        <u/>
      </rPr>
      <t>Bolsamania</t>
    </r>
    <r>
      <rPr>
        <rFont val="Arial, sans-serif"/>
        <color rgb="FF1155CC"/>
        <sz val="15.0"/>
        <u/>
      </rPr>
      <t>JP Morgan recorta Repsol a 'neutral' y baja su precio objetivo a 14 euros</t>
    </r>
    <r>
      <rPr>
        <rFont val="Arial, sans-serif"/>
        <color rgb="FF1155CC"/>
        <sz val="11.0"/>
        <u/>
      </rPr>
      <t>Los expertos de JP Morgan han recortado este martes su consejo sobre Repsol hasta 'neutral' desde 'sobreponderar', y han reducido su precio objetivo a 14...</t>
    </r>
    <r>
      <rPr>
        <rFont val="Arial, sans-serif"/>
        <color rgb="FF1155CC"/>
        <sz val="12.0"/>
        <u/>
      </rPr>
      <t>.</t>
    </r>
    <r>
      <rPr>
        <rFont val="Arial, sans-serif"/>
        <color rgb="FF1155CC"/>
        <sz val="11.0"/>
        <u/>
      </rPr>
      <t>24 sept 2024</t>
    </r>
  </si>
  <si>
    <t>JP Morgan recorta Repsol a 'neutral' y baja su precio objetivo a 14 euros</t>
  </si>
  <si>
    <t>Los expertos de JP Morgan han recortado este martes su consejo sobre Repsol hasta 'neutral' desde 'sobreponderar', y han reducido su precio objetivo a 14....</t>
  </si>
  <si>
    <t>JP Morgan cuts Repsol to 'neutral' and lowers its target price to 14 euros</t>
  </si>
  <si>
    <t>JP Morgan experts this Tuesday cut their advice on Repsol to 'neutral' from 'overweight', and have reduced their price target to 14....</t>
  </si>
  <si>
    <t>Negative sentiment, as it signals lower expectations from major financial institutions.</t>
  </si>
  <si>
    <t>recorta, baja</t>
  </si>
  <si>
    <t>Negative due to downgrade and reduced price target.</t>
  </si>
  <si>
    <t>Negativo debido a la rebaja y reducción del precio objetivo.</t>
  </si>
  <si>
    <r>
      <rPr>
        <rFont val="Arial, sans-serif"/>
        <color rgb="FF1155CC"/>
        <sz val="9.0"/>
        <u/>
      </rPr>
      <t>La Provincia</t>
    </r>
    <r>
      <rPr>
        <rFont val="Arial, sans-serif"/>
        <color rgb="FF1155CC"/>
        <sz val="15.0"/>
        <u/>
      </rPr>
      <t>Repsol ha sido víctima de un ciberataque que expone datos de sus clientes: así debes actuar</t>
    </r>
    <r>
      <rPr>
        <rFont val="Arial, sans-serif"/>
        <color rgb="FF1155CC"/>
        <sz val="11.0"/>
        <u/>
      </rPr>
      <t>La empresa energética Repsol ha sido víctima de un ciberataque que ha comprometido los datos de sus clientes de gas y electricidad. El incidente, que se...</t>
    </r>
    <r>
      <rPr>
        <rFont val="Arial, sans-serif"/>
        <color rgb="FF1155CC"/>
        <sz val="12.0"/>
        <u/>
      </rPr>
      <t>.</t>
    </r>
    <r>
      <rPr>
        <rFont val="Arial, sans-serif"/>
        <color rgb="FF1155CC"/>
        <sz val="11.0"/>
        <u/>
      </rPr>
      <t>24 sept 2024</t>
    </r>
  </si>
  <si>
    <t>Repsol ha sido víctima de un ciberataque que expone datos de sus clientes: así debes actuar</t>
  </si>
  <si>
    <t>La empresa energética Repsol ha sido víctima de un ciberataque que ha comprometido los datos de sus clientes de gas y electricidad. El incidente, que se....</t>
  </si>
  <si>
    <t>Repsol has been the victim of a cyber attack that exposes its clients' data: this is how you should act</t>
  </si>
  <si>
    <t>The energy company Repsol has been the victim of a cyber attack that has compromised the data of its gas and electricity customers. The incident, which is...</t>
  </si>
  <si>
    <t>Strong negative sentiment, as it deals with a security breach affecting customers.</t>
  </si>
  <si>
    <t>ciberataque, expone</t>
  </si>
  <si>
    <t>Strongly negative for cybersecurity breach and customer data risk.</t>
  </si>
  <si>
    <t>Fuertemente negativo para la violación de la ciberseguridad y el riesgo de datos de los clientes.</t>
  </si>
  <si>
    <r>
      <rPr>
        <rFont val="Arial, sans-serif"/>
        <color rgb="FF1155CC"/>
        <sz val="9.0"/>
        <u/>
      </rPr>
      <t>Guía Repsol</t>
    </r>
    <r>
      <rPr>
        <rFont val="Arial, sans-serif"/>
        <color rgb="FF1155CC"/>
        <sz val="15.0"/>
        <u/>
      </rPr>
      <t>Casa Sirfantas: alojamiento en plena judería de Córdoba</t>
    </r>
    <r>
      <rPr>
        <rFont val="Arial, sans-serif"/>
        <color rgb="FF1155CC"/>
        <sz val="11.0"/>
        <u/>
      </rPr>
      <t>Y es que, aunque Cervantes no era cordobés, la cercana y literaria Plaza del Potro (de 1577), a tiro de piedra de este encantador alojamiento en calle...</t>
    </r>
    <r>
      <rPr>
        <rFont val="Arial, sans-serif"/>
        <color rgb="FF1155CC"/>
        <sz val="12.0"/>
        <u/>
      </rPr>
      <t>.</t>
    </r>
    <r>
      <rPr>
        <rFont val="Arial, sans-serif"/>
        <color rgb="FF1155CC"/>
        <sz val="11.0"/>
        <u/>
      </rPr>
      <t>24 sept 2024</t>
    </r>
  </si>
  <si>
    <t>Casa Sirfantas: alojamiento en plena judería de Córdoba</t>
  </si>
  <si>
    <t>Y es que, aunque Cervantes no era cordobés, la cercana y literaria Plaza del Potro (de 1577), a tiro de piedra de este encantador alojamiento en calle....</t>
  </si>
  <si>
    <t>Casa Sirfantas: accommodation in the heart of the Jewish quarter of Córdoba</t>
  </si>
  <si>
    <t>And, although Cervantes was not from Córdoba, the nearby and literary Plaza del Potro (from 1577), a stone's throw from this charming street accommodation...</t>
  </si>
  <si>
    <r>
      <rPr>
        <rFont val="Arial, sans-serif"/>
        <color rgb="FF1155CC"/>
        <sz val="9.0"/>
        <u/>
      </rPr>
      <t>El Confidencial</t>
    </r>
    <r>
      <rPr>
        <rFont val="Arial, sans-serif"/>
        <color rgb="FF1155CC"/>
        <sz val="15.0"/>
        <u/>
      </rPr>
      <t>Repsol se reúne de nuevo con el equipo de Maduro en plena tensión entre España y Venezuela</t>
    </r>
    <r>
      <rPr>
        <rFont val="Arial, sans-serif"/>
        <color rgb="FF1155CC"/>
        <sz val="11.0"/>
        <u/>
      </rPr>
      <t>Repsol se reúne por segunda vez en diez días con el Gobierno que lidera Nicolás Maduro en plena tensión entre España y Venezuela.</t>
    </r>
    <r>
      <rPr>
        <rFont val="Arial, sans-serif"/>
        <color rgb="FF1155CC"/>
        <sz val="12.0"/>
        <u/>
      </rPr>
      <t>.</t>
    </r>
    <r>
      <rPr>
        <rFont val="Arial, sans-serif"/>
        <color rgb="FF1155CC"/>
        <sz val="11.0"/>
        <u/>
      </rPr>
      <t>24 sept 2024</t>
    </r>
  </si>
  <si>
    <t>Repsol se reúne de nuevo con el equipo de Maduro en plena tensión entre España y Venezuela</t>
  </si>
  <si>
    <t>Repsol se reúne por segunda vez en diez días con el Gobierno que lidera Nicolás Maduro en plena tensión entre España y Venezuela.</t>
  </si>
  <si>
    <t>Repsol meets again with Maduro's team in full tension between Spain and Venezuela</t>
  </si>
  <si>
    <t>Repsol meets for the second time in ten days with the Government led by Nicolás Maduro in the midst of tension between Spain and Venezuela.</t>
  </si>
  <si>
    <t>Slightly positive sentiment, indicating ongoing diplomatic and business discussions.</t>
  </si>
  <si>
    <r>
      <rPr>
        <rFont val="Arial, sans-serif"/>
        <color rgb="FF1155CC"/>
        <sz val="9.0"/>
        <u/>
      </rPr>
      <t>Confilegal</t>
    </r>
    <r>
      <rPr>
        <rFont val="Arial, sans-serif"/>
        <color rgb="FF1155CC"/>
        <sz val="15.0"/>
        <u/>
      </rPr>
      <t>Clifford Chance asesora a Grenergy en la compra a Repsol e Ibereólica de un portfolio solar en Chile de 1.000...</t>
    </r>
    <r>
      <rPr>
        <rFont val="Arial, sans-serif"/>
        <color rgb="FF1155CC"/>
        <sz val="11.0"/>
        <u/>
      </rPr>
      <t>Clifford Chance asesora a Grenergy en la compra a Repsol e Ibereólica de un portfolio solar en Chile de 1.000 MW.</t>
    </r>
    <r>
      <rPr>
        <rFont val="Arial, sans-serif"/>
        <color rgb="FF1155CC"/>
        <sz val="12.0"/>
        <u/>
      </rPr>
      <t>.</t>
    </r>
    <r>
      <rPr>
        <rFont val="Arial, sans-serif"/>
        <color rgb="FF1155CC"/>
        <sz val="11.0"/>
        <u/>
      </rPr>
      <t>24 sept 2024</t>
    </r>
  </si>
  <si>
    <t>Clifford Chance asesora a Grenergy en la compra a Repsol e Ibereólica de un portfolio solar en Chile de 1.000 MW.</t>
  </si>
  <si>
    <t>Clifford Chance advises Grenergy on the purchase from Repsol and Ibereólica of a 1,000 MW solar portfolio in Chile.</t>
  </si>
  <si>
    <t>Positive sentiment, highlighting a major renewable energy deal.</t>
  </si>
  <si>
    <t>Neutral; legal transaction unrelated to sentiment.</t>
  </si>
  <si>
    <t>Neutral; transacción legal no relacionada con el sentimiento.</t>
  </si>
  <si>
    <r>
      <rPr>
        <rFont val="Arial, sans-serif"/>
        <color rgb="FF1155CC"/>
        <sz val="9.0"/>
        <u/>
      </rPr>
      <t>Diario Red</t>
    </r>
    <r>
      <rPr>
        <rFont val="Arial, sans-serif"/>
        <color rgb="FF1155CC"/>
        <sz val="15.0"/>
        <u/>
      </rPr>
      <t>Cómo Repsol se enriquece con las sanciones a Venezuela</t>
    </r>
    <r>
      <rPr>
        <rFont val="Arial, sans-serif"/>
        <color rgb="FF1155CC"/>
        <sz val="11.0"/>
        <u/>
      </rPr>
      <t>Ni a Antonio Brufau, presidente de Repsol, ni a Josu Imaz, su CEO, les importó mucho lo que dijeran de Nicolás Maduro porque la trasnacional es una de las .</t>
    </r>
    <r>
      <rPr>
        <rFont val="Arial, sans-serif"/>
        <color rgb="FF1155CC"/>
        <sz val="12.0"/>
        <u/>
      </rPr>
      <t>.</t>
    </r>
    <r>
      <rPr>
        <rFont val="Arial, sans-serif"/>
        <color rgb="FF1155CC"/>
        <sz val="11.0"/>
        <u/>
      </rPr>
      <t>24 sept 2024</t>
    </r>
  </si>
  <si>
    <t>Diario Red</t>
  </si>
  <si>
    <t>Cómo Repsol se enriquece con las sanciones a Venezuela</t>
  </si>
  <si>
    <t>Cómo Repsol se enriquece con las sanciones a Venezuela. Ni a Antonio Brufau, presidente de Repsol, ni a Josu Imaz, su CEO, les importó mucho lo que dijeran de Nicolás Maduro porque la trasnacional es una de las ..</t>
  </si>
  <si>
    <t>How Repsol enriches itself with the sanctions against Venezuela</t>
  </si>
  <si>
    <t>How Repsol enriches itself with the sanctions against Venezuela. Neither Antonio Brufau, president of Repsol, nor Josu Imaz, its CEO, cared much about what they said about Nicolás Maduro because the transnational is one of the...</t>
  </si>
  <si>
    <t>Repsol business strategy, geopolitical risks</t>
  </si>
  <si>
    <t>Estrategia de negocio de Repsol, riesgos geopolíticos</t>
  </si>
  <si>
    <t>Negative sentiment, portraying Repsol as benefiting from geopolitical conflicts.</t>
  </si>
  <si>
    <t>enriquece</t>
  </si>
  <si>
    <t>Negative for profiting from geopolitical sanctions.</t>
  </si>
  <si>
    <t>Negativo por beneficiarse de las sanciones geopolíticas.</t>
  </si>
  <si>
    <r>
      <rPr>
        <rFont val="Arial, sans-serif"/>
        <color rgb="FF1155CC"/>
        <sz val="9.0"/>
        <u/>
      </rPr>
      <t>Crónica Vasca</t>
    </r>
    <r>
      <rPr>
        <rFont val="Arial, sans-serif"/>
        <color rgb="FF1155CC"/>
        <sz val="15.0"/>
        <u/>
      </rPr>
      <t>Petronor compra más de dos tercios del petróleo a países americanos tras el veto a Rusia</t>
    </r>
    <r>
      <rPr>
        <rFont val="Arial, sans-serif"/>
        <color rgb="FF1155CC"/>
        <sz val="11.0"/>
        <u/>
      </rPr>
      <t>La importación de crudo de la refinería de Repsol crece un 9% en lo que va de año y apunta a un nuevo máximo desde 2018.</t>
    </r>
    <r>
      <rPr>
        <rFont val="Arial, sans-serif"/>
        <color rgb="FF1155CC"/>
        <sz val="12.0"/>
        <u/>
      </rPr>
      <t>.</t>
    </r>
    <r>
      <rPr>
        <rFont val="Arial, sans-serif"/>
        <color rgb="FF1155CC"/>
        <sz val="11.0"/>
        <u/>
      </rPr>
      <t>24 sept 2024</t>
    </r>
  </si>
  <si>
    <t>Petronor compra más de dos tercios del petróleo a países americanos tras el veto a Rusia</t>
  </si>
  <si>
    <t>La importación de crudo de la refinería de Repsol crece un 9% en lo que va de año y apunta a un nuevo máximo desde 2018.</t>
  </si>
  <si>
    <t>Petronor buys more than two thirds of the oil from American countries after the veto of Russia</t>
  </si>
  <si>
    <t>Crude oil imports from the Repsol refinery have grown by 9% so far this year and are aiming for a new high since 2018.</t>
  </si>
  <si>
    <t>Positive sentiment, showcasing strategic oil sourcing.</t>
  </si>
  <si>
    <t>Neutral; supply chain adjustment.</t>
  </si>
  <si>
    <t>Neutral; ajuste de la cadena de suministro.</t>
  </si>
  <si>
    <r>
      <rPr>
        <rFont val="Arial, sans-serif"/>
        <color rgb="FF1155CC"/>
        <sz val="9.0"/>
        <u/>
      </rPr>
      <t>20Minutos</t>
    </r>
    <r>
      <rPr>
        <rFont val="Arial, sans-serif"/>
        <color rgb="FF1155CC"/>
        <sz val="15.0"/>
        <u/>
      </rPr>
      <t>La emiratí Masdar compra Saeta Yield y consolida su apuesta por las renovables en España</t>
    </r>
    <r>
      <rPr>
        <rFont val="Arial, sans-serif"/>
        <color rgb="FF1155CC"/>
        <sz val="11.0"/>
        <u/>
      </rPr>
      <t>Madar busca acelerar la transición energética en Península Ibérica y el resto de Europa, y con esta compra controlará una cartera de 538 MW de activos...</t>
    </r>
    <r>
      <rPr>
        <rFont val="Arial, sans-serif"/>
        <color rgb="FF1155CC"/>
        <sz val="12.0"/>
        <u/>
      </rPr>
      <t>.</t>
    </r>
    <r>
      <rPr>
        <rFont val="Arial, sans-serif"/>
        <color rgb="FF1155CC"/>
        <sz val="11.0"/>
        <u/>
      </rPr>
      <t>24 sept 2024</t>
    </r>
  </si>
  <si>
    <t>La emiratí Masdar compra Saeta Yield y consolida su apuesta por las renovables en España</t>
  </si>
  <si>
    <t>Madar busca acelerar la transición energética en Península Ibérica y el resto de Europa, y con esta compra controlará una cartera de 538 MW de activos.</t>
  </si>
  <si>
    <t>The Emirati Masdar buys Saeta Yield and consolidates its commitment to renewables in Spain</t>
  </si>
  <si>
    <t>Madar seeks to accelerate the energy transition in the Iberian Peninsula and the rest of Europe, and with this purchase it will control a portfolio of 538 MW of assets.</t>
  </si>
  <si>
    <r>
      <rPr>
        <rFont val="Arial, sans-serif"/>
        <color rgb="FF1155CC"/>
        <sz val="9.0"/>
        <u/>
      </rPr>
      <t>World Energy Trade -</t>
    </r>
    <r>
      <rPr>
        <rFont val="Arial, sans-serif"/>
        <color rgb="FF1155CC"/>
        <sz val="15.0"/>
        <u/>
      </rPr>
      <t>Venezuela y Repsol avanzan en «nuevos» acuerdos de cooperación energética -</t>
    </r>
    <r>
      <rPr>
        <rFont val="Arial, sans-serif"/>
        <color rgb="FF1155CC"/>
        <sz val="11.0"/>
        <u/>
      </rPr>
      <t>El Gobierno de Venezuela y Repsol buscan avanzar en "nuevos acuerdos de cooperación" energética, según informó el canal estatal VTV.</t>
    </r>
    <r>
      <rPr>
        <rFont val="Arial, sans-serif"/>
        <color rgb="FF1155CC"/>
        <sz val="12.0"/>
        <u/>
      </rPr>
      <t>.</t>
    </r>
    <r>
      <rPr>
        <rFont val="Arial, sans-serif"/>
        <color rgb="FF1155CC"/>
        <sz val="11.0"/>
        <u/>
      </rPr>
      <t>24 sept 2024</t>
    </r>
  </si>
  <si>
    <t>Venezuela y Repsol avanzan en «nuevos» acuerdos de cooperación energética</t>
  </si>
  <si>
    <t>El Gobierno de Venezuela y Repsol buscan avanzar en "nuevos acuerdos de cooperación" energética, según informó el canal estatal VTV.</t>
  </si>
  <si>
    <t>Venezuela and Repsol advance in "new" energy cooperation agreements</t>
  </si>
  <si>
    <t>The Government of Venezuela and Repsol seek to advance "new cooperation agreements" in energy, according to state channel VTV.</t>
  </si>
  <si>
    <t>Slightly positive sentiment, indicating continued collaboration.</t>
  </si>
  <si>
    <t>Positive for new energy partnerships.</t>
  </si>
  <si>
    <t>Positivo para nuevas asociaciones energéticas.</t>
  </si>
  <si>
    <r>
      <rPr>
        <rFont val="Arial, sans-serif"/>
        <color rgb="FF1155CC"/>
        <sz val="9.0"/>
        <u/>
      </rPr>
      <t>Autopos</t>
    </r>
    <r>
      <rPr>
        <rFont val="Arial, sans-serif"/>
        <color rgb="FF1155CC"/>
        <sz val="15.0"/>
        <u/>
      </rPr>
      <t>Europa impondrá multas de hasta 2.700 euros por coche a partir de 2025</t>
    </r>
    <r>
      <rPr>
        <rFont val="Arial, sans-serif"/>
        <color rgb="FF1155CC"/>
        <sz val="11.0"/>
        <u/>
      </rPr>
      <t>A partir de 2025, los fabricantes de coches deberán reducir sus emisiones de CO2 un 19%, enfrentando multas millonarias si superan los límites.</t>
    </r>
    <r>
      <rPr>
        <rFont val="Arial, sans-serif"/>
        <color rgb="FF1155CC"/>
        <sz val="12.0"/>
        <u/>
      </rPr>
      <t>.</t>
    </r>
    <r>
      <rPr>
        <rFont val="Arial, sans-serif"/>
        <color rgb="FF1155CC"/>
        <sz val="11.0"/>
        <u/>
      </rPr>
      <t>24 sept 2024</t>
    </r>
  </si>
  <si>
    <t>Europa impondrá multas de hasta 2.700 euros por coche a partir de 2025</t>
  </si>
  <si>
    <t>A partir de 2025, los fabricantes de coches deberán reducir sus emisiones de CO2 un 19%, enfrentando multas millonarias si superan los límites.</t>
  </si>
  <si>
    <t>Europe will impose fines of up to 2,700 euros per car from 2025</t>
  </si>
  <si>
    <t>Starting in 2025, car manufacturers must reduce their CO2 emissions by 19%, facing million-dollar fines if they exceed the limits.</t>
  </si>
  <si>
    <t>Regulatory</t>
  </si>
  <si>
    <r>
      <rPr>
        <rFont val="Arial, sans-serif"/>
        <color rgb="FF1155CC"/>
        <sz val="9.0"/>
        <u/>
      </rPr>
      <t>Bolsamania</t>
    </r>
    <r>
      <rPr>
        <rFont val="Arial, sans-serif"/>
        <color rgb="FF1155CC"/>
        <sz val="15.0"/>
        <u/>
      </rPr>
      <t>Repsol no levanta cabeza</t>
    </r>
    <r>
      <rPr>
        <rFont val="Arial, sans-serif"/>
        <color rgb="FF1155CC"/>
        <sz val="11.0"/>
        <u/>
      </rPr>
      <t>Repsol mantiene un complicado aspecto técnico en su serie diaria de precios.</t>
    </r>
    <r>
      <rPr>
        <rFont val="Arial, sans-serif"/>
        <color rgb="FF1155CC"/>
        <sz val="12.0"/>
        <u/>
      </rPr>
      <t>.</t>
    </r>
    <r>
      <rPr>
        <rFont val="Arial, sans-serif"/>
        <color rgb="FF1155CC"/>
        <sz val="11.0"/>
        <u/>
      </rPr>
      <t>24 sept 2024</t>
    </r>
  </si>
  <si>
    <t>Repsol no levanta cabeza</t>
  </si>
  <si>
    <t>Repsol mantiene un complicado aspecto técnico en su serie diaria de precios.</t>
  </si>
  <si>
    <t>Repsol does not raise its head</t>
  </si>
  <si>
    <t>Repsol maintains a complicated technical aspect in its daily price series.</t>
  </si>
  <si>
    <t>Negative sentiment, indicating continued struggles in Repsol’s stock performance.</t>
  </si>
  <si>
    <t>Negative for ongoing struggles.</t>
  </si>
  <si>
    <t>Negativo para las luchas en curso.</t>
  </si>
  <si>
    <r>
      <rPr>
        <rFont val="Arial, sans-serif"/>
        <color rgb="FF1155CC"/>
        <sz val="9.0"/>
        <u/>
      </rPr>
      <t>Guía Repsol</t>
    </r>
    <r>
      <rPr>
        <rFont val="Arial, sans-serif"/>
        <color rgb="FF1155CC"/>
        <sz val="15.0"/>
        <u/>
      </rPr>
      <t>Dónde comer en Cantabria bien y barato</t>
    </r>
    <r>
      <rPr>
        <rFont val="Arial, sans-serif"/>
        <color rgb="FF1155CC"/>
        <sz val="11.0"/>
        <u/>
      </rPr>
      <t>Descubre los mejores rincones gastronómicos de Cantabria recomendados por chefs. ¡Comida deliciosa y económica a tu alcance!</t>
    </r>
    <r>
      <rPr>
        <rFont val="Arial, sans-serif"/>
        <color rgb="FF1155CC"/>
        <sz val="12.0"/>
        <u/>
      </rPr>
      <t>.</t>
    </r>
    <r>
      <rPr>
        <rFont val="Arial, sans-serif"/>
        <color rgb="FF1155CC"/>
        <sz val="11.0"/>
        <u/>
      </rPr>
      <t>24 sept 2024</t>
    </r>
  </si>
  <si>
    <t>Dónde comer en Cantabria bien y barato</t>
  </si>
  <si>
    <t>Descubre los mejores rincones gastronómicos de Cantabria recomendados por chefs. ¡Comida deliciosa y económica a tu alcance!</t>
  </si>
  <si>
    <t>Where to eat well and cheaply in Cantabria</t>
  </si>
  <si>
    <t>Discover the best gastronomic corners of Cantabria recommended by chefs. Delicious and affordable food at your fingertips!</t>
  </si>
  <si>
    <r>
      <rPr>
        <rFont val="Arial, sans-serif"/>
        <color rgb="FF1155CC"/>
        <sz val="9.0"/>
        <u/>
      </rPr>
      <t>alimente.elconfidencial.com</t>
    </r>
    <r>
      <rPr>
        <rFont val="Arial, sans-serif"/>
        <color rgb="FF1155CC"/>
        <sz val="15.0"/>
        <u/>
      </rPr>
      <t>El restaurante de Granada ubicado en un palacete medieval: barato, con un sol Repsol y recomendado en la guía Michelin</t>
    </r>
    <r>
      <rPr>
        <rFont val="Arial, sans-serif"/>
        <color rgb="FF1155CC"/>
        <sz val="11.0"/>
        <u/>
      </rPr>
      <t>Este restaurante situado a la vera del río Genil, en la carretera de la Sierra, se ha hecho un hueco en los imprescindibles de la agenda gastronómica de...</t>
    </r>
    <r>
      <rPr>
        <rFont val="Arial, sans-serif"/>
        <color rgb="FF1155CC"/>
        <sz val="12.0"/>
        <u/>
      </rPr>
      <t>.</t>
    </r>
    <r>
      <rPr>
        <rFont val="Arial, sans-serif"/>
        <color rgb="FF1155CC"/>
        <sz val="11.0"/>
        <u/>
      </rPr>
      <t>24 sept 2024</t>
    </r>
  </si>
  <si>
    <t>El restaurante de Granada ubicado en un palacete medieval: barato, con un sol Repsol y recomendado en la guía Michelin</t>
  </si>
  <si>
    <t>Este restaurante situado a la vera del río Genil, en la carretera de la Sierra, se ha hecho un hueco en los imprescindibles de la agenda gastronómica de....</t>
  </si>
  <si>
    <t>The Granada restaurant located in a medieval palace: cheap, with a Repsol sun and recommended in the Michelin guide</t>
  </si>
  <si>
    <t>This restaurant located on the banks of the Genil River, on the Sierra highway, has made a place for itself among the essentials on the gastronomic agenda of....</t>
  </si>
  <si>
    <r>
      <rPr>
        <rFont val="Arial, sans-serif"/>
        <color rgb="FF1155CC"/>
        <sz val="9.0"/>
        <u/>
      </rPr>
      <t>Bolsamania</t>
    </r>
    <r>
      <rPr>
        <rFont val="Arial, sans-serif"/>
        <color rgb="FF1155CC"/>
        <sz val="15.0"/>
        <u/>
      </rPr>
      <t>Nuevos máximos anuales en el Ibex, que da un nuevo paso hacia los 12.000 puntos</t>
    </r>
    <r>
      <rPr>
        <rFont val="Arial, sans-serif"/>
        <color rgb="FF1155CC"/>
        <sz val="11.0"/>
        <u/>
      </rPr>
      <t>Nuevas subidas en el Ibex (+0,33%) que se mantiene cotizando por encima de los 11.800 puntos.</t>
    </r>
    <r>
      <rPr>
        <rFont val="Arial, sans-serif"/>
        <color rgb="FF1155CC"/>
        <sz val="12.0"/>
        <u/>
      </rPr>
      <t>.</t>
    </r>
    <r>
      <rPr>
        <rFont val="Arial, sans-serif"/>
        <color rgb="FF1155CC"/>
        <sz val="11.0"/>
        <u/>
      </rPr>
      <t>24 sept 2024</t>
    </r>
  </si>
  <si>
    <t>Nuevos máximos anuales en el Ibex, que da un nuevo paso hacia los 12.000 puntos</t>
  </si>
  <si>
    <t>Nuevas subidas en el Ibex (+0,33%) que se mantiene cotizando por encima de los 11.800 puntos.</t>
  </si>
  <si>
    <t>New annual highs in the Ibex, which takes a new step towards 12,000 points</t>
  </si>
  <si>
    <t>New increases in the Ibex (+0.33%) which remains trading above 11,800 points.</t>
  </si>
  <si>
    <r>
      <rPr>
        <rFont val="Arial, sans-serif"/>
        <color rgb="FF1155CC"/>
        <sz val="9.0"/>
        <u/>
      </rPr>
      <t>Oil &amp; Gas Magazine</t>
    </r>
    <r>
      <rPr>
        <rFont val="Arial, sans-serif"/>
        <color rgb="FF1155CC"/>
        <sz val="15.0"/>
        <u/>
      </rPr>
      <t>Repsol refuerza su participación en el Bloque 29 del Golfo de México con la compra de un 16.67% adicional</t>
    </r>
    <r>
      <rPr>
        <rFont val="Arial, sans-serif"/>
        <color rgb="FF1155CC"/>
        <sz val="11.0"/>
        <u/>
      </rPr>
      <t>Repsol adquiere el 16.67% del Bloque 29 en el Golfo de México, reforzando su participación al 46.67% y consolidando su presencia en la exploración de...</t>
    </r>
    <r>
      <rPr>
        <rFont val="Arial, sans-serif"/>
        <color rgb="FF1155CC"/>
        <sz val="12.0"/>
        <u/>
      </rPr>
      <t>.</t>
    </r>
    <r>
      <rPr>
        <rFont val="Arial, sans-serif"/>
        <color rgb="FF1155CC"/>
        <sz val="11.0"/>
        <u/>
      </rPr>
      <t>24 sept 2024</t>
    </r>
  </si>
  <si>
    <t>Oil &amp; Gas Magazine</t>
  </si>
  <si>
    <t>Repsol refuerza su participación en el Bloque 29 del Golfo de México con la compra de un 16.67% adicional</t>
  </si>
  <si>
    <t>Repsol adquiere el 16.67% del Bloque 29 en el Golfo de México, reforzando su participación al 46.67% y consolidando su presencia en la exploración de....</t>
  </si>
  <si>
    <t>Repsol reinforces its participation in Block 29 of the Gulf of Mexico with the purchase of an additional 16.67%</t>
  </si>
  <si>
    <t>Repsol acquires 16.67% of Block 29 in the Gulf of Mexico, strengthening its participation to 46.67% and consolidating its presence in the exploration of...</t>
  </si>
  <si>
    <t>Positive sentiment, showcasing Repsol’s expansion in the energy sector.</t>
  </si>
  <si>
    <t>refuerza</t>
  </si>
  <si>
    <t>Positive for strategic expansion in oil exploration.</t>
  </si>
  <si>
    <t>Positivo para la expansión estratégica en la exploración petrolera.</t>
  </si>
  <si>
    <r>
      <rPr>
        <rFont val="Arial, sans-serif"/>
        <color rgb="FF1155CC"/>
        <sz val="9.0"/>
        <u/>
      </rPr>
      <t>Revista Electricidad</t>
    </r>
    <r>
      <rPr>
        <rFont val="Arial, sans-serif"/>
        <color rgb="FF1155CC"/>
        <sz val="15.0"/>
        <u/>
      </rPr>
      <t>Grenergy expande proyecto Oasis de Atacama mediante la compra de 1 GW solar a Repsol e Ibereólica por US$128 millones</t>
    </r>
    <r>
      <rPr>
        <rFont val="Arial, sans-serif"/>
        <color rgb="FF1155CC"/>
        <sz val="11.0"/>
        <u/>
      </rPr>
      <t>La operación de la empresa hispana permitirá aumentar la capacidad de almacenamiento del icónico proyecto a 11 GWh, y duplicar su generación de energía...</t>
    </r>
    <r>
      <rPr>
        <rFont val="Arial, sans-serif"/>
        <color rgb="FF1155CC"/>
        <sz val="12.0"/>
        <u/>
      </rPr>
      <t>.</t>
    </r>
    <r>
      <rPr>
        <rFont val="Arial, sans-serif"/>
        <color rgb="FF1155CC"/>
        <sz val="11.0"/>
        <u/>
      </rPr>
      <t>24 sept 2024</t>
    </r>
  </si>
  <si>
    <t>Revista Electricidad</t>
  </si>
  <si>
    <t>Grenergy expande proyecto Oasis de Atacama mediante la compra de 1 GW solar a Repsol e Ibereólica por US$128 millones</t>
  </si>
  <si>
    <t>La operación de la empresa hispana permitirá aumentar la capacidad de almacenamiento del icónico proyecto a 11 GWh, y duplicar su generación de energía.</t>
  </si>
  <si>
    <t>Grenergy expands the Oasis de Atacama project by purchasing 1 GW of solar energy from Repsol and Ibereólica for US$128 million</t>
  </si>
  <si>
    <t>The operation of the Hispanic company will increase the storage capacity of the iconic project to 11 GWh, and double its energy generation.</t>
  </si>
  <si>
    <t>Positive sentiment, reinforcing the growth of renewable energy projects.</t>
  </si>
  <si>
    <t>Neutral; asset sale unrelated to sentiment.</t>
  </si>
  <si>
    <t>Neutral; venta de activos no relacionada con el sentimiento.</t>
  </si>
  <si>
    <r>
      <rPr>
        <rFont val="Arial, sans-serif"/>
        <color rgb="FF1155CC"/>
        <sz val="9.0"/>
        <u/>
      </rPr>
      <t>Ayuntamiento de Puertollano</t>
    </r>
    <r>
      <rPr>
        <rFont val="Arial, sans-serif"/>
        <color rgb="FF1155CC"/>
        <sz val="15.0"/>
        <u/>
      </rPr>
      <t>Repsol lanza una nueva convocatoria de ayudas a la cultura y el deporte local de 10.000 euros</t>
    </r>
    <r>
      <rPr>
        <rFont val="Arial, sans-serif"/>
        <color rgb="FF1155CC"/>
        <sz val="11.0"/>
        <u/>
      </rPr>
      <t>El Complejo Industrial de Repsol en Puertollano lanza una nueva convocatoria pública para colaborar con entidades culturales y clubes deportivos de la...</t>
    </r>
    <r>
      <rPr>
        <rFont val="Arial, sans-serif"/>
        <color rgb="FF1155CC"/>
        <sz val="12.0"/>
        <u/>
      </rPr>
      <t>.</t>
    </r>
    <r>
      <rPr>
        <rFont val="Arial, sans-serif"/>
        <color rgb="FF1155CC"/>
        <sz val="11.0"/>
        <u/>
      </rPr>
      <t>25 sept 2024</t>
    </r>
  </si>
  <si>
    <t>Repsol lanza una nueva convocatoria de ayudas a la cultura y el deporte local de 10.000 euros</t>
  </si>
  <si>
    <t>El Complejo Industrial de Repsol en Puertollano lanza una nueva convocatoria pública para colaborar con entidades culturales y clubes deportivos de la....</t>
  </si>
  <si>
    <t>Repsol launches a new call for aid for local culture and sports of 10,000 euros</t>
  </si>
  <si>
    <t>The Repsol Industrial Complex in Puertollano launches a new public call to collaborate with cultural entities and sports clubs in the...</t>
  </si>
  <si>
    <r>
      <rPr>
        <rFont val="Arial, sans-serif"/>
        <color rgb="FF1155CC"/>
        <sz val="9.0"/>
        <u/>
      </rPr>
      <t>Dircomfidencial</t>
    </r>
    <r>
      <rPr>
        <rFont val="Arial, sans-serif"/>
        <color rgb="FF1155CC"/>
        <sz val="15.0"/>
        <u/>
      </rPr>
      <t>Repsol pone en revisión su cuenta publicitaria de medios</t>
    </r>
    <r>
      <rPr>
        <rFont val="Arial, sans-serif"/>
        <color rgb="FF1155CC"/>
        <sz val="11.0"/>
        <u/>
      </rPr>
      <t>Forman parte del proceso de selección de Repsol los principales grupos publicitarios, salvo Publicis, según puede adelantar DIRCOMFIDENCIAL.</t>
    </r>
    <r>
      <rPr>
        <rFont val="Arial, sans-serif"/>
        <color rgb="FF1155CC"/>
        <sz val="12.0"/>
        <u/>
      </rPr>
      <t>.</t>
    </r>
    <r>
      <rPr>
        <rFont val="Arial, sans-serif"/>
        <color rgb="FF1155CC"/>
        <sz val="11.0"/>
        <u/>
      </rPr>
      <t>25 sept 2024</t>
    </r>
  </si>
  <si>
    <t>Repsol pone en revisión su cuenta publicitaria de medios</t>
  </si>
  <si>
    <t>Forman parte del proceso de selección de Repsol los principales grupos publicitarios, salvo Publicis, según puede adelantar DIRCOMFIDENCIAL.</t>
  </si>
  <si>
    <t>Repsol reviews its media advertising account</t>
  </si>
  <si>
    <t>The main advertising groups are part of Repsol's selection process, except Publicis, according to DIRCOMFIDENCIAL.</t>
  </si>
  <si>
    <r>
      <rPr>
        <rFont val="Arial, sans-serif"/>
        <color rgb="FF1155CC"/>
        <sz val="9.0"/>
        <u/>
      </rPr>
      <t>Energías Renovables, el periodismo de las energías limpias.</t>
    </r>
    <r>
      <rPr>
        <rFont val="Arial, sans-serif"/>
        <color rgb="FF1155CC"/>
        <sz val="15.0"/>
        <u/>
      </rPr>
      <t>Conexión Repsol-Maduro: la petrolera que preside Josu Jon Imaz se reúne con el mandatario venezolano</t>
    </r>
    <r>
      <rPr>
        <rFont val="Arial, sans-serif"/>
        <color rgb="FF1155CC"/>
        <sz val="11.0"/>
        <u/>
      </rPr>
      <t>Directivos de Repsol se reúnen con Maduro en Venezuela para avanzar en acuerdos de cooperación.</t>
    </r>
    <r>
      <rPr>
        <rFont val="Arial, sans-serif"/>
        <color rgb="FF1155CC"/>
        <sz val="12.0"/>
        <u/>
      </rPr>
      <t>.</t>
    </r>
    <r>
      <rPr>
        <rFont val="Arial, sans-serif"/>
        <color rgb="FF1155CC"/>
        <sz val="11.0"/>
        <u/>
      </rPr>
      <t>25 sept 2024</t>
    </r>
  </si>
  <si>
    <t>Conexión Repsol-Maduro: la petrolera que preside Josu Jon Imaz se reúne con el mandatario venezolano</t>
  </si>
  <si>
    <t>Directivos de Repsol se reúnen con Maduro en Venezuela para avanzar en acuerdos de cooperación.</t>
  </si>
  <si>
    <t>Repsol-Maduro connection: the oil company chaired by Josu Jon Imaz meets with the Venezuelan president</t>
  </si>
  <si>
    <t>Repsol executives meet with Maduro in Venezuela to advance cooperation agreements.</t>
  </si>
  <si>
    <t>Slightly positive sentiment, focusing on business engagements.</t>
  </si>
  <si>
    <r>
      <rPr>
        <rFont val="Arial, sans-serif"/>
        <color rgb="FF1155CC"/>
        <sz val="9.0"/>
        <u/>
      </rPr>
      <t>El Español</t>
    </r>
    <r>
      <rPr>
        <rFont val="Arial, sans-serif"/>
        <color rgb="FF1155CC"/>
        <sz val="15.0"/>
        <u/>
      </rPr>
      <t>La millonaria subasta de las torres de hasta 32 plantas de Málaga en los terrenos de Repsol entra en su recta final</t>
    </r>
    <r>
      <rPr>
        <rFont val="Arial, sans-serif"/>
        <color rgb="FF1155CC"/>
        <sz val="11.0"/>
        <u/>
      </rPr>
      <t>El Ayuntamiento de Málaga da un plazo de 10 días a Urbania para que formalice las garantías, valoradas en 2,7 millones. De no hacerlo, se dará por retirada...</t>
    </r>
    <r>
      <rPr>
        <rFont val="Arial, sans-serif"/>
        <color rgb="FF1155CC"/>
        <sz val="12.0"/>
        <u/>
      </rPr>
      <t>.</t>
    </r>
    <r>
      <rPr>
        <rFont val="Arial, sans-serif"/>
        <color rgb="FF1155CC"/>
        <sz val="11.0"/>
        <u/>
      </rPr>
      <t>25 sept 2024</t>
    </r>
  </si>
  <si>
    <t>La millonaria subasta de las torres de hasta 32 plantas de Málaga en los terrenos de Repsol entra en su recta final</t>
  </si>
  <si>
    <t>El Ayuntamiento de Málaga da un plazo de 10 días a Urbania para que formalice las garantías, valoradas en 2,7 millones. De no hacerlo, se dará por retirada.</t>
  </si>
  <si>
    <t>The million-dollar auction of the towers of up to 32 floors in Malaga on the Repsol land enters its final stretch</t>
  </si>
  <si>
    <t>The Malaga City Council gives Urbania a period of 10 days to formalize the guarantees, valued at 2.7 million. Failure to do so will result in withdrawal.</t>
  </si>
  <si>
    <r>
      <rPr>
        <rFont val="Arial, sans-serif"/>
        <color rgb="FF1155CC"/>
        <sz val="9.0"/>
        <u/>
      </rPr>
      <t>Guía Repsol</t>
    </r>
    <r>
      <rPr>
        <rFont val="Arial, sans-serif"/>
        <color rgb="FF1155CC"/>
        <sz val="15.0"/>
        <u/>
      </rPr>
      <t>Baños termales nocturnos en el Balneario de la Hermida (Cantabria)</t>
    </r>
    <r>
      <rPr>
        <rFont val="Arial, sans-serif"/>
        <color rgb="FF1155CC"/>
        <sz val="11.0"/>
        <u/>
      </rPr>
      <t>Disfruta de las aguas termales del Balneario de la Hermida en Cantabria por la noche. Conoce este balneario lleno de historia en una ubicación privilegiada.</t>
    </r>
    <r>
      <rPr>
        <rFont val="Arial, sans-serif"/>
        <color rgb="FF1155CC"/>
        <sz val="12.0"/>
        <u/>
      </rPr>
      <t>.</t>
    </r>
    <r>
      <rPr>
        <rFont val="Arial, sans-serif"/>
        <color rgb="FF1155CC"/>
        <sz val="11.0"/>
        <u/>
      </rPr>
      <t>25 sept 2024</t>
    </r>
  </si>
  <si>
    <t>Baños termales nocturnos en el Balneario de la Hermida (Cantabria)</t>
  </si>
  <si>
    <t>Disfruta de las aguas termales del Balneario de la Hermida en Cantabria por la noche. Conoce este balneario lleno de historia en una ubicación privilegiada.</t>
  </si>
  <si>
    <t>Night thermal baths in the Balneario de la Hermida (Cantabria)</t>
  </si>
  <si>
    <t>Enjoy the hot springs of Balneario de la Hermida in Cantabria at night. Get to know this spa full of history in a privileged location.</t>
  </si>
  <si>
    <r>
      <rPr>
        <rFont val="Arial, sans-serif"/>
        <color rgb="FF1155CC"/>
        <sz val="9.0"/>
        <u/>
      </rPr>
      <t>Estrategias de Inversión</t>
    </r>
    <r>
      <rPr>
        <rFont val="Arial, sans-serif"/>
        <color rgb="FF1155CC"/>
        <sz val="15.0"/>
        <u/>
      </rPr>
      <t>Respondemos a las preguntas de IAG, Endesa, Repsol, Coca-Cola, Amper y Crowdstrike</t>
    </r>
    <r>
      <rPr>
        <rFont val="Arial, sans-serif"/>
        <color rgb="FF1155CC"/>
        <sz val="11.0"/>
        <u/>
      </rPr>
      <t>Ángel Cotera, de BBVA TRADer analiza desde un punto de vista técnico IAG, Endesa, Repsol, Coca-Cola, Amper y Crowdstrike.</t>
    </r>
    <r>
      <rPr>
        <rFont val="Arial, sans-serif"/>
        <color rgb="FF1155CC"/>
        <sz val="12.0"/>
        <u/>
      </rPr>
      <t>.</t>
    </r>
    <r>
      <rPr>
        <rFont val="Arial, sans-serif"/>
        <color rgb="FF1155CC"/>
        <sz val="11.0"/>
        <u/>
      </rPr>
      <t>25 sept 2024</t>
    </r>
  </si>
  <si>
    <t>Respondemos a las preguntas de IAG, Endesa, Repsol, Coca-Cola, Amper y Crowdstrike</t>
  </si>
  <si>
    <t>Respondemos a las preguntas de IAG, Endesa, Repsol, Coca-Cola, Amper y Crowdstrike. Ángel Cotera, de BBVA TRADer analiza desde un punto de vista técnico IAG, Endesa, Repsol, Coca-Cola, Amper y Crowdstrike.</t>
  </si>
  <si>
    <t>We answer questions from IAG, Endesa, Repsol, Coca-Cola, Amper and Crowdstrike</t>
  </si>
  <si>
    <t>We answer questions from IAG, Endesa, Repsol, Coca-Cola, Amper and Crowdstrike. Ángel Cotera, from BBVA TRADer, analyzes IAG, Endesa, Repsol, Coca-Cola, Amper and Crowdstrike from a technical point of view.</t>
  </si>
  <si>
    <t>Slightly positive sentiment, discussing stock market analysis.</t>
  </si>
  <si>
    <t>Neutral; Q&amp;A format.</t>
  </si>
  <si>
    <t>Neutral; Formato de preguntas y respuestas.</t>
  </si>
  <si>
    <r>
      <rPr>
        <rFont val="Arial, sans-serif"/>
        <color rgb="FF1155CC"/>
        <sz val="9.0"/>
        <u/>
      </rPr>
      <t>Expansión</t>
    </r>
    <r>
      <rPr>
        <rFont val="Arial, sans-serif"/>
        <color rgb="FF1155CC"/>
        <sz val="15.0"/>
        <u/>
      </rPr>
      <t>Los grandes grupos árabes estatales se disputan las renovables españolas</t>
    </r>
    <r>
      <rPr>
        <rFont val="Arial, sans-serif"/>
        <color rgb="FF1155CC"/>
        <sz val="11.0"/>
        <u/>
      </rPr>
      <t>Masdar, el grupo de energías renovables del Emirato de Abu Dabi, confirmó ayer la compra por 1.400 millones de dólares (algo más de 1.200 millones de euros...</t>
    </r>
    <r>
      <rPr>
        <rFont val="Arial, sans-serif"/>
        <color rgb="FF1155CC"/>
        <sz val="12.0"/>
        <u/>
      </rPr>
      <t>.</t>
    </r>
    <r>
      <rPr>
        <rFont val="Arial, sans-serif"/>
        <color rgb="FF1155CC"/>
        <sz val="11.0"/>
        <u/>
      </rPr>
      <t>25 sept 2024</t>
    </r>
  </si>
  <si>
    <t>Los grandes grupos árabes estatales se disputan las renovables españolas</t>
  </si>
  <si>
    <t>Masdar, el grupo de energías renovables del Emirato de Abu Dabi, confirmó ayer la compra por 1.400 millones de dólares (algo más de 1.200 millones de euros).</t>
  </si>
  <si>
    <t>The large Arab state groups dispute Spanish renewables</t>
  </si>
  <si>
    <t>Masdar, the renewable energy group of the Emirate of Abu Dhabi, confirmed yesterday the purchase for 1.4 billion dollars (just over 1.2 billion euros).</t>
  </si>
  <si>
    <r>
      <rPr>
        <rFont val="Arial, sans-serif"/>
        <color rgb="FF1155CC"/>
        <sz val="9.0"/>
        <u/>
      </rPr>
      <t>Box Repsol</t>
    </r>
    <r>
      <rPr>
        <rFont val="Arial, sans-serif"/>
        <color rgb="FF1155CC"/>
        <sz val="15.0"/>
        <u/>
      </rPr>
      <t>EICMA 2024: novedades del salón de la moto en Milán</t>
    </r>
    <r>
      <rPr>
        <rFont val="Arial, sans-serif"/>
        <color rgb="FF1155CC"/>
        <sz val="11.0"/>
        <u/>
      </rPr>
      <t>Descubre las últimas innovaciones en motos y tecnología en EICMA 2024. ¡No te pierdas las novedades de las principales marcas y tendencias del sector!</t>
    </r>
    <r>
      <rPr>
        <rFont val="Arial, sans-serif"/>
        <color rgb="FF1155CC"/>
        <sz val="12.0"/>
        <u/>
      </rPr>
      <t>.</t>
    </r>
    <r>
      <rPr>
        <rFont val="Arial, sans-serif"/>
        <color rgb="FF1155CC"/>
        <sz val="11.0"/>
        <u/>
      </rPr>
      <t>25 sept 2024</t>
    </r>
  </si>
  <si>
    <t>EICMA 2024: novedades del salón de la moto en Milán</t>
  </si>
  <si>
    <t>Descubre las últimas innovaciones en motos y tecnología en EICMA 2024. ¡No te pierdas las novedades de las principales marcas y tendencias del sector!</t>
  </si>
  <si>
    <t>EICMA 2024: news from the motorcycle show in Milan</t>
  </si>
  <si>
    <t>Discover the latest innovations in motorcycles and technology at EICMA 2024. Don't miss the news from the main brands and trends in the sector!</t>
  </si>
  <si>
    <r>
      <rPr>
        <rFont val="Arial, sans-serif"/>
        <color rgb="FF1155CC"/>
        <sz val="9.0"/>
        <u/>
      </rPr>
      <t>El Economista</t>
    </r>
    <r>
      <rPr>
        <rFont val="Arial, sans-serif"/>
        <color rgb="FF1155CC"/>
        <sz val="15.0"/>
        <u/>
      </rPr>
      <t>La vanguardia culinaria enciende en Madrid su primer Chefs on Fire</t>
    </r>
    <r>
      <rPr>
        <rFont val="Arial, sans-serif"/>
        <color rgb="FF1155CC"/>
        <sz val="11.0"/>
        <u/>
      </rPr>
      <t>Veintidós célebres cocineros activarán incesantes jornadas de creatividad gourmet, ante el fuego de leña, amenizadas por once conjuntos ...</t>
    </r>
    <r>
      <rPr>
        <rFont val="Arial, sans-serif"/>
        <color rgb="FF1155CC"/>
        <sz val="12.0"/>
        <u/>
      </rPr>
      <t>.</t>
    </r>
    <r>
      <rPr>
        <rFont val="Arial, sans-serif"/>
        <color rgb="FF1155CC"/>
        <sz val="11.0"/>
        <u/>
      </rPr>
      <t>25 sept 2024</t>
    </r>
  </si>
  <si>
    <t>La vanguardia culinaria enciende en Madrid su primer Chefs on Fire</t>
  </si>
  <si>
    <t>Veintidós célebres cocineros activarán incesantes jornadas de creatividad gourmet, ante el fuego de leña, amenizadas por once conjuntos ....</t>
  </si>
  <si>
    <t>The culinary avant-garde lights its first Chefs on Fire in Madrid</t>
  </si>
  <si>
    <t>Twenty-two famous chefs will activate incessant days of gourmet creativity, in front of the wood fire, enlivened by eleven groups....</t>
  </si>
  <si>
    <r>
      <rPr>
        <rFont val="Arial, sans-serif"/>
        <color rgb="FF1155CC"/>
        <sz val="9.0"/>
        <u/>
      </rPr>
      <t>alimente.elconfidencial.com</t>
    </r>
    <r>
      <rPr>
        <rFont val="Arial, sans-serif"/>
        <color rgb="FF1155CC"/>
        <sz val="15.0"/>
        <u/>
      </rPr>
      <t>El restaurante con estrella Michelin dentro de un espectacular hotel que fue una antigua abadía del siglo XII</t>
    </r>
    <r>
      <rPr>
        <rFont val="Arial, sans-serif"/>
        <color rgb="FF1155CC"/>
        <sz val="11.0"/>
        <u/>
      </rPr>
      <t>En pleno corazón de la Ribera del Duero, en Sardón de Duero (Valladolid) y entre viñedos y una historia que se remonta casi un milenio, se encuentra lo que...</t>
    </r>
    <r>
      <rPr>
        <rFont val="Arial, sans-serif"/>
        <color rgb="FF1155CC"/>
        <sz val="12.0"/>
        <u/>
      </rPr>
      <t>.</t>
    </r>
    <r>
      <rPr>
        <rFont val="Arial, sans-serif"/>
        <color rgb="FF1155CC"/>
        <sz val="11.0"/>
        <u/>
      </rPr>
      <t>25 sept 2024</t>
    </r>
  </si>
  <si>
    <t>El restaurante con estrella Michelin dentro de un espectacular hotel que fue una antigua abadía del siglo XII</t>
  </si>
  <si>
    <t>En pleno corazón de la Ribera del Duero, en Sardón de Duero (Valladolid) y entre viñedos y una historia que se remonta casi un milenio, se encuentra lo que....</t>
  </si>
  <si>
    <t>The Michelin-starred restaurant inside a spectacular hotel that was an ancient 12th-century abbey</t>
  </si>
  <si>
    <t>In the heart of the Ribera del Duero, in Sardón de Duero (Valladolid) and among vineyards and a history that goes back almost a millennium, is what...</t>
  </si>
  <si>
    <r>
      <rPr>
        <rFont val="Arial, sans-serif"/>
        <color rgb="FF1155CC"/>
        <sz val="9.0"/>
        <u/>
      </rPr>
      <t>Tribuna Ávila</t>
    </r>
    <r>
      <rPr>
        <rFont val="Arial, sans-serif"/>
        <color rgb="FF1155CC"/>
        <sz val="15.0"/>
        <u/>
      </rPr>
      <t>Un profesor jubilado se lleva en León el millón de euros que sortea Repsol por repostar</t>
    </r>
    <r>
      <rPr>
        <rFont val="Arial, sans-serif"/>
        <color rgb="FF1155CC"/>
        <sz val="11.0"/>
        <u/>
      </rPr>
      <t>Le llamaron hace unos días y pensó que le estaban gastando una broma. "Ha ganado usted un millón de euros por repostar en una gasolinera de Repsol y pagar...</t>
    </r>
    <r>
      <rPr>
        <rFont val="Arial, sans-serif"/>
        <color rgb="FF1155CC"/>
        <sz val="12.0"/>
        <u/>
      </rPr>
      <t>.</t>
    </r>
    <r>
      <rPr>
        <rFont val="Arial, sans-serif"/>
        <color rgb="FF1155CC"/>
        <sz val="11.0"/>
        <u/>
      </rPr>
      <t>26 sept 2024</t>
    </r>
  </si>
  <si>
    <t>Tribuna Ávila</t>
  </si>
  <si>
    <t>Un profesor jubilado se lleva en León el millón de euros que sortea Repsol por repostar</t>
  </si>
  <si>
    <t>"Ha ganado usted un millón de euros por repostar en una gasolinera de Repsol y pagar..."</t>
  </si>
  <si>
    <t>A retired teacher in León wins the million euros that Repsol raffles off for refueling</t>
  </si>
  <si>
    <t>"You have won a million euros for refueling at a Repsol gas station and paying..."</t>
  </si>
  <si>
    <t>Repsol marketing, customer engagement</t>
  </si>
  <si>
    <t>Marketing Repsol, compromiso con el cliente</t>
  </si>
  <si>
    <t>Positive sentiment, showcasing Repsol's promotional rewards.</t>
  </si>
  <si>
    <t>sortea</t>
  </si>
  <si>
    <t>Positive for customer engagement promotion.</t>
  </si>
  <si>
    <t>Positivo para la promoción del compromiso del cliente.</t>
  </si>
  <si>
    <r>
      <rPr>
        <rFont val="Arial, sans-serif"/>
        <color rgb="FF1155CC"/>
        <sz val="9.0"/>
        <u/>
      </rPr>
      <t>Renta 4 Banco</t>
    </r>
    <r>
      <rPr>
        <rFont val="Arial, sans-serif"/>
        <color rgb="FF1155CC"/>
        <sz val="15.0"/>
        <u/>
      </rPr>
      <t>El peor comportamiento relativo de REPSOL contra el IBEX35, ¿cercano a un suelo?</t>
    </r>
    <r>
      <rPr>
        <rFont val="Arial, sans-serif"/>
        <color rgb="FF1155CC"/>
        <sz val="11.0"/>
        <u/>
      </rPr>
      <t>El peor comportamiento relativo de REPSOL contra el IBEX35, ¿cercano a un suelo? Hace pocos días expusimos este análisis orientado al medio plazo, donde.</t>
    </r>
    <r>
      <rPr>
        <rFont val="Arial, sans-serif"/>
        <color rgb="FF1155CC"/>
        <sz val="12.0"/>
        <u/>
      </rPr>
      <t>.</t>
    </r>
    <r>
      <rPr>
        <rFont val="Arial, sans-serif"/>
        <color rgb="FF1155CC"/>
        <sz val="11.0"/>
        <u/>
      </rPr>
      <t>26 sept 2024</t>
    </r>
  </si>
  <si>
    <t>Renta 4 Banco</t>
  </si>
  <si>
    <t>El peor comportamiento relativo de REPSOL contra el IBEX35, ¿cercano a un suelo?</t>
  </si>
  <si>
    <t>El peor comportamiento relativo de REPSOL contra el IBEX35, ¿cercano a un suelo? Hace pocos días expusimos este análisis orientado al medio plazo, donde..</t>
  </si>
  <si>
    <t>The worst relative performance of REPSOL against the IBEX35, close to a bottom?</t>
  </si>
  <si>
    <t>The worst relative performance of REPSOL against the IBEX35, close to a bottom? A few days ago we presented this analysis oriented to the medium term, where...</t>
  </si>
  <si>
    <t>Negative sentiment, reflecting poor stock performance.</t>
  </si>
  <si>
    <t>peor</t>
  </si>
  <si>
    <t>Negative for underperformance.</t>
  </si>
  <si>
    <t>Negativo por bajo rendimiento.</t>
  </si>
  <si>
    <r>
      <rPr>
        <rFont val="Arial, sans-serif"/>
        <color rgb="FF1155CC"/>
        <sz val="9.0"/>
        <u/>
      </rPr>
      <t>El Periódico de la Energía</t>
    </r>
    <r>
      <rPr>
        <rFont val="Arial, sans-serif"/>
        <color rgb="FF1155CC"/>
        <sz val="15.0"/>
        <u/>
      </rPr>
      <t>Equinor, Repsol y Petrobras comenzarán a explotar en 2028 mayor campo de gas de Brasil</t>
    </r>
    <r>
      <rPr>
        <rFont val="Arial, sans-serif"/>
        <color rgb="FF1155CC"/>
        <sz val="11.0"/>
        <u/>
      </rPr>
      <t>Se prevé una producción diaria de hasta 16 millones de metros cúbicos de gas natural y de 125.000 barriles de petróleo.</t>
    </r>
    <r>
      <rPr>
        <rFont val="Arial, sans-serif"/>
        <color rgb="FF1155CC"/>
        <sz val="12.0"/>
        <u/>
      </rPr>
      <t>.</t>
    </r>
    <r>
      <rPr>
        <rFont val="Arial, sans-serif"/>
        <color rgb="FF1155CC"/>
        <sz val="11.0"/>
        <u/>
      </rPr>
      <t>26 sept 2024</t>
    </r>
  </si>
  <si>
    <t>Equinor, Repsol y Petrobras comenzarán a explotar en 2028 mayor campo de gas de Brasil</t>
  </si>
  <si>
    <t>Se prevé una producción diaria de hasta 16 millones de metros cúbicos de gas natural y de 125.000 barriles de petróleo.</t>
  </si>
  <si>
    <t>Equinor, Repsol and Petrobras will begin exploiting Brazil's largest gas field in 2028</t>
  </si>
  <si>
    <t>Daily production of up to 16 million cubic meters of natural gas and 125,000 barrels of oil is expected.</t>
  </si>
  <si>
    <t>Repsol energy expansion, business growth</t>
  </si>
  <si>
    <t>Expansión energética de Repsol, crecimiento empresarial</t>
  </si>
  <si>
    <t>Positive sentiment, highlighting major energy investments.</t>
  </si>
  <si>
    <t>comenzarán</t>
  </si>
  <si>
    <t>Positive for future gas field development.</t>
  </si>
  <si>
    <t>Positivo para el futuro desarrollo de campos de gas.</t>
  </si>
  <si>
    <r>
      <rPr>
        <rFont val="Arial, sans-serif"/>
        <color rgb="FF1155CC"/>
        <sz val="9.0"/>
        <u/>
      </rPr>
      <t>Guía Repsol</t>
    </r>
    <r>
      <rPr>
        <rFont val="Arial, sans-serif"/>
        <color rgb="FF1155CC"/>
        <sz val="15.0"/>
        <u/>
      </rPr>
      <t>Cómo aprovechar el desperdicio de alimentos en la cocina</t>
    </r>
    <r>
      <rPr>
        <rFont val="Arial, sans-serif"/>
        <color rgb="FF1155CC"/>
        <sz val="11.0"/>
        <u/>
      </rPr>
      <t>Los cuatro Sol Sostenible Guía Repsol 2024 comparten sus recomendaciones sobre la importancia que tiene reducir los desperdicios en la cocina y...</t>
    </r>
    <r>
      <rPr>
        <rFont val="Arial, sans-serif"/>
        <color rgb="FF1155CC"/>
        <sz val="12.0"/>
        <u/>
      </rPr>
      <t>.</t>
    </r>
    <r>
      <rPr>
        <rFont val="Arial, sans-serif"/>
        <color rgb="FF1155CC"/>
        <sz val="11.0"/>
        <u/>
      </rPr>
      <t>26 sept 2024</t>
    </r>
  </si>
  <si>
    <t>Cómo aprovechar el desperdicio de alimentos en la cocina</t>
  </si>
  <si>
    <t>Los cuatro Sol Sostenible Guía Repsol 2024 comparten sus recomendaciones sobre la importancia que tiene reducir los desperdicios en la cocina y....</t>
  </si>
  <si>
    <t>How to take advantage of food waste in the kitchen</t>
  </si>
  <si>
    <t>The four Sustainable Sun Repsol Guide 2024 share their recommendations on the importance of reducing waste in the kitchen and...</t>
  </si>
  <si>
    <r>
      <rPr>
        <rFont val="Arial, sans-serif"/>
        <color rgb="FF1155CC"/>
        <sz val="9.0"/>
        <u/>
      </rPr>
      <t>Radio Intereconomía</t>
    </r>
    <r>
      <rPr>
        <rFont val="Arial, sans-serif"/>
        <color rgb="FF1155CC"/>
        <sz val="15.0"/>
        <u/>
      </rPr>
      <t>El IBEX 35, 14 años después recupera el nivel de los 11.900 puntos gracias a los dividendos del Santander y del BBVA</t>
    </r>
    <r>
      <rPr>
        <rFont val="Arial, sans-serif"/>
        <color rgb="FF1155CC"/>
        <sz val="11.0"/>
        <u/>
      </rPr>
      <t>Han tenido que pasar más de 14 años para que el IBEX 35 haya recuperado el nivel de los 11.900 puntos, aunque todavía, a diferencia de muchos mercados...</t>
    </r>
    <r>
      <rPr>
        <rFont val="Arial, sans-serif"/>
        <color rgb="FF1155CC"/>
        <sz val="12.0"/>
        <u/>
      </rPr>
      <t>.</t>
    </r>
    <r>
      <rPr>
        <rFont val="Arial, sans-serif"/>
        <color rgb="FF1155CC"/>
        <sz val="11.0"/>
        <u/>
      </rPr>
      <t>26 sept 2024</t>
    </r>
  </si>
  <si>
    <t>El IBEX 35, 14 años después recupera el nivel de los 11.900 puntos gracias a los dividendos del Santander y del BBVA</t>
  </si>
  <si>
    <t>Han tenido que pasar más de 14 años para que el IBEX 35 haya recuperado el nivel de los 11.900 puntos, aunque todavía, a diferencia de muchos mercados....</t>
  </si>
  <si>
    <t>The IBEX 35, 14 years later, recovers the level of 11,900 points thanks to the dividends from Santander and BBVA</t>
  </si>
  <si>
    <t>It took more than 14 years for the IBEX 35 to recover the level of 11,900 points, although still, unlike many markets...</t>
  </si>
  <si>
    <r>
      <rPr>
        <rFont val="Arial, sans-serif"/>
        <color rgb="FF1155CC"/>
        <sz val="9.0"/>
        <u/>
      </rPr>
      <t>Guía Repsol</t>
    </r>
    <r>
      <rPr>
        <rFont val="Arial, sans-serif"/>
        <color rgb="FF1155CC"/>
        <sz val="15.0"/>
        <u/>
      </rPr>
      <t>La 'Tasquita de Enfrente' cumple 25 años</t>
    </r>
    <r>
      <rPr>
        <rFont val="Arial, sans-serif"/>
        <color rgb="FF1155CC"/>
        <sz val="11.0"/>
        <u/>
      </rPr>
      <t>Celebramos el 25 aniversario de la 'Tasquita de Enfrente' degustando ocho de los platos más exitosos de Juanjo López. Desde su mítica ensaladilla rusa con...</t>
    </r>
    <r>
      <rPr>
        <rFont val="Arial, sans-serif"/>
        <color rgb="FF1155CC"/>
        <sz val="12.0"/>
        <u/>
      </rPr>
      <t>.</t>
    </r>
    <r>
      <rPr>
        <rFont val="Arial, sans-serif"/>
        <color rgb="FF1155CC"/>
        <sz val="11.0"/>
        <u/>
      </rPr>
      <t>26 sept 2024</t>
    </r>
  </si>
  <si>
    <t>La 'Tasquita de Enfrente' cumple 25 años</t>
  </si>
  <si>
    <t>Celebramos el 25 aniversario de la 'Tasquita de Enfrente' degustando ocho de los platos más exitosos de Juanjo López. Desde su mítica ensaladilla rusa con....</t>
  </si>
  <si>
    <t>The 'Tasquita de Enfrente' turns 25 years old</t>
  </si>
  <si>
    <t>We celebrated the 25th anniversary of the 'Tasquita de Enfrente' by tasting eight of Juanjo López's most successful dishes. From its legendary Russian salad with....</t>
  </si>
  <si>
    <r>
      <rPr>
        <rFont val="Arial, sans-serif"/>
        <color rgb="FF1155CC"/>
        <sz val="9.0"/>
        <u/>
      </rPr>
      <t>El Colombiano</t>
    </r>
    <r>
      <rPr>
        <rFont val="Arial, sans-serif"/>
        <color rgb="FF1155CC"/>
        <sz val="15.0"/>
        <u/>
      </rPr>
      <t>¿Disculpas por la conquista? Esto es lo que hay en medio de la tensión entre México y España</t>
    </r>
    <r>
      <rPr>
        <rFont val="Arial, sans-serif"/>
        <color rgb="FF1155CC"/>
        <sz val="11.0"/>
        <u/>
      </rPr>
      <t>La relación diplomática entre México y España pasa por un momento tenso que inició hace 5 años Andrés Manuel López Obrador y que al parecer mantendrá ...</t>
    </r>
    <r>
      <rPr>
        <rFont val="Arial, sans-serif"/>
        <color rgb="FF1155CC"/>
        <sz val="12.0"/>
        <u/>
      </rPr>
      <t>.</t>
    </r>
    <r>
      <rPr>
        <rFont val="Arial, sans-serif"/>
        <color rgb="FF1155CC"/>
        <sz val="11.0"/>
        <u/>
      </rPr>
      <t>26 sept 2024</t>
    </r>
  </si>
  <si>
    <t>El Colombiano</t>
  </si>
  <si>
    <t>¿Disculpas por la conquista? Esto es lo que hay en medio de la tensión entre México y España</t>
  </si>
  <si>
    <t>La relación diplomática entre México y España pasa por un momento tenso que inició hace 5 años Andrés Manuel López Obrador y que al parecer mantendrá ....</t>
  </si>
  <si>
    <t>Apologies for the conquest? This is what is in the midst of the tension between Mexico and Spain</t>
  </si>
  <si>
    <t>The diplomatic relationship between Mexico and Spain is going through a tense moment that Andrés Manuel López Obrador began 5 years ago and that apparently will continue....</t>
  </si>
  <si>
    <r>
      <rPr>
        <rFont val="Arial, sans-serif"/>
        <color rgb="FF1155CC"/>
        <sz val="9.0"/>
        <u/>
      </rPr>
      <t>EL PAÍS</t>
    </r>
    <r>
      <rPr>
        <rFont val="Arial, sans-serif"/>
        <color rgb="FF1155CC"/>
        <sz val="15.0"/>
        <u/>
      </rPr>
      <t>Feijóo avisa a las empresas españolas de que “se equivocan” si colaboran con Maduro</t>
    </r>
    <r>
      <rPr>
        <rFont val="Arial, sans-serif"/>
        <color rgb="FF1155CC"/>
        <sz val="11.0"/>
        <u/>
      </rPr>
      <t>El líder del PP reclama al Gobierno que denuncie al líder venezolano en la Corte Penal Internacional en un acto junto a María Corina Machado, mientras Aznar...</t>
    </r>
    <r>
      <rPr>
        <rFont val="Arial, sans-serif"/>
        <color rgb="FF1155CC"/>
        <sz val="12.0"/>
        <u/>
      </rPr>
      <t>.</t>
    </r>
    <r>
      <rPr>
        <rFont val="Arial, sans-serif"/>
        <color rgb="FF1155CC"/>
        <sz val="11.0"/>
        <u/>
      </rPr>
      <t>26 sept 2024</t>
    </r>
  </si>
  <si>
    <t>Feijóo avisa a las empresas españolas de que “se equivocan” si colaboran con Maduro</t>
  </si>
  <si>
    <t>El líder del PP reclama al Gobierno que denuncie al líder venezolano en la Corte Penal Internacional en un acto junto a María Corina Machado, mientras Aznar....</t>
  </si>
  <si>
    <t>Feijóo warns Spanish companies that “they are wrong” if they collaborate with Maduro</t>
  </si>
  <si>
    <t>The leader of the PP demands that the Government denounce the Venezuelan leader at the International Criminal Court in an event alongside María Corina Machado, while Aznar...</t>
  </si>
  <si>
    <r>
      <rPr>
        <rFont val="Arial, sans-serif"/>
        <color rgb="FF1155CC"/>
        <sz val="9.0"/>
        <u/>
      </rPr>
      <t>Bolsamania</t>
    </r>
    <r>
      <rPr>
        <rFont val="Arial, sans-serif"/>
        <color rgb="FF1155CC"/>
        <sz val="15.0"/>
        <u/>
      </rPr>
      <t>BBVA apaga el incendio</t>
    </r>
    <r>
      <rPr>
        <rFont val="Arial, sans-serif"/>
        <color rgb="FF1155CC"/>
        <sz val="11.0"/>
        <u/>
      </rPr>
      <t>El banco del Ibex perdía la media de 200 sesiones conjuntamente con el soporte de los 8,79 euros. No obstante, desde entonces, hemos podido ver mínimos...</t>
    </r>
    <r>
      <rPr>
        <rFont val="Arial, sans-serif"/>
        <color rgb="FF1155CC"/>
        <sz val="12.0"/>
        <u/>
      </rPr>
      <t>.</t>
    </r>
    <r>
      <rPr>
        <rFont val="Arial, sans-serif"/>
        <color rgb="FF1155CC"/>
        <sz val="11.0"/>
        <u/>
      </rPr>
      <t>26 sept 2024</t>
    </r>
  </si>
  <si>
    <t>BBVA apaga el incendio</t>
  </si>
  <si>
    <t>El banco del Ibex perdía la media de 200 sesiones conjuntamente con el soporte de los 8,79 euros. No obstante, desde entonces, hemos podido ver mínimos....</t>
  </si>
  <si>
    <t>BBVA puts out the fire</t>
  </si>
  <si>
    <t>The Ibex bank lost the average of 200 sessions along with the support of 8.79 euros. However, since then, we have been able to see minimums....</t>
  </si>
  <si>
    <r>
      <rPr>
        <rFont val="Arial, sans-serif"/>
        <color rgb="FF1155CC"/>
        <sz val="9.0"/>
        <u/>
      </rPr>
      <t>OkDiario</t>
    </r>
    <r>
      <rPr>
        <rFont val="Arial, sans-serif"/>
        <color rgb="FF1155CC"/>
        <sz val="15.0"/>
        <u/>
      </rPr>
      <t>Europa rebaja la protección del lobo para preservar al ganado con la oposición de España</t>
    </r>
    <r>
      <rPr>
        <rFont val="Arial, sans-serif"/>
        <color rgb="FF1155CC"/>
        <sz val="11.0"/>
        <u/>
      </rPr>
      <t>Europa rebaja el estatus de protección del lobo en su territorio después de que los Estados miembro hayan apoyado la propuesta de la Comisión para relajar...</t>
    </r>
    <r>
      <rPr>
        <rFont val="Arial, sans-serif"/>
        <color rgb="FF1155CC"/>
        <sz val="12.0"/>
        <u/>
      </rPr>
      <t>.</t>
    </r>
    <r>
      <rPr>
        <rFont val="Arial, sans-serif"/>
        <color rgb="FF1155CC"/>
        <sz val="11.0"/>
        <u/>
      </rPr>
      <t>26 sept 2024</t>
    </r>
  </si>
  <si>
    <t>Europa rebaja la protección del lobo para preservar al ganado con la oposición de España</t>
  </si>
  <si>
    <t>Europa rebaja el estatus de protección del lobo en su territorio después de que los Estados miembro hayan apoyado la propuesta de la Comisión para relajar....</t>
  </si>
  <si>
    <t>Europe lowers wolf protection to preserve livestock with opposition from Spain</t>
  </si>
  <si>
    <t>Europe lowers the protection status of the wolf on its territory after member states have supported the Commission's proposal to relax...</t>
  </si>
  <si>
    <r>
      <rPr>
        <rFont val="Arial, sans-serif"/>
        <color rgb="FF1155CC"/>
        <sz val="9.0"/>
        <u/>
      </rPr>
      <t>El Periódico de la Energía</t>
    </r>
    <r>
      <rPr>
        <rFont val="Arial, sans-serif"/>
        <color rgb="FF1155CC"/>
        <sz val="15.0"/>
        <u/>
      </rPr>
      <t>Repsol premia con un millón de euros a un vecino de León por repostar con Waylet en sus estaciones de servicio</t>
    </r>
    <r>
      <rPr>
        <rFont val="Arial, sans-serif"/>
        <color rgb="FF1155CC"/>
        <sz val="11.0"/>
        <u/>
      </rPr>
      <t>Repsol ha entregado este viernes a un vecino de León el premio de un millón de euros por repostar combustible en las estaciones de servicio de la compañía...</t>
    </r>
    <r>
      <rPr>
        <rFont val="Arial, sans-serif"/>
        <color rgb="FF1155CC"/>
        <sz val="12.0"/>
        <u/>
      </rPr>
      <t>.</t>
    </r>
    <r>
      <rPr>
        <rFont val="Arial, sans-serif"/>
        <color rgb="FF1155CC"/>
        <sz val="11.0"/>
        <u/>
      </rPr>
      <t>27 sept 2024</t>
    </r>
  </si>
  <si>
    <t>Repsol premia con un millón de euros a un vecino de León por repostar con Waylet en sus estaciones de servicio</t>
  </si>
  <si>
    <t>Repsol ha entregado este viernes a un vecino de León el premio de un millón de euros por repostar combustible en las estaciones de servicio de la compañía....</t>
  </si>
  <si>
    <t>Repsol rewards a resident of León with one million euros for refueling with Waylet at their service stations</t>
  </si>
  <si>
    <t>This Friday, Repsol awarded a resident of León the prize of one million euros for refueling at the company's service stations....</t>
  </si>
  <si>
    <t>Positive sentiment, showcasing Repsol’s customer rewards.</t>
  </si>
  <si>
    <t>premia</t>
  </si>
  <si>
    <t>Positive for customer reward program.</t>
  </si>
  <si>
    <t>Positivo para el programa de recompensa al cliente.</t>
  </si>
  <si>
    <r>
      <rPr>
        <rFont val="Arial, sans-serif"/>
        <color rgb="FF1155CC"/>
        <sz val="9.0"/>
        <u/>
      </rPr>
      <t>Estrategias de Inversión</t>
    </r>
    <r>
      <rPr>
        <rFont val="Arial, sans-serif"/>
        <color rgb="FF1155CC"/>
        <sz val="15.0"/>
        <u/>
      </rPr>
      <t>Estrategia de trading en largo sobre Repsol con Warrants</t>
    </r>
    <r>
      <rPr>
        <rFont val="Arial, sans-serif"/>
        <color rgb="FF1155CC"/>
        <sz val="11.0"/>
        <u/>
      </rPr>
      <t>Análisis y operativa de corto plazo sobre Repsol, mediante el uso de Warrant Call.</t>
    </r>
    <r>
      <rPr>
        <rFont val="Arial, sans-serif"/>
        <color rgb="FF1155CC"/>
        <sz val="12.0"/>
        <u/>
      </rPr>
      <t>.</t>
    </r>
    <r>
      <rPr>
        <rFont val="Arial, sans-serif"/>
        <color rgb="FF1155CC"/>
        <sz val="11.0"/>
        <u/>
      </rPr>
      <t>27 sept 2024</t>
    </r>
  </si>
  <si>
    <t>Estrategia de trading en largo sobre Repsol con Warrants</t>
  </si>
  <si>
    <t>Análisis y operativa de corto plazo sobre Repsol, mediante el uso de Warrant Call.</t>
  </si>
  <si>
    <t>Repsol long trading strategy with Warrants</t>
  </si>
  <si>
    <t>Analysis and short-term operations on Repsol, through the use of Warrant Call.</t>
  </si>
  <si>
    <t>Slightly positive sentiment, discussing investment strategies.</t>
  </si>
  <si>
    <t>Neutral; investment strategy.</t>
  </si>
  <si>
    <t>Neutral; estrategia de inversión.</t>
  </si>
  <si>
    <r>
      <rPr>
        <rFont val="Arial, sans-serif"/>
        <color rgb="FF1155CC"/>
        <sz val="9.0"/>
        <u/>
      </rPr>
      <t>Ideal</t>
    </r>
    <r>
      <rPr>
        <rFont val="Arial, sans-serif"/>
        <color rgb="FF1155CC"/>
        <sz val="15.0"/>
        <u/>
      </rPr>
      <t>Últimas horas para disfrutar del descuento en el litro de diésel en Repsol</t>
    </r>
    <r>
      <rPr>
        <rFont val="Arial, sans-serif"/>
        <color rgb="FF1155CC"/>
        <sz val="11.0"/>
        <u/>
      </rPr>
      <t>La promoción permite a los clientes de Repsol acceder a combustibles 100% renovables.</t>
    </r>
    <r>
      <rPr>
        <rFont val="Arial, sans-serif"/>
        <color rgb="FF1155CC"/>
        <sz val="12.0"/>
        <u/>
      </rPr>
      <t>.</t>
    </r>
    <r>
      <rPr>
        <rFont val="Arial, sans-serif"/>
        <color rgb="FF1155CC"/>
        <sz val="11.0"/>
        <u/>
      </rPr>
      <t>27 sept 2024</t>
    </r>
  </si>
  <si>
    <t>Últimas horas para disfrutar del descuento en el litro de diésel en Repsol</t>
  </si>
  <si>
    <t>La promoción permite a los clientes de Repsol acceder a combustibles 100% renovables.</t>
  </si>
  <si>
    <t>Last hours to enjoy the discount on a liter of diesel at Repsol</t>
  </si>
  <si>
    <t>The promotion allows Repsol customers to access 100% renewable fuels.</t>
  </si>
  <si>
    <t>Repsol marketing, renewable energy</t>
  </si>
  <si>
    <t>Marketing Repsol, energías renovables</t>
  </si>
  <si>
    <t>Positive sentiment, highlighting Repsol’s fuel discounts and sustainability efforts.</t>
  </si>
  <si>
    <t>Positive for customer promotion.</t>
  </si>
  <si>
    <t>Positivo para la promoción del cliente.</t>
  </si>
  <si>
    <r>
      <rPr>
        <rFont val="Arial, sans-serif"/>
        <color rgb="FF1155CC"/>
        <sz val="9.0"/>
        <u/>
      </rPr>
      <t>La Razón</t>
    </r>
    <r>
      <rPr>
        <rFont val="Arial, sans-serif"/>
        <color rgb="FF1155CC"/>
        <sz val="15.0"/>
        <u/>
      </rPr>
      <t>Un profesor jubilado de León gana un millón de euros gracias al "Kilito de Repsol"</t>
    </r>
    <r>
      <rPr>
        <rFont val="Arial, sans-serif"/>
        <color rgb="FF1155CC"/>
        <sz val="11.0"/>
        <u/>
      </rPr>
      <t>Un profesor jubilado de León, Pedro Diez, ha sido premiado con 'El kilito de Repsol', un millón de euros que esta empresa de hidrocarburos reparte desde el...</t>
    </r>
    <r>
      <rPr>
        <rFont val="Arial, sans-serif"/>
        <color rgb="FF1155CC"/>
        <sz val="12.0"/>
        <u/>
      </rPr>
      <t>.</t>
    </r>
    <r>
      <rPr>
        <rFont val="Arial, sans-serif"/>
        <color rgb="FF1155CC"/>
        <sz val="11.0"/>
        <u/>
      </rPr>
      <t>27 sept 2024</t>
    </r>
  </si>
  <si>
    <t>Un profesor jubilado de León gana un millón de euros gracias al "Kilito de Repsol"</t>
  </si>
  <si>
    <t>Un profesor jubilado de León, Pedro Diez, ha sido premiado con 'El kilito de Repsol', un millón de euros que esta empresa de hidrocarburos reparte desde el....</t>
  </si>
  <si>
    <t>A retired teacher from León wins a million euros thanks to the "Kilito de Repsol"</t>
  </si>
  <si>
    <t>A retired teacher from León, Pedro Diez, has been awarded 'El kilo de Repsol', one million euros that this hydrocarbon company distributes from the....</t>
  </si>
  <si>
    <t>Positive sentiment, reinforcing Repsol’s promotional success.</t>
  </si>
  <si>
    <t>Positive for brand-associated giveaway.</t>
  </si>
  <si>
    <t>Positivo para obsequio asociado a la marca.</t>
  </si>
  <si>
    <r>
      <rPr>
        <rFont val="Arial, sans-serif"/>
        <color rgb="FF1155CC"/>
        <sz val="9.0"/>
        <u/>
      </rPr>
      <t>Consenso del Mercado</t>
    </r>
    <r>
      <rPr>
        <rFont val="Arial, sans-serif"/>
        <color rgb="FF1155CC"/>
        <sz val="15.0"/>
        <u/>
      </rPr>
      <t>Análisis Técnico Ibex 35 El peor comportamiento relativo de Repsol contra el IBEX35, ¿cercano a un suelo?</t>
    </r>
    <r>
      <rPr>
        <rFont val="Arial, sans-serif"/>
        <color rgb="FF1155CC"/>
        <sz val="11.0"/>
        <u/>
      </rPr>
      <t>Renta 4 | Hace pocos días expusimos este análisis orientado al medio plazo, donde exponíamos la posibilidad de gestación de un importante rebote,...</t>
    </r>
    <r>
      <rPr>
        <rFont val="Arial, sans-serif"/>
        <color rgb="FF1155CC"/>
        <sz val="12.0"/>
        <u/>
      </rPr>
      <t>.</t>
    </r>
    <r>
      <rPr>
        <rFont val="Arial, sans-serif"/>
        <color rgb="FF1155CC"/>
        <sz val="11.0"/>
        <u/>
      </rPr>
      <t>27 sept 2024</t>
    </r>
  </si>
  <si>
    <t>Renta 4</t>
  </si>
  <si>
    <t>El peor comportamiento relativo de Repsol contra el IBEX35, ¿cercano a un suelo?</t>
  </si>
  <si>
    <t>Repsol's worst relative performance against the IBEX35, close to a bottom?</t>
  </si>
  <si>
    <t>Negative sentiment, indicating poor stock market performance.</t>
  </si>
  <si>
    <t>Negative for stock underperformance.</t>
  </si>
  <si>
    <t>Negativo por el bajo rendimiento de las acciones.</t>
  </si>
  <si>
    <r>
      <rPr>
        <rFont val="Arial, sans-serif"/>
        <color rgb="FF1155CC"/>
        <sz val="9.0"/>
        <u/>
      </rPr>
      <t>Yahoo Finanzas</t>
    </r>
    <r>
      <rPr>
        <rFont val="Arial, sans-serif"/>
        <color rgb="FF1155CC"/>
        <sz val="15.0"/>
        <u/>
      </rPr>
      <t>Repsol vs Ibex 35. Previsiones de suelo temporal y mejor comportamiento que el Ibex para la petrolera</t>
    </r>
    <r>
      <rPr>
        <rFont val="Arial, sans-serif"/>
        <color rgb="FF1155CC"/>
        <sz val="11.0"/>
        <u/>
      </rPr>
      <t>Tras la caídas sufridas en bolsa en lo que llevamos de año para Repsol, ¿se acerca a un suelo la petrolera? Los analistas de Renta 4 estudian el diferencial...</t>
    </r>
    <r>
      <rPr>
        <rFont val="Arial, sans-serif"/>
        <color rgb="FF1155CC"/>
        <sz val="12.0"/>
        <u/>
      </rPr>
      <t>.</t>
    </r>
    <r>
      <rPr>
        <rFont val="Arial, sans-serif"/>
        <color rgb="FF1155CC"/>
        <sz val="11.0"/>
        <u/>
      </rPr>
      <t>27 sept 2024</t>
    </r>
  </si>
  <si>
    <t>Repsol vs Ibex 35. Previsiones de suelo temporal y mejor comportamiento que el Ibex para la petrolera</t>
  </si>
  <si>
    <t>Tras las caídas sufridas en bolsa en lo que llevamos de año para Repsol, ¿se acerca a un suelo la petrolera? Los analistas de Renta 4 estudian el diferencial....</t>
  </si>
  <si>
    <t>Repsol vs Ibex 35. Temporary floor forecasts and better performance than the Ibex for the oil company</t>
  </si>
  <si>
    <t>After the falls suffered in the stock market so far this year for Repsol, is the oil company approaching a bottom? Renta 4 analysts study the differential....</t>
  </si>
  <si>
    <t>Slightly positive sentiment, suggesting a possible stock market recovery.</t>
  </si>
  <si>
    <t>Neutral; stock analysis.</t>
  </si>
  <si>
    <t>Neutral; análisis de acciones.</t>
  </si>
  <si>
    <r>
      <rPr>
        <rFont val="Arial, sans-serif"/>
        <color rgb="FF1155CC"/>
        <sz val="9.0"/>
        <u/>
      </rPr>
      <t>Radio Intereconomía</t>
    </r>
    <r>
      <rPr>
        <rFont val="Arial, sans-serif"/>
        <color rgb="FF1155CC"/>
        <sz val="15.0"/>
        <u/>
      </rPr>
      <t>Repsol Sinopec, Equinor y Petrobas explotarán el mayor campo de gas de Brasil en 2028</t>
    </r>
    <r>
      <rPr>
        <rFont val="Arial, sans-serif"/>
        <color rgb="FF1155CC"/>
        <sz val="11.0"/>
        <u/>
      </rPr>
      <t>La petrolera noruega Equinor, la chino-española Repsol Sinopec y la brasileña Petrobras comenzarán a explotar en 2028 el mayor campo de gas natural de...</t>
    </r>
    <r>
      <rPr>
        <rFont val="Arial, sans-serif"/>
        <color rgb="FF1155CC"/>
        <sz val="12.0"/>
        <u/>
      </rPr>
      <t>.</t>
    </r>
    <r>
      <rPr>
        <rFont val="Arial, sans-serif"/>
        <color rgb="FF1155CC"/>
        <sz val="11.0"/>
        <u/>
      </rPr>
      <t>27 sept 2024</t>
    </r>
  </si>
  <si>
    <t>Repsol Sinopec, Equinor y Petrobas explotarán el mayor campo de gas de Brasil en 2028</t>
  </si>
  <si>
    <t>La petrolera noruega Equinor, la chino-española Repsol Sinopec y la brasileña Petrobras comenzarán a explotar en 2028 el mayor campo de gas natural de....</t>
  </si>
  <si>
    <t>Repsol Sinopec, Equinor and Petrobas will exploit the largest gas field in Brazil in 2028</t>
  </si>
  <si>
    <t>The Norwegian oil company Equinor, the Chinese-Spanish Repsol Sinopec and the Brazilian Petrobras will begin to exploit the largest natural gas field in 2028....</t>
  </si>
  <si>
    <t>Positive sentiment, highlighting Repsol's involvement in a major energy project.</t>
  </si>
  <si>
    <t>explotarán</t>
  </si>
  <si>
    <t>Positive for future resource development.</t>
  </si>
  <si>
    <t>Positivo para el futuro desarrollo de recursos.</t>
  </si>
  <si>
    <r>
      <rPr>
        <rFont val="Arial, sans-serif"/>
        <color rgb="FF1155CC"/>
        <sz val="9.0"/>
        <u/>
      </rPr>
      <t>Expansión</t>
    </r>
    <r>
      <rPr>
        <rFont val="Arial, sans-serif"/>
        <color rgb="FF1155CC"/>
        <sz val="15.0"/>
        <u/>
      </rPr>
      <t>Repsol A Coruña inicia parada de mantenimiento con una inversión de 25 millones</t>
    </r>
    <r>
      <rPr>
        <rFont val="Arial, sans-serif"/>
        <color rgb="FF1155CC"/>
        <sz val="11.0"/>
        <u/>
      </rPr>
      <t>Repsol destina en su complejo de A Coruña 24,8 millones de euros a tareas de mantenimiento e innovación para avanzar hacia la descarbonización.</t>
    </r>
    <r>
      <rPr>
        <rFont val="Arial, sans-serif"/>
        <color rgb="FF1155CC"/>
        <sz val="12.0"/>
        <u/>
      </rPr>
      <t>.</t>
    </r>
    <r>
      <rPr>
        <rFont val="Arial, sans-serif"/>
        <color rgb="FF1155CC"/>
        <sz val="11.0"/>
        <u/>
      </rPr>
      <t>27 sept 2024</t>
    </r>
  </si>
  <si>
    <t>Repsol A Coruña inicia parada de mantenimiento con una inversión de 25 millones</t>
  </si>
  <si>
    <t>Repsol destina en su complejo de A Coruña 24,8 millones de euros a tareas de mantenimiento e innovación para avanzar hacia la descarbonización.</t>
  </si>
  <si>
    <t>Repsol A Coruña begins maintenance stoppage with an investment of 25 million</t>
  </si>
  <si>
    <t>Repsol allocates 24.8 million euros to maintenance and innovation tasks at its A Coruña complex to move towards decarbonization.</t>
  </si>
  <si>
    <t>Repsol energy infrastructure, business investment</t>
  </si>
  <si>
    <t>Infraestructuras energéticas de Repsol, inversión empresarial</t>
  </si>
  <si>
    <t>Positive sentiment, emphasizing Repsol’s investment in sustainability.</t>
  </si>
  <si>
    <t>Positive for infrastructure investment.</t>
  </si>
  <si>
    <t>Positivo para la inversión en infraestructura.</t>
  </si>
  <si>
    <r>
      <rPr>
        <rFont val="Arial, sans-serif"/>
        <color rgb="FF1155CC"/>
        <sz val="9.0"/>
        <u/>
      </rPr>
      <t>Leonoticias</t>
    </r>
    <r>
      <rPr>
        <rFont val="Arial, sans-serif"/>
        <color rgb="FF1155CC"/>
        <sz val="15.0"/>
        <u/>
      </rPr>
      <t>Un 'kilito' para el leonés Pedro Diez: «Voy a seguir viviendo igual, aunque es un respaldo»</t>
    </r>
    <r>
      <rPr>
        <rFont val="Arial, sans-serif"/>
        <color rgb="FF1155CC"/>
        <sz val="11.0"/>
        <u/>
      </rPr>
      <t>El leonés ganador de la promoción de Repsol utilizará el premio «como dice la gente para tapar agujeros», pero sobre todo «para echar una mano a mis tres...</t>
    </r>
    <r>
      <rPr>
        <rFont val="Arial, sans-serif"/>
        <color rgb="FF1155CC"/>
        <sz val="12.0"/>
        <u/>
      </rPr>
      <t>.</t>
    </r>
    <r>
      <rPr>
        <rFont val="Arial, sans-serif"/>
        <color rgb="FF1155CC"/>
        <sz val="11.0"/>
        <u/>
      </rPr>
      <t>27 sept 2024</t>
    </r>
  </si>
  <si>
    <t>Un 'kilito' para el leonés Pedro Diez: «Voy a seguir viviendo igual, aunque es un respaldo»</t>
  </si>
  <si>
    <t>«Voy a seguir viviendo igual, aunque es un respaldo». El leonés ganador de la promoción de Repsol utilizará el premio «como dice la gente para tapar agujeros», pero sobre todo «para echar una mano a mis tres....</t>
  </si>
  <si>
    <t>A 'kilito' for the Leonese Pedro Diez: "I am going to continue living the same, although it is a backup"</t>
  </si>
  <si>
    <t>"I'm going to continue living the same way, although it's a backup." The winner of the Repsol promotion from León will use the prize "as people say to plug holes", but above all "to lend a hand to my three...</t>
  </si>
  <si>
    <r>
      <rPr>
        <rFont val="Arial, sans-serif"/>
        <color rgb="FF1155CC"/>
        <sz val="9.0"/>
        <u/>
      </rPr>
      <t>Guía Repsol</t>
    </r>
    <r>
      <rPr>
        <rFont val="Arial, sans-serif"/>
        <color rgb="FF1155CC"/>
        <sz val="15.0"/>
        <u/>
      </rPr>
      <t>Pastelería centenaria en Ávila: 'La Barraqueña'</t>
    </r>
    <r>
      <rPr>
        <rFont val="Arial, sans-serif"/>
        <color rgb="FF1155CC"/>
        <sz val="11.0"/>
        <u/>
      </rPr>
      <t>Las famosas rosquillas Velí desearon durante décadas un feliz viaje a todos los conductores que atravesaban el Valle de Iruelas. Eran el principal reclamo...</t>
    </r>
    <r>
      <rPr>
        <rFont val="Arial, sans-serif"/>
        <color rgb="FF1155CC"/>
        <sz val="12.0"/>
        <u/>
      </rPr>
      <t>.</t>
    </r>
    <r>
      <rPr>
        <rFont val="Arial, sans-serif"/>
        <color rgb="FF1155CC"/>
        <sz val="11.0"/>
        <u/>
      </rPr>
      <t>27 sept 2024</t>
    </r>
  </si>
  <si>
    <t>Pastelería centenaria en Ávila: 'La Barraqueña'</t>
  </si>
  <si>
    <t>Las famosas rosquillas Velí desearon durante décadas un feliz viaje a todos los conductores que atravesaban el Valle de Iruelas. Eran el principal reclamo....</t>
  </si>
  <si>
    <t>Centennial pastry shop in Ávila: 'La Barraqueña'</t>
  </si>
  <si>
    <t>For decades, the famous Velí donuts wished all drivers who crossed the Iruelas Valley a happy trip. They were the main claim....</t>
  </si>
  <si>
    <r>
      <rPr>
        <rFont val="Arial, sans-serif"/>
        <color rgb="FF1155CC"/>
        <sz val="9.0"/>
        <u/>
      </rPr>
      <t>La Opinión A Coruña</t>
    </r>
    <r>
      <rPr>
        <rFont val="Arial, sans-serif"/>
        <color rgb="FF1155CC"/>
        <sz val="15.0"/>
        <u/>
      </rPr>
      <t>La Refinería de A Coruña comienza una parada programada en ocho plantas</t>
    </r>
    <r>
      <rPr>
        <rFont val="Arial, sans-serif"/>
        <color rgb="FF1155CC"/>
        <sz val="11.0"/>
        <u/>
      </rPr>
      <t>La Refinería de A Coruña, el Complejo Industrial de Repsol, comienza este viernes una parada programada en ocho plantas de su área de Combustibles,...</t>
    </r>
    <r>
      <rPr>
        <rFont val="Arial, sans-serif"/>
        <color rgb="FF1155CC"/>
        <sz val="12.0"/>
        <u/>
      </rPr>
      <t>.</t>
    </r>
    <r>
      <rPr>
        <rFont val="Arial, sans-serif"/>
        <color rgb="FF1155CC"/>
        <sz val="11.0"/>
        <u/>
      </rPr>
      <t>27 sept 2024</t>
    </r>
  </si>
  <si>
    <t>La Refinería de A Coruña comienza una parada programada en ocho plantas</t>
  </si>
  <si>
    <t>La Refinería de A Coruña, el Complejo Industrial de Repsol, comienza este viernes una parada programada en ocho plantas de su área de Combustibles,....</t>
  </si>
  <si>
    <t>The A Coruña Refinery begins a scheduled stoppage at eight plants</t>
  </si>
  <si>
    <t>The A Coruña Refinery, the Repsol Industrial Complex, begins a scheduled stoppage at eight plants in its Fuels area this Friday....</t>
  </si>
  <si>
    <t>Positive sentiment, focusing on Repsol’s planned maintenance for efficiency.</t>
  </si>
  <si>
    <t>Neutral; operational update.</t>
  </si>
  <si>
    <t>Neutral; Actualización operativa.</t>
  </si>
  <si>
    <r>
      <rPr>
        <rFont val="Arial, sans-serif"/>
        <color rgb="FF1155CC"/>
        <sz val="9.0"/>
        <u/>
      </rPr>
      <t>Bolsamania</t>
    </r>
    <r>
      <rPr>
        <rFont val="Arial, sans-serif"/>
        <color rgb="FF1155CC"/>
        <sz val="15.0"/>
        <u/>
      </rPr>
      <t>El peor comportamiento relativo de REPSOL contra el IBEX35 ¿cercano a un suelo?</t>
    </r>
    <r>
      <rPr>
        <rFont val="Arial, sans-serif"/>
        <color rgb="FF1155CC"/>
        <sz val="11.0"/>
        <u/>
      </rPr>
      <t>Hace pocos días expusimos este análisis orientado al medio plazo, donde exponíamos la posibilidad de gestación de un importante rebote, tras el que...</t>
    </r>
    <r>
      <rPr>
        <rFont val="Arial, sans-serif"/>
        <color rgb="FF1155CC"/>
        <sz val="12.0"/>
        <u/>
      </rPr>
      <t>.</t>
    </r>
    <r>
      <rPr>
        <rFont val="Arial, sans-serif"/>
        <color rgb="FF1155CC"/>
        <sz val="11.0"/>
        <u/>
      </rPr>
      <t>27 sept 2024</t>
    </r>
  </si>
  <si>
    <t>El peor comportamiento relativo de REPSOL contra el IBEX35 ¿cercano a un suelo?</t>
  </si>
  <si>
    <t>El peor comportamiento relativo de REPSOL contra el IBEX35 ¿cercano a un suelo? Hace pocos días expusimos este análisis orientado al medio plazo, donde exponíamos la posibilidad de gestación de un importante rebote, tras el que....</t>
  </si>
  <si>
    <t>The worst relative performance of REPSOL against the IBEX35, close to a bottom? A few days ago we presented this analysis aimed at the medium term, where we exposed the possibility of a significant rebound brewing, after which...</t>
  </si>
  <si>
    <t>Negative sentiment, indicating weak stock performance.</t>
  </si>
  <si>
    <r>
      <rPr>
        <rFont val="Arial, sans-serif"/>
        <color rgb="FF1155CC"/>
        <sz val="9.0"/>
        <u/>
      </rPr>
      <t>La Voz de Galicia</t>
    </r>
    <r>
      <rPr>
        <rFont val="Arial, sans-serif"/>
        <color rgb="FF1155CC"/>
        <sz val="15.0"/>
        <u/>
      </rPr>
      <t>La refinería de A Coruña contrata a 46 empresas con más de 700 trabajadores para su parada técnica</t>
    </r>
    <r>
      <rPr>
        <rFont val="Arial, sans-serif"/>
        <color rgb="FF1155CC"/>
        <sz val="11.0"/>
        <u/>
      </rPr>
      <t>En las tareas de mantenimiento e innovación, que durarán más de dos meses, Repsol invertirá 24,8 millones de euros.</t>
    </r>
    <r>
      <rPr>
        <rFont val="Arial, sans-serif"/>
        <color rgb="FF1155CC"/>
        <sz val="12.0"/>
        <u/>
      </rPr>
      <t>.</t>
    </r>
    <r>
      <rPr>
        <rFont val="Arial, sans-serif"/>
        <color rgb="FF1155CC"/>
        <sz val="11.0"/>
        <u/>
      </rPr>
      <t>27 sept 2024</t>
    </r>
  </si>
  <si>
    <t>La refinería de A Coruña contrata a 46 empresas con más de 700 trabajadores para su parada técnica</t>
  </si>
  <si>
    <t>En las tareas de mantenimiento e innovación, que durarán más de dos meses, Repsol invertirá 24,8 millones de euros.</t>
  </si>
  <si>
    <t>The A Coruña refinery hires 46 companies with more than 700 workers for its technical stoppage</t>
  </si>
  <si>
    <t>In the maintenance and innovation tasks, which will last more than two months, Repsol will invest 24.8 million euros.</t>
  </si>
  <si>
    <t>Positive sentiment, emphasizing job creation and investment in maintenance.</t>
  </si>
  <si>
    <t>contrata</t>
  </si>
  <si>
    <t>Positive for local employment.</t>
  </si>
  <si>
    <t>Positivo para el empleo local.</t>
  </si>
  <si>
    <r>
      <rPr>
        <rFont val="Arial, sans-serif"/>
        <color rgb="FF1155CC"/>
        <sz val="9.0"/>
        <u/>
      </rPr>
      <t>Diario de León</t>
    </r>
    <r>
      <rPr>
        <rFont val="Arial, sans-serif"/>
        <color rgb="FF1155CC"/>
        <sz val="15.0"/>
        <u/>
      </rPr>
      <t>Un leonés gana un millón de euros en la segunda campaña 'Con un kilito, un verano trankilito' de Repsol</t>
    </r>
    <r>
      <rPr>
        <rFont val="Arial, sans-serif"/>
        <color rgb="FF1155CC"/>
        <sz val="11.0"/>
        <u/>
      </rPr>
      <t>Un profesor jubilado leonés ganó este año la segunda edición de la campaña de Repsol 'Con un kilito, un verano trankilito', en la que se entrega un millón...</t>
    </r>
    <r>
      <rPr>
        <rFont val="Arial, sans-serif"/>
        <color rgb="FF1155CC"/>
        <sz val="12.0"/>
        <u/>
      </rPr>
      <t>.</t>
    </r>
    <r>
      <rPr>
        <rFont val="Arial, sans-serif"/>
        <color rgb="FF1155CC"/>
        <sz val="11.0"/>
        <u/>
      </rPr>
      <t>27 sept 2024</t>
    </r>
  </si>
  <si>
    <t>Un leonés gana un millón de euros en la segunda campaña 'Con un kilito, un verano trankilito' de Repsol</t>
  </si>
  <si>
    <t>Un profesor jubilado leonés ganó este año la segunda edición de la campaña de Repsol 'Con un kilito, un verano trankilito', en la que se entrega un millón....</t>
  </si>
  <si>
    <t>A man from Leon wins one million euros in Repsol's second campaign 'Con un kilolito, un Verano trankilito'</t>
  </si>
  <si>
    <t>A retired teacher from León won this year the second edition of the Repsol campaign 'With a kilo, a quiet summer', in which a million is awarded....</t>
  </si>
  <si>
    <t>Positive sentiment, highlighting Repsol's customer rewards.</t>
  </si>
  <si>
    <t>Positive for promotional campaign.</t>
  </si>
  <si>
    <t>Positivo para campaña promocional.</t>
  </si>
  <si>
    <r>
      <rPr>
        <rFont val="Arial, sans-serif"/>
        <color rgb="FF1155CC"/>
        <sz val="9.0"/>
        <u/>
      </rPr>
      <t>Repsol</t>
    </r>
    <r>
      <rPr>
        <rFont val="Arial, sans-serif"/>
        <color rgb="FF1155CC"/>
        <sz val="15.0"/>
        <u/>
      </rPr>
      <t>Mitos y realidades del coche eléctrico en España</t>
    </r>
    <r>
      <rPr>
        <rFont val="Arial, sans-serif"/>
        <color rgb="FF1155CC"/>
        <sz val="11.0"/>
        <u/>
      </rPr>
      <t>Hoy, el coche eléctrico ya se puede usar para hacer viajes largos por España. Según los expertos, las baterías tienen más autonomía y cada vez hay más...</t>
    </r>
    <r>
      <rPr>
        <rFont val="Arial, sans-serif"/>
        <color rgb="FF1155CC"/>
        <sz val="12.0"/>
        <u/>
      </rPr>
      <t>.</t>
    </r>
    <r>
      <rPr>
        <rFont val="Arial, sans-serif"/>
        <color rgb="FF1155CC"/>
        <sz val="11.0"/>
        <u/>
      </rPr>
      <t>27 sept 2024</t>
    </r>
  </si>
  <si>
    <t>Mitos y realidades del coche eléctrico en España</t>
  </si>
  <si>
    <t>Hoy, el coche eléctrico ya se puede usar para hacer viajes largos por España. Según los expertos, las baterías tienen más autonomía y cada vez hay más....</t>
  </si>
  <si>
    <t>Myths and realities of the electric car in Spain</t>
  </si>
  <si>
    <t>Today, the electric car can already be used to make long trips around Spain. According to experts, batteries have more autonomy and there are more and more....</t>
  </si>
  <si>
    <r>
      <rPr>
        <rFont val="Arial, sans-serif"/>
        <color rgb="FF1155CC"/>
        <sz val="9.0"/>
        <u/>
      </rPr>
      <t>La Nueva Crónica</t>
    </r>
    <r>
      <rPr>
        <rFont val="Arial, sans-serif"/>
        <color rgb="FF1155CC"/>
        <sz val="15.0"/>
        <u/>
      </rPr>
      <t>Un profesor jubilado de León se lleva un millón de euros por echar gasolina</t>
    </r>
    <r>
      <rPr>
        <rFont val="Arial, sans-serif"/>
        <color rgb="FF1155CC"/>
        <sz val="11.0"/>
        <u/>
      </rPr>
      <t>Pedro Diez Tocino ha recibido en su gasolinera habitual de La Granja el premio que sortea Repsol entre sus clientes: "Lo repartiré con mis tres hijos y...</t>
    </r>
    <r>
      <rPr>
        <rFont val="Arial, sans-serif"/>
        <color rgb="FF1155CC"/>
        <sz val="12.0"/>
        <u/>
      </rPr>
      <t>.</t>
    </r>
    <r>
      <rPr>
        <rFont val="Arial, sans-serif"/>
        <color rgb="FF1155CC"/>
        <sz val="11.0"/>
        <u/>
      </rPr>
      <t>27 sept 2024</t>
    </r>
  </si>
  <si>
    <t>La Nueva Crónica</t>
  </si>
  <si>
    <t>Un profesor jubilado de León se lleva un millón de euros por echar gasolina</t>
  </si>
  <si>
    <t>Un profesor jubilado de León se lleva un millón de euros por echar gasolina. Pedro Diez Tocino ha recibido en su gasolinera habitual de La Granja el premio que sortea Repsol entre sus clientes: "Lo repartiré con mis tres hijos y....</t>
  </si>
  <si>
    <t>A retired teacher from León takes a million euros for pumping gasoline</t>
  </si>
  <si>
    <t>A retired teacher from León takes a million euros for pumping gasoline. Pedro Diez Tocino has received the prize that Repsol raffles among its clients at his usual gas station in La Granja: "I will share it with my three children and...</t>
  </si>
  <si>
    <t>Positive sentiment, reinforcing Repsol’s promotional campaign.</t>
  </si>
  <si>
    <t>Positive for customer reward.</t>
  </si>
  <si>
    <t>Positivo para la recompensa del cliente.</t>
  </si>
  <si>
    <r>
      <rPr>
        <rFont val="Arial, sans-serif"/>
        <color rgb="FF1155CC"/>
        <sz val="9.0"/>
        <u/>
      </rPr>
      <t>Merca2.es</t>
    </r>
    <r>
      <rPr>
        <rFont val="Arial, sans-serif"/>
        <color rgb="FF1155CC"/>
        <sz val="15.0"/>
        <u/>
      </rPr>
      <t>Repsol premia a un vecino de León con 1 millón de euros por usar Waylet en sus gasolineras</t>
    </r>
    <r>
      <rPr>
        <rFont val="Arial, sans-serif"/>
        <color rgb="FF1155CC"/>
        <sz val="11.0"/>
        <u/>
      </rPr>
      <t>La compañía Repsol, una de las principales empresas energéticas de España, ha entregado este viernes un premio de un millón de euros a un afortunado...</t>
    </r>
    <r>
      <rPr>
        <rFont val="Arial, sans-serif"/>
        <color rgb="FF1155CC"/>
        <sz val="12.0"/>
        <u/>
      </rPr>
      <t>.</t>
    </r>
    <r>
      <rPr>
        <rFont val="Arial, sans-serif"/>
        <color rgb="FF1155CC"/>
        <sz val="11.0"/>
        <u/>
      </rPr>
      <t>27 sept 2024</t>
    </r>
  </si>
  <si>
    <t>Repsol premia a un vecino de León con 1 millón de euros por usar Waylet en sus gasolineras</t>
  </si>
  <si>
    <t>La compañía Repsol, una de las principales empresas energéticas de España, ha entregado este viernes un premio de un millón de euros a un afortunado....</t>
  </si>
  <si>
    <t>Repsol rewards a resident of León with 1 million euros for using Waylet at his gas stations</t>
  </si>
  <si>
    <t>The Repsol company, one of the main energy companies in Spain, has awarded this Friday a prize of one million euros to a lucky person....</t>
  </si>
  <si>
    <t>Positive sentiment, promoting Repsol’s digital payment system.</t>
  </si>
  <si>
    <t>Positive for customer engagement.</t>
  </si>
  <si>
    <t>Positivo para la participación del cliente.</t>
  </si>
  <si>
    <r>
      <rPr>
        <rFont val="Arial, sans-serif"/>
        <color rgb="FF1155CC"/>
        <sz val="9.0"/>
        <u/>
      </rPr>
      <t>Guía Repsol</t>
    </r>
    <r>
      <rPr>
        <rFont val="Arial, sans-serif"/>
        <color rgb="FF1155CC"/>
        <sz val="15.0"/>
        <u/>
      </rPr>
      <t>En bici por el Camino Natural Vía Verde del Cidacos (La Rioja)</t>
    </r>
    <r>
      <rPr>
        <rFont val="Arial, sans-serif"/>
        <color rgb="FF1155CC"/>
        <sz val="11.0"/>
        <u/>
      </rPr>
      <t>Ruta en bici por la Vía Verde del Cidacos: un recorrido fácil y divertido para disfrutar de La Rioja. Recorre en bici la antigua vía férrea del Cidacos y...</t>
    </r>
    <r>
      <rPr>
        <rFont val="Arial, sans-serif"/>
        <color rgb="FF1155CC"/>
        <sz val="12.0"/>
        <u/>
      </rPr>
      <t>.</t>
    </r>
    <r>
      <rPr>
        <rFont val="Arial, sans-serif"/>
        <color rgb="FF1155CC"/>
        <sz val="11.0"/>
        <u/>
      </rPr>
      <t>27 sept 2024</t>
    </r>
  </si>
  <si>
    <t>En bici por el Camino Natural Vía Verde del Cidacos (La Rioja)</t>
  </si>
  <si>
    <t>Ruta en bici por la Vía Verde del Cidacos: un recorrido fácil y divertido para disfrutar de La Rioja. Recorre en bici la antigua vía férrea del Cidacos y....</t>
  </si>
  <si>
    <t>By bike along the Cidacos Greenway Natural Trail (La Rioja)</t>
  </si>
  <si>
    <t>Bike route along the Cidacos Greenway: an easy and fun route to enjoy La Rioja. Cycle along the old Cidacos railway line and...</t>
  </si>
  <si>
    <r>
      <rPr>
        <rFont val="Arial, sans-serif"/>
        <color rgb="FF1155CC"/>
        <sz val="9.0"/>
        <u/>
      </rPr>
      <t>El Confidencial</t>
    </r>
    <r>
      <rPr>
        <rFont val="Arial, sans-serif"/>
        <color rgb="FF1155CC"/>
        <sz val="15.0"/>
        <u/>
      </rPr>
      <t>¿Biomasa para producir renovables? El plan de España para ser energéticamente independiente</t>
    </r>
    <r>
      <rPr>
        <rFont val="Arial, sans-serif"/>
        <color rgb="FF1155CC"/>
        <sz val="11.0"/>
        <u/>
      </rPr>
      <t>El campo español tiene la capacidad, la superficie y las herramientas para desarrollar energía renovable. Todo ello para reducir emisiones a la vez que...</t>
    </r>
    <r>
      <rPr>
        <rFont val="Arial, sans-serif"/>
        <color rgb="FF1155CC"/>
        <sz val="12.0"/>
        <u/>
      </rPr>
      <t>.</t>
    </r>
    <r>
      <rPr>
        <rFont val="Arial, sans-serif"/>
        <color rgb="FF1155CC"/>
        <sz val="11.0"/>
        <u/>
      </rPr>
      <t>27 sept 2024</t>
    </r>
  </si>
  <si>
    <t>¿Biomasa para producir renovables? El plan de España para ser energéticamente independiente</t>
  </si>
  <si>
    <t>El campo español tiene la capacidad, la superficie y las herramientas para desarrollar energía renovable. Todo ello para reducir emisiones a la vez que....</t>
  </si>
  <si>
    <t>Biomass to produce renewables? Spain's plan to be energy independent</t>
  </si>
  <si>
    <t>The Spanish countryside has the capacity, the surface and the tools to develop renewable energy. All this to reduce emissions while...</t>
  </si>
  <si>
    <r>
      <rPr>
        <rFont val="Arial, sans-serif"/>
        <color rgb="FF1155CC"/>
        <sz val="9.0"/>
        <u/>
      </rPr>
      <t>Estrategias de Inversión</t>
    </r>
    <r>
      <rPr>
        <rFont val="Arial, sans-serif"/>
        <color rgb="FF1155CC"/>
        <sz val="15.0"/>
        <u/>
      </rPr>
      <t>El Ibex 35, a punto de los 12.000 puntos ante las subidas lideradas por Repsol y Grifols</t>
    </r>
    <r>
      <rPr>
        <rFont val="Arial, sans-serif"/>
        <color rgb="FF1155CC"/>
        <sz val="11.0"/>
        <u/>
      </rPr>
      <t>El Ibex 35 se acerca a los 12.000 puntos en una sesión alcista en las bolsas europeas. Valores que más suben y que más bajan del Ibex 35 este viernes 27...</t>
    </r>
    <r>
      <rPr>
        <rFont val="Arial, sans-serif"/>
        <color rgb="FF1155CC"/>
        <sz val="12.0"/>
        <u/>
      </rPr>
      <t>.</t>
    </r>
    <r>
      <rPr>
        <rFont val="Arial, sans-serif"/>
        <color rgb="FF1155CC"/>
        <sz val="11.0"/>
        <u/>
      </rPr>
      <t>27 sept 2024</t>
    </r>
  </si>
  <si>
    <t>El Ibex 35, a punto de los 12.000 puntos ante las subidas lideradas por Repsol y Grifols</t>
  </si>
  <si>
    <t>El Ibex 35 se acerca a los 12.000 puntos en una sesión alcista en las bolsas europeas. Valores que más suben y que más bajan del Ibex 35 este viernes 27....</t>
  </si>
  <si>
    <t>The Ibex 35, close to 12,000 points due to the increases led by Repsol and Grifols</t>
  </si>
  <si>
    <t>The Ibex 35 is approaching 12,000 points in a bullish session on the European stock markets. Values ​​that rise the most and fall the most on the Ibex 35 this Friday the 27th....</t>
  </si>
  <si>
    <t>Positive sentiment, showing Repsol’s role in stock market gains.</t>
  </si>
  <si>
    <t>subidas</t>
  </si>
  <si>
    <t>Positive for stock performance.</t>
  </si>
  <si>
    <t>Positivo para el rendimiento de las acciones.</t>
  </si>
  <si>
    <r>
      <rPr>
        <rFont val="Arial, sans-serif"/>
        <color rgb="FF1155CC"/>
        <sz val="9.0"/>
        <u/>
      </rPr>
      <t>IG</t>
    </r>
    <r>
      <rPr>
        <rFont val="Arial, sans-serif"/>
        <color rgb="FF1155CC"/>
        <sz val="15.0"/>
        <u/>
      </rPr>
      <t>Ibex 35 hoy: a las puertas de los 12000 puntos impulsado por estímulos en China y tecnología</t>
    </r>
    <r>
      <rPr>
        <rFont val="Arial, sans-serif"/>
        <color rgb="FF1155CC"/>
        <sz val="11.0"/>
        <u/>
      </rPr>
      <t>El IBEX 35 sube moderadamente impulsado por estímulos de China y tecnología, con sector bancario en baja.</t>
    </r>
    <r>
      <rPr>
        <rFont val="Arial, sans-serif"/>
        <color rgb="FF1155CC"/>
        <sz val="12.0"/>
        <u/>
      </rPr>
      <t>.</t>
    </r>
    <r>
      <rPr>
        <rFont val="Arial, sans-serif"/>
        <color rgb="FF1155CC"/>
        <sz val="11.0"/>
        <u/>
      </rPr>
      <t>27 sept 2024</t>
    </r>
  </si>
  <si>
    <t>IBEX 35</t>
  </si>
  <si>
    <t>IBEX 35 hoy: a las puertas de los 12000 puntos impulsado por estímulos en China y tecnología</t>
  </si>
  <si>
    <t>El IBEX 35 sube moderadamente impulsado por estímulos de China y tecnología, con sector bancario en baja.</t>
  </si>
  <si>
    <t>IBEX 35 today: on the verge of 12,000 points driven by stimuli in China and technology</t>
  </si>
  <si>
    <t>The IBEX 35 rises moderately, driven by stimuli from China and technology, with the banking sector declining.</t>
  </si>
  <si>
    <r>
      <rPr>
        <rFont val="Arial, sans-serif"/>
        <color rgb="FF1155CC"/>
        <sz val="9.0"/>
        <u/>
      </rPr>
      <t>Box Repsol</t>
    </r>
    <r>
      <rPr>
        <rFont val="Arial, sans-serif"/>
        <color rgb="FF1155CC"/>
        <sz val="15.0"/>
        <u/>
      </rPr>
      <t>Resultados de los entrenamientos del GP de Indonesia MotoGP</t>
    </r>
    <r>
      <rPr>
        <rFont val="Arial, sans-serif"/>
        <color rgb="FF1155CC"/>
        <sz val="11.0"/>
        <u/>
      </rPr>
      <t>Sin apenas descanso tras el Gran Premio de Emilia Romagna vivido la semana pasada en Misano, el Mundial de MotoGP ha cruzado medio mundo para celebrar esta...</t>
    </r>
    <r>
      <rPr>
        <rFont val="Arial, sans-serif"/>
        <color rgb="FF1155CC"/>
        <sz val="12.0"/>
        <u/>
      </rPr>
      <t>.</t>
    </r>
    <r>
      <rPr>
        <rFont val="Arial, sans-serif"/>
        <color rgb="FF1155CC"/>
        <sz val="11.0"/>
        <u/>
      </rPr>
      <t>27 sept 2024</t>
    </r>
  </si>
  <si>
    <t>Resultados de los entrenamientos del GP de Indonesia MotoGP</t>
  </si>
  <si>
    <t>Resultados de los entrenamientos del GP de Indonesia MotoGP: sin apenas descanso tras el Gran Premio de Emilia Romagna vivido la semana pasada en Misano, el Mundial de MotoGP ha cruzado medio mundo para celebrar esta....</t>
  </si>
  <si>
    <t>Indonesian GP MotoGP practice results</t>
  </si>
  <si>
    <t>Indonesian MotoGP GP practice results: with hardly any rest after the Emilia Romagna Grand Prix held last week in Misano, the MotoGP World Championship has crossed half the world to celebrate this....</t>
  </si>
  <si>
    <r>
      <rPr>
        <rFont val="Arial, sans-serif"/>
        <color rgb="FF1155CC"/>
        <sz val="9.0"/>
        <u/>
      </rPr>
      <t>Málaga Hoy</t>
    </r>
    <r>
      <rPr>
        <rFont val="Arial, sans-serif"/>
        <color rgb="FF1155CC"/>
        <sz val="15.0"/>
        <u/>
      </rPr>
      <t>Este es uno de los restaurantes con las mejores vistas de la bahía de Málaga</t>
    </r>
    <r>
      <rPr>
        <rFont val="Arial, sans-serif"/>
        <color rgb="FF1155CC"/>
        <sz val="11.0"/>
        <u/>
      </rPr>
      <t>Mi Niña Lola es uno de los restaurantes con mejores vistas de Málaga por su ubicación privilegiada.</t>
    </r>
    <r>
      <rPr>
        <rFont val="Arial, sans-serif"/>
        <color rgb="FF1155CC"/>
        <sz val="12.0"/>
        <u/>
      </rPr>
      <t>.</t>
    </r>
    <r>
      <rPr>
        <rFont val="Arial, sans-serif"/>
        <color rgb="FF1155CC"/>
        <sz val="11.0"/>
        <u/>
      </rPr>
      <t>27 sept 2024</t>
    </r>
  </si>
  <si>
    <t>Este es uno de los restaurantes con las mejores vistas de la bahía de Málaga</t>
  </si>
  <si>
    <t>Mi Niña Lola es uno de los restaurantes con mejores vistas de Málaga por su ubicación privilegiada.</t>
  </si>
  <si>
    <t>This is one of the restaurants with the best views of the bay of Malaga</t>
  </si>
  <si>
    <t>Mi Niña Lola is one of the restaurants with the best views in Malaga due to its privileged location.</t>
  </si>
  <si>
    <r>
      <rPr>
        <rFont val="Arial, sans-serif"/>
        <color rgb="FF1155CC"/>
        <sz val="9.0"/>
        <u/>
      </rPr>
      <t>Bon Viveur</t>
    </r>
    <r>
      <rPr>
        <rFont val="Arial, sans-serif"/>
        <color rgb="FF1155CC"/>
        <sz val="15.0"/>
        <u/>
      </rPr>
      <t>Los 5 mejores restaurantes de Extremadura</t>
    </r>
    <r>
      <rPr>
        <rFont val="Arial, sans-serif"/>
        <color rgb="FF1155CC"/>
        <sz val="11.0"/>
        <u/>
      </rPr>
      <t>Seleccionamos los mejores restaurantes de Extremadura para recorras la región de bocado en bocado descubriendo los mejores productos y el trabajo de...</t>
    </r>
    <r>
      <rPr>
        <rFont val="Arial, sans-serif"/>
        <color rgb="FF1155CC"/>
        <sz val="12.0"/>
        <u/>
      </rPr>
      <t>.</t>
    </r>
    <r>
      <rPr>
        <rFont val="Arial, sans-serif"/>
        <color rgb="FF1155CC"/>
        <sz val="11.0"/>
        <u/>
      </rPr>
      <t>27 sept 2024</t>
    </r>
  </si>
  <si>
    <t>Los 5 mejores restaurantes de Extremadura</t>
  </si>
  <si>
    <t>Seleccionamos los mejores restaurantes de Extremadura para recorras la región de bocado en bocado descubriendo los mejores productos y el trabajo de....</t>
  </si>
  <si>
    <t>The 5 best restaurants in Extremadura</t>
  </si>
  <si>
    <t>We select the best restaurants in Extremadura so you can tour the region bite by bite discovering the best products and the work of...</t>
  </si>
  <si>
    <r>
      <rPr>
        <rFont val="Arial, sans-serif"/>
        <color rgb="FF1155CC"/>
        <sz val="9.0"/>
        <u/>
      </rPr>
      <t>Expansión</t>
    </r>
    <r>
      <rPr>
        <rFont val="Arial, sans-serif"/>
        <color rgb="FF1155CC"/>
        <sz val="15.0"/>
        <u/>
      </rPr>
      <t>Iberdrola, Repsol y Endesa tienen 7.000 puntos de recarga 'parados'</t>
    </r>
    <r>
      <rPr>
        <rFont val="Arial, sans-serif"/>
        <color rgb="FF1155CC"/>
        <sz val="11.0"/>
        <u/>
      </rPr>
      <t>La infraestructura de recarga es una de las piedras en el zapato para el despegue de la movilidad eléctrica en España. Los tediosos y complejos trámites...</t>
    </r>
    <r>
      <rPr>
        <rFont val="Arial, sans-serif"/>
        <color rgb="FF1155CC"/>
        <sz val="12.0"/>
        <u/>
      </rPr>
      <t>.</t>
    </r>
    <r>
      <rPr>
        <rFont val="Arial, sans-serif"/>
        <color rgb="FF1155CC"/>
        <sz val="11.0"/>
        <u/>
      </rPr>
      <t>28 sept 2024</t>
    </r>
  </si>
  <si>
    <t>Iberdrola, Repsol y Endesa tienen 7.000 puntos de recarga 'parados'</t>
  </si>
  <si>
    <t>La infraestructura de recarga es una de las piedras en el zapato para el despegue de la movilidad eléctrica en España. Los tediosos y complejos trámites....</t>
  </si>
  <si>
    <t>Iberdrola, Repsol and Endesa have 7,000 charging points 'unemployed'</t>
  </si>
  <si>
    <t>The charging infrastructure is one of the stones in the shoe for the take-off of electric mobility in Spain. The tedious and complex procedures....</t>
  </si>
  <si>
    <t>Repsol energy transition, business challenges</t>
  </si>
  <si>
    <t>Transición energética de Repsol, retos empresariales</t>
  </si>
  <si>
    <t>Slightly negative sentiment, pointing out the inefficiencies in charging infrastructure.</t>
  </si>
  <si>
    <t>parados</t>
  </si>
  <si>
    <t>Negative for stalled EV infrastructure.</t>
  </si>
  <si>
    <t>Negativo para la infraestructura de vehículos eléctricos estancada.</t>
  </si>
  <si>
    <r>
      <rPr>
        <rFont val="Arial, sans-serif"/>
        <color rgb="FF1155CC"/>
        <sz val="9.0"/>
        <u/>
      </rPr>
      <t>Box Repsol</t>
    </r>
    <r>
      <rPr>
        <rFont val="Arial, sans-serif"/>
        <color rgb="FF1155CC"/>
        <sz val="15.0"/>
        <u/>
      </rPr>
      <t>Resultados de la clasificación del GP de Indonesia de MotoGP</t>
    </r>
    <r>
      <rPr>
        <rFont val="Arial, sans-serif"/>
        <color rgb="FF1155CC"/>
        <sz val="11.0"/>
        <u/>
      </rPr>
      <t>Sexta Pole Position del curso para Jorge Martín. Al madrileño le acompañan en primera fila Marco Bezzecchi y Pedro Acosta.</t>
    </r>
    <r>
      <rPr>
        <rFont val="Arial, sans-serif"/>
        <color rgb="FF1155CC"/>
        <sz val="12.0"/>
        <u/>
      </rPr>
      <t>.</t>
    </r>
    <r>
      <rPr>
        <rFont val="Arial, sans-serif"/>
        <color rgb="FF1155CC"/>
        <sz val="11.0"/>
        <u/>
      </rPr>
      <t>28 sept 2024</t>
    </r>
  </si>
  <si>
    <t>Sexta Pole Position del curso para Jorge Martín. Al madrileño le acompañan en primera fila Marco Bezzecchi y Pedro Acosta.</t>
  </si>
  <si>
    <t>Sixth Pole Position of the course for Jorge Martín. The Madrid native is accompanied in the front row by Marco Bezzecchi and Pedro Acosta.</t>
  </si>
  <si>
    <r>
      <rPr>
        <rFont val="Arial, sans-serif"/>
        <color rgb="FF1155CC"/>
        <sz val="9.0"/>
        <u/>
      </rPr>
      <t>Infobae</t>
    </r>
    <r>
      <rPr>
        <rFont val="Arial, sans-serif"/>
        <color rgb="FF1155CC"/>
        <sz val="15.0"/>
        <u/>
      </rPr>
      <t>AMLO no sólo se pelea con Felipe VI y Pedro Sánchez: estas son las empresas españolas que han estado en el punto de mira del presidente mexicano</t>
    </r>
    <r>
      <rPr>
        <rFont val="Arial, sans-serif"/>
        <color rgb="FF1155CC"/>
        <sz val="11.0"/>
        <u/>
      </rPr>
      <t>Andrés Manuel López Obrador ha acusado a Repsol, Iberdrola y OHL de “saqueo y corrupción”. En respuesta, Ignacio Sánchez Galán, el presidente de la empresa...</t>
    </r>
    <r>
      <rPr>
        <rFont val="Arial, sans-serif"/>
        <color rgb="FF1155CC"/>
        <sz val="12.0"/>
        <u/>
      </rPr>
      <t>.</t>
    </r>
    <r>
      <rPr>
        <rFont val="Arial, sans-serif"/>
        <color rgb="FF1155CC"/>
        <sz val="11.0"/>
        <u/>
      </rPr>
      <t>28 sept 2024</t>
    </r>
  </si>
  <si>
    <t>AMLO no sólo se pelea con Felipe VI y Pedro Sánchez: estas son las empresas españolas que han estado en el punto de mira del presidente mexicano</t>
  </si>
  <si>
    <t>Andrés Manuel López Obrador ha acusado a Repsol, Iberdrola y OHL de “saqueo y corrupción”. En respuesta, Ignacio Sánchez Galán, el presidente de la empresa....</t>
  </si>
  <si>
    <t>AMLO not only fights with Felipe VI and Pedro Sánchez: these are the Spanish companies that have been in the crosshairs of the Mexican president</t>
  </si>
  <si>
    <t>Andrés Manuel López Obrador has accused Repsol, Iberdrola and OHL of “looting and corruption.” In response, Ignacio Sánchez Galán, the president of the company....</t>
  </si>
  <si>
    <t>Repsol political risk, geopolitical challenges</t>
  </si>
  <si>
    <t>Riesgo político de Repsol, retos geopolíticos</t>
  </si>
  <si>
    <t>Negative sentiment, highlighting political tensions and accusations against Repsol.</t>
  </si>
  <si>
    <t>Neutral; political context.</t>
  </si>
  <si>
    <t>Neutral; contexto político.</t>
  </si>
  <si>
    <r>
      <rPr>
        <rFont val="Arial, sans-serif"/>
        <color rgb="FF1155CC"/>
        <sz val="9.0"/>
        <u/>
      </rPr>
      <t>Diari de Tarragona</t>
    </r>
    <r>
      <rPr>
        <rFont val="Arial, sans-serif"/>
        <color rgb="FF1155CC"/>
        <sz val="15.0"/>
        <u/>
      </rPr>
      <t>Salou acoge una cena solidaria con 4 grandes chefs de Tarragona para luchar contra el ictus</t>
    </r>
    <r>
      <rPr>
        <rFont val="Arial, sans-serif"/>
        <color rgb="FF1155CC"/>
        <sz val="11.0"/>
        <u/>
      </rPr>
      <t>La terraza Summit del Hotel Olympus Palace de Salou celebra el próximo jueves -día 3 de octubre- la cena benéfica para luchar contra la enfermedad del...</t>
    </r>
    <r>
      <rPr>
        <rFont val="Arial, sans-serif"/>
        <color rgb="FF1155CC"/>
        <sz val="12.0"/>
        <u/>
      </rPr>
      <t>.</t>
    </r>
    <r>
      <rPr>
        <rFont val="Arial, sans-serif"/>
        <color rgb="FF1155CC"/>
        <sz val="11.0"/>
        <u/>
      </rPr>
      <t>28 sept 2024</t>
    </r>
  </si>
  <si>
    <t>Salou acoge una cena solidaria con 4 grandes chefs de Tarragona para luchar contra el ictus</t>
  </si>
  <si>
    <t>La terraza Summit del Hotel Olympus Palace de Salou celebra el próximo jueves -día 3 de octubre- la cena benéfica para luchar contra la enfermedad del....</t>
  </si>
  <si>
    <t>Salou hosts a solidarity dinner with 4 great chefs from Tarragona to fight against stroke</t>
  </si>
  <si>
    <t>The Summit terrace of the Olympus Palace Hotel in Salou celebrates next Thursday - October 3 - the charity dinner to fight against the disease....</t>
  </si>
  <si>
    <r>
      <rPr>
        <rFont val="Arial, sans-serif"/>
        <color rgb="FF1155CC"/>
        <sz val="9.0"/>
        <u/>
      </rPr>
      <t>El Independiente</t>
    </r>
    <r>
      <rPr>
        <rFont val="Arial, sans-serif"/>
        <color rgb="FF1155CC"/>
        <sz val="15.0"/>
        <u/>
      </rPr>
      <t>467 kilómetros a pie, el cortejo funerario que resucitó a José Antonio y la Falange</t>
    </r>
    <r>
      <rPr>
        <rFont val="Arial, sans-serif"/>
        <color rgb="FF1155CC"/>
        <sz val="11.0"/>
        <u/>
      </rPr>
      <t>Fueron 467 kilómetros oscuros en pleno otoño. Recorridos a pie, con su féretro al hombro, día y noche, entre Alicante y Madrid. Once días victoriosos para.</t>
    </r>
    <r>
      <rPr>
        <rFont val="Arial, sans-serif"/>
        <color rgb="FF1155CC"/>
        <sz val="12.0"/>
        <u/>
      </rPr>
      <t>.</t>
    </r>
    <r>
      <rPr>
        <rFont val="Arial, sans-serif"/>
        <color rgb="FF1155CC"/>
        <sz val="11.0"/>
        <u/>
      </rPr>
      <t>28 sept 2024</t>
    </r>
  </si>
  <si>
    <t>467 kilómetros a pie, el cortejo funerario que resucitó a José Antonio y la Falange</t>
  </si>
  <si>
    <t>Fueron 467 kilómetros oscuros en pleno otoño. Recorridos a pie, con su féretro al hombro, día y noche, entre Alicante y Madrid. Once días victoriosos para..</t>
  </si>
  <si>
    <t>467 kilometers on foot, the funeral procession that resurrected José Antonio and the Falange</t>
  </si>
  <si>
    <t>It was 467 dark kilometers in the middle of autumn. Walking tours, with his coffin on his shoulder, day and night, between Alicante and Madrid. Eleven victorious days for...</t>
  </si>
  <si>
    <r>
      <rPr>
        <rFont val="Arial, sans-serif"/>
        <color rgb="FF1155CC"/>
        <sz val="9.0"/>
        <u/>
      </rPr>
      <t>Box Repsol</t>
    </r>
    <r>
      <rPr>
        <rFont val="Arial, sans-serif"/>
        <color rgb="FF1155CC"/>
        <sz val="15.0"/>
        <u/>
      </rPr>
      <t>Resultados de la carrera sprint del GP de Indonesia de MotoGP</t>
    </r>
    <r>
      <rPr>
        <rFont val="Arial, sans-serif"/>
        <color rgb="FF1155CC"/>
        <sz val="11.0"/>
        <u/>
      </rPr>
      <t>Un nuevo error de Martín vuelve a apretar la tabla general. 'Pecco', Bastianini y M. Márquez no fallaron y completaron el Top 3. Luca Marini, sábado sprint,...</t>
    </r>
    <r>
      <rPr>
        <rFont val="Arial, sans-serif"/>
        <color rgb="FF1155CC"/>
        <sz val="12.0"/>
        <u/>
      </rPr>
      <t>.</t>
    </r>
    <r>
      <rPr>
        <rFont val="Arial, sans-serif"/>
        <color rgb="FF1155CC"/>
        <sz val="11.0"/>
        <u/>
      </rPr>
      <t>28 sept 2024</t>
    </r>
  </si>
  <si>
    <t>Resultados de la carrera sprint del GP de Indonesia de MotoGP</t>
  </si>
  <si>
    <t>Un nuevo error de Martín vuelve a apretar la tabla general. 'Pecco', Bastianini y M. Márquez no fallaron y completaron el Top 3. Luca Marini, sábado sprint,...</t>
  </si>
  <si>
    <t>MotoGP Indonesian GP sprint race results</t>
  </si>
  <si>
    <t>A new error by Martín once again tightens the general table. 'Pecco', Bastianini and M. Márquez did not fail and completed the Top 3. Luca Marini, Saturday sprint,...</t>
  </si>
  <si>
    <r>
      <rPr>
        <rFont val="Arial, sans-serif"/>
        <color rgb="FF1155CC"/>
        <sz val="9.0"/>
        <u/>
      </rPr>
      <t>Faro de Vigo</t>
    </r>
    <r>
      <rPr>
        <rFont val="Arial, sans-serif"/>
        <color rgb="FF1155CC"/>
        <sz val="15.0"/>
        <u/>
      </rPr>
      <t>Estos tres pueblos de Ourense figuran entre "los más hermosos" de Galicia, según la Guía Repsol</t>
    </r>
    <r>
      <rPr>
        <rFont val="Arial, sans-serif"/>
        <color rgb="FF1155CC"/>
        <sz val="11.0"/>
        <u/>
      </rPr>
      <t>Los tres pueblos de Ourense que la Guía Repsol sitúa entre los "más hermosos" de Galicia. / Turismo de Ribadavia. Uxía Miranda. 29 SEPT 2024 11:23.</t>
    </r>
    <r>
      <rPr>
        <rFont val="Arial, sans-serif"/>
        <color rgb="FF1155CC"/>
        <sz val="12.0"/>
        <u/>
      </rPr>
      <t>.</t>
    </r>
    <r>
      <rPr>
        <rFont val="Arial, sans-serif"/>
        <color rgb="FF1155CC"/>
        <sz val="11.0"/>
        <u/>
      </rPr>
      <t>29 sept 2024</t>
    </r>
  </si>
  <si>
    <t>Estos tres pueblos de Ourense figuran entre "los más hermosos" de Galicia, según la Guía Repsol</t>
  </si>
  <si>
    <t>Los tres pueblos de Ourense que la Guía Repsol sitúa entre los "más hermosos" de Galicia. / Turismo de Ribadavia. Uxía Miranda.</t>
  </si>
  <si>
    <t>These three towns in Ourense are among "the most beautiful" in Galicia, according to the Repsol Guide</t>
  </si>
  <si>
    <t>The three towns of Ourense that the Repsol Guide places among the "most beautiful" in Galicia. / Ribadavia Tourism. Uxía Miranda.</t>
  </si>
  <si>
    <r>
      <rPr>
        <rFont val="Arial, sans-serif"/>
        <color rgb="FF1155CC"/>
        <sz val="9.0"/>
        <u/>
      </rPr>
      <t>El Mundo</t>
    </r>
    <r>
      <rPr>
        <rFont val="Arial, sans-serif"/>
        <color rgb="FF1155CC"/>
        <sz val="15.0"/>
        <u/>
      </rPr>
      <t>EEUU estudia "muy atentamente" la revocación de licencias a Repsol y otras petroleras en Venezuela para presionar a Maduro</t>
    </r>
    <r>
      <rPr>
        <rFont val="Arial, sans-serif"/>
        <color rgb="FF1155CC"/>
        <sz val="11.0"/>
        <u/>
      </rPr>
      <t>Lo insinuó primero el pasado día 20 el enviado por el Departamento de Estado, Kevin Sullivan, en una tormentosa comparecencia en el Congreso estadounidense,...</t>
    </r>
    <r>
      <rPr>
        <rFont val="Arial, sans-serif"/>
        <color rgb="FF1155CC"/>
        <sz val="12.0"/>
        <u/>
      </rPr>
      <t>.</t>
    </r>
    <r>
      <rPr>
        <rFont val="Arial, sans-serif"/>
        <color rgb="FF1155CC"/>
        <sz val="11.0"/>
        <u/>
      </rPr>
      <t>29 sept 2024</t>
    </r>
  </si>
  <si>
    <t>EEUU estudia "muy atentamente" la revocación de licencias a Repsol y otras petroleras en Venezuela para presionar a Maduro</t>
  </si>
  <si>
    <t>Lo insinuó primero el pasado día 20 el enviado por el Departamento de Estado, Kevin Sullivan, en una tormentosa comparecencia en el Congreso estadounidense,....</t>
  </si>
  <si>
    <t>The US is studying "very carefully" the revocation of licenses from Repsol and other oil companies in Venezuela to pressure Maduro</t>
  </si>
  <si>
    <t>It was first hinted at on the 20th by the State Department envoy, Kevin Sullivan, in a stormy appearance in the US Congress....</t>
  </si>
  <si>
    <t>Repsol geopolitical risk, business challenges</t>
  </si>
  <si>
    <t>Riesgo geopolítico de Repsol, retos empresariales</t>
  </si>
  <si>
    <t>Negative sentiment, highlighting geopolitical risks for Repsol.</t>
  </si>
  <si>
    <t>revocación</t>
  </si>
  <si>
    <t>Strongly negative for potential license loss.</t>
  </si>
  <si>
    <t>Muy negativo por posible pérdida de licencia.</t>
  </si>
  <si>
    <r>
      <rPr>
        <rFont val="Arial, sans-serif"/>
        <color rgb="FF1155CC"/>
        <sz val="9.0"/>
        <u/>
      </rPr>
      <t>Box Repsol</t>
    </r>
    <r>
      <rPr>
        <rFont val="Arial, sans-serif"/>
        <color rgb="FF1155CC"/>
        <sz val="15.0"/>
        <u/>
      </rPr>
      <t>Resultados del GP de Indonesia de MotoGP</t>
    </r>
    <r>
      <rPr>
        <rFont val="Arial, sans-serif"/>
        <color rgb="FF1155CC"/>
        <sz val="11.0"/>
        <u/>
      </rPr>
      <t>Crónica y resultados de la carrera del GP de Indonesia de MotoGP 2024, disputada en Mandalika.</t>
    </r>
    <r>
      <rPr>
        <rFont val="Arial, sans-serif"/>
        <color rgb="FF1155CC"/>
        <sz val="12.0"/>
        <u/>
      </rPr>
      <t>.</t>
    </r>
    <r>
      <rPr>
        <rFont val="Arial, sans-serif"/>
        <color rgb="FF1155CC"/>
        <sz val="11.0"/>
        <u/>
      </rPr>
      <t>29 sept 2024</t>
    </r>
  </si>
  <si>
    <t>Resultados del GP de Indonesia de MotoGP</t>
  </si>
  <si>
    <t>Crónica y resultados de la carrera del GP de Indonesia de MotoGP 2024, disputada en Mandalika.</t>
  </si>
  <si>
    <t>MotoGP Indonesian GP results</t>
  </si>
  <si>
    <t>Chronicle and results of the 2024 MotoGP Indonesian GP race, held in Mandalika.</t>
  </si>
  <si>
    <r>
      <rPr>
        <rFont val="Arial, sans-serif"/>
        <color rgb="FF1155CC"/>
        <sz val="9.0"/>
        <u/>
      </rPr>
      <t>EL UNIVERSAL</t>
    </r>
    <r>
      <rPr>
        <rFont val="Arial, sans-serif"/>
        <color rgb="FF1155CC"/>
        <sz val="15.0"/>
        <u/>
      </rPr>
      <t>Gigantes energéticos cierran filas con el Gobierno en petróleo y gas</t>
    </r>
    <r>
      <rPr>
        <rFont val="Arial, sans-serif"/>
        <color rgb="FF1155CC"/>
        <sz val="11.0"/>
        <u/>
      </rPr>
      <t>La vicepresidenta Ejecutiva de la República y ahora ministra de Petróleo, Delcy Rodríguez, ya pone el pie sobre el acelerador de la principal industria del...</t>
    </r>
    <r>
      <rPr>
        <rFont val="Arial, sans-serif"/>
        <color rgb="FF1155CC"/>
        <sz val="12.0"/>
        <u/>
      </rPr>
      <t>.</t>
    </r>
    <r>
      <rPr>
        <rFont val="Arial, sans-serif"/>
        <color rgb="FF1155CC"/>
        <sz val="11.0"/>
        <u/>
      </rPr>
      <t>29 sept 2024</t>
    </r>
  </si>
  <si>
    <t>EL UNIVERSAL</t>
  </si>
  <si>
    <t>Gigantes energéticos cierran filas con el Gobierno en petróleo y gas</t>
  </si>
  <si>
    <t>La vicepresidenta Ejecutiva de la República y ahora ministra de Petróleo, Delcy Rodríguez, ya pone el pie sobre el acelerador de la principal industria del....</t>
  </si>
  <si>
    <t>Energy giants close ranks with the Government in oil and gas</t>
  </si>
  <si>
    <t>The Executive Vice President of the Republic and now Minister of Petroleum, Delcy Rodríguez, is already putting her foot on the accelerator of the main oil industry....</t>
  </si>
  <si>
    <t>Repsol energy diplomacy, business strategy</t>
  </si>
  <si>
    <t>Diplomacia energética de Repsol, estrategia empresarial</t>
  </si>
  <si>
    <t>Slightly positive sentiment, indicating cooperation between companies and government.</t>
  </si>
  <si>
    <t>Neutral; industry alignment.</t>
  </si>
  <si>
    <t>Neutral; alineación de la industria.</t>
  </si>
  <si>
    <r>
      <rPr>
        <rFont val="Arial, sans-serif"/>
        <color rgb="FF1155CC"/>
        <sz val="9.0"/>
        <u/>
      </rPr>
      <t>Estadio Deportivo</t>
    </r>
    <r>
      <rPr>
        <rFont val="Arial, sans-serif"/>
        <color rgb="FF1155CC"/>
        <sz val="15.0"/>
        <u/>
      </rPr>
      <t>Pedro Acosta recibe el fallo de su investigación en Indonesia</t>
    </r>
    <r>
      <rPr>
        <rFont val="Arial, sans-serif"/>
        <color rgb="FF1155CC"/>
        <sz val="11.0"/>
        <u/>
      </rPr>
      <t>El Panel de Comisarios anunció que se tenía que revisar el porcentaje de presiones mínimas de los neumáticos durante la carrera y la noticia le impidió...</t>
    </r>
    <r>
      <rPr>
        <rFont val="Arial, sans-serif"/>
        <color rgb="FF1155CC"/>
        <sz val="12.0"/>
        <u/>
      </rPr>
      <t>.</t>
    </r>
    <r>
      <rPr>
        <rFont val="Arial, sans-serif"/>
        <color rgb="FF1155CC"/>
        <sz val="11.0"/>
        <u/>
      </rPr>
      <t>29 sept 2024</t>
    </r>
  </si>
  <si>
    <t>Pedro Acosta recibe el fallo de su investigación en Indonesia</t>
  </si>
  <si>
    <t>El Panel de Comisarios anunció que se tenía que revisar el porcentaje de presiones mínimas de los neumáticos durante la carrera y la noticia le impidió....</t>
  </si>
  <si>
    <t>Pedro Acosta receives the ruling of his investigation in Indonesia</t>
  </si>
  <si>
    <t>The Stewards Panel announced that the percentage of minimum tire pressures during the race had to be reviewed and the news prevented them....</t>
  </si>
  <si>
    <r>
      <rPr>
        <rFont val="Arial, sans-serif"/>
        <color rgb="FF1155CC"/>
        <sz val="9.0"/>
        <u/>
      </rPr>
      <t>El HuffPost</t>
    </r>
    <r>
      <rPr>
        <rFont val="Arial, sans-serif"/>
        <color rgb="FF1155CC"/>
        <sz val="15.0"/>
        <u/>
      </rPr>
      <t>México-España: cinco años de crisis diplomática que ha acabado con Felipe VI en el foco</t>
    </r>
    <r>
      <rPr>
        <rFont val="Arial, sans-serif"/>
        <color rgb="FF1155CC"/>
        <sz val="11.0"/>
        <u/>
      </rPr>
      <t>Diversas encuestas sitúan el descontento de la población mexicana con la monarquía y lo que representa.</t>
    </r>
    <r>
      <rPr>
        <rFont val="Arial, sans-serif"/>
        <color rgb="FF1155CC"/>
        <sz val="12.0"/>
        <u/>
      </rPr>
      <t>.</t>
    </r>
    <r>
      <rPr>
        <rFont val="Arial, sans-serif"/>
        <color rgb="FF1155CC"/>
        <sz val="11.0"/>
        <u/>
      </rPr>
      <t>29 sept 2024</t>
    </r>
  </si>
  <si>
    <t>México-España: cinco años de crisis diplomática que ha acabado con Felipe VI en el foco</t>
  </si>
  <si>
    <t>Diversas encuestas sitúan el descontento de la población mexicana con la monarquía y lo que representa.</t>
  </si>
  <si>
    <t>Mexico-Spain: five years of diplomatic crisis that has ended with Felipe VI in the spotlight</t>
  </si>
  <si>
    <t>Various surveys indicate the discontent of the Mexican population with the monarchy and what it represents.</t>
  </si>
  <si>
    <r>
      <rPr>
        <rFont val="Arial, sans-serif"/>
        <color rgb="FF1155CC"/>
        <sz val="9.0"/>
        <u/>
      </rPr>
      <t>El Periódico de la Energía</t>
    </r>
    <r>
      <rPr>
        <rFont val="Arial, sans-serif"/>
        <color rgb="FF1155CC"/>
        <sz val="15.0"/>
        <u/>
      </rPr>
      <t>Venezuela se alía con Rusia para explorar nuevos proyectos de gas a partir de 2027</t>
    </r>
    <r>
      <rPr>
        <rFont val="Arial, sans-serif"/>
        <color rgb="FF1155CC"/>
        <sz val="11.0"/>
        <u/>
      </rPr>
      <t>Venezuela y Rusia impulsarán proyectos de gas a partir de 2027, dijo la ministra de Petróleo del país caribeño, Delcy Rodríguez.</t>
    </r>
    <r>
      <rPr>
        <rFont val="Arial, sans-serif"/>
        <color rgb="FF1155CC"/>
        <sz val="12.0"/>
        <u/>
      </rPr>
      <t>.</t>
    </r>
    <r>
      <rPr>
        <rFont val="Arial, sans-serif"/>
        <color rgb="FF1155CC"/>
        <sz val="11.0"/>
        <u/>
      </rPr>
      <t>29 sept 2024</t>
    </r>
  </si>
  <si>
    <t>Venezuela se alía con Rusia para explorar nuevos proyectos de gas a partir de 2027</t>
  </si>
  <si>
    <t>Venezuela y Rusia impulsarán proyectos de gas a partir de 2027, dijo la ministra de Petróleo del país caribeño, Delcy Rodríguez.</t>
  </si>
  <si>
    <t>Venezuela joins forces with Russia to explore new gas projects starting in 2027</t>
  </si>
  <si>
    <t>Venezuela and Russia will promote gas projects starting in 2027, said the Oil Minister of the Caribbean country, Delcy Rodríguez.</t>
  </si>
  <si>
    <t>Repsol energy competition, business risk</t>
  </si>
  <si>
    <t>Competencia energética de Repsol, riesgo empresarial</t>
  </si>
  <si>
    <t>Slightly negative sentiment, pointing to geopolitical shifts in energy partnerships.</t>
  </si>
  <si>
    <t>Neutral; geopolitical development.</t>
  </si>
  <si>
    <t>Neutral; desarrollo geopolítico.</t>
  </si>
  <si>
    <r>
      <rPr>
        <rFont val="Arial, sans-serif"/>
        <color rgb="FF1155CC"/>
        <sz val="9.0"/>
        <u/>
      </rPr>
      <t>La Razón</t>
    </r>
    <r>
      <rPr>
        <rFont val="Arial, sans-serif"/>
        <color rgb="FF1155CC"/>
        <sz val="15.0"/>
        <u/>
      </rPr>
      <t>¿Quiénes son los famosos que visitan esta semana las cocinas de 'Masterchef Celebrity'?</t>
    </r>
    <r>
      <rPr>
        <rFont val="Arial, sans-serif"/>
        <color rgb="FF1155CC"/>
        <sz val="11.0"/>
        <u/>
      </rPr>
      <t>Tras las salidas de José Lamuño, Juan Luis Cano y Nerea Garmendia, el programa de cocina de TVE aumenta el nivel de exigencia a los 13 concursantes...</t>
    </r>
    <r>
      <rPr>
        <rFont val="Arial, sans-serif"/>
        <color rgb="FF1155CC"/>
        <sz val="12.0"/>
        <u/>
      </rPr>
      <t>.</t>
    </r>
    <r>
      <rPr>
        <rFont val="Arial, sans-serif"/>
        <color rgb="FF1155CC"/>
        <sz val="11.0"/>
        <u/>
      </rPr>
      <t>29 sept 2024</t>
    </r>
  </si>
  <si>
    <t>¿Quiénes son los famosos que visitan esta semana las cocinas de 'Masterchef Celebrity'?</t>
  </si>
  <si>
    <t>Tras las salidas de José Lamuño, Juan Luis Cano y Nerea Garmendia, el programa de cocina de TVE aumenta el nivel de exigencia a los 13 concursantes.</t>
  </si>
  <si>
    <t>Who are the celebrities visiting the kitchens of 'Masterchef Celebrity' this week?</t>
  </si>
  <si>
    <t>After the departures of José Lamuño, Juan Luis Cano and Nerea Garmendia, the TVE cooking program increases the level of demand for the 13 contestants.</t>
  </si>
  <si>
    <r>
      <rPr>
        <rFont val="Arial, sans-serif"/>
        <color rgb="FF1155CC"/>
        <sz val="9.0"/>
        <u/>
      </rPr>
      <t>Mundo Deportivo</t>
    </r>
    <r>
      <rPr>
        <rFont val="Arial, sans-serif"/>
        <color rgb="FF1155CC"/>
        <sz val="15.0"/>
        <u/>
      </rPr>
      <t>Así queda la clasificación de MotoGP tras la Sprint del GP de Indonesia: Todo en un pañuelo de nuevo con la caída de Martín</t>
    </r>
    <r>
      <rPr>
        <rFont val="Arial, sans-serif"/>
        <color rgb="FF1155CC"/>
        <sz val="11.0"/>
        <u/>
      </rPr>
      <t>No hay manera de que los favoritos consigan encadenar fines de semana sin cometer un solo error. La presión es total en la lucha por el título y en la...</t>
    </r>
    <r>
      <rPr>
        <rFont val="Arial, sans-serif"/>
        <color rgb="FF1155CC"/>
        <sz val="12.0"/>
        <u/>
      </rPr>
      <t>.</t>
    </r>
    <r>
      <rPr>
        <rFont val="Arial, sans-serif"/>
        <color rgb="FF1155CC"/>
        <sz val="11.0"/>
        <u/>
      </rPr>
      <t>29 sept 2024</t>
    </r>
  </si>
  <si>
    <t>Así queda la clasificación de MotoGP tras la Sprint del GP de Indonesia: Todo en un pañuelo de nuevo con la caída de Martín</t>
  </si>
  <si>
    <t>No hay manera de que los favoritos consigan encadenar fines de semana sin cometer un solo error. La presión es total en la lucha por el título y en la....</t>
  </si>
  <si>
    <t>This is how the MotoGP classification looks after the Indonesian GP Sprint: Everything in a handkerchief again with the fall of Martín</t>
  </si>
  <si>
    <t>There is no way for the favorites to string together weekends without making a single mistake. The pressure is total in the fight for the title.</t>
  </si>
  <si>
    <r>
      <rPr>
        <rFont val="Arial, sans-serif"/>
        <color rgb="FF1155CC"/>
        <sz val="9.0"/>
        <u/>
      </rPr>
      <t>Mundo Deportivo</t>
    </r>
    <r>
      <rPr>
        <rFont val="Arial, sans-serif"/>
        <color rgb="FF1155CC"/>
        <sz val="15.0"/>
        <u/>
      </rPr>
      <t>Así queda la clasificación de MotoGP tras el GP de Indonesia: Esto es solo cosa de dos</t>
    </r>
    <r>
      <rPr>
        <rFont val="Arial, sans-serif"/>
        <color rgb="FF1155CC"/>
        <sz val="11.0"/>
        <u/>
      </rPr>
      <t>Tras la Sprint del GP de Indonesia, Pecco Bagnaia dio un buen mordisco en la general respecto a Jorge Martín. No obstante, el español se levantó a lo...</t>
    </r>
    <r>
      <rPr>
        <rFont val="Arial, sans-serif"/>
        <color rgb="FF1155CC"/>
        <sz val="12.0"/>
        <u/>
      </rPr>
      <t>.</t>
    </r>
    <r>
      <rPr>
        <rFont val="Arial, sans-serif"/>
        <color rgb="FF1155CC"/>
        <sz val="11.0"/>
        <u/>
      </rPr>
      <t>29 sept 2024</t>
    </r>
  </si>
  <si>
    <t>Así queda la clasificación de MotoGP tras el GP de Indonesia: Esto es solo cosa de dos</t>
  </si>
  <si>
    <t>Tras la Sprint del GP de Indonesia, Pecco Bagnaia dio un buen mordisco en la general respecto a Jorge Martín. No obstante, el español se levantó a lo....</t>
  </si>
  <si>
    <t>This is how the MotoGP classification looks after the Indonesian GP: This is just a matter of two</t>
  </si>
  <si>
    <t>After the Sprint of the Indonesian GP, ​​Pecco Bagnaia took a good bite out of Jorge Martín in the general classification. However, the Spaniard rose to...</t>
  </si>
  <si>
    <r>
      <rPr>
        <rFont val="Arial, sans-serif"/>
        <color rgb="FF1155CC"/>
        <sz val="9.0"/>
        <u/>
      </rPr>
      <t>El Confidencial</t>
    </r>
    <r>
      <rPr>
        <rFont val="Arial, sans-serif"/>
        <color rgb="FF1155CC"/>
        <sz val="15.0"/>
        <u/>
      </rPr>
      <t>Gas por petróleo: el dilema de Repsol para cobrar su deuda en Venezuela</t>
    </r>
    <r>
      <rPr>
        <rFont val="Arial, sans-serif"/>
        <color rgb="FF1155CC"/>
        <sz val="11.0"/>
        <u/>
      </rPr>
      <t>El Gobierno de Nicolás Maduro decidió llamar a Repsol para reunirse con sus directivos en el país mientras el mundo debatía sobre la validez de su victoria...</t>
    </r>
    <r>
      <rPr>
        <rFont val="Arial, sans-serif"/>
        <color rgb="FF1155CC"/>
        <sz val="12.0"/>
        <u/>
      </rPr>
      <t>.</t>
    </r>
    <r>
      <rPr>
        <rFont val="Arial, sans-serif"/>
        <color rgb="FF1155CC"/>
        <sz val="11.0"/>
        <u/>
      </rPr>
      <t>30 sept 2024</t>
    </r>
  </si>
  <si>
    <t>Gas por petróleo: el dilema de Repsol para cobrar su deuda en Venezuela</t>
  </si>
  <si>
    <t>El Gobierno de Nicolás Maduro decidió llamar a Repsol para reunirse con sus directivos en el país mientras el mundo debatía sobre la validez de su victoria.</t>
  </si>
  <si>
    <t>Gas for oil: Repsol's dilemma in collecting its debt in Venezuela</t>
  </si>
  <si>
    <t>The Government of Nicolás Maduro decided to call Repsol to meet with its directors in the country while the world debated the validity of its victory.</t>
  </si>
  <si>
    <t>Business/Politics</t>
  </si>
  <si>
    <t>Repsol, Venezuela, debt, Nicolás Maduro, oil</t>
  </si>
  <si>
    <t>Repsol, Venezuela, deuda, Nicolás Maduro, petróleo</t>
  </si>
  <si>
    <t>Negative, discussing the complexities and challenges of Repsol's debt collection in Venezuela.</t>
  </si>
  <si>
    <t>dilema</t>
  </si>
  <si>
    <t>Negative for repayment challenges.</t>
  </si>
  <si>
    <t>Negativo para desafíos de pago.</t>
  </si>
  <si>
    <r>
      <rPr>
        <rFont val="Arial, sans-serif"/>
        <color rgb="FF1155CC"/>
        <sz val="9.0"/>
        <u/>
      </rPr>
      <t>20Minutos</t>
    </r>
    <r>
      <rPr>
        <rFont val="Arial, sans-serif"/>
        <color rgb="FF1155CC"/>
        <sz val="15.0"/>
        <u/>
      </rPr>
      <t>Naturgy, Iberdrola y Repsol desatan el furor por los bonos con 6.590 millones y una demanda cuatro veces mayor</t>
    </r>
    <r>
      <rPr>
        <rFont val="Arial, sans-serif"/>
        <color rgb="FF1155CC"/>
        <sz val="11.0"/>
        <u/>
      </rPr>
      <t>La gasista cierra la operación con mayor sobredemanda de su historia multiplicando por siete el objetivo que buscaba, mientras la eléctrica coloca la mayor...</t>
    </r>
    <r>
      <rPr>
        <rFont val="Arial, sans-serif"/>
        <color rgb="FF1155CC"/>
        <sz val="12.0"/>
        <u/>
      </rPr>
      <t>.</t>
    </r>
    <r>
      <rPr>
        <rFont val="Arial, sans-serif"/>
        <color rgb="FF1155CC"/>
        <sz val="11.0"/>
        <u/>
      </rPr>
      <t>30 sept 2024</t>
    </r>
  </si>
  <si>
    <t>Naturgy, Iberdrola y Repsol desatan el furor por los bonos con 6.590 millones y una demanda cuatro veces mayor</t>
  </si>
  <si>
    <t>La gasista cierra la operación con mayor sobredemanda de su historia multiplicando por siete el objetivo que buscaba, mientras la eléctrica coloca la mayor....</t>
  </si>
  <si>
    <t>Naturgy, Iberdrola and Repsol unleash the fury over bonds with 6,590 million and a demand four times greater</t>
  </si>
  <si>
    <t>The gas company closes the operation with the greatest excess demand in its history, multiplying by seven the objective it sought, while the electricity company places the largest...</t>
  </si>
  <si>
    <t>Repsol finance, investment outlook</t>
  </si>
  <si>
    <t>Finanzas Repsol, perspectivas de inversión</t>
  </si>
  <si>
    <t>Strong bond demand suggests investor confidence in Repsol.</t>
  </si>
  <si>
    <t>furor</t>
  </si>
  <si>
    <t>Positive for strong bond demand.</t>
  </si>
  <si>
    <t>Positivo para una fuerte demanda de bonos.</t>
  </si>
  <si>
    <r>
      <rPr>
        <rFont val="Arial, sans-serif"/>
        <color rgb="FF1155CC"/>
        <sz val="9.0"/>
        <u/>
      </rPr>
      <t>El Día de Córdoba</t>
    </r>
    <r>
      <rPr>
        <rFont val="Arial, sans-serif"/>
        <color rgb="FF1155CC"/>
        <sz val="15.0"/>
        <u/>
      </rPr>
      <t>El restaurante de Córdoba, premiado con un Sol Repsol, que fue ermita y hospital</t>
    </r>
    <r>
      <rPr>
        <rFont val="Arial, sans-serif"/>
        <color rgb="FF1155CC"/>
        <sz val="11.0"/>
        <u/>
      </rPr>
      <t>Está ubicado al comienzo de la calle Candelaria, en pleno corazón del Casco Histórico de la ciudad.</t>
    </r>
    <r>
      <rPr>
        <rFont val="Arial, sans-serif"/>
        <color rgb="FF1155CC"/>
        <sz val="12.0"/>
        <u/>
      </rPr>
      <t>.</t>
    </r>
    <r>
      <rPr>
        <rFont val="Arial, sans-serif"/>
        <color rgb="FF1155CC"/>
        <sz val="11.0"/>
        <u/>
      </rPr>
      <t>30 sept 2024</t>
    </r>
  </si>
  <si>
    <t>El restaurante de Córdoba, premiado con un Sol Repsol, que fue ermita y hospital</t>
  </si>
  <si>
    <t>El restaurante de Córdoba, premiado con un Sol Repsol, que fue ermita y hospital. Está ubicado al comienzo de la calle Candelaria, en pleno corazón del Casco Histórico de la ciudad.</t>
  </si>
  <si>
    <t>The restaurant in Córdoba, awarded with a Sol Repsol, which was a hermitage and hospital</t>
  </si>
  <si>
    <t>The restaurant in Córdoba, awarded with a Sol Repsol, which was a hermitage and hospital. It is located at the beginning of Candelaria Street, in the heart of the Historic Center of the city.</t>
  </si>
  <si>
    <r>
      <rPr>
        <rFont val="Arial, sans-serif"/>
        <color rgb="FF1155CC"/>
        <sz val="9.0"/>
        <u/>
      </rPr>
      <t>Box Repsol</t>
    </r>
    <r>
      <rPr>
        <rFont val="Arial, sans-serif"/>
        <color rgb="FF1155CC"/>
        <sz val="15.0"/>
        <u/>
      </rPr>
      <t>Repsol presume de colores en el Museo de la Moto ‘Made in Spain’</t>
    </r>
    <r>
      <rPr>
        <rFont val="Arial, sans-serif"/>
        <color rgb="FF1155CC"/>
        <sz val="11.0"/>
        <u/>
      </rPr>
      <t>El espectacular museo de Alcalá de Henares es testigo privilegiado de más de cinco décadas de éxitos de la compañía multienergética sobre dos ruedas.</t>
    </r>
    <r>
      <rPr>
        <rFont val="Arial, sans-serif"/>
        <color rgb="FF1155CC"/>
        <sz val="12.0"/>
        <u/>
      </rPr>
      <t>.</t>
    </r>
    <r>
      <rPr>
        <rFont val="Arial, sans-serif"/>
        <color rgb="FF1155CC"/>
        <sz val="11.0"/>
        <u/>
      </rPr>
      <t>30 sept 2024</t>
    </r>
  </si>
  <si>
    <t>Repsol presume de colores en el Museo de la Moto ‘Made in Spain’</t>
  </si>
  <si>
    <t>El espectacular museo de Alcalá de Henares es testigo privilegiado de más de cinco décadas de éxitos de la compañía multienergética sobre dos ruedas.</t>
  </si>
  <si>
    <t>Repsol boasts colors at the 'Made in Spain' Motorcycle Museum</t>
  </si>
  <si>
    <t>The spectacular museum of Alcalá de Henares is a privileged witness to more than five decades of successes of the multi-energy company on two wheels.</t>
  </si>
  <si>
    <r>
      <rPr>
        <rFont val="Arial, sans-serif"/>
        <color rgb="FF1155CC"/>
        <sz val="9.0"/>
        <u/>
      </rPr>
      <t>infoLibre</t>
    </r>
    <r>
      <rPr>
        <rFont val="Arial, sans-serif"/>
        <color rgb="FF1155CC"/>
        <sz val="15.0"/>
        <u/>
      </rPr>
      <t>Repsol y Cepsa queman en Argelia tanto gas como consume Bizkaia en un año</t>
    </r>
    <r>
      <rPr>
        <rFont val="Arial, sans-serif"/>
        <color rgb="FF1155CC"/>
        <sz val="11.0"/>
        <u/>
      </rPr>
      <t>La investigación de EIF y la red EIC, a la que pertenece infoLibre, revela que las antorchas de ambas empresas emiten más gases de efecto inverna.</t>
    </r>
    <r>
      <rPr>
        <rFont val="Arial, sans-serif"/>
        <color rgb="FF1155CC"/>
        <sz val="12.0"/>
        <u/>
      </rPr>
      <t>.</t>
    </r>
    <r>
      <rPr>
        <rFont val="Arial, sans-serif"/>
        <color rgb="FF1155CC"/>
        <sz val="11.0"/>
        <u/>
      </rPr>
      <t>30 sept 2024</t>
    </r>
  </si>
  <si>
    <t>Repsol y Cepsa queman en Argelia tanto gas como consume Bizkaia en un año</t>
  </si>
  <si>
    <t>Las antorchas de ambas empresas emiten más gases de efecto invernadero que los que consume Bizkaia en un año.</t>
  </si>
  <si>
    <t>Repsol and Cepsa burn as much gas in Algeria as Bizkaia consumes in a year</t>
  </si>
  <si>
    <t>The torches of both companies emit more greenhouse gases than Bizkaia consumes in a year.</t>
  </si>
  <si>
    <t>Repsol environmental impact, business controversy</t>
  </si>
  <si>
    <t>Impacto ambiental de Repsol, polémica empresarial</t>
  </si>
  <si>
    <t>High emissions could negatively affect Repsol’s ESG reputation.</t>
  </si>
  <si>
    <t>queman</t>
  </si>
  <si>
    <t>Negative for environmental impact.</t>
  </si>
  <si>
    <t>Negativo para el impacto ambiental.</t>
  </si>
  <si>
    <r>
      <rPr>
        <rFont val="Arial, sans-serif"/>
        <color rgb="FF1155CC"/>
        <sz val="9.0"/>
        <u/>
      </rPr>
      <t>El Nacional.cat</t>
    </r>
    <r>
      <rPr>
        <rFont val="Arial, sans-serif"/>
        <color rgb="FF1155CC"/>
        <sz val="15.0"/>
        <u/>
      </rPr>
      <t>Repsol quiere tu aceite de cocina usado y te pagará por él</t>
    </r>
    <r>
      <rPr>
        <rFont val="Arial, sans-serif"/>
        <color rgb="FF1155CC"/>
        <sz val="11.0"/>
        <u/>
      </rPr>
      <t>Con cada litro, la petrolera puede producir 0,9 litros de gasolina neutra en emisiones.</t>
    </r>
    <r>
      <rPr>
        <rFont val="Arial, sans-serif"/>
        <color rgb="FF1155CC"/>
        <sz val="12.0"/>
        <u/>
      </rPr>
      <t>.</t>
    </r>
    <r>
      <rPr>
        <rFont val="Arial, sans-serif"/>
        <color rgb="FF1155CC"/>
        <sz val="11.0"/>
        <u/>
      </rPr>
      <t>30 sept 2024</t>
    </r>
  </si>
  <si>
    <t>Repsol quiere tu aceite de cocina usado y te pagará por él</t>
  </si>
  <si>
    <t>Con cada litro, la petrolera puede producir 0,9 litros de gasolina neutra en emisiones.</t>
  </si>
  <si>
    <t>Repsol wants your used cooking oil and will pay you for it</t>
  </si>
  <si>
    <t>With each liter, the oil company can produce 0.9 liters of emissions-neutral gasoline.</t>
  </si>
  <si>
    <t>Repsol sustainability, circular economy</t>
  </si>
  <si>
    <t>Sostenibilidad Repsol, economía circular</t>
  </si>
  <si>
    <t>Positive due to environmental and financial incentives.</t>
  </si>
  <si>
    <t>pagará</t>
  </si>
  <si>
    <t>Positive for recycling initiative.</t>
  </si>
  <si>
    <t>Positivo para la iniciativa de reciclaje.</t>
  </si>
  <si>
    <r>
      <rPr>
        <rFont val="Arial, sans-serif"/>
        <color rgb="FF1155CC"/>
        <sz val="9.0"/>
        <u/>
      </rPr>
      <t>Todotrial</t>
    </r>
    <r>
      <rPr>
        <rFont val="Arial, sans-serif"/>
        <color rgb="FF1155CC"/>
        <sz val="15.0"/>
        <u/>
      </rPr>
      <t>La moto de Toni Bou o la de Toni Gorgot, en la nueva exposición «Repsol»</t>
    </r>
    <r>
      <rPr>
        <rFont val="Arial, sans-serif"/>
        <color rgb="FF1155CC"/>
        <sz val="11.0"/>
        <u/>
      </rPr>
      <t>El Museo de la Moto Made in Spain inaugura una exposición sobre el patrocinador español de motociclismo más emblemático, Repsol.</t>
    </r>
    <r>
      <rPr>
        <rFont val="Arial, sans-serif"/>
        <color rgb="FF1155CC"/>
        <sz val="12.0"/>
        <u/>
      </rPr>
      <t>.</t>
    </r>
    <r>
      <rPr>
        <rFont val="Arial, sans-serif"/>
        <color rgb="FF1155CC"/>
        <sz val="11.0"/>
        <u/>
      </rPr>
      <t>30 sept 2024</t>
    </r>
  </si>
  <si>
    <t>Todotrial</t>
  </si>
  <si>
    <t>La moto de Toni Bou o la de Toni Gorgot, en la nueva exposición «Repsol»</t>
  </si>
  <si>
    <t>El Museo de la Moto Made in Spain inaugura una exposición sobre el patrocinador español de motociclismo más emblemático, Repsol.</t>
  </si>
  <si>
    <t>Toni Bou's motorcycle or Toni Gorgot's, in the new "Repsol" exhibition</t>
  </si>
  <si>
    <t>The Made in Spain Motorcycle Museum inaugurates an exhibition on the most emblematic Spanish motorcycling sponsor, Repsol.</t>
  </si>
  <si>
    <r>
      <rPr>
        <rFont val="Arial, sans-serif"/>
        <color rgb="FF1155CC"/>
        <sz val="9.0"/>
        <u/>
      </rPr>
      <t>OkDiario</t>
    </r>
    <r>
      <rPr>
        <rFont val="Arial, sans-serif"/>
        <color rgb="FF1155CC"/>
        <sz val="15.0"/>
        <u/>
      </rPr>
      <t>Lo recomienda la Guía Repsol: este es el mejor restaurante de carretera de la A4 en Andalucía</t>
    </r>
    <r>
      <rPr>
        <rFont val="Arial, sans-serif"/>
        <color rgb="FF1155CC"/>
        <sz val="11.0"/>
        <u/>
      </rPr>
      <t>Descubre el mejor restaurante de carretera de la A-4 en Andalucía, recomendado por la Guía Repsol. Una experiencia culinaria única te espera.</t>
    </r>
    <r>
      <rPr>
        <rFont val="Arial, sans-serif"/>
        <color rgb="FF1155CC"/>
        <sz val="12.0"/>
        <u/>
      </rPr>
      <t>.</t>
    </r>
    <r>
      <rPr>
        <rFont val="Arial, sans-serif"/>
        <color rgb="FF1155CC"/>
        <sz val="11.0"/>
        <u/>
      </rPr>
      <t>30 sept 2024</t>
    </r>
  </si>
  <si>
    <t>Lo recomienda la Guía Repsol: este es el mejor restaurante de carretera de la A4 en Andalucía</t>
  </si>
  <si>
    <t>Descubre el mejor restaurante de carretera de la A-4 en Andalucía, recomendado por la Guía Repsol. Una experiencia culinaria única te espera.</t>
  </si>
  <si>
    <t>The Repsol Guide recommends it: this is the best roadside restaurant on the A4 in Andalusia</t>
  </si>
  <si>
    <t>Discover the best roadside restaurant on the A-4 in Andalusia, recommended by the Repsol Guide. A unique culinary experience awaits you.</t>
  </si>
  <si>
    <r>
      <rPr>
        <rFont val="Arial, sans-serif"/>
        <color rgb="FF1155CC"/>
        <sz val="9.0"/>
        <u/>
      </rPr>
      <t>Guía Repsol</t>
    </r>
    <r>
      <rPr>
        <rFont val="Arial, sans-serif"/>
        <color rgb="FF1155CC"/>
        <sz val="15.0"/>
        <u/>
      </rPr>
      <t>Las nuevas papas canarias que llegan de Reino Unido</t>
    </r>
    <r>
      <rPr>
        <rFont val="Arial, sans-serif"/>
        <color rgb="FF1155CC"/>
        <sz val="11.0"/>
        <u/>
      </rPr>
      <t>La papa canaria cada vez está más cotizada en la alta gastronomía, pero solo puede disfrutarse en los restaurantes del archipiélago, pues no puede ni...</t>
    </r>
    <r>
      <rPr>
        <rFont val="Arial, sans-serif"/>
        <color rgb="FF1155CC"/>
        <sz val="12.0"/>
        <u/>
      </rPr>
      <t>.</t>
    </r>
    <r>
      <rPr>
        <rFont val="Arial, sans-serif"/>
        <color rgb="FF1155CC"/>
        <sz val="11.0"/>
        <u/>
      </rPr>
      <t>30 sept 2024</t>
    </r>
  </si>
  <si>
    <t>Las nuevas papas canarias que llegan de Reino Unido</t>
  </si>
  <si>
    <t>La papa canaria cada vez está más cotizada en la alta gastronomía, pero solo puede disfrutarse en los restaurantes del archipiélago, pues no puede ni....</t>
  </si>
  <si>
    <t>The new Canarian potatoes arriving from the United Kingdom</t>
  </si>
  <si>
    <t>The Canarian potato is increasingly valued in haute cuisine, but it can only be enjoyed in the restaurants of the archipelago, as it cannot even...</t>
  </si>
  <si>
    <r>
      <rPr>
        <rFont val="Arial, sans-serif"/>
        <color rgb="FF1155CC"/>
        <sz val="9.0"/>
        <u/>
      </rPr>
      <t>El Periódico de España</t>
    </r>
    <r>
      <rPr>
        <rFont val="Arial, sans-serif"/>
        <color rgb="FF1155CC"/>
        <sz val="15.0"/>
        <u/>
      </rPr>
      <t>La revolución de las gasolineras ‘low cost’ revienta el sector: concentran ya más de la mitad de las ventas</t>
    </r>
    <r>
      <rPr>
        <rFont val="Arial, sans-serif"/>
        <color rgb="FF1155CC"/>
        <sz val="11.0"/>
        <u/>
      </rPr>
      <t>La expansión de marcas como Plenoil, Ballenoil o Petroprix sacude el negocio de las grandes petroleras y provoca un vuelco en el dominio no sólo en el...</t>
    </r>
    <r>
      <rPr>
        <rFont val="Arial, sans-serif"/>
        <color rgb="FF1155CC"/>
        <sz val="12.0"/>
        <u/>
      </rPr>
      <t>.</t>
    </r>
    <r>
      <rPr>
        <rFont val="Arial, sans-serif"/>
        <color rgb="FF1155CC"/>
        <sz val="11.0"/>
        <u/>
      </rPr>
      <t>30 sept 2024</t>
    </r>
  </si>
  <si>
    <t>La revolución de las gasolineras ‘low cost’ revienta el sector: concentran ya más de la mitad de las ventas</t>
  </si>
  <si>
    <t>La expansión de marcas como Plenoil, Ballenoil o Petroprix sacude el negocio de las grandes petroleras y provoca un vuelco en el dominio no sólo en el....</t>
  </si>
  <si>
    <t>The revolution of 'low cost' gas stations is blowing up the sector: they already account for more than half of sales</t>
  </si>
  <si>
    <t>The expansion of brands such as Plenoil, Ballenoil or Petroprix shakes up the business of the large oil companies and causes a change in the domain not only in the...</t>
  </si>
  <si>
    <t>fuel market, competition</t>
  </si>
  <si>
    <t>mercado de combustibles, competencia</t>
  </si>
  <si>
    <t>Negative impact on Repsol's fuel sales.</t>
  </si>
  <si>
    <t>revienta</t>
  </si>
  <si>
    <r>
      <rPr>
        <rFont val="Arial, sans-serif"/>
        <color rgb="FF1155CC"/>
        <sz val="9.0"/>
        <u/>
      </rPr>
      <t>Infobae</t>
    </r>
    <r>
      <rPr>
        <rFont val="Arial, sans-serif"/>
        <color rgb="FF1155CC"/>
        <sz val="15.0"/>
        <u/>
      </rPr>
      <t>El restaurante con estrella Michelin que Andrew Garfield ha visitado en Bilbao: cocina local y menú degustación por 92 euros</t>
    </r>
    <r>
      <rPr>
        <rFont val="Arial, sans-serif"/>
        <color rgb="FF1155CC"/>
        <sz val="11.0"/>
        <u/>
      </rPr>
      <t>Con una estrella Michelin y tres soles Repsol, Nerua es un espacio pensado para vivir una experiencia gastronómica a la vez que cultural.</t>
    </r>
    <r>
      <rPr>
        <rFont val="Arial, sans-serif"/>
        <color rgb="FF1155CC"/>
        <sz val="12.0"/>
        <u/>
      </rPr>
      <t>.</t>
    </r>
    <r>
      <rPr>
        <rFont val="Arial, sans-serif"/>
        <color rgb="FF1155CC"/>
        <sz val="11.0"/>
        <u/>
      </rPr>
      <t>30 sept 2024</t>
    </r>
  </si>
  <si>
    <t>El restaurante con estrella Michelin que Andrew Garfield ha visitado en Bilbao: cocina local y menú degustación por 92 euros</t>
  </si>
  <si>
    <t>Con una estrella Michelin y tres soles Repsol, Nerua es un espacio pensado para vivir una experiencia gastronómica a la vez que cultural.</t>
  </si>
  <si>
    <t>The Michelin-starred restaurant that Andrew Garfield visited in Bilbao: local cuisine and tasting menu for 92 euros</t>
  </si>
  <si>
    <t>With a Michelin star and three Repsol suns, Nerua is a space designed to live a gastronomic as well as cultural experience.</t>
  </si>
  <si>
    <r>
      <rPr>
        <rFont val="Arial, sans-serif"/>
        <color rgb="FF1155CC"/>
        <sz val="9.0"/>
        <u/>
      </rPr>
      <t>Revista ProActivo</t>
    </r>
    <r>
      <rPr>
        <rFont val="Arial, sans-serif"/>
        <color rgb="FF1155CC"/>
        <sz val="15.0"/>
        <u/>
      </rPr>
      <t>Impulsared Ecochallenge: Repsol y UTEC lanzan competencia de innovación para la descontaminación del Río Chillón y la Playa Cavero en Ventanilla</t>
    </r>
    <r>
      <rPr>
        <rFont val="Arial, sans-serif"/>
        <color rgb="FF1155CC"/>
        <sz val="11.0"/>
        <u/>
      </rPr>
      <t>Los proyectos ganadores del Impulsared Ecochallenge recibirán un financiamiento de 80000 dólares para llevar a cabo sus propuestas.</t>
    </r>
    <r>
      <rPr>
        <rFont val="Arial, sans-serif"/>
        <color rgb="FF1155CC"/>
        <sz val="12.0"/>
        <u/>
      </rPr>
      <t>.</t>
    </r>
    <r>
      <rPr>
        <rFont val="Arial, sans-serif"/>
        <color rgb="FF1155CC"/>
        <sz val="11.0"/>
        <u/>
      </rPr>
      <t>30 sept 2024</t>
    </r>
  </si>
  <si>
    <t>Impulsared Ecochallenge: Repsol y UTEC lanzan competencia de innovación para la descontaminación del Río Chillón y la Playa Cavero en Ventanilla</t>
  </si>
  <si>
    <t>Los proyectos ganadores del Impulsared Ecochallenge recibirán un financiamiento de 80000 dólares para llevar a cabo sus propuestas.</t>
  </si>
  <si>
    <t>Impulsared Ecochallenge: Repsol and UTEC launch innovation competition for the decontamination of the Chillón River and Cavero Beach in Ventanilla</t>
  </si>
  <si>
    <t>The winning projects of the Impulsared Ecochallenge will receive funding of $80,000 to carry out their proposals.</t>
  </si>
  <si>
    <t>Repsol, sustainability, innovation</t>
  </si>
  <si>
    <t>Repsol, sostenibilidad, innovación</t>
  </si>
  <si>
    <t>Positive due to corporate social responsibility.</t>
  </si>
  <si>
    <t>lanzan</t>
  </si>
  <si>
    <t>Positive for environmental initiative.</t>
  </si>
  <si>
    <t>Positivo para la iniciativa medioambiental.</t>
  </si>
  <si>
    <r>
      <rPr>
        <rFont val="Arial, sans-serif"/>
        <color rgb="FF1155CC"/>
        <sz val="9.0"/>
        <u/>
      </rPr>
      <t>alimente.elconfidencial.com</t>
    </r>
    <r>
      <rPr>
        <rFont val="Arial, sans-serif"/>
        <color rgb="FF1155CC"/>
        <sz val="15.0"/>
        <u/>
      </rPr>
      <t>El restaurante gallego (a pie de mar) de la Guía Repsol donde los Reyes han comido este fin de semana con Leonor</t>
    </r>
    <r>
      <rPr>
        <rFont val="Arial, sans-serif"/>
        <color rgb="FF1155CC"/>
        <sz val="11.0"/>
        <u/>
      </rPr>
      <t>Letizia y Leonor disfrutaron de una agradable comida en este famoso restaurante de Carril (Villagarcía de Arosa), al que también asistió posteriormente el...</t>
    </r>
    <r>
      <rPr>
        <rFont val="Arial, sans-serif"/>
        <color rgb="FF1155CC"/>
        <sz val="12.0"/>
        <u/>
      </rPr>
      <t>.</t>
    </r>
    <r>
      <rPr>
        <rFont val="Arial, sans-serif"/>
        <color rgb="FF1155CC"/>
        <sz val="11.0"/>
        <u/>
      </rPr>
      <t>30 sept 2024</t>
    </r>
  </si>
  <si>
    <t>El restaurante gallego (a pie de mar) de la Guía Repsol donde los Reyes han comido este fin de semana con Leonor</t>
  </si>
  <si>
    <t>Letizia y Leonor disfrutaron de una agradable comida en este famoso restaurante de Carril (Villagarcía de Arosa), al que también asistió posteriormente el....</t>
  </si>
  <si>
    <t>The Galician restaurant (by the sea) from the Repsol Guide where the Kings ate this weekend with Leonor</t>
  </si>
  <si>
    <t>Letizia and Leonor enjoyed a pleasant meal at this famous restaurant in Carril (Villagarcía de Arosa), which was also later attended by....</t>
  </si>
  <si>
    <r>
      <rPr>
        <rFont val="Arial, sans-serif"/>
        <color rgb="FF1155CC"/>
        <sz val="9.0"/>
        <u/>
      </rPr>
      <t>Box Repsol</t>
    </r>
    <r>
      <rPr>
        <rFont val="Arial, sans-serif"/>
        <color rgb="FF1155CC"/>
        <sz val="15.0"/>
        <u/>
      </rPr>
      <t>Horarios GP Japón MotoGP 2024: fechas y dónde verlo por TV y online</t>
    </r>
    <r>
      <rPr>
        <rFont val="Arial, sans-serif"/>
        <color rgb="FF1155CC"/>
        <sz val="11.0"/>
        <u/>
      </rPr>
      <t>El campeonato de MotoGP vuela a la 'casa' de Honda para disputar la segunda parada de la gira asiática. El Mobility Resort Motegi acoge la decimosexta cita...</t>
    </r>
    <r>
      <rPr>
        <rFont val="Arial, sans-serif"/>
        <color rgb="FF1155CC"/>
        <sz val="12.0"/>
        <u/>
      </rPr>
      <t>.</t>
    </r>
    <r>
      <rPr>
        <rFont val="Arial, sans-serif"/>
        <color rgb="FF1155CC"/>
        <sz val="11.0"/>
        <u/>
      </rPr>
      <t>30 sept 2024</t>
    </r>
  </si>
  <si>
    <t>Horarios GP Japón MotoGP 2024: fechas y dónde verlo por TV y online</t>
  </si>
  <si>
    <t>El campeonato de MotoGP vuela a la 'casa' de Honda para disputar la segunda parada de la gira asiática. El Mobility Resort Motegi acoge la decimosexta cita....</t>
  </si>
  <si>
    <t>Japan GP schedules MotoGP 2024: dates and where to watch it on TV and online</t>
  </si>
  <si>
    <t>The MotoGP championship flies to the 'home' of Honda to compete in the second stop of the Asian tour. The Mobility Resort Motegi hosts the sixteenth event....</t>
  </si>
  <si>
    <r>
      <rPr>
        <rFont val="Arial, sans-serif"/>
        <color rgb="FF1155CC"/>
        <sz val="9.0"/>
        <u/>
      </rPr>
      <t>alimente.elconfidencial.com</t>
    </r>
    <r>
      <rPr>
        <rFont val="Arial, sans-serif"/>
        <color rgb="FF1155CC"/>
        <sz val="15.0"/>
        <u/>
      </rPr>
      <t>El restaurante de Valencia donde se juega (literalmente) con fuego: recomendado por la guía Repsol y a precio asequible</t>
    </r>
    <r>
      <rPr>
        <rFont val="Arial, sans-serif"/>
        <color rgb="FF1155CC"/>
        <sz val="11.0"/>
        <u/>
      </rPr>
      <t>Este local convierte la cocina a la brasa en una experiencia única, donde todo, desde pescados hasta carnes, pasa por el fuego.</t>
    </r>
    <r>
      <rPr>
        <rFont val="Arial, sans-serif"/>
        <color rgb="FF1155CC"/>
        <sz val="12.0"/>
        <u/>
      </rPr>
      <t>.</t>
    </r>
    <r>
      <rPr>
        <rFont val="Arial, sans-serif"/>
        <color rgb="FF1155CC"/>
        <sz val="11.0"/>
        <u/>
      </rPr>
      <t>30 sept 2024</t>
    </r>
  </si>
  <si>
    <t>El restaurante de Valencia donde se juega (literalmente) con fuego: recomendado por la guía Repsol y a precio asequible</t>
  </si>
  <si>
    <t>Este local convierte la cocina a la brasa en una experiencia única, donde todo, desde pescados hasta carnes, pasa por el fuego.</t>
  </si>
  <si>
    <t>The Valencia restaurant where you play (literally) with fire: recommended by the Repsol guide and at an affordable price</t>
  </si>
  <si>
    <t>This place turns grilled cooking into a unique experience, where everything, from fish to meat, passes through the fire.</t>
  </si>
  <si>
    <r>
      <rPr>
        <rFont val="Arial, sans-serif"/>
        <color rgb="FF1155CC"/>
        <sz val="9.0"/>
        <u/>
      </rPr>
      <t>madrid actual</t>
    </r>
    <r>
      <rPr>
        <rFont val="Arial, sans-serif"/>
        <color rgb="FF1155CC"/>
        <sz val="15.0"/>
        <u/>
      </rPr>
      <t>El Museo de la Moto 'Made in Spain' celebra la trayectoria de Repsol en el motociclismo en Alcalá de Henares</t>
    </r>
    <r>
      <rPr>
        <rFont val="Arial, sans-serif"/>
        <color rgb="FF1155CC"/>
        <sz val="11.0"/>
        <u/>
      </rPr>
      <t>El Museo de la Moto 'Made in Spain', ubicado en Alcalá de Henares, rinde homenaje a la destacada presencia de Repsol en el mundo del motociclismo con una...</t>
    </r>
    <r>
      <rPr>
        <rFont val="Arial, sans-serif"/>
        <color rgb="FF1155CC"/>
        <sz val="12.0"/>
        <u/>
      </rPr>
      <t>.</t>
    </r>
    <r>
      <rPr>
        <rFont val="Arial, sans-serif"/>
        <color rgb="FF1155CC"/>
        <sz val="11.0"/>
        <u/>
      </rPr>
      <t>30 sept 2024</t>
    </r>
  </si>
  <si>
    <t>madrid actual</t>
  </si>
  <si>
    <t>El Museo de la Moto 'Made in Spain' celebra la trayectoria de Repsol en el motociclismo en Alcalá de Henares</t>
  </si>
  <si>
    <t>El Museo de la Moto 'Made in Spain', ubicado en Alcalá de Henares, rinde homenaje a la destacada presencia de Repsol en el mundo del motociclismo con una....</t>
  </si>
  <si>
    <t>The 'Made in Spain' Motorcycle Museum celebrates Repsol's history in motorcycling in Alcalá de Henares</t>
  </si>
  <si>
    <t>The 'Made in Spain' Motorcycle Museum, located in Alcalá de Henares, pays tribute to Repsol's outstanding presence in the world of motorcycling with a....</t>
  </si>
  <si>
    <r>
      <rPr>
        <rFont val="Arial, sans-serif"/>
        <color rgb="FF1155CC"/>
        <sz val="9.0"/>
        <u/>
      </rPr>
      <t>Repsol</t>
    </r>
    <r>
      <rPr>
        <rFont val="Arial, sans-serif"/>
        <color rgb="FF1155CC"/>
        <sz val="15.0"/>
        <u/>
      </rPr>
      <t>(2024) Cambiamos la denominación de nuestro negocio, ahora somos Repsol Materials</t>
    </r>
    <r>
      <rPr>
        <rFont val="Arial, sans-serif"/>
        <color rgb="FF1155CC"/>
        <sz val="11.0"/>
        <u/>
      </rPr>
      <t>Desde este 1 de octubre, nuestro negocio cambia de denominación y pasa a llamarse Repsol Materials. Este cambio responde a la orientación cada vez más...</t>
    </r>
    <r>
      <rPr>
        <rFont val="Arial, sans-serif"/>
        <color rgb="FF1155CC"/>
        <sz val="12.0"/>
        <u/>
      </rPr>
      <t>.</t>
    </r>
    <r>
      <rPr>
        <rFont val="Arial, sans-serif"/>
        <color rgb="FF1155CC"/>
        <sz val="11.0"/>
        <u/>
      </rPr>
      <t>1 oct 2024</t>
    </r>
  </si>
  <si>
    <t>Cambiamos la denominación de nuestro negocio, ahora somos Repsol Materials</t>
  </si>
  <si>
    <t>Desde este 1 de octubre, nuestro negocio cambia de denominación y pasa a llamarse Repsol Materials. Este cambio responde a la orientación cada vez más....</t>
  </si>
  <si>
    <t>We changed the name of our business, now we are Repsol Materials</t>
  </si>
  <si>
    <t>As of October 1, our business changes its name and is now called Repsol Materials. This change responds to the orientation increasingly....</t>
  </si>
  <si>
    <t>Repsol, corporate change</t>
  </si>
  <si>
    <t>Repsol, cambio corporativo</t>
  </si>
  <si>
    <t>Neutral corporate restructuring.</t>
  </si>
  <si>
    <t>Neutral; rebranding.</t>
  </si>
  <si>
    <t>Neutral; cambio de marca.</t>
  </si>
  <si>
    <r>
      <rPr>
        <rFont val="Arial, sans-serif"/>
        <color rgb="FF1155CC"/>
        <sz val="9.0"/>
        <u/>
      </rPr>
      <t>Expansión</t>
    </r>
    <r>
      <rPr>
        <rFont val="Arial, sans-serif"/>
        <color rgb="FF1155CC"/>
        <sz val="15.0"/>
        <u/>
      </rPr>
      <t>IFM negocia aliarse a Repsol en su gran planta de metanol</t>
    </r>
    <r>
      <rPr>
        <rFont val="Arial, sans-serif"/>
        <color rgb="FF1155CC"/>
        <sz val="11.0"/>
        <u/>
      </rPr>
      <t>El fondo de infraestructuras australiano IFM, accionista de referencia de Naturgy con el 15% del capital, está negociando con Repsol su entrada como...</t>
    </r>
    <r>
      <rPr>
        <rFont val="Arial, sans-serif"/>
        <color rgb="FF1155CC"/>
        <sz val="12.0"/>
        <u/>
      </rPr>
      <t>.</t>
    </r>
    <r>
      <rPr>
        <rFont val="Arial, sans-serif"/>
        <color rgb="FF1155CC"/>
        <sz val="11.0"/>
        <u/>
      </rPr>
      <t>1 oct 2024</t>
    </r>
  </si>
  <si>
    <t>IFM negocia aliarse a Repsol en su gran planta de metanol</t>
  </si>
  <si>
    <t>El fondo de infraestructuras australiano IFM, accionista de referencia de Naturgy con el 15% del capital, está negociando con Repsol su entrada como....</t>
  </si>
  <si>
    <t>IFM negotiates to ally with Repsol in its large methanol plant</t>
  </si>
  <si>
    <t>The Australian infrastructure fund IFM, a reference shareholder of Naturgy with 15% of the capital, is negotiating with Repsol its entry as...</t>
  </si>
  <si>
    <t>Repsol, methanol, investment</t>
  </si>
  <si>
    <t>Repsol, metanol, inversión</t>
  </si>
  <si>
    <t>Positive due to potential partnership expansion.</t>
  </si>
  <si>
    <t>aliarse, "gran proyecto"</t>
  </si>
  <si>
    <t>Noticia positiva sobre alianza estratégica.</t>
  </si>
  <si>
    <r>
      <rPr>
        <rFont val="Arial, sans-serif"/>
        <color rgb="FF1155CC"/>
        <sz val="9.0"/>
        <u/>
      </rPr>
      <t>Diari de Tarragona</t>
    </r>
    <r>
      <rPr>
        <rFont val="Arial, sans-serif"/>
        <color rgb="FF1155CC"/>
        <sz val="15.0"/>
        <u/>
      </rPr>
      <t>Repsol encuentra un socio australiano para su gran planta de metanol de Tarragona</t>
    </r>
    <r>
      <rPr>
        <rFont val="Arial, sans-serif"/>
        <color rgb="FF1155CC"/>
        <sz val="11.0"/>
        <u/>
      </rPr>
      <t>El fondo australiano IFM, accionista de Naturgy, está en conversaciones para convertirse en socio minoritario del mayor proyecto industrial de Repsol:...</t>
    </r>
    <r>
      <rPr>
        <rFont val="Arial, sans-serif"/>
        <color rgb="FF1155CC"/>
        <sz val="12.0"/>
        <u/>
      </rPr>
      <t>.</t>
    </r>
    <r>
      <rPr>
        <rFont val="Arial, sans-serif"/>
        <color rgb="FF1155CC"/>
        <sz val="11.0"/>
        <u/>
      </rPr>
      <t>1 oct 2024</t>
    </r>
  </si>
  <si>
    <t>Repsol encuentra un socio australiano para su gran planta de metanol de Tarragona</t>
  </si>
  <si>
    <t>El fondo australiano IFM, accionista de Naturgy, está en conversaciones para convertirse en socio minoritario del mayor proyecto industrial de Repsol:....</t>
  </si>
  <si>
    <t>Repsol finds an Australian partner for its large methanol plant in Tarragona</t>
  </si>
  <si>
    <t>The Australian fund IFM, a Naturgy shareholder, is in talks to become a minority partner in Repsol's largest industrial project:....</t>
  </si>
  <si>
    <t>Repsol, methanol, partnership</t>
  </si>
  <si>
    <t>Repsol, metanol, alianza</t>
  </si>
  <si>
    <t>socio, "gran planta"</t>
  </si>
  <si>
    <t>Colaboración internacional beneficia imagen.</t>
  </si>
  <si>
    <t>Colaboración internacional beneficio imagen.</t>
  </si>
  <si>
    <r>
      <rPr>
        <rFont val="Arial, sans-serif"/>
        <color rgb="FF1155CC"/>
        <sz val="9.0"/>
        <u/>
      </rPr>
      <t>Motorbike Magazine</t>
    </r>
    <r>
      <rPr>
        <rFont val="Arial, sans-serif"/>
        <color rgb="FF1155CC"/>
        <sz val="15.0"/>
        <u/>
      </rPr>
      <t>La historia de Repsol en competición, representada en el Museo de la Moto 'Made in Spain'</t>
    </r>
    <r>
      <rPr>
        <rFont val="Arial, sans-serif"/>
        <color rgb="FF1155CC"/>
        <sz val="11.0"/>
        <u/>
      </rPr>
      <t>Pocos patrocinios deportivos han sido tan fructíferos como el de Repsol en el mundo de las dos ruedas. No sólo las 30 temporadas del Repsol Honda en...</t>
    </r>
    <r>
      <rPr>
        <rFont val="Arial, sans-serif"/>
        <color rgb="FF1155CC"/>
        <sz val="12.0"/>
        <u/>
      </rPr>
      <t>.</t>
    </r>
    <r>
      <rPr>
        <rFont val="Arial, sans-serif"/>
        <color rgb="FF1155CC"/>
        <sz val="11.0"/>
        <u/>
      </rPr>
      <t>1 oct 2024</t>
    </r>
  </si>
  <si>
    <t>La historia de Repsol en competición, representada en el Museo de la Moto 'Made in Spain'</t>
  </si>
  <si>
    <t>Pocos patrocinios deportivos han sido tan fructíferos como el de Repsol en el mundo de las dos ruedas. No sólo las 30 temporadas del Repsol Honda en....</t>
  </si>
  <si>
    <t>The history of Repsol in competition, represented in the 'Made in Spain' Motorcycle Museum</t>
  </si>
  <si>
    <t>Few sports sponsorships have been as fruitful as Repsol's in the world of two wheels. Not only the 30 seasons of Repsol Honda in....</t>
  </si>
  <si>
    <r>
      <rPr>
        <rFont val="Arial, sans-serif"/>
        <color rgb="FF1155CC"/>
        <sz val="9.0"/>
        <u/>
      </rPr>
      <t>La Razón</t>
    </r>
    <r>
      <rPr>
        <rFont val="Arial, sans-serif"/>
        <color rgb="FF1155CC"/>
        <sz val="15.0"/>
        <u/>
      </rPr>
      <t>Repsol presume de colores en el Museo de la Moto "Made in Spain"</t>
    </r>
    <r>
      <rPr>
        <rFont val="Arial, sans-serif"/>
        <color rgb="FF1155CC"/>
        <sz val="11.0"/>
        <u/>
      </rPr>
      <t>Repsol presume de sus característicos colores naranja, rojo y blanco en el Museo de la Moto "Made in Spain", situado en Alcalá de Henares, en una exposición...</t>
    </r>
    <r>
      <rPr>
        <rFont val="Arial, sans-serif"/>
        <color rgb="FF1155CC"/>
        <sz val="12.0"/>
        <u/>
      </rPr>
      <t>.</t>
    </r>
    <r>
      <rPr>
        <rFont val="Arial, sans-serif"/>
        <color rgb="FF1155CC"/>
        <sz val="11.0"/>
        <u/>
      </rPr>
      <t>1 oct 2024</t>
    </r>
  </si>
  <si>
    <t>Repsol presume de colores en el Museo de la Moto "Made in Spain"</t>
  </si>
  <si>
    <t>Repsol presume de sus característicos colores naranja, rojo y blanco en el Museo de la Moto "Made in Spain", situado en Alcalá de Henares, en una exposición....</t>
  </si>
  <si>
    <t>Repsol boasts colors at the "Made in Spain" Motorcycle Museum</t>
  </si>
  <si>
    <t>Repsol boasts its characteristic orange, red and white colors at the "Made in Spain" Motorcycle Museum, located in Alcalá de Henares, in an exhibition....</t>
  </si>
  <si>
    <r>
      <rPr>
        <rFont val="Arial, sans-serif"/>
        <color rgb="FF1155CC"/>
        <sz val="9.0"/>
        <u/>
      </rPr>
      <t>Bolsamania</t>
    </r>
    <r>
      <rPr>
        <rFont val="Arial, sans-serif"/>
        <color rgb="FF1155CC"/>
        <sz val="15.0"/>
        <u/>
      </rPr>
      <t>Consultorio de análisis técnico: ArcelorMittal, Iberdrola, BBVA, Repsol, Tubos Reunidos, Apple...</t>
    </r>
    <r>
      <rPr>
        <rFont val="Arial, sans-serif"/>
        <color rgb="FF1155CC"/>
        <sz val="11.0"/>
        <u/>
      </rPr>
      <t>A continuación, damos respuesta a los valores por los que más han preguntado este martes a César Nuez, analista técnico de 'Bolsamanía', que pone bajo la...</t>
    </r>
    <r>
      <rPr>
        <rFont val="Arial, sans-serif"/>
        <color rgb="FF1155CC"/>
        <sz val="12.0"/>
        <u/>
      </rPr>
      <t>.</t>
    </r>
    <r>
      <rPr>
        <rFont val="Arial, sans-serif"/>
        <color rgb="FF1155CC"/>
        <sz val="11.0"/>
        <u/>
      </rPr>
      <t>1 oct 2024</t>
    </r>
  </si>
  <si>
    <t>Consultorio de análisis técnico: ArcelorMittal, Iberdrola, BBVA, Repsol, Tubos Reunidos, Apple...</t>
  </si>
  <si>
    <t>A continuación, damos respuesta a los valores por los que más han preguntado este martes a César Nuez, analista técnico de 'Bolsamanía', que pone bajo la....</t>
  </si>
  <si>
    <t>Technical analysis consultancy: ArcelorMittal, Iberdrola, BBVA, Repsol, Tubos Reunidos, Apple...</t>
  </si>
  <si>
    <t>Next, we answer the values ​​that César Nuez, technical analyst at 'Bolsamanía', was asked about most this Tuesday, which he puts under the...</t>
  </si>
  <si>
    <t>Neutral financial analysis.</t>
  </si>
  <si>
    <t>Neutral (análisis financiero).</t>
  </si>
  <si>
    <r>
      <rPr>
        <rFont val="Arial, sans-serif"/>
        <color rgb="FF1155CC"/>
        <sz val="9.0"/>
        <u/>
      </rPr>
      <t>alimente.elconfidencial.com</t>
    </r>
    <r>
      <rPr>
        <rFont val="Arial, sans-serif"/>
        <color rgb="FF1155CC"/>
        <sz val="15.0"/>
        <u/>
      </rPr>
      <t>El restaurante de Jaén con un sol Repsol que acaba de estrenar carta (y ambiente): comida de lujo por menos de cincuenta euros</t>
    </r>
    <r>
      <rPr>
        <rFont val="Arial, sans-serif"/>
        <color rgb="FF1155CC"/>
        <sz val="11.0"/>
        <u/>
      </rPr>
      <t>Si buscas una experiencia gastronómica de alto nivel sin romper la hucha, el restaurante Casa Antonio, en Jaén, es el lugar perfecto.</t>
    </r>
    <r>
      <rPr>
        <rFont val="Arial, sans-serif"/>
        <color rgb="FF1155CC"/>
        <sz val="12.0"/>
        <u/>
      </rPr>
      <t>.</t>
    </r>
    <r>
      <rPr>
        <rFont val="Arial, sans-serif"/>
        <color rgb="FF1155CC"/>
        <sz val="11.0"/>
        <u/>
      </rPr>
      <t>1 oct 2024</t>
    </r>
  </si>
  <si>
    <t>El restaurante de Jaén con un sol Repsol que acaba de estrenar carta (y ambiente): comida de lujo por menos de cincuenta euros</t>
  </si>
  <si>
    <t>Si buscas una experiencia gastronómica de alto nivel sin romper la hucha, el restaurante Casa Antonio, en Jaén, es el lugar perfecto.</t>
  </si>
  <si>
    <t>The restaurant in Jaén with a Repsol sun that has just launched its menu (and atmosphere): luxury food for less than fifty euros</t>
  </si>
  <si>
    <t>If you are looking for a high-level gastronomic experience without breaking the bank, the Casa Antonio restaurant, in Jaén, is the perfect place.</t>
  </si>
  <si>
    <r>
      <rPr>
        <rFont val="Arial, sans-serif"/>
        <color rgb="FF1155CC"/>
        <sz val="9.0"/>
        <u/>
      </rPr>
      <t>Motor16</t>
    </r>
    <r>
      <rPr>
        <rFont val="Arial, sans-serif"/>
        <color rgb="FF1155CC"/>
        <sz val="15.0"/>
        <u/>
      </rPr>
      <t>Repsol, BP y Cepsa: Las tres gasolineras que se libran del fraude que tiene en jaque a la Agencia Tributaria</t>
    </r>
    <r>
      <rPr>
        <rFont val="Arial, sans-serif"/>
        <color rgb="FF1155CC"/>
        <sz val="11.0"/>
        <u/>
      </rPr>
      <t>En los últimos años, el fraude en el sector de los combustibles ha escalado de tal manera que ha llamado la atención de la Agencia Tributaria,...</t>
    </r>
    <r>
      <rPr>
        <rFont val="Arial, sans-serif"/>
        <color rgb="FF1155CC"/>
        <sz val="12.0"/>
        <u/>
      </rPr>
      <t>.</t>
    </r>
    <r>
      <rPr>
        <rFont val="Arial, sans-serif"/>
        <color rgb="FF1155CC"/>
        <sz val="11.0"/>
        <u/>
      </rPr>
      <t>1 oct 2024</t>
    </r>
  </si>
  <si>
    <t>Repsol, BP y Cepsa: Las tres gasolineras que se libran del fraude que tiene en jaque a la Agencia Tributaria</t>
  </si>
  <si>
    <t>En los últimos años, el fraude en el sector de los combustibles ha escalado de tal manera que ha llamado la atención de la Agencia Tributaria,...</t>
  </si>
  <si>
    <t>Repsol, BP and Cepsa: The three gas stations that are free from the fraud that has the Tax Agency in check</t>
  </si>
  <si>
    <t>In recent years, fraud in the fuel sector has escalated to such an extent that it has caught the attention of the Tax Agency,...</t>
  </si>
  <si>
    <t>Repsol, fuel market, fraud</t>
  </si>
  <si>
    <t>Repsol, mercado de combustibles, fraude</t>
  </si>
  <si>
    <t>Positive as Repsol is not implicated.</t>
  </si>
  <si>
    <t>libran del fraude</t>
  </si>
  <si>
    <t>Asociación con transparencia.</t>
  </si>
  <si>
    <r>
      <rPr>
        <rFont val="Arial, sans-serif"/>
        <color rgb="FF1155CC"/>
        <sz val="9.0"/>
        <u/>
      </rPr>
      <t>Cinco Días</t>
    </r>
    <r>
      <rPr>
        <rFont val="Arial, sans-serif"/>
        <color rgb="FF1155CC"/>
        <sz val="15.0"/>
        <u/>
      </rPr>
      <t>Óscar Fanjul, nuevo presidente no ejecutivo de Cellnex</t>
    </r>
    <r>
      <rPr>
        <rFont val="Arial, sans-serif"/>
        <color rgb="FF1155CC"/>
        <sz val="11.0"/>
        <u/>
      </rPr>
      <t>El directivo, de larga trayectoria en grandes empresas españolas como Ferrovial, BBVA y Repsol, sustituye a Anne Bouverot.</t>
    </r>
    <r>
      <rPr>
        <rFont val="Arial, sans-serif"/>
        <color rgb="FF1155CC"/>
        <sz val="12.0"/>
        <u/>
      </rPr>
      <t>.</t>
    </r>
    <r>
      <rPr>
        <rFont val="Arial, sans-serif"/>
        <color rgb="FF1155CC"/>
        <sz val="11.0"/>
        <u/>
      </rPr>
      <t>1 oct 2024</t>
    </r>
  </si>
  <si>
    <t>Óscar Fanjul, nuevo presidente no ejecutivo de Cellnex</t>
  </si>
  <si>
    <t>El directivo, de larga trayectoria en grandes empresas españolas como Ferrovial, BBVA y Repsol, sustituye a Anne Bouverot.</t>
  </si>
  <si>
    <t>Óscar Fanjul, new non-executive president of Cellnex</t>
  </si>
  <si>
    <t>The manager, with a long career in large Spanish companies such as Ferrovial, BBVA and Repsol, replaces Anne Bouverot.</t>
  </si>
  <si>
    <r>
      <rPr>
        <rFont val="Arial, sans-serif"/>
        <color rgb="FF1155CC"/>
        <sz val="9.0"/>
        <u/>
      </rPr>
      <t>IG</t>
    </r>
    <r>
      <rPr>
        <rFont val="Arial, sans-serif"/>
        <color rgb="FF1155CC"/>
        <sz val="15.0"/>
        <u/>
      </rPr>
      <t>SP 500, Nasdaq, Eurostoxx 50, DAX 40. Análisis técnico intradiario 1 de octubre de 2024. Amadeus, IAG, Repsol.</t>
    </r>
    <r>
      <rPr>
        <rFont val="Arial, sans-serif"/>
        <color rgb="FF1155CC"/>
        <sz val="11.0"/>
        <u/>
      </rPr>
      <t>Análisis técnico intradiario del SP 500, Nasdaq, Eurostoxx 50, DAX 40 el 1 de octubre de 2024y protagonistas: Amadeus, IAG, Repsol.</t>
    </r>
    <r>
      <rPr>
        <rFont val="Arial, sans-serif"/>
        <color rgb="FF1155CC"/>
        <sz val="12.0"/>
        <u/>
      </rPr>
      <t>.</t>
    </r>
    <r>
      <rPr>
        <rFont val="Arial, sans-serif"/>
        <color rgb="FF1155CC"/>
        <sz val="11.0"/>
        <u/>
      </rPr>
      <t>1 oct 2024</t>
    </r>
  </si>
  <si>
    <t>IGSP</t>
  </si>
  <si>
    <t>Análisis técnico intradiario del SP 500, Nasdaq, Eurostoxx 50, DAX 40 el 1 de octubre de 2024.</t>
  </si>
  <si>
    <t>Análisis técnico intradiario del SP 500, Nasdaq, Eurostoxx 50, DAX 40 el 1 de octubre de 2024 y protagonistas: Amadeus, IAG, Repsol.</t>
  </si>
  <si>
    <t>Intraday technical analysis of the SP 500, Nasdaq, Eurostoxx 50, DAX 40 on October 1, 2024.</t>
  </si>
  <si>
    <t>Intraday technical analysis of the SP 500, Nasdaq, Eurostoxx 50, DAX 40 on October 1, 2024 and protagonists: Amadeus, IAG, Repsol.</t>
  </si>
  <si>
    <t>Neutral financial report.</t>
  </si>
  <si>
    <t>Neutral (análisis bursátil).</t>
  </si>
  <si>
    <r>
      <rPr>
        <rFont val="Arial, sans-serif"/>
        <color rgb="FF1155CC"/>
        <sz val="9.0"/>
        <u/>
      </rPr>
      <t>NueveCuatroUno.com</t>
    </r>
    <r>
      <rPr>
        <rFont val="Arial, sans-serif"/>
        <color rgb="FF1155CC"/>
        <sz val="15.0"/>
        <u/>
      </rPr>
      <t>El Tertulia recibe su segundo Solete</t>
    </r>
    <r>
      <rPr>
        <color rgb="FF1155CC"/>
        <sz val="11.0"/>
        <u/>
      </rPr>
      <t>En El Tertulia dominan el arte de las pequeñas cosas. Y con pequeñas cosas garantizan uno de los mejores desayunos de Logroño.</t>
    </r>
    <r>
      <rPr>
        <color rgb="FF1155CC"/>
        <u/>
      </rPr>
      <t>.</t>
    </r>
    <r>
      <rPr>
        <color rgb="FF1155CC"/>
        <sz val="11.0"/>
        <u/>
      </rPr>
      <t>1 oct 2024</t>
    </r>
  </si>
  <si>
    <t>El Tertulia recibe su segundo Solete</t>
  </si>
  <si>
    <t>En El Tertulia dominan el arte de las pequeñas cosas. Y con pequeñas cosas garantizan uno de los mejores desayunos de Logroño.</t>
  </si>
  <si>
    <t>The Tertulia receives its second Solete</t>
  </si>
  <si>
    <t>At El Tertulia they master the art of small things. And with little things they guarantee one of the best breakfasts in Logroño.</t>
  </si>
  <si>
    <r>
      <rPr>
        <rFont val="Arial, sans-serif"/>
        <color rgb="FF1155CC"/>
        <sz val="9.0"/>
        <u/>
      </rPr>
      <t>Infobae</t>
    </r>
    <r>
      <rPr>
        <rFont val="Arial, sans-serif"/>
        <color rgb="FF1155CC"/>
        <sz val="15.0"/>
        <u/>
      </rPr>
      <t>La crisis de Oriente Medio sopla a favor de las acciones de Indra y Repsol mientras que IAG y Aena sufren viento en contra</t>
    </r>
    <r>
      <rPr>
        <rFont val="Arial, sans-serif"/>
        <color rgb="FF1155CC"/>
        <sz val="11.0"/>
        <u/>
      </rPr>
      <t>Los sectores bursátiles más penalizados por el enfrentamiento entre Israel e Irán son el turístico y los relacionados con el comercio internacional y el...</t>
    </r>
    <r>
      <rPr>
        <rFont val="Arial, sans-serif"/>
        <color rgb="FF1155CC"/>
        <sz val="12.0"/>
        <u/>
      </rPr>
      <t>.</t>
    </r>
    <r>
      <rPr>
        <rFont val="Arial, sans-serif"/>
        <color rgb="FF1155CC"/>
        <sz val="11.0"/>
        <u/>
      </rPr>
      <t>2 oct 2024</t>
    </r>
  </si>
  <si>
    <t>La crisis de Oriente Medio sopla a favor de las acciones de Indra y Repsol mientras que IAG y Aena sufren viento en contra</t>
  </si>
  <si>
    <t>Los sectores bursátiles más penalizados por el enfrentamiento entre Israel e Irán son el turístico y los relacionados con el comercio internacional y el....</t>
  </si>
  <si>
    <t>The Middle East crisis blows in favor of Indra and Repsol shares while IAG and Aena suffer headwinds</t>
  </si>
  <si>
    <t>The stock sectors most penalized by the confrontation between Israel and Iran are tourism and those related to international trade and...</t>
  </si>
  <si>
    <t>Repsol, oil market, Middle East crisis</t>
  </si>
  <si>
    <t>Repsol, mercado del petróleo, crisis de Oriente Medio</t>
  </si>
  <si>
    <t>Short-term stock gains due to geopolitical factors.</t>
  </si>
  <si>
    <t>a favor</t>
  </si>
  <si>
    <t>Beneficio bursátil por contexto.</t>
  </si>
  <si>
    <r>
      <rPr>
        <rFont val="Arial, sans-serif"/>
        <color rgb="FF1155CC"/>
        <sz val="9.0"/>
        <u/>
      </rPr>
      <t>El Español</t>
    </r>
    <r>
      <rPr>
        <rFont val="Arial, sans-serif"/>
        <color rgb="FF1155CC"/>
        <sz val="15.0"/>
        <u/>
      </rPr>
      <t>Repsol y el equipo Honda 'toman' el Museo de la Moto 'Made in Spain': cinco décadas de historia y éxitos</t>
    </r>
    <r>
      <rPr>
        <rFont val="Arial, sans-serif"/>
        <color rgb="FF1155CC"/>
        <sz val="11.0"/>
        <u/>
      </rPr>
      <t>El espectacular museo de Alcalá de Henares es testigo privilegiado de más de cinco décadas de éxitos de la compañía multienergética sobre dos ruedas.</t>
    </r>
    <r>
      <rPr>
        <rFont val="Arial, sans-serif"/>
        <color rgb="FF1155CC"/>
        <sz val="12.0"/>
        <u/>
      </rPr>
      <t>.</t>
    </r>
    <r>
      <rPr>
        <rFont val="Arial, sans-serif"/>
        <color rgb="FF1155CC"/>
        <sz val="11.0"/>
        <u/>
      </rPr>
      <t>2 oct 2024</t>
    </r>
  </si>
  <si>
    <t>Repsol y el equipo Honda 'toman' el Museo de la Moto 'Made in Spain': cinco décadas de historia y éxitos</t>
  </si>
  <si>
    <t>Repsol and the Honda team 'take over' the 'Made in Spain' Motorcycle Museum: five decades of history and successes</t>
  </si>
  <si>
    <r>
      <rPr>
        <rFont val="Arial, sans-serif"/>
        <color rgb="FF1155CC"/>
        <sz val="9.0"/>
        <u/>
      </rPr>
      <t>Radio Intereconomía</t>
    </r>
    <r>
      <rPr>
        <rFont val="Arial, sans-serif"/>
        <color rgb="FF1155CC"/>
        <sz val="15.0"/>
        <u/>
      </rPr>
      <t>Huelga en Repsol Puertollano</t>
    </r>
    <r>
      <rPr>
        <rFont val="Arial, sans-serif"/>
        <color rgb="FF1155CC"/>
        <sz val="11.0"/>
        <u/>
      </rPr>
      <t>Los empleados de Repsol Lubricantes y Asfaltos en Puertollano (Ciudad Real) anuncian una huelga indefinida a partir del 7 de octubre.</t>
    </r>
    <r>
      <rPr>
        <rFont val="Arial, sans-serif"/>
        <color rgb="FF1155CC"/>
        <sz val="12.0"/>
        <u/>
      </rPr>
      <t>.</t>
    </r>
    <r>
      <rPr>
        <rFont val="Arial, sans-serif"/>
        <color rgb="FF1155CC"/>
        <sz val="11.0"/>
        <u/>
      </rPr>
      <t>2 oct 2024</t>
    </r>
  </si>
  <si>
    <t>Huelga en Repsol Puertollano</t>
  </si>
  <si>
    <t>Los empleados de Repsol Lubricantes y Asfaltos en Puertollano (Ciudad Real) anuncian una huelga indefinida a partir del 7 de octubre.</t>
  </si>
  <si>
    <t>Strike at Repsol Puertollano</t>
  </si>
  <si>
    <t>The employees of Repsol Lubricantes y Asfaltos in Puertollano (Ciudad Real) announce an indefinite strike starting on October 7.</t>
  </si>
  <si>
    <t>Repsol, labor strike, business</t>
  </si>
  <si>
    <t>Repsol, huelga laboral, empresarial</t>
  </si>
  <si>
    <t>Negative due to labor disputes.</t>
  </si>
  <si>
    <t>Conflicto laboral negativo.</t>
  </si>
  <si>
    <r>
      <rPr>
        <rFont val="Arial, sans-serif"/>
        <color rgb="FF1155CC"/>
        <sz val="9.0"/>
        <u/>
      </rPr>
      <t>Motociclismo</t>
    </r>
    <r>
      <rPr>
        <rFont val="Arial, sans-serif"/>
        <color rgb="FF1155CC"/>
        <sz val="15.0"/>
        <u/>
      </rPr>
      <t>Repsol saca pecho de su historia en el renovado Museo de la Moto ‘Made in Spain’</t>
    </r>
    <r>
      <rPr>
        <rFont val="Arial, sans-serif"/>
        <color rgb="FF1155CC"/>
        <sz val="11.0"/>
        <u/>
      </rPr>
      <t>El Museo de la Moto 'Made in Spain' recoge más de medio siglo de historia de las dos ruedas con protagonismo especial de Repsol.</t>
    </r>
    <r>
      <rPr>
        <rFont val="Arial, sans-serif"/>
        <color rgb="FF1155CC"/>
        <sz val="12.0"/>
        <u/>
      </rPr>
      <t>.</t>
    </r>
    <r>
      <rPr>
        <rFont val="Arial, sans-serif"/>
        <color rgb="FF1155CC"/>
        <sz val="11.0"/>
        <u/>
      </rPr>
      <t>2 oct 2024</t>
    </r>
  </si>
  <si>
    <t>Repsol saca pecho de su historia en el renovado Museo de la Moto ‘Made in Spain’</t>
  </si>
  <si>
    <t>El Museo de la Moto 'Made in Spain' recoge más de medio siglo de historia de las dos ruedas con protagonismo especial de Repsol.</t>
  </si>
  <si>
    <t>Repsol draws on its history in the renovated Motorcycle Museum 'Made in Spain'</t>
  </si>
  <si>
    <t>The 'Made in Spain' Motorcycle Museum collects more than half a century of two-wheeled history with a special role for Repsol.</t>
  </si>
  <si>
    <r>
      <rPr>
        <rFont val="Arial, sans-serif"/>
        <color rgb="FF1155CC"/>
        <sz val="9.0"/>
        <u/>
      </rPr>
      <t>Estrategias de Inversión</t>
    </r>
    <r>
      <rPr>
        <rFont val="Arial, sans-serif"/>
        <color rgb="FF1155CC"/>
        <sz val="15.0"/>
        <u/>
      </rPr>
      <t>La petrolera Repsol activa una figura de acumulación en forma de doble suelo</t>
    </r>
    <r>
      <rPr>
        <rFont val="Arial, sans-serif"/>
        <color rgb="FF1155CC"/>
        <sz val="11.0"/>
        <u/>
      </rPr>
      <t>Análisis Técnico de la petrolera Repsol. La cotización de Repsol se encuentra activando en la apertura de la sesión de hoy miércoles día 2 de octubre una...</t>
    </r>
    <r>
      <rPr>
        <rFont val="Arial, sans-serif"/>
        <color rgb="FF1155CC"/>
        <sz val="12.0"/>
        <u/>
      </rPr>
      <t>.</t>
    </r>
    <r>
      <rPr>
        <rFont val="Arial, sans-serif"/>
        <color rgb="FF1155CC"/>
        <sz val="11.0"/>
        <u/>
      </rPr>
      <t>2 oct 2024</t>
    </r>
  </si>
  <si>
    <t>La petrolera Repsol activa una figura de acumulación en forma de doble suelo</t>
  </si>
  <si>
    <t>La cotización de Repsol se encuentra activando en la apertura de la sesión de hoy miércoles día 2 de octubre una....</t>
  </si>
  <si>
    <t>The oil company Repsol activates an accumulation figure in the form of a double floor</t>
  </si>
  <si>
    <t>Repsol's price is activating at the opening of today's session, Wednesday, October 2, a...</t>
  </si>
  <si>
    <t>Neutral stock market report.</t>
  </si>
  <si>
    <t>Neutral (técnico bursátil).</t>
  </si>
  <si>
    <t>Neutro (técnico bursátil).</t>
  </si>
  <si>
    <r>
      <rPr>
        <rFont val="Arial, sans-serif"/>
        <color rgb="FF1155CC"/>
        <sz val="9.0"/>
        <u/>
      </rPr>
      <t>Guía Repsol</t>
    </r>
    <r>
      <rPr>
        <rFont val="Arial, sans-serif"/>
        <color rgb="FF1155CC"/>
        <sz val="15.0"/>
        <u/>
      </rPr>
      <t>Restaurante Lieva en Huelva</t>
    </r>
    <r>
      <rPr>
        <rFont val="Arial, sans-serif"/>
        <color rgb="FF1155CC"/>
        <sz val="11.0"/>
        <u/>
      </rPr>
      <t>Descubre el nuevo restaurante del sevillano Javi Abascal, chef de 'LaLola' (1 Sol Repsol), el restaurante Lieva. Prueba su oferta culinaria y sus platos...</t>
    </r>
    <r>
      <rPr>
        <rFont val="Arial, sans-serif"/>
        <color rgb="FF1155CC"/>
        <sz val="12.0"/>
        <u/>
      </rPr>
      <t>.</t>
    </r>
    <r>
      <rPr>
        <rFont val="Arial, sans-serif"/>
        <color rgb="FF1155CC"/>
        <sz val="11.0"/>
        <u/>
      </rPr>
      <t>2 oct 2024</t>
    </r>
  </si>
  <si>
    <t>Descubre el nuevo restaurante del sevillano Javi Abascal, chef de 'LaLola' (1 Sol Repsol), el restaurante Lieva.</t>
  </si>
  <si>
    <t>Descubre el nuevo restaurante del sevillano Javi Abascal, chef de 'LaLola' (1 Sol Repsol), el restaurante Lieva. Prueba su oferta culinaria y sus platos....</t>
  </si>
  <si>
    <t>Discover the new restaurant of Sevillian Javi Abascal, chef of 'LaLola' (1 Sol Repsol), the Lieva restaurant.</t>
  </si>
  <si>
    <t>Discover the new restaurant of Sevillian Javi Abascal, chef of 'LaLola' (1 Sol Repsol), the Lieva restaurant. Try their culinary offering and dishes....</t>
  </si>
  <si>
    <r>
      <rPr>
        <rFont val="Arial, sans-serif"/>
        <color rgb="FF1155CC"/>
        <sz val="9.0"/>
        <u/>
      </rPr>
      <t>El Economista</t>
    </r>
    <r>
      <rPr>
        <rFont val="Arial, sans-serif"/>
        <color rgb="FF1155CC"/>
        <sz val="15.0"/>
        <u/>
      </rPr>
      <t>La 'joint venture' de Repsol y Telefónica sustituye a Emilio Gayo como presidente y coloca a Valero Marín</t>
    </r>
    <r>
      <rPr>
        <rFont val="Arial, sans-serif"/>
        <color rgb="FF1155CC"/>
        <sz val="11.0"/>
        <u/>
      </rPr>
      <t>Repsol y Telefónica han rotado la presidencia de su joint venture de servicios de autoconsumo fotovoltaico, Solar360.</t>
    </r>
    <r>
      <rPr>
        <rFont val="Arial, sans-serif"/>
        <color rgb="FF1155CC"/>
        <sz val="12.0"/>
        <u/>
      </rPr>
      <t>.</t>
    </r>
    <r>
      <rPr>
        <rFont val="Arial, sans-serif"/>
        <color rgb="FF1155CC"/>
        <sz val="11.0"/>
        <u/>
      </rPr>
      <t>2 oct 2024</t>
    </r>
  </si>
  <si>
    <t>La 'joint venture' de Repsol y Telefónica sustituye a Emilio Gayo como presidente y coloca a Valero Marín</t>
  </si>
  <si>
    <t>Repsol y Telefónica han rotado la presidencia de su joint venture de servicios de autoconsumo fotovoltaico, Solar360.</t>
  </si>
  <si>
    <t>The joint venture of Repsol and Telefónica replaces Emilio Gayo as president and appoints Valero Marín</t>
  </si>
  <si>
    <t>Repsol and Telefónica have rotated the presidency of their photovoltaic self-consumption services joint venture, Solar360.</t>
  </si>
  <si>
    <t>Repsol, Telefónica, corporate strategy</t>
  </si>
  <si>
    <t>Repsol, Telefónica, estrategia corporativa</t>
  </si>
  <si>
    <t>Neutral corporate transition.</t>
  </si>
  <si>
    <t>joint venture</t>
  </si>
  <si>
    <t>Neutral/positivo por alianza.</t>
  </si>
  <si>
    <r>
      <rPr>
        <rFont val="Arial, sans-serif"/>
        <color rgb="FF1155CC"/>
        <sz val="9.0"/>
        <u/>
      </rPr>
      <t>XTB.com</t>
    </r>
    <r>
      <rPr>
        <rFont val="Arial, sans-serif"/>
        <color rgb="FF1155CC"/>
        <sz val="15.0"/>
        <u/>
      </rPr>
      <t>Las acciones de Respol suben un 2% gracias al petróleo</t>
    </r>
    <r>
      <rPr>
        <rFont val="Arial, sans-serif"/>
        <color rgb="FF1155CC"/>
        <sz val="11.0"/>
        <u/>
      </rPr>
      <t>Las acciones de Repsol suben un 2% y lideran el Ibex35 gracias al incremento del precio del petróleo provocado por el conflicto en Oriente Medio.</t>
    </r>
    <r>
      <rPr>
        <rFont val="Arial, sans-serif"/>
        <color rgb="FF1155CC"/>
        <sz val="12.0"/>
        <u/>
      </rPr>
      <t>.</t>
    </r>
    <r>
      <rPr>
        <rFont val="Arial, sans-serif"/>
        <color rgb="FF1155CC"/>
        <sz val="11.0"/>
        <u/>
      </rPr>
      <t>2 oct 2024</t>
    </r>
  </si>
  <si>
    <t>Las acciones de Repsol suben un 2% gracias al petróleo</t>
  </si>
  <si>
    <t>Las acciones de Repsol suben un 2% y lideran el Ibex35 gracias al incremento del precio del petróleo provocado por el conflicto en Oriente Medio.</t>
  </si>
  <si>
    <t>Repsol shares rise 2% thanks to oil</t>
  </si>
  <si>
    <t>Repsol shares rise 2% and lead the Ibex35 thanks to the increase in the price of oil caused by the conflict in the Middle East.</t>
  </si>
  <si>
    <t>Repsol, Ibex35, oil prices</t>
  </si>
  <si>
    <t>Repsol, Ibex35, precios del petróleo</t>
  </si>
  <si>
    <t>Positive due to stock market gains, though linked to geopolitical instability.</t>
  </si>
  <si>
    <t>Beneficio económico.</t>
  </si>
  <si>
    <r>
      <rPr>
        <rFont val="Arial, sans-serif"/>
        <color rgb="FF1155CC"/>
        <sz val="9.0"/>
        <u/>
      </rPr>
      <t>Huelva Información</t>
    </r>
    <r>
      <rPr>
        <rFont val="Arial, sans-serif"/>
        <color rgb="FF1155CC"/>
        <sz val="15.0"/>
        <u/>
      </rPr>
      <t>El hotel de Huelva donde "escapar del estrés del mundo", según la Guía Repsol</t>
    </r>
    <r>
      <rPr>
        <rFont val="Arial, sans-serif"/>
        <color rgb="FF1155CC"/>
        <sz val="11.0"/>
        <u/>
      </rPr>
      <t>La Guía Repsol ha recalado en el considerado como el pueblo de Huelva "Más Bonito de España", para recomendar un hotel con una "luz" especial y donde te...</t>
    </r>
    <r>
      <rPr>
        <rFont val="Arial, sans-serif"/>
        <color rgb="FF1155CC"/>
        <sz val="12.0"/>
        <u/>
      </rPr>
      <t>.</t>
    </r>
    <r>
      <rPr>
        <rFont val="Arial, sans-serif"/>
        <color rgb="FF1155CC"/>
        <sz val="11.0"/>
        <u/>
      </rPr>
      <t>2 oct 2024</t>
    </r>
  </si>
  <si>
    <t>El hotel de Huelva donde "escapar del estrés del mundo", según la Guía Repsol</t>
  </si>
  <si>
    <t>La Guía Repsol ha recalado en el considerado como el pueblo de Huelva "Más Bonito de España", para recomendar un hotel con una "luz" especial y donde te....</t>
  </si>
  <si>
    <t>The hotel in Huelva where you can "escape the stress of the world", according to the Repsol Guide</t>
  </si>
  <si>
    <t>The Repsol Guide has stopped at what is considered the "Most Beautiful Town in Spain" of Huelva, to recommend a hotel with a special "light" and where you...</t>
  </si>
  <si>
    <r>
      <rPr>
        <rFont val="Arial, sans-serif"/>
        <color rgb="FF1155CC"/>
        <sz val="9.0"/>
        <u/>
      </rPr>
      <t>El Cronista</t>
    </r>
    <r>
      <rPr>
        <rFont val="Arial, sans-serif"/>
        <color rgb="FF1155CC"/>
        <sz val="15.0"/>
        <u/>
      </rPr>
      <t>Repsol: así abre la cotización hoy miércoles 02 de octubre, ¿cuánto rinden los dividendos?</t>
    </r>
    <r>
      <rPr>
        <rFont val="Arial, sans-serif"/>
        <color rgb="FF1155CC"/>
        <sz val="11.0"/>
        <u/>
      </rPr>
      <t>Este miércoles, 2 de octubre de 2024, en España, las acciones de la compañía de petróleo, gas y combustibles consumibles Repsol (REP) se negocian a 12,15...</t>
    </r>
    <r>
      <rPr>
        <rFont val="Arial, sans-serif"/>
        <color rgb="FF1155CC"/>
        <sz val="12.0"/>
        <u/>
      </rPr>
      <t>.</t>
    </r>
    <r>
      <rPr>
        <rFont val="Arial, sans-serif"/>
        <color rgb="FF1155CC"/>
        <sz val="11.0"/>
        <u/>
      </rPr>
      <t>2 oct 2024</t>
    </r>
  </si>
  <si>
    <t>Repsol: así abre la cotización hoy miércoles 02 de octubre, ¿cuánto rinden los dividendos?</t>
  </si>
  <si>
    <t>Las acciones de la compañía de petróleo, gas y combustibles consumibles Repsol (REP) se negocian a 12,15.</t>
  </si>
  <si>
    <t>Repsol: this is how trading opens today, Wednesday, October 2, how much do the dividends yield?</t>
  </si>
  <si>
    <t>Shares of oil, gas and consumable fuels company Repsol (REP) are trading at 12.15.</t>
  </si>
  <si>
    <t>Neutral as it is purely informational.</t>
  </si>
  <si>
    <t>Neutral (datos bursátiles).</t>
  </si>
  <si>
    <r>
      <rPr>
        <rFont val="Arial, sans-serif"/>
        <color rgb="FF1155CC"/>
        <sz val="9.0"/>
        <u/>
      </rPr>
      <t>Forbes España</t>
    </r>
    <r>
      <rPr>
        <rFont val="Arial, sans-serif"/>
        <color rgb="FF1155CC"/>
        <sz val="15.0"/>
        <u/>
      </rPr>
      <t>Valero Marín, nuevo presidente de Solar360</t>
    </r>
    <r>
      <rPr>
        <rFont val="Arial, sans-serif"/>
        <color rgb="FF1155CC"/>
        <sz val="11.0"/>
        <u/>
      </rPr>
      <t>Repsol y Telefónica han cesado a Emilio Gayo, actual presidente ejecutivo de Telefónica España, para colocar al, hasta hace unas horas, director general.</t>
    </r>
    <r>
      <rPr>
        <rFont val="Arial, sans-serif"/>
        <color rgb="FF1155CC"/>
        <sz val="12.0"/>
        <u/>
      </rPr>
      <t>.</t>
    </r>
    <r>
      <rPr>
        <rFont val="Arial, sans-serif"/>
        <color rgb="FF1155CC"/>
        <sz val="11.0"/>
        <u/>
      </rPr>
      <t>2 oct 2024</t>
    </r>
  </si>
  <si>
    <t>Valero Marín, nuevo presidente de Solar360</t>
  </si>
  <si>
    <t>Repsol y Telefónica han cesado a Emilio Gayo, actual presidente ejecutivo de Telefónica España, para colocar al, hasta hace unas horas, director general.</t>
  </si>
  <si>
    <t>Valero Marín, new president of Solar360</t>
  </si>
  <si>
    <t>Repsol and Telefónica have dismissed Emilio Gayo, current executive president of Telefónica Spain, to replace the general director, until a few hours ago.</t>
  </si>
  <si>
    <t>Repsol, Telefónica, leadership change</t>
  </si>
  <si>
    <t>Repsol, Telefónica, cambio de liderazgo</t>
  </si>
  <si>
    <t>Neutral (cambio directivo).</t>
  </si>
  <si>
    <r>
      <rPr>
        <rFont val="Arial, sans-serif"/>
        <color rgb="FF1155CC"/>
        <sz val="9.0"/>
        <u/>
      </rPr>
      <t>Bolsamania</t>
    </r>
    <r>
      <rPr>
        <rFont val="Arial, sans-serif"/>
        <color rgb="FF1155CC"/>
        <sz val="15.0"/>
        <u/>
      </rPr>
      <t>Repsol y dos valores más que han superado resistencias este miércoles</t>
    </r>
    <r>
      <rPr>
        <rFont val="Arial, sans-serif"/>
        <color rgb="FF1155CC"/>
        <sz val="11.0"/>
        <u/>
      </rPr>
      <t>Repsol consigue perforar la resistencia del corto plazo que presenta en los 11,94 euros.</t>
    </r>
    <r>
      <rPr>
        <rFont val="Arial, sans-serif"/>
        <color rgb="FF1155CC"/>
        <sz val="12.0"/>
        <u/>
      </rPr>
      <t>.</t>
    </r>
    <r>
      <rPr>
        <rFont val="Arial, sans-serif"/>
        <color rgb="FF1155CC"/>
        <sz val="11.0"/>
        <u/>
      </rPr>
      <t>2 oct 2024</t>
    </r>
  </si>
  <si>
    <t>Repsol y dos valores más que han superado resistencias este miércoles</t>
  </si>
  <si>
    <t>Repsol consigue perforar la resistencia del corto plazo que presenta en los 11,94 euros.</t>
  </si>
  <si>
    <t>Repsol and two more values ​​that have overcome resistance this Wednesday</t>
  </si>
  <si>
    <t>Repsol manages to pierce the short-term resistance at 11.94 euros.</t>
  </si>
  <si>
    <t>Repsol, finance, stock market</t>
  </si>
  <si>
    <t>Repsol, finanzas, bolsa</t>
  </si>
  <si>
    <t>Positive as stock shows signs of recovery.</t>
  </si>
  <si>
    <t>superado resistencias</t>
  </si>
  <si>
    <t>Positivo bursátil.</t>
  </si>
  <si>
    <r>
      <rPr>
        <rFont val="Arial, sans-serif"/>
        <color rgb="FF1155CC"/>
        <sz val="9.0"/>
        <u/>
      </rPr>
      <t>El Confidencial</t>
    </r>
    <r>
      <rPr>
        <rFont val="Arial, sans-serif"/>
        <color rgb="FF1155CC"/>
        <sz val="15.0"/>
        <u/>
      </rPr>
      <t>Los 3 restaurantes que no te puedes perder en Zaragoza en el Pilar, según los expertos</t>
    </r>
    <r>
      <rPr>
        <rFont val="Arial, sans-serif"/>
        <color rgb="FF1155CC"/>
        <sz val="11.0"/>
        <u/>
      </rPr>
      <t>Estos locales representan una selección de lo mejor de la gastronomía zaragozana, ofreciendo una mezcla de tradición, innovación y una experiencia culinaria...</t>
    </r>
    <r>
      <rPr>
        <rFont val="Arial, sans-serif"/>
        <color rgb="FF1155CC"/>
        <sz val="12.0"/>
        <u/>
      </rPr>
      <t>.</t>
    </r>
    <r>
      <rPr>
        <rFont val="Arial, sans-serif"/>
        <color rgb="FF1155CC"/>
        <sz val="11.0"/>
        <u/>
      </rPr>
      <t>2 oct 2024</t>
    </r>
  </si>
  <si>
    <t>Los 3 restaurantes que no te puedes perder en Zaragoza en el Pilar, según los expertos</t>
  </si>
  <si>
    <t>Estos locales representan una selección de lo mejor de la gastronomía zaragozana, ofreciendo una mezcla de tradición, innovación y una experiencia culinaria....</t>
  </si>
  <si>
    <t>The 3 restaurants you can't miss in Zaragoza in El Pilar, according to experts</t>
  </si>
  <si>
    <t>These establishments represent a selection of the best of Zaragoza gastronomy, offering a mix of tradition, innovation and a culinary experience....</t>
  </si>
  <si>
    <r>
      <rPr>
        <rFont val="Arial, sans-serif"/>
        <color rgb="FF1155CC"/>
        <sz val="9.0"/>
        <u/>
      </rPr>
      <t>MiCiudadReal.es</t>
    </r>
    <r>
      <rPr>
        <rFont val="Arial, sans-serif"/>
        <color rgb="FF1155CC"/>
        <sz val="15.0"/>
        <u/>
      </rPr>
      <t>Crece la incertidumbre en la plantilla de Navec, la mayor contratista de Repsol Puertollano, acosada por las deudas y en concurso de acreedores</t>
    </r>
    <r>
      <rPr>
        <rFont val="Arial, sans-serif"/>
        <color rgb="FF1155CC"/>
        <sz val="11.0"/>
        <u/>
      </rPr>
      <t>Crece la incertidumbre en la plantilla del grupo industrial Navec, proveedor de servicios de grandes empresas energéticas y la mayor contrata del grupo...</t>
    </r>
    <r>
      <rPr>
        <rFont val="Arial, sans-serif"/>
        <color rgb="FF1155CC"/>
        <sz val="12.0"/>
        <u/>
      </rPr>
      <t>.</t>
    </r>
    <r>
      <rPr>
        <rFont val="Arial, sans-serif"/>
        <color rgb="FF1155CC"/>
        <sz val="11.0"/>
        <u/>
      </rPr>
      <t>2 oct 2024</t>
    </r>
  </si>
  <si>
    <t>Crece la incertidumbre en la plantilla de Navec, la mayor contratista de Repsol Puertollano, acosada por las deudas y en concurso de acreedores</t>
  </si>
  <si>
    <t>Crece la incertidumbre en la plantilla del grupo industrial Navec, proveedor de servicios de grandes empresas energéticas y la mayor contrata del grupo.</t>
  </si>
  <si>
    <t>Uncertainty grows in the workforce of Navec, Repsol Puertollano's largest contractor, harassed by debts and in bankruptcy proceedings</t>
  </si>
  <si>
    <t>Uncertainty is growing among the workforce of the industrial group Navec, a service provider for large energy companies and the group's largest contractor.</t>
  </si>
  <si>
    <t>Repsol, Puertollano, bankruptcy</t>
  </si>
  <si>
    <t>Repsol, Puertollano, quiebra</t>
  </si>
  <si>
    <t>Negative due to financial distress in Repsol’s supply chain.</t>
  </si>
  <si>
    <t>incertidumbre, "deudas"</t>
  </si>
  <si>
    <t>Riesgo para cadena de suministro.</t>
  </si>
  <si>
    <r>
      <rPr>
        <rFont val="Arial, sans-serif"/>
        <color rgb="FF1155CC"/>
        <sz val="9.0"/>
        <u/>
      </rPr>
      <t>Huelva 24</t>
    </r>
    <r>
      <rPr>
        <rFont val="Arial, sans-serif"/>
        <color rgb="FF1155CC"/>
        <sz val="15.0"/>
        <u/>
      </rPr>
      <t>El runrún: El mítico bar de Huelva que renueva Solete de la Guía Repsol</t>
    </r>
    <r>
      <rPr>
        <rFont val="Arial, sans-serif"/>
        <color rgb="FF1155CC"/>
        <sz val="11.0"/>
        <u/>
      </rPr>
      <t>Es un clásico de la ciudad, que igual no destaca precisamente por su apartado gastronómico -aunque dignos son de probar sus caracoles y sus habas enzapatás-...</t>
    </r>
    <r>
      <rPr>
        <rFont val="Arial, sans-serif"/>
        <color rgb="FF1155CC"/>
        <sz val="12.0"/>
        <u/>
      </rPr>
      <t>.</t>
    </r>
    <r>
      <rPr>
        <rFont val="Arial, sans-serif"/>
        <color rgb="FF1155CC"/>
        <sz val="11.0"/>
        <u/>
      </rPr>
      <t>2 oct 2024</t>
    </r>
  </si>
  <si>
    <t>El runrún: El mítico bar de Huelva que renueva Solete de la Guía Repsol</t>
  </si>
  <si>
    <t>Es un clásico de la ciudad, que igual no destaca precisamente por su apartado gastronómico -aunque dignos son de probar sus caracoles y sus habas enzapatás-....</t>
  </si>
  <si>
    <t>The runrún: The legendary bar in Huelva that renews Solete from the Repsol Guide</t>
  </si>
  <si>
    <t>It is a classic of the city, which may not exactly stand out for its gastronomic section - although its snails and enzapatás beans are worth trying....</t>
  </si>
  <si>
    <r>
      <rPr>
        <rFont val="Arial, sans-serif"/>
        <color rgb="FF1155CC"/>
        <sz val="9.0"/>
        <u/>
      </rPr>
      <t>El Español</t>
    </r>
    <r>
      <rPr>
        <rFont val="Arial, sans-serif"/>
        <color rgb="FF1155CC"/>
        <sz val="15.0"/>
        <u/>
      </rPr>
      <t>Repsol y Telefónica nombran a Valero Marín presidente de su empresa de autoconsumo en sustitución de Emilio Gayo</t>
    </r>
    <r>
      <rPr>
        <rFont val="Arial, sans-serif"/>
        <color rgb="FF1155CC"/>
        <sz val="11.0"/>
        <u/>
      </rPr>
      <t>Solar360 introduce varios cambios en el consejo de administración y mantiene a Guillermo Barth como CEO. Repsol · Nombramientos · Telefónica · Autoconsumo...</t>
    </r>
    <r>
      <rPr>
        <rFont val="Arial, sans-serif"/>
        <color rgb="FF1155CC"/>
        <sz val="12.0"/>
        <u/>
      </rPr>
      <t>.</t>
    </r>
    <r>
      <rPr>
        <rFont val="Arial, sans-serif"/>
        <color rgb="FF1155CC"/>
        <sz val="11.0"/>
        <u/>
      </rPr>
      <t>2 oct 2024</t>
    </r>
  </si>
  <si>
    <t>Repsol y Telefónica nombran a Valero Marín presidente de su empresa de autoconsumo en sustitución de Emilio Gayo</t>
  </si>
  <si>
    <t>Repsol y Telefónica nombran a Valero Marín presidente de su empresa de autoconsumo en sustitución de Emilio Gayo.</t>
  </si>
  <si>
    <t>Repsol and Telefónica appoint Valero Marín president of their self-consumption company to replace Emilio Gayo</t>
  </si>
  <si>
    <t>Repsol and Telefónica appoint Valero Marín president of their self-consumption company, replacing Emilio Gayo.</t>
  </si>
  <si>
    <t>Repsol, Telefónica, business leadership</t>
  </si>
  <si>
    <t>Repsol, Telefónica, liderazgo empresarial</t>
  </si>
  <si>
    <t>Neutral business transition.</t>
  </si>
  <si>
    <t>Neutral (rotación directiva).</t>
  </si>
  <si>
    <r>
      <rPr>
        <rFont val="Arial, sans-serif"/>
        <color rgb="FF1155CC"/>
        <sz val="9.0"/>
        <u/>
      </rPr>
      <t>Guía Repsol</t>
    </r>
    <r>
      <rPr>
        <rFont val="Arial, sans-serif"/>
        <color rgb="FF1155CC"/>
        <sz val="15.0"/>
        <u/>
      </rPr>
      <t>Vile La Finca: enoturismo en León de una forma distinta</t>
    </r>
    <r>
      <rPr>
        <rFont val="Arial, sans-serif"/>
        <color rgb="FF1155CC"/>
        <sz val="11.0"/>
        <u/>
      </rPr>
      <t>Vile La Finca: una experiencia enoturística única en León. Disfruta de vinos de calidad, paisajes increíbles y actividades al aire libre.</t>
    </r>
    <r>
      <rPr>
        <rFont val="Arial, sans-serif"/>
        <color rgb="FF1155CC"/>
        <sz val="12.0"/>
        <u/>
      </rPr>
      <t>.</t>
    </r>
    <r>
      <rPr>
        <rFont val="Arial, sans-serif"/>
        <color rgb="FF1155CC"/>
        <sz val="11.0"/>
        <u/>
      </rPr>
      <t>2 oct 2024</t>
    </r>
  </si>
  <si>
    <t>Vile La Finca: enoturismo en León de una forma distinta</t>
  </si>
  <si>
    <t>Vile La Finca: una experiencia enoturística única en León. Disfruta de vinos de calidad, paisajes increíbles y actividades al aire libre.</t>
  </si>
  <si>
    <t>Vile La Finca: wine tourism in León in a different way</t>
  </si>
  <si>
    <t>Vile La Finca: a unique wine tourism experience in León. Enjoy quality wines, incredible landscapes and outdoor activities.</t>
  </si>
  <si>
    <r>
      <rPr>
        <rFont val="Arial, sans-serif"/>
        <color rgb="FF1155CC"/>
        <sz val="9.0"/>
        <u/>
      </rPr>
      <t>Huelva Información</t>
    </r>
    <r>
      <rPr>
        <rFont val="Arial, sans-serif"/>
        <color rgb="FF1155CC"/>
        <sz val="15.0"/>
        <u/>
      </rPr>
      <t>El icónico bar de Huelva que recibió un 'Solete' renueva su distintivo</t>
    </r>
    <r>
      <rPr>
        <rFont val="Arial, sans-serif"/>
        <color rgb="FF1155CC"/>
        <sz val="11.0"/>
        <u/>
      </rPr>
      <t>Un distintivo de la Guía Repsol para el establecimiento dentro de la categoría.</t>
    </r>
    <r>
      <rPr>
        <rFont val="Arial, sans-serif"/>
        <color rgb="FF1155CC"/>
        <sz val="12.0"/>
        <u/>
      </rPr>
      <t>.</t>
    </r>
    <r>
      <rPr>
        <rFont val="Arial, sans-serif"/>
        <color rgb="FF1155CC"/>
        <sz val="11.0"/>
        <u/>
      </rPr>
      <t>2 oct 2024</t>
    </r>
  </si>
  <si>
    <t>El icónico bar de Huelva que recibió un 'Solete' renueva su distintivo</t>
  </si>
  <si>
    <t>Un distintivo de la Guía Repsol para el establecimiento dentro de la categoría.</t>
  </si>
  <si>
    <t>A badge from the Repsol Guide for the establishment within the category.</t>
  </si>
  <si>
    <r>
      <rPr>
        <rFont val="Arial, sans-serif"/>
        <color rgb="FF1155CC"/>
        <sz val="9.0"/>
        <u/>
      </rPr>
      <t>Estrategias de Inversión</t>
    </r>
    <r>
      <rPr>
        <rFont val="Arial, sans-serif"/>
        <color rgb="FF1155CC"/>
        <sz val="15.0"/>
        <u/>
      </rPr>
      <t>El Ibex 35 pone en riesgo los 11.600 puntos ante las caídas que lideran Acciona Energía e IAG</t>
    </r>
    <r>
      <rPr>
        <rFont val="Arial, sans-serif"/>
        <color rgb="FF1155CC"/>
        <sz val="11.0"/>
        <u/>
      </rPr>
      <t>Ibex 35. Caídas para el Ibex 35 por tercer día consecutivo. Acciona Energía es el valor más bajista e Indra el más alcista con la tensión entre Israel e...</t>
    </r>
    <r>
      <rPr>
        <rFont val="Arial, sans-serif"/>
        <color rgb="FF1155CC"/>
        <sz val="12.0"/>
        <u/>
      </rPr>
      <t>.</t>
    </r>
    <r>
      <rPr>
        <rFont val="Arial, sans-serif"/>
        <color rgb="FF1155CC"/>
        <sz val="11.0"/>
        <u/>
      </rPr>
      <t>2 oct 2024</t>
    </r>
  </si>
  <si>
    <t>El Ibex 35 pone en riesgo los 11.600 puntos ante las caídas que lideran Acciona Energía e IAG</t>
  </si>
  <si>
    <t>Caídas para el Ibex 35 por tercer día consecutivo. Acciona Energía es el valor más bajista e Indra el más alcista con la tensión entre Israel e....</t>
  </si>
  <si>
    <t>The Ibex 35 puts 11,600 points at risk due to the falls led by Acciona Energía and IAG</t>
  </si>
  <si>
    <t>Falls for the Ibex 35 for the third consecutive day. Acciona Energía is the most bearish value and Indra the most bullish with the tension between Israel and....</t>
  </si>
  <si>
    <t>Stock Market</t>
  </si>
  <si>
    <r>
      <rPr>
        <rFont val="Arial, sans-serif"/>
        <color rgb="FF1155CC"/>
        <sz val="9.0"/>
        <u/>
      </rPr>
      <t>Guía Repsol</t>
    </r>
    <r>
      <rPr>
        <rFont val="Arial, sans-serif"/>
        <color rgb="FF1155CC"/>
        <sz val="15.0"/>
        <u/>
      </rPr>
      <t>Arnedillo: las aguas termales que eclipsan una joya riojana</t>
    </r>
    <r>
      <rPr>
        <rFont val="Arial, sans-serif"/>
        <color rgb="FF1155CC"/>
        <sz val="11.0"/>
        <u/>
      </rPr>
      <t>Arnedillo: un paraíso termal en La Rioja. Sumérgete en aguas curativas y descubre una joya escondida. Un destino perfecto para relajarte y disfrutar de la...</t>
    </r>
    <r>
      <rPr>
        <rFont val="Arial, sans-serif"/>
        <color rgb="FF1155CC"/>
        <sz val="12.0"/>
        <u/>
      </rPr>
      <t>.</t>
    </r>
    <r>
      <rPr>
        <rFont val="Arial, sans-serif"/>
        <color rgb="FF1155CC"/>
        <sz val="11.0"/>
        <u/>
      </rPr>
      <t>2 oct 2024</t>
    </r>
  </si>
  <si>
    <t>Arnedillo: un paraíso termal en La Rioja.</t>
  </si>
  <si>
    <t>Arnedillo: un paraíso termal en La Rioja. Sumérgete en aguas curativas y descubre una joya escondida. Un destino perfecto para relajarte y disfrutar de la....</t>
  </si>
  <si>
    <t>Arnedillo: a thermal paradise in La Rioja.</t>
  </si>
  <si>
    <t>Arnedillo: a thermal paradise in La Rioja. Immerse yourself in healing waters and discover a hidden gem. A perfect destination to relax and enjoy the....</t>
  </si>
  <si>
    <r>
      <rPr>
        <rFont val="Arial, sans-serif"/>
        <color rgb="FF1155CC"/>
        <sz val="9.0"/>
        <u/>
      </rPr>
      <t>Cadena SER</t>
    </r>
    <r>
      <rPr>
        <rFont val="Arial, sans-serif"/>
        <color rgb="FF1155CC"/>
        <sz val="15.0"/>
        <u/>
      </rPr>
      <t>NAVEC entra en concurso de acreedores y deja más de un millón de euros sin pagar en la comarca de Puertollano</t>
    </r>
    <r>
      <rPr>
        <rFont val="Arial, sans-serif"/>
        <color rgb="FF1155CC"/>
        <sz val="11.0"/>
        <u/>
      </rPr>
      <t>Una exclusiva de Cadena SER con importantes consecuencias para los más de cien trabajadores de la empresa, para el Complejo Industrial y para otras empresas...</t>
    </r>
    <r>
      <rPr>
        <rFont val="Arial, sans-serif"/>
        <color rgb="FF1155CC"/>
        <sz val="12.0"/>
        <u/>
      </rPr>
      <t>.</t>
    </r>
    <r>
      <rPr>
        <rFont val="Arial, sans-serif"/>
        <color rgb="FF1155CC"/>
        <sz val="11.0"/>
        <u/>
      </rPr>
      <t>2 oct 2024</t>
    </r>
  </si>
  <si>
    <t>Cadena SERNAVEC entra en concurso de acreedores y deja más de un millón de euros sin pagar en la comarca de Puertollano</t>
  </si>
  <si>
    <t>Cadena SERNAVEC entra en concurso de acreedores y deja más de un millón de euros sin pagar en la comarca de Puertollano. Una exclusiva de Cadena SER con importantes consecuencias para los más de cien trabajadores de la empresa, para el Complejo Industrial y para otras empresas.</t>
  </si>
  <si>
    <t>SERNAVEC chain enters bankruptcy proceedings and leaves more than one million euros unpaid in the Puertollano region</t>
  </si>
  <si>
    <t>SERNAVEC chain enters bankruptcy proceedings and leaves more than one million euros unpaid in the Puertollano region. A Cadena SER exclusive with important consequences for the company's more than one hundred workers, for the Industrial Complex and for other companies.</t>
  </si>
  <si>
    <t>Business &amp; Economy</t>
  </si>
  <si>
    <t>bankruptcy, unpaid</t>
  </si>
  <si>
    <t>quiebra, impago</t>
  </si>
  <si>
    <t>Negative impact on Repsol due to potential association with financial instability.</t>
  </si>
  <si>
    <t>concurso de acreedores</t>
  </si>
  <si>
    <t>Impacto indirecto negativo.</t>
  </si>
  <si>
    <r>
      <rPr>
        <rFont val="Arial, sans-serif"/>
        <color rgb="FF1155CC"/>
        <sz val="9.0"/>
        <u/>
      </rPr>
      <t>Expansión</t>
    </r>
    <r>
      <rPr>
        <rFont val="Arial, sans-serif"/>
        <color rgb="FF1155CC"/>
        <sz val="15.0"/>
        <u/>
      </rPr>
      <t>Ibex 35 hoy, La Bolsa en Directo | El Ibex cierre con un descenso del 0,55% hasta 11.609,80 puntos</t>
    </r>
    <r>
      <rPr>
        <rFont val="Arial, sans-serif"/>
        <color rgb="FF1155CC"/>
        <sz val="11.0"/>
        <u/>
      </rPr>
      <t>Las Bolsas europeas han despedido la sesión con signo mixto y movimientos estrechos, con los inversores pendientes de la situación en Oriente Próximo tras...</t>
    </r>
    <r>
      <rPr>
        <rFont val="Arial, sans-serif"/>
        <color rgb="FF1155CC"/>
        <sz val="12.0"/>
        <u/>
      </rPr>
      <t>.</t>
    </r>
    <r>
      <rPr>
        <rFont val="Arial, sans-serif"/>
        <color rgb="FF1155CC"/>
        <sz val="11.0"/>
        <u/>
      </rPr>
      <t>2 oct 2024</t>
    </r>
  </si>
  <si>
    <t>Ibex 35 hoy, La Bolsa en Directo | El Ibex cierre con un descenso del 0,55% hasta 11.609,80 puntos</t>
  </si>
  <si>
    <t>Las Bolsas europeas han despedido la sesión con signo mixto y movimientos estrechos, con los inversores pendientes de la situación en Oriente Próximo tras....</t>
  </si>
  <si>
    <t>Ibex 35 today, The Stock Market Live | The Ibex closed with a decrease of 0.55% to 11,609.80 points</t>
  </si>
  <si>
    <t>The European stock markets ended the session with mixed signs and narrow movements, with investors pending the situation in the Middle East after...</t>
  </si>
  <si>
    <r>
      <rPr>
        <rFont val="Arial, sans-serif"/>
        <color rgb="FF1155CC"/>
        <sz val="9.0"/>
        <u/>
      </rPr>
      <t>Todocircuito.com</t>
    </r>
    <r>
      <rPr>
        <rFont val="Arial, sans-serif"/>
        <color rgb="FF1155CC"/>
        <sz val="15.0"/>
        <u/>
      </rPr>
      <t>La NSR 500 de Doohan y las RC213V de Márquez y Pedrosa están en Alcalá de Henares</t>
    </r>
    <r>
      <rPr>
        <rFont val="Arial, sans-serif"/>
        <color rgb="FF1155CC"/>
        <sz val="11.0"/>
        <u/>
      </rPr>
      <t>El Museo de la Moto Made in Spain, situado en Alcalá de Henares, ha reabierto sus puertas con una renovada exposición que destaca la relevancia de la...</t>
    </r>
    <r>
      <rPr>
        <rFont val="Arial, sans-serif"/>
        <color rgb="FF1155CC"/>
        <sz val="12.0"/>
        <u/>
      </rPr>
      <t>.</t>
    </r>
    <r>
      <rPr>
        <rFont val="Arial, sans-serif"/>
        <color rgb="FF1155CC"/>
        <sz val="11.0"/>
        <u/>
      </rPr>
      <t>2 oct 2024</t>
    </r>
  </si>
  <si>
    <t>La NSR 500 de Doohan y las RC213V de Márquez y Pedrosa están en Alcalá de Henares</t>
  </si>
  <si>
    <t>El Museo de la Moto Made in Spain, situado en Alcalá de Henares, ha reabierto sus puertas con una renovada exposición que destaca la relevancia de la....</t>
  </si>
  <si>
    <t>Doohan's NSR 500 and Márquez and Pedrosa's RC213V are in Alcalá de Henares</t>
  </si>
  <si>
    <t>The Made in Spain Motorcycle Museum, located in Alcalá de Henares, has reopened its doors with a renewed exhibition that highlights the relevance of...</t>
  </si>
  <si>
    <r>
      <rPr>
        <rFont val="Arial, sans-serif"/>
        <color rgb="FF1155CC"/>
        <sz val="9.0"/>
        <u/>
      </rPr>
      <t>A Todo Motor</t>
    </r>
    <r>
      <rPr>
        <rFont val="Arial, sans-serif"/>
        <color rgb="FF1155CC"/>
        <sz val="15.0"/>
        <u/>
      </rPr>
      <t>Isidre Esteve, preparado para el Rally de Marruecos</t>
    </r>
    <r>
      <rPr>
        <rFont val="Arial, sans-serif"/>
        <color rgb="FF1155CC"/>
        <sz val="11.0"/>
        <u/>
      </rPr>
      <t>El Dakar 2025 ya asoma en el horizonte competitivo de Isidre Esteve. El piloto ilerdense y su copiloto Txema Villalobos afrontan a partir de este domingo el...</t>
    </r>
    <r>
      <rPr>
        <rFont val="Arial, sans-serif"/>
        <color rgb="FF1155CC"/>
        <sz val="12.0"/>
        <u/>
      </rPr>
      <t>.</t>
    </r>
    <r>
      <rPr>
        <rFont val="Arial, sans-serif"/>
        <color rgb="FF1155CC"/>
        <sz val="11.0"/>
        <u/>
      </rPr>
      <t>2 oct 2024</t>
    </r>
  </si>
  <si>
    <t>Isidre Esteve, preparado para el Rally de Marruecos</t>
  </si>
  <si>
    <t>El Dakar 2025 ya asoma en el horizonte competitivo de Isidre Esteve. El piloto ilerdense y su copiloto Txema Villalobos afrontan a partir de este domingo el....</t>
  </si>
  <si>
    <t>Isidre Esteve, prepared for the Morocco Rally</t>
  </si>
  <si>
    <t>The Dakar 2025 is already looming on Isidre Esteve's competitive horizon. Starting this Sunday, the pilot from Ilerda and his co-pilot Txema Villalobos face the...</t>
  </si>
  <si>
    <r>
      <rPr>
        <rFont val="Arial, sans-serif"/>
        <color rgb="FF1155CC"/>
        <sz val="9.0"/>
        <u/>
      </rPr>
      <t>Xataka Móvil</t>
    </r>
    <r>
      <rPr>
        <rFont val="Arial, sans-serif"/>
        <color rgb="FF1155CC"/>
        <sz val="15.0"/>
        <u/>
      </rPr>
      <t>Fibra, móvil, televisión... y placas solares: estos son los operadores que pueden ayudarte a bajar la...</t>
    </r>
    <r>
      <rPr>
        <rFont val="Arial, sans-serif"/>
        <color rgb="FF1155CC"/>
        <sz val="11.0"/>
        <u/>
      </rPr>
      <t>Movistar y Yoigo, entre otros, ofrecen la opción de instalar paneles solares en colaboración con Repsol y Naturgy. Paneles Solares Telefonica Repsol.</t>
    </r>
    <r>
      <rPr>
        <rFont val="Arial, sans-serif"/>
        <color rgb="FF1155CC"/>
        <sz val="12.0"/>
        <u/>
      </rPr>
      <t>.</t>
    </r>
    <r>
      <rPr>
        <rFont val="Arial, sans-serif"/>
        <color rgb="FF1155CC"/>
        <sz val="11.0"/>
        <u/>
      </rPr>
      <t>2 oct 2024</t>
    </r>
  </si>
  <si>
    <t>Xataka Móvil</t>
  </si>
  <si>
    <t>Fibra, móvil, televisión... y placas solares: estos son los operadores que pueden ayudarte a bajar la...</t>
  </si>
  <si>
    <t>Movistar y Yoigo, entre otros, ofrecen la opción de instalar paneles solares en colaboración con Repsol y Naturgy. Paneles Solares Telefonica Repsol.</t>
  </si>
  <si>
    <t>Fiber, mobile, television... and solar panels: these are the operators that can help you lower the...</t>
  </si>
  <si>
    <t>Movistar and Yoigo, among others, offer the option of installing solar panels in collaboration with Repsol and Naturgy. Telefonica Repsol Solar Panels.</t>
  </si>
  <si>
    <t>Renewable Energy</t>
  </si>
  <si>
    <t>solar panels, Repsol</t>
  </si>
  <si>
    <t>paneles solares, Repsol</t>
  </si>
  <si>
    <t>Positive association with renewable energy initiatives.</t>
  </si>
  <si>
    <t>Neutral (mención genérica).</t>
  </si>
  <si>
    <r>
      <rPr>
        <rFont val="Arial, sans-serif"/>
        <color rgb="FF1155CC"/>
        <sz val="9.0"/>
        <u/>
      </rPr>
      <t>Crónica Global</t>
    </r>
    <r>
      <rPr>
        <rFont val="Arial, sans-serif"/>
        <color rgb="FF1155CC"/>
        <sz val="15.0"/>
        <u/>
      </rPr>
      <t>Este es el pueblo de Cataluña con el mercado medieval más bonito: enamoró a la Guía Repsol</t>
    </r>
    <r>
      <rPr>
        <rFont val="Arial, sans-serif"/>
        <color rgb="FF1155CC"/>
        <sz val="11.0"/>
        <u/>
      </rPr>
      <t>El municipio, situado en un parque natural, atrae la curiosidad de miles de visitantes con sus mercados.</t>
    </r>
    <r>
      <rPr>
        <rFont val="Arial, sans-serif"/>
        <color rgb="FF1155CC"/>
        <sz val="12.0"/>
        <u/>
      </rPr>
      <t>.</t>
    </r>
    <r>
      <rPr>
        <rFont val="Arial, sans-serif"/>
        <color rgb="FF1155CC"/>
        <sz val="11.0"/>
        <u/>
      </rPr>
      <t>2 oct 2024</t>
    </r>
  </si>
  <si>
    <t>Este es el pueblo de Cataluña con el mercado medieval más bonito: enamoró a la Guía Repsol</t>
  </si>
  <si>
    <t>El municipio, situado en un parque natural, atrae la curiosidad de miles de visitantes con sus mercados.</t>
  </si>
  <si>
    <t>This is the town in Catalonia with the most beautiful medieval market: the Repsol Guide fell in love with it</t>
  </si>
  <si>
    <t>The municipality, located in a natural park, attracts the curiosity of thousands of visitors with its markets.</t>
  </si>
  <si>
    <r>
      <rPr>
        <rFont val="Arial, sans-serif"/>
        <color rgb="FF1155CC"/>
        <sz val="9.0"/>
        <u/>
      </rPr>
      <t>VAVEL.com</t>
    </r>
    <r>
      <rPr>
        <rFont val="Arial, sans-serif"/>
        <color rgb="FF1155CC"/>
        <sz val="15.0"/>
        <u/>
      </rPr>
      <t>Honda aspira a demostrar su progreso en Motegi, su Gran Premio de casa</t>
    </r>
    <r>
      <rPr>
        <rFont val="Arial, sans-serif"/>
        <color rgb="FF1155CC"/>
        <sz val="11.0"/>
        <u/>
      </rPr>
      <t>Con las mejoras aerodinámicas, Honda espera capitalizar en Japón los avances logrados en las pruebas recientes en Misano y Mandalika.</t>
    </r>
    <r>
      <rPr>
        <rFont val="Arial, sans-serif"/>
        <color rgb="FF1155CC"/>
        <sz val="12.0"/>
        <u/>
      </rPr>
      <t>.</t>
    </r>
    <r>
      <rPr>
        <rFont val="Arial, sans-serif"/>
        <color rgb="FF1155CC"/>
        <sz val="11.0"/>
        <u/>
      </rPr>
      <t>2 oct 2024</t>
    </r>
  </si>
  <si>
    <t>Honda aspira a demostrar su progreso en Motegi, su Gran Premio de casa</t>
  </si>
  <si>
    <t>Con las mejoras aerodinámicas, Honda espera capitalizar en Japón los avances logrados en las pruebas recientes en Misano y Mandalika.</t>
  </si>
  <si>
    <t>Honda aims to demonstrate its progress at Motegi, its home Grand Prix</t>
  </si>
  <si>
    <t>With the aerodynamic improvements, Honda hopes to capitalize in Japan on the progress made in recent tests at Misano and Mandalika.</t>
  </si>
  <si>
    <r>
      <rPr>
        <rFont val="Arial, sans-serif"/>
        <color rgb="FF1155CC"/>
        <sz val="9.0"/>
        <u/>
      </rPr>
      <t>Repsol</t>
    </r>
    <r>
      <rPr>
        <rFont val="Arial, sans-serif"/>
        <color rgb="FF1155CC"/>
        <sz val="15.0"/>
        <u/>
      </rPr>
      <t>Conoce los métodos de pago compatibles con Waylet</t>
    </r>
    <r>
      <rPr>
        <rFont val="Arial, sans-serif"/>
        <color rgb="FF1155CC"/>
        <sz val="11.0"/>
        <u/>
      </rPr>
      <t>Añade tus tarjetas particulares a Waylet y empieza a disfrutar de todas las ventajas y beneficios de pagar a través de la app. Tarjetas profesionales.</t>
    </r>
    <r>
      <rPr>
        <rFont val="Arial, sans-serif"/>
        <color rgb="FF1155CC"/>
        <sz val="12.0"/>
        <u/>
      </rPr>
      <t>.</t>
    </r>
    <r>
      <rPr>
        <rFont val="Arial, sans-serif"/>
        <color rgb="FF1155CC"/>
        <sz val="11.0"/>
        <u/>
      </rPr>
      <t>3 oct 2024</t>
    </r>
  </si>
  <si>
    <t>Conoce los métodos de pago compatibles con Waylet</t>
  </si>
  <si>
    <t>Añade tus tarjetas particulares a Waylet y empieza a disfrutar de todas las ventajas y beneficios de pagar a través de la app. Tarjetas profesionales.</t>
  </si>
  <si>
    <t>Learn about the payment methods compatible with Waylet</t>
  </si>
  <si>
    <t>Add your private cards to Waylet and start enjoying all the advantages and benefits of paying through the app. Professional cards.</t>
  </si>
  <si>
    <r>
      <rPr>
        <rFont val="Arial, sans-serif"/>
        <color rgb="FF1155CC"/>
        <sz val="9.0"/>
        <u/>
      </rPr>
      <t>El Periódico de la Energía</t>
    </r>
    <r>
      <rPr>
        <rFont val="Arial, sans-serif"/>
        <color rgb="FF1155CC"/>
        <sz val="15.0"/>
        <u/>
      </rPr>
      <t>Repsol, Premio Nacional de Innovación y Diseño 2024 en la categoría de Gran Empresa Innovadora</t>
    </r>
    <r>
      <rPr>
        <rFont val="Arial, sans-serif"/>
        <color rgb="FF1155CC"/>
        <sz val="11.0"/>
        <u/>
      </rPr>
      <t>Repsol ha sido galardonada con el Premio Nacional de Innovación 2024, del Ministerio de Ciencia, Innovación y Universidades, en la categoría de Gran Empresa...</t>
    </r>
    <r>
      <rPr>
        <rFont val="Arial, sans-serif"/>
        <color rgb="FF1155CC"/>
        <sz val="12.0"/>
        <u/>
      </rPr>
      <t>.</t>
    </r>
    <r>
      <rPr>
        <rFont val="Arial, sans-serif"/>
        <color rgb="FF1155CC"/>
        <sz val="11.0"/>
        <u/>
      </rPr>
      <t>3 oct 2024</t>
    </r>
  </si>
  <si>
    <t>Repsol, Premio Nacional de Innovación y Diseño 2024 en la categoría de Gran Empresa Innovadora</t>
  </si>
  <si>
    <t>Repsol ha sido galardonada con el Premio Nacional de Innovación 2024, del Ministerio de Ciencia, Innovación y Universidades, en la categoría de Gran Empresa.</t>
  </si>
  <si>
    <t>Repsol, 2024 National Innovation and Design Award in the Large Innovative Company category</t>
  </si>
  <si>
    <t>Repsol has been awarded the 2024 National Innovation Award, from the Ministry of Science, Innovation and Universities, in the Large Company category.</t>
  </si>
  <si>
    <t>Corporate Recognition</t>
  </si>
  <si>
    <t>innovation award</t>
  </si>
  <si>
    <t>premio a la innovación</t>
  </si>
  <si>
    <t>Positive recognition for Repsol’s innovation efforts.</t>
  </si>
  <si>
    <t>Premio, "Innovación"</t>
  </si>
  <si>
    <t>Reconocimiento positivo.</t>
  </si>
  <si>
    <r>
      <rPr>
        <rFont val="Arial, sans-serif"/>
        <color rgb="FF1155CC"/>
        <sz val="9.0"/>
        <u/>
      </rPr>
      <t>El Economista</t>
    </r>
    <r>
      <rPr>
        <rFont val="Arial, sans-serif"/>
        <color rgb="FF1155CC"/>
        <sz val="15.0"/>
        <u/>
      </rPr>
      <t>Repsol alberga el mayor potencial en bolsa de las grandes petroleras europeas</t>
    </r>
    <r>
      <rPr>
        <rFont val="Arial, sans-serif"/>
        <color rgb="FF1155CC"/>
        <sz val="11.0"/>
        <u/>
      </rPr>
      <t>Todas las miradas vuelven a estar puestas en Oriente Medio y la escalada del conflicto entre Israel e Irán, con el lanzamiento de este ...</t>
    </r>
    <r>
      <rPr>
        <rFont val="Arial, sans-serif"/>
        <color rgb="FF1155CC"/>
        <sz val="12.0"/>
        <u/>
      </rPr>
      <t>.</t>
    </r>
    <r>
      <rPr>
        <rFont val="Arial, sans-serif"/>
        <color rgb="FF1155CC"/>
        <sz val="11.0"/>
        <u/>
      </rPr>
      <t>3 oct 2024</t>
    </r>
  </si>
  <si>
    <t>Repsol alberga el mayor potencial en bolsa de las grandes petroleras europeas</t>
  </si>
  <si>
    <t>Todas las miradas vuelven a estar puestas en Oriente Medio y la escalada del conflicto entre Israel e Irán, con el lanzamiento de este ....</t>
  </si>
  <si>
    <t>Repsol has the greatest potential on the stock market of the major European oil companies</t>
  </si>
  <si>
    <t>All eyes are once again on the Middle East and the escalation of the conflict between Israel and Iran, with the launch of this...</t>
  </si>
  <si>
    <t>stock market potential</t>
  </si>
  <si>
    <t>potencial del mercado de valores</t>
  </si>
  <si>
    <t>Positive mention of Repsol’s market potential.</t>
  </si>
  <si>
    <t>mayor potencial</t>
  </si>
  <si>
    <t>Optimismo financiero.</t>
  </si>
  <si>
    <r>
      <rPr>
        <rFont val="Arial, sans-serif"/>
        <color rgb="FF1155CC"/>
        <sz val="9.0"/>
        <u/>
      </rPr>
      <t>Capital Radio</t>
    </r>
    <r>
      <rPr>
        <rFont val="Arial, sans-serif"/>
        <color rgb="FF1155CC"/>
        <sz val="15.0"/>
        <u/>
      </rPr>
      <t>Repsol, un valor "candente" por su castigo en Bolsa</t>
    </r>
    <r>
      <rPr>
        <rFont val="Arial, sans-serif"/>
        <color rgb="FF1155CC"/>
        <sz val="11.0"/>
        <u/>
      </rPr>
      <t>Eduardo Bolinches, analista técnico de Invertia/El Español, repasa los títulos de Repsol, Disney, Allianz, Solaria, IAG y Caixabank, entre otros.</t>
    </r>
    <r>
      <rPr>
        <rFont val="Arial, sans-serif"/>
        <color rgb="FF1155CC"/>
        <sz val="12.0"/>
        <u/>
      </rPr>
      <t>.</t>
    </r>
    <r>
      <rPr>
        <rFont val="Arial, sans-serif"/>
        <color rgb="FF1155CC"/>
        <sz val="11.0"/>
        <u/>
      </rPr>
      <t>3 oct 2024</t>
    </r>
  </si>
  <si>
    <t>Repsol, un valor "candente" por su castigo en Bolsa</t>
  </si>
  <si>
    <t>Repsol, un valor "candente" por su castigo en Bolsa.</t>
  </si>
  <si>
    <t>Repsol, a "hot" value due to its punishment on the Stock Market</t>
  </si>
  <si>
    <t>Repsol, a "hot" value due to its punishment on the Stock Market.</t>
  </si>
  <si>
    <t>punishment, hot value</t>
  </si>
  <si>
    <t>castigo, valor candente</t>
  </si>
  <si>
    <t>castigo</t>
  </si>
  <si>
    <t>Negativo bursátil.</t>
  </si>
  <si>
    <r>
      <rPr>
        <rFont val="Arial, sans-serif"/>
        <color rgb="FF1155CC"/>
        <sz val="9.0"/>
        <u/>
      </rPr>
      <t>Car and Driver</t>
    </r>
    <r>
      <rPr>
        <rFont val="Arial, sans-serif"/>
        <color rgb="FF1155CC"/>
        <sz val="15.0"/>
        <u/>
      </rPr>
      <t>Denunciado penalmente por la Policía tras pasar en coche por delante de una gasolinera Repsol en Zaragoza</t>
    </r>
    <r>
      <rPr>
        <rFont val="Arial, sans-serif"/>
        <color rgb="FF1155CC"/>
        <sz val="11.0"/>
        <u/>
      </rPr>
      <t>Un conductor se enfrenta a un delito tras pasar por delante de una gasolinera Repsol en Zaragoza.</t>
    </r>
    <r>
      <rPr>
        <rFont val="Arial, sans-serif"/>
        <color rgb="FF1155CC"/>
        <sz val="12.0"/>
        <u/>
      </rPr>
      <t>.</t>
    </r>
    <r>
      <rPr>
        <rFont val="Arial, sans-serif"/>
        <color rgb="FF1155CC"/>
        <sz val="11.0"/>
        <u/>
      </rPr>
      <t>3 oct 2024</t>
    </r>
  </si>
  <si>
    <t>Denunciado penalmente por la Policía tras pasar en coche por delante de una gasolinera Repsol en Zaragoza</t>
  </si>
  <si>
    <t>Un conductor se enfrenta a un delito tras pasar por delante de una gasolinera Repsol en Zaragoza.</t>
  </si>
  <si>
    <t>Criminally reported by the Police after driving past a Repsol gas station in Zaragoza</t>
  </si>
  <si>
    <t>A driver faces a crime after passing in front of a Repsol gas station in Zaragoza.</t>
  </si>
  <si>
    <t>Legal Issues</t>
  </si>
  <si>
    <r>
      <rPr>
        <rFont val="Arial, sans-serif"/>
        <color rgb="FF1155CC"/>
        <sz val="9.0"/>
        <u/>
      </rPr>
      <t>Guía Repsol</t>
    </r>
    <r>
      <rPr>
        <rFont val="Arial, sans-serif"/>
        <color rgb="FF1155CC"/>
        <sz val="15.0"/>
        <u/>
      </rPr>
      <t>El festín canario que no dejará de sorprenderte</t>
    </r>
    <r>
      <rPr>
        <rFont val="Arial, sans-serif"/>
        <color rgb="FF1155CC"/>
        <sz val="11.0"/>
        <u/>
      </rPr>
      <t>Embajadores de la auténtica cocina canaria en Madrid, Aída González y Safe Cruz trasladan 'Gofio' (2 Soles Guía Repsol) a un nuevo local cerca de la Gran V.</t>
    </r>
    <r>
      <rPr>
        <rFont val="Arial, sans-serif"/>
        <color rgb="FF1155CC"/>
        <sz val="12.0"/>
        <u/>
      </rPr>
      <t>.</t>
    </r>
    <r>
      <rPr>
        <rFont val="Arial, sans-serif"/>
        <color rgb="FF1155CC"/>
        <sz val="11.0"/>
        <u/>
      </rPr>
      <t>3 oct 2024</t>
    </r>
  </si>
  <si>
    <t>El festín canario que no dejará de sorprenderte</t>
  </si>
  <si>
    <t>Embajadores de la auténtica cocina canaria en Madrid, Aída González y Safe Cruz trasladan 'Gofio' (2 Soles Guía Repsol) a un nuevo local cerca de la Gran V.</t>
  </si>
  <si>
    <t>The Canarian feast that will never cease to surprise you</t>
  </si>
  <si>
    <t>Ambassadors of authentic Canarian cuisine in Madrid, Aída González and Safe Cruz move 'Gofio' (2 Soles Repsol Guide) to a new location near the Gran V.</t>
  </si>
  <si>
    <r>
      <rPr>
        <rFont val="Arial, sans-serif"/>
        <color rgb="FF1155CC"/>
        <sz val="9.0"/>
        <u/>
      </rPr>
      <t>Córdoba Buenas Noticias</t>
    </r>
    <r>
      <rPr>
        <rFont val="Arial, sans-serif"/>
        <color rgb="FF1155CC"/>
        <sz val="15.0"/>
        <u/>
      </rPr>
      <t>Ximenez Group apuesta por los combustibles 100% renovables de Repsol</t>
    </r>
    <r>
      <rPr>
        <rFont val="Arial, sans-serif"/>
        <color rgb="FF1155CC"/>
        <sz val="11.0"/>
        <u/>
      </rPr>
      <t>Los vehículos de la compañía líder en iluminación artística comenzarán este año utilizando el 10% de combustible renovable, llegando a alcanzar el 70...</t>
    </r>
    <r>
      <rPr>
        <rFont val="Arial, sans-serif"/>
        <color rgb="FF1155CC"/>
        <sz val="12.0"/>
        <u/>
      </rPr>
      <t>.</t>
    </r>
    <r>
      <rPr>
        <rFont val="Arial, sans-serif"/>
        <color rgb="FF1155CC"/>
        <sz val="11.0"/>
        <u/>
      </rPr>
      <t>3 oct 2024</t>
    </r>
  </si>
  <si>
    <t>Córdoba Buenas Noticias</t>
  </si>
  <si>
    <t>Ximenez Group apuesta por los combustibles 100% renovables de Repsol</t>
  </si>
  <si>
    <t>Los vehículos de la compañía líder en iluminación artística comenzarán este año utilizando el 10% de combustible renovable, llegando a alcanzar el 70....</t>
  </si>
  <si>
    <t>Ximenez Group bets on Repsol's 100% renewable fuels</t>
  </si>
  <si>
    <t>The vehicles of the leading artistic lighting company will begin this year using 10% renewable fuel, reaching 70%....</t>
  </si>
  <si>
    <t>100% renewable fuels</t>
  </si>
  <si>
    <t>Combustibles 100% renovables</t>
  </si>
  <si>
    <t>Positive impact due to sustainability efforts.</t>
  </si>
  <si>
    <t>Imagen sostenible.</t>
  </si>
  <si>
    <r>
      <rPr>
        <rFont val="Arial, sans-serif"/>
        <color rgb="FF1155CC"/>
        <sz val="9.0"/>
        <u/>
      </rPr>
      <t>Expansión</t>
    </r>
    <r>
      <rPr>
        <rFont val="Arial, sans-serif"/>
        <color rgb="FF1155CC"/>
        <sz val="15.0"/>
        <u/>
      </rPr>
      <t>Marshall Wace cambia de golpe su pulso bajista contra Repsol, Telefónica y Bankinter</t>
    </r>
    <r>
      <rPr>
        <rFont val="Arial, sans-serif"/>
        <color rgb="FF1155CC"/>
        <sz val="11.0"/>
        <u/>
      </rPr>
      <t>Las turbulencias con las que ha comenzado el último trimestre del año han alejado al Ibex de sus máximos. La mayor aversión al riesgo ha sido aprovechada...</t>
    </r>
    <r>
      <rPr>
        <rFont val="Arial, sans-serif"/>
        <color rgb="FF1155CC"/>
        <sz val="12.0"/>
        <u/>
      </rPr>
      <t>.</t>
    </r>
    <r>
      <rPr>
        <rFont val="Arial, sans-serif"/>
        <color rgb="FF1155CC"/>
        <sz val="11.0"/>
        <u/>
      </rPr>
      <t>3 oct 2024</t>
    </r>
  </si>
  <si>
    <t>Marshall Wace cambia de golpe su pulso bajista contra Repsol, Telefónica y Bankinter</t>
  </si>
  <si>
    <t>Las turbulencias con las que ha comenzado el último trimestre del año han alejado al Ibex de sus máximos. La mayor aversión al riesgo ha sido aprovechada...</t>
  </si>
  <si>
    <t>Marshall Wace suddenly changes his bearish pulse against Repsol, Telefónica and Bankinter</t>
  </si>
  <si>
    <t>The turbulence with which the last quarter of the year began has moved the Ibex away from its highs. Greater risk aversion has been taken advantage of...</t>
  </si>
  <si>
    <t>bearish pulse, market turbulence</t>
  </si>
  <si>
    <t>pulso bajista, turbulencia en el mercado</t>
  </si>
  <si>
    <t>Negative financial sentiment due to bearish movement.</t>
  </si>
  <si>
    <t>pulso bajista</t>
  </si>
  <si>
    <t>Presión inversora negativa.</t>
  </si>
  <si>
    <r>
      <rPr>
        <rFont val="Arial, sans-serif"/>
        <color rgb="FF1155CC"/>
        <sz val="9.0"/>
        <u/>
      </rPr>
      <t>Diario Área</t>
    </r>
    <r>
      <rPr>
        <rFont val="Arial, sans-serif"/>
        <color rgb="FF1155CC"/>
        <sz val="15.0"/>
        <u/>
      </rPr>
      <t>'Casa Pepe', un 'solete' de establecimiento en Algeciras: La Guía Repsol no tiene ninguna duda</t>
    </r>
    <r>
      <rPr>
        <rFont val="Arial, sans-serif"/>
        <color rgb="FF1155CC"/>
        <sz val="11.0"/>
        <u/>
      </rPr>
      <t>Sus ricos buñuelos de merluza y gambas o sus raviolis de langostinos le dieron el reconocimiento con un solete más que merecido de la Guía Repsol.</t>
    </r>
    <r>
      <rPr>
        <rFont val="Arial, sans-serif"/>
        <color rgb="FF1155CC"/>
        <sz val="12.0"/>
        <u/>
      </rPr>
      <t>.</t>
    </r>
    <r>
      <rPr>
        <rFont val="Arial, sans-serif"/>
        <color rgb="FF1155CC"/>
        <sz val="11.0"/>
        <u/>
      </rPr>
      <t>3 oct 2024</t>
    </r>
  </si>
  <si>
    <t>Diario Área</t>
  </si>
  <si>
    <t>'Casa Pepe', un 'solete' de establecimiento en Algeciras: La Guía Repsol no tiene ninguna duda</t>
  </si>
  <si>
    <t>Sus ricos buñuelos de merluza y gambas o sus raviolis de langostinos le dieron el reconocimiento con un solete más que merecido de la Guía Repsol.</t>
  </si>
  <si>
    <t>'Casa Pepe', a 'solete' establishment in Algeciras: The Repsol Guide has no doubt</t>
  </si>
  <si>
    <t>His delicious hake and shrimp fritters or his prawn ravioli gave him recognition with a more than well-deserved solete from the Repsol Guide.</t>
  </si>
  <si>
    <r>
      <rPr>
        <rFont val="Arial, sans-serif"/>
        <color rgb="FF1155CC"/>
        <sz val="9.0"/>
        <u/>
      </rPr>
      <t>Huelva Información</t>
    </r>
    <r>
      <rPr>
        <rFont val="Arial, sans-serif"/>
        <color rgb="FF1155CC"/>
        <sz val="15.0"/>
        <u/>
      </rPr>
      <t>El kiosco de Huelva donde se come por 2 euros y que recomienda la Guía Repsol</t>
    </r>
    <r>
      <rPr>
        <rFont val="Arial, sans-serif"/>
        <color rgb="FF1155CC"/>
        <sz val="11.0"/>
        <u/>
      </rPr>
      <t>Sus míticas hamburguesas llevan conquistando el centro de Huelva capital desde hace casi 60 años, pero no por eso sus precios han variado mucho: Todo lo que...</t>
    </r>
    <r>
      <rPr>
        <rFont val="Arial, sans-serif"/>
        <color rgb="FF1155CC"/>
        <sz val="12.0"/>
        <u/>
      </rPr>
      <t>.</t>
    </r>
    <r>
      <rPr>
        <rFont val="Arial, sans-serif"/>
        <color rgb="FF1155CC"/>
        <sz val="11.0"/>
        <u/>
      </rPr>
      <t>3 oct 2024</t>
    </r>
  </si>
  <si>
    <t>El kiosco de Huelva donde se come por 2 euros y que recomienda la Guía Repsol</t>
  </si>
  <si>
    <t>Sus míticas hamburguesas llevan conquistando el centro de Huelva capital desde hace casi 60 años, pero no por eso sus precios han variado mucho: Todo lo que....</t>
  </si>
  <si>
    <t>The Huelva kiosk where you can eat for 2 euros and that the Repsol Guide recommends</t>
  </si>
  <si>
    <t>Their legendary burgers have been conquering the center of Huelva capital for almost 60 years, but that doesn't mean their prices have changed much: Everything...</t>
  </si>
  <si>
    <r>
      <rPr>
        <rFont val="Arial, sans-serif"/>
        <color rgb="FF1155CC"/>
        <sz val="9.0"/>
        <u/>
      </rPr>
      <t>Estrategias de Inversión</t>
    </r>
    <r>
      <rPr>
        <rFont val="Arial, sans-serif"/>
        <color rgb="FF1155CC"/>
        <sz val="15.0"/>
        <u/>
      </rPr>
      <t>El Ibex 35 rompe tres sesiones a la baja y mantiene los 11.600 puntos gracias a Acciona energía y Repsol</t>
    </r>
    <r>
      <rPr>
        <rFont val="Arial, sans-serif"/>
        <color rgb="FF1155CC"/>
        <sz val="11.0"/>
        <u/>
      </rPr>
      <t>El Ibex 35 rompe tres sesiones a la baja y mantiene los 11.600 puntos gracias a Acciona energía y Repsol Cierre de la bolsa española y del Ibex 35 miércoles...</t>
    </r>
    <r>
      <rPr>
        <rFont val="Arial, sans-serif"/>
        <color rgb="FF1155CC"/>
        <sz val="12.0"/>
        <u/>
      </rPr>
      <t>.</t>
    </r>
    <r>
      <rPr>
        <rFont val="Arial, sans-serif"/>
        <color rgb="FF1155CC"/>
        <sz val="11.0"/>
        <u/>
      </rPr>
      <t>3 oct 2024</t>
    </r>
  </si>
  <si>
    <t>El Ibex 35 rompe tres sesiones a la baja y mantiene los 11.600 puntos gracias a Acciona energía y Repsol</t>
  </si>
  <si>
    <t>El Ibex 35 rompe tres sesiones a la baja y mantiene los 11.600 puntos gracias a Acciona energía y Repsol.</t>
  </si>
  <si>
    <t>The Ibex 35 breaks three sessions down and maintains 11,600 points thanks to Acciona Energía and Repsol</t>
  </si>
  <si>
    <t>The Ibex 35 breaks three sessions lower and maintains 11,600 points thanks to Acciona Energía and Repsol.</t>
  </si>
  <si>
    <t>Ibex 35, Repsol</t>
  </si>
  <si>
    <t>Íbex 35, Repsol</t>
  </si>
  <si>
    <t>Mildly positive as Repsol is stabilizing despite market downturn.</t>
  </si>
  <si>
    <t>gracias a</t>
  </si>
  <si>
    <t>Contribución positiva al índice.</t>
  </si>
  <si>
    <r>
      <rPr>
        <rFont val="Arial, sans-serif"/>
        <color rgb="FF1155CC"/>
        <sz val="9.0"/>
        <u/>
      </rPr>
      <t>El Periódico de la Energía</t>
    </r>
    <r>
      <rPr>
        <rFont val="Arial, sans-serif"/>
        <color rgb="FF1155CC"/>
        <sz val="15.0"/>
        <u/>
      </rPr>
      <t>El IBEX35 se da la vuelta y tras la apertura sube el 0,26%, apoyado en Repsol y la banca</t>
    </r>
    <r>
      <rPr>
        <rFont val="Arial, sans-serif"/>
        <color rgb="FF1155CC"/>
        <sz val="11.0"/>
        <u/>
      </rPr>
      <t>Dentro del indicador, Repsol destaca al subir el 0,67%, seguido de Sabadell, el 0,64%, y BBVA, el 0,61%.</t>
    </r>
    <r>
      <rPr>
        <rFont val="Arial, sans-serif"/>
        <color rgb="FF1155CC"/>
        <sz val="12.0"/>
        <u/>
      </rPr>
      <t>.</t>
    </r>
    <r>
      <rPr>
        <rFont val="Arial, sans-serif"/>
        <color rgb="FF1155CC"/>
        <sz val="11.0"/>
        <u/>
      </rPr>
      <t>3 oct 2024</t>
    </r>
  </si>
  <si>
    <t>El IBEX35 se da la vuelta y tras la apertura sube el 0,26%, apoyado en Repsol y la banca</t>
  </si>
  <si>
    <t>Dentro del indicador, Repsol destaca al subir el 0,67%, seguido de Sabadell, el 0,64%, y BBVA, el 0,61%.</t>
  </si>
  <si>
    <t>The IBEX35 turns around and after the opening it rises 0.26%, supported by Repsol and the banks</t>
  </si>
  <si>
    <t>Within the indicator, Repsol stands out by increasing 0.67%, followed by Sabadell, 0.64%, and BBVA, 0.61%.</t>
  </si>
  <si>
    <t>Repsol increase, IBEX rise</t>
  </si>
  <si>
    <t>Subida de Repsol, Subida del IBEX</t>
  </si>
  <si>
    <t>Positive sentiment as Repsol contributes to stock market recovery.</t>
  </si>
  <si>
    <t>apoyado en</t>
  </si>
  <si>
    <t>Influencia positiva.</t>
  </si>
  <si>
    <r>
      <rPr>
        <rFont val="Arial, sans-serif"/>
        <color rgb="FF1155CC"/>
        <sz val="9.0"/>
        <u/>
      </rPr>
      <t>Repsol</t>
    </r>
    <r>
      <rPr>
        <rFont val="Arial, sans-serif"/>
        <color rgb="FF1155CC"/>
        <sz val="15.0"/>
        <u/>
      </rPr>
      <t>Rutas Waylet movilidad eléctrica</t>
    </r>
    <r>
      <rPr>
        <rFont val="Arial, sans-serif"/>
        <color rgb="FF1155CC"/>
        <sz val="11.0"/>
        <u/>
      </rPr>
      <t>Planifica y conoce antes de tu viaje los puntos donde poder realizar una recarga eléctrica. Configura tu ruta con Waylet.</t>
    </r>
    <r>
      <rPr>
        <rFont val="Arial, sans-serif"/>
        <color rgb="FF1155CC"/>
        <sz val="12.0"/>
        <u/>
      </rPr>
      <t>.</t>
    </r>
    <r>
      <rPr>
        <rFont val="Arial, sans-serif"/>
        <color rgb="FF1155CC"/>
        <sz val="11.0"/>
        <u/>
      </rPr>
      <t>3 oct 2024</t>
    </r>
  </si>
  <si>
    <t>Planifica y conoce antes de tu viaje los puntos donde poder realizar una recarga eléctrica.</t>
  </si>
  <si>
    <t>Planifica y conoce antes de tu viaje los puntos donde poder realizar una recarga eléctrica. Configura tu ruta con Waylet.</t>
  </si>
  <si>
    <t>Plan and know before your trip the points where you can recharge your electricity.</t>
  </si>
  <si>
    <t>Plan and know before your trip the points where you can recharge your electricity. Set up your route with Waylet.</t>
  </si>
  <si>
    <r>
      <rPr>
        <rFont val="Arial, sans-serif"/>
        <color rgb="FF1155CC"/>
        <sz val="9.0"/>
        <u/>
      </rPr>
      <t>El Nacional.cat</t>
    </r>
    <r>
      <rPr>
        <rFont val="Arial, sans-serif"/>
        <color rgb="FF1155CC"/>
        <sz val="15.0"/>
        <u/>
      </rPr>
      <t>El IBEX 35 sube en la apertura tras 3 días de caídas con el tirón de Repsol y la banca</t>
    </r>
    <r>
      <rPr>
        <rFont val="Arial, sans-serif"/>
        <color rgb="FF1155CC"/>
        <sz val="11.0"/>
        <u/>
      </rPr>
      <t>La Bolsa española ha abierto este jueves en negativo, pendiente de las tensiones entre Israel e Irán. Pero se ha dado la vuelta minutos después,...</t>
    </r>
    <r>
      <rPr>
        <rFont val="Arial, sans-serif"/>
        <color rgb="FF1155CC"/>
        <sz val="12.0"/>
        <u/>
      </rPr>
      <t>.</t>
    </r>
    <r>
      <rPr>
        <rFont val="Arial, sans-serif"/>
        <color rgb="FF1155CC"/>
        <sz val="11.0"/>
        <u/>
      </rPr>
      <t>3 oct 2024</t>
    </r>
  </si>
  <si>
    <t>El IBEX 35 sube en la apertura tras 3 días de caídas con el tirón de Repsol y la banca</t>
  </si>
  <si>
    <t>La Bolsa española ha abierto este jueves en negativo, pendiente de las tensiones entre Israel e Irán. Pero se ha dado la vuelta minutos después,....</t>
  </si>
  <si>
    <t>The IBEX 35 rises at the opening after 3 days of falls with the pull of Repsol and the bank</t>
  </si>
  <si>
    <t>The Spanish stock market opened negative this Thursday, pending tensions between Israel and Iran. But he turned around minutes later....</t>
  </si>
  <si>
    <t>IBEX rise, Repsol</t>
  </si>
  <si>
    <t>Subida del IBEX, Repsol</t>
  </si>
  <si>
    <t>Positive stock market movement associated with Repsol.</t>
  </si>
  <si>
    <t>tirón de</t>
  </si>
  <si>
    <t>Impacto bursátil positivo.</t>
  </si>
  <si>
    <r>
      <rPr>
        <rFont val="Arial, sans-serif"/>
        <color rgb="FF1155CC"/>
        <sz val="9.0"/>
        <u/>
      </rPr>
      <t>Diari de Tarragona</t>
    </r>
    <r>
      <rPr>
        <rFont val="Arial, sans-serif"/>
        <color rgb="FF1155CC"/>
        <sz val="15.0"/>
        <u/>
      </rPr>
      <t>El restaurante de Tarragona sin nombre, sin carta y sin letrero que triunfa en la Guía Repsol</t>
    </r>
    <r>
      <rPr>
        <rFont val="Arial, sans-serif"/>
        <color rgb="FF1155CC"/>
        <sz val="11.0"/>
        <u/>
      </rPr>
      <t>De repente caminando por las callejuelas de la Part Alta de Tarragona, sin prisa, descubriendo rincones mágicos que parecen detenidos en el tiempo. Y ...</t>
    </r>
    <r>
      <rPr>
        <rFont val="Arial, sans-serif"/>
        <color rgb="FF1155CC"/>
        <sz val="12.0"/>
        <u/>
      </rPr>
      <t>.</t>
    </r>
    <r>
      <rPr>
        <rFont val="Arial, sans-serif"/>
        <color rgb="FF1155CC"/>
        <sz val="11.0"/>
        <u/>
      </rPr>
      <t>3 oct 2024</t>
    </r>
  </si>
  <si>
    <t>El restaurante de Tarragona sin nombre, sin carta y sin letrero que triunfa en la Guía Repsol</t>
  </si>
  <si>
    <t>De repente caminando por las callejuelas de la Part Alta de Tarragona, sin prisa, descubriendo rincones mágicos que parecen detenidos en el tiempo. Y ....</t>
  </si>
  <si>
    <t>The Tarragona restaurant without a name, without a menu and without a sign that triumphs in the Repsol Guide</t>
  </si>
  <si>
    <t>Suddenly walking through the alleys of the Upper Part of Tarragona, without rushing, discovering magical corners that seem frozen in time. AND ....</t>
  </si>
  <si>
    <r>
      <rPr>
        <rFont val="Arial, sans-serif"/>
        <color rgb="FF1155CC"/>
        <sz val="9.0"/>
        <u/>
      </rPr>
      <t>El Periódico de la Energía</t>
    </r>
    <r>
      <rPr>
        <rFont val="Arial, sans-serif"/>
        <color rgb="FF1155CC"/>
        <sz val="15.0"/>
        <u/>
      </rPr>
      <t>Repsol cierra un acuerdo para suministrar combustible renovable a la flota de vehículos de Ximenez Group</t>
    </r>
    <r>
      <rPr>
        <rFont val="Arial, sans-serif"/>
        <color rgb="FF1155CC"/>
        <sz val="11.0"/>
        <u/>
      </rPr>
      <t>Repsol ha firmado con el grupo de iluminación artística Ximenez Group un acuerdo para el suministro de combustible renovable para su flota de vehículos.</t>
    </r>
    <r>
      <rPr>
        <rFont val="Arial, sans-serif"/>
        <color rgb="FF1155CC"/>
        <sz val="12.0"/>
        <u/>
      </rPr>
      <t>.</t>
    </r>
    <r>
      <rPr>
        <rFont val="Arial, sans-serif"/>
        <color rgb="FF1155CC"/>
        <sz val="11.0"/>
        <u/>
      </rPr>
      <t>3 oct 2024</t>
    </r>
  </si>
  <si>
    <t>Repsol cierra un acuerdo para suministrar combustible renovable a la flota de vehículos de Ximenez Group</t>
  </si>
  <si>
    <t>Repsol ha firmado con el grupo de iluminación artística Ximenez Group un acuerdo para el suministro de combustible renovable para su flota de vehículos.</t>
  </si>
  <si>
    <t>Repsol closes an agreement to supply renewable fuel to the Ximenez Group vehicle fleet</t>
  </si>
  <si>
    <t>Repsol has signed an agreement with the artistic lighting group Ximenez Group to supply renewable fuel for its vehicle fleet.</t>
  </si>
  <si>
    <t>renewable fuel, agreement</t>
  </si>
  <si>
    <t>combustible renovable, acuerdo</t>
  </si>
  <si>
    <t>Positive due to Repsol’s commitment to renewable energy.</t>
  </si>
  <si>
    <t>Avance en sostenibilidad.</t>
  </si>
  <si>
    <r>
      <rPr>
        <rFont val="Arial, sans-serif"/>
        <color rgb="FF1155CC"/>
        <sz val="9.0"/>
        <u/>
      </rPr>
      <t>Repsol</t>
    </r>
    <r>
      <rPr>
        <rFont val="Arial, sans-serif"/>
        <color rgb="FF1155CC"/>
        <sz val="15.0"/>
        <u/>
      </rPr>
      <t>Aprende a usar la app de Waylet con estos tutoriales</t>
    </r>
    <r>
      <rPr>
        <rFont val="Arial, sans-serif"/>
        <color rgb="FF1155CC"/>
        <sz val="11.0"/>
        <u/>
      </rPr>
      <t>Encuentra los vídeos tutoriales para aprender a usar la app de Waylet en tu día a día. Descubre cómo usar todas sus funcionalidades.</t>
    </r>
    <r>
      <rPr>
        <rFont val="Arial, sans-serif"/>
        <color rgb="FF1155CC"/>
        <sz val="12.0"/>
        <u/>
      </rPr>
      <t>.</t>
    </r>
    <r>
      <rPr>
        <rFont val="Arial, sans-serif"/>
        <color rgb="FF1155CC"/>
        <sz val="11.0"/>
        <u/>
      </rPr>
      <t>4 oct 2024</t>
    </r>
  </si>
  <si>
    <t>Aprende a usar la app de Waylet con estos tutoriales</t>
  </si>
  <si>
    <t>Encuentra los vídeos tutoriales para aprender a usar la app de Waylet en tu día a día. Descubre cómo usar todas sus funcionalidades.</t>
  </si>
  <si>
    <t>Learn how to use the Waylet app with these tutorials</t>
  </si>
  <si>
    <t>Find the tutorial videos to learn how to use the Waylet app in your daily life. Discover how to use all its features.</t>
  </si>
  <si>
    <r>
      <rPr>
        <rFont val="Arial, sans-serif"/>
        <color rgb="FF1155CC"/>
        <sz val="9.0"/>
        <u/>
      </rPr>
      <t>Onda Cero</t>
    </r>
    <r>
      <rPr>
        <rFont val="Arial, sans-serif"/>
        <color rgb="FF1155CC"/>
        <sz val="15.0"/>
        <u/>
      </rPr>
      <t>Repsol presume de colores en el Museo de la Moto ‘Made in Spain’</t>
    </r>
    <r>
      <rPr>
        <rFont val="Arial, sans-serif"/>
        <color rgb="FF1155CC"/>
        <sz val="11.0"/>
        <u/>
      </rPr>
      <t>El espectacular museo de Alcalá de Henares es testigo privilegiado de más de cinco décadas de éxitos de la compañía multienergética sobre dos ruedas.</t>
    </r>
    <r>
      <rPr>
        <rFont val="Arial, sans-serif"/>
        <color rgb="FF1155CC"/>
        <sz val="12.0"/>
        <u/>
      </rPr>
      <t>.</t>
    </r>
    <r>
      <rPr>
        <rFont val="Arial, sans-serif"/>
        <color rgb="FF1155CC"/>
        <sz val="11.0"/>
        <u/>
      </rPr>
      <t>4 oct 2024</t>
    </r>
  </si>
  <si>
    <r>
      <rPr>
        <rFont val="Arial, sans-serif"/>
        <color rgb="FF1155CC"/>
        <sz val="9.0"/>
        <u/>
      </rPr>
      <t>Interempresas.net</t>
    </r>
    <r>
      <rPr>
        <rFont val="Arial, sans-serif"/>
        <color rgb="FF1155CC"/>
        <sz val="15.0"/>
        <u/>
      </rPr>
      <t>Ximenez Group apuesta por los combustibles renovables de Repsol para descarbonizar su flota de vehículos</t>
    </r>
    <r>
      <rPr>
        <rFont val="Arial, sans-serif"/>
        <color rgb="FF1155CC"/>
        <sz val="11.0"/>
        <u/>
      </rPr>
      <t>Ximenez Group ha suscrito un acuerdo con la compañía multienergética Repsol para que su flota de vehículos utilice este año el 10% de combustible renovable,...</t>
    </r>
    <r>
      <rPr>
        <rFont val="Arial, sans-serif"/>
        <color rgb="FF1155CC"/>
        <sz val="12.0"/>
        <u/>
      </rPr>
      <t>.</t>
    </r>
    <r>
      <rPr>
        <rFont val="Arial, sans-serif"/>
        <color rgb="FF1155CC"/>
        <sz val="11.0"/>
        <u/>
      </rPr>
      <t>4 oct 2024</t>
    </r>
  </si>
  <si>
    <t>Ximenez Group apuesta por los combustibles renovables de Repsol para descarbonizar su flota de vehículos</t>
  </si>
  <si>
    <t>Ximenez Group ha suscrito un acuerdo con la compañía multienergética Repsol para que su flota de vehículos utilice este año el 10% de combustible renovable,....</t>
  </si>
  <si>
    <t>Ximenez Group relies on Repsol's renewable fuels to decarbonize its vehicle fleet</t>
  </si>
  <si>
    <t>Ximenez Group has signed an agreement with the multi-energy company Repsol so that its vehicle fleet uses 10% renewable fuel this year....</t>
  </si>
  <si>
    <t>renewable fuels, decarbonize</t>
  </si>
  <si>
    <t>combustibles renovables, descarbonizar</t>
  </si>
  <si>
    <t>Positive due to Repsol’s role in sustainability.</t>
  </si>
  <si>
    <t>Imagen ecológica positiva.</t>
  </si>
  <si>
    <r>
      <rPr>
        <rFont val="Arial, sans-serif"/>
        <color rgb="FF1155CC"/>
        <sz val="9.0"/>
        <u/>
      </rPr>
      <t>El Confidencial</t>
    </r>
    <r>
      <rPr>
        <rFont val="Arial, sans-serif"/>
        <color rgb="FF1155CC"/>
        <sz val="15.0"/>
        <u/>
      </rPr>
      <t>BlackRock mueve ficha en Iberdrola, Telefónica, BBVA y Repsol tras su entrada oficial en Naturgy</t>
    </r>
    <r>
      <rPr>
        <rFont val="Arial, sans-serif"/>
        <color rgb="FF1155CC"/>
        <sz val="11.0"/>
        <u/>
      </rPr>
      <t>El principal dueño del Ibex 35 ha reorganizado su cartera de inversiones en las principales compañías españolas con paso de su absorción de Global...</t>
    </r>
    <r>
      <rPr>
        <rFont val="Arial, sans-serif"/>
        <color rgb="FF1155CC"/>
        <sz val="12.0"/>
        <u/>
      </rPr>
      <t>.</t>
    </r>
    <r>
      <rPr>
        <rFont val="Arial, sans-serif"/>
        <color rgb="FF1155CC"/>
        <sz val="11.0"/>
        <u/>
      </rPr>
      <t>4 oct 2024</t>
    </r>
  </si>
  <si>
    <t>BlackRock mueve ficha en Iberdrola, Telefónica, BBVA y Repsol tras su entrada oficial en Naturgy</t>
  </si>
  <si>
    <t>El principal dueño del Ibex 35 ha reorganizado su cartera de inversiones en las principales compañías españolas con paso de su absorción de Global....</t>
  </si>
  <si>
    <t>BlackRock moves to Iberdrola, Telefónica, BBVA and Repsol after its official entry into Naturgy</t>
  </si>
  <si>
    <t>The main owner of the Ibex 35 has reorganized its investment portfolio in the main Spanish companies following its absorption of Global....</t>
  </si>
  <si>
    <t>BlackRock, investment, Ibex 35</t>
  </si>
  <si>
    <t>BlackRock, inversión, Ibex 35</t>
  </si>
  <si>
    <t>Financial market activity, not directly impacting Repsol’s reputation.</t>
  </si>
  <si>
    <t>Neutral (movimiento inversor).</t>
  </si>
  <si>
    <r>
      <rPr>
        <rFont val="Arial, sans-serif"/>
        <color rgb="FF1155CC"/>
        <sz val="9.0"/>
        <u/>
      </rPr>
      <t>La Razón</t>
    </r>
    <r>
      <rPr>
        <rFont val="Arial, sans-serif"/>
        <color rgb="FF1155CC"/>
        <sz val="15.0"/>
        <u/>
      </rPr>
      <t>El Real Ingenio Chico, delicias segovianas con Solete Repsol</t>
    </r>
    <r>
      <rPr>
        <rFont val="Arial, sans-serif"/>
        <color rgb="FF1155CC"/>
        <sz val="11.0"/>
        <u/>
      </rPr>
      <t>Su combinación de recetas de toda la vida con platos de cocina de autor seduce el paladar de su clientela.</t>
    </r>
    <r>
      <rPr>
        <rFont val="Arial, sans-serif"/>
        <color rgb="FF1155CC"/>
        <sz val="12.0"/>
        <u/>
      </rPr>
      <t>.</t>
    </r>
    <r>
      <rPr>
        <rFont val="Arial, sans-serif"/>
        <color rgb="FF1155CC"/>
        <sz val="11.0"/>
        <u/>
      </rPr>
      <t>4 oct 2024</t>
    </r>
  </si>
  <si>
    <t>El Real Ingenio Chico, delicias segovianas con Solete Repsol</t>
  </si>
  <si>
    <t>Su combinación de recetas de toda la vida con platos de cocina de autor seduce el paladar de su clientela.</t>
  </si>
  <si>
    <t>El Real Ingenio Chico, Segovian delights with Solete Repsol</t>
  </si>
  <si>
    <t>Its combination of traditional recipes with signature dishes seduces the palate of its clientele.</t>
  </si>
  <si>
    <r>
      <rPr>
        <rFont val="Arial, sans-serif"/>
        <color rgb="FF1155CC"/>
        <sz val="9.0"/>
        <u/>
      </rPr>
      <t>El Español</t>
    </r>
    <r>
      <rPr>
        <rFont val="Arial, sans-serif"/>
        <color rgb="FF1155CC"/>
        <sz val="15.0"/>
        <u/>
      </rPr>
      <t>Repsol sacude el mercado del gas con la comercializadora que compró a Juan Roig, que casi triplica clientes en un año</t>
    </r>
    <r>
      <rPr>
        <rFont val="Arial, sans-serif"/>
        <color rgb="FF1155CC"/>
        <sz val="11.0"/>
        <u/>
      </rPr>
      <t>La petrolera incrementa su cartera de usuarios de gas un 33%, frente a la caída del 5% de Naturgy, líder histórica. 4 octubre, 2024 02:18. Repsol · Juan...</t>
    </r>
    <r>
      <rPr>
        <rFont val="Arial, sans-serif"/>
        <color rgb="FF1155CC"/>
        <sz val="12.0"/>
        <u/>
      </rPr>
      <t>.</t>
    </r>
    <r>
      <rPr>
        <rFont val="Arial, sans-serif"/>
        <color rgb="FF1155CC"/>
        <sz val="11.0"/>
        <u/>
      </rPr>
      <t>4 oct 2024</t>
    </r>
  </si>
  <si>
    <t>Repsol sacude el mercado del gas con la comercializadora que compró a Juan Roig, que casi triplica clientes en un año</t>
  </si>
  <si>
    <t>La petrolera incrementa su cartera de usuarios de gas un 33%, frente a la caída del 5% de Naturgy, líder histórica.</t>
  </si>
  <si>
    <t>Repsol shakes up the gas market with the marketing company that bought Juan Roig, which almost triples customers in one year</t>
  </si>
  <si>
    <t>The oil company increases its portfolio of gas users by 33%, compared to the 5% drop for Naturgy, the historical leader.</t>
  </si>
  <si>
    <t>Repsol, gas market, customers increase</t>
  </si>
  <si>
    <t>Repsol, mercado del gas, aumentan los clientes</t>
  </si>
  <si>
    <t>Positive impact due to business growth and market expansion.</t>
  </si>
  <si>
    <t>triplica clientes</t>
  </si>
  <si>
    <t>Crecimiento destacado.</t>
  </si>
  <si>
    <r>
      <rPr>
        <rFont val="Arial, sans-serif"/>
        <color rgb="FF1155CC"/>
        <sz val="9.0"/>
        <u/>
      </rPr>
      <t>Box Repsol</t>
    </r>
    <r>
      <rPr>
        <rFont val="Arial, sans-serif"/>
        <color rgb="FF1155CC"/>
        <sz val="15.0"/>
        <u/>
      </rPr>
      <t>Resultados de los entrenamientos del GP de Japón de MotoGP</t>
    </r>
    <r>
      <rPr>
        <rFont val="Arial, sans-serif"/>
        <color rgb="FF1155CC"/>
        <sz val="11.0"/>
        <u/>
      </rPr>
      <t>Brad Binder lidera la primera jornada de entrenamientos en Japón, seguido de Marc Márquez y Jorge Martín. Joan Mir, viernes, Japón (web) Resultados de los...</t>
    </r>
    <r>
      <rPr>
        <rFont val="Arial, sans-serif"/>
        <color rgb="FF1155CC"/>
        <sz val="12.0"/>
        <u/>
      </rPr>
      <t>.</t>
    </r>
    <r>
      <rPr>
        <rFont val="Arial, sans-serif"/>
        <color rgb="FF1155CC"/>
        <sz val="11.0"/>
        <u/>
      </rPr>
      <t>4 oct 2024</t>
    </r>
  </si>
  <si>
    <t>Resultados de los entrenamientos del GP de Japón de MotoGP</t>
  </si>
  <si>
    <t>Brad Binder lidera la primera jornada de entrenamientos en Japón, seguido de Marc Márquez y Jorge Martín.</t>
  </si>
  <si>
    <t>MotoGP Japanese GP practice results</t>
  </si>
  <si>
    <t>Brad Binder leads the first day of training in Japan, followed by Marc Márquez and Jorge Martín.</t>
  </si>
  <si>
    <r>
      <rPr>
        <rFont val="Arial, sans-serif"/>
        <color rgb="FF1155CC"/>
        <sz val="9.0"/>
        <u/>
      </rPr>
      <t>20Minutos</t>
    </r>
    <r>
      <rPr>
        <rFont val="Arial, sans-serif"/>
        <color rgb="FF1155CC"/>
        <sz val="15.0"/>
        <u/>
      </rPr>
      <t>BlackRock se afianza en el Ibex tras comprar GIP y llegar a máximos en Iberdrola, BBVA o Santander</t>
    </r>
    <r>
      <rPr>
        <rFont val="Arial, sans-serif"/>
        <color rgb="FF1155CC"/>
        <sz val="11.0"/>
        <u/>
      </rPr>
      <t>La última reordenación de acciones de la gestora de activos sitúa su peso en varias compañías que cotizan en el índice bursátil español de referencia en...</t>
    </r>
    <r>
      <rPr>
        <rFont val="Arial, sans-serif"/>
        <color rgb="FF1155CC"/>
        <sz val="12.0"/>
        <u/>
      </rPr>
      <t>.</t>
    </r>
    <r>
      <rPr>
        <rFont val="Arial, sans-serif"/>
        <color rgb="FF1155CC"/>
        <sz val="11.0"/>
        <u/>
      </rPr>
      <t>4 oct 2024</t>
    </r>
  </si>
  <si>
    <t>BlackRock se afianza en el Ibex tras comprar GIP y llegar a máximos en Iberdrola, BBVA o Santander</t>
  </si>
  <si>
    <t>La última reordenación de acciones de la gestora de activos sitúa su peso en varias compañías que cotizan en el índice bursátil español de referencia en....</t>
  </si>
  <si>
    <t>BlackRock strengthens its position in the Ibex after buying GIP and reaching maximums in Iberdrola, BBVA and Santander</t>
  </si>
  <si>
    <t>The latest rearrangement of the asset manager's shares places its weight in several companies listed on the benchmark Spanish stock index in....</t>
  </si>
  <si>
    <t>BlackRock, investment</t>
  </si>
  <si>
    <t>BlackRock, inversión</t>
  </si>
  <si>
    <t>Financial market update, not directly about Repsol.</t>
  </si>
  <si>
    <t>Neutral (inversiones).</t>
  </si>
  <si>
    <t>Neutro (inversiones).</t>
  </si>
  <si>
    <r>
      <rPr>
        <rFont val="Arial, sans-serif"/>
        <color rgb="FF1155CC"/>
        <sz val="9.0"/>
        <u/>
      </rPr>
      <t>Banca y Negocios</t>
    </r>
    <r>
      <rPr>
        <rFont val="Arial, sans-serif"/>
        <color rgb="FF1155CC"/>
        <sz val="15.0"/>
        <u/>
      </rPr>
      <t>Ecopetrol: exportación de gas desde Venezuela a Colombia se concretaría si Repsol asume suministro</t>
    </r>
    <r>
      <rPr>
        <rFont val="Arial, sans-serif"/>
        <color rgb="FF1155CC"/>
        <sz val="11.0"/>
        <u/>
      </rPr>
      <t>El presidente de Ecopetrol, Ricardo Roa, explicó que la producción de gas de Cardón VI corresponde a Repsol que, en caso de asumir el suministro, la estatal...</t>
    </r>
    <r>
      <rPr>
        <rFont val="Arial, sans-serif"/>
        <color rgb="FF1155CC"/>
        <sz val="12.0"/>
        <u/>
      </rPr>
      <t>.</t>
    </r>
    <r>
      <rPr>
        <rFont val="Arial, sans-serif"/>
        <color rgb="FF1155CC"/>
        <sz val="11.0"/>
        <u/>
      </rPr>
      <t>4 oct 2024</t>
    </r>
  </si>
  <si>
    <t>Ecopetrol: exportación de gas desde Venezuela a Colombia se concretaría si Repsol asume suministro</t>
  </si>
  <si>
    <t>La producción de gas de Cardón VI corresponde a Repsol que, en caso de asumir el suministro, la estatal....</t>
  </si>
  <si>
    <t>Ecopetrol: export of gas from Venezuela to Colombia would take place if Repsol assumes supply</t>
  </si>
  <si>
    <t>Cardón VI gas production corresponds to Repsol which, if it assumes the supply, the state company...</t>
  </si>
  <si>
    <t>gas export, Repsol, Ecopetrol</t>
  </si>
  <si>
    <t>exportación de gas, Repsol, Ecopetrol</t>
  </si>
  <si>
    <t>Potentially positive for Repsol’s expansion in the energy sector.</t>
  </si>
  <si>
    <t>asume suministro</t>
  </si>
  <si>
    <t>Oportunidad estratégica.</t>
  </si>
  <si>
    <r>
      <rPr>
        <rFont val="Arial, sans-serif"/>
        <color rgb="FF1155CC"/>
        <sz val="9.0"/>
        <u/>
      </rPr>
      <t>La Razón</t>
    </r>
    <r>
      <rPr>
        <rFont val="Arial, sans-serif"/>
        <color rgb="FF1155CC"/>
        <sz val="15.0"/>
        <u/>
      </rPr>
      <t>¿Repsol o Cepsa? Estas son las marcas que tienen más estaciones de servicio en cada autonomía</t>
    </r>
    <r>
      <rPr>
        <rFont val="Arial, sans-serif"/>
        <color rgb="FF1155CC"/>
        <sz val="11.0"/>
        <u/>
      </rPr>
      <t>Más de 12.300. Estas son todas las gasolineras que había en España a cierre de 2023, después de registrar un incremento del 2,16% respecto a las 12.084 con...</t>
    </r>
    <r>
      <rPr>
        <rFont val="Arial, sans-serif"/>
        <color rgb="FF1155CC"/>
        <sz val="12.0"/>
        <u/>
      </rPr>
      <t>.</t>
    </r>
    <r>
      <rPr>
        <rFont val="Arial, sans-serif"/>
        <color rgb="FF1155CC"/>
        <sz val="11.0"/>
        <u/>
      </rPr>
      <t>5 oct 2024</t>
    </r>
  </si>
  <si>
    <t>¿Repsol o Cepsa? Estas son las marcas que tienen más estaciones de servicio en cada autonomía</t>
  </si>
  <si>
    <t>Más de 12.300. Estas son todas las gasolineras que había en España a cierre de 2023, después de registrar un incremento del 2,16% respecto a las 12.084 con....</t>
  </si>
  <si>
    <t>Repsol or Cepsa? These are the brands that have the most service stations in each autonomy</t>
  </si>
  <si>
    <t>More than 12,300. These are all the gas stations that were in Spain at the end of 2023, after registering an increase of 2.16% compared to the 12,084 with...</t>
  </si>
  <si>
    <t>Repsol, Cepsa, service stations</t>
  </si>
  <si>
    <t>Repsol, Cepsa, estaciones de servicio</t>
  </si>
  <si>
    <t>Positive as it highlights Repsol’s presence in the market.</t>
  </si>
  <si>
    <t>Neutral (comparativa sector).</t>
  </si>
  <si>
    <t>Neutral (sector comparativo).</t>
  </si>
  <si>
    <r>
      <rPr>
        <rFont val="Arial, sans-serif"/>
        <color rgb="FF1155CC"/>
        <sz val="9.0"/>
        <u/>
      </rPr>
      <t>Bolsamania</t>
    </r>
    <r>
      <rPr>
        <rFont val="Arial, sans-serif"/>
        <color rgb="FF1155CC"/>
        <sz val="15.0"/>
        <u/>
      </rPr>
      <t>Repsol y Solaria, líderes de la semana en el Ibex 35; IAG y Ferrovial caen con fuerza</t>
    </r>
    <r>
      <rPr>
        <rFont val="Arial, sans-serif"/>
        <color rgb="FF1155CC"/>
        <sz val="11.0"/>
        <u/>
      </rPr>
      <t>Tras las abultadas subidas de las semanas precedentes que le llevaron a rozar el nivel de los 12.000 puntos, el Ibex 35 ha saldado estas cinco sesiones con...</t>
    </r>
    <r>
      <rPr>
        <rFont val="Arial, sans-serif"/>
        <color rgb="FF1155CC"/>
        <sz val="12.0"/>
        <u/>
      </rPr>
      <t>.</t>
    </r>
    <r>
      <rPr>
        <rFont val="Arial, sans-serif"/>
        <color rgb="FF1155CC"/>
        <sz val="11.0"/>
        <u/>
      </rPr>
      <t>5 oct 2024</t>
    </r>
  </si>
  <si>
    <t>Repsol y Solaria, líderes de la semana en el Ibex 35; IAG y Ferrovial caen con fuerza</t>
  </si>
  <si>
    <t>Tras las abultadas subidas de las semanas precedentes que le llevaron a rozar el nivel de los 12.000 puntos, el Ibex 35 ha saldado estas cinco sesiones con...</t>
  </si>
  <si>
    <t>Repsol and Solaria, leaders of the week on the Ibex 35; IAG and Ferrovial fall hard</t>
  </si>
  <si>
    <t>After the large increases in the previous weeks that took it to touch the level of 12,000 points, the Ibex 35 has ended these five sessions with...</t>
  </si>
  <si>
    <t>Repsol, Ibex 35, leaders</t>
  </si>
  <si>
    <t>Repsol, Ibex 35, líderes</t>
  </si>
  <si>
    <t>Positive sentiment as Repsol is positioned as a market leader.</t>
  </si>
  <si>
    <t>líderes</t>
  </si>
  <si>
    <t>Desempeño bursátil positivo.</t>
  </si>
  <si>
    <r>
      <rPr>
        <rFont val="Arial, sans-serif"/>
        <color rgb="FF1155CC"/>
        <sz val="9.0"/>
        <u/>
      </rPr>
      <t>Salamancahoy</t>
    </r>
    <r>
      <rPr>
        <rFont val="Arial, sans-serif"/>
        <color rgb="FF1155CC"/>
        <sz val="15.0"/>
        <u/>
      </rPr>
      <t>El mesón con solete Repsol de Van Dyck que triunfa con la comida tradicional</t>
    </r>
    <r>
      <rPr>
        <rFont val="Arial, sans-serif"/>
        <color rgb="FF1155CC"/>
        <sz val="11.0"/>
        <u/>
      </rPr>
      <t>La Navilla lleva dos décadas en la zona de pinchos por excelencia de Salamanca y es uno de los más reconocidos.</t>
    </r>
    <r>
      <rPr>
        <rFont val="Arial, sans-serif"/>
        <color rgb="FF1155CC"/>
        <sz val="12.0"/>
        <u/>
      </rPr>
      <t>.</t>
    </r>
    <r>
      <rPr>
        <rFont val="Arial, sans-serif"/>
        <color rgb="FF1155CC"/>
        <sz val="11.0"/>
        <u/>
      </rPr>
      <t>5 oct 2024</t>
    </r>
  </si>
  <si>
    <t>El mesón con solete Repsol de Van Dyck que triunfa con la comida tradicional</t>
  </si>
  <si>
    <t>La Navilla lleva dos décadas en la zona de pinchos por excelencia de Salamanca y es uno de los más reconocidos.</t>
  </si>
  <si>
    <t>Van Dyck's Repsol sunken inn that triumphs with traditional food</t>
  </si>
  <si>
    <t>La Navilla has been in the quintessential pinchos area of ​​Salamanca for two decades and is one of the most recognized.</t>
  </si>
  <si>
    <r>
      <rPr>
        <rFont val="Arial, sans-serif"/>
        <color rgb="FF1155CC"/>
        <sz val="9.0"/>
        <u/>
      </rPr>
      <t>Box Repsol</t>
    </r>
    <r>
      <rPr>
        <rFont val="Arial, sans-serif"/>
        <color rgb="FF1155CC"/>
        <sz val="15.0"/>
        <u/>
      </rPr>
      <t>Toni Bou logra su 36º título de Campeón del Mundo</t>
    </r>
    <r>
      <rPr>
        <rFont val="Arial, sans-serif"/>
        <color rgb="FF1155CC"/>
        <sz val="11.0"/>
        <u/>
      </rPr>
      <t>Toni Bou logra un nuevo título mundial de trial, el número 36. El piloto Repsol mantiene su imbatibilidad en el mundo del trial y ha sumado en el X-Trial de...</t>
    </r>
    <r>
      <rPr>
        <rFont val="Arial, sans-serif"/>
        <color rgb="FF1155CC"/>
        <sz val="12.0"/>
        <u/>
      </rPr>
      <t>.</t>
    </r>
    <r>
      <rPr>
        <rFont val="Arial, sans-serif"/>
        <color rgb="FF1155CC"/>
        <sz val="11.0"/>
        <u/>
      </rPr>
      <t>5 oct 2024</t>
    </r>
  </si>
  <si>
    <t>Toni Bou logra su 36º título de Campeón del Mundo</t>
  </si>
  <si>
    <t>Toni Bou logra un nuevo título mundial de trial, el número 36. El piloto Repsol mantiene su imbatibilidad en el mundo del trial y ha sumado en el X-Trial de....</t>
  </si>
  <si>
    <t>Toni Bou achieves his 36th World Champion title</t>
  </si>
  <si>
    <t>Toni Bou achieves a new trial world title, number 36. The Repsol rider maintains his unbeaten status in the trial world and has added in the X-Trial of...</t>
  </si>
  <si>
    <r>
      <rPr>
        <rFont val="Arial, sans-serif"/>
        <color rgb="FF1155CC"/>
        <sz val="9.0"/>
        <u/>
      </rPr>
      <t>El Economista</t>
    </r>
    <r>
      <rPr>
        <rFont val="Arial, sans-serif"/>
        <color rgb="FF1155CC"/>
        <sz val="15.0"/>
        <u/>
      </rPr>
      <t>Portugal da el 'sí' a la entrada de Tokyo Gas en el parque eólico marino de Ocean Winds y Repsol</t>
    </r>
    <r>
      <rPr>
        <rFont val="Arial, sans-serif"/>
        <color rgb="FF1155CC"/>
        <sz val="11.0"/>
        <u/>
      </rPr>
      <t>Tokyo Gas ha desembarcado en las costas de Portugal de la mano de una empresa con acento español.</t>
    </r>
    <r>
      <rPr>
        <rFont val="Arial, sans-serif"/>
        <color rgb="FF1155CC"/>
        <sz val="12.0"/>
        <u/>
      </rPr>
      <t>.</t>
    </r>
    <r>
      <rPr>
        <rFont val="Arial, sans-serif"/>
        <color rgb="FF1155CC"/>
        <sz val="11.0"/>
        <u/>
      </rPr>
      <t>5 oct 2024</t>
    </r>
  </si>
  <si>
    <t>Portugal da el 'sí' a la entrada de Tokyo Gas en el parque eólico marino de Ocean Winds y Repsol</t>
  </si>
  <si>
    <t>Tokyo Gas ha desembarcado en las costas de Portugal de la mano de una empresa con acento español.</t>
  </si>
  <si>
    <t>Portugal says 'yes' to the entry of Tokyo Gas into the Ocean Winds and Repsol offshore wind farm</t>
  </si>
  <si>
    <t>Tokyo Gas has landed on the coasts of Portugal with a company with a Spanish accent.</t>
  </si>
  <si>
    <t>Repsol, offshore wind farm, Tokyo Gas</t>
  </si>
  <si>
    <t>Repsol, parque eólico marino, Tokyo Gas</t>
  </si>
  <si>
    <t>Positive due to Repsol’s involvement in renewable energy projects.</t>
  </si>
  <si>
    <t>parque eólico</t>
  </si>
  <si>
    <t>Proyecto renovable positivo.</t>
  </si>
  <si>
    <r>
      <rPr>
        <rFont val="Arial, sans-serif"/>
        <color rgb="FF1155CC"/>
        <sz val="9.0"/>
        <u/>
      </rPr>
      <t>El Español</t>
    </r>
    <r>
      <rPr>
        <rFont val="Arial, sans-serif"/>
        <color rgb="FF1155CC"/>
        <sz val="15.0"/>
        <u/>
      </rPr>
      <t>El restaurante de Málaga premiado por la Guía Repsol donde comer por menos de 30 €: está en un entorno único</t>
    </r>
    <r>
      <rPr>
        <rFont val="Arial, sans-serif"/>
        <color rgb="FF1155CC"/>
        <sz val="11.0"/>
        <u/>
      </rPr>
      <t>Aunque muchos creen que los restaurantes de esta guía tienen precios altos, también hay opciones asequibles sin perder calidad. Más información: Estos son...</t>
    </r>
    <r>
      <rPr>
        <rFont val="Arial, sans-serif"/>
        <color rgb="FF1155CC"/>
        <sz val="12.0"/>
        <u/>
      </rPr>
      <t>.</t>
    </r>
    <r>
      <rPr>
        <rFont val="Arial, sans-serif"/>
        <color rgb="FF1155CC"/>
        <sz val="11.0"/>
        <u/>
      </rPr>
      <t>5 oct 2024</t>
    </r>
  </si>
  <si>
    <t>El restaurante de Málaga premiado por la Guía Repsol donde comer por menos de 30 €: está en un entorno único</t>
  </si>
  <si>
    <t>Aunque muchos creen que los restaurantes de esta guía tienen precios altos, también hay opciones asequibles sin perder calidad. Más información: Estos son....</t>
  </si>
  <si>
    <t>The Malaga restaurant awarded by the Repsol Guide where you can eat for less than €30: it is in a unique environment</t>
  </si>
  <si>
    <t>Although many believe that the restaurants in this guide have high prices, there are also affordable options without losing quality. More information: These are....</t>
  </si>
  <si>
    <r>
      <rPr>
        <rFont val="Arial, sans-serif"/>
        <color rgb="FF1155CC"/>
        <sz val="9.0"/>
        <u/>
      </rPr>
      <t>La Voz de Puertollano</t>
    </r>
    <r>
      <rPr>
        <rFont val="Arial, sans-serif"/>
        <color rgb="FF1155CC"/>
        <sz val="15.0"/>
        <u/>
      </rPr>
      <t>Repsol será una de las empresas que estará en la I Feria de Transferencia del Conocimiento impulsada por el Gobierno regional</t>
    </r>
    <r>
      <rPr>
        <rFont val="Arial, sans-serif"/>
        <color rgb="FF1155CC"/>
        <sz val="11.0"/>
        <u/>
      </rPr>
      <t>El director general de Universidades, Investigación e Innovación, José Antonio Castro, ha avanzado hoy que empresas como Repsol, CADE Soluciones de...</t>
    </r>
    <r>
      <rPr>
        <rFont val="Arial, sans-serif"/>
        <color rgb="FF1155CC"/>
        <sz val="12.0"/>
        <u/>
      </rPr>
      <t>.</t>
    </r>
    <r>
      <rPr>
        <rFont val="Arial, sans-serif"/>
        <color rgb="FF1155CC"/>
        <sz val="11.0"/>
        <u/>
      </rPr>
      <t>5 oct 2024</t>
    </r>
  </si>
  <si>
    <t>Repsol será una de las empresas que estará en la I Feria de Transferencia del Conocimiento impulsada por el Gobierno regional</t>
  </si>
  <si>
    <t>Repsol será una de las empresas que estará en la I Feria de Transferencia del Conocimiento impulsada por el Gobierno regional.</t>
  </si>
  <si>
    <t>Repsol will be one of the companies that will be at the I Knowledge Transfer Fair promoted by the regional Government</t>
  </si>
  <si>
    <t>Repsol will be one of the companies that will be at the I Knowledge Transfer Fair promoted by the regional government.</t>
  </si>
  <si>
    <t>Repsol, Knowledge Transfer Fair</t>
  </si>
  <si>
    <t>Repsol, Feria de Transferencia de Conocimiento</t>
  </si>
  <si>
    <t>Positive as it shows Repsol's involvement in knowledge sharing.</t>
  </si>
  <si>
    <t>Feria, "Gobierno"</t>
  </si>
  <si>
    <t>Participación institucional positiva.</t>
  </si>
  <si>
    <r>
      <rPr>
        <rFont val="Arial, sans-serif"/>
        <color rgb="FF1155CC"/>
        <sz val="9.0"/>
        <u/>
      </rPr>
      <t>Expansión</t>
    </r>
    <r>
      <rPr>
        <rFont val="Arial, sans-serif"/>
        <color rgb="FF1155CC"/>
        <sz val="15.0"/>
        <u/>
      </rPr>
      <t>Elena Cano, CEO de Waylet: "Queremos explorar nuevos servicios de suscripción"</t>
    </r>
    <r>
      <rPr>
        <rFont val="Arial, sans-serif"/>
        <color rgb="FF1155CC"/>
        <sz val="11.0"/>
        <u/>
      </rPr>
      <t>El programa de fidelización de Repsol prevé tener en 2027 un 25% más de usuarios en España, hasta los 10 millones. Los programas de fidelización y los pagos...</t>
    </r>
    <r>
      <rPr>
        <rFont val="Arial, sans-serif"/>
        <color rgb="FF1155CC"/>
        <sz val="12.0"/>
        <u/>
      </rPr>
      <t>.</t>
    </r>
    <r>
      <rPr>
        <rFont val="Arial, sans-serif"/>
        <color rgb="FF1155CC"/>
        <sz val="11.0"/>
        <u/>
      </rPr>
      <t>5 oct 2024</t>
    </r>
  </si>
  <si>
    <t>"Queremos explorar nuevos servicios de suscripción"</t>
  </si>
  <si>
    <t>El programa de fidelización de Repsol prevé tener en 2027 un 25% más de usuarios en España, hasta los 10 millones. Los programas de fidelización y los pagos....</t>
  </si>
  <si>
    <t>"We want to explore new subscription services"</t>
  </si>
  <si>
    <t>Repsol's loyalty program plans to have 25% more users in Spain by 2027, up to 10 million. Loyalty programs and payments....</t>
  </si>
  <si>
    <t>Repsol, loyalty program, subscription services</t>
  </si>
  <si>
    <t>Repsol, programa de fidelización, servicios de suscripción</t>
  </si>
  <si>
    <t>Neutral (estrategia genérica).</t>
  </si>
  <si>
    <r>
      <rPr>
        <rFont val="Arial, sans-serif"/>
        <color rgb="FF1155CC"/>
        <sz val="9.0"/>
        <u/>
      </rPr>
      <t>Motor16</t>
    </r>
    <r>
      <rPr>
        <rFont val="Arial, sans-serif"/>
        <color rgb="FF1155CC"/>
        <sz val="15.0"/>
        <u/>
      </rPr>
      <t>El día en que las gasolineras low cost firmarán la extinción de Repsol, Cepsa, Galp o BP</t>
    </r>
    <r>
      <rPr>
        <rFont val="Arial, sans-serif"/>
        <color rgb="FF1155CC"/>
        <sz val="11.0"/>
        <u/>
      </rPr>
      <t>El mundo de las gasolineras está cambiando rápidamente. El auge de las 'low cost' está empezando a suponer una amenaza para las grandes marcas tradicionales...</t>
    </r>
    <r>
      <rPr>
        <rFont val="Arial, sans-serif"/>
        <color rgb="FF1155CC"/>
        <sz val="12.0"/>
        <u/>
      </rPr>
      <t>.</t>
    </r>
    <r>
      <rPr>
        <rFont val="Arial, sans-serif"/>
        <color rgb="FF1155CC"/>
        <sz val="11.0"/>
        <u/>
      </rPr>
      <t>5 oct 2024</t>
    </r>
  </si>
  <si>
    <t>El día en que las gasolineras low cost firmarán la extinción de Repsol, Cepsa, Galp o BP</t>
  </si>
  <si>
    <t>El mundo de las gasolineras está cambiando rápidamente. El auge de las 'low cost' está empezando a suponer una amenaza para las grandes marcas tradicionales.</t>
  </si>
  <si>
    <t>The day when low-cost gas stations will sign the extinction of Repsol, Cepsa, Galp or BP</t>
  </si>
  <si>
    <t>The world of gas stations is changing rapidly. The rise of 'low cost' is beginning to pose a threat to large traditional brands.</t>
  </si>
  <si>
    <t>low-cost, gas stations, extinction</t>
  </si>
  <si>
    <t>low cost, gasolineras, extinción</t>
  </si>
  <si>
    <t>Negative as it suggests competitive pressure against Repsol.</t>
  </si>
  <si>
    <t>extinción</t>
  </si>
  <si>
    <t>Amenaza competitiva.</t>
  </si>
  <si>
    <r>
      <rPr>
        <rFont val="Arial, sans-serif"/>
        <color rgb="FF1155CC"/>
        <sz val="9.0"/>
        <u/>
      </rPr>
      <t>El Español</t>
    </r>
    <r>
      <rPr>
        <rFont val="Arial, sans-serif"/>
        <color rgb="FF1155CC"/>
        <sz val="15.0"/>
        <u/>
      </rPr>
      <t>El rincón más bonito cerca de Vigo, según la Guía Repsol: perfecto para una escapada durante el otoño</t>
    </r>
    <r>
      <rPr>
        <rFont val="Arial, sans-serif"/>
        <color rgb="FF1155CC"/>
        <sz val="11.0"/>
        <u/>
      </rPr>
      <t>Son varias las localidades de gran belleza que puedes visitar si quieres hacer una escapada cercana a la ciudad de Vigo. Más información: El restaurante de...</t>
    </r>
    <r>
      <rPr>
        <rFont val="Arial, sans-serif"/>
        <color rgb="FF1155CC"/>
        <sz val="12.0"/>
        <u/>
      </rPr>
      <t>.</t>
    </r>
    <r>
      <rPr>
        <rFont val="Arial, sans-serif"/>
        <color rgb="FF1155CC"/>
        <sz val="11.0"/>
        <u/>
      </rPr>
      <t>5 oct 2024</t>
    </r>
  </si>
  <si>
    <t>El rincón más bonito cerca de Vigo, según la Guía Repsol: perfecto para una escapada durante el otoño</t>
  </si>
  <si>
    <t>Son varias las localidades de gran belleza que puedes visitar si quieres hacer una escapada cercana a la ciudad de Vigo. Más información: El restaurante de....</t>
  </si>
  <si>
    <t>The most beautiful corner near Vigo, according to the Repsol Guide: perfect for an autumn getaway</t>
  </si>
  <si>
    <t>There are several places of great beauty that you can visit if you want to make a getaway near the city of Vigo. More information: The restaurant of....</t>
  </si>
  <si>
    <r>
      <rPr>
        <rFont val="Arial, sans-serif"/>
        <color rgb="FF1155CC"/>
        <sz val="9.0"/>
        <u/>
      </rPr>
      <t>Box Repsol</t>
    </r>
    <r>
      <rPr>
        <rFont val="Arial, sans-serif"/>
        <color rgb="FF1155CC"/>
        <sz val="15.0"/>
        <u/>
      </rPr>
      <t>Resultados y resumen del X-Trial de Andorra 2024</t>
    </r>
    <r>
      <rPr>
        <rFont val="Arial, sans-serif"/>
        <color rgb="FF1155CC"/>
        <sz val="11.0"/>
        <u/>
      </rPr>
      <t>El equipo del Repsol Honda de Trial vuelve a subir a lo más alto del podio con Toni Bou en primera posición y Gabriel Marcelli en la tercera.</t>
    </r>
    <r>
      <rPr>
        <rFont val="Arial, sans-serif"/>
        <color rgb="FF1155CC"/>
        <sz val="12.0"/>
        <u/>
      </rPr>
      <t>.</t>
    </r>
    <r>
      <rPr>
        <rFont val="Arial, sans-serif"/>
        <color rgb="FF1155CC"/>
        <sz val="11.0"/>
        <u/>
      </rPr>
      <t>5 oct 2024</t>
    </r>
  </si>
  <si>
    <t>Resultados y resumen del X-Trial de Andorra 2024</t>
  </si>
  <si>
    <t>El equipo del Repsol Honda de Trial vuelve a subir a lo más alto del podio con Toni Bou en primera posición y Gabriel Marcelli en la tercera.</t>
  </si>
  <si>
    <t>Results and summary of the Andorra X-Trial 2024</t>
  </si>
  <si>
    <t>The Repsol Honda Trial team once again climbs to the top of the podium with Toni Bou in first position and Gabriel Marcelli in third.</t>
  </si>
  <si>
    <r>
      <rPr>
        <rFont val="Arial, sans-serif"/>
        <color rgb="FF1155CC"/>
        <sz val="9.0"/>
        <u/>
      </rPr>
      <t>Aporrea</t>
    </r>
    <r>
      <rPr>
        <rFont val="Arial, sans-serif"/>
        <color rgb="FF1155CC"/>
        <sz val="15.0"/>
        <u/>
      </rPr>
      <t>Ecopetrol: exportaciÃ³n de gas desde Venezuela a Colombia se concretarÃ­a si Repsol asume suministro</t>
    </r>
    <r>
      <rPr>
        <rFont val="Arial, sans-serif"/>
        <color rgb="FF1155CC"/>
        <sz val="11.0"/>
        <u/>
      </rPr>
      <t>Ricardo Roa, presidente de la petrolera colombiana Ecopetrol, destacó que, aunque continúan las gestiones ante la Oficina de Control de Activos Extranjeros...</t>
    </r>
    <r>
      <rPr>
        <rFont val="Arial, sans-serif"/>
        <color rgb="FF1155CC"/>
        <sz val="12.0"/>
        <u/>
      </rPr>
      <t>.</t>
    </r>
    <r>
      <rPr>
        <rFont val="Arial, sans-serif"/>
        <color rgb="FF1155CC"/>
        <sz val="11.0"/>
        <u/>
      </rPr>
      <t>5 oct 2024</t>
    </r>
  </si>
  <si>
    <t>exportación de gas desde Venezuela a Colombia se concretaría si Repsol asume suministro</t>
  </si>
  <si>
    <t>gas export from Venezuela to Colombia would take place if Repsol assumes supply</t>
  </si>
  <si>
    <t>Petroleum and energy</t>
  </si>
  <si>
    <t>export, Repsol assumes supply</t>
  </si>
  <si>
    <t>exportar, Repsol asume el suministro</t>
  </si>
  <si>
    <t>Positive for Repsol’s role in energy expansion.</t>
  </si>
  <si>
    <r>
      <rPr>
        <rFont val="Arial, sans-serif"/>
        <color rgb="FF1155CC"/>
        <sz val="9.0"/>
        <u/>
      </rPr>
      <t>Box Repsol</t>
    </r>
    <r>
      <rPr>
        <rFont val="Arial, sans-serif"/>
        <color rgb="FF1155CC"/>
        <sz val="15.0"/>
        <u/>
      </rPr>
      <t>Resultados de la clasificación del GP de Japón de MotoGP</t>
    </r>
    <r>
      <rPr>
        <rFont val="Arial, sans-serif"/>
        <color rgb="FF1155CC"/>
        <sz val="11.0"/>
        <u/>
      </rPr>
      <t>Crónica y resultados de los entrenamientos cronometrados en Motegi, en los que se ha decidido la parrilla de de salida para las carreras del GP de Japón de...</t>
    </r>
    <r>
      <rPr>
        <rFont val="Arial, sans-serif"/>
        <color rgb="FF1155CC"/>
        <sz val="12.0"/>
        <u/>
      </rPr>
      <t>.</t>
    </r>
    <r>
      <rPr>
        <rFont val="Arial, sans-serif"/>
        <color rgb="FF1155CC"/>
        <sz val="11.0"/>
        <u/>
      </rPr>
      <t>5 oct 2024</t>
    </r>
  </si>
  <si>
    <t>Resultados de la clasificación del GP de Japón de MotoGP</t>
  </si>
  <si>
    <t>Crónica y resultados de los entrenamientos cronometrados en Motegi, en los que se ha decidido la parrilla de salida para las carreras del GP de Japón de....</t>
  </si>
  <si>
    <t>MotoGP Japanese GP qualifying results</t>
  </si>
  <si>
    <t>Chronicle and results of the timed practice sessions in Motegi, in which the starting grid for the races of the Japanese GP of... has been decided.</t>
  </si>
  <si>
    <r>
      <rPr>
        <rFont val="Arial, sans-serif"/>
        <color rgb="FF1155CC"/>
        <sz val="9.0"/>
        <u/>
      </rPr>
      <t>Consumidor Global</t>
    </r>
    <r>
      <rPr>
        <rFont val="Arial, sans-serif"/>
        <color rgb="FF1155CC"/>
        <sz val="15.0"/>
        <u/>
      </rPr>
      <t>La otra cara de Waylet, la app de Repsol</t>
    </r>
    <r>
      <rPr>
        <rFont val="Arial, sans-serif"/>
        <color rgb="FF1155CC"/>
        <sz val="11.0"/>
        <u/>
      </rPr>
      <t>Waylet, la app de Repsol que permite ahorrar dinero acumulando puntos, presenta algunos fallos que afectan a la experiencia general.</t>
    </r>
    <r>
      <rPr>
        <rFont val="Arial, sans-serif"/>
        <color rgb="FF1155CC"/>
        <sz val="12.0"/>
        <u/>
      </rPr>
      <t>.</t>
    </r>
    <r>
      <rPr>
        <rFont val="Arial, sans-serif"/>
        <color rgb="FF1155CC"/>
        <sz val="11.0"/>
        <u/>
      </rPr>
      <t>5 oct 2024</t>
    </r>
  </si>
  <si>
    <t>La otra cara de Waylet, la app de Repsol</t>
  </si>
  <si>
    <t>Waylet, la app de Repsol que permite ahorrar dinero acumulando puntos, presenta algunos fallos que afectan a la experiencia general.</t>
  </si>
  <si>
    <t>The other side of Waylet, the Repsol app</t>
  </si>
  <si>
    <t>Waylet, the Repsol app that allows you to save money by accumulating points, has some bugs that affect the general experience.</t>
  </si>
  <si>
    <t>Waylet, Repsol, bugs</t>
  </si>
  <si>
    <t>Waylet, Repsol, bichos</t>
  </si>
  <si>
    <t>Negative due to reported issues with Repsol’s app.</t>
  </si>
  <si>
    <t>fallos</t>
  </si>
  <si>
    <t>Problemas técnicos negativos.</t>
  </si>
  <si>
    <r>
      <rPr>
        <rFont val="Arial, sans-serif"/>
        <color rgb="FF1155CC"/>
        <sz val="9.0"/>
        <u/>
      </rPr>
      <t>Box Repsol</t>
    </r>
    <r>
      <rPr>
        <rFont val="Arial, sans-serif"/>
        <color rgb="FF1155CC"/>
        <sz val="15.0"/>
        <u/>
      </rPr>
      <t>Los pilotos Repsol ponen a prueba sus combustibles renovables en el Rally de Marruecos</t>
    </r>
    <r>
      <rPr>
        <rFont val="Arial, sans-serif"/>
        <color rgb="FF1155CC"/>
        <sz val="11.0"/>
        <u/>
      </rPr>
      <t>Empieza en Marrakech la última cita del campeonato del mundo de Raids, donde Isidre Esteve, Lucas Moraes, Seth Quintero y Joao Ferreira ultimarán junto a...</t>
    </r>
    <r>
      <rPr>
        <rFont val="Arial, sans-serif"/>
        <color rgb="FF1155CC"/>
        <sz val="12.0"/>
        <u/>
      </rPr>
      <t>.</t>
    </r>
    <r>
      <rPr>
        <rFont val="Arial, sans-serif"/>
        <color rgb="FF1155CC"/>
        <sz val="11.0"/>
        <u/>
      </rPr>
      <t>6 oct 2024</t>
    </r>
  </si>
  <si>
    <t>Los pilotos Repsol ponen a prueba sus combustibles renovables en el Rally de Marruecos</t>
  </si>
  <si>
    <t>Los pilotos Repsol ponen a prueba sus combustibles renovables en el Rally de Marruecos.</t>
  </si>
  <si>
    <t>Repsol drivers test their renewable fuels in the Morocco Rally</t>
  </si>
  <si>
    <t>Repsol drivers test their renewable fuels in the Morocco Rally.</t>
  </si>
  <si>
    <t>Repsol, renewable fuels, Morocco Rally</t>
  </si>
  <si>
    <t>Repsol, combustibles renovables, Rally de Marruecos</t>
  </si>
  <si>
    <t>Innovación sostenible.</t>
  </si>
  <si>
    <r>
      <rPr>
        <rFont val="Arial, sans-serif"/>
        <color rgb="FF1155CC"/>
        <sz val="9.0"/>
        <u/>
      </rPr>
      <t>Vozpópuli</t>
    </r>
    <r>
      <rPr>
        <rFont val="Arial, sans-serif"/>
        <color rgb="FF1155CC"/>
        <sz val="15.0"/>
        <u/>
      </rPr>
      <t>Fusión Naturgy-Repsol: ¿la solución española para el problema de La Caixa?</t>
    </r>
    <r>
      <rPr>
        <rFont val="Arial, sans-serif"/>
        <color rgb="FF1155CC"/>
        <sz val="11.0"/>
        <u/>
      </rPr>
      <t>El fracaso de la alianza entre Criteria y Abu Dabi, y la llegada al poder de Illa alientan de nuevo el rumor sobre la creación de un gigante industrial...</t>
    </r>
    <r>
      <rPr>
        <rFont val="Arial, sans-serif"/>
        <color rgb="FF1155CC"/>
        <sz val="12.0"/>
        <u/>
      </rPr>
      <t>.</t>
    </r>
    <r>
      <rPr>
        <rFont val="Arial, sans-serif"/>
        <color rgb="FF1155CC"/>
        <sz val="11.0"/>
        <u/>
      </rPr>
      <t>6 oct 2024</t>
    </r>
  </si>
  <si>
    <t>Fusión Naturgy-Repsol: ¿la solución española para el problema de La Caixa?</t>
  </si>
  <si>
    <t>El fracaso de la alianza entre Criteria y Abu Dabi, y la llegada al poder de Illa alientan de nuevo el rumor sobre la creación de un gigante industrial....</t>
  </si>
  <si>
    <t>Naturgy-Repsol merger: the Spanish solution to La Caixa's problem?</t>
  </si>
  <si>
    <t>The failure of the alliance between Criteria and Abu Dhabi, and the rise to power of Illa once again encourage the rumor about the creation of an industrial giant...</t>
  </si>
  <si>
    <t>Repsol, merger, Naturgy</t>
  </si>
  <si>
    <t>Repsol, fusión, Naturgy</t>
  </si>
  <si>
    <t>Speculative news, no clear positive or negative impact.</t>
  </si>
  <si>
    <t>Fusión</t>
  </si>
  <si>
    <t>Potencial estratégico.</t>
  </si>
  <si>
    <r>
      <rPr>
        <rFont val="Arial, sans-serif"/>
        <color rgb="FF1155CC"/>
        <sz val="9.0"/>
        <u/>
      </rPr>
      <t>20Minutos</t>
    </r>
    <r>
      <rPr>
        <rFont val="Arial, sans-serif"/>
        <color rgb="FF1155CC"/>
        <sz val="15.0"/>
        <u/>
      </rPr>
      <t>El hotel de España con más Soles Repsol y con tres estrellas Michelin (y sus restaurantes optan a otras dos)</t>
    </r>
    <r>
      <rPr>
        <rFont val="Arial, sans-serif"/>
        <color rgb="FF1155CC"/>
        <sz val="11.0"/>
        <u/>
      </rPr>
      <t>Este complejo turístico de Tenerife alberga los restaurantes El Rincón de Juan Carlos (3 Soles Repsol y 2 estrellas Michelin), San Hô (1 Sol Repsol y 1...</t>
    </r>
    <r>
      <rPr>
        <rFont val="Arial, sans-serif"/>
        <color rgb="FF1155CC"/>
        <sz val="12.0"/>
        <u/>
      </rPr>
      <t>.</t>
    </r>
    <r>
      <rPr>
        <rFont val="Arial, sans-serif"/>
        <color rgb="FF1155CC"/>
        <sz val="11.0"/>
        <u/>
      </rPr>
      <t>6 oct 2024</t>
    </r>
  </si>
  <si>
    <t>El hotel de España con más Soles Repsol y con tres estrellas Michelin (y sus restaurantes optan a otras dos)</t>
  </si>
  <si>
    <t>Este complejo turístico de Tenerife alberga los restaurantes El Rincón de Juan Carlos (3 Soles Repsol y 2 estrellas Michelin), San Hô (1 Sol Repsol y 1....</t>
  </si>
  <si>
    <t>The hotel in Spain with the most Repsol Suns and three Michelin stars (and its restaurants are eligible for another two)</t>
  </si>
  <si>
    <t>This tourist complex in Tenerife houses the restaurants El Rincón de Juan Carlos (3 Repsol Suns and 2 Michelin stars), San Hô (1 Repsol Sol and 1....</t>
  </si>
  <si>
    <r>
      <rPr>
        <rFont val="Arial, sans-serif"/>
        <color rgb="FF1155CC"/>
        <sz val="9.0"/>
        <u/>
      </rPr>
      <t>Motor16</t>
    </r>
    <r>
      <rPr>
        <rFont val="Arial, sans-serif"/>
        <color rgb="FF1155CC"/>
        <sz val="15.0"/>
        <u/>
      </rPr>
      <t>Gasolineras: Repsol, Cepsa, BP o Galp tienen fecha de defunción, este es el día que cerrarán sus puertas</t>
    </r>
    <r>
      <rPr>
        <rFont val="Arial, sans-serif"/>
        <color rgb="FF1155CC"/>
        <sz val="11.0"/>
        <u/>
      </rPr>
      <t>El sector de las gasolineras en España se encuentra al borde de una transformación monumental. Mientras que durante décadas gigantes como Repsol, Cepsa,...</t>
    </r>
    <r>
      <rPr>
        <rFont val="Arial, sans-serif"/>
        <color rgb="FF1155CC"/>
        <sz val="12.0"/>
        <u/>
      </rPr>
      <t>.</t>
    </r>
    <r>
      <rPr>
        <rFont val="Arial, sans-serif"/>
        <color rgb="FF1155CC"/>
        <sz val="11.0"/>
        <u/>
      </rPr>
      <t>6 oct 2024</t>
    </r>
  </si>
  <si>
    <t>Repsol, Cepsa, BP o Galp tienen fecha de defunción, este es el día que cerrarán sus puertas</t>
  </si>
  <si>
    <t>El sector de las gasolineras en España se encuentra al borde de una transformación monumental.</t>
  </si>
  <si>
    <t>Repsol, Cepsa, BP or Galp have a death date, this is the day they will close their doors</t>
  </si>
  <si>
    <t>The gas station sector in Spain is on the verge of a monumental transformation.</t>
  </si>
  <si>
    <t>Repsol, Cepsa, gas stations</t>
  </si>
  <si>
    <t>Repsol, Cepsa, gasolineras</t>
  </si>
  <si>
    <t>Strongly negative framing of industry decline.</t>
  </si>
  <si>
    <t>defunción, "cerrarán"</t>
  </si>
  <si>
    <t>Amenaza existencial.</t>
  </si>
  <si>
    <r>
      <rPr>
        <rFont val="Arial, sans-serif"/>
        <color rgb="FF1155CC"/>
        <sz val="9.0"/>
        <u/>
      </rPr>
      <t>Guía Repsol</t>
    </r>
    <r>
      <rPr>
        <rFont val="Arial, sans-serif"/>
        <color rgb="FF1155CC"/>
        <sz val="15.0"/>
        <u/>
      </rPr>
      <t>Recolección de frutos rojos con niños en Ecos del Lozoya (Sierra de Guadarrama, Madrid)</t>
    </r>
    <r>
      <rPr>
        <rFont val="Arial, sans-serif"/>
        <color rgb="FF1155CC"/>
        <sz val="11.0"/>
        <u/>
      </rPr>
      <t>Disfruta de esta actividad en familia: recolección de frutos rojos con niñosen plena Sierra de Guadarrama. Recolecta frambuesas, fresas, arándanos y moras...</t>
    </r>
    <r>
      <rPr>
        <rFont val="Arial, sans-serif"/>
        <color rgb="FF1155CC"/>
        <sz val="12.0"/>
        <u/>
      </rPr>
      <t>.</t>
    </r>
    <r>
      <rPr>
        <rFont val="Arial, sans-serif"/>
        <color rgb="FF1155CC"/>
        <sz val="11.0"/>
        <u/>
      </rPr>
      <t>6 oct 2024</t>
    </r>
  </si>
  <si>
    <t>Recolección de frutos rojos con niños en Ecos del Lozoya (Sierra de Guadarrama, Madrid)</t>
  </si>
  <si>
    <t>Disfruta de esta actividad en familia: recolección de frutos rojos con niños en plena Sierra de Guadarrama. Recolecta frambuesas, fresas, arándanos y moras.</t>
  </si>
  <si>
    <t>Harvesting red fruits with children in Ecos del Lozoya (Sierra de Guadarrama, Madrid)</t>
  </si>
  <si>
    <t>Enjoy this family activity: harvesting red fruits with children in the Sierra de Guadarrama. Pick raspberries, strawberries, blueberries and blackberries.</t>
  </si>
  <si>
    <r>
      <rPr>
        <rFont val="Arial, sans-serif"/>
        <color rgb="FF1155CC"/>
        <sz val="9.0"/>
        <u/>
      </rPr>
      <t>Moto1Pro</t>
    </r>
    <r>
      <rPr>
        <rFont val="Arial, sans-serif"/>
        <color rgb="FF1155CC"/>
        <sz val="15.0"/>
        <u/>
      </rPr>
      <t>Toni Bou logra su 36º título de Campeón del Mundo</t>
    </r>
    <r>
      <rPr>
        <rFont val="Arial, sans-serif"/>
        <color rgb="FF1155CC"/>
        <sz val="11.0"/>
        <u/>
      </rPr>
      <t>El piloto Repsol mantiene su imbatibilidad en el mundo del trial y ha sumado en Andorra un título más a su inigualable palmarés.</t>
    </r>
    <r>
      <rPr>
        <rFont val="Arial, sans-serif"/>
        <color rgb="FF1155CC"/>
        <sz val="12.0"/>
        <u/>
      </rPr>
      <t>.</t>
    </r>
    <r>
      <rPr>
        <rFont val="Arial, sans-serif"/>
        <color rgb="FF1155CC"/>
        <sz val="11.0"/>
        <u/>
      </rPr>
      <t>6 oct 2024</t>
    </r>
  </si>
  <si>
    <t>El piloto Repsol mantiene su imbatibilidad en el mundo del trial y ha sumado en Andorra un título más a su inigualable palmarés.</t>
  </si>
  <si>
    <t>The Repsol rider maintains his unbeaten record in the world of trials and has added one more title to his unmatched record in Andorra.</t>
  </si>
  <si>
    <r>
      <rPr>
        <rFont val="Arial, sans-serif"/>
        <color rgb="FF1155CC"/>
        <sz val="9.0"/>
        <u/>
      </rPr>
      <t>El Periódico</t>
    </r>
    <r>
      <rPr>
        <rFont val="Arial, sans-serif"/>
        <color rgb="FF1155CC"/>
        <sz val="15.0"/>
        <u/>
      </rPr>
      <t>¿Dónde comer en Tarragona y provincia a muy buen precio?</t>
    </r>
    <r>
      <rPr>
        <rFont val="Arial, sans-serif"/>
        <color rgb="FF1155CC"/>
        <sz val="11.0"/>
        <u/>
      </rPr>
      <t>Los 'top' de la gastronomía desvelan dónde están las mejores terrazas, chiringuitos, barras, pastelerías, vinotecas o las heladerías que ellos frecuentan a...</t>
    </r>
    <r>
      <rPr>
        <rFont val="Arial, sans-serif"/>
        <color rgb="FF1155CC"/>
        <sz val="12.0"/>
        <u/>
      </rPr>
      <t>.</t>
    </r>
    <r>
      <rPr>
        <rFont val="Arial, sans-serif"/>
        <color rgb="FF1155CC"/>
        <sz val="11.0"/>
        <u/>
      </rPr>
      <t>6 oct 2024</t>
    </r>
  </si>
  <si>
    <t>¿Dónde comer en Tarragona y provincia a muy buen precio?</t>
  </si>
  <si>
    <t>Los 'top' de la gastronomía desvelan dónde están las mejores terrazas, chiringuitos, barras, pastelerías, vinotecas o las heladerías que ellos frecuentan a....</t>
  </si>
  <si>
    <t>Where to eat in Tarragona and the province at a very good price?</t>
  </si>
  <si>
    <t>The 'top' of gastronomy reveal where the best terraces, beach bars, bars, pastry shops, wine bars or the ice cream parlors that they frequent are....</t>
  </si>
  <si>
    <r>
      <rPr>
        <rFont val="Arial, sans-serif"/>
        <color rgb="FF1155CC"/>
        <sz val="9.0"/>
        <u/>
      </rPr>
      <t>Box Repsol</t>
    </r>
    <r>
      <rPr>
        <rFont val="Arial, sans-serif"/>
        <color rgb="FF1155CC"/>
        <sz val="15.0"/>
        <u/>
      </rPr>
      <t>Resultados del GP de Japón de MotoGP</t>
    </r>
    <r>
      <rPr>
        <rFont val="Arial, sans-serif"/>
        <color rgb="FF1155CC"/>
        <sz val="11.0"/>
        <u/>
      </rPr>
      <t>Crónica y resultados de la carrera principal del GP de Japón de MotoGP 2024, celebrada en Motegi.</t>
    </r>
    <r>
      <rPr>
        <rFont val="Arial, sans-serif"/>
        <color rgb="FF1155CC"/>
        <sz val="12.0"/>
        <u/>
      </rPr>
      <t>.</t>
    </r>
    <r>
      <rPr>
        <rFont val="Arial, sans-serif"/>
        <color rgb="FF1155CC"/>
        <sz val="11.0"/>
        <u/>
      </rPr>
      <t>6 oct 2024</t>
    </r>
  </si>
  <si>
    <t>Resultados del GP de Japón de MotoGP</t>
  </si>
  <si>
    <t>Crónica y resultados de la carrera principal del GP de Japón de MotoGP 2024, celebrada en Motegi.</t>
  </si>
  <si>
    <t>MotoGP Japanese GP results</t>
  </si>
  <si>
    <t>Chronicle and results of the main race of the 2024 MotoGP Japanese GP, held in Motegi.</t>
  </si>
  <si>
    <r>
      <rPr>
        <rFont val="Arial, sans-serif"/>
        <color rgb="FF1155CC"/>
        <sz val="9.0"/>
        <u/>
      </rPr>
      <t>El Comercio Perú</t>
    </r>
    <r>
      <rPr>
        <rFont val="Arial, sans-serif"/>
        <color rgb="FF1155CC"/>
        <sz val="15.0"/>
        <u/>
      </rPr>
      <t>Derrames de petróleo: Perú ya cuenta con su primer buque de respuesta para este tipo de emergencias</t>
    </r>
    <r>
      <rPr>
        <rFont val="Arial, sans-serif"/>
        <color rgb="FF1155CC"/>
        <sz val="11.0"/>
        <u/>
      </rPr>
      <t>El derrame de petróleo en La Pampilla (Repsol) dejó en evidencia la poca capacidad de respuesta del Perú ante desastres ambientales de gran magnitud.</t>
    </r>
    <r>
      <rPr>
        <rFont val="Arial, sans-serif"/>
        <color rgb="FF1155CC"/>
        <sz val="12.0"/>
        <u/>
      </rPr>
      <t>.</t>
    </r>
    <r>
      <rPr>
        <rFont val="Arial, sans-serif"/>
        <color rgb="FF1155CC"/>
        <sz val="11.0"/>
        <u/>
      </rPr>
      <t>6 oct 2024</t>
    </r>
  </si>
  <si>
    <t>Derrames de petróleo: Perú ya cuenta con su primer buque de respuesta para este tipo de emergencias</t>
  </si>
  <si>
    <t>El derrame de petróleo en La Pampilla (Repsol) dejó en evidencia la poca capacidad de respuesta del Perú ante desastres ambientales de gran magnitud.</t>
  </si>
  <si>
    <t>Oil spills: Peru already has its first response vessel for this type of emergency</t>
  </si>
  <si>
    <t>The oil spill in La Pampilla (Repsol) revealed Peru's poor response capacity in the face of large-scale environmental disasters.</t>
  </si>
  <si>
    <t>Environmental Issues</t>
  </si>
  <si>
    <t>Repsol, oil spill, Peru</t>
  </si>
  <si>
    <t>Repsol, derrame de petróleo, Perú</t>
  </si>
  <si>
    <t>Strongly negative due to environmental impact.</t>
  </si>
  <si>
    <r>
      <rPr>
        <rFont val="Arial, sans-serif"/>
        <color rgb="FF1155CC"/>
        <sz val="9.0"/>
        <u/>
      </rPr>
      <t>La Vanguardia</t>
    </r>
    <r>
      <rPr>
        <rFont val="Arial, sans-serif"/>
        <color rgb="FF1155CC"/>
        <sz val="15.0"/>
        <u/>
      </rPr>
      <t>Del petróleo a las telecos</t>
    </r>
    <r>
      <rPr>
        <rFont val="Arial, sans-serif"/>
        <color rgb="FF1155CC"/>
        <sz val="11.0"/>
        <u/>
      </rPr>
      <t>Cellnex acaba de nombrar presidente no ejecutivo a Óscar Fanjul, fundador de Repsol y una figura de reconocido prestigio en la economía española.</t>
    </r>
    <r>
      <rPr>
        <rFont val="Arial, sans-serif"/>
        <color rgb="FF1155CC"/>
        <sz val="12.0"/>
        <u/>
      </rPr>
      <t>.</t>
    </r>
    <r>
      <rPr>
        <rFont val="Arial, sans-serif"/>
        <color rgb="FF1155CC"/>
        <sz val="11.0"/>
        <u/>
      </rPr>
      <t>6 oct 2024</t>
    </r>
  </si>
  <si>
    <t>Cellnex acaba de nombrar presidente no ejecutivo a Óscar Fanjul, fundador de Repsol y una figura de reconocido prestigio en la economía española.</t>
  </si>
  <si>
    <t>Cellnex has just appointed Óscar Fanjul, founder of Repsol and a figure of recognized prestige in the Spanish economy, as non-executive president.</t>
  </si>
  <si>
    <r>
      <rPr>
        <rFont val="Arial, sans-serif"/>
        <color rgb="FF1155CC"/>
        <sz val="9.0"/>
        <u/>
      </rPr>
      <t>Eventoplus</t>
    </r>
    <r>
      <rPr>
        <rFont val="Arial, sans-serif"/>
        <color rgb="FF1155CC"/>
        <sz val="15.0"/>
        <u/>
      </rPr>
      <t>Repsol organiza un incentivo en Vietnam para conocer sus historias ancestrales</t>
    </r>
    <r>
      <rPr>
        <rFont val="Arial, sans-serif"/>
        <color rgb="FF1155CC"/>
        <sz val="11.0"/>
        <u/>
      </rPr>
      <t>Repsol organizó un viaje hasta Vietnam a través de las historias ancestrales que hacen de este destino un paraíso de “leyenda”.</t>
    </r>
    <r>
      <rPr>
        <rFont val="Arial, sans-serif"/>
        <color rgb="FF1155CC"/>
        <sz val="12.0"/>
        <u/>
      </rPr>
      <t>.</t>
    </r>
    <r>
      <rPr>
        <rFont val="Arial, sans-serif"/>
        <color rgb="FF1155CC"/>
        <sz val="11.0"/>
        <u/>
      </rPr>
      <t>7 oct 2024</t>
    </r>
  </si>
  <si>
    <t>Repsol organiza un incentivo en Vietnam para conocer sus historias ancestrales</t>
  </si>
  <si>
    <t>Repsol organizó un viaje hasta Vietnam a través de las historias ancestrales que hacen de este destino un paraíso de “leyenda”.</t>
  </si>
  <si>
    <t>Repsol organizes an incentive in Vietnam to learn about its ancestral stories</t>
  </si>
  <si>
    <t>Repsol organized a trip to Vietnam through the ancestral stories that make this destination a “legendary” paradise.</t>
  </si>
  <si>
    <t>Corporate Initiatives</t>
  </si>
  <si>
    <r>
      <rPr>
        <rFont val="Arial, sans-serif"/>
        <color rgb="FF1155CC"/>
        <sz val="9.0"/>
        <u/>
      </rPr>
      <t>Economía Digital</t>
    </r>
    <r>
      <rPr>
        <rFont val="Arial, sans-serif"/>
        <color rgb="FF1155CC"/>
        <sz val="15.0"/>
        <u/>
      </rPr>
      <t>Naturgy pierde 85.000 clientes ante la presión de Repsol y las comercializadoras independientes</t>
    </r>
    <r>
      <rPr>
        <rFont val="Arial, sans-serif"/>
        <color rgb="FF1155CC"/>
        <sz val="11.0"/>
        <u/>
      </rPr>
      <t>Naturgy pierde cerca de 85.000 clientes de luz y gas en lo que va de año ante la presión de actores como Repsol y otras comercializadoras independientes que...</t>
    </r>
    <r>
      <rPr>
        <rFont val="Arial, sans-serif"/>
        <color rgb="FF1155CC"/>
        <sz val="12.0"/>
        <u/>
      </rPr>
      <t>.</t>
    </r>
    <r>
      <rPr>
        <rFont val="Arial, sans-serif"/>
        <color rgb="FF1155CC"/>
        <sz val="11.0"/>
        <u/>
      </rPr>
      <t>7 oct 2024</t>
    </r>
  </si>
  <si>
    <t>Naturgy pierde 85.000 clientes ante la presión de Repsol y las comercializadoras independientes</t>
  </si>
  <si>
    <t>Naturgy pierde cerca de 85.000 clientes de luz y gas en lo que va de año ante la presión de actores como Repsol y otras comercializadoras independientes que....</t>
  </si>
  <si>
    <t>Naturgy loses 85,000 clients due to pressure from Repsol and independent marketers</t>
  </si>
  <si>
    <t>Naturgy loses nearly 85,000 electricity and gas customers so far this year due to pressure from actors such as Repsol and other independent marketers that...</t>
  </si>
  <si>
    <t>Repsol, Naturgy, market pressure</t>
  </si>
  <si>
    <t>Repsol, Naturgy, presión del mercado</t>
  </si>
  <si>
    <t>Positive as Repsol gains market share.</t>
  </si>
  <si>
    <t>pierde clientes</t>
  </si>
  <si>
    <t>Competitividad positiva.</t>
  </si>
  <si>
    <r>
      <rPr>
        <rFont val="Arial, sans-serif"/>
        <color rgb="FF1155CC"/>
        <sz val="9.0"/>
        <u/>
      </rPr>
      <t>XTB.com</t>
    </r>
    <r>
      <rPr>
        <rFont val="Arial, sans-serif"/>
        <color rgb="FF1155CC"/>
        <sz val="15.0"/>
        <u/>
      </rPr>
      <t>Nuevos precios objetivos para Repsol y Endesa</t>
    </r>
    <r>
      <rPr>
        <rFont val="Arial, sans-serif"/>
        <color rgb="FF1155CC"/>
        <sz val="11.0"/>
        <u/>
      </rPr>
      <t>Morgan Stanley ha elevado el precio objetivo de Endesa en un 5,3%, hasta 20 euros, y rebajado el precio objetivo de Repsol hasta 14,2 euros.</t>
    </r>
    <r>
      <rPr>
        <rFont val="Arial, sans-serif"/>
        <color rgb="FF1155CC"/>
        <sz val="12.0"/>
        <u/>
      </rPr>
      <t>.</t>
    </r>
    <r>
      <rPr>
        <rFont val="Arial, sans-serif"/>
        <color rgb="FF1155CC"/>
        <sz val="11.0"/>
        <u/>
      </rPr>
      <t>7 oct 2024</t>
    </r>
  </si>
  <si>
    <t>Nuevos precios objetivos para Repsol y Endesa</t>
  </si>
  <si>
    <t>Morgan Stanley ha elevado el precio objetivo de Endesa en un 5,3%, hasta 20 euros, y rebajado el precio objetivo de Repsol hasta 14,2 euros.</t>
  </si>
  <si>
    <t>New target prices for Repsol and Endesa</t>
  </si>
  <si>
    <t>Morgan Stanley has raised Endesa's target price by 5.3%, to 20 euros, and lowered Repsol's target price to 14.2 euros.</t>
  </si>
  <si>
    <t>Repsol, target price, Morgan Stanley</t>
  </si>
  <si>
    <t>Repsol, precio objetivo, Morgan Stanley</t>
  </si>
  <si>
    <t>Slightly negative due to target price cut.</t>
  </si>
  <si>
    <r>
      <rPr>
        <rFont val="Arial, sans-serif"/>
        <color rgb="FF1155CC"/>
        <sz val="9.0"/>
        <u/>
      </rPr>
      <t>Región Digital</t>
    </r>
    <r>
      <rPr>
        <rFont val="Arial, sans-serif"/>
        <color rgb="FF1155CC"/>
        <sz val="15.0"/>
        <u/>
      </rPr>
      <t>UED critica que gestión red electrolineras públicas de Diputación pase a manos de Repsol</t>
    </r>
    <r>
      <rPr>
        <rFont val="Arial, sans-serif"/>
        <color rgb="FF1155CC"/>
        <sz val="11.0"/>
        <u/>
      </rPr>
      <t>La formación considera que este tipo de inversiones con dinero público en la creación de electrolineras deben ser gestionadas por instituciones públicas.</t>
    </r>
    <r>
      <rPr>
        <rFont val="Arial, sans-serif"/>
        <color rgb="FF1155CC"/>
        <sz val="12.0"/>
        <u/>
      </rPr>
      <t>.</t>
    </r>
    <r>
      <rPr>
        <rFont val="Arial, sans-serif"/>
        <color rgb="FF1155CC"/>
        <sz val="11.0"/>
        <u/>
      </rPr>
      <t>7 oct 2024</t>
    </r>
  </si>
  <si>
    <t>UED critica que gestión red electrolineras públicas de Diputación pase a manos de Repsol</t>
  </si>
  <si>
    <t>La formación considera que este tipo de inversiones con dinero público en la creación de electrolineras deben ser gestionadas por instituciones públicas.</t>
  </si>
  <si>
    <t>UED criticizes the fact that the Provincial Council's public electric station network management passes into the hands of Repsol</t>
  </si>
  <si>
    <t>The training considers that this type of investment with public money in the creation of electric stations should be managed by public institutions.</t>
  </si>
  <si>
    <t>Repsol, electric stations, UED</t>
  </si>
  <si>
    <t>Repsol, centrales eléctricas, UED</t>
  </si>
  <si>
    <t>Negative sentiment due to public criticism.</t>
  </si>
  <si>
    <t>critica</t>
  </si>
  <si>
    <t>Controversia política.</t>
  </si>
  <si>
    <r>
      <rPr>
        <rFont val="Arial, sans-serif"/>
        <color rgb="FF1155CC"/>
        <sz val="9.0"/>
        <u/>
      </rPr>
      <t>elconfidencial.com</t>
    </r>
    <r>
      <rPr>
        <rFont val="Arial, sans-serif"/>
        <color rgb="FF1155CC"/>
        <sz val="15.0"/>
        <u/>
      </rPr>
      <t>Repsol responde sobre zona de soporte</t>
    </r>
    <r>
      <rPr>
        <rFont val="Arial, sans-serif"/>
        <color rgb="FF1155CC"/>
        <sz val="11.0"/>
        <u/>
      </rPr>
      <t>Situación de trading: El crudo respira y eso le viene bien a las petroleras. Repsol, que se encontraba sobre un muy importante nivel de soporte técnico,...</t>
    </r>
    <r>
      <rPr>
        <rFont val="Arial, sans-serif"/>
        <color rgb="FF1155CC"/>
        <sz val="12.0"/>
        <u/>
      </rPr>
      <t>.</t>
    </r>
    <r>
      <rPr>
        <rFont val="Arial, sans-serif"/>
        <color rgb="FF1155CC"/>
        <sz val="11.0"/>
        <u/>
      </rPr>
      <t>7 oct 2024</t>
    </r>
  </si>
  <si>
    <t>Repsol responde sobre zona de soporte</t>
  </si>
  <si>
    <t>El crudo respira y eso le viene bien a las petroleras. Repsol, que se encontraba sobre un muy importante nivel de soporte técnico,....</t>
  </si>
  <si>
    <t>Repsol responds about support zone</t>
  </si>
  <si>
    <t>Crude oil breathes and that is good for oil companies. Repsol, which had a very important level of technical support,....</t>
  </si>
  <si>
    <t>Repsol, support zone, crude oil</t>
  </si>
  <si>
    <t>Repsol, zona de apoyo, petróleo crudo</t>
  </si>
  <si>
    <t>Neutral market analysis.</t>
  </si>
  <si>
    <r>
      <rPr>
        <rFont val="Arial, sans-serif"/>
        <color rgb="FF1155CC"/>
        <sz val="9.0"/>
        <u/>
      </rPr>
      <t>MiCiudadReal.es</t>
    </r>
    <r>
      <rPr>
        <rFont val="Arial, sans-serif"/>
        <color rgb="FF1155CC"/>
        <sz val="15.0"/>
        <u/>
      </rPr>
      <t>Trabajadores de Repsol Lubricantes y Asfaltos Puertollano comienzan su huelga indefinida convocando concentraciones y una manifestación esta semana</t>
    </r>
    <r>
      <rPr>
        <rFont val="Arial, sans-serif"/>
        <color rgb="FF1155CC"/>
        <sz val="11.0"/>
        <u/>
      </rPr>
      <t>Trabajadores de Repsol Lubricantes y Asfaltos Puertollano (RLESA) han iniciado este lunes una huelga indefinida, que incluye concentraciones y una...</t>
    </r>
    <r>
      <rPr>
        <rFont val="Arial, sans-serif"/>
        <color rgb="FF1155CC"/>
        <sz val="12.0"/>
        <u/>
      </rPr>
      <t>.</t>
    </r>
    <r>
      <rPr>
        <rFont val="Arial, sans-serif"/>
        <color rgb="FF1155CC"/>
        <sz val="11.0"/>
        <u/>
      </rPr>
      <t>7 oct 2024</t>
    </r>
  </si>
  <si>
    <t>Trabajadores de Repsol Lubricantes y Asfaltos Puertollano comienzan su huelga indefinida convocando concentraciones y una manifestación esta semana</t>
  </si>
  <si>
    <t>Trabajadores de Repsol Lubricantes y Asfaltos Puertollano (RLESA) han iniciado este lunes una huelga indefinida, que incluye concentraciones y una....</t>
  </si>
  <si>
    <t>Repsol Lubricantes y Asfaltos Puertollano workers begin their indefinite strike by calling for rallies and a demonstration this week</t>
  </si>
  <si>
    <t>Workers from Repsol Lubricantes y Asfaltos Puertollano (RLESA) began an indefinite strike this Monday, which includes rallies and a...</t>
  </si>
  <si>
    <t>Labor Issues</t>
  </si>
  <si>
    <t>Repsol, strike, Puertollano</t>
  </si>
  <si>
    <t>Repsol, huelga, Puertollano</t>
  </si>
  <si>
    <t>Negative due to labor unrest.</t>
  </si>
  <si>
    <t>huelga indefinida</t>
  </si>
  <si>
    <t>Conflicto laboral severo.</t>
  </si>
  <si>
    <r>
      <rPr>
        <rFont val="Arial, sans-serif"/>
        <color rgb="FF1155CC"/>
        <sz val="9.0"/>
        <u/>
      </rPr>
      <t>Expansión</t>
    </r>
    <r>
      <rPr>
        <rFont val="Arial, sans-serif"/>
        <color rgb="FF1155CC"/>
        <sz val="15.0"/>
        <u/>
      </rPr>
      <t>Morgan Stanley da energía en el Ibex a Repsol y Endesa</t>
    </r>
    <r>
      <rPr>
        <rFont val="Arial, sans-serif"/>
        <color rgb="FF1155CC"/>
        <sz val="11.0"/>
        <u/>
      </rPr>
      <t>Las empresas más vinculadas con la energía han ganado atractivo bursátil en las últimas semanas, como se ha reflejado en sus cotizaciones.</t>
    </r>
    <r>
      <rPr>
        <rFont val="Arial, sans-serif"/>
        <color rgb="FF1155CC"/>
        <sz val="12.0"/>
        <u/>
      </rPr>
      <t>.</t>
    </r>
    <r>
      <rPr>
        <rFont val="Arial, sans-serif"/>
        <color rgb="FF1155CC"/>
        <sz val="11.0"/>
        <u/>
      </rPr>
      <t>7 oct 2024</t>
    </r>
  </si>
  <si>
    <t>Morgan Stanley da energía en el Ibex a Repsol y Endesa</t>
  </si>
  <si>
    <t>Las empresas más vinculadas con la energía han ganado atractivo bursátil en las últimas semanas, como se ha reflejado en sus cotizaciones.</t>
  </si>
  <si>
    <t>Morgan Stanley gives energy to Repsol and Endesa in the Ibex</t>
  </si>
  <si>
    <t>The companies most closely linked to energy have gained stock market attractiveness in recent weeks, as reflected in their prices.</t>
  </si>
  <si>
    <t>Repsol, Ibex, Morgan Stanley</t>
  </si>
  <si>
    <t>Positive due to stock market gains.</t>
  </si>
  <si>
    <r>
      <rPr>
        <rFont val="Arial, sans-serif"/>
        <color rgb="FF1155CC"/>
        <sz val="9.0"/>
        <u/>
      </rPr>
      <t>Castilla-La Mancha Media</t>
    </r>
    <r>
      <rPr>
        <rFont val="Arial, sans-serif"/>
        <color rgb="FF1155CC"/>
        <sz val="15.0"/>
        <u/>
      </rPr>
      <t>Trabajadores de Repsol Lubricantes y Asfaltos Puertollano, en huelga indefinida desde este lunes</t>
    </r>
    <r>
      <rPr>
        <rFont val="Arial, sans-serif"/>
        <color rgb="FF1155CC"/>
        <sz val="11.0"/>
        <u/>
      </rPr>
      <t>Trabajadores de Repsol Lubricantes y Asfaltos Puertollano (Rlesa) han iniciado este lunes una huelga indefinida, que incluye concentraciones y una...</t>
    </r>
    <r>
      <rPr>
        <rFont val="Arial, sans-serif"/>
        <color rgb="FF1155CC"/>
        <sz val="12.0"/>
        <u/>
      </rPr>
      <t>.</t>
    </r>
    <r>
      <rPr>
        <rFont val="Arial, sans-serif"/>
        <color rgb="FF1155CC"/>
        <sz val="11.0"/>
        <u/>
      </rPr>
      <t>7 oct 2024</t>
    </r>
  </si>
  <si>
    <t>Trabajadores de Repsol Lubricantes y Asfaltos Puertollano, en huelga indefinida desde este lunes</t>
  </si>
  <si>
    <t>Trabajadores de Repsol Lubricantes y Asfaltos Puertollano (Rlesa) han iniciado este lunes una huelga indefinida, que incluye concentraciones y una....</t>
  </si>
  <si>
    <t>Repsol Lubricantes y Asfaltos Puertollano workers, on indefinite strike since this Monday</t>
  </si>
  <si>
    <t>Workers from Repsol Lubricantes y Asfaltos Puertollano (Rlesa) have started an indefinite strike this Monday, which includes rallies and a...</t>
  </si>
  <si>
    <t>Repsol, Puertollano, strike</t>
  </si>
  <si>
    <t>Repsol, Puertollano, huelga</t>
  </si>
  <si>
    <t>Negative sentiment due to labor strikes.</t>
  </si>
  <si>
    <t>Impacto operativo negativo.</t>
  </si>
  <si>
    <r>
      <rPr>
        <rFont val="Arial, sans-serif"/>
        <color rgb="FF1155CC"/>
        <sz val="9.0"/>
        <u/>
      </rPr>
      <t>FormulaRapida.net</t>
    </r>
    <r>
      <rPr>
        <rFont val="Arial, sans-serif"/>
        <color rgb="FF1155CC"/>
        <sz val="15.0"/>
        <u/>
      </rPr>
      <t>Repsol resume cinco décadas en el mundo de las dos ruedas en el Museo de la Moto ‘Made in Spain’</t>
    </r>
    <r>
      <rPr>
        <rFont val="Arial, sans-serif"/>
        <color rgb="FF1155CC"/>
        <sz val="11.0"/>
        <u/>
      </rPr>
      <t>El museo, situado en Alcalá de Henares, reunirá algunas de las motos más exitosas que ha patrocinado Repsol durante más de cinco décadas.</t>
    </r>
    <r>
      <rPr>
        <rFont val="Arial, sans-serif"/>
        <color rgb="FF1155CC"/>
        <sz val="12.0"/>
        <u/>
      </rPr>
      <t>.</t>
    </r>
    <r>
      <rPr>
        <rFont val="Arial, sans-serif"/>
        <color rgb="FF1155CC"/>
        <sz val="11.0"/>
        <u/>
      </rPr>
      <t>7 oct 2024</t>
    </r>
  </si>
  <si>
    <t>FormulaRapida.net</t>
  </si>
  <si>
    <t>Repsol resume cinco décadas en el mundo de las dos ruedas en el Museo de la Moto ‘Made in Spain’</t>
  </si>
  <si>
    <t>El museo, situado en Alcalá de Henares, reunirá algunas de las motos más exitosas que ha patrocinado Repsol durante más de cinco décadas.</t>
  </si>
  <si>
    <t>Repsol summarizes five decades in the world of two wheels at the 'Made in Spain' Motorcycle Museum</t>
  </si>
  <si>
    <t>The museum, located in Alcalá de Henares, will bring together some of the most successful motorcycles that Repsol has sponsored for more than five decades.</t>
  </si>
  <si>
    <r>
      <rPr>
        <rFont val="Arial, sans-serif"/>
        <color rgb="FF1155CC"/>
        <sz val="9.0"/>
        <u/>
      </rPr>
      <t>Guía Repsol</t>
    </r>
    <r>
      <rPr>
        <rFont val="Arial, sans-serif"/>
        <color rgb="FF1155CC"/>
        <sz val="15.0"/>
        <u/>
      </rPr>
      <t>Así se elabora la trenza de Almudévar (Pastelería Tolosana, Huesca)</t>
    </r>
    <r>
      <rPr>
        <rFont val="Arial, sans-serif"/>
        <color rgb="FF1155CC"/>
        <sz val="11.0"/>
        <u/>
      </rPr>
      <t>La trenza de Almudévar forma parte de ese catálogo de postres que son raíz, historia de un territorio y de sus gentes, en este caso Huesca.</t>
    </r>
    <r>
      <rPr>
        <rFont val="Arial, sans-serif"/>
        <color rgb="FF1155CC"/>
        <sz val="12.0"/>
        <u/>
      </rPr>
      <t>.</t>
    </r>
    <r>
      <rPr>
        <rFont val="Arial, sans-serif"/>
        <color rgb="FF1155CC"/>
        <sz val="11.0"/>
        <u/>
      </rPr>
      <t>7 oct 2024</t>
    </r>
  </si>
  <si>
    <t>Así se elabora la trenza de Almudévar (Pastelería Tolosana, Huesca)</t>
  </si>
  <si>
    <t>La trenza de Almudévar forma parte de ese catálogo de postres que son raíz, historia de un territorio y de sus gentes, en este caso Huesca.</t>
  </si>
  <si>
    <t>This is how the Almudévar braid is made (Pastelería Tolosana, Huesca)</t>
  </si>
  <si>
    <t>The Almudévar braid is part of that catalog of desserts that are the root, history of a territory and its people, in this case Huesca.</t>
  </si>
  <si>
    <r>
      <rPr>
        <rFont val="Arial, sans-serif"/>
        <color rgb="FF1155CC"/>
        <sz val="9.0"/>
        <u/>
      </rPr>
      <t>La Razón</t>
    </r>
    <r>
      <rPr>
        <rFont val="Arial, sans-serif"/>
        <color rgb="FF1155CC"/>
        <sz val="15.0"/>
        <u/>
      </rPr>
      <t>El aceite usado de cocina también se recogerá en las gasolineras de Repsol</t>
    </r>
    <r>
      <rPr>
        <rFont val="Arial, sans-serif"/>
        <color rgb="FF1155CC"/>
        <sz val="11.0"/>
        <u/>
      </rPr>
      <t>La Juna impulsa su recogida y reutilización en las estaciones de servicio mientras mantiene los contenedores en las calles así como puerta a puerta para...</t>
    </r>
    <r>
      <rPr>
        <rFont val="Arial, sans-serif"/>
        <color rgb="FF1155CC"/>
        <sz val="12.0"/>
        <u/>
      </rPr>
      <t>.</t>
    </r>
    <r>
      <rPr>
        <rFont val="Arial, sans-serif"/>
        <color rgb="FF1155CC"/>
        <sz val="11.0"/>
        <u/>
      </rPr>
      <t>7 oct 2024</t>
    </r>
  </si>
  <si>
    <t>El aceite usado de cocina también se recogerá en las gasolineras de Repsol</t>
  </si>
  <si>
    <t>La Juna impulsa su recogida y reutilización en las estaciones de servicio mientras mantiene los contenedores en las calles así como puerta a puerta para....</t>
  </si>
  <si>
    <t>Used cooking oil will also be collected at Repsol gas stations</t>
  </si>
  <si>
    <t>Juna promotes their collection and reuse at service stations while keeping containers on the streets as well as door to door to...</t>
  </si>
  <si>
    <t>Repsol, oil recycling, sustainability</t>
  </si>
  <si>
    <t>Repsol, reciclado de petróleo, sostenibilidad</t>
  </si>
  <si>
    <t>Positive due to Repsol’s sustainability efforts.</t>
  </si>
  <si>
    <t>reciclaje, "sostenibilidad"</t>
  </si>
  <si>
    <t>Iniciativa ecológica positiva.</t>
  </si>
  <si>
    <r>
      <rPr>
        <rFont val="Arial, sans-serif"/>
        <color rgb="FF1155CC"/>
        <sz val="9.0"/>
        <u/>
      </rPr>
      <t>Estrategias de Inversión</t>
    </r>
    <r>
      <rPr>
        <rFont val="Arial, sans-serif"/>
        <color rgb="FF1155CC"/>
        <sz val="15.0"/>
        <u/>
      </rPr>
      <t>Morgan Stanley recorta el potencial de la petrolera Repsol y aumenta el de Endesa</t>
    </r>
    <r>
      <rPr>
        <rFont val="Arial, sans-serif"/>
        <color rgb="FF1155CC"/>
        <sz val="11.0"/>
        <u/>
      </rPr>
      <t>Los analistas de Morgan Stanley le recortan el precio objetivo de Repsol hasta los 14,20 euros y suben el de Endesa hasta los 20 euros.</t>
    </r>
    <r>
      <rPr>
        <rFont val="Arial, sans-serif"/>
        <color rgb="FF1155CC"/>
        <sz val="12.0"/>
        <u/>
      </rPr>
      <t>.</t>
    </r>
    <r>
      <rPr>
        <rFont val="Arial, sans-serif"/>
        <color rgb="FF1155CC"/>
        <sz val="11.0"/>
        <u/>
      </rPr>
      <t>7 oct 2024</t>
    </r>
  </si>
  <si>
    <t>Morgan Stanley recorta el potencial de la petrolera Repsol y aumenta el de Endesa</t>
  </si>
  <si>
    <t>Los analistas de Morgan Stanley le recortan el precio objetivo de Repsol hasta los 14,20 euros y suben el de Endesa hasta los 20 euros.</t>
  </si>
  <si>
    <t>Morgan Stanley cuts the potential of the oil company Repsol and increases that of Endesa</t>
  </si>
  <si>
    <t>Morgan Stanley analysts cut Repsol's target price to 14.20 euros and raised Endesa's to 20 euros.</t>
  </si>
  <si>
    <t>Repsol, Morgan Stanley, Endesa</t>
  </si>
  <si>
    <t>Slightly negative due to lowered stock potential.</t>
  </si>
  <si>
    <t>recorta potencial</t>
  </si>
  <si>
    <t>Perspectiva financiera negativa.</t>
  </si>
  <si>
    <r>
      <rPr>
        <rFont val="Arial, sans-serif"/>
        <color rgb="FF1155CC"/>
        <sz val="9.0"/>
        <u/>
      </rPr>
      <t>Repsol</t>
    </r>
    <r>
      <rPr>
        <rFont val="Arial, sans-serif"/>
        <color rgb="FF1155CC"/>
        <sz val="15.0"/>
        <u/>
      </rPr>
      <t>Las 12 mejores bicicletas eléctricas del mercado</t>
    </r>
    <r>
      <rPr>
        <rFont val="Arial, sans-serif"/>
        <color rgb="FF1155CC"/>
        <sz val="11.0"/>
        <u/>
      </rPr>
      <t>En este post encontrarás una comparativa de las mejores bicicletas eléctricas para que elijas la que más se adapta a tus necesidades, ¡haz clic!</t>
    </r>
    <r>
      <rPr>
        <rFont val="Arial, sans-serif"/>
        <color rgb="FF1155CC"/>
        <sz val="12.0"/>
        <u/>
      </rPr>
      <t>.</t>
    </r>
    <r>
      <rPr>
        <rFont val="Arial, sans-serif"/>
        <color rgb="FF1155CC"/>
        <sz val="11.0"/>
        <u/>
      </rPr>
      <t>7 oct 2024</t>
    </r>
  </si>
  <si>
    <t>Las 12 mejores bicicletas eléctricas del mercado</t>
  </si>
  <si>
    <t>En este post encontrarás una comparativa de las mejores bicicletas eléctricas para que elijas la que más se adapta a tus necesidades, ¡haz clic!.</t>
  </si>
  <si>
    <t>The 12 best electric bicycles on the market</t>
  </si>
  <si>
    <t>In this post you will find a comparison of the best electric bicycles so you can choose the one that best suits your needs, click!</t>
  </si>
  <si>
    <r>
      <rPr>
        <rFont val="Arial, sans-serif"/>
        <color rgb="FF1155CC"/>
        <sz val="9.0"/>
        <u/>
      </rPr>
      <t>Cadena SER</t>
    </r>
    <r>
      <rPr>
        <rFont val="Arial, sans-serif"/>
        <color rgb="FF1155CC"/>
        <sz val="15.0"/>
        <u/>
      </rPr>
      <t>Comienza la huelga indefinida en Rlesa Puertollano con seguimiento masivo y sin servicios mínimos</t>
    </r>
    <r>
      <rPr>
        <rFont val="Arial, sans-serif"/>
        <color rgb="FF1155CC"/>
        <sz val="11.0"/>
        <u/>
      </rPr>
      <t>La representación sindical pide, entre otras cosas, que los trabajadores cobren el Plus de entrada al complejo que perciben todos los empleados de Repsol y...</t>
    </r>
    <r>
      <rPr>
        <rFont val="Arial, sans-serif"/>
        <color rgb="FF1155CC"/>
        <sz val="12.0"/>
        <u/>
      </rPr>
      <t>.</t>
    </r>
    <r>
      <rPr>
        <rFont val="Arial, sans-serif"/>
        <color rgb="FF1155CC"/>
        <sz val="11.0"/>
        <u/>
      </rPr>
      <t>7 oct 2024</t>
    </r>
  </si>
  <si>
    <t>Comienza la huelga indefinida en Rlesa Puertollano con seguimiento masivo y sin servicios mínimos</t>
  </si>
  <si>
    <t>La representación sindical pide, entre otras cosas, que los trabajadores cobren el Plus de entrada al complejo que perciben todos los empleados de Repsol y....</t>
  </si>
  <si>
    <t>The indefinite strike begins in Rlesa Puertollano with massive monitoring and without minimum services</t>
  </si>
  <si>
    <t>The union representation requests, among other things, that the workers receive the entrance fee to the complex that all Repsol employees receive and...</t>
  </si>
  <si>
    <t>Negative impact due to labor strike.</t>
  </si>
  <si>
    <t>Crisis laboral crítica.</t>
  </si>
  <si>
    <r>
      <rPr>
        <rFont val="Arial, sans-serif"/>
        <color rgb="FF1155CC"/>
        <sz val="9.0"/>
        <u/>
      </rPr>
      <t>El Español</t>
    </r>
    <r>
      <rPr>
        <rFont val="Arial, sans-serif"/>
        <color rgb="FF1155CC"/>
        <sz val="15.0"/>
        <u/>
      </rPr>
      <t>Castilla y León contará con 125 nuevos contenedores para recogida de aceite de cocina: aquí estarán</t>
    </r>
    <r>
      <rPr>
        <rFont val="Arial, sans-serif"/>
        <color rgb="FF1155CC"/>
        <sz val="11.0"/>
        <u/>
      </rPr>
      <t>Repsol se encargará de la logística, incluyendo la recogida, filtrado y decantado del aceite, a través de un gestor autorizado de la Comunidad.</t>
    </r>
    <r>
      <rPr>
        <rFont val="Arial, sans-serif"/>
        <color rgb="FF1155CC"/>
        <sz val="12.0"/>
        <u/>
      </rPr>
      <t>.</t>
    </r>
    <r>
      <rPr>
        <rFont val="Arial, sans-serif"/>
        <color rgb="FF1155CC"/>
        <sz val="11.0"/>
        <u/>
      </rPr>
      <t>7 oct 2024</t>
    </r>
  </si>
  <si>
    <t>Castilla y León contará con 125 nuevos contenedores para recogida de aceite de cocina: aquí estarán</t>
  </si>
  <si>
    <t>Repsol se encargará de la logística, incluyendo la recogida, filtrado y decantado del aceite, a través de un gestor autorizado de la Comunidad.</t>
  </si>
  <si>
    <t>Castilla y León will have 125 new containers for collecting cooking oil: here they will be</t>
  </si>
  <si>
    <t>Repsol will be in charge of the logistics, including the collection, filtering and decanting of the oil, through an authorized manager of the Community.</t>
  </si>
  <si>
    <t>Positive due to sustainability initiative.</t>
  </si>
  <si>
    <t>Not directly related to Repsol's core operations.</t>
  </si>
  <si>
    <t>No directamente relacionado con las operaciones principales de Repsol.</t>
  </si>
  <si>
    <r>
      <rPr>
        <rFont val="Arial, sans-serif"/>
        <color rgb="FF1155CC"/>
        <sz val="9.0"/>
        <u/>
      </rPr>
      <t>Expansión</t>
    </r>
    <r>
      <rPr>
        <rFont val="Arial, sans-serif"/>
        <color rgb="FF1155CC"/>
        <sz val="15.0"/>
        <u/>
      </rPr>
      <t>Repsol ha encontrado un suelo firme</t>
    </r>
    <r>
      <rPr>
        <rFont val="Arial, sans-serif"/>
        <color rgb="FF1155CC"/>
        <sz val="11.0"/>
        <u/>
      </rPr>
      <t>Como se puede ver en el gráfico semanal de la petrolera el valor parece haber encontrado un suelo de mercado consistente desde el que, al menos,...</t>
    </r>
    <r>
      <rPr>
        <rFont val="Arial, sans-serif"/>
        <color rgb="FF1155CC"/>
        <sz val="12.0"/>
        <u/>
      </rPr>
      <t>.</t>
    </r>
    <r>
      <rPr>
        <rFont val="Arial, sans-serif"/>
        <color rgb="FF1155CC"/>
        <sz val="11.0"/>
        <u/>
      </rPr>
      <t>7 oct 2024</t>
    </r>
  </si>
  <si>
    <t>Repsol ha encontrado un suelo firme</t>
  </si>
  <si>
    <t>Como se puede ver en el gráfico semanal de la petrolera el valor parece haber encontrado un suelo de mercado consistente desde el que, al menos,....</t>
  </si>
  <si>
    <t>Repsol has found firm ground</t>
  </si>
  <si>
    <t>As can be seen in the weekly chart of the oil company, the value seems to have found a consistent market floor from which, at least,...</t>
  </si>
  <si>
    <t>Repsol, stock, market floor</t>
  </si>
  <si>
    <t>Repsol, stock, piso de mercado</t>
  </si>
  <si>
    <t>Neutral financial assessment.</t>
  </si>
  <si>
    <t>Neutral financial update, no strong sentiment.</t>
  </si>
  <si>
    <t>Actualización financiera neutral, sin sentimiento fuerte.</t>
  </si>
  <si>
    <r>
      <rPr>
        <rFont val="Arial, sans-serif"/>
        <color rgb="FF1155CC"/>
        <sz val="9.0"/>
        <u/>
      </rPr>
      <t>Gestión</t>
    </r>
    <r>
      <rPr>
        <rFont val="Arial, sans-serif"/>
        <color rgb="FF1155CC"/>
        <sz val="15.0"/>
        <u/>
      </rPr>
      <t>Más del 50% del Río Chillón presenta problemas serios de contaminación</t>
    </r>
    <r>
      <rPr>
        <rFont val="Arial, sans-serif"/>
        <color rgb="FF1155CC"/>
        <sz val="11.0"/>
        <u/>
      </rPr>
      <t>Las áreas más afectadas se localizan en los distritos Carabayllo, Comas, Los Olivos, San Martín de Porres y Santa Rosa de Quives.</t>
    </r>
    <r>
      <rPr>
        <rFont val="Arial, sans-serif"/>
        <color rgb="FF1155CC"/>
        <sz val="12.0"/>
        <u/>
      </rPr>
      <t>.</t>
    </r>
    <r>
      <rPr>
        <rFont val="Arial, sans-serif"/>
        <color rgb="FF1155CC"/>
        <sz val="11.0"/>
        <u/>
      </rPr>
      <t>7 oct 2024</t>
    </r>
  </si>
  <si>
    <t>Más del 50% del Río Chillón presenta problemas serios de contaminación</t>
  </si>
  <si>
    <t>Más del 50% del Río Chillón presenta problemas serios de contaminación. Las áreas más afectadas se localizan en los distritos Carabayllo, Comas, Los Olivos, San Martín de Porres y Santa Rosa de Quives.</t>
  </si>
  <si>
    <t>More than 50% of the Chillón River has serious pollution problems</t>
  </si>
  <si>
    <t>More than 50% of the Chillón River has serious pollution problems. The most affected areas are located in the Carabayllo, Comas, Los Olivos, San Martín de Porres and Santa Rosa de Quives districts.</t>
  </si>
  <si>
    <r>
      <rPr>
        <rFont val="Arial, sans-serif"/>
        <color rgb="FF1155CC"/>
        <sz val="9.0"/>
        <u/>
      </rPr>
      <t>SoyMotor.com</t>
    </r>
    <r>
      <rPr>
        <rFont val="Arial, sans-serif"/>
        <color rgb="FF1155CC"/>
        <sz val="15.0"/>
        <u/>
      </rPr>
      <t>¿Combustibles renovables? Probamos el Diesel de Repsol hecho con aceites reciclados</t>
    </r>
    <r>
      <rPr>
        <rFont val="Arial, sans-serif"/>
        <color rgb="FF1155CC"/>
        <sz val="11.0"/>
        <u/>
      </rPr>
      <t>Repsol está promocionando los combustibles renovables. Así que, como cada vez nos preguntan más sobre ellos, decidimos llamar a su departamento de prensa y,...</t>
    </r>
    <r>
      <rPr>
        <rFont val="Arial, sans-serif"/>
        <color rgb="FF1155CC"/>
        <sz val="12.0"/>
        <u/>
      </rPr>
      <t>.</t>
    </r>
    <r>
      <rPr>
        <rFont val="Arial, sans-serif"/>
        <color rgb="FF1155CC"/>
        <sz val="11.0"/>
        <u/>
      </rPr>
      <t>8 oct 2024</t>
    </r>
  </si>
  <si>
    <t>SoyMotor.com</t>
  </si>
  <si>
    <t>¿Combustibles renovables? Probamos el Diesel de Repsol hecho con aceites reciclados</t>
  </si>
  <si>
    <t>Repsol está promocionando los combustibles renovables. Así que, como cada vez nos preguntan más sobre ellos, decidimos llamar a su departamento de prensa y,...</t>
  </si>
  <si>
    <t>Renewable fuels? We tested Repsol Diesel made with recycled oils</t>
  </si>
  <si>
    <t>Repsol is promoting renewable fuels. So, as they ask us more and more about them, we decided to call their press department and...</t>
  </si>
  <si>
    <t>Repsol, renewable fuels, sustainability</t>
  </si>
  <si>
    <t>Repsol, combustibles renovables, sostenibilidad</t>
  </si>
  <si>
    <t>combustibles renovables, reciclados</t>
  </si>
  <si>
    <t>Positive focus on renewable initiatives.</t>
  </si>
  <si>
    <t>Enfoque positivo en iniciativas renovables.</t>
  </si>
  <si>
    <r>
      <rPr>
        <rFont val="Arial, sans-serif"/>
        <color rgb="FF1155CC"/>
        <sz val="9.0"/>
        <u/>
      </rPr>
      <t>El Periódico de la Energía</t>
    </r>
    <r>
      <rPr>
        <rFont val="Arial, sans-serif"/>
        <color rgb="FF1155CC"/>
        <sz val="15.0"/>
        <u/>
      </rPr>
      <t>Repsol critica los objetivos del PNIEC por ser "tecnológicamente inviables"</t>
    </r>
    <r>
      <rPr>
        <rFont val="Arial, sans-serif"/>
        <color rgb="FF1155CC"/>
        <sz val="11.0"/>
        <u/>
      </rPr>
      <t>El presidente de Repsol ha criticado los objetivos del recién actualizado Plan Nacional Integrado de Energía y Clima (PNIEC) por ser "tecnológicamente...</t>
    </r>
    <r>
      <rPr>
        <rFont val="Arial, sans-serif"/>
        <color rgb="FF1155CC"/>
        <sz val="12.0"/>
        <u/>
      </rPr>
      <t>.</t>
    </r>
    <r>
      <rPr>
        <rFont val="Arial, sans-serif"/>
        <color rgb="FF1155CC"/>
        <sz val="11.0"/>
        <u/>
      </rPr>
      <t>8 oct 2024</t>
    </r>
  </si>
  <si>
    <t>Repsol critica los objetivos del PNIEC por ser "tecnológicamente inviables"</t>
  </si>
  <si>
    <t>El presidente de Repsol ha criticado los objetivos del recién actualizado Plan Nacional Integrado de Energía y Clima (PNIEC) por ser "tecnológicamente inviables".</t>
  </si>
  <si>
    <t>Repsol criticizes the objectives of the PNIEC for being "technologically unfeasible"</t>
  </si>
  <si>
    <t>The president of Repsol has criticized the objectives of the recently updated National Integrated Energy and Climate Plan (PNIEC) for being "technologically unfeasible."</t>
  </si>
  <si>
    <t>Repsol, PNIEC, technology</t>
  </si>
  <si>
    <t>Repsol, PNIEC, tecnología</t>
  </si>
  <si>
    <t>Negative due to opposition to environmental regulations.</t>
  </si>
  <si>
    <t>critica, inviables</t>
  </si>
  <si>
    <t>Negative stance on policy, potential reputational risk.</t>
  </si>
  <si>
    <t>Postura negativa sobre la política, riesgo potencial para la reputación.</t>
  </si>
  <si>
    <r>
      <rPr>
        <rFont val="Arial, sans-serif"/>
        <color rgb="FF1155CC"/>
        <sz val="9.0"/>
        <u/>
      </rPr>
      <t>Ideal</t>
    </r>
    <r>
      <rPr>
        <rFont val="Arial, sans-serif"/>
        <color rgb="FF1155CC"/>
        <sz val="15.0"/>
        <u/>
      </rPr>
      <t>Repsol anuncia el precio actualizado de sus bombonas de butano</t>
    </r>
    <r>
      <rPr>
        <rFont val="Arial, sans-serif"/>
        <color rgb="FF1155CC"/>
        <sz val="11.0"/>
        <u/>
      </rPr>
      <t>Las bombonas de Butano 12,5 kg y Propano 11 kg tienen un precio regulado por la Administración que se actualiza el tercer martes de los meses impares.</t>
    </r>
    <r>
      <rPr>
        <rFont val="Arial, sans-serif"/>
        <color rgb="FF1155CC"/>
        <sz val="12.0"/>
        <u/>
      </rPr>
      <t>.</t>
    </r>
    <r>
      <rPr>
        <rFont val="Arial, sans-serif"/>
        <color rgb="FF1155CC"/>
        <sz val="11.0"/>
        <u/>
      </rPr>
      <t>8 oct 2024</t>
    </r>
  </si>
  <si>
    <t>Repsol anuncia el precio actualizado de sus bombonas de butano</t>
  </si>
  <si>
    <t>Las bombonas de Butano 12,5 kg y Propano 11 kg tienen un precio regulado por la Administración que se actualiza el tercer martes de los meses impares.</t>
  </si>
  <si>
    <t>Repsol announces the updated price of its butane cylinders</t>
  </si>
  <si>
    <t>The 12.5 kg Butane and 11 kg Propane cylinders have a price regulated by the Administration that is updated on the third Tuesday of odd-numbered months.</t>
  </si>
  <si>
    <t>Neutral business update.</t>
  </si>
  <si>
    <r>
      <rPr>
        <rFont val="Arial, sans-serif"/>
        <color rgb="FF1155CC"/>
        <sz val="9.0"/>
        <u/>
      </rPr>
      <t>Málaga Hoy</t>
    </r>
    <r>
      <rPr>
        <rFont val="Arial, sans-serif"/>
        <color rgb="FF1155CC"/>
        <sz val="15.0"/>
        <u/>
      </rPr>
      <t>Urbania gana tiempo en la venta de las torres de Repsol de Málaga: recurre el pago del aval exigido por el Ayuntamiento</t>
    </r>
    <r>
      <rPr>
        <rFont val="Arial, sans-serif"/>
        <color rgb="FF1155CC"/>
        <sz val="11.0"/>
        <u/>
      </rPr>
      <t>Málaga/Más de un año ha pasado ya desde que el Ayuntamiento de Málaga adjudicase la venta de los terrenos de Repsol a Urbania, la única firma que quedó en...</t>
    </r>
    <r>
      <rPr>
        <rFont val="Arial, sans-serif"/>
        <color rgb="FF1155CC"/>
        <sz val="12.0"/>
        <u/>
      </rPr>
      <t>.</t>
    </r>
    <r>
      <rPr>
        <rFont val="Arial, sans-serif"/>
        <color rgb="FF1155CC"/>
        <sz val="11.0"/>
        <u/>
      </rPr>
      <t>8 oct 2024</t>
    </r>
  </si>
  <si>
    <t>Urbania gana tiempo en la venta de las torres de Repsol de Málaga: recurre el pago del aval exigido por el Ayuntamiento</t>
  </si>
  <si>
    <t>Más de un año ha pasado ya desde que el Ayuntamiento de Málaga adjudicase la venta de los terrenos de Repsol a Urbania, la única firma que quedó en....</t>
  </si>
  <si>
    <t>Urbania wins time in the sale of the Repsol towers in Malaga: it appeals the payment of the guarantee required by the City Council</t>
  </si>
  <si>
    <t>More than a year has passed since the Malaga City Council awarded the sale of the Repsol land to Urbania, the only firm left in...</t>
  </si>
  <si>
    <r>
      <rPr>
        <rFont val="Arial, sans-serif"/>
        <color rgb="FF1155CC"/>
        <sz val="9.0"/>
        <u/>
      </rPr>
      <t>heraldo.es</t>
    </r>
    <r>
      <rPr>
        <rFont val="Arial, sans-serif"/>
        <color rgb="FF1155CC"/>
        <sz val="15.0"/>
        <u/>
      </rPr>
      <t>Los bares con Soletes Repsol para comer en las Fiestas del Pilar de Zaragoza</t>
    </r>
    <r>
      <rPr>
        <rFont val="Arial, sans-serif"/>
        <color rgb="FF1155CC"/>
        <sz val="11.0"/>
        <u/>
      </rPr>
      <t>Estos restaurantes de la capital aragonesa todavía no han alcanzado el Sol Repsol, pero la Guía Repsol los recomienda para disfrutar de una buena comida...</t>
    </r>
    <r>
      <rPr>
        <rFont val="Arial, sans-serif"/>
        <color rgb="FF1155CC"/>
        <sz val="12.0"/>
        <u/>
      </rPr>
      <t>.</t>
    </r>
    <r>
      <rPr>
        <rFont val="Arial, sans-serif"/>
        <color rgb="FF1155CC"/>
        <sz val="11.0"/>
        <u/>
      </rPr>
      <t>8 oct 2024</t>
    </r>
  </si>
  <si>
    <t>Los bares con Soletes Repsol para comer en las Fiestas del Pilar de Zaragoza</t>
  </si>
  <si>
    <t>Estos restaurantes de la capital aragonesa todavía no han alcanzado el Sol Repsol, pero la Guía Repsol los recomienda para disfrutar de una buena comida.</t>
  </si>
  <si>
    <t>The bars with Soletes Repsol to eat at the Pilar Festival in Zaragoza</t>
  </si>
  <si>
    <t>These restaurants in the Aragonese capital have not yet achieved the Sol Repsol, but the Repsol Guide recommends them to enjoy a good meal.</t>
  </si>
  <si>
    <r>
      <rPr>
        <rFont val="Arial, sans-serif"/>
        <color rgb="FF1155CC"/>
        <sz val="9.0"/>
        <u/>
      </rPr>
      <t>Diario Sur</t>
    </r>
    <r>
      <rPr>
        <rFont val="Arial, sans-serif"/>
        <color rgb="FF1155CC"/>
        <sz val="15.0"/>
        <u/>
      </rPr>
      <t>Giro de última hora en las torres de Repsol: la única promotora candidata mueve ficha</t>
    </r>
    <r>
      <rPr>
        <rFont val="Arial, sans-serif"/>
        <color rgb="FF1155CC"/>
        <sz val="11.0"/>
        <u/>
      </rPr>
      <t>Urbania recurre el requerimiento de Urbanismo para pagar una garantía de 2,7 millones de euros ante la inseguridad jurídica que rodea al proyecto.</t>
    </r>
    <r>
      <rPr>
        <rFont val="Arial, sans-serif"/>
        <color rgb="FF1155CC"/>
        <sz val="12.0"/>
        <u/>
      </rPr>
      <t>.</t>
    </r>
    <r>
      <rPr>
        <rFont val="Arial, sans-serif"/>
        <color rgb="FF1155CC"/>
        <sz val="11.0"/>
        <u/>
      </rPr>
      <t>8 oct 2024</t>
    </r>
  </si>
  <si>
    <t>Giro de última hora en las torres de Repsol: la única promotora candidata mueve ficha</t>
  </si>
  <si>
    <t>Urbania recurre el requerimiento de Urbanismo para pagar una garantía de 2,7 millones de euros ante la inseguridad jurídica que rodea al proyecto.</t>
  </si>
  <si>
    <t>Last-minute turnaround in the Repsol towers: the only candidate promoter makes a move</t>
  </si>
  <si>
    <t>Urbania appeals the Urban Planning requirement to pay a guarantee of 2.7 million euros due to the legal uncertainty surrounding the project.</t>
  </si>
  <si>
    <r>
      <rPr>
        <rFont val="Arial, sans-serif"/>
        <color rgb="FF1155CC"/>
        <sz val="9.0"/>
        <u/>
      </rPr>
      <t>El Español</t>
    </r>
    <r>
      <rPr>
        <rFont val="Arial, sans-serif"/>
        <color rgb="FF1155CC"/>
        <sz val="15.0"/>
        <u/>
      </rPr>
      <t>La quiebra de la mayor contrata de Repsol en Puertollano deja un agujero de 1,1 millones de euros a 26 empresas</t>
    </r>
    <r>
      <rPr>
        <rFont val="Arial, sans-serif"/>
        <color rgb="FF1155CC"/>
        <sz val="11.0"/>
        <u/>
      </rPr>
      <t>La entrada en concurso de acreedores de Navec afecta a más de 1.500 trabajadores en la comarca. Más información: Repsol parará su planta de Puertollano e...</t>
    </r>
    <r>
      <rPr>
        <rFont val="Arial, sans-serif"/>
        <color rgb="FF1155CC"/>
        <sz val="12.0"/>
        <u/>
      </rPr>
      <t>.</t>
    </r>
    <r>
      <rPr>
        <rFont val="Arial, sans-serif"/>
        <color rgb="FF1155CC"/>
        <sz val="11.0"/>
        <u/>
      </rPr>
      <t>8 oct 2024</t>
    </r>
  </si>
  <si>
    <t>La quiebra de la mayor contrata de Repsol en Puertollano deja un agujero de 1,1 millones de euros a 26 empresas</t>
  </si>
  <si>
    <t>La entrada en concurso de acreedores de Navec afecta a más de 1.500 trabajadores en la comarca. Más información: Repsol parará su planta de Puertollano e....</t>
  </si>
  <si>
    <t>The bankruptcy of Repsol's largest contract in Puertollano leaves a hole of 1.1 million euros for 26 companies</t>
  </si>
  <si>
    <t>Navec's entry into bankruptcy affects more than 1,500 workers in the region. More information: Repsol will stop its Puertollano plant and....</t>
  </si>
  <si>
    <t>Repsol, bankruptcy, Puertollano</t>
  </si>
  <si>
    <t>Repsol, quiebra, Puertollano</t>
  </si>
  <si>
    <t>Strongly negative due to financial and employment impact.</t>
  </si>
  <si>
    <t>quiebra, agujero</t>
  </si>
  <si>
    <t>Negative financial and operational impact.</t>
  </si>
  <si>
    <t>Impacto financiero y operativo negativo.</t>
  </si>
  <si>
    <r>
      <rPr>
        <rFont val="Arial, sans-serif"/>
        <color rgb="FF1155CC"/>
        <sz val="9.0"/>
        <u/>
      </rPr>
      <t>Repsol</t>
    </r>
    <r>
      <rPr>
        <rFont val="Arial, sans-serif"/>
        <color rgb="FF1155CC"/>
        <sz val="15.0"/>
        <u/>
      </rPr>
      <t>Promoción tarifa coche eléctrico ➤ 300€ de ahorro en tu factura</t>
    </r>
    <r>
      <rPr>
        <rFont val="Arial, sans-serif"/>
        <color rgb="FF1155CC"/>
        <sz val="11.0"/>
        <u/>
      </rPr>
      <t>No esperes para hacerte con la promoción de tarifa de coche eléctrico disponible y ahorra 300€ en tu factura de la luz y 120€ en saldo Waylet. ¡Descúbrela!</t>
    </r>
    <r>
      <rPr>
        <rFont val="Arial, sans-serif"/>
        <color rgb="FF1155CC"/>
        <sz val="12.0"/>
        <u/>
      </rPr>
      <t>.</t>
    </r>
    <r>
      <rPr>
        <rFont val="Arial, sans-serif"/>
        <color rgb="FF1155CC"/>
        <sz val="11.0"/>
        <u/>
      </rPr>
      <t>8 oct 2024</t>
    </r>
  </si>
  <si>
    <t>Promoción tarifa coche eléctrico ➤ 300€ de ahorro en tu factura</t>
  </si>
  <si>
    <t>No esperes para hacerte con la promoción de tarifa de coche eléctrico disponible y ahorra 300€ en tu factura de la luz y 120€ en saldo Waylet. ¡Descúbrela!</t>
  </si>
  <si>
    <t>Electric car rate promotion ➤ €300 savings on your bill</t>
  </si>
  <si>
    <t>Don't wait to get the electric car rate promotion available and save €300 on your electricity bill and €120 on Waylet balance. Discover it!</t>
  </si>
  <si>
    <t>Repsol, Waylet, electricity savings</t>
  </si>
  <si>
    <t>Repsol, Waylet, ahorro eléctrico</t>
  </si>
  <si>
    <t>Unrelated to Repsol’s core business.</t>
  </si>
  <si>
    <t>Unrelated to Repsol's core business.</t>
  </si>
  <si>
    <t>Sin relación con el negocio principal de Repsol.</t>
  </si>
  <si>
    <r>
      <rPr>
        <rFont val="Arial, sans-serif"/>
        <color rgb="FF1155CC"/>
        <sz val="9.0"/>
        <u/>
      </rPr>
      <t>El Economista</t>
    </r>
    <r>
      <rPr>
        <rFont val="Arial, sans-serif"/>
        <color rgb="FF1155CC"/>
        <sz val="15.0"/>
        <u/>
      </rPr>
      <t>Repsol presume de colores en el Museo de la Moto Made in Spain</t>
    </r>
    <r>
      <rPr>
        <rFont val="Arial, sans-serif"/>
        <color rgb="FF1155CC"/>
        <sz val="11.0"/>
        <u/>
      </rPr>
      <t>Tras el adiós de Marc Márquez a Honda, llegó el anuncio del fin de la colaboración del equipo de Moto GP con Repsol, y ahora, el museo de Alcalá de Henares...</t>
    </r>
    <r>
      <rPr>
        <rFont val="Arial, sans-serif"/>
        <color rgb="FF1155CC"/>
        <sz val="12.0"/>
        <u/>
      </rPr>
      <t>.</t>
    </r>
    <r>
      <rPr>
        <rFont val="Arial, sans-serif"/>
        <color rgb="FF1155CC"/>
        <sz val="11.0"/>
        <u/>
      </rPr>
      <t>8 oct 2024</t>
    </r>
  </si>
  <si>
    <t>Repsol presume de colores en el Museo de la Moto Made in Spain</t>
  </si>
  <si>
    <t>Tras el adiós de Marc Márquez a Honda, llegó el anuncio del fin de la colaboración del equipo de Moto GP con Repsol, y ahora, el museo de Alcalá de Henares.</t>
  </si>
  <si>
    <t>Repsol boasts colors at the Made in Spain Motorcycle Museum</t>
  </si>
  <si>
    <t>After Marc Márquez said goodbye to Honda, came the announcement of the end of the Moto GP team's collaboration with Repsol, and now, the Alcalá de Henares museum.</t>
  </si>
  <si>
    <r>
      <rPr>
        <rFont val="Arial, sans-serif"/>
        <color rgb="FF1155CC"/>
        <sz val="9.0"/>
        <u/>
      </rPr>
      <t>Cadena SER</t>
    </r>
    <r>
      <rPr>
        <rFont val="Arial, sans-serif"/>
        <color rgb="FF1155CC"/>
        <sz val="15.0"/>
        <u/>
      </rPr>
      <t>Urbania recurre contra el requerimiento del ayuntamiento de Málaga para que confirme la compra de los terrenos de Repsol</t>
    </r>
    <r>
      <rPr>
        <rFont val="Arial, sans-serif"/>
        <color rgb="FF1155CC"/>
        <sz val="11.0"/>
        <u/>
      </rPr>
      <t>Málaga. Urbania, la única firma que quedó en pie para adquirir en subasta los terrenos de Repsol, ha dado un paso atrás. Tras un año y medio de tiras y...</t>
    </r>
    <r>
      <rPr>
        <rFont val="Arial, sans-serif"/>
        <color rgb="FF1155CC"/>
        <sz val="12.0"/>
        <u/>
      </rPr>
      <t>.</t>
    </r>
    <r>
      <rPr>
        <rFont val="Arial, sans-serif"/>
        <color rgb="FF1155CC"/>
        <sz val="11.0"/>
        <u/>
      </rPr>
      <t>8 oct 2024</t>
    </r>
  </si>
  <si>
    <t>Urbania recurre contra el requerimiento del ayuntamiento de Málaga para que confirme la compra de los terrenos de Repsol</t>
  </si>
  <si>
    <t>Urbania, la única firma que quedó en pie para adquirir en subasta los terrenos de Repsol, ha dado un paso atrás. Tras un año y medio de tiras y....</t>
  </si>
  <si>
    <t>Urbania appeals against the request of the Malaga city council to confirm the purchase of the Repsol land</t>
  </si>
  <si>
    <t>Urbania, the only firm left standing to acquire Repsol's land at auction, has taken a step back. After a year and a half of strips and....</t>
  </si>
  <si>
    <r>
      <rPr>
        <rFont val="Arial, sans-serif"/>
        <color rgb="FF1155CC"/>
        <sz val="9.0"/>
        <u/>
      </rPr>
      <t>Guía Repsol</t>
    </r>
    <r>
      <rPr>
        <rFont val="Arial, sans-serif"/>
        <color rgb="FF1155CC"/>
        <sz val="15.0"/>
        <u/>
      </rPr>
      <t>Dónde comer los mejores bocadillos de calamares en Madrid</t>
    </r>
    <r>
      <rPr>
        <rFont val="Arial, sans-serif"/>
        <color rgb="FF1155CC"/>
        <sz val="11.0"/>
        <u/>
      </rPr>
      <t>Quieres descubrir el mejor bocadillo de calamares de Madrid? Te guiamos por los establecimientos que disponen de los mejores bocatas de calamares de la...</t>
    </r>
    <r>
      <rPr>
        <rFont val="Arial, sans-serif"/>
        <color rgb="FF1155CC"/>
        <sz val="12.0"/>
        <u/>
      </rPr>
      <t>.</t>
    </r>
    <r>
      <rPr>
        <rFont val="Arial, sans-serif"/>
        <color rgb="FF1155CC"/>
        <sz val="11.0"/>
        <u/>
      </rPr>
      <t>8 oct 2024</t>
    </r>
  </si>
  <si>
    <t>Dónde comer los mejores bocadillos de calamares en Madrid</t>
  </si>
  <si>
    <t>Quieres descubrir el mejor bocadillo de calamares de Madrid? Te guiamos por los establecimientos que disponen de los mejores bocatas de calamares de la....</t>
  </si>
  <si>
    <t>Where to eat the best calamari sandwiches in Madrid</t>
  </si>
  <si>
    <t>Do you want to discover the best calamari sandwich in Madrid? We guide you through the establishments that have the best squid sandwiches in the city....</t>
  </si>
  <si>
    <r>
      <rPr>
        <rFont val="Arial, sans-serif"/>
        <color rgb="FF1155CC"/>
        <sz val="9.0"/>
        <u/>
      </rPr>
      <t>La Opinión de Málaga</t>
    </r>
    <r>
      <rPr>
        <rFont val="Arial, sans-serif"/>
        <color rgb="FF1155CC"/>
        <sz val="15.0"/>
        <u/>
      </rPr>
      <t>Urbania gana tiempo en la enmarañada venta de Repsol</t>
    </r>
    <r>
      <rPr>
        <rFont val="Arial, sans-serif"/>
        <color rgb="FF1155CC"/>
        <sz val="11.0"/>
        <u/>
      </rPr>
      <t>Nueva patada hacia adelante en la más que enmarañada subasta de los terrenos de Repsol. Una operación que arrastra ya más de dos años de retrasos,...</t>
    </r>
    <r>
      <rPr>
        <rFont val="Arial, sans-serif"/>
        <color rgb="FF1155CC"/>
        <sz val="12.0"/>
        <u/>
      </rPr>
      <t>.</t>
    </r>
    <r>
      <rPr>
        <rFont val="Arial, sans-serif"/>
        <color rgb="FF1155CC"/>
        <sz val="11.0"/>
        <u/>
      </rPr>
      <t>8 oct 2024</t>
    </r>
  </si>
  <si>
    <t>Urbania gana tiempo en la enmarañada venta de Repsol</t>
  </si>
  <si>
    <t>Nueva patada hacia adelante en la más que enmarañada subasta de los terrenos de Repsol. Una operación que arrastra ya más de dos años de retrasos,....</t>
  </si>
  <si>
    <t>Urbania wins time in the tangled sale of Repsol</t>
  </si>
  <si>
    <t>New kick forward in the more than tangled auction of the Repsol land. An operation that has already been delayed for more than two years....</t>
  </si>
  <si>
    <r>
      <rPr>
        <rFont val="Arial, sans-serif"/>
        <color rgb="FF1155CC"/>
        <sz val="9.0"/>
        <u/>
      </rPr>
      <t>La Comarca de Puertollano</t>
    </r>
    <r>
      <rPr>
        <rFont val="Arial, sans-serif"/>
        <color rgb="FF1155CC"/>
        <sz val="15.0"/>
        <u/>
      </rPr>
      <t>Buenos resultados para el Tenis Club Recreativo Repsol de Puertollano en el Master Provincial 'Memorial Alberto Romero'</t>
    </r>
    <r>
      <rPr>
        <rFont val="Arial, sans-serif"/>
        <color rgb="FF1155CC"/>
        <sz val="11.0"/>
        <u/>
      </rPr>
      <t>El último fin de semana de septiembre y primero de octubre se ha celebrado en las pistas de tenis de la Sociedad Recreativa Los Juncos el Master Provincial...</t>
    </r>
    <r>
      <rPr>
        <rFont val="Arial, sans-serif"/>
        <color rgb="FF1155CC"/>
        <sz val="12.0"/>
        <u/>
      </rPr>
      <t>.</t>
    </r>
    <r>
      <rPr>
        <rFont val="Arial, sans-serif"/>
        <color rgb="FF1155CC"/>
        <sz val="11.0"/>
        <u/>
      </rPr>
      <t>8 oct 2024</t>
    </r>
  </si>
  <si>
    <t>Buenos resultados para el Tenis Club Recreativo Repsol de Puertollano en el Master Provincial 'Memorial Alberto Romero'</t>
  </si>
  <si>
    <t>Buenos resultados para el Tenis Club Recreativo Repsol de Puertollano en el Master Provincial 'Memorial Alberto Romero' El último fin de semana de septiembre y primero de octubre se ha celebrado en las pistas de tenis de la Sociedad Recreativa Los Juncos el Master Provincial....</t>
  </si>
  <si>
    <t>Good results for the Repsol Recreational Tennis Club of Puertollano in the 'Memorial Alberto Romero' Provincial Master</t>
  </si>
  <si>
    <t>Good results for the Repsol Recreational Tennis Club of Puertollano in the Provincial Master 'Memorial Alberto Romero' The last weekend of September and the first of October the Provincial Master was held on the tennis courts of the Los Juncos Recreational Society....</t>
  </si>
  <si>
    <t>Corporate Sponsorship</t>
  </si>
  <si>
    <r>
      <rPr>
        <rFont val="Arial, sans-serif"/>
        <color rgb="FF1155CC"/>
        <sz val="9.0"/>
        <u/>
      </rPr>
      <t>La Opinión de Zamora</t>
    </r>
    <r>
      <rPr>
        <rFont val="Arial, sans-serif"/>
        <color rgb="FF1155CC"/>
        <sz val="15.0"/>
        <u/>
      </rPr>
      <t>Un "Solete" Repsol reconoce la excelencia culinaria de Aliste</t>
    </r>
    <r>
      <rPr>
        <rFont val="Arial, sans-serif"/>
        <color rgb="FF1155CC"/>
        <sz val="11.0"/>
        <u/>
      </rPr>
      <t>Miriam Moral Matellán es la chef encargada de la cocina de la casa de comidas de Rabanales, que sus abuelos Victoriano y María abrieron en 1967.</t>
    </r>
    <r>
      <rPr>
        <rFont val="Arial, sans-serif"/>
        <color rgb="FF1155CC"/>
        <sz val="12.0"/>
        <u/>
      </rPr>
      <t>.</t>
    </r>
    <r>
      <rPr>
        <rFont val="Arial, sans-serif"/>
        <color rgb="FF1155CC"/>
        <sz val="11.0"/>
        <u/>
      </rPr>
      <t>8 oct 2024</t>
    </r>
  </si>
  <si>
    <t>Un "Solete" Repsol reconoce la excelencia culinaria de Aliste</t>
  </si>
  <si>
    <t>Miriam Moral Matellán es la chef encargada de la cocina de la casa de comidas de Rabanales, que sus abuelos Victoriano y María abrieron en 1967.</t>
  </si>
  <si>
    <t>A Repsol "Solete" recognizes the culinary excellence of Aliste</t>
  </si>
  <si>
    <t>Miriam Moral Matellán is the chef in charge of the kitchen at the Rabanales food house, which her grandparents Victoriano and María opened in 1967.</t>
  </si>
  <si>
    <r>
      <rPr>
        <rFont val="Arial, sans-serif"/>
        <color rgb="FF1155CC"/>
        <sz val="9.0"/>
        <u/>
      </rPr>
      <t>Investing.com España</t>
    </r>
    <r>
      <rPr>
        <rFont val="Arial, sans-serif"/>
        <color rgb="FF1155CC"/>
        <sz val="15.0"/>
        <u/>
      </rPr>
      <t>Repsol aboga por conectar ya la península ibérica con Europa en materia energética Por EFE</t>
    </r>
    <r>
      <rPr>
        <rFont val="Arial, sans-serif"/>
        <color rgb="FF1155CC"/>
        <sz val="11.0"/>
        <u/>
      </rPr>
      <t>Madrid, 8 oct (.).- El presidente de Repsol (BME:REP), Antonio Brufau, se ha mostrado este martes partidario de implementar un cambio en materia energética...</t>
    </r>
    <r>
      <rPr>
        <rFont val="Arial, sans-serif"/>
        <color rgb="FF1155CC"/>
        <sz val="12.0"/>
        <u/>
      </rPr>
      <t>.</t>
    </r>
    <r>
      <rPr>
        <rFont val="Arial, sans-serif"/>
        <color rgb="FF1155CC"/>
        <sz val="11.0"/>
        <u/>
      </rPr>
      <t>8 oct 2024</t>
    </r>
  </si>
  <si>
    <t>Investing.com España</t>
  </si>
  <si>
    <t>Repsol aboga por conectar ya la península ibérica con Europa en materia energética</t>
  </si>
  <si>
    <t>El presidente de Repsol (BME:REP), Antonio Brufau, se ha mostrado este martes partidario de implementar un cambio en materia energética.</t>
  </si>
  <si>
    <t>Repsol advocates connecting the Iberian Peninsula with Europe in energy matters</t>
  </si>
  <si>
    <t>The president of Repsol (BME:REP), Antonio Brufau, expressed his support this Tuesday for implementing a change in energy matters.</t>
  </si>
  <si>
    <t>“Repsol”, “energy integration”, “Iberian Peninsula”</t>
  </si>
  <si>
    <t>“Repsol”, “integración energética”, “Península Ibérica”</t>
  </si>
  <si>
    <t>Positive as it shows Repsol’s proactive stance on energy integration.</t>
  </si>
  <si>
    <t>aboga, conectar</t>
  </si>
  <si>
    <t>Positive advocacy for energy integration.</t>
  </si>
  <si>
    <t>Promoción positiva de la integración energética.</t>
  </si>
  <si>
    <r>
      <rPr>
        <rFont val="Arial, sans-serif"/>
        <color rgb="FF1155CC"/>
        <sz val="9.0"/>
        <u/>
      </rPr>
      <t>alimente.elconfidencial.com</t>
    </r>
    <r>
      <rPr>
        <rFont val="Arial, sans-serif"/>
        <color rgb="FF1155CC"/>
        <sz val="15.0"/>
        <u/>
      </rPr>
      <t>El restaurante de Sevilla con estrella Michelin y sol Repsol en el que comer en un palacete centenario: lo recomienda 'National Geographic'</t>
    </r>
    <r>
      <rPr>
        <rFont val="Arial, sans-serif"/>
        <color rgb="FF1155CC"/>
        <sz val="11.0"/>
        <u/>
      </rPr>
      <t>Este lugar ofrece una experiencia culinaria sin igual en un edificio histórico: ha cautivado a miles de paladares.</t>
    </r>
    <r>
      <rPr>
        <rFont val="Arial, sans-serif"/>
        <color rgb="FF1155CC"/>
        <sz val="12.0"/>
        <u/>
      </rPr>
      <t>.</t>
    </r>
    <r>
      <rPr>
        <rFont val="Arial, sans-serif"/>
        <color rgb="FF1155CC"/>
        <sz val="11.0"/>
        <u/>
      </rPr>
      <t>8 oct 2024</t>
    </r>
  </si>
  <si>
    <t>El restaurante de Sevilla con estrella Michelin y sol Repsol en el que comer en un palacete centenario: lo recomienda 'National Geographic'</t>
  </si>
  <si>
    <t>Este lugar ofrece una experiencia culinaria sin igual en un edificio histórico: ha cautivado a miles de paladares.</t>
  </si>
  <si>
    <t>The restaurant in Seville with a Michelin star and Repsol sun where you can eat in a century-old palace: 'National Geographic' recommends it</t>
  </si>
  <si>
    <t>This place offers an unparalleled culinary experience in a historic building: it has captivated thousands of palates.</t>
  </si>
  <si>
    <r>
      <rPr>
        <rFont val="Arial, sans-serif"/>
        <color rgb="FF1155CC"/>
        <sz val="9.0"/>
        <u/>
      </rPr>
      <t>El Español</t>
    </r>
    <r>
      <rPr>
        <rFont val="Arial, sans-serif"/>
        <color rgb="FF1155CC"/>
        <sz val="15.0"/>
        <u/>
      </rPr>
      <t>Nuevo 'impasse' en la millonaria venta de las torres de Repsol en Málaga</t>
    </r>
    <r>
      <rPr>
        <rFont val="Arial, sans-serif"/>
        <color rgb="FF1155CC"/>
        <sz val="11.0"/>
        <u/>
      </rPr>
      <t>Urbania discrepa de que tenga que hacer frente ahora al aval exigido por el Ayuntamiento por la compra de los terrenos. Más información: La millonaria...</t>
    </r>
    <r>
      <rPr>
        <rFont val="Arial, sans-serif"/>
        <color rgb="FF1155CC"/>
        <sz val="12.0"/>
        <u/>
      </rPr>
      <t>.</t>
    </r>
    <r>
      <rPr>
        <rFont val="Arial, sans-serif"/>
        <color rgb="FF1155CC"/>
        <sz val="11.0"/>
        <u/>
      </rPr>
      <t>8 oct 2024</t>
    </r>
  </si>
  <si>
    <t>Nuevo 'impasse' en la millonaria venta de las torres de Repsol en Málaga</t>
  </si>
  <si>
    <t>Urbania discrepa de que tenga que hacer frente ahora al aval exigido por el Ayuntamiento por la compra de los terrenos. Más información: La millonaria....</t>
  </si>
  <si>
    <t>New 'impasse' in the million-dollar sale of the Repsol towers in Malaga</t>
  </si>
  <si>
    <t>Urbania disagrees that it now has to face the guarantee required by the City Council for the purchase of the land. More information: The millionaire....</t>
  </si>
  <si>
    <r>
      <rPr>
        <rFont val="Arial, sans-serif"/>
        <color rgb="FF1155CC"/>
        <sz val="9.0"/>
        <u/>
      </rPr>
      <t>El Economista</t>
    </r>
    <r>
      <rPr>
        <rFont val="Arial, sans-serif"/>
        <color rgb="FF1155CC"/>
        <sz val="15.0"/>
        <u/>
      </rPr>
      <t>Brufau carga contra el plan energético del Gobierno: "El papel lo aguanta todo"</t>
    </r>
    <r>
      <rPr>
        <rFont val="Arial, sans-serif"/>
        <color rgb="FF1155CC"/>
        <sz val="11.0"/>
        <u/>
      </rPr>
      <t>El presidente de Repsol, Antonio Brufau, y el presidente de EDP, Miguel Stilwell han debatido sobre el futuro de la energía en Europa en ...</t>
    </r>
    <r>
      <rPr>
        <rFont val="Arial, sans-serif"/>
        <color rgb="FF1155CC"/>
        <sz val="12.0"/>
        <u/>
      </rPr>
      <t>.</t>
    </r>
    <r>
      <rPr>
        <rFont val="Arial, sans-serif"/>
        <color rgb="FF1155CC"/>
        <sz val="11.0"/>
        <u/>
      </rPr>
      <t>8 oct 2024</t>
    </r>
  </si>
  <si>
    <t>Brufau carga contra el plan energético del Gobierno: "El papel lo aguanta todo"</t>
  </si>
  <si>
    <t>"El presidente de Repsol, Antonio Brufau, y el presidente de EDP, Miguel Stilwell han debatido sobre el futuro de la energía en Europa en ...."</t>
  </si>
  <si>
    <t>Brufau attacks the Government's energy plan: "Paper supports everything"</t>
  </si>
  <si>
    <t>"The president of Repsol, Antonio Brufau, and the president of EDP, Miguel Stilwell have debated the future of energy in Europe in..."</t>
  </si>
  <si>
    <t>“Repsol”, “energy plan”, “Brufau”</t>
  </si>
  <si>
    <t>“Repsol”, “plan energético”, “Brufau”</t>
  </si>
  <si>
    <t>Negative due to confrontational tone toward government policy.</t>
  </si>
  <si>
    <t>carga, inviables</t>
  </si>
  <si>
    <t>Negative criticism of policy.</t>
  </si>
  <si>
    <t>Crítica negativa de la política.</t>
  </si>
  <si>
    <r>
      <rPr>
        <rFont val="Arial, sans-serif"/>
        <color rgb="FF1155CC"/>
        <sz val="9.0"/>
        <u/>
      </rPr>
      <t>Guía Repsol</t>
    </r>
    <r>
      <rPr>
        <rFont val="Arial, sans-serif"/>
        <color rgb="FF1155CC"/>
        <sz val="15.0"/>
        <u/>
      </rPr>
      <t>Rutas de senderismo por el interior de Mallorca que acaban en monasterios</t>
    </r>
    <r>
      <rPr>
        <rFont val="Arial, sans-serif"/>
        <color rgb="FF1155CC"/>
        <sz val="11.0"/>
        <u/>
      </rPr>
      <t>Si eres un apasionado del senderismo y de las caminatas por el medio de la naturaleza, debes conocer estas rutas de senderismo por Mallorca que terminan en...</t>
    </r>
    <r>
      <rPr>
        <rFont val="Arial, sans-serif"/>
        <color rgb="FF1155CC"/>
        <sz val="12.0"/>
        <u/>
      </rPr>
      <t>.</t>
    </r>
    <r>
      <rPr>
        <rFont val="Arial, sans-serif"/>
        <color rgb="FF1155CC"/>
        <sz val="11.0"/>
        <u/>
      </rPr>
      <t>8 oct 2024</t>
    </r>
  </si>
  <si>
    <t>Rutas de senderismo por el interior de Mallorca que acaban en monasterios</t>
  </si>
  <si>
    <t>Si eres un apasionado del senderismo y de las caminatas por el medio de la naturaleza, debes conocer estas rutas de senderismo por Mallorca que terminan en....</t>
  </si>
  <si>
    <t>Hiking routes through the interior of Mallorca that end in monasteries</t>
  </si>
  <si>
    <t>If you are passionate about hiking and walking through nature, you should know these hiking routes through Mallorca that end in...</t>
  </si>
  <si>
    <r>
      <rPr>
        <rFont val="Arial, sans-serif"/>
        <color rgb="FF1155CC"/>
        <sz val="9.0"/>
        <u/>
      </rPr>
      <t>El Periódico de la Energía</t>
    </r>
    <r>
      <rPr>
        <rFont val="Arial, sans-serif"/>
        <color rgb="FF1155CC"/>
        <sz val="15.0"/>
        <u/>
      </rPr>
      <t>Hereu muestra su deseo de que Repsol "desarrolle todo su programa de inversión en España"</t>
    </r>
    <r>
      <rPr>
        <rFont val="Arial, sans-serif"/>
        <color rgb="FF1155CC"/>
        <sz val="11.0"/>
        <u/>
      </rPr>
      <t>Jordi Hereu ha mostrado su deseo de que Repsol "desarrolle todo su programa de inversión en España" y ha asegurado que se une a "no despreciar ninguna...</t>
    </r>
    <r>
      <rPr>
        <rFont val="Arial, sans-serif"/>
        <color rgb="FF1155CC"/>
        <sz val="12.0"/>
        <u/>
      </rPr>
      <t>.</t>
    </r>
    <r>
      <rPr>
        <rFont val="Arial, sans-serif"/>
        <color rgb="FF1155CC"/>
        <sz val="11.0"/>
        <u/>
      </rPr>
      <t>9 oct 2024</t>
    </r>
  </si>
  <si>
    <t>El periódico de la Energía</t>
  </si>
  <si>
    <t>Hereu muestra su deseo de que Repsol "desarrolle todo su programa de inversión en España"</t>
  </si>
  <si>
    <t>Jordi Hereu ha mostrado su deseo de que Repsol "desarrolle todo su programa de inversión en España" y ha asegurado que se une a "no despreciar ninguna....</t>
  </si>
  <si>
    <t>Hereu shows his desire for Repsol to "develop its entire investment program in Spain"</t>
  </si>
  <si>
    <t>Jordi Hereu has expressed his desire for Repsol to "develop its entire investment program in Spain" and has assured that he is committed to "not disregarding any...</t>
  </si>
  <si>
    <t>“Repsol”, “investment program”, “Spain”</t>
  </si>
  <si>
    <t>“Repsol”, “programa de inversiones”, “España”</t>
  </si>
  <si>
    <t>Positive as it highlights Repsol’s business expansion plans.</t>
  </si>
  <si>
    <t>inversión, desarrollo</t>
  </si>
  <si>
    <t>Positive investment plans.</t>
  </si>
  <si>
    <t>Planes de inversión positivos.</t>
  </si>
  <si>
    <r>
      <rPr>
        <rFont val="Arial, sans-serif"/>
        <color rgb="FF1155CC"/>
        <sz val="9.0"/>
        <u/>
      </rPr>
      <t>Repsol</t>
    </r>
    <r>
      <rPr>
        <rFont val="Arial, sans-serif"/>
        <color rgb="FF1155CC"/>
        <sz val="15.0"/>
        <u/>
      </rPr>
      <t>Antonio Brufau: “El proceso de transición energética y descarbonización será crucial para mantener la industria, el empleo y la riqueza en España”</t>
    </r>
    <r>
      <rPr>
        <rFont val="Arial, sans-serif"/>
        <color rgb="FF1155CC"/>
        <sz val="11.0"/>
        <u/>
      </rPr>
      <t>El ministro de Industria y Turismo, Jordi Hereu; el presidente de Repsol, Antonio Brufau y el consejero delegado de CaixaBank, Gonzalo Gortázar,...</t>
    </r>
    <r>
      <rPr>
        <rFont val="Arial, sans-serif"/>
        <color rgb="FF1155CC"/>
        <sz val="12.0"/>
        <u/>
      </rPr>
      <t>.</t>
    </r>
    <r>
      <rPr>
        <rFont val="Arial, sans-serif"/>
        <color rgb="FF1155CC"/>
        <sz val="11.0"/>
        <u/>
      </rPr>
      <t>9 oct 2024</t>
    </r>
  </si>
  <si>
    <t>Antonio Brufau: “El proceso de transición energética y descarbonización será crucial para mantener la industria, el empleo y la riqueza en España”</t>
  </si>
  <si>
    <t>“El proceso de transición energética y descarbonización será crucial para mantener la industria, el empleo y la riqueza en España”</t>
  </si>
  <si>
    <t>Antonio Brufau: “The energy transition and decarbonization process will be crucial to maintain industry, employment and wealth in Spain”</t>
  </si>
  <si>
    <t>“The energy transition and decarbonization process will be crucial to maintain industry, employment and wealth in Spain”</t>
  </si>
  <si>
    <t>“Repsol”, “energy transition”, “Brufau”</t>
  </si>
  <si>
    <t>“Repsol”, “transición energética”, “Brufau”</t>
  </si>
  <si>
    <t>Positive due to emphasis on sustainability and economic growth.</t>
  </si>
  <si>
    <t>transición, descarbonización</t>
  </si>
  <si>
    <t>Positive commitment to sustainability.</t>
  </si>
  <si>
    <t>Compromiso positivo con la sostenibilidad.</t>
  </si>
  <si>
    <r>
      <rPr>
        <rFont val="Arial, sans-serif"/>
        <color rgb="FF1155CC"/>
        <sz val="9.0"/>
        <u/>
      </rPr>
      <t>La Vanguardia</t>
    </r>
    <r>
      <rPr>
        <rFont val="Arial, sans-serif"/>
        <color rgb="FF1155CC"/>
        <sz val="15.0"/>
        <u/>
      </rPr>
      <t>La producción de petróleo de Repsol descendió un 7,2% en el tercer trimestre</t>
    </r>
    <r>
      <rPr>
        <rFont val="Arial, sans-serif"/>
        <color rgb="FF1155CC"/>
        <sz val="11.0"/>
        <u/>
      </rPr>
      <t>MADRID, 09 (SERVIMEDIA) La producción de petróleo de Repsol alcanzó los 553.000 barriles diarios de media durante el tercer trimestre de 2024, lo que supuso...</t>
    </r>
    <r>
      <rPr>
        <rFont val="Arial, sans-serif"/>
        <color rgb="FF1155CC"/>
        <sz val="12.0"/>
        <u/>
      </rPr>
      <t>.</t>
    </r>
    <r>
      <rPr>
        <rFont val="Arial, sans-serif"/>
        <color rgb="FF1155CC"/>
        <sz val="11.0"/>
        <u/>
      </rPr>
      <t>9 oct 2024</t>
    </r>
  </si>
  <si>
    <t>La producción de petróleo de Repsol descendió un 7,2% en el tercer trimestre</t>
  </si>
  <si>
    <t>La producción de petróleo de Repsol alcanzó los 553.000 barriles diarios de media durante el tercer trimestre de 2024, lo que supuso....</t>
  </si>
  <si>
    <t>Repsol's oil production fell 7.2% in the third quarter</t>
  </si>
  <si>
    <t>Repsol's oil production reached 553,000 barrels per day on average during the third quarter of 2024, which represented...</t>
  </si>
  <si>
    <t>“Repsol”, “oil production”, “Q3”</t>
  </si>
  <si>
    <t>“Repsol”, “producción de petróleo”, “T3”</t>
  </si>
  <si>
    <t>Negative due to a decline in production.</t>
  </si>
  <si>
    <t>descendió</t>
  </si>
  <si>
    <t>Negative production drop.</t>
  </si>
  <si>
    <t>Caída negativa de la producción.</t>
  </si>
  <si>
    <r>
      <rPr>
        <rFont val="Arial, sans-serif"/>
        <color rgb="FF1155CC"/>
        <sz val="9.0"/>
        <u/>
      </rPr>
      <t>Cinco Días</t>
    </r>
    <r>
      <rPr>
        <rFont val="Arial, sans-serif"/>
        <color rgb="FF1155CC"/>
        <sz val="15.0"/>
        <u/>
      </rPr>
      <t>Repsol baja su producción de petróleo en el tercer trimestre con una caída del 70,6% en su margen de refino</t>
    </r>
    <r>
      <rPr>
        <rFont val="Arial, sans-serif"/>
        <color rgb="FF1155CC"/>
        <sz val="11.0"/>
        <u/>
      </rPr>
      <t>Repsol ha registrado una producción de 553.000 barriles equivalentes de petróleo al día en el tercer trimestre de este año, lo que representa una caída del...</t>
    </r>
    <r>
      <rPr>
        <rFont val="Arial, sans-serif"/>
        <color rgb="FF1155CC"/>
        <sz val="12.0"/>
        <u/>
      </rPr>
      <t>.</t>
    </r>
    <r>
      <rPr>
        <rFont val="Arial, sans-serif"/>
        <color rgb="FF1155CC"/>
        <sz val="11.0"/>
        <u/>
      </rPr>
      <t>9 oct 2024</t>
    </r>
  </si>
  <si>
    <t>Repsol baja su producción de petróleo en el tercer trimestre con una caída del 70,6% en su margen de refino</t>
  </si>
  <si>
    <t>Repsol ha registrado una producción de 553.000 barriles equivalentes de petróleo al día en el tercer trimestre de este año, lo que representa una caída del....</t>
  </si>
  <si>
    <t>Repsol lowers its oil production in the third quarter with a 70.6% drop in its refining margin</t>
  </si>
  <si>
    <t>Repsol has recorded a production of 553,000 barrels of oil equivalent per day in the third quarter of this year, which represents a drop of...</t>
  </si>
  <si>
    <t>“Repsol”, “refining margin”, “Q3”</t>
  </si>
  <si>
    <t>“Repsol”, “margen de refino”, “3T”</t>
  </si>
  <si>
    <t>Strongly negative due to significant financial and operational decline.</t>
  </si>
  <si>
    <t>caída, baja</t>
  </si>
  <si>
    <t>Strong negative financial impact.</t>
  </si>
  <si>
    <t>Fuerte impacto financiero negativo.</t>
  </si>
  <si>
    <r>
      <rPr>
        <rFont val="Arial, sans-serif"/>
        <color rgb="FF1155CC"/>
        <sz val="9.0"/>
        <u/>
      </rPr>
      <t>Radio Intereconomía</t>
    </r>
    <r>
      <rPr>
        <rFont val="Arial, sans-serif"/>
        <color rgb="FF1155CC"/>
        <sz val="15.0"/>
        <u/>
      </rPr>
      <t>El margen de refino de Repsol se desploma más del 70%</t>
    </r>
    <r>
      <rPr>
        <rFont val="Arial, sans-serif"/>
        <color rgb="FF1155CC"/>
        <sz val="11.0"/>
        <u/>
      </rPr>
      <t>El margen de refino de Repsol (diferencia entre coste de producir petróleo y beneficio) se ha desplomado en el tercer trimestre un 70,6 %.</t>
    </r>
    <r>
      <rPr>
        <rFont val="Arial, sans-serif"/>
        <color rgb="FF1155CC"/>
        <sz val="12.0"/>
        <u/>
      </rPr>
      <t>.</t>
    </r>
    <r>
      <rPr>
        <rFont val="Arial, sans-serif"/>
        <color rgb="FF1155CC"/>
        <sz val="11.0"/>
        <u/>
      </rPr>
      <t>9 oct 2024</t>
    </r>
  </si>
  <si>
    <t>El margen de refino de Repsol se desploma más del 70%</t>
  </si>
  <si>
    <t>El margen de refino de Repsol (diferencia entre coste de producir petróleo y beneficio) se ha desplomado en el tercer trimestre un 70,6 %.</t>
  </si>
  <si>
    <t>Repsol's refining margin plummets by more than 70%</t>
  </si>
  <si>
    <t>Repsol's refining margin (difference between the cost of producing oil and profit) has plummeted by 70.6% in the third quarter.</t>
  </si>
  <si>
    <t>Highly negative due to sharp financial deterioration.</t>
  </si>
  <si>
    <t>desploma</t>
  </si>
  <si>
    <t>Very negative financial performance.</t>
  </si>
  <si>
    <t>Desempeño financiero muy negativo.</t>
  </si>
  <si>
    <r>
      <rPr>
        <rFont val="Arial, sans-serif"/>
        <color rgb="FF1155CC"/>
        <sz val="9.0"/>
        <u/>
      </rPr>
      <t>La Rioja</t>
    </r>
    <r>
      <rPr>
        <rFont val="Arial, sans-serif"/>
        <color rgb="FF1155CC"/>
        <sz val="15.0"/>
        <u/>
      </rPr>
      <t>El restaurante Los Cuatro Arcos de Briones revalida su Solete de Repsol</t>
    </r>
    <r>
      <rPr>
        <rFont val="Arial, sans-serif"/>
        <color rgb="FF1155CC"/>
        <sz val="11.0"/>
        <u/>
      </rPr>
      <t>El restaurante Los Cuatro Arcos de Briones ha revalidado su reconocimiento de Repsol, que recibió en la edición Soletes de Verano en 2021. Publicidad.</t>
    </r>
    <r>
      <rPr>
        <rFont val="Arial, sans-serif"/>
        <color rgb="FF1155CC"/>
        <sz val="12.0"/>
        <u/>
      </rPr>
      <t>.</t>
    </r>
    <r>
      <rPr>
        <rFont val="Arial, sans-serif"/>
        <color rgb="FF1155CC"/>
        <sz val="11.0"/>
        <u/>
      </rPr>
      <t>9 oct 2024</t>
    </r>
  </si>
  <si>
    <t>El restaurante Los Cuatro Arcos de Briones revalida su Solete de Repsol</t>
  </si>
  <si>
    <t>El restaurante Los Cuatro Arcos de Briones ha revalidado su reconocimiento de Repsol, que recibió en la edición Soletes de Verano en 2021.</t>
  </si>
  <si>
    <t>The Los Cuatro Arcos restaurant in Briones revalidates its Repsol Solete</t>
  </si>
  <si>
    <t>The restaurant Los Cuatro Arcos de Briones has revalidated its recognition from Repsol, which it received in the Soletes de Verano edition in 2021.</t>
  </si>
  <si>
    <r>
      <rPr>
        <rFont val="Arial, sans-serif"/>
        <color rgb="FF1155CC"/>
        <sz val="9.0"/>
        <u/>
      </rPr>
      <t>Estrategias de Inversión</t>
    </r>
    <r>
      <rPr>
        <rFont val="Arial, sans-serif"/>
        <color rgb="FF1155CC"/>
        <sz val="15.0"/>
        <u/>
      </rPr>
      <t>La petrolera Repsol no convence a los analistas:desde BNP Paribas a JPMorgan</t>
    </r>
    <r>
      <rPr>
        <rFont val="Arial, sans-serif"/>
        <color rgb="FF1155CC"/>
        <sz val="11.0"/>
        <u/>
      </rPr>
      <t>La petrolera Repsol no convence a los analistas:desde BNP Paribas a JPMorgan. Recomendaciones y precio objetivo de Repsol por parte de los analistas de BNP...</t>
    </r>
    <r>
      <rPr>
        <rFont val="Arial, sans-serif"/>
        <color rgb="FF1155CC"/>
        <sz val="12.0"/>
        <u/>
      </rPr>
      <t>.</t>
    </r>
    <r>
      <rPr>
        <rFont val="Arial, sans-serif"/>
        <color rgb="FF1155CC"/>
        <sz val="11.0"/>
        <u/>
      </rPr>
      <t>9 oct 2024</t>
    </r>
  </si>
  <si>
    <t>La petrolera Repsol no convence a los analistas: desde BNP Paribas a JPMorgan</t>
  </si>
  <si>
    <t>La petrolera Repsol no convence a los analistas: desde BNP Paribas a JPMorgan. Recomendaciones y precio objetivo de Repsol por parte de los analistas de BNP....</t>
  </si>
  <si>
    <t>The oil company Repsol does not convince analysts: from BNP Paribas to JPMorgan</t>
  </si>
  <si>
    <t>The oil company Repsol does not convince analysts: from BNP Paribas to JPMorgan. Recommendations and target price for Repsol by BNP analysts....</t>
  </si>
  <si>
    <t>“Repsol”, “BNP Paribas”, “JPMorgan”</t>
  </si>
  <si>
    <t>Negative due to lack of investor confidence.</t>
  </si>
  <si>
    <t>no convence</t>
  </si>
  <si>
    <t>Negative analyst sentiment.</t>
  </si>
  <si>
    <t>Sentimiento negativo de los analistas.</t>
  </si>
  <si>
    <r>
      <rPr>
        <rFont val="Arial, sans-serif"/>
        <color rgb="FF1155CC"/>
        <sz val="9.0"/>
        <u/>
      </rPr>
      <t>Expansión</t>
    </r>
    <r>
      <rPr>
        <rFont val="Arial, sans-serif"/>
        <color rgb="FF1155CC"/>
        <sz val="15.0"/>
        <u/>
      </rPr>
      <t>BNP eleva su cautela sobre el petróleo y sobre Repsol</t>
    </r>
    <r>
      <rPr>
        <rFont val="Arial, sans-serif"/>
        <color rgb="FF1155CC"/>
        <sz val="11.0"/>
        <u/>
      </rPr>
      <t>El petróleo y las petroleras se han erigido en dos de las inversiones estrella de un inicio de octubre convulso en los mercados. La jornada de ayer,...</t>
    </r>
    <r>
      <rPr>
        <rFont val="Arial, sans-serif"/>
        <color rgb="FF1155CC"/>
        <sz val="12.0"/>
        <u/>
      </rPr>
      <t>.</t>
    </r>
    <r>
      <rPr>
        <rFont val="Arial, sans-serif"/>
        <color rgb="FF1155CC"/>
        <sz val="11.0"/>
        <u/>
      </rPr>
      <t>9 oct 2024</t>
    </r>
  </si>
  <si>
    <t>BNP eleva su cautela sobre el petróleo y sobre Repsol</t>
  </si>
  <si>
    <t>El petróleo y las petroleras se han erigido en dos de las inversiones estrella de un inicio de octubre convulso en los mercados. La jornada de ayer,....</t>
  </si>
  <si>
    <t>BNP raises its caution on oil and Repsol</t>
  </si>
  <si>
    <t>Oil and oil companies have emerged as two of the star investments of a turbulent start to October in the markets. Yesterday's day...</t>
  </si>
  <si>
    <t>“Repsol”, “BNP”, “stock market”</t>
  </si>
  <si>
    <t>“Repsol”, “BNP”, “bolsa”</t>
  </si>
  <si>
    <t>Negative as it signals caution in investment sentiment.</t>
  </si>
  <si>
    <t>cautela</t>
  </si>
  <si>
    <t>Negative analyst outlook.</t>
  </si>
  <si>
    <t>Perspectiva negativa de los analistas.</t>
  </si>
  <si>
    <r>
      <rPr>
        <rFont val="Arial, sans-serif"/>
        <color rgb="FF1155CC"/>
        <sz val="9.0"/>
        <u/>
      </rPr>
      <t>El Periódico</t>
    </r>
    <r>
      <rPr>
        <rFont val="Arial, sans-serif"/>
        <color rgb="FF1155CC"/>
        <sz val="15.0"/>
        <u/>
      </rPr>
      <t>Repsol es "optimista" sobre un giro hacia la neutralidad tecnológica en Europa con la nueva Comisión</t>
    </r>
    <r>
      <rPr>
        <rFont val="Arial, sans-serif"/>
        <color rgb="FF1155CC"/>
        <sz val="11.0"/>
        <u/>
      </rPr>
      <t>El presidente y el consejero delegado de la petrolera, Antoni Brufau y Josu Jon Imaz, confían en una nueva política energética por parte del Ejecutivo...</t>
    </r>
    <r>
      <rPr>
        <rFont val="Arial, sans-serif"/>
        <color rgb="FF1155CC"/>
        <sz val="12.0"/>
        <u/>
      </rPr>
      <t>.</t>
    </r>
    <r>
      <rPr>
        <rFont val="Arial, sans-serif"/>
        <color rgb="FF1155CC"/>
        <sz val="11.0"/>
        <u/>
      </rPr>
      <t>9 oct 2024</t>
    </r>
  </si>
  <si>
    <t>Repsol es "optimista" sobre un giro hacia la neutralidad tecnológica en Europa con la nueva Comisión</t>
  </si>
  <si>
    <t>Repsol es "optimista" sobre un giro hacia la neutralidad tecnológica en Europa con la nueva Comisión. El presidente y el consejero delegado de la petrolera, Antoni Brufau y Josu Jon Imaz, confían en una nueva política energética por parte del Ejecutivo.</t>
  </si>
  <si>
    <t>Repsol is "optimistic" about a turn towards technological neutrality in Europe with the new Commission</t>
  </si>
  <si>
    <t>Repsol is "optimistic" about a turn towards technological neutrality in Europe with the new Commission. The president and CEO of the oil company, Antoni Brufau and Josu Jon Imaz, trust in a new energy policy by the Executive.</t>
  </si>
  <si>
    <t>“Repsol”, “Europe”, “technological neutrality”</t>
  </si>
  <si>
    <t>“Repsol”, “Europa”, “neutralidad tecnológica”</t>
  </si>
  <si>
    <t>Positive as it signals confidence in future energy policies.</t>
  </si>
  <si>
    <t>optimista</t>
  </si>
  <si>
    <t>Positive outlook on policy.</t>
  </si>
  <si>
    <t>Perspectiva positiva de la política.</t>
  </si>
  <si>
    <r>
      <rPr>
        <rFont val="Arial, sans-serif"/>
        <color rgb="FF1155CC"/>
        <sz val="9.0"/>
        <u/>
      </rPr>
      <t>El Español</t>
    </r>
    <r>
      <rPr>
        <rFont val="Arial, sans-serif"/>
        <color rgb="FF1155CC"/>
        <sz val="15.0"/>
        <u/>
      </rPr>
      <t>Jordi Hereu comparte su deseo de que Repsol "desarrolle todo su programa de inversión previsto en España"</t>
    </r>
    <r>
      <rPr>
        <rFont val="Arial, sans-serif"/>
        <color rgb="FF1155CC"/>
        <sz val="11.0"/>
        <u/>
      </rPr>
      <t>Anuncia ayudas por casi 26 millones para la industria electrointensiva. Más información: Imaz (Repsol) se muestra convencido de que el impuesto...</t>
    </r>
    <r>
      <rPr>
        <rFont val="Arial, sans-serif"/>
        <color rgb="FF1155CC"/>
        <sz val="12.0"/>
        <u/>
      </rPr>
      <t>.</t>
    </r>
    <r>
      <rPr>
        <rFont val="Arial, sans-serif"/>
        <color rgb="FF1155CC"/>
        <sz val="11.0"/>
        <u/>
      </rPr>
      <t>9 oct 2024</t>
    </r>
  </si>
  <si>
    <t>Jordi Hereu comparte su deseo de que Repsol "desarrolle todo su programa de inversión previsto en España"</t>
  </si>
  <si>
    <t>Anuncia ayudas por casi 26 millones para la industria electrointensiva. Más información: Imaz (Repsol) se muestra convencido de que el impuesto....</t>
  </si>
  <si>
    <t>Jordi Hereu shares his desire for Repsol to "develop its entire investment program planned in Spain"</t>
  </si>
  <si>
    <t>Announces aid for almost 26 million for the electro-intensive industry. More information: Imaz (Repsol) is convinced that the tax...</t>
  </si>
  <si>
    <t>“Repsol”, “investment”, “Hereu”</t>
  </si>
  <si>
    <t>“Repsol”, “inversión”, “Hereu”</t>
  </si>
  <si>
    <t>Positive due to investment and financial support for industry.</t>
  </si>
  <si>
    <t>Positive investment commitment.</t>
  </si>
  <si>
    <t>Compromiso de inversión positivo.</t>
  </si>
  <si>
    <r>
      <rPr>
        <rFont val="Arial, sans-serif"/>
        <color rgb="FF1155CC"/>
        <sz val="9.0"/>
        <u/>
      </rPr>
      <t>OkDiario</t>
    </r>
    <r>
      <rPr>
        <rFont val="Arial, sans-serif"/>
        <color rgb="FF1155CC"/>
        <sz val="15.0"/>
        <u/>
      </rPr>
      <t>La Guía Repsol nos ha sacado de dudas: ésta es la mejor tortilla de patatas y vermut de Madrid</t>
    </r>
    <r>
      <rPr>
        <rFont val="Arial, sans-serif"/>
        <color rgb="FF1155CC"/>
        <sz val="11.0"/>
        <u/>
      </rPr>
      <t>Este bar de Malasaña tiene la mejor tortilla de patatas de todo Madrid, según la Guía Repsol. ¿Cuál es el secreto y por qué está tan buena¿</t>
    </r>
    <r>
      <rPr>
        <rFont val="Arial, sans-serif"/>
        <color rgb="FF1155CC"/>
        <sz val="12.0"/>
        <u/>
      </rPr>
      <t>.</t>
    </r>
    <r>
      <rPr>
        <rFont val="Arial, sans-serif"/>
        <color rgb="FF1155CC"/>
        <sz val="11.0"/>
        <u/>
      </rPr>
      <t>9 oct 2024</t>
    </r>
  </si>
  <si>
    <t>La Guía Repsol nos ha sacado de dudas: ésta es la mejor tortilla de patatas y vermut de Madrid</t>
  </si>
  <si>
    <t>Este bar de Malasaña tiene la mejor tortilla de patatas de todo Madrid, según la Guía Repsol. ¿Cuál es el secreto y por qué está tan buena?</t>
  </si>
  <si>
    <t>The Repsol Guide has cleared up our doubts: this is the best potato and vermouth omelette in Madrid</t>
  </si>
  <si>
    <t>This bar in Malasaña has the best potato omelette in all of Madrid, according to the Repsol Guide. What is the secret and why is it so good?</t>
  </si>
  <si>
    <r>
      <rPr>
        <rFont val="Arial, sans-serif"/>
        <color rgb="FF1155CC"/>
        <sz val="9.0"/>
        <u/>
      </rPr>
      <t>Bolsamania</t>
    </r>
    <r>
      <rPr>
        <rFont val="Arial, sans-serif"/>
        <color rgb="FF1155CC"/>
        <sz val="15.0"/>
        <u/>
      </rPr>
      <t>Repsol reduce un 70,6% el margen de refino en el tercer trimestre y la producción cae un 7,2%</t>
    </r>
    <r>
      <rPr>
        <rFont val="Arial, sans-serif"/>
        <color rgb="FF1155CC"/>
        <sz val="11.0"/>
        <u/>
      </rPr>
      <t>Repsol ha reducido su producción un 7,2% en el tercer trimestre del año en comparación con el mismo periodo del ejercicio anterior, lo que supone 553.000...</t>
    </r>
    <r>
      <rPr>
        <rFont val="Arial, sans-serif"/>
        <color rgb="FF1155CC"/>
        <sz val="12.0"/>
        <u/>
      </rPr>
      <t>.</t>
    </r>
    <r>
      <rPr>
        <rFont val="Arial, sans-serif"/>
        <color rgb="FF1155CC"/>
        <sz val="11.0"/>
        <u/>
      </rPr>
      <t>9 oct 2024</t>
    </r>
  </si>
  <si>
    <t>Repsol reduce un 70,6% el margen de refino en el tercer trimestre y la producción cae un 7,2%</t>
  </si>
  <si>
    <t>Repsol ha reducido su producción un 7,2% en el tercer trimestre del año en comparación con el mismo periodo del ejercicio anterior, lo que supone 553.000....</t>
  </si>
  <si>
    <t>Repsol reduces the refining margin by 70.6% in the third quarter and production falls by 7.2%</t>
  </si>
  <si>
    <t>Repsol has reduced its production by 7.2% in the third quarter of the year compared to the same period of the previous year, which amounts to 553,000...</t>
  </si>
  <si>
    <t>Strongly negative due to financial and operational decline.</t>
  </si>
  <si>
    <t>Very negative financials.</t>
  </si>
  <si>
    <t>Finanzas muy negativas.</t>
  </si>
  <si>
    <r>
      <rPr>
        <rFont val="Arial, sans-serif"/>
        <color rgb="FF1155CC"/>
        <sz val="9.0"/>
        <u/>
      </rPr>
      <t>Guía Repsol</t>
    </r>
    <r>
      <rPr>
        <rFont val="Arial, sans-serif"/>
        <color rgb="FF1155CC"/>
        <sz val="15.0"/>
        <u/>
      </rPr>
      <t>Donde comer los mejores calçots en Cataluña (y fuera de ella)</t>
    </r>
    <r>
      <rPr>
        <rFont val="Arial, sans-serif"/>
        <color rgb="FF1155CC"/>
        <sz val="11.0"/>
        <u/>
      </rPr>
      <t>Quieres probar la mejor versión de este plato catalán? Te recomendamos los mejores sitios donde comer caçots, tanto en la propia Cataluña, como en el resto...</t>
    </r>
    <r>
      <rPr>
        <rFont val="Arial, sans-serif"/>
        <color rgb="FF1155CC"/>
        <sz val="12.0"/>
        <u/>
      </rPr>
      <t>.</t>
    </r>
    <r>
      <rPr>
        <rFont val="Arial, sans-serif"/>
        <color rgb="FF1155CC"/>
        <sz val="11.0"/>
        <u/>
      </rPr>
      <t>9 oct 2024</t>
    </r>
  </si>
  <si>
    <t>Donde comer los mejores calçots en Cataluña (y fuera de ella)</t>
  </si>
  <si>
    <t>Quieres probar la mejor versión de este plato catalán? Te recomendamos los mejores sitios donde comer caçots, tanto en la propia Cataluña, como en el resto....</t>
  </si>
  <si>
    <t>Where to eat the best calçots in Catalonia (and outside of it)</t>
  </si>
  <si>
    <t>Do you want to try the best version of this Catalan dish? We recommend the best places to eat caçots, both in Catalonia itself and in the rest....</t>
  </si>
  <si>
    <r>
      <rPr>
        <rFont val="Arial, sans-serif"/>
        <color rgb="FF1155CC"/>
        <sz val="9.0"/>
        <u/>
      </rPr>
      <t>El Periódico de la Energía</t>
    </r>
    <r>
      <rPr>
        <rFont val="Arial, sans-serif"/>
        <color rgb="FF1155CC"/>
        <sz val="15.0"/>
        <u/>
      </rPr>
      <t>Imaz (Repsol) llama a Europa a "un giro radical" en política energética y cambiar "ideología por tecnología"</t>
    </r>
    <r>
      <rPr>
        <rFont val="Arial, sans-serif"/>
        <color rgb="FF1155CC"/>
        <sz val="11.0"/>
        <u/>
      </rPr>
      <t>El CEO de Repsol ha llamado a Europa a actuar con "urgencia" y adoptar "un giro radical" en la política energética, cambiando "ideología por tecnología".</t>
    </r>
    <r>
      <rPr>
        <rFont val="Arial, sans-serif"/>
        <color rgb="FF1155CC"/>
        <sz val="12.0"/>
        <u/>
      </rPr>
      <t>.</t>
    </r>
    <r>
      <rPr>
        <rFont val="Arial, sans-serif"/>
        <color rgb="FF1155CC"/>
        <sz val="11.0"/>
        <u/>
      </rPr>
      <t>9 oct 2024</t>
    </r>
  </si>
  <si>
    <t>Imaz (Repsol) llama a Europa a "un giro radical" en política energética y cambiar "ideología por tecnología"</t>
  </si>
  <si>
    <t>El CEO de Repsol ha llamado a Europa a actuar con "urgencia" y adoptar "un giro radical" en la política energética, cambiando "ideología por tecnología".</t>
  </si>
  <si>
    <t>Imaz (Repsol) calls on Europe to "a radical turn" in energy policy and change "ideology for technology"</t>
  </si>
  <si>
    <t>The CEO of Repsol has called on Europe to act with "urgency" and adopt "a radical turn" in energy policy, changing "ideology for technology."</t>
  </si>
  <si>
    <t>“Repsol”, “energy policy”, “Imaz”</t>
  </si>
  <si>
    <t>“Repsol”, “política energética”, “Imaz”</t>
  </si>
  <si>
    <t>Positive as it signals proactive leadership in energy transition.</t>
  </si>
  <si>
    <t>giro radical</t>
  </si>
  <si>
    <t>Positive advocacy for policy change.</t>
  </si>
  <si>
    <t>Promoción positiva del cambio de políticas.</t>
  </si>
  <si>
    <r>
      <rPr>
        <rFont val="Arial, sans-serif"/>
        <color rgb="FF1155CC"/>
        <sz val="9.0"/>
        <u/>
      </rPr>
      <t>La Comarca de Puertollano</t>
    </r>
    <r>
      <rPr>
        <rFont val="Arial, sans-serif"/>
        <color rgb="FF1155CC"/>
        <sz val="15.0"/>
        <u/>
      </rPr>
      <t>Más de 200 personas secundan en Puertollano la huelga indefinida de RLESA, que seguirá “hasta que la empresa se siente a negociar"</t>
    </r>
    <r>
      <rPr>
        <rFont val="Arial, sans-serif"/>
        <color rgb="FF1155CC"/>
        <sz val="11.0"/>
        <u/>
      </rPr>
      <t>Así lo ha dicho la representante sindical Laura Vera tras la marcha de protesta que ha salido este miércoles desde el Complejo Industrial rumbo a la Concha.</t>
    </r>
    <r>
      <rPr>
        <rFont val="Arial, sans-serif"/>
        <color rgb="FF1155CC"/>
        <sz val="12.0"/>
        <u/>
      </rPr>
      <t>.</t>
    </r>
    <r>
      <rPr>
        <rFont val="Arial, sans-serif"/>
        <color rgb="FF1155CC"/>
        <sz val="11.0"/>
        <u/>
      </rPr>
      <t>9 oct 2024</t>
    </r>
  </si>
  <si>
    <t>Más de 200 personas secundan en Puertollano la huelga indefinida de RLESA, que seguirá “hasta que la empresa se siente a negociar"</t>
  </si>
  <si>
    <t>Más de 200 personas secundan en Puertollano la huelga indefinida de RLESA, que seguirá “hasta que la empresa se siente a negociar".</t>
  </si>
  <si>
    <t>More than 200 people support the indefinite strike of RLESA in Puertollano, which will continue "until the company sits down to negotiate"</t>
  </si>
  <si>
    <t>More than 200 people support RLESA's indefinite strike in Puertollano, which will continue "until the company sits down to negotiate."</t>
  </si>
  <si>
    <t>“Repsol”, “Puertollano”, “strike”</t>
  </si>
  <si>
    <t>“Repsol”, “Puertollano”, “huelga”</t>
  </si>
  <si>
    <t>Highly negative due to ongoing labor disputes.</t>
  </si>
  <si>
    <t>Negative labor dispute.</t>
  </si>
  <si>
    <r>
      <rPr>
        <rFont val="Arial, sans-serif"/>
        <color rgb="FF1155CC"/>
        <sz val="9.0"/>
        <u/>
      </rPr>
      <t>OkDiario</t>
    </r>
    <r>
      <rPr>
        <rFont val="Arial, sans-serif"/>
        <color rgb="FF1155CC"/>
        <sz val="15.0"/>
        <u/>
      </rPr>
      <t>Brufau, presidente de Repsol: «Si Europa fuera un ordenador, habría que apagarlo y volverlo a encender»</t>
    </r>
    <r>
      <rPr>
        <rFont val="Arial, sans-serif"/>
        <color rgb="FF1155CC"/>
        <sz val="11.0"/>
        <u/>
      </rPr>
      <t>Antonio Brufau, presidente de Repsol, asegura que, "si Europa fuera un ordenador, habría que apagarlo y volver a encenderlo"</t>
    </r>
    <r>
      <rPr>
        <rFont val="Arial, sans-serif"/>
        <color rgb="FF1155CC"/>
        <sz val="12.0"/>
        <u/>
      </rPr>
      <t>.</t>
    </r>
    <r>
      <rPr>
        <rFont val="Arial, sans-serif"/>
        <color rgb="FF1155CC"/>
        <sz val="11.0"/>
        <u/>
      </rPr>
      <t>9 oct 2024</t>
    </r>
  </si>
  <si>
    <t>Brufau, presidente de Repsol: «Si Europa fuera un ordenador, habría que apagarlo y volverlo a encender»</t>
  </si>
  <si>
    <t>"Si Europa fuera un ordenador, habría que apagarlo y volver a encenderlo".</t>
  </si>
  <si>
    <t>Brufau, president of Repsol: "If Europe were a computer, we would have to turn it off and turn it on again"</t>
  </si>
  <si>
    <t>"If Europe were a computer, it would have to be turned off and on again."</t>
  </si>
  <si>
    <t>“Repsol”, “Brufau”, “energy policy”</t>
  </si>
  <si>
    <t>“Repsol”, “Brufau”, “política energética”</t>
  </si>
  <si>
    <t>Statement lacks direct impact on Repsol’s image.</t>
  </si>
  <si>
    <t>Metaphorical critique, neutral sentiment.</t>
  </si>
  <si>
    <t>Crítica metafórica, sentimiento neutral.</t>
  </si>
  <si>
    <r>
      <rPr>
        <rFont val="Arial, sans-serif"/>
        <color rgb="FF1155CC"/>
        <sz val="9.0"/>
        <u/>
      </rPr>
      <t>La Vanguardia</t>
    </r>
    <r>
      <rPr>
        <rFont val="Arial, sans-serif"/>
        <color rgb="FF1155CC"/>
        <sz val="15.0"/>
        <u/>
      </rPr>
      <t>Brufau pide un “reset” a Europa para impulsar la independencia industrial</t>
    </r>
    <r>
      <rPr>
        <rFont val="Arial, sans-serif"/>
        <color rgb="FF1155CC"/>
        <sz val="11.0"/>
        <u/>
      </rPr>
      <t>El presidente de Repsol, Antonio Brufau, ha pedido al nuevo Gobierno Europeo que haga una reformulación de los principios que rigen las políticas de...</t>
    </r>
    <r>
      <rPr>
        <rFont val="Arial, sans-serif"/>
        <color rgb="FF1155CC"/>
        <sz val="12.0"/>
        <u/>
      </rPr>
      <t>.</t>
    </r>
    <r>
      <rPr>
        <rFont val="Arial, sans-serif"/>
        <color rgb="FF1155CC"/>
        <sz val="11.0"/>
        <u/>
      </rPr>
      <t>9 oct 2024</t>
    </r>
  </si>
  <si>
    <t>Brufau pide un “reset” a Europa para impulsar la independencia industrial</t>
  </si>
  <si>
    <t>El presidente de Repsol, Antonio Brufau, ha pedido al nuevo Gobierno Europeo que haga una reformulación de los principios que rigen las políticas de....</t>
  </si>
  <si>
    <t>Brufau asks for a “reset” in Europe to promote industrial independence</t>
  </si>
  <si>
    <t>The president of Repsol, Antonio Brufau, has asked the new European Government to reformulate the principles that govern the policies of....</t>
  </si>
  <si>
    <t>“Repsol”, “Brufau”, “industrial independence”</t>
  </si>
  <si>
    <t>“Repsol”, “Brufau”, “independencia industrial”</t>
  </si>
  <si>
    <t>Positive as it suggests strategic industrial independence.</t>
  </si>
  <si>
    <t>Mildly positive, policy advocacy.</t>
  </si>
  <si>
    <t>Ligeramente positivo, promoción de políticas.</t>
  </si>
  <si>
    <r>
      <rPr>
        <rFont val="Arial, sans-serif"/>
        <color rgb="FF1155CC"/>
        <sz val="9.0"/>
        <u/>
      </rPr>
      <t>Repsol</t>
    </r>
    <r>
      <rPr>
        <rFont val="Arial, sans-serif"/>
        <color rgb="FF1155CC"/>
        <sz val="15.0"/>
        <u/>
      </rPr>
      <t>La bala mágica - Escucha nuestro pódcast de ficción</t>
    </r>
    <r>
      <rPr>
        <rFont val="Arial, sans-serif"/>
        <color rgb="FF1155CC"/>
        <sz val="11.0"/>
        <u/>
      </rPr>
      <t>La bala mágica es un podcast tipo thriller con toques de humor que gira alrededor de las teorías de la conspiración, los bulos y las fake news.</t>
    </r>
    <r>
      <rPr>
        <rFont val="Arial, sans-serif"/>
        <color rgb="FF1155CC"/>
        <sz val="12.0"/>
        <u/>
      </rPr>
      <t>.</t>
    </r>
    <r>
      <rPr>
        <rFont val="Arial, sans-serif"/>
        <color rgb="FF1155CC"/>
        <sz val="11.0"/>
        <u/>
      </rPr>
      <t>10 oct 2024</t>
    </r>
  </si>
  <si>
    <t>La bala mágica - Escucha nuestro pódcast de ficción</t>
  </si>
  <si>
    <t>La bala mágica es un podcast tipo thriller con toques de humor que gira alrededor de las teorías de la conspiración, los bulos y las fake news.</t>
  </si>
  <si>
    <t>The magic bullet - Listen to our fiction podcast</t>
  </si>
  <si>
    <t>The Magic Bullet is a thriller-type podcast with touches of humor that revolves around conspiracy theories, hoaxes and fake news.</t>
  </si>
  <si>
    <r>
      <rPr>
        <rFont val="Arial, sans-serif"/>
        <color rgb="FF1155CC"/>
        <sz val="9.0"/>
        <u/>
      </rPr>
      <t>Expansión</t>
    </r>
    <r>
      <rPr>
        <rFont val="Arial, sans-serif"/>
        <color rgb="FF1155CC"/>
        <sz val="15.0"/>
        <u/>
      </rPr>
      <t>Santander y Repsol copan las carteras de los inversores españoles</t>
    </r>
    <r>
      <rPr>
        <rFont val="Arial, sans-serif"/>
        <color rgb="FF1155CC"/>
        <sz val="11.0"/>
        <u/>
      </rPr>
      <t>Los españoles han decidido aumentar con fuerza sus posiciones en varios blue chip del Ibex, además de comprar valores del resto de Europa, para configurar...</t>
    </r>
    <r>
      <rPr>
        <rFont val="Arial, sans-serif"/>
        <color rgb="FF1155CC"/>
        <sz val="12.0"/>
        <u/>
      </rPr>
      <t>.</t>
    </r>
    <r>
      <rPr>
        <rFont val="Arial, sans-serif"/>
        <color rgb="FF1155CC"/>
        <sz val="11.0"/>
        <u/>
      </rPr>
      <t>10 oct 2024</t>
    </r>
  </si>
  <si>
    <t>Santander y Repsol copan las carteras de los inversores españoles</t>
  </si>
  <si>
    <t>Los españoles han decidido aumentar con fuerza sus posiciones en varios blue chip del Ibex, además de comprar valores del resto de Europa, para configurar....</t>
  </si>
  <si>
    <t>Santander and Repsol dominate the portfolios of Spanish investors</t>
  </si>
  <si>
    <t>The Spaniards have decided to strongly increase their positions in several blue chips of the Ibex, in addition to buying securities from the rest of Europe, to configure...</t>
  </si>
  <si>
    <t>“Repsol”, “Santander”, “investment”</t>
  </si>
  <si>
    <t>“Repsol”, “Santander”, “inversión”</t>
  </si>
  <si>
    <t>Positive as it highlights strong investor confidence in Repsol.</t>
  </si>
  <si>
    <t>Neutral, investment context.</t>
  </si>
  <si>
    <t>Contexto neutral y de inversión.</t>
  </si>
  <si>
    <r>
      <rPr>
        <rFont val="Arial, sans-serif"/>
        <color rgb="FF1155CC"/>
        <sz val="9.0"/>
        <u/>
      </rPr>
      <t>Estrategias de Inversión</t>
    </r>
    <r>
      <rPr>
        <rFont val="Arial, sans-serif"/>
        <color rgb="FF1155CC"/>
        <sz val="15.0"/>
        <u/>
      </rPr>
      <t>La producción de la petrolera Repsol cae un 7,2% en el tercer trimestre del año</t>
    </r>
    <r>
      <rPr>
        <rFont val="Arial, sans-serif"/>
        <color rgb="FF1155CC"/>
        <sz val="11.0"/>
        <u/>
      </rPr>
      <t>Repsol informa de una disminución del 7,2% en su producción durante el tercer trimestre. Además, reduce su margen de refino un 70,6% en comparación con el...</t>
    </r>
    <r>
      <rPr>
        <rFont val="Arial, sans-serif"/>
        <color rgb="FF1155CC"/>
        <sz val="12.0"/>
        <u/>
      </rPr>
      <t>.</t>
    </r>
    <r>
      <rPr>
        <rFont val="Arial, sans-serif"/>
        <color rgb="FF1155CC"/>
        <sz val="11.0"/>
        <u/>
      </rPr>
      <t>10 oct 2024</t>
    </r>
  </si>
  <si>
    <t>La producción de la petrolera Repsol cae un 7,2% en el tercer trimestre del año</t>
  </si>
  <si>
    <t>Repsol informa de una disminución del 7,2% en su producción durante el tercer trimestre. Además, reduce su margen de refino un 70,6% en comparación con el....</t>
  </si>
  <si>
    <t>The production of the oil company Repsol falls 7.2% in the third quarter of the year</t>
  </si>
  <si>
    <t>Repsol reports a 7.2% decrease in its production during the third quarter. In addition, it reduces its refining margin by 70.6% compared to...</t>
  </si>
  <si>
    <t>“Repsol”, “production”, “Q3”</t>
  </si>
  <si>
    <t>“Repsol”, “producción”, “T3”</t>
  </si>
  <si>
    <r>
      <rPr>
        <rFont val="Arial, sans-serif"/>
        <color rgb="FF1155CC"/>
        <sz val="9.0"/>
        <u/>
      </rPr>
      <t>Mundo Deportivo</t>
    </r>
    <r>
      <rPr>
        <rFont val="Arial, sans-serif"/>
        <color rgb="FF1155CC"/>
        <sz val="15.0"/>
        <u/>
      </rPr>
      <t>Repsol presume de cinco décadas de éxitos en competición en el Museo de la Moto 'Made in Spain'</t>
    </r>
    <r>
      <rPr>
        <rFont val="Arial, sans-serif"/>
        <color rgb="FF1155CC"/>
        <sz val="11.0"/>
        <u/>
      </rPr>
      <t>Los éxitos de Repsol en el Mundial de Motociclismo y en disciplinas como el trial o los raids quedan reflejados en esta exposición.</t>
    </r>
    <r>
      <rPr>
        <rFont val="Arial, sans-serif"/>
        <color rgb="FF1155CC"/>
        <sz val="12.0"/>
        <u/>
      </rPr>
      <t>.</t>
    </r>
    <r>
      <rPr>
        <rFont val="Arial, sans-serif"/>
        <color rgb="FF1155CC"/>
        <sz val="11.0"/>
        <u/>
      </rPr>
      <t>10 oct 2024</t>
    </r>
  </si>
  <si>
    <t>Repsol presume de cinco décadas de éxitos en competición en el Museo de la Moto 'Made in Spain'</t>
  </si>
  <si>
    <t>Los éxitos de Repsol en el Mundial de Motociclismo y en disciplinas como el trial o los raids quedan reflejados en esta exposición.</t>
  </si>
  <si>
    <t>Repsol boasts five decades of success in competition at the 'Made in Spain' Motorcycle Museum</t>
  </si>
  <si>
    <t>Repsol's successes in the Motorcycle World Championship and in disciplines such as trials or raids are reflected in this exhibition.</t>
  </si>
  <si>
    <r>
      <rPr>
        <rFont val="Arial, sans-serif"/>
        <color rgb="FF1155CC"/>
        <sz val="9.0"/>
        <u/>
      </rPr>
      <t>FórmulaMoto</t>
    </r>
    <r>
      <rPr>
        <rFont val="Arial, sans-serif"/>
        <color rgb="FF1155CC"/>
        <sz val="15.0"/>
        <u/>
      </rPr>
      <t>Repsol aterriza en el Museo de la Moto Made in Spain con una impresionante exposición centrada en la com</t>
    </r>
    <r>
      <rPr>
        <rFont val="Arial, sans-serif"/>
        <color rgb="FF1155CC"/>
        <sz val="11.0"/>
        <u/>
      </rPr>
      <t>La historia del equipo Repsol acapara una gran parte del Museo de la Moto Made in Spain a través de una colección de motos de MotoGP, el Dakar o TrialGP.</t>
    </r>
    <r>
      <rPr>
        <rFont val="Arial, sans-serif"/>
        <color rgb="FF1155CC"/>
        <sz val="12.0"/>
        <u/>
      </rPr>
      <t>.</t>
    </r>
    <r>
      <rPr>
        <rFont val="Arial, sans-serif"/>
        <color rgb="FF1155CC"/>
        <sz val="11.0"/>
        <u/>
      </rPr>
      <t>10 oct 2024</t>
    </r>
  </si>
  <si>
    <t>FórmulaMoto</t>
  </si>
  <si>
    <t>MotoRepsol aterriza en el Museo de la Moto Made in Spain con una impresionante exposición centrada en la com.</t>
  </si>
  <si>
    <t>La historia del equipo Repsol acapara una gran parte del Museo de la Moto Made in Spain a través de una colección de motos de MotoGP, el Dakar o TrialGP.</t>
  </si>
  <si>
    <t>MotoRepsol lands at the Made in Spain Motorcycle Museum with an impressive exhibition focused on technology.</t>
  </si>
  <si>
    <t>The history of the Repsol team occupies a large part of the Made in Spain Motorcycle Museum through a collection of MotoGP, Dakar and TrialGP motorcycles.</t>
  </si>
  <si>
    <r>
      <rPr>
        <rFont val="Arial, sans-serif"/>
        <color rgb="FF1155CC"/>
        <sz val="9.0"/>
        <u/>
      </rPr>
      <t>El Español</t>
    </r>
    <r>
      <rPr>
        <rFont val="Arial, sans-serif"/>
        <color rgb="FF1155CC"/>
        <sz val="15.0"/>
        <u/>
      </rPr>
      <t>Todos los móviles de A Coruña y Arteixo recibirán un ruidoso mensaje por un simulacro</t>
    </r>
    <r>
      <rPr>
        <rFont val="Arial, sans-serif"/>
        <color rgb="FF1155CC"/>
        <sz val="11.0"/>
        <u/>
      </rPr>
      <t>Se probará el martes 15 de octubre sistema ES-Alert y se simulará un fallo mecánico en una cisterna de propano que provoca un incendio con varias personas...</t>
    </r>
    <r>
      <rPr>
        <rFont val="Arial, sans-serif"/>
        <color rgb="FF1155CC"/>
        <sz val="12.0"/>
        <u/>
      </rPr>
      <t>.</t>
    </r>
    <r>
      <rPr>
        <rFont val="Arial, sans-serif"/>
        <color rgb="FF1155CC"/>
        <sz val="11.0"/>
        <u/>
      </rPr>
      <t>10 oct 2024</t>
    </r>
  </si>
  <si>
    <t>Todos los móviles de A Coruña y Arteixo recibirán un ruidoso mensaje por un simulacro</t>
  </si>
  <si>
    <t>Se probará el martes 15 de octubre sistema ES-Alert y se simulará un fallo mecánico en una cisterna de propano que provoca un incendio con varias personas....</t>
  </si>
  <si>
    <t>All mobile phones in A Coruña and Arteixo will receive a noisy message for a drill</t>
  </si>
  <si>
    <t>The ES-Alert system will be tested on Tuesday, October 15, and a mechanical failure in a propane tanker that causes a fire with several people will be simulated....</t>
  </si>
  <si>
    <t>Public Safety</t>
  </si>
  <si>
    <r>
      <rPr>
        <rFont val="Arial, sans-serif"/>
        <color rgb="FF1155CC"/>
        <sz val="9.0"/>
        <u/>
      </rPr>
      <t>Benzinga España</t>
    </r>
    <r>
      <rPr>
        <rFont val="Arial, sans-serif"/>
        <color rgb="FF1155CC"/>
        <sz val="15.0"/>
        <u/>
      </rPr>
      <t>Acciones de Repsol bajo presión: Banco Sabadell reduce valoración y prevé caída en beneficios</t>
    </r>
    <r>
      <rPr>
        <rFont val="Arial, sans-serif"/>
        <color rgb="FF1155CC"/>
        <sz val="11.0"/>
        <u/>
      </rPr>
      <t>Las acciones de Repsol sufren una rebaja en su valoración debido a la caída en el margen de refino. ¿Cómo afectará esto a su futuro?</t>
    </r>
    <r>
      <rPr>
        <rFont val="Arial, sans-serif"/>
        <color rgb="FF1155CC"/>
        <sz val="12.0"/>
        <u/>
      </rPr>
      <t>.</t>
    </r>
    <r>
      <rPr>
        <rFont val="Arial, sans-serif"/>
        <color rgb="FF1155CC"/>
        <sz val="11.0"/>
        <u/>
      </rPr>
      <t>10 oct 2024</t>
    </r>
  </si>
  <si>
    <t>Acciones de Repsol bajo presión: Banco Sabadell reduce valoración y prevé caída en beneficios</t>
  </si>
  <si>
    <t>Las acciones de Repsol sufren una rebaja en su valoración debido a la caída en el margen de refino. ¿Cómo afectará esto a su futuro?</t>
  </si>
  <si>
    <t>Repsol shares under pressure: Banco Sabadell reduces valuation and foresees a drop in profits</t>
  </si>
  <si>
    <t>Repsol shares suffer a reduction in their valuation due to the drop in the refining margin. How will this affect your future?</t>
  </si>
  <si>
    <t>“Repsol”, “Banco Sabadell”, “stock market”</t>
  </si>
  <si>
    <t>“Repsol”, “Banco Sabadell”, “bolsa”</t>
  </si>
  <si>
    <t>Negative due to financial concerns.</t>
  </si>
  <si>
    <t>bajo presión, reduce</t>
  </si>
  <si>
    <t>Negative financial outlook.</t>
  </si>
  <si>
    <t>Perspectivas financieras negativas.</t>
  </si>
  <si>
    <r>
      <rPr>
        <rFont val="Arial, sans-serif"/>
        <color rgb="FF1155CC"/>
        <sz val="9.0"/>
        <u/>
      </rPr>
      <t>Bolsamania</t>
    </r>
    <r>
      <rPr>
        <rFont val="Arial, sans-serif"/>
        <color rgb="FF1155CC"/>
        <sz val="15.0"/>
        <u/>
      </rPr>
      <t>Las tácticas de inversión de JP Morgan con las petroleras europeas: ¿qué dice de Repsol?</t>
    </r>
    <r>
      <rPr>
        <rFont val="Arial, sans-serif"/>
        <color rgb="FF1155CC"/>
        <sz val="11.0"/>
        <u/>
      </rPr>
      <t>JP Morgan ha repasado el sector de las petroleras europeas de cara a la temporada de resultados del tercer trimestre. Explica el banco estadounidense que el...</t>
    </r>
    <r>
      <rPr>
        <rFont val="Arial, sans-serif"/>
        <color rgb="FF1155CC"/>
        <sz val="12.0"/>
        <u/>
      </rPr>
      <t>.</t>
    </r>
    <r>
      <rPr>
        <rFont val="Arial, sans-serif"/>
        <color rgb="FF1155CC"/>
        <sz val="11.0"/>
        <u/>
      </rPr>
      <t>10 oct 2024</t>
    </r>
  </si>
  <si>
    <t>Las tácticas de inversión de JP Morgan con las petroleras europeas: ¿qué dice de Repsol?</t>
  </si>
  <si>
    <t>JP Morgan ha repasado el sector de las petroleras europeas de cara a la temporada de resultados del tercer trimestre. Explica el banco estadounidense que el....</t>
  </si>
  <si>
    <t>JP Morgan's investment tactics with European oil companies: what does it say about Repsol?</t>
  </si>
  <si>
    <t>JP Morgan has reviewed the European oil sector ahead of the third quarter earnings season. The US bank explains that the...</t>
  </si>
  <si>
    <t>“Repsol”, “JP Morgan”, “oil sector”</t>
  </si>
  <si>
    <t>“Repsol”, “JP Morgan”, “sector petrolero”</t>
  </si>
  <si>
    <t>Neutral as it discusses investment strategies.</t>
  </si>
  <si>
    <t>Neutral, analyst review.</t>
  </si>
  <si>
    <t>Revisión neutral de analistas.</t>
  </si>
  <si>
    <r>
      <rPr>
        <rFont val="Arial, sans-serif"/>
        <color rgb="FF1155CC"/>
        <sz val="9.0"/>
        <u/>
      </rPr>
      <t>Cadena SER</t>
    </r>
    <r>
      <rPr>
        <rFont val="Arial, sans-serif"/>
        <color rgb="FF1155CC"/>
        <sz val="15.0"/>
        <u/>
      </rPr>
      <t>Se confirman los temores de los trabajadores de la principal contrata de Repsol Puertollano: Navec no les paga y ya baraja un ERE concursal</t>
    </r>
    <r>
      <rPr>
        <rFont val="Arial, sans-serif"/>
        <color rgb="FF1155CC"/>
        <sz val="11.0"/>
        <u/>
      </rPr>
      <t>La administración concursal manifestaba a la representación laboral que la nómina de septiembre se pagará presumiblemente en el plazo de dos semanas y que...</t>
    </r>
    <r>
      <rPr>
        <rFont val="Arial, sans-serif"/>
        <color rgb="FF1155CC"/>
        <sz val="12.0"/>
        <u/>
      </rPr>
      <t>.</t>
    </r>
    <r>
      <rPr>
        <rFont val="Arial, sans-serif"/>
        <color rgb="FF1155CC"/>
        <sz val="11.0"/>
        <u/>
      </rPr>
      <t>10 oct 2024</t>
    </r>
  </si>
  <si>
    <t>Se confirman los temores de los trabajadores de la principal contrata de Repsol Puertollano: Navec no les paga y ya baraja un ERE concursal</t>
  </si>
  <si>
    <t>Se confirman los temores de los trabajadores de la principal contrata de Repsol Puertollano: Navec no les paga y ya baraja un ERE concursal. La administración concursal manifestaba a la representación laboral que la nómina de septiembre se pagará presumiblemente en el plazo de dos semanas y que....</t>
  </si>
  <si>
    <t>The fears of the workers of Repsol Puertollano's main contract are confirmed: Navec does not pay them and is already considering a bankruptcy ERE</t>
  </si>
  <si>
    <t>The fears of the workers of Repsol Puertollano's main contract are confirmed: Navec does not pay them and is already considering a bankruptcy ERE. The bankruptcy administration told the labor representation that the September payroll will presumably be paid within two weeks and that...</t>
  </si>
  <si>
    <t>“Repsol”, “Puertollano”, “Navec”</t>
  </si>
  <si>
    <t>Highly negative due to financial and labor instability.</t>
  </si>
  <si>
    <t>no paga, ERE</t>
  </si>
  <si>
    <t>Severe negative labor issue.</t>
  </si>
  <si>
    <t>Grave problema laboral negativo.</t>
  </si>
  <si>
    <r>
      <rPr>
        <rFont val="Arial, sans-serif"/>
        <color rgb="FF1155CC"/>
        <sz val="9.0"/>
        <u/>
      </rPr>
      <t>esRadio</t>
    </r>
    <r>
      <rPr>
        <rFont val="Arial, sans-serif"/>
        <color rgb="FF1155CC"/>
        <sz val="15.0"/>
        <u/>
      </rPr>
      <t>Un simulacro en A Coruña y Arteixo testará un sistema de aviso masivo a los ciudadanos por móvil</t>
    </r>
    <r>
      <rPr>
        <rFont val="Arial, sans-serif"/>
        <color rgb="FF1155CC"/>
        <sz val="11.0"/>
        <u/>
      </rPr>
      <t>Un simulacro de incendio en los ayuntamientos de A Coruña y Arteixo coordinado con la empresa Repsol testará el próximo martes a las 10,00 horas el sistema...</t>
    </r>
    <r>
      <rPr>
        <rFont val="Arial, sans-serif"/>
        <color rgb="FF1155CC"/>
        <sz val="12.0"/>
        <u/>
      </rPr>
      <t>.</t>
    </r>
    <r>
      <rPr>
        <rFont val="Arial, sans-serif"/>
        <color rgb="FF1155CC"/>
        <sz val="11.0"/>
        <u/>
      </rPr>
      <t>10 oct 2024</t>
    </r>
  </si>
  <si>
    <t>Radio</t>
  </si>
  <si>
    <t>Un simulacro en A Coruña y Arteixo testará un sistema de aviso masivo a los ciudadanos por móvil</t>
  </si>
  <si>
    <t>Un simulacro de incendio en los ayuntamientos de A Coruña y Arteixo coordinado con la empresa Repsol testará el próximo martes a las 10,00 horas el sistema....</t>
  </si>
  <si>
    <t>A simulation in A Coruña and Arteixo will test a system of mass notification to citizens by mobile</t>
  </si>
  <si>
    <t>A fire drill in the town halls of A Coruña and Arteixo coordinated with the company Repsol will test the system next Tuesday at 10:00 a.m....</t>
  </si>
  <si>
    <r>
      <rPr>
        <rFont val="Arial, sans-serif"/>
        <color rgb="FF1155CC"/>
        <sz val="9.0"/>
        <u/>
      </rPr>
      <t>El Periódico de la Energía</t>
    </r>
    <r>
      <rPr>
        <rFont val="Arial, sans-serif"/>
        <color rgb="FF1155CC"/>
        <sz val="15.0"/>
        <u/>
      </rPr>
      <t>Las sanciones petroleras de Estados Unidos a Venezuela, bajo un 'alivio' limitado e incierto</t>
    </r>
    <r>
      <rPr>
        <rFont val="Arial, sans-serif"/>
        <color rgb="FF1155CC"/>
        <sz val="11.0"/>
        <u/>
      </rPr>
      <t>El país amplió su cooperación internacional en el ámbito energético, con la firma de acuerdos con empresas como Repsol y la francesa Maurel &amp; Prom.</t>
    </r>
    <r>
      <rPr>
        <rFont val="Arial, sans-serif"/>
        <color rgb="FF1155CC"/>
        <sz val="12.0"/>
        <u/>
      </rPr>
      <t>.</t>
    </r>
    <r>
      <rPr>
        <rFont val="Arial, sans-serif"/>
        <color rgb="FF1155CC"/>
        <sz val="11.0"/>
        <u/>
      </rPr>
      <t>10 oct 2024</t>
    </r>
  </si>
  <si>
    <t>Las sanciones petroleras de Estados Unidos a Venezuela, bajo un 'alivio' limitado e incierto</t>
  </si>
  <si>
    <t>El país amplió su cooperación internacional en el ámbito energético, con la firma de acuerdos con empresas como Repsol y la francesa Maurel &amp; Prom.</t>
  </si>
  <si>
    <t>US oil sanctions on Venezuela, under limited and uncertain 'relief'</t>
  </si>
  <si>
    <t>The country expanded its international cooperation in the energy field, signing agreements with companies such as Repsol and the French Maurel &amp; Prom.</t>
  </si>
  <si>
    <t>International Relations</t>
  </si>
  <si>
    <t>“Repsol”, “Venezuela”, “sanctions”</t>
  </si>
  <si>
    <t>“Repsol”, “Venezuela”, “sanciones”</t>
  </si>
  <si>
    <t>Slightly negative due to uncertainty around Venezuelan oil agreements.</t>
  </si>
  <si>
    <t>Neutral geopolitical context.</t>
  </si>
  <si>
    <t>Contexto geopolítico neutral.</t>
  </si>
  <si>
    <r>
      <rPr>
        <rFont val="Arial, sans-serif"/>
        <color rgb="FF1155CC"/>
        <sz val="9.0"/>
        <u/>
      </rPr>
      <t>Movilidad Eléctrica</t>
    </r>
    <r>
      <rPr>
        <rFont val="Arial, sans-serif"/>
        <color rgb="FF1155CC"/>
        <sz val="15.0"/>
        <u/>
      </rPr>
      <t>Actualizamos el dato de cuántos cargadores funcionan realmente en España</t>
    </r>
    <r>
      <rPr>
        <rFont val="Arial, sans-serif"/>
        <color rgb="FF1155CC"/>
        <sz val="11.0"/>
        <u/>
      </rPr>
      <t>El último recuento de AEDIVE señala que para el último trimestre del año en España hay 37.000 puntos de recarga operativos. 10 octubre 2024 - Categoría:...</t>
    </r>
    <r>
      <rPr>
        <rFont val="Arial, sans-serif"/>
        <color rgb="FF1155CC"/>
        <sz val="12.0"/>
        <u/>
      </rPr>
      <t>.</t>
    </r>
    <r>
      <rPr>
        <rFont val="Arial, sans-serif"/>
        <color rgb="FF1155CC"/>
        <sz val="11.0"/>
        <u/>
      </rPr>
      <t>10 oct 2024</t>
    </r>
  </si>
  <si>
    <t>Movilidad Eléctrica</t>
  </si>
  <si>
    <t>Actualizamos el dato de cuántos cargadores funcionan realmente en España</t>
  </si>
  <si>
    <t>El último recuento de AEDIVE señala que para el último trimestre del año en España hay 37.000 puntos de recarga operativos.</t>
  </si>
  <si>
    <t>We update the data on how many chargers actually work in Spain</t>
  </si>
  <si>
    <t>The latest AEDIVE count indicates that for the last quarter of the year in Spain there are 37,000 operational charging points.</t>
  </si>
  <si>
    <r>
      <rPr>
        <rFont val="Arial, sans-serif"/>
        <color rgb="FF1155CC"/>
        <sz val="9.0"/>
        <u/>
      </rPr>
      <t>Banca y Negocios</t>
    </r>
    <r>
      <rPr>
        <rFont val="Arial, sans-serif"/>
        <color rgb="FF1155CC"/>
        <sz val="15.0"/>
        <u/>
      </rPr>
      <t>Repsol se situó como el cuarto proveedor de petróleo venezolano en Estados Unidos</t>
    </r>
    <r>
      <rPr>
        <rFont val="Arial, sans-serif"/>
        <color rgb="FF1155CC"/>
        <sz val="11.0"/>
        <u/>
      </rPr>
      <t>La Agencia de Información de Energía de los Estados Unidos (EIA) indicó que la empresa de refinación Valero Energy recibió el 30% del crudo despachado...</t>
    </r>
    <r>
      <rPr>
        <rFont val="Arial, sans-serif"/>
        <color rgb="FF1155CC"/>
        <sz val="12.0"/>
        <u/>
      </rPr>
      <t>.</t>
    </r>
    <r>
      <rPr>
        <rFont val="Arial, sans-serif"/>
        <color rgb="FF1155CC"/>
        <sz val="11.0"/>
        <u/>
      </rPr>
      <t>10 oct 2024</t>
    </r>
  </si>
  <si>
    <t>Repsol se situó como el cuarto proveedor de petróleo venezolano en Estados Unidos</t>
  </si>
  <si>
    <t>La Agencia de Información de Energía de los Estados Unidos (EIA) indicó que la empresa de refinación Valero Energy recibió el 30% del crudo despachado....</t>
  </si>
  <si>
    <t>Repsol became the fourth supplier of Venezuelan oil in the United States</t>
  </si>
  <si>
    <t>The United States Energy Information Agency (EIA) indicated that the refining company Valero Energy received 30% of the crude oil shipped....</t>
  </si>
  <si>
    <t>“Repsol”, “Venezuela”, “oil exports”</t>
  </si>
  <si>
    <t>“Repsol”, “Venezuela”, “exportaciones petroleras”</t>
  </si>
  <si>
    <t>Positive as it highlights Repsol’s market expansion.</t>
  </si>
  <si>
    <t>Neutral operational fact.</t>
  </si>
  <si>
    <t>Hecho operacional neutral.</t>
  </si>
  <si>
    <r>
      <rPr>
        <rFont val="Arial, sans-serif"/>
        <color rgb="FF1155CC"/>
        <sz val="9.0"/>
        <u/>
      </rPr>
      <t>Expansión</t>
    </r>
    <r>
      <rPr>
        <rFont val="Arial, sans-serif"/>
        <color rgb="FF1155CC"/>
        <sz val="15.0"/>
        <u/>
      </rPr>
      <t>Repsol sufre una ola de rebajas de analistas en plena escalada del petróleo</t>
    </r>
    <r>
      <rPr>
        <rFont val="Arial, sans-serif"/>
        <color rgb="FF1155CC"/>
        <sz val="11.0"/>
        <u/>
      </rPr>
      <t>Desde que comenzara el mes de octubre Repsol encadena rebajas de los analistas equivalentes a más de una por jornada. HSBC y DZ Bank, en el día de hoy,...</t>
    </r>
    <r>
      <rPr>
        <rFont val="Arial, sans-serif"/>
        <color rgb="FF1155CC"/>
        <sz val="12.0"/>
        <u/>
      </rPr>
      <t>.</t>
    </r>
    <r>
      <rPr>
        <rFont val="Arial, sans-serif"/>
        <color rgb="FF1155CC"/>
        <sz val="11.0"/>
        <u/>
      </rPr>
      <t>11 oct 2024</t>
    </r>
  </si>
  <si>
    <t>Repsol sufre una ola de rebajas de analistas en plena escalada del petróleo</t>
  </si>
  <si>
    <t>Repsol encadena rebajas de los analistas equivalentes a más de una por jornada. HSBC y DZ Bank, en el día de hoy,....</t>
  </si>
  <si>
    <t>Repsol suffers a wave of downgrades from analysts in the midst of the oil escalation</t>
  </si>
  <si>
    <t>Repsol chains analyst reductions equivalent to more than one per day. HSBC and DZ Bank, today,....</t>
  </si>
  <si>
    <t>“Repsol”, “stock downgrade”, “HSBC”, “DZ Bank”</t>
  </si>
  <si>
    <t>“Repsol”, “rebaja de acciones”, “HSBC”, “Banco DZ”</t>
  </si>
  <si>
    <t>Strongly negative due to lack of confidence from analysts.</t>
  </si>
  <si>
    <t>sufre, rebajas</t>
  </si>
  <si>
    <r>
      <rPr>
        <rFont val="Arial, sans-serif"/>
        <color rgb="FF1155CC"/>
        <sz val="9.0"/>
        <u/>
      </rPr>
      <t>www.diariodelpuerto.com</t>
    </r>
    <r>
      <rPr>
        <rFont val="Arial, sans-serif"/>
        <color rgb="FF1155CC"/>
        <sz val="15.0"/>
        <u/>
      </rPr>
      <t>La planta de SAF de Repsol en Cartagena produce 250.000 toneladas anuales y es la más grande del sur de Europa</t>
    </r>
    <r>
      <rPr>
        <rFont val="Arial, sans-serif"/>
        <color rgb="FF1155CC"/>
        <sz val="11.0"/>
        <u/>
      </rPr>
      <t>BNEW ha ofrecido en su tercera jornada la conferencia Net Zero CO₂ para 2050 - Innovaciones para un Cielo más Limpio en su vertical Aviation.</t>
    </r>
    <r>
      <rPr>
        <rFont val="Arial, sans-serif"/>
        <color rgb="FF1155CC"/>
        <sz val="12.0"/>
        <u/>
      </rPr>
      <t>.</t>
    </r>
    <r>
      <rPr>
        <rFont val="Arial, sans-serif"/>
        <color rgb="FF1155CC"/>
        <sz val="11.0"/>
        <u/>
      </rPr>
      <t>11 oct 2024</t>
    </r>
  </si>
  <si>
    <t>La planta de SAF de Repsol en Cartagena produce 250.000 toneladas anuales y es la más grande del sur de Europa</t>
  </si>
  <si>
    <t>La planta de SAF de Repsol en Cartagena produce 250.000 toneladas anuales y es la más grande del sur de Europa.</t>
  </si>
  <si>
    <t>Repsol's SAF plant in Cartagena produces 250,000 tons annually and is the largest in southern Europe</t>
  </si>
  <si>
    <t>Repsol's SAF plant in Cartagena produces 250,000 tons annually and is the largest in southern Europe.</t>
  </si>
  <si>
    <t>“Repsol”, “SAF”, “Cartagena”</t>
  </si>
  <si>
    <t>Positive due to strong production capacity and leadership in renewables.</t>
  </si>
  <si>
    <t>planta, produce</t>
  </si>
  <si>
    <t>Positive renewable energy milestone.</t>
  </si>
  <si>
    <t>Hito positivo en energías renovables.</t>
  </si>
  <si>
    <r>
      <rPr>
        <rFont val="Arial, sans-serif"/>
        <color rgb="FF1155CC"/>
        <sz val="9.0"/>
        <u/>
      </rPr>
      <t>Finanzas.com</t>
    </r>
    <r>
      <rPr>
        <rFont val="Arial, sans-serif"/>
        <color rgb="FF1155CC"/>
        <sz val="15.0"/>
        <u/>
      </rPr>
      <t>La cotización de Repsol descuenta un escenario muy negativo</t>
    </r>
    <r>
      <rPr>
        <rFont val="Arial, sans-serif"/>
        <color rgb="FF1155CC"/>
        <sz val="11.0"/>
        <u/>
      </rPr>
      <t>El trading statement de Repsol refleja una caída de los precios del Brent, menor margen de refino y menor producción. Esto ha provocado un recorte de las...</t>
    </r>
    <r>
      <rPr>
        <rFont val="Arial, sans-serif"/>
        <color rgb="FF1155CC"/>
        <sz val="12.0"/>
        <u/>
      </rPr>
      <t>.</t>
    </r>
    <r>
      <rPr>
        <rFont val="Arial, sans-serif"/>
        <color rgb="FF1155CC"/>
        <sz val="11.0"/>
        <u/>
      </rPr>
      <t>11 oct 2024</t>
    </r>
  </si>
  <si>
    <t>La cotización de Repsol descuenta un escenario muy negativo</t>
  </si>
  <si>
    <t>El trading statement de Repsol refleja una caída de los precios del Brent, menor margen de refino y menor producción. Esto ha provocado un recorte de las....</t>
  </si>
  <si>
    <t>Repsol's price discounts a very negative scenario</t>
  </si>
  <si>
    <t>Repsol's trading statement reflects a drop in Brent prices, lower refining margin and lower production. This has caused a cut in...</t>
  </si>
  <si>
    <t>“Repsol”, “stock market”, “Brent prices”</t>
  </si>
  <si>
    <t>“Repsol”, “bolsa”, “precios del Brent”</t>
  </si>
  <si>
    <t>Strongly negative due to market downturn and lower production.</t>
  </si>
  <si>
    <t>negativo</t>
  </si>
  <si>
    <t>Negative market perception.</t>
  </si>
  <si>
    <t>Percepción negativa del mercado.</t>
  </si>
  <si>
    <r>
      <rPr>
        <rFont val="Arial, sans-serif"/>
        <color rgb="FF1155CC"/>
        <sz val="9.0"/>
        <u/>
      </rPr>
      <t>Xataka</t>
    </r>
    <r>
      <rPr>
        <rFont val="Arial, sans-serif"/>
        <color rgb="FF1155CC"/>
        <sz val="15.0"/>
        <u/>
      </rPr>
      <t>El aceite de cocina usado es un enorme problema medioambiental. Repsol quiere pagarte para solucionarlo</t>
    </r>
    <r>
      <rPr>
        <rFont val="Arial, sans-serif"/>
        <color rgb="FF1155CC"/>
        <sz val="11.0"/>
        <u/>
      </rPr>
      <t>El aceite usado que guardas en botellas por casa y después desechas al contenedor específico para ello podría generarte un pequeño ingreso, ¿cómo lograr...</t>
    </r>
    <r>
      <rPr>
        <rFont val="Arial, sans-serif"/>
        <color rgb="FF1155CC"/>
        <sz val="12.0"/>
        <u/>
      </rPr>
      <t>.</t>
    </r>
    <r>
      <rPr>
        <rFont val="Arial, sans-serif"/>
        <color rgb="FF1155CC"/>
        <sz val="11.0"/>
        <u/>
      </rPr>
      <t>11 oct 2024</t>
    </r>
  </si>
  <si>
    <t>El aceite de cocina usado es un enorme problema medioambiental. Repsol quiere pagarte para solucionarlo</t>
  </si>
  <si>
    <t>El aceite usado que guardas en botellas por casa y después desechas al contenedor específico para ello podría generarte un pequeño ingreso, ¿cómo lograr....</t>
  </si>
  <si>
    <t>Used cooking oil is a huge environmental problem. Repsol wants to pay you to solve it</t>
  </si>
  <si>
    <t>The used oil that you keep in bottles at home and then dispose of in the specific container could generate a small income, how can you achieve...</t>
  </si>
  <si>
    <t>“Repsol”, “cooking oil”, “biofuel”</t>
  </si>
  <si>
    <t>“Repsol”, “aceite de cocina”, “biocombustible”</t>
  </si>
  <si>
    <t>Positive as it highlights Repsol’s environmental efforts.</t>
  </si>
  <si>
    <t>solucionarlo, pagarte</t>
  </si>
  <si>
    <r>
      <rPr>
        <rFont val="Arial, sans-serif"/>
        <color rgb="FF1155CC"/>
        <sz val="9.0"/>
        <u/>
      </rPr>
      <t>El Periódico</t>
    </r>
    <r>
      <rPr>
        <rFont val="Arial, sans-serif"/>
        <color rgb="FF1155CC"/>
        <sz val="15.0"/>
        <u/>
      </rPr>
      <t>Entrevista a Isidre Esteve, piloto de Repsol Honda</t>
    </r>
    <r>
      <rPr>
        <rFont val="Arial, sans-serif"/>
        <color rgb="FF1155CC"/>
        <sz val="11.0"/>
        <u/>
      </rPr>
      <t>Siempre tiene una sonrisa dibujada en la cara. Ya sea mientras mira el coche desde lejos, cuando está al volante o con un micrófono en la mano.</t>
    </r>
    <r>
      <rPr>
        <rFont val="Arial, sans-serif"/>
        <color rgb="FF1155CC"/>
        <sz val="12.0"/>
        <u/>
      </rPr>
      <t>.</t>
    </r>
    <r>
      <rPr>
        <rFont val="Arial, sans-serif"/>
        <color rgb="FF1155CC"/>
        <sz val="11.0"/>
        <u/>
      </rPr>
      <t>11 oct 2024</t>
    </r>
  </si>
  <si>
    <t>Entrevista a Isidre Esteve, piloto de Repsol Honda</t>
  </si>
  <si>
    <t>Siempre tiene una sonrisa dibujada en la cara. Ya sea mientras mira el coche desde lejos, cuando está al volante o con un micrófono en la mano.</t>
  </si>
  <si>
    <t>Interview with Isidre Esteve, Repsol Honda driver</t>
  </si>
  <si>
    <t>He always has a smile on his face. Whether while looking at the car from afar, when you are behind the wheel or with a microphone in your hand.</t>
  </si>
  <si>
    <r>
      <rPr>
        <rFont val="Arial, sans-serif"/>
        <color rgb="FF1155CC"/>
        <sz val="9.0"/>
        <u/>
      </rPr>
      <t>La Opinión de Málaga</t>
    </r>
    <r>
      <rPr>
        <rFont val="Arial, sans-serif"/>
        <color rgb="FF1155CC"/>
        <sz val="15.0"/>
        <u/>
      </rPr>
      <t>¿Qué va a pasar ahora con los terrenos de Repsol?</t>
    </r>
    <r>
      <rPr>
        <rFont val="Arial, sans-serif"/>
        <color rgb="FF1155CC"/>
        <sz val="11.0"/>
        <u/>
      </rPr>
      <t>Los servicios jurídicos de la Gerencia de Urbanismo estudian el encaje legal del último recurso de Urbania. El Consejo Rector deberá pronunciarse una vez...</t>
    </r>
    <r>
      <rPr>
        <rFont val="Arial, sans-serif"/>
        <color rgb="FF1155CC"/>
        <sz val="12.0"/>
        <u/>
      </rPr>
      <t>.</t>
    </r>
    <r>
      <rPr>
        <rFont val="Arial, sans-serif"/>
        <color rgb="FF1155CC"/>
        <sz val="11.0"/>
        <u/>
      </rPr>
      <t>11 oct 2024</t>
    </r>
  </si>
  <si>
    <t>¿Qué va a pasar ahora con los terrenos de Repsol?</t>
  </si>
  <si>
    <t>Los servicios jurídicos de la Gerencia de Urbanismo estudian el encaje legal del último recurso de Urbania. El Consejo Rector deberá pronunciarse una vez....</t>
  </si>
  <si>
    <t>What is going to happen now with the Repsol land?</t>
  </si>
  <si>
    <t>The legal services of the Urban Planning Management study the legal fit of Urbania's last resort. The Governing Council must make a statement once....</t>
  </si>
  <si>
    <r>
      <rPr>
        <rFont val="Arial, sans-serif"/>
        <color rgb="FF1155CC"/>
        <sz val="9.0"/>
        <u/>
      </rPr>
      <t>El Diario Montañés</t>
    </r>
    <r>
      <rPr>
        <rFont val="Arial, sans-serif"/>
        <color rgb="FF1155CC"/>
        <sz val="15.0"/>
        <u/>
      </rPr>
      <t>El silencio de Confederación para extender la vida útil de Aguayo hace peligrar la obra de ampliación</t>
    </r>
    <r>
      <rPr>
        <rFont val="Arial, sans-serif"/>
        <color rgb="FF1155CC"/>
        <sz val="11.0"/>
        <u/>
      </rPr>
      <t>Repsol pidió prolongar su explotación hasta 2080. Si no hay respuesta antes del 22 de octubre, la central quedará fuera de las ayudas de la UE y se revisará...</t>
    </r>
    <r>
      <rPr>
        <rFont val="Arial, sans-serif"/>
        <color rgb="FF1155CC"/>
        <sz val="12.0"/>
        <u/>
      </rPr>
      <t>.</t>
    </r>
    <r>
      <rPr>
        <rFont val="Arial, sans-serif"/>
        <color rgb="FF1155CC"/>
        <sz val="11.0"/>
        <u/>
      </rPr>
      <t>11 oct 2024</t>
    </r>
  </si>
  <si>
    <t>El silencio de Confederación para extender la vida útil de Aguayo hace peligrar la obra de ampliación</t>
  </si>
  <si>
    <t>Repsol pidió prolongar su explotación hasta 2080. Si no hay respuesta antes del 22 de octubre, la central quedará fuera de las ayudas de la UE y se revisará....</t>
  </si>
  <si>
    <t>The silence of the Confederation to extend the useful life of Aguayo endangers the expansion work</t>
  </si>
  <si>
    <t>Repsol asked to extend its operation until 2080. If there is no response before October 22, the plant will be excluded from EU aid and will be reviewed....</t>
  </si>
  <si>
    <t>“Repsol”, “Aguayo”, “EU aid”</t>
  </si>
  <si>
    <t>“Repsol”, “Aguayo”, “ayuda de la UE”</t>
  </si>
  <si>
    <t>Negative due to potential financial and operational setbacks.</t>
  </si>
  <si>
    <r>
      <rPr>
        <rFont val="Arial, sans-serif"/>
        <color rgb="FF1155CC"/>
        <sz val="9.0"/>
        <u/>
      </rPr>
      <t>20Minutos</t>
    </r>
    <r>
      <rPr>
        <rFont val="Arial, sans-serif"/>
        <color rgb="FF1155CC"/>
        <sz val="15.0"/>
        <u/>
      </rPr>
      <t>Iberdrola y Endesa aprietan la carrera por fidelizar clientes con más de un millón y medio de 'suscriptores'</t>
    </r>
    <r>
      <rPr>
        <rFont val="Arial, sans-serif"/>
        <color rgb="FF1155CC"/>
        <sz val="11.0"/>
        <u/>
      </rPr>
      <t>Las eléctricas ofrecen descuentos en viajes, festivales y otras experiencias de ocio -y en las facturas de la luz-, a través de sus programas de...</t>
    </r>
    <r>
      <rPr>
        <rFont val="Arial, sans-serif"/>
        <color rgb="FF1155CC"/>
        <sz val="12.0"/>
        <u/>
      </rPr>
      <t>.</t>
    </r>
    <r>
      <rPr>
        <rFont val="Arial, sans-serif"/>
        <color rgb="FF1155CC"/>
        <sz val="11.0"/>
        <u/>
      </rPr>
      <t>11 oct 2024</t>
    </r>
  </si>
  <si>
    <t>Iberdrola y Endesa aprietan la carrera por fidelizar clientes con más de un millón y medio de 'suscriptores'</t>
  </si>
  <si>
    <t>Las eléctricas ofrecen descuentos en viajes, festivales y otras experiencias de ocio -y en las facturas de la luz-, a través de sus programas de....</t>
  </si>
  <si>
    <t>Iberdrola and Endesa accelerate the race to retain customers with more than one and a half million 'subscribers'</t>
  </si>
  <si>
    <t>Electricity companies offer discounts on trips, festivals and other leisure experiences - and on electricity bills - through their...</t>
  </si>
  <si>
    <r>
      <rPr>
        <rFont val="Arial, sans-serif"/>
        <color rgb="FF1155CC"/>
        <sz val="9.0"/>
        <u/>
      </rPr>
      <t>El Español</t>
    </r>
    <r>
      <rPr>
        <rFont val="Arial, sans-serif"/>
        <color rgb="FF1155CC"/>
        <sz val="15.0"/>
        <u/>
      </rPr>
      <t>Las víctimas de la banda del Porsche Cayenne que está desvalijando el Campo de Cartagena: "Tengo miedo"</t>
    </r>
    <r>
      <rPr>
        <rFont val="Arial, sans-serif"/>
        <color rgb="FF1155CC"/>
        <sz val="11.0"/>
        <u/>
      </rPr>
      <t>La Guardia Civil tiene abierta una investigación para dar caza a este grupo que ha dado golpes en gasolineras, bazares chinos y supermercados.</t>
    </r>
    <r>
      <rPr>
        <rFont val="Arial, sans-serif"/>
        <color rgb="FF1155CC"/>
        <sz val="12.0"/>
        <u/>
      </rPr>
      <t>.</t>
    </r>
    <r>
      <rPr>
        <rFont val="Arial, sans-serif"/>
        <color rgb="FF1155CC"/>
        <sz val="11.0"/>
        <u/>
      </rPr>
      <t>11 oct 2024</t>
    </r>
  </si>
  <si>
    <t>Las víctimas de la banda del Porsche Cayenne que está desvalijando el Campo de Cartagena: "Tengo miedo"</t>
  </si>
  <si>
    <t>Las víctimas de la banda del Porsche Cayenne que está desvalijando el Campo de Cartagena: "Tengo miedo". La Guardia Civil tiene abierta una investigación para dar caza a este grupo que ha dado golpes en gasolineras, bazares chinos y supermercados.</t>
  </si>
  <si>
    <t>The victims of the Porsche Cayenne gang that is looting Campo de Cartagena: "I'm afraid"</t>
  </si>
  <si>
    <t>The victims of the Porsche Cayenne gang that is looting Campo de Cartagena: "I'm afraid." The Civil Guard has an investigation open to hunt down this group that has carried out attacks at gas stations, Chinese bazaars and supermarkets.</t>
  </si>
  <si>
    <r>
      <rPr>
        <rFont val="Arial, sans-serif"/>
        <color rgb="FF1155CC"/>
        <sz val="9.0"/>
        <u/>
      </rPr>
      <t>Guía Repsol</t>
    </r>
    <r>
      <rPr>
        <rFont val="Arial, sans-serif"/>
        <color rgb="FF1155CC"/>
        <sz val="15.0"/>
        <u/>
      </rPr>
      <t>Una catedral subterránea hecha con la sal más salada</t>
    </r>
    <r>
      <rPr>
        <rFont val="Arial, sans-serif"/>
        <color rgb="FF1155CC"/>
        <sz val="11.0"/>
        <u/>
      </rPr>
      <t>El castillo de Cardona nació para proteger una montaña extraña de pliegues grisáceos que se levanta frente a él. Solo es la punta de un iceberg salado que...</t>
    </r>
    <r>
      <rPr>
        <rFont val="Arial, sans-serif"/>
        <color rgb="FF1155CC"/>
        <sz val="12.0"/>
        <u/>
      </rPr>
      <t>.</t>
    </r>
    <r>
      <rPr>
        <rFont val="Arial, sans-serif"/>
        <color rgb="FF1155CC"/>
        <sz val="11.0"/>
        <u/>
      </rPr>
      <t>11 oct 2024</t>
    </r>
  </si>
  <si>
    <t>Una catedral subterránea hecha con la sal más salada</t>
  </si>
  <si>
    <t>El castillo de Cardona nació para proteger una montaña extraña de pliegues grisáceos que se levanta frente a él. Solo es la punta de un iceberg salado que....</t>
  </si>
  <si>
    <t>An underground cathedral made from the saltiest salt</t>
  </si>
  <si>
    <t>Cardona Castle was born to protect a strange mountain with grayish folds that rises in front of it. It's just the tip of a salty iceberg that...</t>
  </si>
  <si>
    <r>
      <rPr>
        <rFont val="Arial, sans-serif"/>
        <color rgb="FF1155CC"/>
        <sz val="9.0"/>
        <u/>
      </rPr>
      <t>Economía Digital</t>
    </r>
    <r>
      <rPr>
        <rFont val="Arial, sans-serif"/>
        <color rgb="FF1155CC"/>
        <sz val="15.0"/>
        <u/>
      </rPr>
      <t>Repsol acelera la fabricación de gasolina renovable con 500 millones de inversión</t>
    </r>
    <r>
      <rPr>
        <rFont val="Arial, sans-serif"/>
        <color rgb="FF1155CC"/>
        <sz val="11.0"/>
        <u/>
      </rPr>
      <t>Repsol sigue surcando su propio camino en la reducción de emisiones con diferentes apuestas tecnológicas. Una de ellas es el desarrollo de biocombustible o...</t>
    </r>
    <r>
      <rPr>
        <rFont val="Arial, sans-serif"/>
        <color rgb="FF1155CC"/>
        <sz val="12.0"/>
        <u/>
      </rPr>
      <t>.</t>
    </r>
    <r>
      <rPr>
        <rFont val="Arial, sans-serif"/>
        <color rgb="FF1155CC"/>
        <sz val="11.0"/>
        <u/>
      </rPr>
      <t>12 oct 2024</t>
    </r>
  </si>
  <si>
    <t>Repsol acelera la fabricación de gasolina renovable con 500 millones de inversión</t>
  </si>
  <si>
    <t>Repsol sigue surcando su propio camino en la reducción de emisiones con diferentes apuestas tecnológicas. Una de ellas es el desarrollo de biocombustible o....</t>
  </si>
  <si>
    <t>Repsol accelerates the manufacturing of renewable gasoline with a 500 million investment</t>
  </si>
  <si>
    <t>Repsol continues to follow its own path in reducing emissions with different technological bets. One of them is the development of biofuel or....</t>
  </si>
  <si>
    <t>“Repsol”, “renewable gasoline”, “investment”</t>
  </si>
  <si>
    <t>“Repsol”, “gasolina renovable”, “inversión”</t>
  </si>
  <si>
    <t>Positive due to investment in sustainability.</t>
  </si>
  <si>
    <t>acelera, inversión</t>
  </si>
  <si>
    <t>Strong positive renewable commitment.</t>
  </si>
  <si>
    <t>Fuerte apuesta positiva por las renovables.</t>
  </si>
  <si>
    <r>
      <rPr>
        <rFont val="Arial, sans-serif"/>
        <color rgb="FF1155CC"/>
        <sz val="9.0"/>
        <u/>
      </rPr>
      <t>Business Insider España</t>
    </r>
    <r>
      <rPr>
        <rFont val="Arial, sans-serif"/>
        <color rgb="FF1155CC"/>
        <sz val="15.0"/>
        <u/>
      </rPr>
      <t>¿Se puede ahorrar tiempo con la IA en una empresa española? Una firma del Ibex lo ha puesto a prueba con 550 empleados</t>
    </r>
    <r>
      <rPr>
        <rFont val="Arial, sans-serif"/>
        <color rgb="FF1155CC"/>
        <sz val="11.0"/>
        <u/>
      </rPr>
      <t>La mayoría de los trabajadores que ha utilizado esta tecnología se muestra satisfecho y un 61,9% sostiene que prefiere no volver a trabajar sin ella.</t>
    </r>
    <r>
      <rPr>
        <rFont val="Arial, sans-serif"/>
        <color rgb="FF1155CC"/>
        <sz val="12.0"/>
        <u/>
      </rPr>
      <t>.</t>
    </r>
    <r>
      <rPr>
        <rFont val="Arial, sans-serif"/>
        <color rgb="FF1155CC"/>
        <sz val="11.0"/>
        <u/>
      </rPr>
      <t>12 oct 2024</t>
    </r>
  </si>
  <si>
    <t>¿Se puede ahorrar tiempo con la IA en una empresa española? Una firma del Ibex lo ha puesto a prueba con 550 empleados</t>
  </si>
  <si>
    <t>La mayoría de los trabajadores que ha utilizado esta tecnología se muestra satisfecha y un 61,9% sostiene que prefiere no volver a trabajar sin ella.</t>
  </si>
  <si>
    <t>Can you save time with AI in a Spanish company? An Ibex firm has tested it with 550 employees</t>
  </si>
  <si>
    <t>The majority of workers who have used this technology are satisfied and 61.9% say they prefer not to work without it again.</t>
  </si>
  <si>
    <r>
      <rPr>
        <rFont val="Arial, sans-serif"/>
        <color rgb="FF1155CC"/>
        <sz val="9.0"/>
        <u/>
      </rPr>
      <t>El Confidencial</t>
    </r>
    <r>
      <rPr>
        <rFont val="Arial, sans-serif"/>
        <color rgb="FF1155CC"/>
        <sz val="15.0"/>
        <u/>
      </rPr>
      <t>Diésel para dar la vuelta al mundo 3 M de veces: el debate sobre el motor de combustión no frena a la refinería de Cartagena</t>
    </r>
    <r>
      <rPr>
        <rFont val="Arial, sans-serif"/>
        <color rgb="FF1155CC"/>
        <sz val="11.0"/>
        <u/>
      </rPr>
      <t>El complejo industrial de Repsol está a punto de cumplir los 75 años de edad. Un aniversario que afronta en plena transformación verde y con riesgos...</t>
    </r>
    <r>
      <rPr>
        <rFont val="Arial, sans-serif"/>
        <color rgb="FF1155CC"/>
        <sz val="12.0"/>
        <u/>
      </rPr>
      <t>.</t>
    </r>
    <r>
      <rPr>
        <rFont val="Arial, sans-serif"/>
        <color rgb="FF1155CC"/>
        <sz val="11.0"/>
        <u/>
      </rPr>
      <t>12 oct 2024</t>
    </r>
  </si>
  <si>
    <t>Diésel para dar la vuelta al mundo 3 M de veces: el debate sobre el motor de combustión no frena a la refinería de Cartagena</t>
  </si>
  <si>
    <t>El complejo industrial de Repsol está a punto de cumplir los 75 años de edad. Un aniversario que afronta en plena transformación verde y con riesgos....</t>
  </si>
  <si>
    <t>Diesel to go around the world 3 M times: the debate on the combustion engine does not stop the Cartagena refinery</t>
  </si>
  <si>
    <t>The Repsol industrial complex is about to turn 75 years old. An anniversary that faces in full green transformation and with risks....</t>
  </si>
  <si>
    <t>“Repsol”, “Cartagena”, “diesel production”</t>
  </si>
  <si>
    <t>“Repsol”, “Cartagena”, “producción diésel”</t>
  </si>
  <si>
    <t>Mixed, as it highlights sustainability efforts but also risks.</t>
  </si>
  <si>
    <t>Neutral operational context.</t>
  </si>
  <si>
    <t>Contexto operativo neutral.</t>
  </si>
  <si>
    <r>
      <rPr>
        <rFont val="Arial, sans-serif"/>
        <color rgb="FF1155CC"/>
        <sz val="9.0"/>
        <u/>
      </rPr>
      <t>Faro de Vigo</t>
    </r>
    <r>
      <rPr>
        <rFont val="Arial, sans-serif"/>
        <color rgb="FF1155CC"/>
        <sz val="15.0"/>
        <u/>
      </rPr>
      <t>La coctelería de Vigo con Solete de la Guía Repsol que cosecha premios a nivel nacional: bebidas y buena música</t>
    </r>
    <r>
      <rPr>
        <rFont val="Arial, sans-serif"/>
        <color rgb="FF1155CC"/>
        <sz val="11.0"/>
        <u/>
      </rPr>
      <t>Un bar muy reconocido en el barrio de Churruca.</t>
    </r>
    <r>
      <rPr>
        <rFont val="Arial, sans-serif"/>
        <color rgb="FF1155CC"/>
        <sz val="12.0"/>
        <u/>
      </rPr>
      <t>.</t>
    </r>
    <r>
      <rPr>
        <rFont val="Arial, sans-serif"/>
        <color rgb="FF1155CC"/>
        <sz val="11.0"/>
        <u/>
      </rPr>
      <t>12 oct 2024</t>
    </r>
  </si>
  <si>
    <t>La coctelería de Vigo con Solete de la Guía Repsol que cosecha premios a nivel nacional: bebidas y buena música</t>
  </si>
  <si>
    <t>Un bar muy reconocido en el barrio de Churruca.</t>
  </si>
  <si>
    <t>The Vigo cocktail bar with Solete from the Repsol Guide that wins national awards: drinks and good music</t>
  </si>
  <si>
    <t>A very renowned bar in the Churruca neighborhood.</t>
  </si>
  <si>
    <r>
      <rPr>
        <rFont val="Arial, sans-serif"/>
        <color rgb="FF1155CC"/>
        <sz val="9.0"/>
        <u/>
      </rPr>
      <t>El Comercio Perú</t>
    </r>
    <r>
      <rPr>
        <rFont val="Arial, sans-serif"/>
        <color rgb="FF1155CC"/>
        <sz val="15.0"/>
        <u/>
      </rPr>
      <t>Repsol: impulsando el desarrollo sostenible y la equidad en el Perú</t>
    </r>
    <r>
      <rPr>
        <rFont val="Arial, sans-serif"/>
        <color rgb="FF1155CC"/>
        <sz val="11.0"/>
        <u/>
      </rPr>
      <t>A través de inversiones y acciones enfocadas en igualdad de género, responsabilidad social y sostenibilidad, la empresa energética impulsa el progreso del...</t>
    </r>
    <r>
      <rPr>
        <rFont val="Arial, sans-serif"/>
        <color rgb="FF1155CC"/>
        <sz val="12.0"/>
        <u/>
      </rPr>
      <t>.</t>
    </r>
    <r>
      <rPr>
        <rFont val="Arial, sans-serif"/>
        <color rgb="FF1155CC"/>
        <sz val="11.0"/>
        <u/>
      </rPr>
      <t>12 oct 2024</t>
    </r>
  </si>
  <si>
    <t>Repsol: impulsando el desarrollo sostenible y la equidad en el Perú</t>
  </si>
  <si>
    <t>A través de inversiones y acciones enfocadas en igualdad de género, responsabilidad social y sostenibilidad, la empresa energética impulsa el progreso del....</t>
  </si>
  <si>
    <t>Repsol: promoting sustainable development and equity in Peru</t>
  </si>
  <si>
    <t>Through investments and actions focused on gender equality, social responsibility and sustainability, the energy company promotes the progress of...</t>
  </si>
  <si>
    <t>“Repsol”, “sustainability”, “Peru”</t>
  </si>
  <si>
    <t>“Repsol”, “sostenibilidad”, “Perú”</t>
  </si>
  <si>
    <t>Positive due to corporate social responsibility efforts.</t>
  </si>
  <si>
    <t>desarrollo sostenible</t>
  </si>
  <si>
    <r>
      <rPr>
        <rFont val="Arial, sans-serif"/>
        <color rgb="FF1155CC"/>
        <sz val="9.0"/>
        <u/>
      </rPr>
      <t>El Debate</t>
    </r>
    <r>
      <rPr>
        <rFont val="Arial, sans-serif"/>
        <color rgb="FF1155CC"/>
        <sz val="15.0"/>
        <u/>
      </rPr>
      <t>El PNV, muy pendiente de las decisiones de Moncloa sobre sus intereses en la CNMC, las energéticas o Talgo</t>
    </r>
    <r>
      <rPr>
        <rFont val="Arial, sans-serif"/>
        <color rgb="FF1155CC"/>
        <sz val="11.0"/>
        <u/>
      </rPr>
      <t>Aunque se les ha relacionado con Telefónica, les interesan más otras cuestiones.</t>
    </r>
    <r>
      <rPr>
        <rFont val="Arial, sans-serif"/>
        <color rgb="FF1155CC"/>
        <sz val="12.0"/>
        <u/>
      </rPr>
      <t>.</t>
    </r>
    <r>
      <rPr>
        <rFont val="Arial, sans-serif"/>
        <color rgb="FF1155CC"/>
        <sz val="11.0"/>
        <u/>
      </rPr>
      <t>12 oct 2024</t>
    </r>
  </si>
  <si>
    <t>El PNV, muy pendiente de las decisiones de Moncloa sobre sus intereses en la CNMC, las energéticas o Talgo</t>
  </si>
  <si>
    <t>El PNV, muy pendiente de las decisiones de Moncloa sobre sus intereses en la CNMC, las energéticas o Talgo. Aunque se les ha relacionado con Telefónica, les interesan más otras cuestiones.</t>
  </si>
  <si>
    <t>The PNV, very aware of Moncloa's decisions about its interests in the CNMC, energy companies or Talgo</t>
  </si>
  <si>
    <t>The PNV, very aware of Moncloa's decisions about its interests in the CNMC, energy companies or Talgo. Although they have been linked to Telefónica, they are more interested in other issues.</t>
  </si>
  <si>
    <r>
      <rPr>
        <rFont val="Arial, sans-serif"/>
        <color rgb="FF1155CC"/>
        <sz val="9.0"/>
        <u/>
      </rPr>
      <t>Relevo</t>
    </r>
    <r>
      <rPr>
        <rFont val="Arial, sans-serif"/>
        <color rgb="FF1155CC"/>
        <sz val="15.0"/>
        <u/>
      </rPr>
      <t>Isidre Esteve firma su mejor rally de Marruecos: "Se han confirmado las sensaciones del Dakar"</t>
    </r>
    <r>
      <rPr>
        <rFont val="Arial, sans-serif"/>
        <color rgb="FF1155CC"/>
        <sz val="11.0"/>
        <u/>
      </rPr>
      <t>El piloto español Isidre Esteve (Repsol Toyota Rally Team) se mostró exultante tras su mejor participación en el Rally de Marruecos, donde terminó en 12ª...</t>
    </r>
    <r>
      <rPr>
        <rFont val="Arial, sans-serif"/>
        <color rgb="FF1155CC"/>
        <sz val="12.0"/>
        <u/>
      </rPr>
      <t>.</t>
    </r>
    <r>
      <rPr>
        <rFont val="Arial, sans-serif"/>
        <color rgb="FF1155CC"/>
        <sz val="11.0"/>
        <u/>
      </rPr>
      <t>12 oct 2024</t>
    </r>
  </si>
  <si>
    <t>Isidre Esteve firma su mejor rally de Marruecos: "Se han confirmado las sensaciones del Dakar"</t>
  </si>
  <si>
    <t>El piloto español Isidre Esteve (Repsol Toyota Rally Team) se mostró exultante tras su mejor participación en el Rally de Marruecos, donde terminó en 12ª.</t>
  </si>
  <si>
    <t>Isidre Esteve signs his best rally in Morocco: "The sensations of the Dakar have been confirmed"</t>
  </si>
  <si>
    <t>Spanish driver Isidre Esteve (Repsol Toyota Rally Team) was exultant after his best participation in the Morocco Rally, where he finished 12th.</t>
  </si>
  <si>
    <r>
      <rPr>
        <rFont val="Arial, sans-serif"/>
        <color rgb="FF1155CC"/>
        <sz val="9.0"/>
        <u/>
      </rPr>
      <t>El Español</t>
    </r>
    <r>
      <rPr>
        <rFont val="Arial, sans-serif"/>
        <color rgb="FF1155CC"/>
        <sz val="15.0"/>
        <u/>
      </rPr>
      <t>El mítico restaurante de carretera en el que tienes que parar si pasas por Zaragoza: es famoso por sus torreznos</t>
    </r>
    <r>
      <rPr>
        <rFont val="Arial, sans-serif"/>
        <color rgb="FF1155CC"/>
        <sz val="11.0"/>
        <u/>
      </rPr>
      <t>Entre Madrid y Barcelona está este restaurante con muy buena relación calidad-precio, el menú del día con platos grandes cuesta 19 euros.</t>
    </r>
    <r>
      <rPr>
        <rFont val="Arial, sans-serif"/>
        <color rgb="FF1155CC"/>
        <sz val="12.0"/>
        <u/>
      </rPr>
      <t>.</t>
    </r>
    <r>
      <rPr>
        <rFont val="Arial, sans-serif"/>
        <color rgb="FF1155CC"/>
        <sz val="11.0"/>
        <u/>
      </rPr>
      <t>12 oct 2024</t>
    </r>
  </si>
  <si>
    <t>El mítico restaurante de carretera en el que tienes que parar si pasas por Zaragoza: es famoso por sus torreznos</t>
  </si>
  <si>
    <t>Es famoso por sus torreznos. Entre Madrid y Barcelona está este restaurante con muy buena relación calidad-precio, el menú del día con platos grandes cuesta 19 euros.</t>
  </si>
  <si>
    <t>The legendary roadside restaurant where you have to stop if you pass through Zaragoza: it is famous for its torreznos</t>
  </si>
  <si>
    <t>It is famous for its torreznos. Between Madrid and Barcelona is this restaurant with a very good quality-price ratio, the daily menu with large dishes costs 19 euros.</t>
  </si>
  <si>
    <r>
      <rPr>
        <rFont val="Arial, sans-serif"/>
        <color rgb="FF1155CC"/>
        <sz val="9.0"/>
        <u/>
      </rPr>
      <t>EFE - Agencia de noticias</t>
    </r>
    <r>
      <rPr>
        <rFont val="Arial, sans-serif"/>
        <color rgb="FF1155CC"/>
        <sz val="15.0"/>
        <u/>
      </rPr>
      <t>Las sanciones petroleras a Venezuela, bajo un ‘alivio’ limitado e incierto</t>
    </r>
    <r>
      <rPr>
        <rFont val="Arial, sans-serif"/>
        <color rgb="FF1155CC"/>
        <sz val="11.0"/>
        <u/>
      </rPr>
      <t>Las sanciones petroleras de EEUU contra Venezuela están bajo una suerte de alivio que permite a empresas extranjeras operar en el país.</t>
    </r>
    <r>
      <rPr>
        <rFont val="Arial, sans-serif"/>
        <color rgb="FF1155CC"/>
        <sz val="12.0"/>
        <u/>
      </rPr>
      <t>.</t>
    </r>
    <r>
      <rPr>
        <rFont val="Arial, sans-serif"/>
        <color rgb="FF1155CC"/>
        <sz val="11.0"/>
        <u/>
      </rPr>
      <t>12 oct 2024</t>
    </r>
  </si>
  <si>
    <t>Las sanciones petroleras a Venezuela, bajo un ‘alivio’ limitado e incierto</t>
  </si>
  <si>
    <t>Las sanciones petroleras de EEUU contra Venezuela están bajo una suerte de alivio que permite a empresas extranjeras operar en el país.</t>
  </si>
  <si>
    <t>Oil sanctions on Venezuela, under limited and uncertain 'relief'</t>
  </si>
  <si>
    <t>US oil sanctions against Venezuela are under a type of relief that allows foreign companies to operate in the country.</t>
  </si>
  <si>
    <t>Negative due to geopolitical uncertainty in the oil sector.</t>
  </si>
  <si>
    <r>
      <rPr>
        <rFont val="Arial, sans-serif"/>
        <color rgb="FF1155CC"/>
        <sz val="9.0"/>
        <u/>
      </rPr>
      <t>Europa Press</t>
    </r>
    <r>
      <rPr>
        <rFont val="Arial, sans-serif"/>
        <color rgb="FF1155CC"/>
        <sz val="15.0"/>
        <u/>
      </rPr>
      <t>Repsol invierte 500 millones en España para impulsar su apuesta por los combustibles 100% renovables</t>
    </r>
    <r>
      <rPr>
        <rFont val="Arial, sans-serif"/>
        <color rgb="FF1155CC"/>
        <sz val="11.0"/>
        <u/>
      </rPr>
      <t>CARTAGENA 13 Oct. (del enviado especial de EUROPA PRESS, Francisco Javier Baeza) -. Repsol ha comprometido ya inversiones por unos 500 millones de euros en...</t>
    </r>
    <r>
      <rPr>
        <rFont val="Arial, sans-serif"/>
        <color rgb="FF1155CC"/>
        <sz val="12.0"/>
        <u/>
      </rPr>
      <t>.</t>
    </r>
    <r>
      <rPr>
        <rFont val="Arial, sans-serif"/>
        <color rgb="FF1155CC"/>
        <sz val="11.0"/>
        <u/>
      </rPr>
      <t>13 oct 2024</t>
    </r>
  </si>
  <si>
    <t>Repsol invierte 500 millones en España para impulsar su apuesta por los combustibles 100% renovables</t>
  </si>
  <si>
    <t>Repsol ha comprometido ya inversiones por unos 500 millones de euros en....</t>
  </si>
  <si>
    <t>Repsol invests 500 million in Spain to promote its commitment to 100% renewable fuels</t>
  </si>
  <si>
    <t>Repsol has already committed investments of around 500 million euros in....</t>
  </si>
  <si>
    <t>“Repsol”, “renewable fuels”, “investment”</t>
  </si>
  <si>
    <t>“Repsol”, “combustibles renovables”, “inversión”</t>
  </si>
  <si>
    <t>invierte, renovables</t>
  </si>
  <si>
    <t>Very positive renewable investment.</t>
  </si>
  <si>
    <t>Inversión renovable muy positiva.</t>
  </si>
  <si>
    <r>
      <rPr>
        <rFont val="Arial, sans-serif"/>
        <color rgb="FF1155CC"/>
        <sz val="9.0"/>
        <u/>
      </rPr>
      <t>El Economista</t>
    </r>
    <r>
      <rPr>
        <rFont val="Arial, sans-serif"/>
        <color rgb="FF1155CC"/>
        <sz val="15.0"/>
        <u/>
      </rPr>
      <t>Repsol invierte 500 millones en España para impulsar su apuesta por los combustibles 100% renovables</t>
    </r>
    <r>
      <rPr>
        <rFont val="Arial, sans-serif"/>
        <color rgb="FF1155CC"/>
        <sz val="11.0"/>
        <u/>
      </rPr>
      <t>De perder competitividad a albergar una instalación pionera en la Península Ibérica. En menos de dos décadas, el complejo de Repsol en ...</t>
    </r>
    <r>
      <rPr>
        <rFont val="Arial, sans-serif"/>
        <color rgb="FF1155CC"/>
        <sz val="12.0"/>
        <u/>
      </rPr>
      <t>.</t>
    </r>
    <r>
      <rPr>
        <rFont val="Arial, sans-serif"/>
        <color rgb="FF1155CC"/>
        <sz val="11.0"/>
        <u/>
      </rPr>
      <t>13 oct 2024</t>
    </r>
  </si>
  <si>
    <t>De perder competitividad a albergar una instalación pionera en la Península Ibérica. En menos de dos décadas, el complejo de Repsol en ....</t>
  </si>
  <si>
    <t>From losing competitiveness to hosting a pioneering facility in the Iberian Peninsula. In less than two decades, the Repsol complex in...</t>
  </si>
  <si>
    <t>Positive due to investment in sustainability and innovation.</t>
  </si>
  <si>
    <r>
      <rPr>
        <rFont val="Arial, sans-serif"/>
        <color rgb="FF1155CC"/>
        <sz val="9.0"/>
        <u/>
      </rPr>
      <t>La Razón</t>
    </r>
    <r>
      <rPr>
        <rFont val="Arial, sans-serif"/>
        <color rgb="FF1155CC"/>
        <sz val="15.0"/>
        <u/>
      </rPr>
      <t>11.000 vueltas al mundo con aceite de cocina usado</t>
    </r>
    <r>
      <rPr>
        <rFont val="Arial, sans-serif"/>
        <color rgb="FF1155CC"/>
        <sz val="11.0"/>
        <u/>
      </rPr>
      <t>Los 30 millones de litros de biocombustibles vendidos por Repsol hasta agosto, producidos en su planta de Cartagena, son hasta un 90% menos contaminantes.</t>
    </r>
    <r>
      <rPr>
        <rFont val="Arial, sans-serif"/>
        <color rgb="FF1155CC"/>
        <sz val="12.0"/>
        <u/>
      </rPr>
      <t>.</t>
    </r>
    <r>
      <rPr>
        <rFont val="Arial, sans-serif"/>
        <color rgb="FF1155CC"/>
        <sz val="11.0"/>
        <u/>
      </rPr>
      <t>13 oct 2024</t>
    </r>
  </si>
  <si>
    <t>11.000 vueltas al mundo con aceite de cocina usado</t>
  </si>
  <si>
    <t>Los 30 millones de litros de biocombustibles vendidos por Repsol hasta agosto, producidos en su planta de Cartagena, son hasta un 90% menos contaminantes.</t>
  </si>
  <si>
    <t>11,000 trips around the world with used cooking oil</t>
  </si>
  <si>
    <t>The 30 million liters of biofuels sold by Repsol until August, produced at its Cartagena plant, are up to 90% less polluting.</t>
  </si>
  <si>
    <t>“Repsol”, “biofuel”, “cooking oil”</t>
  </si>
  <si>
    <t>“Repsol”, “biocombustible”, “aceite de cocina”</t>
  </si>
  <si>
    <r>
      <rPr>
        <rFont val="Arial, sans-serif"/>
        <color rgb="FF1155CC"/>
        <sz val="9.0"/>
        <u/>
      </rPr>
      <t>Murciadiario</t>
    </r>
    <r>
      <rPr>
        <rFont val="Arial, sans-serif"/>
        <color rgb="FF1155CC"/>
        <sz val="15.0"/>
        <u/>
      </rPr>
      <t>Repsol señala la demanda y la tecnología como principales 'frenos' de los combustibles renovables</t>
    </r>
    <r>
      <rPr>
        <rFont val="Arial, sans-serif"/>
        <color rgb="FF1155CC"/>
        <sz val="11.0"/>
        <u/>
      </rPr>
      <t>La directora de combustibles renovables de Repsol, Berta Cabello, afirma que si no crece la demanda, "no fomenta las inversiones que hacen crec...</t>
    </r>
    <r>
      <rPr>
        <rFont val="Arial, sans-serif"/>
        <color rgb="FF1155CC"/>
        <sz val="12.0"/>
        <u/>
      </rPr>
      <t>.</t>
    </r>
    <r>
      <rPr>
        <rFont val="Arial, sans-serif"/>
        <color rgb="FF1155CC"/>
        <sz val="11.0"/>
        <u/>
      </rPr>
      <t>13 oct 2024</t>
    </r>
  </si>
  <si>
    <t>Repsol señala la demanda y la tecnología como principales 'frenos' de los combustibles renovables</t>
  </si>
  <si>
    <t>La directora de combustibles renovables de Repsol, Berta Cabello, afirma que si no crece la demanda, "no fomenta las inversiones que hacen crecer".</t>
  </si>
  <si>
    <t>Repsol points out demand and technology as the main 'brakes' of renewable fuels</t>
  </si>
  <si>
    <t>Repsol's director of renewable fuels, Berta Cabello, states that if demand does not grow, "it does not encourage investments that lead to growth."</t>
  </si>
  <si>
    <t>“Repsol”, “renewable fuels”, “demand”</t>
  </si>
  <si>
    <t>“Repsol”, “combustibles renovables”, “demanda”</t>
  </si>
  <si>
    <t>Slightly negative due to concerns about market limitations.</t>
  </si>
  <si>
    <t>frenos</t>
  </si>
  <si>
    <t>Mildly negative challenge.</t>
  </si>
  <si>
    <t>Desafío levemente negativo.</t>
  </si>
  <si>
    <r>
      <rPr>
        <rFont val="Arial, sans-serif"/>
        <color rgb="FF1155CC"/>
        <sz val="9.0"/>
        <u/>
      </rPr>
      <t>La Vanguardia</t>
    </r>
    <r>
      <rPr>
        <rFont val="Arial, sans-serif"/>
        <color rgb="FF1155CC"/>
        <sz val="15.0"/>
        <u/>
      </rPr>
      <t>La refinería que quiere decir adiós al petróleo</t>
    </r>
    <r>
      <rPr>
        <rFont val="Arial, sans-serif"/>
        <color rgb="FF1155CC"/>
        <sz val="11.0"/>
        <u/>
      </rPr>
      <t>Toda una maraña de tuberías verdes, rojas, amarillas y plateadas se extiende a lo largo de una superficie similar al tamaño de la Ciudad del Vaticano,...</t>
    </r>
    <r>
      <rPr>
        <rFont val="Arial, sans-serif"/>
        <color rgb="FF1155CC"/>
        <sz val="12.0"/>
        <u/>
      </rPr>
      <t>.</t>
    </r>
    <r>
      <rPr>
        <rFont val="Arial, sans-serif"/>
        <color rgb="FF1155CC"/>
        <sz val="11.0"/>
        <u/>
      </rPr>
      <t>13 oct 2024</t>
    </r>
  </si>
  <si>
    <t>La refinería que quiere decir adiós al petróleo</t>
  </si>
  <si>
    <t>Toda una maraña de tuberías verdes, rojas, amarillas y plateadas se extiende a lo largo de una superficie similar al tamaño de la Ciudad del Vaticano,....</t>
  </si>
  <si>
    <t>The refinery that wants to say goodbye to oil</t>
  </si>
  <si>
    <t>A whole tangle of green, red, yellow and silver pipes stretches across an area similar to the size of Vatican City,...</t>
  </si>
  <si>
    <t>“Repsol”, “refinery”, “transition”</t>
  </si>
  <si>
    <t>“Repsol”, “refinería”, “transición”</t>
  </si>
  <si>
    <t>Positive due to transition towards sustainability.</t>
  </si>
  <si>
    <t>Neutral transition context.</t>
  </si>
  <si>
    <t>Contexto de transición neutral.</t>
  </si>
  <si>
    <r>
      <rPr>
        <rFont val="Arial, sans-serif"/>
        <color rgb="FF1155CC"/>
        <sz val="9.0"/>
        <u/>
      </rPr>
      <t>El Periódico</t>
    </r>
    <r>
      <rPr>
        <rFont val="Arial, sans-serif"/>
        <color rgb="FF1155CC"/>
        <sz val="15.0"/>
        <u/>
      </rPr>
      <t>Del petróleo al aceite de cocina: Así planea Repsol transformar sus refinerías para sobrevivir a la transición energética</t>
    </r>
    <r>
      <rPr>
        <rFont val="Arial, sans-serif"/>
        <color rgb="FF1155CC"/>
        <sz val="11.0"/>
        <u/>
      </rPr>
      <t>La compañía crea en Cartagena su primera planta de biocombustibles a la que seguirán Puertollano y Bilbao con el objetivo de crear un gran 'hub' en la...</t>
    </r>
    <r>
      <rPr>
        <rFont val="Arial, sans-serif"/>
        <color rgb="FF1155CC"/>
        <sz val="12.0"/>
        <u/>
      </rPr>
      <t>.</t>
    </r>
    <r>
      <rPr>
        <rFont val="Arial, sans-serif"/>
        <color rgb="FF1155CC"/>
        <sz val="11.0"/>
        <u/>
      </rPr>
      <t>13 oct 2024</t>
    </r>
  </si>
  <si>
    <t>Del petróleo al aceite de cocina: Así planea Repsol transformar sus refinerías para sobrevivir a la transición energética</t>
  </si>
  <si>
    <t>La compañía crea en Cartagena su primera planta de biocombustibles a la que seguirán Puertollano y Bilbao con el objetivo de crear un gran 'hub' en la....</t>
  </si>
  <si>
    <t>From oil to cooking oil: This is how Repsol plans to transform its refineries to survive the energy transition</t>
  </si>
  <si>
    <t>The company creates its first biofuels plant in Cartagena, which will be followed by Puertollano and Bilbao with the aim of creating a large 'hub' in the...</t>
  </si>
  <si>
    <t>“Repsol”, “biofuels”, “energy transition”</t>
  </si>
  <si>
    <t>“Repsol”, “biocombustibles”, “transición energética”</t>
  </si>
  <si>
    <t>Positive due to Repsol’s adaptation to cleaner energy.</t>
  </si>
  <si>
    <t>transformar</t>
  </si>
  <si>
    <t>Positive transition strategy.</t>
  </si>
  <si>
    <t>Estrategia de transición positiva.</t>
  </si>
  <si>
    <r>
      <rPr>
        <rFont val="Arial, sans-serif"/>
        <color rgb="FF1155CC"/>
        <sz val="9.0"/>
        <u/>
      </rPr>
      <t>El Confidencial</t>
    </r>
    <r>
      <rPr>
        <rFont val="Arial, sans-serif"/>
        <color rgb="FF1155CC"/>
        <sz val="15.0"/>
        <u/>
      </rPr>
      <t>Isidre Esteve: "Para frenar, hago con los dedos la misma fuerza que otro piloto hace con los pies"</t>
    </r>
    <r>
      <rPr>
        <rFont val="Arial, sans-serif"/>
        <color rgb="FF1155CC"/>
        <sz val="11.0"/>
        <u/>
      </rPr>
      <t>El piloto ilerdense disputará este año su decimocuarto Dakar, la carrera más exigente del mundo, alguien especial no solo por las necesidades especiales que...</t>
    </r>
    <r>
      <rPr>
        <rFont val="Arial, sans-serif"/>
        <color rgb="FF1155CC"/>
        <sz val="12.0"/>
        <u/>
      </rPr>
      <t>.</t>
    </r>
    <r>
      <rPr>
        <rFont val="Arial, sans-serif"/>
        <color rgb="FF1155CC"/>
        <sz val="11.0"/>
        <u/>
      </rPr>
      <t>13 oct 2024</t>
    </r>
  </si>
  <si>
    <t>Isidre Esteve: "Para frenar, hago con los dedos la misma fuerza que otro piloto hace con los pies"</t>
  </si>
  <si>
    <t>El piloto ilerdense disputará este año su decimocuarto Dakar, la carrera más exigente del mundo, alguien especial no solo por las necesidades especiales que....</t>
  </si>
  <si>
    <t>Isidre Esteve: "To brake, I use the same force with my fingers that another driver does with his feet"</t>
  </si>
  <si>
    <t>The pilot from Ilerda will compete this year in his fourteenth Dakar, the most demanding race in the world, someone special not only because of the special needs that...</t>
  </si>
  <si>
    <r>
      <rPr>
        <rFont val="Arial, sans-serif"/>
        <color rgb="FF1155CC"/>
        <sz val="9.0"/>
        <u/>
      </rPr>
      <t>El Español</t>
    </r>
    <r>
      <rPr>
        <rFont val="Arial, sans-serif"/>
        <color rgb="FF1155CC"/>
        <sz val="15.0"/>
        <u/>
      </rPr>
      <t>Por qué el diésel renovable no termina de triunfar en España pese a haber logrado precios similares al premium</t>
    </r>
    <r>
      <rPr>
        <rFont val="Arial, sans-serif"/>
        <color rgb="FF1155CC"/>
        <sz val="11.0"/>
        <u/>
      </rPr>
      <t>La demanda, el coste 'extra' de 20 céntimos, la regulación poco favorable o la limitación de recursos son algunos de los retos que enfrenta el sector.</t>
    </r>
    <r>
      <rPr>
        <rFont val="Arial, sans-serif"/>
        <color rgb="FF1155CC"/>
        <sz val="12.0"/>
        <u/>
      </rPr>
      <t>.</t>
    </r>
    <r>
      <rPr>
        <rFont val="Arial, sans-serif"/>
        <color rgb="FF1155CC"/>
        <sz val="11.0"/>
        <u/>
      </rPr>
      <t>13 oct 2024</t>
    </r>
  </si>
  <si>
    <t>¿Por qué el diésel renovable no termina de triunfar en España pese a haber logrado precios similares al premium?</t>
  </si>
  <si>
    <t>La demanda, el coste 'extra' de 20 céntimos, la regulación poco favorable o la limitación de recursos son algunos de los retos que enfrenta el sector.</t>
  </si>
  <si>
    <t>Why doesn't renewable diesel succeed in Spain despite having achieved prices similar to premium diesel?</t>
  </si>
  <si>
    <t>Demand, the 'extra' cost of 20 cents, unfavorable regulation or resource limitations are some of the challenges facing the sector.</t>
  </si>
  <si>
    <t>“Repsol”, “renewable diesel”, “market barriers”</t>
  </si>
  <si>
    <t>“Repsol”, “diésel renovable”, “barreras del mercado”</t>
  </si>
  <si>
    <t>Highlights challenges facing renewable diesel adoption, which may impact Repsol negatively.</t>
  </si>
  <si>
    <t>Análisis de mercado neutral.</t>
  </si>
  <si>
    <r>
      <rPr>
        <rFont val="Arial, sans-serif"/>
        <color rgb="FF1155CC"/>
        <sz val="9.0"/>
        <u/>
      </rPr>
      <t>OkDiario</t>
    </r>
    <r>
      <rPr>
        <rFont val="Arial, sans-serif"/>
        <color rgb="FF1155CC"/>
        <sz val="15.0"/>
        <u/>
      </rPr>
      <t>El mejor restaurante de carretera de la A-3 está en Cuenca: lleva abierto un siglo y tiene un solete Repsol</t>
    </r>
    <r>
      <rPr>
        <rFont val="Arial, sans-serif"/>
        <color rgb="FF1155CC"/>
        <sz val="11.0"/>
        <u/>
      </rPr>
      <t>Una parada obligatoria en la A-3: el restaurante de carretera de Cuenca que ha conquistado a los viajeros durante varias generaciones.</t>
    </r>
    <r>
      <rPr>
        <rFont val="Arial, sans-serif"/>
        <color rgb="FF1155CC"/>
        <sz val="12.0"/>
        <u/>
      </rPr>
      <t>.</t>
    </r>
    <r>
      <rPr>
        <rFont val="Arial, sans-serif"/>
        <color rgb="FF1155CC"/>
        <sz val="11.0"/>
        <u/>
      </rPr>
      <t>13 oct 2024</t>
    </r>
  </si>
  <si>
    <t>El mejor restaurante de carretera de la A-3 está en Cuenca: lleva abierto un siglo y tiene un solete Repsol</t>
  </si>
  <si>
    <t>Una parada obligatoria en la A-3: el restaurante de carretera de Cuenca que ha conquistado a los viajeros durante varias generaciones.</t>
  </si>
  <si>
    <t>The best roadside restaurant on the A-3 is in Cuenca: it has been open for a century and has a Repsol solete</t>
  </si>
  <si>
    <t>A mandatory stop on the A-3: the Cuenca roadside restaurant that has conquered travelers for several generations.</t>
  </si>
  <si>
    <r>
      <rPr>
        <rFont val="Arial, sans-serif"/>
        <color rgb="FF1155CC"/>
        <sz val="9.0"/>
        <u/>
      </rPr>
      <t>El Economista</t>
    </r>
    <r>
      <rPr>
        <rFont val="Arial, sans-serif"/>
        <color rgb="FF1155CC"/>
        <sz val="15.0"/>
        <u/>
      </rPr>
      <t>Repsol, a la espera de una nueva desaladora para dar suministro a su electrolizador de Cartagena</t>
    </r>
    <r>
      <rPr>
        <rFont val="Arial, sans-serif"/>
        <color rgb="FF1155CC"/>
        <sz val="11.0"/>
        <u/>
      </rPr>
      <t>Una de las grandes apuestas de Repsol es la producción de 100 megavatios (MW) de hidrógeno renovable para descarbonizar la producción en ...</t>
    </r>
    <r>
      <rPr>
        <rFont val="Arial, sans-serif"/>
        <color rgb="FF1155CC"/>
        <sz val="12.0"/>
        <u/>
      </rPr>
      <t>.</t>
    </r>
    <r>
      <rPr>
        <rFont val="Arial, sans-serif"/>
        <color rgb="FF1155CC"/>
        <sz val="11.0"/>
        <u/>
      </rPr>
      <t>14 oct 2024</t>
    </r>
  </si>
  <si>
    <t>Repsol, a la espera de una nueva desaladora para dar suministro a su electrolizador de Cartagena</t>
  </si>
  <si>
    <t>Una de las grandes apuestas de Repsol es la producción de 100 megavatios (MW) de hidrógeno renovable para descarbonizar la producción en ....</t>
  </si>
  <si>
    <t>Repsol, waiting for a new desalination plant to supply its electrolyzer in Cartagena</t>
  </si>
  <si>
    <t>One of Repsol's big bets is the production of 100 megawatts (MW) of renewable hydrogen to decarbonize production in...</t>
  </si>
  <si>
    <t>“Repsol”, “Cartagena”, “electrolyzer”</t>
  </si>
  <si>
    <t>“Repsol”, “Cartagena”, “electrolizador”</t>
  </si>
  <si>
    <t>Positive for Repsol's sustainability strategy.</t>
  </si>
  <si>
    <t>Neutral infrastructure update.</t>
  </si>
  <si>
    <t>Actualización de infraestructura neutral.</t>
  </si>
  <si>
    <r>
      <rPr>
        <rFont val="Arial, sans-serif"/>
        <color rgb="FF1155CC"/>
        <sz val="9.0"/>
        <u/>
      </rPr>
      <t>OkDiario</t>
    </r>
    <r>
      <rPr>
        <rFont val="Arial, sans-serif"/>
        <color rgb="FF1155CC"/>
        <sz val="15.0"/>
        <u/>
      </rPr>
      <t>El Gobierno tantea a IFM y Repsol para que compren el 40% que tienen los fondos de inversión en Naturgy</t>
    </r>
    <r>
      <rPr>
        <rFont val="Arial, sans-serif"/>
        <color rgb="FF1155CC"/>
        <sz val="11.0"/>
        <u/>
      </rPr>
      <t>El Gobierno tantea al fondo de inversión IFM y a Repsol para que compren el 40% del capital de Naturgy en manos de CVC y BlackRock.</t>
    </r>
    <r>
      <rPr>
        <rFont val="Arial, sans-serif"/>
        <color rgb="FF1155CC"/>
        <sz val="12.0"/>
        <u/>
      </rPr>
      <t>.</t>
    </r>
    <r>
      <rPr>
        <rFont val="Arial, sans-serif"/>
        <color rgb="FF1155CC"/>
        <sz val="11.0"/>
        <u/>
      </rPr>
      <t>14 oct 2024</t>
    </r>
  </si>
  <si>
    <t>El Gobierno tantea a IFM y Repsol para que compren el 40% que tienen los fondos de inversión en Naturgy</t>
  </si>
  <si>
    <t>El Gobierno tantea al fondo de inversión IFM y a Repsol para que compren el 40% del capital de Naturgy en manos de CVC y BlackRock.</t>
  </si>
  <si>
    <t>The Government is testing IFM and Repsol to buy the 40% that the investment funds have in Naturgy</t>
  </si>
  <si>
    <t>The Government is testing the investment fund IFM and Repsol to buy 40% of the capital of Naturgy in the hands of CVC and BlackRock.</t>
  </si>
  <si>
    <t>Neutral financial news, with no clear positive or negative implications.</t>
  </si>
  <si>
    <t>Neutral M&amp;A context.</t>
  </si>
  <si>
    <t>Contexto neutral de fusiones y adquisiciones.</t>
  </si>
  <si>
    <r>
      <rPr>
        <rFont val="Arial, sans-serif"/>
        <color rgb="FF1155CC"/>
        <sz val="9.0"/>
        <u/>
      </rPr>
      <t>Cadena SER</t>
    </r>
    <r>
      <rPr>
        <rFont val="Arial, sans-serif"/>
        <color rgb="FF1155CC"/>
        <sz val="15.0"/>
        <u/>
      </rPr>
      <t>Simulacro en A Coruña: todos los móviles emitirán este martes una fuerte señal de sonido</t>
    </r>
    <r>
      <rPr>
        <rFont val="Arial, sans-serif"/>
        <color rgb="FF1155CC"/>
        <sz val="11.0"/>
        <u/>
      </rPr>
      <t>A Coruña. Mañana se llevará a cabo un simulacro en la planta de Repsol Butano en Nostián, A Coruña, organizado por la Xunta de Galicia.</t>
    </r>
    <r>
      <rPr>
        <rFont val="Arial, sans-serif"/>
        <color rgb="FF1155CC"/>
        <sz val="12.0"/>
        <u/>
      </rPr>
      <t>.</t>
    </r>
    <r>
      <rPr>
        <rFont val="Arial, sans-serif"/>
        <color rgb="FF1155CC"/>
        <sz val="11.0"/>
        <u/>
      </rPr>
      <t>14 oct 2024</t>
    </r>
  </si>
  <si>
    <t>Simulacro en A Coruña: todos los móviles emitirán este martes una fuerte señal de sonido</t>
  </si>
  <si>
    <t>Mañana se llevará a cabo un simulacro en la planta de Repsol Butano en Nostián, A Coruña, organizado por la Xunta de Galicia.</t>
  </si>
  <si>
    <t>Drill in A Coruña: all mobile phones will emit a strong sound signal this Tuesday</t>
  </si>
  <si>
    <t>Tomorrow a drill will be carried out at the Repsol Butano plant in Nostián, A Coruña, organized by the Xunta de Galicia.</t>
  </si>
  <si>
    <r>
      <rPr>
        <rFont val="Arial, sans-serif"/>
        <color rgb="FF1155CC"/>
        <sz val="9.0"/>
        <u/>
      </rPr>
      <t>El Periódico de España</t>
    </r>
    <r>
      <rPr>
        <rFont val="Arial, sans-serif"/>
        <color rgb="FF1155CC"/>
        <sz val="15.0"/>
        <u/>
      </rPr>
      <t>Repsol invierte 500 millones en España para impulsar su apuesta por los combustibles 100% renovables</t>
    </r>
    <r>
      <rPr>
        <rFont val="Arial, sans-serif"/>
        <color rgb="FF1155CC"/>
        <sz val="11.0"/>
        <u/>
      </rPr>
      <t>Repsol ha comprometido inversiones cercanas a 500 millones de euros en España para impulsar su apuesta por los combustibles de origen 100% renovable,...</t>
    </r>
    <r>
      <rPr>
        <rFont val="Arial, sans-serif"/>
        <color rgb="FF1155CC"/>
        <sz val="12.0"/>
        <u/>
      </rPr>
      <t>.</t>
    </r>
    <r>
      <rPr>
        <rFont val="Arial, sans-serif"/>
        <color rgb="FF1155CC"/>
        <sz val="11.0"/>
        <u/>
      </rPr>
      <t>14 oct 2024</t>
    </r>
  </si>
  <si>
    <t>Repsol ha comprometido inversiones cercanas a 500 millones de euros en España para impulsar su apuesta por los combustibles de origen 100% renovable,....</t>
  </si>
  <si>
    <t>Repsol has committed investments close to 500 million euros in Spain to boost its commitment to fuels of 100% renewable origin....</t>
  </si>
  <si>
    <t>Strong commitment to sustainability and investment.</t>
  </si>
  <si>
    <r>
      <rPr>
        <rFont val="Arial, sans-serif"/>
        <color rgb="FF1155CC"/>
        <sz val="9.0"/>
        <u/>
      </rPr>
      <t>Guía Repsol</t>
    </r>
    <r>
      <rPr>
        <rFont val="Arial, sans-serif"/>
        <color rgb="FF1155CC"/>
        <sz val="15.0"/>
        <u/>
      </rPr>
      <t>Prueba lo mejor de la tradición vasca en el Restaurante El Paladar, en Portugalete</t>
    </r>
    <r>
      <rPr>
        <rFont val="Arial, sans-serif"/>
        <color rgb="FF1155CC"/>
        <sz val="11.0"/>
        <u/>
      </rPr>
      <t>Zuriñe García proyecta en 'El Paladar' de Portugalete (Bilbao) su visión más creativa de las raíces vascas. Déjate seducir por la tradición culinaria vasca.</t>
    </r>
    <r>
      <rPr>
        <rFont val="Arial, sans-serif"/>
        <color rgb="FF1155CC"/>
        <sz val="12.0"/>
        <u/>
      </rPr>
      <t>.</t>
    </r>
    <r>
      <rPr>
        <rFont val="Arial, sans-serif"/>
        <color rgb="FF1155CC"/>
        <sz val="11.0"/>
        <u/>
      </rPr>
      <t>14 oct 2024</t>
    </r>
  </si>
  <si>
    <t>Prueba lo mejor de la tradición vasca en el Restaurante El Paladar, en Portugalete</t>
  </si>
  <si>
    <t>Zuriñe García proyecta en 'El Paladar' de Portugalete (Bilbao) su visión más creativa de las raíces vascas. Déjate seducir por la tradición culinaria vasca.</t>
  </si>
  <si>
    <t>Try the best of Basque tradition at El Paladar Restaurant, in Portugalete</t>
  </si>
  <si>
    <t>Zuriñe García projects his most creative vision of Basque roots in 'El Paladar' in Portugalete (Bilbao). Let yourself be seduced by the Basque culinary tradition.</t>
  </si>
  <si>
    <r>
      <rPr>
        <rFont val="Arial, sans-serif"/>
        <color rgb="FF1155CC"/>
        <sz val="9.0"/>
        <u/>
      </rPr>
      <t>Expansión</t>
    </r>
    <r>
      <rPr>
        <rFont val="Arial, sans-serif"/>
        <color rgb="FF1155CC"/>
        <sz val="15.0"/>
        <u/>
      </rPr>
      <t>Pablo Blanco: "Con la IA abogacía tradicional ha muerto conceptualmente hablando"</t>
    </r>
    <r>
      <rPr>
        <rFont val="Arial, sans-serif"/>
        <color rgb="FF1155CC"/>
        <sz val="11.0"/>
        <u/>
      </rPr>
      <t>El director general de asuntos legales, que está a punto de concluir su ambicioso proyecto de transformación del departamento jurídico, defiende que la...</t>
    </r>
    <r>
      <rPr>
        <rFont val="Arial, sans-serif"/>
        <color rgb="FF1155CC"/>
        <sz val="12.0"/>
        <u/>
      </rPr>
      <t>.</t>
    </r>
    <r>
      <rPr>
        <rFont val="Arial, sans-serif"/>
        <color rgb="FF1155CC"/>
        <sz val="11.0"/>
        <u/>
      </rPr>
      <t>14 oct 2024</t>
    </r>
  </si>
  <si>
    <t>Pablo Blanco: "Con la IA abogacía tradicional ha muerto conceptualmente hablando"</t>
  </si>
  <si>
    <t>El director general de asuntos legales, que está a punto de concluir su ambicioso proyecto de transformación del departamento jurídico, defiende que la....</t>
  </si>
  <si>
    <t>Pablo Blanco: "With AI, traditional advocacy has died conceptually speaking"</t>
  </si>
  <si>
    <t>The general director of legal affairs, who is about to conclude his ambitious project to transform the legal department, defends that the...</t>
  </si>
  <si>
    <r>
      <rPr>
        <rFont val="Arial, sans-serif"/>
        <color rgb="FF1155CC"/>
        <sz val="9.0"/>
        <u/>
      </rPr>
      <t>Investing.com España</t>
    </r>
    <r>
      <rPr>
        <rFont val="Arial, sans-serif"/>
        <color rgb="FF1155CC"/>
        <sz val="15.0"/>
        <u/>
      </rPr>
      <t>Niveles en IAG, Iberdrola, Inditex, Telefónica, Repsol y más</t>
    </r>
    <r>
      <rPr>
        <rFont val="Arial, sans-serif"/>
        <color rgb="FF1155CC"/>
        <sz val="11.0"/>
        <u/>
      </rPr>
      <t>Visión de Mercado por Daniel Pernas cubriendo: Naturgy Energy Group S.A., Redeia Corporacion SA, Industria de Diseno Textil SA, Repsol S.A..</t>
    </r>
    <r>
      <rPr>
        <rFont val="Arial, sans-serif"/>
        <color rgb="FF1155CC"/>
        <sz val="12.0"/>
        <u/>
      </rPr>
      <t>.</t>
    </r>
    <r>
      <rPr>
        <rFont val="Arial, sans-serif"/>
        <color rgb="FF1155CC"/>
        <sz val="11.0"/>
        <u/>
      </rPr>
      <t>14 oct 2024</t>
    </r>
  </si>
  <si>
    <t>Niveles en IAG, Iberdrola, Inditex, Telefónica, Repsol y más</t>
  </si>
  <si>
    <t>Visión de Mercado por Daniel Pernas cubriendo: Naturgy Energy Group S.A., Redeia Corporacion SA, Industria de Diseno Textil SA, Repsol S.A...</t>
  </si>
  <si>
    <t>Levels at IAG, Iberdrola, Inditex, Telefónica, Repsol and more</t>
  </si>
  <si>
    <t>Market Overview by Daniel Pernas covering: Naturgy Energy Group S.A., Redeia Corporacion SA, Industria de Diseno Textil SA, Repsol S.A...</t>
  </si>
  <si>
    <t>“Repsol”, “stock market”, “Ibex 35”</t>
  </si>
  <si>
    <t>“Repsol”, “bolsa”, “Ibex 35”</t>
  </si>
  <si>
    <t>Financial market analysis, no sentiment impact.</t>
  </si>
  <si>
    <t>Neutral market update.</t>
  </si>
  <si>
    <t>Actualización del mercado neutral.</t>
  </si>
  <si>
    <r>
      <rPr>
        <rFont val="Arial, sans-serif"/>
        <color rgb="FF1155CC"/>
        <sz val="9.0"/>
        <u/>
      </rPr>
      <t>El Periódico de la Energía</t>
    </r>
    <r>
      <rPr>
        <rFont val="Arial, sans-serif"/>
        <color rgb="FF1155CC"/>
        <sz val="15.0"/>
        <u/>
      </rPr>
      <t>Venezuela incrementa su producción petrolera un 3,2% en el tercer trimestre</t>
    </r>
    <r>
      <rPr>
        <rFont val="Arial, sans-serif"/>
        <color rgb="FF1155CC"/>
        <sz val="11.0"/>
        <u/>
      </rPr>
      <t>La producción petrolera de Venezuela alcanzó una media de 933.000 barriles por día (bpd) en el tercer trimestre, un alza del 3,2% en comparación con el año...</t>
    </r>
    <r>
      <rPr>
        <rFont val="Arial, sans-serif"/>
        <color rgb="FF1155CC"/>
        <sz val="12.0"/>
        <u/>
      </rPr>
      <t>.</t>
    </r>
    <r>
      <rPr>
        <rFont val="Arial, sans-serif"/>
        <color rgb="FF1155CC"/>
        <sz val="11.0"/>
        <u/>
      </rPr>
      <t>14 oct 2024</t>
    </r>
  </si>
  <si>
    <t>Venezuela incrementa su producción petrolera un 3,2% en el tercer trimestre</t>
  </si>
  <si>
    <t>La producción petrolera de Venezuela alcanzó una media de 933.000 barriles por día (bpd) en el tercer trimestre, un alza del 3,2% en comparación con el año....</t>
  </si>
  <si>
    <t>Venezuela increases its oil production by 3.2% in the third quarter</t>
  </si>
  <si>
    <t>Venezuela's oil production reached an average of 933,000 barrels per day (bpd) in the third quarter, an increase of 3.2% compared to the year....</t>
  </si>
  <si>
    <t>“Venezuela”, “oil production”, “Repsol”</t>
  </si>
  <si>
    <t>“Venezuela”, “producción petrolera”, “Repsol”</t>
  </si>
  <si>
    <t>Not directly relevant to Repsol.</t>
  </si>
  <si>
    <r>
      <rPr>
        <rFont val="Arial, sans-serif"/>
        <color rgb="FF1155CC"/>
        <sz val="9.0"/>
        <u/>
      </rPr>
      <t>El Español</t>
    </r>
    <r>
      <rPr>
        <rFont val="Arial, sans-serif"/>
        <color rgb="FF1155CC"/>
        <sz val="15.0"/>
        <u/>
      </rPr>
      <t>Así será el "sonido insoportable" de la alerta a los móviles de A Coruña: ¿Puede desactivarse?</t>
    </r>
    <r>
      <rPr>
        <rFont val="Arial, sans-serif"/>
        <color rgb="FF1155CC"/>
        <sz val="11.0"/>
        <u/>
      </rPr>
      <t>Un simulacro en las instalaciones de Repsol Butano hará que todos los móviles de A Coruña suenen el martes por la mañana usando un sistema de alerta...</t>
    </r>
    <r>
      <rPr>
        <rFont val="Arial, sans-serif"/>
        <color rgb="FF1155CC"/>
        <sz val="12.0"/>
        <u/>
      </rPr>
      <t>.</t>
    </r>
    <r>
      <rPr>
        <rFont val="Arial, sans-serif"/>
        <color rgb="FF1155CC"/>
        <sz val="11.0"/>
        <u/>
      </rPr>
      <t>14 oct 2024</t>
    </r>
  </si>
  <si>
    <t>Así será el "sonido insoportable" de la alerta a los móviles de A Coruña: ¿Puede desactivarse?</t>
  </si>
  <si>
    <t>Un simulacro en las instalaciones de Repsol Butano hará que todos los móviles de A Coruña suenen el martes por la mañana usando un sistema de alerta....</t>
  </si>
  <si>
    <t>This will be the "unbearable sound" of the alert on cell phones in A Coruña: Can it be deactivated?</t>
  </si>
  <si>
    <t>A drill at the Repsol Butano facilities will cause all cell phones in A Coruña to ring on Tuesday morning using an alert system...</t>
  </si>
  <si>
    <r>
      <rPr>
        <rFont val="Arial, sans-serif"/>
        <color rgb="FF1155CC"/>
        <sz val="9.0"/>
        <u/>
      </rPr>
      <t>El Debate</t>
    </r>
    <r>
      <rPr>
        <rFont val="Arial, sans-serif"/>
        <color rgb="FF1155CC"/>
        <sz val="15.0"/>
        <u/>
      </rPr>
      <t>Un restaurante chino en Madrid a buen precio</t>
    </r>
    <r>
      <rPr>
        <rFont val="Arial, sans-serif"/>
        <color rgb="FF1155CC"/>
        <sz val="11.0"/>
        <u/>
      </rPr>
      <t>Su arroz tres delicias, las costillas agridulces y la ternera con pimientos y bambú son los súperventas.</t>
    </r>
    <r>
      <rPr>
        <rFont val="Arial, sans-serif"/>
        <color rgb="FF1155CC"/>
        <sz val="12.0"/>
        <u/>
      </rPr>
      <t>.</t>
    </r>
    <r>
      <rPr>
        <rFont val="Arial, sans-serif"/>
        <color rgb="FF1155CC"/>
        <sz val="11.0"/>
        <u/>
      </rPr>
      <t>14 oct 2024</t>
    </r>
  </si>
  <si>
    <t>Un restaurante chino en Madrid a buen precio</t>
  </si>
  <si>
    <t>Su arroz tres delicias, las costillas agridulces y la ternera con pimientos y bambú son los súperventas.</t>
  </si>
  <si>
    <t>A Chinese restaurant in Madrid at a good price</t>
  </si>
  <si>
    <t>Their three delicacies rice, sweet and sour ribs and beef with peppers and bamboo are bestsellers.</t>
  </si>
  <si>
    <r>
      <rPr>
        <rFont val="Arial, sans-serif"/>
        <color rgb="FF1155CC"/>
        <sz val="9.0"/>
        <u/>
      </rPr>
      <t>La Razón</t>
    </r>
    <r>
      <rPr>
        <rFont val="Arial, sans-serif"/>
        <color rgb="FF1155CC"/>
        <sz val="15.0"/>
        <u/>
      </rPr>
      <t>Las caras de la noticia: 14 de octubre de 2024</t>
    </r>
    <r>
      <rPr>
        <rFont val="Arial, sans-serif"/>
        <color rgb="FF1155CC"/>
        <sz val="11.0"/>
        <u/>
      </rPr>
      <t>Apuesta por los combustibles 100% renovables. La empresa que preside Brufau, Repsol, invierte 500 millones en España para impulsar sus combustibles 100%...</t>
    </r>
    <r>
      <rPr>
        <rFont val="Arial, sans-serif"/>
        <color rgb="FF1155CC"/>
        <sz val="12.0"/>
        <u/>
      </rPr>
      <t>.</t>
    </r>
    <r>
      <rPr>
        <rFont val="Arial, sans-serif"/>
        <color rgb="FF1155CC"/>
        <sz val="11.0"/>
        <u/>
      </rPr>
      <t>14 oct 2024</t>
    </r>
  </si>
  <si>
    <t>Apuesta por los combustibles 100% renovables.</t>
  </si>
  <si>
    <t>Apuesta por los combustibles 100% renovables. La empresa que preside Brufau, Repsol, invierte 500 millones en España para impulsar sus combustibles 100%.</t>
  </si>
  <si>
    <t>Bet on 100% renewable fuels.</t>
  </si>
  <si>
    <t>Bet on 100% renewable fuels. The company chaired by Brufau, Repsol, invests 500 million in Spain to boost its fuels 100%.</t>
  </si>
  <si>
    <t>“Repsol”, “renewable fuels”</t>
  </si>
  <si>
    <t>“Repsol”, “combustibles renovables”</t>
  </si>
  <si>
    <t>Positive investment in renewable energy.</t>
  </si>
  <si>
    <t>Positive renewable focus.</t>
  </si>
  <si>
    <t>Enfoque renovable positivo.</t>
  </si>
  <si>
    <r>
      <rPr>
        <rFont val="Arial, sans-serif"/>
        <color rgb="FF1155CC"/>
        <sz val="9.0"/>
        <u/>
      </rPr>
      <t>Periódico elDinero</t>
    </r>
    <r>
      <rPr>
        <rFont val="Arial, sans-serif"/>
        <color rgb="FF1155CC"/>
        <sz val="15.0"/>
        <u/>
      </rPr>
      <t>La producción petrolera de Venezuela sube un 3.2% el tercer trimestre respecto al segundo</t>
    </r>
    <r>
      <rPr>
        <rFont val="Arial, sans-serif"/>
        <color rgb="FF1155CC"/>
        <sz val="11.0"/>
        <u/>
      </rPr>
      <t>La producción petrolera de Venezuela alcanzó una media de 933000 barriles por día (bpd) en el tercer trimestre, un alza del 3.2% respecto a los 904.000 del...</t>
    </r>
    <r>
      <rPr>
        <rFont val="Arial, sans-serif"/>
        <color rgb="FF1155CC"/>
        <sz val="12.0"/>
        <u/>
      </rPr>
      <t>.</t>
    </r>
    <r>
      <rPr>
        <rFont val="Arial, sans-serif"/>
        <color rgb="FF1155CC"/>
        <sz val="11.0"/>
        <u/>
      </rPr>
      <t>14 oct 2024</t>
    </r>
  </si>
  <si>
    <t>Periódico elDinero</t>
  </si>
  <si>
    <t>La producción petrolera de Venezuela sube un 3.2% el tercer trimestre respecto al segundo</t>
  </si>
  <si>
    <t>La producción petrolera de Venezuela alcanzó una media de 933000 barriles por día (bpd) en el tercer trimestre, un alza del 3.2% respecto a los 904.000 del....</t>
  </si>
  <si>
    <t>Venezuela's oil production rises 3.2% in the third quarter compared to the second</t>
  </si>
  <si>
    <t>Venezuela's oil production reached an average of 933,000 barrels per day (bpd) in the third quarter, an increase of 3.2% compared to 904,000 in the...</t>
  </si>
  <si>
    <r>
      <rPr>
        <rFont val="Arial, sans-serif"/>
        <color rgb="FF1155CC"/>
        <sz val="9.0"/>
        <u/>
      </rPr>
      <t>Xunta de Galicia</t>
    </r>
    <r>
      <rPr>
        <rFont val="Arial, sans-serif"/>
        <color rgb="FF1155CC"/>
        <sz val="15.0"/>
        <u/>
      </rPr>
      <t>La Xunta organiza con éxito un simulacro en Repsol Butano en el que participaron alrededor de cien personas</t>
    </r>
    <r>
      <rPr>
        <rFont val="Arial, sans-serif"/>
        <color rgb="FF1155CC"/>
        <sz val="11.0"/>
        <u/>
      </rPr>
      <t>Se probó con eficacia el sistema Es-Alert a través del cual todos los que se encontraban en los ayuntamientos limítrofes al escenario del simulacro...</t>
    </r>
    <r>
      <rPr>
        <rFont val="Arial, sans-serif"/>
        <color rgb="FF1155CC"/>
        <sz val="12.0"/>
        <u/>
      </rPr>
      <t>.</t>
    </r>
    <r>
      <rPr>
        <rFont val="Arial, sans-serif"/>
        <color rgb="FF1155CC"/>
        <sz val="11.0"/>
        <u/>
      </rPr>
      <t>15 oct 2024</t>
    </r>
  </si>
  <si>
    <t>La Xunta organiza con éxito un simulacro en Repsol Butano en el que participaron alrededor de cien personas</t>
  </si>
  <si>
    <t>Se probó con eficacia el sistema Es-Alert a través del cual todos los que se encontraban en los ayuntamientos limítrofes al escenario del simulacro.</t>
  </si>
  <si>
    <t>The Xunta successfully organized a drill at Repsol Butano in which around one hundred people participated</t>
  </si>
  <si>
    <t>The Es-Alert system was effectively tested, through which all those who were in the municipalities bordering the simulation scenario were tested.</t>
  </si>
  <si>
    <r>
      <rPr>
        <rFont val="Arial, sans-serif"/>
        <color rgb="FF1155CC"/>
        <sz val="9.0"/>
        <u/>
      </rPr>
      <t>Expansión</t>
    </r>
    <r>
      <rPr>
        <rFont val="Arial, sans-serif"/>
        <color rgb="FF1155CC"/>
        <sz val="15.0"/>
        <u/>
      </rPr>
      <t>Iberdrola, Endesa, Repsol, Naturgy: cuatro empresas, cuatro modelos</t>
    </r>
    <r>
      <rPr>
        <rFont val="Arial, sans-serif"/>
        <color rgb="FF1155CC"/>
        <sz val="11.0"/>
        <u/>
      </rPr>
      <t>Iberdrola, Endesa, Naturgy y Repsol son las cuatro mayores energéticas en España. Pero cada una representa un modelo accionarial totalmente distinto,...</t>
    </r>
    <r>
      <rPr>
        <rFont val="Arial, sans-serif"/>
        <color rgb="FF1155CC"/>
        <sz val="12.0"/>
        <u/>
      </rPr>
      <t>.</t>
    </r>
    <r>
      <rPr>
        <rFont val="Arial, sans-serif"/>
        <color rgb="FF1155CC"/>
        <sz val="11.0"/>
        <u/>
      </rPr>
      <t>15 oct 2024</t>
    </r>
  </si>
  <si>
    <t>Iberdrola, Endesa, Repsol, Naturgy: cuatro empresas, cuatro modelos</t>
  </si>
  <si>
    <t>Iberdrola, Endesa, Naturgy y Repsol son las cuatro mayores energéticas en España. Pero cada una representa un modelo accionarial totalmente distinto,...</t>
  </si>
  <si>
    <t>Iberdrola, Endesa, Repsol, Naturgy: four companies, four models</t>
  </si>
  <si>
    <t>Iberdrola, Endesa, Naturgy and Repsol are the four largest energy companies in Spain. But each one represents a totally different shareholder model,...</t>
  </si>
  <si>
    <t>General industry comparison, no sentiment impact.</t>
  </si>
  <si>
    <t>Neutral industry comparison.</t>
  </si>
  <si>
    <t>Comparación neutral de la industria.</t>
  </si>
  <si>
    <r>
      <rPr>
        <rFont val="Arial, sans-serif"/>
        <color rgb="FF1155CC"/>
        <sz val="9.0"/>
        <u/>
      </rPr>
      <t>El Periódico de la Energía</t>
    </r>
    <r>
      <rPr>
        <rFont val="Arial, sans-serif"/>
        <color rgb="FF1155CC"/>
        <sz val="15.0"/>
        <u/>
      </rPr>
      <t>La hoja de ruta de descarbonización a 2030 de Petronor (Repsol) cuenta con una inversión de 1.127 millones</t>
    </r>
    <r>
      <rPr>
        <rFont val="Arial, sans-serif"/>
        <color rgb="FF1155CC"/>
        <sz val="11.0"/>
        <u/>
      </rPr>
      <t>El secretario consejero de Petronor (Repsol) ha destacado que la refinería vizcaína cuenta con una hoja de ruta de descarbonización con el horizonte 2030.</t>
    </r>
    <r>
      <rPr>
        <rFont val="Arial, sans-serif"/>
        <color rgb="FF1155CC"/>
        <sz val="12.0"/>
        <u/>
      </rPr>
      <t>.</t>
    </r>
    <r>
      <rPr>
        <rFont val="Arial, sans-serif"/>
        <color rgb="FF1155CC"/>
        <sz val="11.0"/>
        <u/>
      </rPr>
      <t>15 oct 2024</t>
    </r>
  </si>
  <si>
    <t>La hoja de ruta de descarbonización a 2030 de Petronor (Repsol) cuenta con una inversión de 1.127 millones</t>
  </si>
  <si>
    <t>La hoja de ruta de descarbonización a 2030 de Petronor (Repsol) cuenta con una inversión de 1.127 millones.</t>
  </si>
  <si>
    <t>Petronor's (Repsol) decarbonization roadmap to 2030 has an investment of 1,127 million</t>
  </si>
  <si>
    <t>Petronor's (Repsol) decarbonization roadmap to 2030 has an investment of 1,127 million.</t>
  </si>
  <si>
    <t>“Repsol”, “Petronor”, “decarbonization”</t>
  </si>
  <si>
    <t>“Repsol”, “Petronor”, ​​“descarbonización”</t>
  </si>
  <si>
    <t>Strong sustainability commitment.</t>
  </si>
  <si>
    <t>descarbonización, inversión</t>
  </si>
  <si>
    <t>Strong positive sustainability commitment.</t>
  </si>
  <si>
    <t>Fuerte compromiso positivo con la sostenibilidad.</t>
  </si>
  <si>
    <r>
      <rPr>
        <rFont val="Arial, sans-serif"/>
        <color rgb="FF1155CC"/>
        <sz val="9.0"/>
        <u/>
      </rPr>
      <t>Estrategias de Inversión</t>
    </r>
    <r>
      <rPr>
        <rFont val="Arial, sans-serif"/>
        <color rgb="FF1155CC"/>
        <sz val="15.0"/>
        <u/>
      </rPr>
      <t>¿Qué está pasando con Repsol? La petrolera pone rumbo hacia nuevos mínimos anuales en bolsa</t>
    </r>
    <r>
      <rPr>
        <rFont val="Arial, sans-serif"/>
        <color rgb="FF1155CC"/>
        <sz val="11.0"/>
        <u/>
      </rPr>
      <t>Análisis técnico de las acciones de Repsol en bolsa. La petrolera pone rumbo hacia nuevos mínimos anuales en el Ibex 35: ¿por qué las caídas?</t>
    </r>
    <r>
      <rPr>
        <rFont val="Arial, sans-serif"/>
        <color rgb="FF1155CC"/>
        <sz val="12.0"/>
        <u/>
      </rPr>
      <t>.</t>
    </r>
    <r>
      <rPr>
        <rFont val="Arial, sans-serif"/>
        <color rgb="FF1155CC"/>
        <sz val="11.0"/>
        <u/>
      </rPr>
      <t>15 oct 2024</t>
    </r>
  </si>
  <si>
    <t>¿Qué está pasando con Repsol? La petrolera pone rumbo hacia nuevos mínimos anuales en bolsa</t>
  </si>
  <si>
    <t>Análisis técnico de las acciones de Repsol en bolsa. La petrolera pone rumbo hacia nuevos mínimos anuales en el Ibex 35: ¿por qué las caídas?</t>
  </si>
  <si>
    <t>What is happening with Repsol? The oil company heads towards new annual lows in the stock market</t>
  </si>
  <si>
    <t>Technical analysis of Repsol shares on the stock market. The oil company is heading towards new annual lows in the Ibex 35: why the falls?</t>
  </si>
  <si>
    <t>Negative due to financial decline.</t>
  </si>
  <si>
    <t>Negative financial performance.</t>
  </si>
  <si>
    <t>Desempeño financiero negativo.</t>
  </si>
  <si>
    <r>
      <rPr>
        <rFont val="Arial, sans-serif"/>
        <color rgb="FF1155CC"/>
        <sz val="9.0"/>
        <u/>
      </rPr>
      <t>diariodenavarra.es</t>
    </r>
    <r>
      <rPr>
        <rFont val="Arial, sans-serif"/>
        <color rgb="FF1155CC"/>
        <sz val="15.0"/>
        <u/>
      </rPr>
      <t>La tortilla de patata de Pamplona que la Guía Repsol recomienda como una de las 17 mejores de España</t>
    </r>
    <r>
      <rPr>
        <rFont val="Arial, sans-serif"/>
        <color rgb="FF1155CC"/>
        <sz val="11.0"/>
        <u/>
      </rPr>
      <t>La publicación ha elaborado un ranking con los establecimientos que mejor preparan la receta más clásica en cada comunidad.</t>
    </r>
    <r>
      <rPr>
        <rFont val="Arial, sans-serif"/>
        <color rgb="FF1155CC"/>
        <sz val="12.0"/>
        <u/>
      </rPr>
      <t>.</t>
    </r>
    <r>
      <rPr>
        <rFont val="Arial, sans-serif"/>
        <color rgb="FF1155CC"/>
        <sz val="11.0"/>
        <u/>
      </rPr>
      <t>15 oct 2024</t>
    </r>
  </si>
  <si>
    <t>La tortilla de patata de Pamplona que la Guía Repsol recomienda como una de las 17 mejores de España</t>
  </si>
  <si>
    <t>La publicación ha elaborado un ranking con los establecimientos que mejor preparan la receta más clásica en cada comunidad.</t>
  </si>
  <si>
    <t>The Pamplona potato omelette that the Repsol Guide recommends as one of the 17 best in Spain</t>
  </si>
  <si>
    <t>The publication has prepared a ranking of the establishments that best prepare the most classic recipe in each community.</t>
  </si>
  <si>
    <r>
      <rPr>
        <rFont val="Arial, sans-serif"/>
        <color rgb="FF1155CC"/>
        <sz val="9.0"/>
        <u/>
      </rPr>
      <t>Cadena SER</t>
    </r>
    <r>
      <rPr>
        <rFont val="Arial, sans-serif"/>
        <color rgb="FF1155CC"/>
        <sz val="15.0"/>
        <u/>
      </rPr>
      <t>300 mil móviles de A Coruña y Arteixo reciben la alerta por simulacro en la planta de butano de Repsol en Nostián</t>
    </r>
    <r>
      <rPr>
        <rFont val="Arial, sans-serif"/>
        <color rgb="FF1155CC"/>
        <sz val="11.0"/>
        <u/>
      </rPr>
      <t>A Coruña. Ha sido finalmente pasadas las diez y media de la mañana, el aviso de simulacro organizado por la Xunta de Galicia en la planta de Repsol-Butano...</t>
    </r>
    <r>
      <rPr>
        <rFont val="Arial, sans-serif"/>
        <color rgb="FF1155CC"/>
        <sz val="12.0"/>
        <u/>
      </rPr>
      <t>.</t>
    </r>
    <r>
      <rPr>
        <rFont val="Arial, sans-serif"/>
        <color rgb="FF1155CC"/>
        <sz val="11.0"/>
        <u/>
      </rPr>
      <t>15 oct 2024</t>
    </r>
  </si>
  <si>
    <t>300 mil móviles de A Coruña y Arteixo reciben la alerta por simulacro en la planta de butano de Repsol en Nostián</t>
  </si>
  <si>
    <t>300 mil móviles de A Coruña y Arteixo reciben la alerta por simulacro en la planta de butano de Repsol en Nostián. Ha sido finalmente pasadas las diez y media de la mañana, el aviso de simulacro organizado por la Xunta de Galicia en la planta de Repsol-Butano.</t>
  </si>
  <si>
    <t>300 thousand mobile phones in A Coruña and Arteixo receive the alert due to a drill at the Repsol butane plant in Nostián</t>
  </si>
  <si>
    <t>300 thousand mobile phones in A Coruña and Arteixo receive the alert due to a drill at the Repsol butane plant in Nostián. It was finally after ten thirty in the morning, the drill notice organized by the Xunta de Galicia at the Repsol-Butano plant.</t>
  </si>
  <si>
    <r>
      <rPr>
        <rFont val="Arial, sans-serif"/>
        <color rgb="FF1155CC"/>
        <sz val="9.0"/>
        <u/>
      </rPr>
      <t>Universidad Pontificia Comillas</t>
    </r>
    <r>
      <rPr>
        <rFont val="Arial, sans-serif"/>
        <color rgb="FF1155CC"/>
        <sz val="15.0"/>
        <u/>
      </rPr>
      <t>Directiva CSDDD sobre diligencia debida en materia de sostenibilidad</t>
    </r>
    <r>
      <rPr>
        <rFont val="Arial, sans-serif"/>
        <color rgb="FF1155CC"/>
        <sz val="11.0"/>
        <u/>
      </rPr>
      <t>La Cátedra Fundación Repsol de Transición Energética organiza un seminario online centrado en la nueva directiva europea 2024/1760 (CSDDD)</t>
    </r>
    <r>
      <rPr>
        <rFont val="Arial, sans-serif"/>
        <color rgb="FF1155CC"/>
        <sz val="12.0"/>
        <u/>
      </rPr>
      <t>.</t>
    </r>
    <r>
      <rPr>
        <rFont val="Arial, sans-serif"/>
        <color rgb="FF1155CC"/>
        <sz val="11.0"/>
        <u/>
      </rPr>
      <t>15 oct 2024</t>
    </r>
  </si>
  <si>
    <t>Directiva CSDDD sobre diligencia debida en materia de sostenibilidad</t>
  </si>
  <si>
    <t>La Cátedra Fundación Repsol de Transición Energética organiza un seminario online centrado en la nueva directiva europea 2024/1760 (CSDDD).</t>
  </si>
  <si>
    <t>CSDDD Directive on Sustainability Due Diligence</t>
  </si>
  <si>
    <t>The Repsol Foundation Chair in Energy Transition organizes an online seminar focused on the new European directive 2024/1760 (CSDDD).</t>
  </si>
  <si>
    <t>“Repsol”, “sustainability”, “CSDDD”</t>
  </si>
  <si>
    <t>“Repsol”, “sostenibilidad”, “CSDDD”</t>
  </si>
  <si>
    <t>No direct impact on Repsol’s image.</t>
  </si>
  <si>
    <t>Neutral policy context.</t>
  </si>
  <si>
    <t>Contexto político neutral.</t>
  </si>
  <si>
    <r>
      <rPr>
        <rFont val="Arial, sans-serif"/>
        <color rgb="FF1155CC"/>
        <sz val="9.0"/>
        <u/>
      </rPr>
      <t>Guía Repsol</t>
    </r>
    <r>
      <rPr>
        <rFont val="Arial, sans-serif"/>
        <color rgb="FF1155CC"/>
        <sz val="15.0"/>
        <u/>
      </rPr>
      <t>A la búsqueda de “el Perdido” de Blackwater en España</t>
    </r>
    <r>
      <rPr>
        <rFont val="Arial, sans-serif"/>
        <color rgb="FF1155CC"/>
        <sz val="11.0"/>
        <u/>
      </rPr>
      <t>Has acabado el sexto libro de Blackwater y te sientes huérfano? Bienvenido, estamos contigo en ese club de orfandad. No soportamos que la atmósfera que no.</t>
    </r>
    <r>
      <rPr>
        <rFont val="Arial, sans-serif"/>
        <color rgb="FF1155CC"/>
        <sz val="12.0"/>
        <u/>
      </rPr>
      <t>.</t>
    </r>
    <r>
      <rPr>
        <rFont val="Arial, sans-serif"/>
        <color rgb="FF1155CC"/>
        <sz val="11.0"/>
        <u/>
      </rPr>
      <t>15 oct 2024</t>
    </r>
  </si>
  <si>
    <t>A la búsqueda de “el Perdido” de Blackwater en España</t>
  </si>
  <si>
    <t>Has acabado el sexto libro de Blackwater y te sientes huérfano? Bienvenido, estamos contigo en ese club de orfandad. No soportamos que la atmósfera que no..</t>
  </si>
  <si>
    <t>In search of “the Lost One” of Blackwater in Spain</t>
  </si>
  <si>
    <t>Have you finished the sixth Blackwater book and do you feel like an orphan? Welcome, we are with you in that orphan club. We can't stand the atmosphere that doesn't...</t>
  </si>
  <si>
    <r>
      <rPr>
        <rFont val="Arial, sans-serif"/>
        <color rgb="FF1155CC"/>
        <sz val="9.0"/>
        <u/>
      </rPr>
      <t>La Opinión A Coruña</t>
    </r>
    <r>
      <rPr>
        <rFont val="Arial, sans-serif"/>
        <color rgb="FF1155CC"/>
        <sz val="15.0"/>
        <u/>
      </rPr>
      <t>Simulación de accidente en Repsol-Butano, en el marco del plan de emergencias exterior de Agrela-Bens</t>
    </r>
    <r>
      <rPr>
        <rFont val="Arial, sans-serif"/>
        <color rgb="FF1155CC"/>
        <sz val="11.0"/>
        <u/>
      </rPr>
      <t>El 112 Galicia ha activado en miles de teléfonos móviles del área de A Coruña un simulacro de alerta de accidente en las instalaciones de Repsol Butano en...</t>
    </r>
    <r>
      <rPr>
        <rFont val="Arial, sans-serif"/>
        <color rgb="FF1155CC"/>
        <sz val="12.0"/>
        <u/>
      </rPr>
      <t>.</t>
    </r>
    <r>
      <rPr>
        <rFont val="Arial, sans-serif"/>
        <color rgb="FF1155CC"/>
        <sz val="11.0"/>
        <u/>
      </rPr>
      <t>15 oct 2024</t>
    </r>
  </si>
  <si>
    <t>Simulación de accidente en Repsol-Butano, en el marco del plan de emergencias exterior de Agrela-Bens</t>
  </si>
  <si>
    <t>El 112 Galicia ha activado en miles de teléfonos móviles del área de A Coruña un simulacro de alerta de accidente en las instalaciones de Repsol Butano en....</t>
  </si>
  <si>
    <t>Accident simulation at Repsol-Butano, within the framework of the Agrela-Bens external emergency plan</t>
  </si>
  <si>
    <t>112 Galicia has activated a simulated accident alert on thousands of mobile phones in the A Coruña area at the Repsol Butano facilities in...</t>
  </si>
  <si>
    <r>
      <rPr>
        <rFont val="Arial, sans-serif"/>
        <color rgb="FF1155CC"/>
        <sz val="9.0"/>
        <u/>
      </rPr>
      <t>Onda Cero</t>
    </r>
    <r>
      <rPr>
        <rFont val="Arial, sans-serif"/>
        <color rgb="FF1155CC"/>
        <sz val="15.0"/>
        <u/>
      </rPr>
      <t>Completado con éxito y con el envio masivo de dos mensajes de texto y sonido vía Es-Alert el simulacro en Reps</t>
    </r>
    <r>
      <rPr>
        <rFont val="Arial, sans-serif"/>
        <color rgb="FF1155CC"/>
        <sz val="11.0"/>
        <u/>
      </rPr>
      <t>Tenía una repecursión interna con la participación de más de cien personas de diferentes cuerpos de seguridad, privados y públicos.</t>
    </r>
    <r>
      <rPr>
        <rFont val="Arial, sans-serif"/>
        <color rgb="FF1155CC"/>
        <sz val="12.0"/>
        <u/>
      </rPr>
      <t>.</t>
    </r>
    <r>
      <rPr>
        <rFont val="Arial, sans-serif"/>
        <color rgb="FF1155CC"/>
        <sz val="11.0"/>
        <u/>
      </rPr>
      <t>15 oct 2024</t>
    </r>
  </si>
  <si>
    <t>Completado con éxito y con el envio masivo de dos mensajes de texto y sonido vía Es-Alert el simulacro en Reps</t>
  </si>
  <si>
    <t>Completado con éxito y con el envio masivo de dos mensajes de texto y sonido vía Es-Alert el simulacro en Reps. Tenía una repecursión interna con la participación de más de cien personas de diferentes cuerpos de seguridad, privados y públicos.</t>
  </si>
  <si>
    <t>Successfully completed and with the massive sending of two text and sound messages via Es-Alert the drill in Reps</t>
  </si>
  <si>
    <t>Successfully completed and with the massive sending of two text and sound messages via Es-Alert the drill in Reps. It had an internal impact with the participation of more than one hundred people from different security forces, private and public.</t>
  </si>
  <si>
    <r>
      <rPr>
        <rFont val="Arial, sans-serif"/>
        <color rgb="FF1155CC"/>
        <sz val="9.0"/>
        <u/>
      </rPr>
      <t>El Correo</t>
    </r>
    <r>
      <rPr>
        <rFont val="Arial, sans-serif"/>
        <color rgb="FF1155CC"/>
        <sz val="15.0"/>
        <u/>
      </rPr>
      <t>La tortilla de patata de Bilbao que la Guía Repsol recomienda como una de las 17 mejores de España</t>
    </r>
    <r>
      <rPr>
        <rFont val="Arial, sans-serif"/>
        <color rgb="FF1155CC"/>
        <sz val="11.0"/>
        <u/>
      </rPr>
      <t>La prestigiosa publicación ha elaborado un ranking con los establecimientos que mejor preparan la receta más clásica en cada comunidad.</t>
    </r>
    <r>
      <rPr>
        <rFont val="Arial, sans-serif"/>
        <color rgb="FF1155CC"/>
        <sz val="12.0"/>
        <u/>
      </rPr>
      <t>.</t>
    </r>
    <r>
      <rPr>
        <rFont val="Arial, sans-serif"/>
        <color rgb="FF1155CC"/>
        <sz val="11.0"/>
        <u/>
      </rPr>
      <t>15 oct 2024</t>
    </r>
  </si>
  <si>
    <t>La tortilla de patata de Bilbao que la Guía Repsol recomienda como una de las 17 mejores de España</t>
  </si>
  <si>
    <t>La prestigiosa publicación ha elaborado un ranking con los establecimientos que mejor preparan la receta más clásica en cada comunidad.</t>
  </si>
  <si>
    <t>The Bilbao potato omelette that the Repsol Guide recommends as one of the 17 best in Spain</t>
  </si>
  <si>
    <t>The prestigious publication has prepared a ranking of the establishments that best prepare the most classic recipe in each community.</t>
  </si>
  <si>
    <r>
      <rPr>
        <rFont val="Arial, sans-serif"/>
        <color rgb="FF1155CC"/>
        <sz val="9.0"/>
        <u/>
      </rPr>
      <t>El Español</t>
    </r>
    <r>
      <rPr>
        <rFont val="Arial, sans-serif"/>
        <color rgb="FF1155CC"/>
        <sz val="15.0"/>
        <u/>
      </rPr>
      <t>Así ha sonado la alerta en los móviles de A Coruña por el simulacro de accidente en Repsol Butano</t>
    </r>
    <r>
      <rPr>
        <rFont val="Arial, sans-serif"/>
        <color rgb="FF1155CC"/>
        <sz val="11.0"/>
        <u/>
      </rPr>
      <t>Unos 300.000 móviles ubicados en A Coruña y Arteixo han comenzado a sonar a las 10:43 horas para poner a prueba el sistema de alerta masiva ES-Alert.</t>
    </r>
    <r>
      <rPr>
        <rFont val="Arial, sans-serif"/>
        <color rgb="FF1155CC"/>
        <sz val="12.0"/>
        <u/>
      </rPr>
      <t>.</t>
    </r>
    <r>
      <rPr>
        <rFont val="Arial, sans-serif"/>
        <color rgb="FF1155CC"/>
        <sz val="11.0"/>
        <u/>
      </rPr>
      <t>15 oct 2024</t>
    </r>
  </si>
  <si>
    <t>Así ha sonado la alerta en los móviles de A Coruña por el simulacro de accidente en Repsol Butano</t>
  </si>
  <si>
    <t>Unos 300.000 móviles ubicados en A Coruña y Arteixo han comenzado a sonar a las 10:43 horas para poner a prueba el sistema de alerta masiva ES-Alert.</t>
  </si>
  <si>
    <t>This is how the alert sounded on cell phones in A Coruña due to the simulated accident at Repsol Butano</t>
  </si>
  <si>
    <t>Some 300,000 mobile phones located in A Coruña and Arteixo began ringing at 10:43 a.m. to test the ES-Alert mass alert system.</t>
  </si>
  <si>
    <r>
      <rPr>
        <rFont val="Arial, sans-serif"/>
        <color rgb="FF1155CC"/>
        <sz val="9.0"/>
        <u/>
      </rPr>
      <t>Diari de Tarragona</t>
    </r>
    <r>
      <rPr>
        <rFont val="Arial, sans-serif"/>
        <color rgb="FF1155CC"/>
        <sz val="15.0"/>
        <u/>
      </rPr>
      <t>Estos son los mejores restaurantes de Tarragona que recomienda la Guía Repsol para comer calçots</t>
    </r>
    <r>
      <rPr>
        <rFont val="Arial, sans-serif"/>
        <color rgb="FF1155CC"/>
        <sz val="11.0"/>
        <u/>
      </rPr>
      <t>La aplicación de la Guía Repsol estrena listas interactivas que pretenden hacer más fácil la vida de los usuarios que buscan dónde comer ciertos plato...</t>
    </r>
    <r>
      <rPr>
        <rFont val="Arial, sans-serif"/>
        <color rgb="FF1155CC"/>
        <sz val="12.0"/>
        <u/>
      </rPr>
      <t>.</t>
    </r>
    <r>
      <rPr>
        <rFont val="Arial, sans-serif"/>
        <color rgb="FF1155CC"/>
        <sz val="11.0"/>
        <u/>
      </rPr>
      <t>15 oct 2024</t>
    </r>
  </si>
  <si>
    <t>Estos son los mejores restaurantes de Tarragona que recomienda la Guía Repsol para comer calçots</t>
  </si>
  <si>
    <t>La aplicación de la Guía Repsol estrena listas interactivas que pretenden hacer más fácil la vida de los usuarios que buscan dónde comer ciertos plato....</t>
  </si>
  <si>
    <t>These are the best restaurants in Tarragona that the Repsol Guide recommends to eat calçots</t>
  </si>
  <si>
    <t>The Repsol Guide application launches interactive lists that aim to make the lives of users who are looking for where to eat certain dishes easier....</t>
  </si>
  <si>
    <r>
      <rPr>
        <rFont val="Arial, sans-serif"/>
        <color rgb="FF1155CC"/>
        <sz val="9.0"/>
        <u/>
      </rPr>
      <t>Diario de Santiago</t>
    </r>
    <r>
      <rPr>
        <rFont val="Arial, sans-serif"/>
        <color rgb="FF1155CC"/>
        <sz val="15.0"/>
        <u/>
      </rPr>
      <t>Un simulacro de alerta en A Coruña activa miles de móviles por un posible accidente en la refinería de Repsol</t>
    </r>
    <r>
      <rPr>
        <rFont val="Arial, sans-serif"/>
        <color rgb="FF1155CC"/>
        <sz val="11.0"/>
        <u/>
      </rPr>
      <t>El 112 Galicia activó este martes, 15 de octubre, un simulacro de alerta en miles de teléfonos móviles en el área de A Coruña, simulando un accidente en la...</t>
    </r>
    <r>
      <rPr>
        <rFont val="Arial, sans-serif"/>
        <color rgb="FF1155CC"/>
        <sz val="12.0"/>
        <u/>
      </rPr>
      <t>.</t>
    </r>
    <r>
      <rPr>
        <rFont val="Arial, sans-serif"/>
        <color rgb="FF1155CC"/>
        <sz val="11.0"/>
        <u/>
      </rPr>
      <t>15 oct 2024</t>
    </r>
  </si>
  <si>
    <t>Un simulacro de alerta en A Coruña activa miles de móviles por un posible accidente en la refinería de Repsol</t>
  </si>
  <si>
    <t>El 112 Galicia activó este martes, 15 de octubre, un simulacro de alerta en miles de teléfonos móviles en el área de A Coruña, simulando un accidente en la....</t>
  </si>
  <si>
    <t>An alert drill in A Coruña activates thousands of cell phones due to a possible accident at the Repsol refinery</t>
  </si>
  <si>
    <t>This Tuesday, October 15, 112 Galicia activated a simulated alert on thousands of mobile phones in the A Coruña area, simulating an accident in the...</t>
  </si>
  <si>
    <r>
      <rPr>
        <rFont val="Arial, sans-serif"/>
        <color rgb="FF1155CC"/>
        <sz val="9.0"/>
        <u/>
      </rPr>
      <t>Metropolitano.gal</t>
    </r>
    <r>
      <rPr>
        <rFont val="Arial, sans-serif"/>
        <color rgb="FF1155CC"/>
        <sz val="15.0"/>
        <u/>
      </rPr>
      <t>Una de las 17 mejores tortillas de patatas de España está en Galicia, según la Guía Repsol</t>
    </r>
    <r>
      <rPr>
        <rFont val="Arial, sans-serif"/>
        <color rgb="FF1155CC"/>
        <sz val="11.0"/>
        <u/>
      </rPr>
      <t>La Guía Repsol ha preparado un listado con las mejores tortillas de patatas hechas en España. Y hay representante en Galicia.</t>
    </r>
    <r>
      <rPr>
        <rFont val="Arial, sans-serif"/>
        <color rgb="FF1155CC"/>
        <sz val="12.0"/>
        <u/>
      </rPr>
      <t>.</t>
    </r>
    <r>
      <rPr>
        <rFont val="Arial, sans-serif"/>
        <color rgb="FF1155CC"/>
        <sz val="11.0"/>
        <u/>
      </rPr>
      <t>15 oct 2024</t>
    </r>
  </si>
  <si>
    <t>Una de las 17 mejores tortillas de patatas de España está en Galicia, según la Guía Repsol</t>
  </si>
  <si>
    <t>Una de las 17 mejores tortillas de patatas de España está en Galicia, según la Guía Repsol.</t>
  </si>
  <si>
    <t>One of the 17 best potato omelettes in Spain is in Galicia, according to the Repsol Guide</t>
  </si>
  <si>
    <t>One of the 17 best potato omelettes in Spain is in Galicia, according to the Repsol Guide.</t>
  </si>
  <si>
    <r>
      <rPr>
        <rFont val="Arial, sans-serif"/>
        <color rgb="FF1155CC"/>
        <sz val="9.0"/>
        <u/>
      </rPr>
      <t>El Periódico de la Energía</t>
    </r>
    <r>
      <rPr>
        <rFont val="Arial, sans-serif"/>
        <color rgb="FF1155CC"/>
        <sz val="15.0"/>
        <u/>
      </rPr>
      <t>Miles de móviles reciben una alerta por simulacro de accidente en Repsol Butano (A Coruña)</t>
    </r>
    <r>
      <rPr>
        <rFont val="Arial, sans-serif"/>
        <color rgb="FF1155CC"/>
        <sz val="11.0"/>
        <u/>
      </rPr>
      <t>Galicia ha activado en miles de teléfonos móviles del área de A Coruña una alerta por un simulacro de accidente en las instalaciones de Repsol Butano.</t>
    </r>
    <r>
      <rPr>
        <rFont val="Arial, sans-serif"/>
        <color rgb="FF1155CC"/>
        <sz val="12.0"/>
        <u/>
      </rPr>
      <t>.</t>
    </r>
    <r>
      <rPr>
        <rFont val="Arial, sans-serif"/>
        <color rgb="FF1155CC"/>
        <sz val="11.0"/>
        <u/>
      </rPr>
      <t>15 oct 2024</t>
    </r>
  </si>
  <si>
    <t>Miles de móviles reciben una alerta por simulacro de accidente en Repsol Butano (A Coruña)</t>
  </si>
  <si>
    <t>Galicia ha activado en miles de teléfonos móviles del área de A Coruña una alerta por un simulacro de accidente en las instalaciones de Repsol Butano.</t>
  </si>
  <si>
    <t>Thousands of cell phones receive an alert due to a simulated accident in Repsol Butano (A Coruña)</t>
  </si>
  <si>
    <t>Galicia has activated an alert on thousands of mobile phones in the A Coruña area due to a simulated accident at the Repsol Butano facilities.</t>
  </si>
  <si>
    <r>
      <rPr>
        <rFont val="Arial, sans-serif"/>
        <color rgb="FF1155CC"/>
        <sz val="9.0"/>
        <u/>
      </rPr>
      <t>Guía Repsol</t>
    </r>
    <r>
      <rPr>
        <rFont val="Arial, sans-serif"/>
        <color rgb="FF1155CC"/>
        <sz val="15.0"/>
        <u/>
      </rPr>
      <t>Tetas de Viana: todos las ven, pocos las coronan</t>
    </r>
    <r>
      <rPr>
        <rFont val="Arial, sans-serif"/>
        <color rgb="FF1155CC"/>
        <sz val="11.0"/>
        <u/>
      </rPr>
      <t>Descubrimos una de las rutas de senderismo más emblemáticas de la comarca manchega de la Alcarria (provincia de Guadalajara) para ascender las Tetas de...</t>
    </r>
    <r>
      <rPr>
        <rFont val="Arial, sans-serif"/>
        <color rgb="FF1155CC"/>
        <sz val="12.0"/>
        <u/>
      </rPr>
      <t>.</t>
    </r>
    <r>
      <rPr>
        <rFont val="Arial, sans-serif"/>
        <color rgb="FF1155CC"/>
        <sz val="11.0"/>
        <u/>
      </rPr>
      <t>15 oct 2024</t>
    </r>
  </si>
  <si>
    <t>Tetas de Viana: todos las ven, pocos las coronan</t>
  </si>
  <si>
    <t>Descubrimos una de las rutas de senderismo más emblemáticas de la comarca manchega de la Alcarria (provincia de Guadalajara) para ascender las Tetas de....</t>
  </si>
  <si>
    <t>Viana's tits: everyone sees them, few crown them</t>
  </si>
  <si>
    <t>We discovered one of the most emblematic hiking routes in the Alcarria region of La Mancha (province of Guadalajara) to ascend the Tetas de....</t>
  </si>
  <si>
    <r>
      <rPr>
        <rFont val="Arial, sans-serif"/>
        <color rgb="FF1155CC"/>
        <sz val="9.0"/>
        <u/>
      </rPr>
      <t>Diario de Avisos</t>
    </r>
    <r>
      <rPr>
        <rFont val="Arial, sans-serif"/>
        <color rgb="FF1155CC"/>
        <sz val="15.0"/>
        <u/>
      </rPr>
      <t>Zulay, la panadería de éxito en Tenerife, renueva su 'Solete' en la Guía Repsol</t>
    </r>
    <r>
      <rPr>
        <rFont val="Arial, sans-serif"/>
        <color rgb="FF1155CC"/>
        <sz val="11.0"/>
        <u/>
      </rPr>
      <t>El establecimiento fue galardonado en los XXXIX Premios Nacionales de Gastronomía de DIARIO DE AVISOS, los más antiguos de un medio de comunicación español.</t>
    </r>
    <r>
      <rPr>
        <rFont val="Arial, sans-serif"/>
        <color rgb="FF1155CC"/>
        <sz val="12.0"/>
        <u/>
      </rPr>
      <t>.</t>
    </r>
    <r>
      <rPr>
        <rFont val="Arial, sans-serif"/>
        <color rgb="FF1155CC"/>
        <sz val="11.0"/>
        <u/>
      </rPr>
      <t>15 oct 2024</t>
    </r>
  </si>
  <si>
    <t>Zulay, la panadería de éxito en Tenerife, renueva su 'Solete' en la Guía Repsol</t>
  </si>
  <si>
    <t>El establecimiento fue galardonado en los XXXIX Premios Nacionales de Gastronomía de DIARIO DE AVISOS, los más antiguos de un medio de comunicación español.</t>
  </si>
  <si>
    <t>Zulay, the successful bakery in Tenerife, renews its 'Solete' in the Repsol Guide</t>
  </si>
  <si>
    <t>The establishment was awarded in the XXXIX National Gastronomy Awards of DIARIO DE AVISOS, the oldest of a Spanish media.</t>
  </si>
  <si>
    <r>
      <rPr>
        <rFont val="Arial, sans-serif"/>
        <color rgb="FF1155CC"/>
        <sz val="9.0"/>
        <u/>
      </rPr>
      <t>La Opinión A Coruña</t>
    </r>
    <r>
      <rPr>
        <rFont val="Arial, sans-serif"/>
        <color rgb="FF1155CC"/>
        <sz val="15.0"/>
        <u/>
      </rPr>
      <t>Simulacro en A Coruña: Así ha sonado la alerta en los móviles de miles de coruñeses</t>
    </r>
    <r>
      <rPr>
        <rFont val="Arial, sans-serif"/>
        <color rgb="FF1155CC"/>
        <sz val="11.0"/>
        <u/>
      </rPr>
      <t>Simulación de accidente en Repsol-Butano, en el marco del plan de emergencias exterior de Agrela-Bens. Europa Press. Redacción.</t>
    </r>
    <r>
      <rPr>
        <rFont val="Arial, sans-serif"/>
        <color rgb="FF1155CC"/>
        <sz val="12.0"/>
        <u/>
      </rPr>
      <t>.</t>
    </r>
    <r>
      <rPr>
        <rFont val="Arial, sans-serif"/>
        <color rgb="FF1155CC"/>
        <sz val="11.0"/>
        <u/>
      </rPr>
      <t>15 oct 2024</t>
    </r>
  </si>
  <si>
    <t>Simulacro en A Coruña: Así ha sonado la alerta en los móviles de miles de coruñeses</t>
  </si>
  <si>
    <t>Simulación de accidente en Repsol-Butano, en el marco del plan de emergencias exterior de Agrela-Bens.</t>
  </si>
  <si>
    <t>Drill in A Coruña: This is how the alert sounded on the mobile phones of thousands of Coruña residents</t>
  </si>
  <si>
    <t>Accident simulation at Repsol-Butano, within the framework of the Agrela-Bens external emergency plan.</t>
  </si>
  <si>
    <r>
      <rPr>
        <rFont val="Arial, sans-serif"/>
        <color rgb="FF1155CC"/>
        <sz val="9.0"/>
        <u/>
      </rPr>
      <t>Guía Repsol</t>
    </r>
    <r>
      <rPr>
        <rFont val="Arial, sans-serif"/>
        <color rgb="FF1155CC"/>
        <sz val="15.0"/>
        <u/>
      </rPr>
      <t>La comarca de paisajes para enmarcar situada a 1h de Barcelona que debes conocer</t>
    </r>
    <r>
      <rPr>
        <rFont val="Arial, sans-serif"/>
        <color rgb="FF1155CC"/>
        <sz val="11.0"/>
        <u/>
      </rPr>
      <t>A una hora escasa de Barcelona existe una zona recóndita de paisajes abrumadores y pueblos de piedra que poca gente conoce. Este tesoro escondido es el...</t>
    </r>
    <r>
      <rPr>
        <rFont val="Arial, sans-serif"/>
        <color rgb="FF1155CC"/>
        <sz val="12.0"/>
        <u/>
      </rPr>
      <t>.</t>
    </r>
    <r>
      <rPr>
        <rFont val="Arial, sans-serif"/>
        <color rgb="FF1155CC"/>
        <sz val="11.0"/>
        <u/>
      </rPr>
      <t>15 oct 2024</t>
    </r>
  </si>
  <si>
    <t>La comarca de paisajes para enmarcar situada a 1h de Barcelona que debes conocer</t>
  </si>
  <si>
    <t>A una hora escasa de Barcelona existe una zona recóndita de paisajes abrumadores y pueblos de piedra que poca gente conoce. Este tesoro escondido es el....</t>
  </si>
  <si>
    <t>The region of landscapes to frame located 1 hour from Barcelona that you should know</t>
  </si>
  <si>
    <t>Just an hour from Barcelona there is a hidden area of ​​overwhelming landscapes and stone towns that few people know about. This hidden treasure is the....</t>
  </si>
  <si>
    <r>
      <rPr>
        <rFont val="Arial, sans-serif"/>
        <color rgb="FF1155CC"/>
        <sz val="9.0"/>
        <u/>
      </rPr>
      <t>Diario de León</t>
    </r>
    <r>
      <rPr>
        <rFont val="Arial, sans-serif"/>
        <color rgb="FF1155CC"/>
        <sz val="15.0"/>
        <u/>
      </rPr>
      <t>El mejor pincho de tortilla de León ya está en la app de la Guía Repsol</t>
    </r>
    <r>
      <rPr>
        <rFont val="Arial, sans-serif"/>
        <color rgb="FF1155CC"/>
        <sz val="11.0"/>
        <u/>
      </rPr>
      <t>Por algo es la mejor tortilla de patata de España y por algo sale en la Guía Repsol, cocretamente en su app, donde muestra los mejores lugar.</t>
    </r>
    <r>
      <rPr>
        <rFont val="Arial, sans-serif"/>
        <color rgb="FF1155CC"/>
        <sz val="12.0"/>
        <u/>
      </rPr>
      <t>.</t>
    </r>
    <r>
      <rPr>
        <rFont val="Arial, sans-serif"/>
        <color rgb="FF1155CC"/>
        <sz val="11.0"/>
        <u/>
      </rPr>
      <t>15 oct 2024</t>
    </r>
  </si>
  <si>
    <t>El mejor pincho de tortilla de León ya está en la app de la Guía Repsol</t>
  </si>
  <si>
    <t>Por algo es la mejor tortilla de patata de España y por algo sale en la Guía Repsol, cocretamente en su app, donde muestra los mejores lugar..</t>
  </si>
  <si>
    <t>The best tortilla skewer in León is now in the Repsol Guide app</t>
  </si>
  <si>
    <t>For a reason it is the best potato omelette in Spain and for a reason it appears in the Repsol Guide, specifically in its app, where it shows the best places...</t>
  </si>
  <si>
    <r>
      <rPr>
        <rFont val="Arial, sans-serif"/>
        <color rgb="FF1155CC"/>
        <sz val="9.0"/>
        <u/>
      </rPr>
      <t>El Periódico de Aragón</t>
    </r>
    <r>
      <rPr>
        <rFont val="Arial, sans-serif"/>
        <color rgb="FF1155CC"/>
        <sz val="15.0"/>
        <u/>
      </rPr>
      <t>La Guía Repsol recomienda estos dos restaurantes de Zaragoza para comer tortilla de patata y calçots</t>
    </r>
    <r>
      <rPr>
        <rFont val="Arial, sans-serif"/>
        <color rgb="FF1155CC"/>
        <sz val="11.0"/>
        <u/>
      </rPr>
      <t>Esta guía recoge dos establecimientos de la capital aragonesa entre los mejores de España para poder disfrutar de estos dos platos tan típicos de nuestro...</t>
    </r>
    <r>
      <rPr>
        <rFont val="Arial, sans-serif"/>
        <color rgb="FF1155CC"/>
        <sz val="12.0"/>
        <u/>
      </rPr>
      <t>.</t>
    </r>
    <r>
      <rPr>
        <rFont val="Arial, sans-serif"/>
        <color rgb="FF1155CC"/>
        <sz val="11.0"/>
        <u/>
      </rPr>
      <t>15 oct 2024</t>
    </r>
  </si>
  <si>
    <t>La Guía Repsol recomienda estos dos restaurantes de Zaragoza para comer tortilla de patata y calçots</t>
  </si>
  <si>
    <t>Esta guía recoge dos establecimientos de la capital aragonesa entre los mejores de España para poder disfrutar de estos dos platos tan típicos de nuestro....</t>
  </si>
  <si>
    <t>The Repsol Guide recommends these two restaurants in Zaragoza to eat potato omelette and calçots</t>
  </si>
  <si>
    <t>This guide includes two establishments in the Aragonese capital among the best in Spain to be able to enjoy these two dishes that are so typical of our...</t>
  </si>
  <si>
    <r>
      <rPr>
        <rFont val="Arial, sans-serif"/>
        <color rgb="FF1155CC"/>
        <sz val="9.0"/>
        <u/>
      </rPr>
      <t>El Español</t>
    </r>
    <r>
      <rPr>
        <rFont val="Arial, sans-serif"/>
        <color rgb="FF1155CC"/>
        <sz val="15.0"/>
        <u/>
      </rPr>
      <t>La bonanza petrolera se enfría: las caídas de demanda y de los márgenes del refino golpean al sector en 2024</t>
    </r>
    <r>
      <rPr>
        <rFont val="Arial, sans-serif"/>
        <color rgb="FF1155CC"/>
        <sz val="11.0"/>
        <u/>
      </rPr>
      <t>Compañías como Repsol, Shell, BP y Exxon han informado en la última semana de fuertes caídas de sus diferenciales y su producción. Más información: La OPEP...</t>
    </r>
    <r>
      <rPr>
        <rFont val="Arial, sans-serif"/>
        <color rgb="FF1155CC"/>
        <sz val="12.0"/>
        <u/>
      </rPr>
      <t>.</t>
    </r>
    <r>
      <rPr>
        <rFont val="Arial, sans-serif"/>
        <color rgb="FF1155CC"/>
        <sz val="11.0"/>
        <u/>
      </rPr>
      <t>15 oct 2024</t>
    </r>
  </si>
  <si>
    <t>La bonanza petrolera se enfría: las caídas de demanda y de los márgenes del refino golpean al sector en 2024</t>
  </si>
  <si>
    <t>Compañías como Repsol, Shell, BP y Exxon han informado en la última semana de fuertes caídas de sus diferenciales y su producción. Más información: La OPEP....</t>
  </si>
  <si>
    <t>The oil bonanza cools: falls in demand and refining margins hit the sector in 2024</t>
  </si>
  <si>
    <t>Companies such as Repsol, Shell, BP and Exxon have reported sharp falls in their spreads and production in the last week. More information: OPEC....</t>
  </si>
  <si>
    <t>“Repsol”, “oil industry”, “market downturn”</t>
  </si>
  <si>
    <t>“Repsol”, “industria petrolera”, “caída del mercado”</t>
  </si>
  <si>
    <t>Negative financial outlook for Repsol and peers.</t>
  </si>
  <si>
    <t>caídas, "golpean"</t>
  </si>
  <si>
    <t>Contexto sectorial negativo.</t>
  </si>
  <si>
    <r>
      <rPr>
        <rFont val="Arial, sans-serif"/>
        <color rgb="FF1155CC"/>
        <sz val="9.0"/>
        <u/>
      </rPr>
      <t>Mundo Deportivo</t>
    </r>
    <r>
      <rPr>
        <rFont val="Arial, sans-serif"/>
        <color rgb="FF1155CC"/>
        <sz val="15.0"/>
        <u/>
      </rPr>
      <t>Al Dakar, con un combustible hecho... ¡gracias a la cerveza y el vino!</t>
    </r>
    <r>
      <rPr>
        <rFont val="Arial, sans-serif"/>
        <color rgb="FF1155CC"/>
        <sz val="11.0"/>
        <u/>
      </rPr>
      <t>Isidre Esteve y los coches de uno de los equipos favoritos al triunfo en el Dakar, Toyota Gazoo Racing, compiten con un combustible renovable realizado con...</t>
    </r>
    <r>
      <rPr>
        <rFont val="Arial, sans-serif"/>
        <color rgb="FF1155CC"/>
        <sz val="12.0"/>
        <u/>
      </rPr>
      <t>.</t>
    </r>
    <r>
      <rPr>
        <rFont val="Arial, sans-serif"/>
        <color rgb="FF1155CC"/>
        <sz val="11.0"/>
        <u/>
      </rPr>
      <t>15 oct 2024</t>
    </r>
  </si>
  <si>
    <t>Al Dakar, con un combustible hecho... ¡gracias a la cerveza y el vino!</t>
  </si>
  <si>
    <t>Isidre Esteve y los coches de uno de los equipos favoritos al triunfo en el Dakar, Toyota Gazoo Racing, compiten con un combustible renovable realizado con....</t>
  </si>
  <si>
    <t>To the Dakar, with fuel made... thanks to beer and wine!</t>
  </si>
  <si>
    <t>Isidre Esteve and the cars of one of the favorite teams to win the Dakar, Toyota Gazoo Racing, compete with a renewable fuel made with...</t>
  </si>
  <si>
    <t>Motorsport &amp; Sustainability</t>
  </si>
  <si>
    <t>“Repsol”, “Dakar”, “biofuels”</t>
  </si>
  <si>
    <t>“Repsol”, “Dakar”, “biocombustibles”</t>
  </si>
  <si>
    <t>Motorsport-related, not Repsol’s core business.</t>
  </si>
  <si>
    <t>Innovación sostenible positiva.</t>
  </si>
  <si>
    <r>
      <rPr>
        <rFont val="Arial, sans-serif"/>
        <color rgb="FF1155CC"/>
        <sz val="9.0"/>
        <u/>
      </rPr>
      <t>El Español</t>
    </r>
    <r>
      <rPr>
        <rFont val="Arial, sans-serif"/>
        <color rgb="FF1155CC"/>
        <sz val="15.0"/>
        <u/>
      </rPr>
      <t>La mejor tortilla de patatas de Castilla-La Mancha se sirve en este bar de Toledo, según la Guía Repsol</t>
    </r>
    <r>
      <rPr>
        <rFont val="Arial, sans-serif"/>
        <color rgb="FF1155CC"/>
        <sz val="11.0"/>
        <u/>
      </rPr>
      <t>Una de las recetas más sencillas de la cocina española alcanza su mejor expresión en el casco histórico de la capital. Más información: Las mejores...</t>
    </r>
    <r>
      <rPr>
        <rFont val="Arial, sans-serif"/>
        <color rgb="FF1155CC"/>
        <sz val="12.0"/>
        <u/>
      </rPr>
      <t>.</t>
    </r>
    <r>
      <rPr>
        <rFont val="Arial, sans-serif"/>
        <color rgb="FF1155CC"/>
        <sz val="11.0"/>
        <u/>
      </rPr>
      <t>15 oct 2024</t>
    </r>
  </si>
  <si>
    <t>La mejor tortilla de patatas de Castilla-La Mancha se sirve en este bar de Toledo, según la Guía Repsol</t>
  </si>
  <si>
    <t>Una de las recetas más sencillas de la cocina española alcanza su mejor expresión en el casco histórico de la capital. Más información: Las mejores....</t>
  </si>
  <si>
    <t>The best potato omelette in Castilla-La Mancha is served in this bar in Toledo, according to the Repsol Guide</t>
  </si>
  <si>
    <t>One of the simplest recipes of Spanish cuisine reaches its best expression in the historic center of the capital. More information: The best....</t>
  </si>
  <si>
    <r>
      <rPr>
        <rFont val="Arial, sans-serif"/>
        <color rgb="FF1155CC"/>
        <sz val="9.0"/>
        <u/>
      </rPr>
      <t>Bolsamania</t>
    </r>
    <r>
      <rPr>
        <rFont val="Arial, sans-serif"/>
        <color rgb="FF1155CC"/>
        <sz val="15.0"/>
        <u/>
      </rPr>
      <t>El Ibex 35 se desmarca del resto de Europa y recupera los 11.900 impulsado por IAG</t>
    </r>
    <r>
      <rPr>
        <rFont val="Arial, sans-serif"/>
        <color rgb="FF1155CC"/>
        <sz val="11.0"/>
        <u/>
      </rPr>
      <t>El Ibex 35 reconquista los 11.900 puntos (+0,67%, 11.930) y lidera las subidas en Europa, que despide la sesión con signo mixto después de las alzas que se...</t>
    </r>
    <r>
      <rPr>
        <rFont val="Arial, sans-serif"/>
        <color rgb="FF1155CC"/>
        <sz val="12.0"/>
        <u/>
      </rPr>
      <t>.</t>
    </r>
    <r>
      <rPr>
        <rFont val="Arial, sans-serif"/>
        <color rgb="FF1155CC"/>
        <sz val="11.0"/>
        <u/>
      </rPr>
      <t>15 oct 2024</t>
    </r>
  </si>
  <si>
    <t>El Ibex 35 se desmarca del resto de Europa y recupera los 11.900 impulsado por IAG</t>
  </si>
  <si>
    <t>El Ibex 35 reconquista los 11.900 puntos (+0,67%, 11.930) y lidera las subidas en Europa, que despide la sesión con signo mixto después de las alzas que se....</t>
  </si>
  <si>
    <t>The Ibex 35 stands out from the rest of Europe and recovers 11,900 driven by IAG</t>
  </si>
  <si>
    <t>The Ibex 35 regains 11,900 points (+0.67%, 11,930) and leads the increases in Europe, which ends the session with a mixed sign after the increases that...</t>
  </si>
  <si>
    <r>
      <rPr>
        <rFont val="Arial, sans-serif"/>
        <color rgb="FF1155CC"/>
        <sz val="9.0"/>
        <u/>
      </rPr>
      <t>diarimes.com</t>
    </r>
    <r>
      <rPr>
        <rFont val="Arial, sans-serif"/>
        <color rgb="FF1155CC"/>
        <sz val="15.0"/>
        <u/>
      </rPr>
      <t>Los tres mejores restaurantes para disfrutar de los calçots en Tarragona según la Guía Repsol</t>
    </r>
    <r>
      <rPr>
        <rFont val="Arial, sans-serif"/>
        <color rgb="FF1155CC"/>
        <sz val="11.0"/>
        <u/>
      </rPr>
      <t>La Guía Repsol ha escogido diez mejores 10 establecimientos para hacer una calçotada a todo el Estado.</t>
    </r>
    <r>
      <rPr>
        <rFont val="Arial, sans-serif"/>
        <color rgb="FF1155CC"/>
        <sz val="12.0"/>
        <u/>
      </rPr>
      <t>.</t>
    </r>
    <r>
      <rPr>
        <rFont val="Arial, sans-serif"/>
        <color rgb="FF1155CC"/>
        <sz val="11.0"/>
        <u/>
      </rPr>
      <t>15 oct 2024</t>
    </r>
  </si>
  <si>
    <t>Los tres mejores restaurantes para disfrutar de los calçots en Tarragona según la Guía Repsol</t>
  </si>
  <si>
    <t>La Guía Repsol ha escogido diez mejores 10 establecimientos para hacer una calçotada a todo el Estado.</t>
  </si>
  <si>
    <t>The three best restaurants to enjoy calçots in Tarragona according to the Repsol Guide</t>
  </si>
  <si>
    <t>The Repsol Guide has chosen the best 10 establishments to make a calçotada throughout the State.</t>
  </si>
  <si>
    <r>
      <rPr>
        <rFont val="Arial, sans-serif"/>
        <color rgb="FF1155CC"/>
        <sz val="9.0"/>
        <u/>
      </rPr>
      <t>El Ideal Gallego</t>
    </r>
    <r>
      <rPr>
        <rFont val="Arial, sans-serif"/>
        <color rgb="FF1155CC"/>
        <sz val="15.0"/>
        <u/>
      </rPr>
      <t>Así han sonado los móviles en A Coruña y Arteixo durante el simulacro de alerta de la Xunta</t>
    </r>
    <r>
      <rPr>
        <rFont val="Arial, sans-serif"/>
        <color rgb="FF1155CC"/>
        <sz val="11.0"/>
        <u/>
      </rPr>
      <t>A eso de las 10.40 horas empezaron a sonar las alarmas en los móviles de A Coruña, Arteixo y municipios limítrofes ...</t>
    </r>
    <r>
      <rPr>
        <rFont val="Arial, sans-serif"/>
        <color rgb="FF1155CC"/>
        <sz val="12.0"/>
        <u/>
      </rPr>
      <t>.</t>
    </r>
    <r>
      <rPr>
        <rFont val="Arial, sans-serif"/>
        <color rgb="FF1155CC"/>
        <sz val="11.0"/>
        <u/>
      </rPr>
      <t>15 oct 2024</t>
    </r>
  </si>
  <si>
    <t>Así han sonado los móviles en A Coruña y Arteixo durante el simulacro de alerta de la Xunta</t>
  </si>
  <si>
    <t>A eso de las 10.40 horas empezaron a sonar las alarmas en los móviles de A Coruña, Arteixo y municipios limítrofes.</t>
  </si>
  <si>
    <t>This is how the cell phones have sounded in A Coruña and Arteixo during the Xunta's alert drill</t>
  </si>
  <si>
    <t>At around 10:40 a.m. the alarms began to ring on cell phones in A Coruña, Arteixo and neighboring municipalities.</t>
  </si>
  <si>
    <r>
      <rPr>
        <rFont val="Arial, sans-serif"/>
        <color rgb="FF1155CC"/>
        <sz val="9.0"/>
        <u/>
      </rPr>
      <t>Box Repsol</t>
    </r>
    <r>
      <rPr>
        <rFont val="Arial, sans-serif"/>
        <color rgb="FF1155CC"/>
        <sz val="15.0"/>
        <u/>
      </rPr>
      <t>Horarios GP Australia 2024: fechas y cómo ver en TV y online MotoGP</t>
    </r>
    <r>
      <rPr>
        <rFont val="Arial, sans-serif"/>
        <color rgb="FF1155CC"/>
        <sz val="11.0"/>
        <u/>
      </rPr>
      <t>Horarios y cómo ver MotoGP Australia: los horarios y las opciones para disfrutar de la carrera en vivo desde el circuito de Phillip Island.</t>
    </r>
    <r>
      <rPr>
        <rFont val="Arial, sans-serif"/>
        <color rgb="FF1155CC"/>
        <sz val="12.0"/>
        <u/>
      </rPr>
      <t>.</t>
    </r>
    <r>
      <rPr>
        <rFont val="Arial, sans-serif"/>
        <color rgb="FF1155CC"/>
        <sz val="11.0"/>
        <u/>
      </rPr>
      <t>15 oct 2024</t>
    </r>
  </si>
  <si>
    <t>Horarios GP Australia 2024: fechas y cómo ver en TV y online MotoGP</t>
  </si>
  <si>
    <t>los horarios y las opciones para disfrutar de la carrera en vivo desde el circuito de Phillip Island.</t>
  </si>
  <si>
    <t>GP Australia 2024 schedules: dates and how to watch on TV and online MotoGP</t>
  </si>
  <si>
    <t>the times and options to enjoy the race live from the Phillip Island circuit.</t>
  </si>
  <si>
    <r>
      <rPr>
        <rFont val="Arial, sans-serif"/>
        <color rgb="FF1155CC"/>
        <sz val="9.0"/>
        <u/>
      </rPr>
      <t>Greenpeace España</t>
    </r>
    <r>
      <rPr>
        <rFont val="Arial, sans-serif"/>
        <color rgb="FF1155CC"/>
        <sz val="15.0"/>
        <u/>
      </rPr>
      <t>Repsol: energía y poder en juego</t>
    </r>
    <r>
      <rPr>
        <rFont val="Arial, sans-serif"/>
        <color rgb="FF1155CC"/>
        <sz val="11.0"/>
        <u/>
      </rPr>
      <t>Repsol produce energía a partir de combustibles fósiles. A pesar de los avances en renovables, el 80% de sus actividades dependen de ellos.</t>
    </r>
    <r>
      <rPr>
        <rFont val="Arial, sans-serif"/>
        <color rgb="FF1155CC"/>
        <sz val="12.0"/>
        <u/>
      </rPr>
      <t>.</t>
    </r>
    <r>
      <rPr>
        <rFont val="Arial, sans-serif"/>
        <color rgb="FF1155CC"/>
        <sz val="11.0"/>
        <u/>
      </rPr>
      <t>16 oct 2024</t>
    </r>
  </si>
  <si>
    <t>Repsol: energía y poder en juego</t>
  </si>
  <si>
    <t>Repsol produce energía a partir de combustibles fósiles. A pesar de los avances en renovables, el 80% de sus actividades dependen de ellos.</t>
  </si>
  <si>
    <t>Repsol: energy and power at stake</t>
  </si>
  <si>
    <t>Repsol produces energy from fossil fuels. Despite the advances in renewables, 80% of its activities depend on them.</t>
  </si>
  <si>
    <t>“Repsol”, “fossil fuels”, “energy transition”</t>
  </si>
  <si>
    <t>“Repsol”, “combustibles fósiles”, “transición energética”</t>
  </si>
  <si>
    <t>Highlights reliance on fossil fuels, which may be perceived negatively.</t>
  </si>
  <si>
    <t>Neutral (análisis genérico).</t>
  </si>
  <si>
    <r>
      <rPr>
        <rFont val="Arial, sans-serif"/>
        <color rgb="FF1155CC"/>
        <sz val="9.0"/>
        <u/>
      </rPr>
      <t>MarketingNews</t>
    </r>
    <r>
      <rPr>
        <rFont val="Arial, sans-serif"/>
        <color rgb="FF1155CC"/>
        <sz val="15.0"/>
        <u/>
      </rPr>
      <t>Los tres anuncios de Repsol para aproximarse de manera original y divertida al usuario</t>
    </r>
    <r>
      <rPr>
        <rFont val="Arial, sans-serif"/>
        <color rgb="FF1155CC"/>
        <sz val="11.0"/>
        <u/>
      </rPr>
      <t>'Compañía de la luz' es una campaña firmada por DDB. Havas se ha encargado de la planificación de medios.</t>
    </r>
    <r>
      <rPr>
        <rFont val="Arial, sans-serif"/>
        <color rgb="FF1155CC"/>
        <sz val="12.0"/>
        <u/>
      </rPr>
      <t>.</t>
    </r>
    <r>
      <rPr>
        <rFont val="Arial, sans-serif"/>
        <color rgb="FF1155CC"/>
        <sz val="11.0"/>
        <u/>
      </rPr>
      <t>16 oct 2024</t>
    </r>
  </si>
  <si>
    <t>Marketing News</t>
  </si>
  <si>
    <t>Los tres anuncios de Repsol para aproximarse de manera original y divertida al usuario</t>
  </si>
  <si>
    <t>'Compañía de la luz' es una campaña firmada por DDB. Havas se ha encargado de la planificación de medios.</t>
  </si>
  <si>
    <t>The three Repsol advertisements to approach the user in an original and fun way</t>
  </si>
  <si>
    <t>'Company of Light' is a campaign signed by DDB. Havas has been in charge of media planning.</t>
  </si>
  <si>
    <r>
      <rPr>
        <rFont val="Arial, sans-serif"/>
        <color rgb="FF1155CC"/>
        <sz val="9.0"/>
        <u/>
      </rPr>
      <t>Marketing Directo</t>
    </r>
    <r>
      <rPr>
        <rFont val="Arial, sans-serif"/>
        <color rgb="FF1155CC"/>
        <sz val="15.0"/>
        <u/>
      </rPr>
      <t>«Cuando piensas en la luz, no estás en lo que estás», así es la divertida campaña de Repsol</t>
    </r>
    <r>
      <rPr>
        <rFont val="Arial, sans-serif"/>
        <color rgb="FF1155CC"/>
        <sz val="11.0"/>
        <u/>
      </rPr>
      <t>Repsol apuesta por el humor con la campaña "Compañía de la luz", firmada por DDB España, que se ríe de las situaciones cotidianas.</t>
    </r>
    <r>
      <rPr>
        <rFont val="Arial, sans-serif"/>
        <color rgb="FF1155CC"/>
        <sz val="12.0"/>
        <u/>
      </rPr>
      <t>.</t>
    </r>
    <r>
      <rPr>
        <rFont val="Arial, sans-serif"/>
        <color rgb="FF1155CC"/>
        <sz val="11.0"/>
        <u/>
      </rPr>
      <t>16 oct 2024</t>
    </r>
  </si>
  <si>
    <t>«Cuando piensas en la luz, no estás en lo que estás», así es la divertida campaña de Repsol</t>
  </si>
  <si>
    <t>Repsol apuesta por el humor con la campaña "Compañía de la luz", firmada por DDB España, que se ríe de las situaciones cotidianas.</t>
  </si>
  <si>
    <t>“When you think about light, you are not where you are”, this is the fun Repsol campaign</t>
  </si>
  <si>
    <t>Repsol is committed to humor with the "Company of Light" campaign, signed by DDB Spain, which laughs at everyday situations.</t>
  </si>
  <si>
    <r>
      <rPr>
        <rFont val="Arial, sans-serif"/>
        <color rgb="FF1155CC"/>
        <sz val="9.0"/>
        <u/>
      </rPr>
      <t>Dircomfidencial</t>
    </r>
    <r>
      <rPr>
        <rFont val="Arial, sans-serif"/>
        <color rgb="FF1155CC"/>
        <sz val="15.0"/>
        <u/>
      </rPr>
      <t>La nueva campaña de DDB para Repsol nos anima a despreocuparnos de la luz</t>
    </r>
    <r>
      <rPr>
        <rFont val="Arial, sans-serif"/>
        <color rgb="FF1155CC"/>
        <sz val="11.0"/>
        <u/>
      </rPr>
      <t>“Cuando piensas en la luz, no estás en lo que estas”, es la premisa de la nueva campaña de Repsol bajo el título “Compañía de la luz”.</t>
    </r>
    <r>
      <rPr>
        <rFont val="Arial, sans-serif"/>
        <color rgb="FF1155CC"/>
        <sz val="12.0"/>
        <u/>
      </rPr>
      <t>.</t>
    </r>
    <r>
      <rPr>
        <rFont val="Arial, sans-serif"/>
        <color rgb="FF1155CC"/>
        <sz val="11.0"/>
        <u/>
      </rPr>
      <t>16 oct 2024</t>
    </r>
  </si>
  <si>
    <t>La nueva campaña de DDB para Repsol nos anima a despreocuparnos de la luz</t>
  </si>
  <si>
    <t>“Cuando piensas en la luz, no estás en lo que estas”, es la premisa de la nueva campaña de Repsol bajo el título “Compañía de la luz”.</t>
  </si>
  <si>
    <t>DDB's new campaign for Repsol encourages us to not worry about light</t>
  </si>
  <si>
    <t>“When you think about light, you are not where you are,” is the premise of Repsol's new campaign under the title “Company of Light.”</t>
  </si>
  <si>
    <r>
      <rPr>
        <rFont val="Arial, sans-serif"/>
        <color rgb="FF1155CC"/>
        <sz val="9.0"/>
        <u/>
      </rPr>
      <t>IPMARK</t>
    </r>
    <r>
      <rPr>
        <rFont val="Arial, sans-serif"/>
        <color rgb="FF1155CC"/>
        <sz val="15.0"/>
        <u/>
      </rPr>
      <t>Repsol anima a despreocuparse de la luz en su nueva campaña</t>
    </r>
    <r>
      <rPr>
        <rFont val="Arial, sans-serif"/>
        <color rgb="FF1155CC"/>
        <sz val="11.0"/>
        <u/>
      </rPr>
      <t>Resalta en tono de humor cómo preocuparse por la compañía de luz empaña situaciones como el anuncio de compromiso de una pareja.</t>
    </r>
    <r>
      <rPr>
        <rFont val="Arial, sans-serif"/>
        <color rgb="FF1155CC"/>
        <sz val="12.0"/>
        <u/>
      </rPr>
      <t>.</t>
    </r>
    <r>
      <rPr>
        <rFont val="Arial, sans-serif"/>
        <color rgb="FF1155CC"/>
        <sz val="11.0"/>
        <u/>
      </rPr>
      <t>16 oct 2024</t>
    </r>
  </si>
  <si>
    <t>Repsol anima a despreocuparse de la luz en su nueva campaña</t>
  </si>
  <si>
    <t>Resalta en tono de humor cómo preocuparse por la compañía de luz empaña situaciones como el anuncio de compromiso de una pareja.</t>
  </si>
  <si>
    <t>Repsol encourages people to not worry about light in their new campaign</t>
  </si>
  <si>
    <t>It highlights in a humorous tone how worrying about the company of electricity clouds situations such as a couple's engagement announcement.</t>
  </si>
  <si>
    <r>
      <rPr>
        <rFont val="Arial, sans-serif"/>
        <color rgb="FF1155CC"/>
        <sz val="9.0"/>
        <u/>
      </rPr>
      <t>Las Provincias</t>
    </r>
    <r>
      <rPr>
        <rFont val="Arial, sans-serif"/>
        <color rgb="FF1155CC"/>
        <sz val="15.0"/>
        <u/>
      </rPr>
      <t>La tortilla de patata valenciana que la Guía Repsol incluye como una de las 17 mejores de España</t>
    </r>
    <r>
      <rPr>
        <rFont val="Arial, sans-serif"/>
        <color rgb="FF1155CC"/>
        <sz val="11.0"/>
        <u/>
      </rPr>
      <t>El prestigioso manual elige varios lugares de la geografía nacional donde se puede disfrutar de este plato tradicional español.</t>
    </r>
    <r>
      <rPr>
        <rFont val="Arial, sans-serif"/>
        <color rgb="FF1155CC"/>
        <sz val="12.0"/>
        <u/>
      </rPr>
      <t>.</t>
    </r>
    <r>
      <rPr>
        <rFont val="Arial, sans-serif"/>
        <color rgb="FF1155CC"/>
        <sz val="11.0"/>
        <u/>
      </rPr>
      <t>16 oct 2024</t>
    </r>
  </si>
  <si>
    <t>La tortilla de patata valenciana que la Guía Repsol incluye como una de las 17 mejores de España</t>
  </si>
  <si>
    <t>La tortilla de patata valenciana que la Guía Repsol incluye como una de las 17 mejores de España.</t>
  </si>
  <si>
    <t>The Valencian potato omelette that the Repsol Guide includes as one of the 17 best in Spain</t>
  </si>
  <si>
    <t>The Valencian potato omelette that the Repsol Guide includes as one of the 17 best in Spain.</t>
  </si>
  <si>
    <r>
      <rPr>
        <rFont val="Arial, sans-serif"/>
        <color rgb="FF1155CC"/>
        <sz val="9.0"/>
        <u/>
      </rPr>
      <t>El Economista</t>
    </r>
    <r>
      <rPr>
        <rFont val="Arial, sans-serif"/>
        <color rgb="FF1155CC"/>
        <sz val="15.0"/>
        <u/>
      </rPr>
      <t>Repsol pierde su consejo de compra y cede como el resto de petroleras ante la caída del precio del crudo</t>
    </r>
    <r>
      <rPr>
        <rFont val="Arial, sans-serif"/>
        <color rgb="FF1155CC"/>
        <sz val="11.0"/>
        <u/>
      </rPr>
      <t>El mercado descuenta que Israel no atacará las instalaciones energéticas en Irán y eso destensa los precios del petróleo. Sin que la ...</t>
    </r>
    <r>
      <rPr>
        <rFont val="Arial, sans-serif"/>
        <color rgb="FF1155CC"/>
        <sz val="12.0"/>
        <u/>
      </rPr>
      <t>.</t>
    </r>
    <r>
      <rPr>
        <rFont val="Arial, sans-serif"/>
        <color rgb="FF1155CC"/>
        <sz val="11.0"/>
        <u/>
      </rPr>
      <t>16 oct 2024</t>
    </r>
  </si>
  <si>
    <t>Repsol pierde su consejo de compra y cede como el resto de petroleras ante la caída del precio del crudo</t>
  </si>
  <si>
    <t>El mercado descuenta que Israel no atacará las instalaciones energéticas en Irán y eso destensa los precios del petróleo. Sin que la ....</t>
  </si>
  <si>
    <t>Repsol loses its purchase advice and gives in like the rest of the oil companies due to the fall in the price of crude oil</t>
  </si>
  <si>
    <t>The market discounts that Israel will not attack energy facilities in Iran and that depresses oil prices. Without the....</t>
  </si>
  <si>
    <t>“Repsol”, “oil prices”, “stock market”</t>
  </si>
  <si>
    <t>“Repsol”, “precios del petróleo”, “bolsa”</t>
  </si>
  <si>
    <t>Negative financial news affecting Repsol’s valuation.</t>
  </si>
  <si>
    <t>pierde, "cede"</t>
  </si>
  <si>
    <t>Presión bursátil negativa.</t>
  </si>
  <si>
    <r>
      <rPr>
        <rFont val="Arial, sans-serif"/>
        <color rgb="FF1155CC"/>
        <sz val="9.0"/>
        <u/>
      </rPr>
      <t>Investing.com España</t>
    </r>
    <r>
      <rPr>
        <rFont val="Arial, sans-serif"/>
        <color rgb="FF1155CC"/>
        <sz val="15.0"/>
        <u/>
      </rPr>
      <t>Análisis técnico de IAG, Repsol y OHLA</t>
    </r>
    <r>
      <rPr>
        <rFont val="Arial, sans-serif"/>
        <color rgb="FF1155CC"/>
        <sz val="11.0"/>
        <u/>
      </rPr>
      <t>Análisis de Acciones por Juan Manuel Benito cubriendo: IBEX 35, Repsol S.A., International Consolidated Airlines Group S.A.. Lea los Análisis de Acciones de...</t>
    </r>
    <r>
      <rPr>
        <rFont val="Arial, sans-serif"/>
        <color rgb="FF1155CC"/>
        <sz val="12.0"/>
        <u/>
      </rPr>
      <t>.</t>
    </r>
    <r>
      <rPr>
        <rFont val="Arial, sans-serif"/>
        <color rgb="FF1155CC"/>
        <sz val="11.0"/>
        <u/>
      </rPr>
      <t>16 oct 2024</t>
    </r>
  </si>
  <si>
    <t>Análisis técnico de IAG, Repsol y OHLA</t>
  </si>
  <si>
    <t>Análisis de Acciones por Juan Manuel Benito cubriendo: IBEX 35, Repsol S.A., International Consolidated Airlines Group S.A.. Lea los Análisis de Acciones de....</t>
  </si>
  <si>
    <t>Technical analysis of IAG, Repsol and OHLA</t>
  </si>
  <si>
    <t>Stock Analysis by Juan Manuel Benito covering: IBEX 35, Repsol S.A., International Consolidated Airlines Group S.A.. Read Stock Analysis by....</t>
  </si>
  <si>
    <t>“Repsol”, “Ibex 35”, “technical analysis”</t>
  </si>
  <si>
    <t>“Repsol”, “Ibex 35”, “análisis técnico”</t>
  </si>
  <si>
    <t>Financial market news, no sentiment impact.</t>
  </si>
  <si>
    <r>
      <rPr>
        <rFont val="Arial, sans-serif"/>
        <color rgb="FF1155CC"/>
        <sz val="9.0"/>
        <u/>
      </rPr>
      <t>La Razón</t>
    </r>
    <r>
      <rPr>
        <rFont val="Arial, sans-serif"/>
        <color rgb="FF1155CC"/>
        <sz val="15.0"/>
        <u/>
      </rPr>
      <t>La propuesta de una joven para la industria española: Bacterias que capturan CO₂ y lo convierten en azúcar</t>
    </r>
    <r>
      <rPr>
        <rFont val="Arial, sans-serif"/>
        <color rgb="FF1155CC"/>
        <sz val="11.0"/>
        <u/>
      </rPr>
      <t>Simran es una de las finalistas del Challenge Universitario de Fundación Repsol, en el que han participado más de 1.700 estudiantes universitarios.</t>
    </r>
    <r>
      <rPr>
        <rFont val="Arial, sans-serif"/>
        <color rgb="FF1155CC"/>
        <sz val="12.0"/>
        <u/>
      </rPr>
      <t>.</t>
    </r>
    <r>
      <rPr>
        <rFont val="Arial, sans-serif"/>
        <color rgb="FF1155CC"/>
        <sz val="11.0"/>
        <u/>
      </rPr>
      <t>16 oct 2024</t>
    </r>
  </si>
  <si>
    <t>La propuesta de una joven para la industria española: Bacterias que capturan CO₂ y lo convierten en azúcar</t>
  </si>
  <si>
    <t>Simran es una de las finalistas del Challenge Universitario de Fundación Repsol, en el que han participado más de 1.700 estudiantes universitarios.</t>
  </si>
  <si>
    <t>A young woman's proposal for the Spanish industry: Bacteria that capture CO₂ and convert it into sugar</t>
  </si>
  <si>
    <t>Simran is one of the finalists of the Repsol Foundation's University Challenge, in which more than 1,700 university students have participated.</t>
  </si>
  <si>
    <r>
      <rPr>
        <rFont val="Arial, sans-serif"/>
        <color rgb="FF1155CC"/>
        <sz val="9.0"/>
        <u/>
      </rPr>
      <t>Noticias de Navarra</t>
    </r>
    <r>
      <rPr>
        <rFont val="Arial, sans-serif"/>
        <color rgb="FF1155CC"/>
        <sz val="15.0"/>
        <u/>
      </rPr>
      <t>Este es el restaurante de Pamplona elegido por la Guía Repsol para comer tortilla de patata</t>
    </r>
    <r>
      <rPr>
        <rFont val="Arial, sans-serif"/>
        <color rgb="FF1155CC"/>
        <sz val="11.0"/>
        <u/>
      </rPr>
      <t>El arte de preparar una buena comida y el conjunto de los platos y usos culinarios propios de un determinado lugar. Así es como desde la Real Academia...</t>
    </r>
    <r>
      <rPr>
        <rFont val="Arial, sans-serif"/>
        <color rgb="FF1155CC"/>
        <sz val="12.0"/>
        <u/>
      </rPr>
      <t>.</t>
    </r>
    <r>
      <rPr>
        <rFont val="Arial, sans-serif"/>
        <color rgb="FF1155CC"/>
        <sz val="11.0"/>
        <u/>
      </rPr>
      <t>16 oct 2024</t>
    </r>
  </si>
  <si>
    <t>Noticias de Navarra</t>
  </si>
  <si>
    <t>Este es el restaurante de Pamplona elegido por la Guía Repsol para comer tortilla de patata</t>
  </si>
  <si>
    <t>El arte de preparar una buena comida y el conjunto de los platos y usos culinarios propios de un determinado lugar. Así es como desde la Real Academia....</t>
  </si>
  <si>
    <t>This is the restaurant in Pamplona chosen by the Repsol Guide to eat potato omelette</t>
  </si>
  <si>
    <t>The art of preparing a good meal and the set of dishes and culinary uses typical of a certain place. This is how from the Royal Academy....</t>
  </si>
  <si>
    <r>
      <rPr>
        <rFont val="Arial, sans-serif"/>
        <color rgb="FF1155CC"/>
        <sz val="9.0"/>
        <u/>
      </rPr>
      <t>Guía Repsol</t>
    </r>
    <r>
      <rPr>
        <rFont val="Arial, sans-serif"/>
        <color rgb="FF1155CC"/>
        <sz val="15.0"/>
        <u/>
      </rPr>
      <t>El pez maldito que resurgió en las mejores cocinas de Cádiz</t>
    </r>
    <r>
      <rPr>
        <rFont val="Arial, sans-serif"/>
        <color rgb="FF1155CC"/>
        <sz val="11.0"/>
        <u/>
      </rPr>
      <t>El mar nunca se queda sin fondos. Tiene secretos ilimitados y la cocina de Cádiz se queda con algunos. Como ese del animal con mala fama y suave carne blan.</t>
    </r>
    <r>
      <rPr>
        <rFont val="Arial, sans-serif"/>
        <color rgb="FF1155CC"/>
        <sz val="12.0"/>
        <u/>
      </rPr>
      <t>.</t>
    </r>
    <r>
      <rPr>
        <rFont val="Arial, sans-serif"/>
        <color rgb="FF1155CC"/>
        <sz val="11.0"/>
        <u/>
      </rPr>
      <t>16 oct 2024</t>
    </r>
  </si>
  <si>
    <t>El pez maldito que resurgió en las mejores cocinas de Cádiz</t>
  </si>
  <si>
    <t>El mar nunca se queda sin fondos. Tiene secretos ilimitados y la cocina de Cádiz se queda con algunos. Como ese del animal con mala fama y suave carne blan.</t>
  </si>
  <si>
    <t>The cursed fish that resurfaced in the best kitchens of Cádiz</t>
  </si>
  <si>
    <t>The sea never runs out of funds. It has unlimited secrets and the cuisine of Cádiz keeps some of them. Like that animal with a bad reputation and soft white meat.</t>
  </si>
  <si>
    <r>
      <rPr>
        <rFont val="Arial, sans-serif"/>
        <color rgb="FF1155CC"/>
        <sz val="9.0"/>
        <u/>
      </rPr>
      <t>El Español</t>
    </r>
    <r>
      <rPr>
        <rFont val="Arial, sans-serif"/>
        <color rgb="FF1155CC"/>
        <sz val="15.0"/>
        <u/>
      </rPr>
      <t>Ni en Betanzos ni en A Coruña: Esta es la tortilla de patatas de Galicia que recomienda la Guía Repsol</t>
    </r>
    <r>
      <rPr>
        <rFont val="Arial, sans-serif"/>
        <color rgb="FF1155CC"/>
        <sz val="11.0"/>
        <u/>
      </rPr>
      <t>La Guía Repsol ha realizado una recopilación de diecisiete Soletes donde comer tortilla de patata por toda España y destaca un restaurante gallego Más...</t>
    </r>
    <r>
      <rPr>
        <rFont val="Arial, sans-serif"/>
        <color rgb="FF1155CC"/>
        <sz val="12.0"/>
        <u/>
      </rPr>
      <t>.</t>
    </r>
    <r>
      <rPr>
        <rFont val="Arial, sans-serif"/>
        <color rgb="FF1155CC"/>
        <sz val="11.0"/>
        <u/>
      </rPr>
      <t>16 oct 2024</t>
    </r>
  </si>
  <si>
    <t>Ni en Betanzos ni en A Coruña: Esta es la tortilla de patatas de Galicia que recomienda la Guía Repsol</t>
  </si>
  <si>
    <t>La Guía Repsol ha realizado una recopilación de diecisiete Soletes donde comer tortilla de patata por toda España y destaca un restaurante gallego.</t>
  </si>
  <si>
    <t>Neither in Betanzos nor in A Coruña: This is the Galician potato omelette that the Repsol Guide recommends</t>
  </si>
  <si>
    <t>The Repsol Guide has made a compilation of seventeen Soletes where you can eat potato omelette throughout Spain and highlights a Galician restaurant.</t>
  </si>
  <si>
    <r>
      <rPr>
        <rFont val="Arial, sans-serif"/>
        <color rgb="FF1155CC"/>
        <sz val="9.0"/>
        <u/>
      </rPr>
      <t>El Cronista</t>
    </r>
    <r>
      <rPr>
        <rFont val="Arial, sans-serif"/>
        <color rgb="FF1155CC"/>
        <sz val="15.0"/>
        <u/>
      </rPr>
      <t>Repsol: a cuánto cotiza HOY miércoles 16 de octubre</t>
    </r>
    <r>
      <rPr>
        <rFont val="Arial, sans-serif"/>
        <color rgb="FF1155CC"/>
        <sz val="11.0"/>
        <u/>
      </rPr>
      <t>Este miércoles, 16 de octubre de 2024, la cotización del Repsol (REP) ha cerrado a 11,71 euros en el IBEX 35. Dicha cifra refleja un cambio de -0,71%...</t>
    </r>
    <r>
      <rPr>
        <rFont val="Arial, sans-serif"/>
        <color rgb="FF1155CC"/>
        <sz val="12.0"/>
        <u/>
      </rPr>
      <t>.</t>
    </r>
    <r>
      <rPr>
        <rFont val="Arial, sans-serif"/>
        <color rgb="FF1155CC"/>
        <sz val="11.0"/>
        <u/>
      </rPr>
      <t>16 oct 2024</t>
    </r>
  </si>
  <si>
    <t>Repsol: a cuánto cotiza HOY miércoles 16 de octubre</t>
  </si>
  <si>
    <t>La cotización del Repsol (REP) ha cerrado a 11,71 euros en el IBEX 35. Dicha cifra refleja un cambio de -0,71%.</t>
  </si>
  <si>
    <t>Repsol: how much is it trading at TODAY Wednesday, October 16</t>
  </si>
  <si>
    <t>The price of Repsol (REP) closed at 11.71 euros on the IBEX 35. This figure reflects a change of -0.71%.</t>
  </si>
  <si>
    <t>“Repsol”, “Ibex 35”, “stock price”</t>
  </si>
  <si>
    <t>“Repsol”, “Ibex 35”, “precio de la acción”</t>
  </si>
  <si>
    <t>Negative market performance for Repsol.</t>
  </si>
  <si>
    <r>
      <rPr>
        <rFont val="Arial, sans-serif"/>
        <color rgb="FF1155CC"/>
        <sz val="9.0"/>
        <u/>
      </rPr>
      <t>Diario de Sevilla</t>
    </r>
    <r>
      <rPr>
        <rFont val="Arial, sans-serif"/>
        <color rgb="FF1155CC"/>
        <sz val="15.0"/>
        <u/>
      </rPr>
      <t>Cinco templos culinarios en la provincia de Sevilla señalados por las guías Repsol y Michelín</t>
    </r>
    <r>
      <rPr>
        <rFont val="Arial, sans-serif"/>
        <color rgb="FF1155CC"/>
        <sz val="11.0"/>
        <u/>
      </rPr>
      <t>Sevilla cuenta con multitud de establecimientos cuya oferta gastronómica es de una calidad suprema. Tan es así que algunos de ellos han sido reconocidos por...</t>
    </r>
    <r>
      <rPr>
        <rFont val="Arial, sans-serif"/>
        <color rgb="FF1155CC"/>
        <sz val="12.0"/>
        <u/>
      </rPr>
      <t>.</t>
    </r>
    <r>
      <rPr>
        <rFont val="Arial, sans-serif"/>
        <color rgb="FF1155CC"/>
        <sz val="11.0"/>
        <u/>
      </rPr>
      <t>16 oct 2024</t>
    </r>
  </si>
  <si>
    <t>Cinco templos culinarios en la provincia de Sevilla señalados por las guías Repsol y Michelín</t>
  </si>
  <si>
    <t>Sevilla cuenta con multitud de establecimientos cuya oferta gastronómica es de una calidad suprema. Tan es así que algunos de ellos han sido reconocidos por....</t>
  </si>
  <si>
    <t>Five culinary temples in the province of Seville highlighted by the Repsol and Michelin guides</t>
  </si>
  <si>
    <t>Seville has a multitude of establishments whose gastronomic offer is of supreme quality. So much so that some of them have been recognized by...</t>
  </si>
  <si>
    <r>
      <rPr>
        <rFont val="Arial, sans-serif"/>
        <color rgb="FF1155CC"/>
        <sz val="9.0"/>
        <u/>
      </rPr>
      <t>La Cerca</t>
    </r>
    <r>
      <rPr>
        <rFont val="Arial, sans-serif"/>
        <color rgb="FF1155CC"/>
        <sz val="15.0"/>
        <u/>
      </rPr>
      <t>La plantilla de RLESA Puertollano prosigue la huelga tras parar la planta de lubricantes y encara u</t>
    </r>
    <r>
      <rPr>
        <rFont val="Arial, sans-serif"/>
        <color rgb="FF1155CC"/>
        <sz val="11.0"/>
        <u/>
      </rPr>
      <t>La plantilla de Repsol Lubricantes y Asfaltos Puertollano (RLESA) prosigue con la huelga indefinida comenzada el pasado 7 de octubre en demanda de un...</t>
    </r>
    <r>
      <rPr>
        <rFont val="Arial, sans-serif"/>
        <color rgb="FF1155CC"/>
        <sz val="12.0"/>
        <u/>
      </rPr>
      <t>.</t>
    </r>
    <r>
      <rPr>
        <rFont val="Arial, sans-serif"/>
        <color rgb="FF1155CC"/>
        <sz val="11.0"/>
        <u/>
      </rPr>
      <t>16 oct 2024</t>
    </r>
  </si>
  <si>
    <t>La Cerca</t>
  </si>
  <si>
    <t>La plantilla de Repsol Lubricantes y Asfaltos Puertollano prosigue con la huelga indefinida.</t>
  </si>
  <si>
    <t>La plantilla de Repsol Lubricantes y Asfaltos Puertollano (RLESA) prosigue con la huelga indefinida comenzada el pasado 7 de octubre en demanda de un....</t>
  </si>
  <si>
    <t>The Repsol Lubricantes y Asfaltos Puertollano workforce continues with the indefinite strike.</t>
  </si>
  <si>
    <t>The Repsol Lubricantes y Asfaltos Puertollano (RLESA) staff continues with the indefinite strike that began on October 7 demanding a...</t>
  </si>
  <si>
    <t>Negative labor-related news for Repsol.</t>
  </si>
  <si>
    <r>
      <rPr>
        <rFont val="Arial, sans-serif"/>
        <color rgb="FF1155CC"/>
        <sz val="9.0"/>
        <u/>
      </rPr>
      <t>Deia</t>
    </r>
    <r>
      <rPr>
        <rFont val="Arial, sans-serif"/>
        <color rgb="FF1155CC"/>
        <sz val="15.0"/>
        <u/>
      </rPr>
      <t>Una de las 17 mejores tortillas de patata del Estado está en Bilbao, según la Guía Repsol</t>
    </r>
    <r>
      <rPr>
        <rFont val="Arial, sans-serif"/>
        <color rgb="FF1155CC"/>
        <sz val="11.0"/>
        <u/>
      </rPr>
      <t>Con cebolla, sin cebolla, con jamón y queso, hecha, poco hecha... Hay un sinfín de maneras de comer una tortilla de patata. No todos los paladares son para...</t>
    </r>
    <r>
      <rPr>
        <rFont val="Arial, sans-serif"/>
        <color rgb="FF1155CC"/>
        <sz val="12.0"/>
        <u/>
      </rPr>
      <t>.</t>
    </r>
    <r>
      <rPr>
        <rFont val="Arial, sans-serif"/>
        <color rgb="FF1155CC"/>
        <sz val="11.0"/>
        <u/>
      </rPr>
      <t>16 oct 2024</t>
    </r>
  </si>
  <si>
    <t>Una de las 17 mejores tortillas de patata del Estado está en Bilbao, según la Guía Repsol</t>
  </si>
  <si>
    <t>Con cebolla, sin cebolla, con jamón y queso, hecha, poco hecha... Hay un sinfín de maneras de comer una tortilla de patata. No todos los paladares son para...</t>
  </si>
  <si>
    <t>One of the 17 best potato omelettes in the State is in Bilbao, according to the Repsol Guide</t>
  </si>
  <si>
    <t>With onion, without onion, with ham and cheese, cooked, rare... There are endless ways to eat a potato omelette. Not all palates are for...</t>
  </si>
  <si>
    <r>
      <rPr>
        <rFont val="Arial, sans-serif"/>
        <color rgb="FF1155CC"/>
        <sz val="9.0"/>
        <u/>
      </rPr>
      <t>Onda Vasca</t>
    </r>
    <r>
      <rPr>
        <rFont val="Arial, sans-serif"/>
        <color rgb="FF1155CC"/>
        <sz val="15.0"/>
        <u/>
      </rPr>
      <t>La tortilla de patata bilbaína por la que merece la pena subir escaleras</t>
    </r>
    <r>
      <rPr>
        <rFont val="Arial, sans-serif"/>
        <color rgb="FF1155CC"/>
        <sz val="11.0"/>
        <u/>
      </rPr>
      <t>La tortilla de patata sigue sin pasarse de moda y es una de las reinas de la gastronomía más viral en redes sociales. Aunque el debate eterno entre...</t>
    </r>
    <r>
      <rPr>
        <rFont val="Arial, sans-serif"/>
        <color rgb="FF1155CC"/>
        <sz val="12.0"/>
        <u/>
      </rPr>
      <t>.</t>
    </r>
    <r>
      <rPr>
        <rFont val="Arial, sans-serif"/>
        <color rgb="FF1155CC"/>
        <sz val="11.0"/>
        <u/>
      </rPr>
      <t>16 oct 2024</t>
    </r>
  </si>
  <si>
    <t>La tortilla de patata bilbaína por la que merece la pena subir escaleras</t>
  </si>
  <si>
    <t>La tortilla de patata sigue sin pasarse de moda y es una de las reinas de la gastronomía más viral en redes sociales. Aunque el debate eterno entre....</t>
  </si>
  <si>
    <t>The Bilbao potato omelette that is worth climbing stairs for</t>
  </si>
  <si>
    <t>The potato omelette continues to not go out of style and is one of the most viral queens of gastronomy on social networks. Although the eternal debate between....</t>
  </si>
  <si>
    <r>
      <rPr>
        <rFont val="Arial, sans-serif"/>
        <color rgb="FF1155CC"/>
        <sz val="9.0"/>
        <u/>
      </rPr>
      <t>Heraldo-Diario de Soria</t>
    </r>
    <r>
      <rPr>
        <rFont val="Arial, sans-serif"/>
        <color rgb="FF1155CC"/>
        <sz val="15.0"/>
        <u/>
      </rPr>
      <t>Los 3 restaurantes de Soria que competirán en el I Concurso de Pinchos y Tapas de Castilla y León</t>
    </r>
    <r>
      <rPr>
        <rFont val="Arial, sans-serif"/>
        <color rgb="FF1155CC"/>
        <sz val="11.0"/>
        <u/>
      </rPr>
      <t>Zamora acogerá la primera edición de esta cita los días 29 y 30 de octubre.</t>
    </r>
    <r>
      <rPr>
        <rFont val="Arial, sans-serif"/>
        <color rgb="FF1155CC"/>
        <sz val="12.0"/>
        <u/>
      </rPr>
      <t>.</t>
    </r>
    <r>
      <rPr>
        <rFont val="Arial, sans-serif"/>
        <color rgb="FF1155CC"/>
        <sz val="11.0"/>
        <u/>
      </rPr>
      <t>16 oct 2024</t>
    </r>
  </si>
  <si>
    <t>Los 3 restaurantes de Soria que competirán en el I Concurso de Pinchos y Tapas de Castilla y León</t>
  </si>
  <si>
    <t>Los 3 restaurantes de Soria que competirán en el I Concurso de Pinchos y Tapas de Castilla y León. Zamora acogerá la primera edición de esta cita los días 29 y 30 de octubre.</t>
  </si>
  <si>
    <t>The 3 Soria restaurants that will compete in the I Castilla y León Pinchos and Tapas Contest</t>
  </si>
  <si>
    <t>The 3 Soria restaurants that will compete in the I Castilla y León Pinchos and Tapas Contest. Zamora will host the first edition of this event on October 29 and 30.</t>
  </si>
  <si>
    <r>
      <rPr>
        <rFont val="Arial, sans-serif"/>
        <color rgb="FF1155CC"/>
        <sz val="9.0"/>
        <u/>
      </rPr>
      <t>El Diario Vasco</t>
    </r>
    <r>
      <rPr>
        <rFont val="Arial, sans-serif"/>
        <color rgb="FF1155CC"/>
        <sz val="15.0"/>
        <u/>
      </rPr>
      <t>El restaurante catalán de San Sebastián que conquista a la crítica por su plato estrella</t>
    </r>
    <r>
      <rPr>
        <rFont val="Arial, sans-serif"/>
        <color rgb="FF1155CC"/>
        <sz val="11.0"/>
        <u/>
      </rPr>
      <t>El restaurante All i Oli, un establecimiento ganador de un Solete Guía Repsol, destaca por sus calçots.</t>
    </r>
    <r>
      <rPr>
        <rFont val="Arial, sans-serif"/>
        <color rgb="FF1155CC"/>
        <sz val="12.0"/>
        <u/>
      </rPr>
      <t>.</t>
    </r>
    <r>
      <rPr>
        <rFont val="Arial, sans-serif"/>
        <color rgb="FF1155CC"/>
        <sz val="11.0"/>
        <u/>
      </rPr>
      <t>16 oct 2024</t>
    </r>
  </si>
  <si>
    <t>El restaurante catalán de San Sebastián que conquista a la crítica por su plato estrella</t>
  </si>
  <si>
    <t>El restaurante All i Oli, un establecimiento ganador de un Solete Guía Repsol, destaca por sus calçots.</t>
  </si>
  <si>
    <t>The Catalan restaurant in San Sebastián that conquers critics for its star dish</t>
  </si>
  <si>
    <t>The All i Oli restaurant, an establishment that won a Repsol Guide Solete, stands out for its calçots.</t>
  </si>
  <si>
    <r>
      <rPr>
        <rFont val="Arial, sans-serif"/>
        <color rgb="FF1155CC"/>
        <sz val="9.0"/>
        <u/>
      </rPr>
      <t>La Comarca de Puertollano</t>
    </r>
    <r>
      <rPr>
        <rFont val="Arial, sans-serif"/>
        <color rgb="FF1155CC"/>
        <sz val="15.0"/>
        <u/>
      </rPr>
      <t>Puertollano: Los trabajadores de RLESA se mantienen “fuertes” pero lamentan “los intentos de declarar ilegal la huelga indefinida”</t>
    </r>
    <r>
      <rPr>
        <rFont val="Arial, sans-serif"/>
        <color rgb="FF1155CC"/>
        <sz val="11.0"/>
        <u/>
      </rPr>
      <t>Tal y como han explicado este miércoles en rueda de prensa Eva María Córdoba, presidenta del comité de empresa y miembro del comité de huelga; y María ...</t>
    </r>
    <r>
      <rPr>
        <rFont val="Arial, sans-serif"/>
        <color rgb="FF1155CC"/>
        <sz val="12.0"/>
        <u/>
      </rPr>
      <t>.</t>
    </r>
    <r>
      <rPr>
        <rFont val="Arial, sans-serif"/>
        <color rgb="FF1155CC"/>
        <sz val="11.0"/>
        <u/>
      </rPr>
      <t>16 oct 2024</t>
    </r>
  </si>
  <si>
    <t>Puertollano: Los trabajadores de RLESA se mantienen “fuertes” pero lamentan “los intentos de declarar ilegal la huelga indefinida”</t>
  </si>
  <si>
    <t>Los trabajadores de RLESA se mantienen “fuertes” pero lamentan “los intentos de declarar ilegal la huelga indefinida”.</t>
  </si>
  <si>
    <t>Puertollano: RLESA workers remain “strong” but regret “the attempts to declare the indefinite strike illegal”</t>
  </si>
  <si>
    <t>RLESA workers remain “strong” but regret “the attempts to declare the indefinite strike illegal.”</t>
  </si>
  <si>
    <r>
      <rPr>
        <rFont val="Arial, sans-serif"/>
        <color rgb="FF1155CC"/>
        <sz val="9.0"/>
        <u/>
      </rPr>
      <t>Segre.com</t>
    </r>
    <r>
      <rPr>
        <rFont val="Arial, sans-serif"/>
        <color rgb="FF1155CC"/>
        <sz val="15.0"/>
        <u/>
      </rPr>
      <t>Los dos mejores restaurantes para disfrutar de los calçots en Lleida según la Guía Repsol</t>
    </r>
    <r>
      <rPr>
        <rFont val="Arial, sans-serif"/>
        <color rgb="FF1155CC"/>
        <sz val="11.0"/>
        <u/>
      </rPr>
      <t>La Guía Repsol ha escogido diez mejores establecimientos para hacer una calçotada en toda España.</t>
    </r>
    <r>
      <rPr>
        <rFont val="Arial, sans-serif"/>
        <color rgb="FF1155CC"/>
        <sz val="12.0"/>
        <u/>
      </rPr>
      <t>.</t>
    </r>
    <r>
      <rPr>
        <rFont val="Arial, sans-serif"/>
        <color rgb="FF1155CC"/>
        <sz val="11.0"/>
        <u/>
      </rPr>
      <t>16 oct 2024</t>
    </r>
  </si>
  <si>
    <t>Los dos mejores restaurantes para disfrutar de los calçots en Lleida según la Guía Repsol</t>
  </si>
  <si>
    <t>La Guía Repsol ha escogido diez mejores establecimientos para hacer una calçotada en toda España.</t>
  </si>
  <si>
    <t>The two best restaurants to enjoy calçots in Lleida according to the Repsol Guide</t>
  </si>
  <si>
    <t>The Repsol Guide has chosen ten best establishments to make a calçotada throughout Spain.</t>
  </si>
  <si>
    <r>
      <rPr>
        <rFont val="Arial, sans-serif"/>
        <color rgb="FF1155CC"/>
        <sz val="9.0"/>
        <u/>
      </rPr>
      <t>El Español</t>
    </r>
    <r>
      <rPr>
        <rFont val="Arial, sans-serif"/>
        <color rgb="FF1155CC"/>
        <sz val="15.0"/>
        <u/>
      </rPr>
      <t>El restaurante de Málaga con la mejor tortilla de patata según la Guía Repsol: "Es de otro mundo"</t>
    </r>
    <r>
      <rPr>
        <rFont val="Arial, sans-serif"/>
        <color rgb="FF1155CC"/>
        <sz val="11.0"/>
        <u/>
      </rPr>
      <t>Se ha convertido en uno de los platos más icónicos de este establecimiento, ubicado en Marbella. Más información: Colas en el bar más famoso de Málaga para...</t>
    </r>
    <r>
      <rPr>
        <rFont val="Arial, sans-serif"/>
        <color rgb="FF1155CC"/>
        <sz val="12.0"/>
        <u/>
      </rPr>
      <t>.</t>
    </r>
    <r>
      <rPr>
        <rFont val="Arial, sans-serif"/>
        <color rgb="FF1155CC"/>
        <sz val="11.0"/>
        <u/>
      </rPr>
      <t>16 oct 2024</t>
    </r>
  </si>
  <si>
    <t>El restaurante de Málaga con la mejor tortilla de patata según la Guía Repsol: "Es de otro mundo"</t>
  </si>
  <si>
    <t>Se ha convertido en uno de los platos más icónicos de este establecimiento, ubicado en Marbella. Más información: Colas en el bar más famoso de Málaga para....</t>
  </si>
  <si>
    <t>The restaurant in Malaga with the best potato omelette according to the Repsol Guide: "It's from another world"</t>
  </si>
  <si>
    <t>It has become one of the most iconic dishes of this establishment, located in Marbella. More information: Queues at the most famous bar in Malaga for...</t>
  </si>
  <si>
    <r>
      <rPr>
        <rFont val="Arial, sans-serif"/>
        <color rgb="FF1155CC"/>
        <sz val="9.0"/>
        <u/>
      </rPr>
      <t>La Opinión de Málaga</t>
    </r>
    <r>
      <rPr>
        <rFont val="Arial, sans-serif"/>
        <color rgb="FF1155CC"/>
        <sz val="15.0"/>
        <u/>
      </rPr>
      <t>Dónde comer la mejor tortilla de patata de Málaga</t>
    </r>
    <r>
      <rPr>
        <rFont val="Arial, sans-serif"/>
        <color rgb="FF1155CC"/>
        <sz val="11.0"/>
        <u/>
      </rPr>
      <t>La Guía Repsol elige diecisiete Soletes donde este emblemático plato del recetario español.</t>
    </r>
    <r>
      <rPr>
        <rFont val="Arial, sans-serif"/>
        <color rgb="FF1155CC"/>
        <sz val="12.0"/>
        <u/>
      </rPr>
      <t>.</t>
    </r>
    <r>
      <rPr>
        <rFont val="Arial, sans-serif"/>
        <color rgb="FF1155CC"/>
        <sz val="11.0"/>
        <u/>
      </rPr>
      <t>16 oct 2024</t>
    </r>
  </si>
  <si>
    <t>Dónde comer la mejor tortilla de patata de Málaga</t>
  </si>
  <si>
    <t>La Guía Repsol elige diecisiete Soletes donde este emblemático plato del recetario español.</t>
  </si>
  <si>
    <t>Where to eat the best potato omelette in Malaga</t>
  </si>
  <si>
    <t>The Repsol Guide chooses seventeen Soletes where this emblematic dish from the Spanish recipe book.</t>
  </si>
  <si>
    <r>
      <rPr>
        <rFont val="Arial, sans-serif"/>
        <color rgb="FF1155CC"/>
        <sz val="9.0"/>
        <u/>
      </rPr>
      <t>Desde Adentro</t>
    </r>
    <r>
      <rPr>
        <rFont val="Arial, sans-serif"/>
        <color rgb="FF1155CC"/>
        <sz val="15.0"/>
        <u/>
      </rPr>
      <t>Repsol inaugura la ampliación de su Unidad de Gasolinas en Refinería La Pampilla</t>
    </r>
    <r>
      <rPr>
        <rFont val="Arial, sans-serif"/>
        <color rgb="FF1155CC"/>
        <sz val="11.0"/>
        <u/>
      </rPr>
      <t>Los trabajos de ampliación, que demandaron una inversión de S/ 160 millones, permitirán incrementar en un 20% la producción de gasolinas de bajo azufre.</t>
    </r>
    <r>
      <rPr>
        <rFont val="Arial, sans-serif"/>
        <color rgb="FF1155CC"/>
        <sz val="12.0"/>
        <u/>
      </rPr>
      <t>.</t>
    </r>
    <r>
      <rPr>
        <rFont val="Arial, sans-serif"/>
        <color rgb="FF1155CC"/>
        <sz val="11.0"/>
        <u/>
      </rPr>
      <t>16 oct 2024</t>
    </r>
  </si>
  <si>
    <t>Repsol inaugura la ampliación de su Unidad de Gasolinas en Refinería La Pampilla</t>
  </si>
  <si>
    <t>Los trabajos de ampliación, que demandaron una inversión de S/ 160 millones, permitirán incrementar en un 20% la producción de gasolinas de bajo azufre.</t>
  </si>
  <si>
    <t>Repsol inaugurates the expansion of its Gasoline Unit at the La Pampilla Refinery</t>
  </si>
  <si>
    <t>The expansion works, which required an investment of S/ 160 million, will increase the production of low sulfur gasoline by 20%.</t>
  </si>
  <si>
    <t>Energy Industry</t>
  </si>
  <si>
    <t>“Repsol”, “La Pampilla”, “refinery”</t>
  </si>
  <si>
    <t>“Repsol”, “La Pampilla”, “refinería”</t>
  </si>
  <si>
    <t>Positive business development for Repsol.</t>
  </si>
  <si>
    <t>inaugura, "ampliación"</t>
  </si>
  <si>
    <t>Inversión y crecimiento positivo.</t>
  </si>
  <si>
    <r>
      <rPr>
        <rFont val="Arial, sans-serif"/>
        <color rgb="FF1155CC"/>
        <sz val="9.0"/>
        <u/>
      </rPr>
      <t>Gestión</t>
    </r>
    <r>
      <rPr>
        <rFont val="Arial, sans-serif"/>
        <color rgb="FF1155CC"/>
        <sz val="15.0"/>
        <u/>
      </rPr>
      <t>Repsol aumenta producción de gasolinas en La Pampilla: los nuevos planes</t>
    </r>
    <r>
      <rPr>
        <rFont val="Arial, sans-serif"/>
        <color rgb="FF1155CC"/>
        <sz val="11.0"/>
        <u/>
      </rPr>
      <t>La española Repsol ejecutó inversión por S/ 160 millones en La Pampilla y avanza con nuevas iniciativas hacia el próximo año.</t>
    </r>
    <r>
      <rPr>
        <rFont val="Arial, sans-serif"/>
        <color rgb="FF1155CC"/>
        <sz val="12.0"/>
        <u/>
      </rPr>
      <t>.</t>
    </r>
    <r>
      <rPr>
        <rFont val="Arial, sans-serif"/>
        <color rgb="FF1155CC"/>
        <sz val="11.0"/>
        <u/>
      </rPr>
      <t>16 oct 2024</t>
    </r>
  </si>
  <si>
    <t>Repsol aumenta producción de gasolinas en La Pampilla: los nuevos planes</t>
  </si>
  <si>
    <t>La española Repsol ejecutó inversión por S/ 160 millones en La Pampilla y avanza con nuevas iniciativas hacia el próximo año.</t>
  </si>
  <si>
    <t>Repsol increases gasoline production in La Pampilla: the new plans</t>
  </si>
  <si>
    <t>The Spanish company Repsol invested S/ 160 million in La Pampilla and is moving forward with new initiatives for next year.</t>
  </si>
  <si>
    <t>“Repsol”, “La Pampilla”, “investment”</t>
  </si>
  <si>
    <t>“Repsol”, “La Pampilla”, “inversión”</t>
  </si>
  <si>
    <t>Positive investment in production capacity.</t>
  </si>
  <si>
    <t>aumenta producción</t>
  </si>
  <si>
    <t>Expansión operativa positiva.</t>
  </si>
  <si>
    <r>
      <rPr>
        <rFont val="Arial, sans-serif"/>
        <color rgb="FF1155CC"/>
        <sz val="9.0"/>
        <u/>
      </rPr>
      <t>Revista ProActivo</t>
    </r>
    <r>
      <rPr>
        <rFont val="Arial, sans-serif"/>
        <color rgb="FF1155CC"/>
        <sz val="15.0"/>
        <u/>
      </rPr>
      <t>Repsol aumenta producción de combustibles en La Pampilla</t>
    </r>
    <r>
      <rPr>
        <rFont val="Arial, sans-serif"/>
        <color rgb="FF1155CC"/>
        <sz val="11.0"/>
        <u/>
      </rPr>
      <t>Repsol ha invertido más de S/160 millones en la ampliación de su capacidad de producción de gasolinas en La Pampilla. Con este esfuerzo, la empresa no solo...</t>
    </r>
    <r>
      <rPr>
        <rFont val="Arial, sans-serif"/>
        <color rgb="FF1155CC"/>
        <sz val="12.0"/>
        <u/>
      </rPr>
      <t>.</t>
    </r>
    <r>
      <rPr>
        <rFont val="Arial, sans-serif"/>
        <color rgb="FF1155CC"/>
        <sz val="11.0"/>
        <u/>
      </rPr>
      <t>16 oct 2024</t>
    </r>
  </si>
  <si>
    <t>Repsol aumenta producción de combustibles en La Pampilla</t>
  </si>
  <si>
    <t>Repsol ha invertido más de S/160 millones en la ampliación de su capacidad de producción de gasolinas en La Pampilla. Con este esfuerzo, la empresa no solo....</t>
  </si>
  <si>
    <t>Repsol increases fuel production in La Pampilla</t>
  </si>
  <si>
    <t>Repsol has invested more than S/160 million in expanding its gasoline production capacity in La Pampilla. With this effort, the company not only...</t>
  </si>
  <si>
    <t>“Repsol”, “La Pampilla”, “fuel production”</t>
  </si>
  <si>
    <t>“Repsol”, “La Pampilla”, “producción de combustibles”</t>
  </si>
  <si>
    <t>Impacto económico favorable.</t>
  </si>
  <si>
    <r>
      <rPr>
        <rFont val="Arial, sans-serif"/>
        <color rgb="FF1155CC"/>
        <sz val="9.0"/>
        <u/>
      </rPr>
      <t>Consumidor Global</t>
    </r>
    <r>
      <rPr>
        <rFont val="Arial, sans-serif"/>
        <color rgb="FF1155CC"/>
        <sz val="15.0"/>
        <u/>
      </rPr>
      <t>Los diez bares con los mejores bocadillos de calamares de Madrid, según la Guía Repsol</t>
    </r>
    <r>
      <rPr>
        <rFont val="Arial, sans-serif"/>
        <color rgb="FF1155CC"/>
        <sz val="11.0"/>
        <u/>
      </rPr>
      <t>La Guía Repsol ha lanzado una nueva selección de bares y restaurantes donde disfrutar de platos icónicos de la gastronomía española.</t>
    </r>
    <r>
      <rPr>
        <rFont val="Arial, sans-serif"/>
        <color rgb="FF1155CC"/>
        <sz val="12.0"/>
        <u/>
      </rPr>
      <t>.</t>
    </r>
    <r>
      <rPr>
        <rFont val="Arial, sans-serif"/>
        <color rgb="FF1155CC"/>
        <sz val="11.0"/>
        <u/>
      </rPr>
      <t>16 oct 2024</t>
    </r>
  </si>
  <si>
    <t>Los diez bares con los mejores bocadillos de calamares de Madrid, según la Guía Repsol</t>
  </si>
  <si>
    <t>La Guía Repsol ha lanzado una nueva selección de bares y restaurantes donde disfrutar de platos icónicos de la gastronomía española.</t>
  </si>
  <si>
    <t>The ten bars with the best calamari sandwiches in Madrid, according to the Repsol Guide</t>
  </si>
  <si>
    <t>The Repsol Guide has launched a new selection of bars and restaurants where you can enjoy iconic dishes of Spanish gastronomy.</t>
  </si>
  <si>
    <r>
      <rPr>
        <rFont val="Arial, sans-serif"/>
        <color rgb="FF1155CC"/>
        <sz val="9.0"/>
        <u/>
      </rPr>
      <t>Plena Inclusión Madrid</t>
    </r>
    <r>
      <rPr>
        <rFont val="Arial, sans-serif"/>
        <color rgb="FF1155CC"/>
        <sz val="15.0"/>
        <u/>
      </rPr>
      <t>Colaboramos con la Fundación Repsol para favorecer la eficiencia energética de más de 600 familias en situación de vulnerabilidad</t>
    </r>
    <r>
      <rPr>
        <rFont val="Arial, sans-serif"/>
        <color rgb="FF1155CC"/>
        <sz val="11.0"/>
        <u/>
      </rPr>
      <t>Un total de nueve personas con discapacidad intelectual que participan en el proyecto Creando Valor que realizamos junto a Fundación Repsol, han colaborado...</t>
    </r>
    <r>
      <rPr>
        <rFont val="Arial, sans-serif"/>
        <color rgb="FF1155CC"/>
        <sz val="12.0"/>
        <u/>
      </rPr>
      <t>.</t>
    </r>
    <r>
      <rPr>
        <rFont val="Arial, sans-serif"/>
        <color rgb="FF1155CC"/>
        <sz val="11.0"/>
        <u/>
      </rPr>
      <t>17 oct 2024</t>
    </r>
  </si>
  <si>
    <t>Plena Inclusión Madrid</t>
  </si>
  <si>
    <t>Colaboramos con la Fundación Repsol para favorecer la eficiencia energética de más de 600 familias en situación de vulnerabilidad</t>
  </si>
  <si>
    <t>Un total de nueve personas con discapacidad intelectual que participan en el proyecto Creando Valor que realizamos junto a Fundación Repsol, han colaborado....</t>
  </si>
  <si>
    <t>We collaborate with the Repsol Foundation to promote energy efficiency for more than 600 families in vulnerable situations</t>
  </si>
  <si>
    <t>A total of nine people with intellectual disabilities who participate in the Creating Value project that we carry out together with Fundación Repsol, have collaborated....</t>
  </si>
  <si>
    <r>
      <rPr>
        <rFont val="Arial, sans-serif"/>
        <color rgb="FF1155CC"/>
        <sz val="9.0"/>
        <u/>
      </rPr>
      <t>Capital Radio</t>
    </r>
    <r>
      <rPr>
        <rFont val="Arial, sans-serif"/>
        <color rgb="FF1155CC"/>
        <sz val="15.0"/>
        <u/>
      </rPr>
      <t>Repsol no mejora por técnico: "Seguiría mirando para otro lado"</t>
    </r>
    <r>
      <rPr>
        <rFont val="Arial, sans-serif"/>
        <color rgb="FF1155CC"/>
        <sz val="11.0"/>
        <u/>
      </rPr>
      <t>Marc Ribes, de Blackbird Bank, analiza los títulos de Repsol, Take-Two Interactive, Ferrari, Alibaba, Tesco, Carnival o Microsoft, entre otros.</t>
    </r>
    <r>
      <rPr>
        <rFont val="Arial, sans-serif"/>
        <color rgb="FF1155CC"/>
        <sz val="12.0"/>
        <u/>
      </rPr>
      <t>.</t>
    </r>
    <r>
      <rPr>
        <rFont val="Arial, sans-serif"/>
        <color rgb="FF1155CC"/>
        <sz val="11.0"/>
        <u/>
      </rPr>
      <t>17 oct 2024</t>
    </r>
  </si>
  <si>
    <t>Repsol no mejora por técnico: "Seguiría mirando para otro lado"</t>
  </si>
  <si>
    <t>Marc Ribes, de Blackbird Bank, analiza los títulos de Repsol, Take-Two Interactive, Ferrari, Alibaba, Tesco, Carnival o Microsoft, entre otros..</t>
  </si>
  <si>
    <t>Repsol does not improve due to technician: "I would continue looking the other way"</t>
  </si>
  <si>
    <t>Marc Ribes, from Blackbird Bank, analyzes the titles of Repsol, Take-Two Interactive, Ferrari, Alibaba, Tesco, Carnival and Microsoft, among others.</t>
  </si>
  <si>
    <t>“Repsol”, “stock market”, “valuation”</t>
  </si>
  <si>
    <t>“Repsol”, “bolsa”, “valoración”</t>
  </si>
  <si>
    <t>Negative market analysis regarding Repsol's stock performance.</t>
  </si>
  <si>
    <r>
      <rPr>
        <rFont val="Arial, sans-serif"/>
        <color rgb="FF1155CC"/>
        <sz val="9.0"/>
        <u/>
      </rPr>
      <t>Canal UGR</t>
    </r>
    <r>
      <rPr>
        <rFont val="Arial, sans-serif"/>
        <color rgb="FF1155CC"/>
        <sz val="15.0"/>
        <u/>
      </rPr>
      <t>Presentación de la Cátedra de Inteligencia Artificial Ética, Responsable y de Propósito General (IAFER) de la Universidad de Granada en colaboración con Repsol</t>
    </r>
    <r>
      <rPr>
        <rFont val="Arial, sans-serif"/>
        <color rgb="FF1155CC"/>
        <sz val="11.0"/>
        <u/>
      </rPr>
      <t>Viernes, 17 de octubre, a las 9,25 horas, atención a medios en el Salón de Rectores del Hospital Real. El viernes 17 de octubre, a las 9,25 horas,...</t>
    </r>
    <r>
      <rPr>
        <rFont val="Arial, sans-serif"/>
        <color rgb="FF1155CC"/>
        <sz val="12.0"/>
        <u/>
      </rPr>
      <t>.</t>
    </r>
    <r>
      <rPr>
        <rFont val="Arial, sans-serif"/>
        <color rgb="FF1155CC"/>
        <sz val="11.0"/>
        <u/>
      </rPr>
      <t>17 oct 2024</t>
    </r>
  </si>
  <si>
    <t>Presentación de la Cátedra de Inteligencia Artificial Ética, Responsable y de Propósito General (IAFER) de la Universidad de Granada en colaboración con Repsol</t>
  </si>
  <si>
    <t>Presentación de la Cátedra de Inteligencia Artificial Ética, Responsable y de Propósito General (IAFER) de la Universidad de Granada en colaboración con Repsol. Atención a medios en el Salón de Rectores del Hospital Real.</t>
  </si>
  <si>
    <t>Presentation of the Chair of Ethical, Responsible and General Purpose Artificial Intelligence (IAFER) of the University of Granada in collaboration with Repsol</t>
  </si>
  <si>
    <t>Presentation of the Chair of Ethical, Responsible and General Purpose Artificial Intelligence (IAFER) of the University of Granada in collaboration with Repsol. Media attention in the Rectors' Hall of the Royal Hospital.</t>
  </si>
  <si>
    <t>AI &amp; Ethics</t>
  </si>
  <si>
    <r>
      <rPr>
        <rFont val="Arial, sans-serif"/>
        <color rgb="FF1155CC"/>
        <sz val="9.0"/>
        <u/>
      </rPr>
      <t>Gobierno de Canarias</t>
    </r>
    <r>
      <rPr>
        <rFont val="Arial, sans-serif"/>
        <color rgb="FF1155CC"/>
        <sz val="15.0"/>
        <u/>
      </rPr>
      <t>4ª Edición de los Premios Zinkers de Fundación Repsol. – CEP Gran Tarajal</t>
    </r>
    <r>
      <rPr>
        <rFont val="Arial, sans-serif"/>
        <color rgb="FF1155CC"/>
        <sz val="11.0"/>
        <u/>
      </rPr>
      <t>Estos premios dirigidos a alumnado de Primaria y Secundaria Obligatoria, tienen como finalidad extender el uso del Programa Zinkers de Fundación Repsol,...</t>
    </r>
    <r>
      <rPr>
        <rFont val="Arial, sans-serif"/>
        <color rgb="FF1155CC"/>
        <sz val="12.0"/>
        <u/>
      </rPr>
      <t>.</t>
    </r>
    <r>
      <rPr>
        <rFont val="Arial, sans-serif"/>
        <color rgb="FF1155CC"/>
        <sz val="11.0"/>
        <u/>
      </rPr>
      <t>17 oct 2024</t>
    </r>
  </si>
  <si>
    <t>Gobierno de Canarias</t>
  </si>
  <si>
    <t>4ª Edición de los Premios Zinkers de Fundación Repsol. – CEP Gran Tarajal</t>
  </si>
  <si>
    <t>Estos premios dirigidos a alumnado de Primaria y Secundaria Obligatoria, tienen como finalidad extender el uso del Programa Zinkers de Fundación Repsol,....</t>
  </si>
  <si>
    <t>4th Edition of the Repsol Foundation Zinkers Awards. – CEP Gran Tarajal</t>
  </si>
  <si>
    <t>These awards, aimed at Primary and Compulsory Secondary students, are intended to extend the use of the Repsol Foundation's Zinkers Program....</t>
  </si>
  <si>
    <r>
      <rPr>
        <rFont val="Arial, sans-serif"/>
        <color rgb="FF1155CC"/>
        <sz val="9.0"/>
        <u/>
      </rPr>
      <t>www.ocu.org</t>
    </r>
    <r>
      <rPr>
        <rFont val="Arial, sans-serif"/>
        <color rgb="FF1155CC"/>
        <sz val="15.0"/>
        <u/>
      </rPr>
      <t>La acción de Repsol cotiza en mínimos de 2022</t>
    </r>
    <r>
      <rPr>
        <rFont val="Arial, sans-serif"/>
        <color rgb="FF1155CC"/>
        <sz val="11.0"/>
        <u/>
      </rPr>
      <t>La caída del precio del petróleo arrastra a la baja las cotizaciones de las compañías petroleras, entre ellas, Repsol. Qué hacer con esta acción.</t>
    </r>
    <r>
      <rPr>
        <rFont val="Arial, sans-serif"/>
        <color rgb="FF1155CC"/>
        <sz val="12.0"/>
        <u/>
      </rPr>
      <t>.</t>
    </r>
    <r>
      <rPr>
        <rFont val="Arial, sans-serif"/>
        <color rgb="FF1155CC"/>
        <sz val="11.0"/>
        <u/>
      </rPr>
      <t>17 oct 2024</t>
    </r>
  </si>
  <si>
    <t>La acción de Repsol cotiza en mínimos de 2022</t>
  </si>
  <si>
    <t>La caída del precio del petróleo arrastra a la baja las cotizaciones de las compañías petroleras, entre ellas, Repsol. Qué hacer con esta acción.</t>
  </si>
  <si>
    <t>Repsol's stock is trading at the lows of 2022</t>
  </si>
  <si>
    <t>The fall in the price of oil drags down the prices of oil companies, including Repsol. What to do with this action.</t>
  </si>
  <si>
    <t>“Repsol”, “stock market”, “oil prices”</t>
  </si>
  <si>
    <t>“Repsol”, “bolsa”, “precios del petróleo”</t>
  </si>
  <si>
    <t>Negative financial performance due to declining oil prices.</t>
  </si>
  <si>
    <t>mínimos</t>
  </si>
  <si>
    <t>Desempeño bursátil negativo.</t>
  </si>
  <si>
    <r>
      <rPr>
        <rFont val="Arial, sans-serif"/>
        <color rgb="FF1155CC"/>
        <sz val="9.0"/>
        <u/>
      </rPr>
      <t>Guía Repsol</t>
    </r>
    <r>
      <rPr>
        <rFont val="Arial, sans-serif"/>
        <color rgb="FF1155CC"/>
        <sz val="15.0"/>
        <u/>
      </rPr>
      <t>¿Qué cafeterías de especialidad prefieren los cocineros?</t>
    </r>
    <r>
      <rPr>
        <rFont val="Arial, sans-serif"/>
        <color rgb="FF1155CC"/>
        <sz val="11.0"/>
        <u/>
      </rPr>
      <t>Valladolid, Oviedo o Cartagena son algunas de las paradas de esta ruta por las cafeterías de especialidad favoritas de los cocineros.</t>
    </r>
    <r>
      <rPr>
        <rFont val="Arial, sans-serif"/>
        <color rgb="FF1155CC"/>
        <sz val="12.0"/>
        <u/>
      </rPr>
      <t>.</t>
    </r>
    <r>
      <rPr>
        <rFont val="Arial, sans-serif"/>
        <color rgb="FF1155CC"/>
        <sz val="11.0"/>
        <u/>
      </rPr>
      <t>17 oct 2024</t>
    </r>
  </si>
  <si>
    <t>¿Qué cafeterías de especialidad prefieren los cocineros?</t>
  </si>
  <si>
    <t>Valladolid, Oviedo o Cartagena son algunas de las paradas de esta ruta por las cafeterías de especialidad favoritas de los cocineros.</t>
  </si>
  <si>
    <t>What specialty cafes do chefs prefer?</t>
  </si>
  <si>
    <t>Valladolid, Oviedo or Cartagena are some of the stops on this route through the chefs' favorite specialty cafes.</t>
  </si>
  <si>
    <r>
      <rPr>
        <rFont val="Arial, sans-serif"/>
        <color rgb="FF1155CC"/>
        <sz val="9.0"/>
        <u/>
      </rPr>
      <t>Bolsamania</t>
    </r>
    <r>
      <rPr>
        <rFont val="Arial, sans-serif"/>
        <color rgb="FF1155CC"/>
        <sz val="15.0"/>
        <u/>
      </rPr>
      <t>Se terminó lo que se daba en Repsol</t>
    </r>
    <r>
      <rPr>
        <rFont val="Arial, sans-serif"/>
        <color rgb="FF1155CC"/>
        <sz val="11.0"/>
        <u/>
      </rPr>
      <t>Repsol ha puesto fin al rebote del corto plazo.</t>
    </r>
    <r>
      <rPr>
        <rFont val="Arial, sans-serif"/>
        <color rgb="FF1155CC"/>
        <sz val="12.0"/>
        <u/>
      </rPr>
      <t>.</t>
    </r>
    <r>
      <rPr>
        <rFont val="Arial, sans-serif"/>
        <color rgb="FF1155CC"/>
        <sz val="11.0"/>
        <u/>
      </rPr>
      <t>17 oct 2024</t>
    </r>
  </si>
  <si>
    <t>Se terminó lo que se daba en Repsol</t>
  </si>
  <si>
    <t>Repsol ha puesto fin al rebote del corto plazo.</t>
  </si>
  <si>
    <t>What was happening at Repsol is over</t>
  </si>
  <si>
    <t>Repsol has put an end to the short-term rebound.</t>
  </si>
  <si>
    <t>“Repsol”, “stock market”, “investments”</t>
  </si>
  <si>
    <t>“Repsol”, “bolsa”, “inversiones”</t>
  </si>
  <si>
    <t>Suggests instability in stock performance.</t>
  </si>
  <si>
    <t>Neutral (análisis técnico).</t>
  </si>
  <si>
    <r>
      <rPr>
        <rFont val="Arial, sans-serif"/>
        <color rgb="FF1155CC"/>
        <sz val="9.0"/>
        <u/>
      </rPr>
      <t>Innovaspain</t>
    </r>
    <r>
      <rPr>
        <rFont val="Arial, sans-serif"/>
        <color rgb="FF1155CC"/>
        <sz val="15.0"/>
        <u/>
      </rPr>
      <t>Luis Cabra: “Hay que explicarle al ciudadano que el coste de la energía va a ser más alto del que tenemos ahora”</t>
    </r>
    <r>
      <rPr>
        <rFont val="Arial, sans-serif"/>
        <color rgb="FF1155CC"/>
        <sz val="11.0"/>
        <u/>
      </rPr>
      <t>Así lo cree el director general de Transición Tecnología de Repsol, que ha señalado las fortalezas y debilidades de Europa respecto a la descarbonización.</t>
    </r>
    <r>
      <rPr>
        <rFont val="Arial, sans-serif"/>
        <color rgb="FF1155CC"/>
        <sz val="12.0"/>
        <u/>
      </rPr>
      <t>.</t>
    </r>
    <r>
      <rPr>
        <rFont val="Arial, sans-serif"/>
        <color rgb="FF1155CC"/>
        <sz val="11.0"/>
        <u/>
      </rPr>
      <t>17 oct 2024</t>
    </r>
  </si>
  <si>
    <t>Innovaspain</t>
  </si>
  <si>
    <t>Luis Cabra: “Hay que explicarle al ciudadano que el coste de la energía va a ser más alto del que tenemos ahora”</t>
  </si>
  <si>
    <t>Hay que explicarle al ciudadano que el coste de la energía va a ser más alto del que tenemos ahora.</t>
  </si>
  <si>
    <t>Luis Cabra: “We must explain to citizens that the cost of energy is going to be higher than what we have now”</t>
  </si>
  <si>
    <t>We must explain to the citizen that the cost of energy is going to be higher than what we have now.</t>
  </si>
  <si>
    <t>“Repsol”, “energy costs”, “Luis Cabra”</t>
  </si>
  <si>
    <t>“Repsol”, “costes de la energía”, “Luis Cabra”</t>
  </si>
  <si>
    <t>Negative perception regarding rising energy costs.</t>
  </si>
  <si>
    <t>coste más alto</t>
  </si>
  <si>
    <t>Mensaje negativo para consumidores.</t>
  </si>
  <si>
    <t>Mensaje negativo para los consumidores.</t>
  </si>
  <si>
    <r>
      <rPr>
        <rFont val="Arial, sans-serif"/>
        <color rgb="FF1155CC"/>
        <sz val="9.0"/>
        <u/>
      </rPr>
      <t>Radio Intereconomía</t>
    </r>
    <r>
      <rPr>
        <rFont val="Arial, sans-serif"/>
        <color rgb="FF1155CC"/>
        <sz val="15.0"/>
        <u/>
      </rPr>
      <t>Los ‘butaneros’ van a la huelga</t>
    </r>
    <r>
      <rPr>
        <rFont val="Arial, sans-serif"/>
        <color rgb="FF1155CC"/>
        <sz val="11.0"/>
        <u/>
      </rPr>
      <t>La Federación Española de Distribuidores de Gases Licuados del Petróleo (Fedglp) establecerá y comunicará, en su asamblea general del próximo 21 de octubre,...</t>
    </r>
    <r>
      <rPr>
        <rFont val="Arial, sans-serif"/>
        <color rgb="FF1155CC"/>
        <sz val="12.0"/>
        <u/>
      </rPr>
      <t>.</t>
    </r>
    <r>
      <rPr>
        <rFont val="Arial, sans-serif"/>
        <color rgb="FF1155CC"/>
        <sz val="11.0"/>
        <u/>
      </rPr>
      <t>17 oct 2024</t>
    </r>
  </si>
  <si>
    <t>Los ‘butaneros’ van a la huelga</t>
  </si>
  <si>
    <t>La Federación Española de Distribuidores de Gases Licuados del Petróleo (Fedglp) establecerá y comunicará, en su asamblea general del próximo 21 de octubre,....</t>
  </si>
  <si>
    <t>The 'butaneros' are going on strike</t>
  </si>
  <si>
    <t>The Spanish Federation of Liquefied Petroleum Gas Distributors (Fedglp) will establish and communicate, at its general assembly on October 21,...</t>
  </si>
  <si>
    <t>“Repsol”, “butane”, “strike”</t>
  </si>
  <si>
    <t>“Repsol”, “butano”, “huelga”</t>
  </si>
  <si>
    <t>Labor dispute affecting Repsol’s supply chain.</t>
  </si>
  <si>
    <r>
      <rPr>
        <rFont val="Arial, sans-serif"/>
        <color rgb="FF1155CC"/>
        <sz val="9.0"/>
        <u/>
      </rPr>
      <t>La Razón</t>
    </r>
    <r>
      <rPr>
        <rFont val="Arial, sans-serif"/>
        <color rgb="FF1155CC"/>
        <sz val="15.0"/>
        <u/>
      </rPr>
      <t>Selección de sitios para comer tortilla de patatas, calçots o bocadillos de calamares, según la 'app'</t>
    </r>
    <r>
      <rPr>
        <rFont val="Arial, sans-serif"/>
        <color rgb="FF1155CC"/>
        <sz val="11.0"/>
        <u/>
      </rPr>
      <t>Como a la hora de sentarse a la mesa, nadie quiere jugársela a una mala experiencia, desde la 'app' de Guía Repsol han elaborado una selección de...</t>
    </r>
    <r>
      <rPr>
        <rFont val="Arial, sans-serif"/>
        <color rgb="FF1155CC"/>
        <sz val="12.0"/>
        <u/>
      </rPr>
      <t>.</t>
    </r>
    <r>
      <rPr>
        <rFont val="Arial, sans-serif"/>
        <color rgb="FF1155CC"/>
        <sz val="11.0"/>
        <u/>
      </rPr>
      <t>17 oct 2024</t>
    </r>
  </si>
  <si>
    <t>Selección de sitios para comer tortilla de patatas, calçots o bocadillos de calamares, según la 'app'</t>
  </si>
  <si>
    <t>Selection of places to eat potato omelette, calçots or squid sandwiches, according to the 'app'</t>
  </si>
  <si>
    <r>
      <rPr>
        <rFont val="Arial, sans-serif"/>
        <color rgb="FF1155CC"/>
        <sz val="9.0"/>
        <u/>
      </rPr>
      <t>El Español</t>
    </r>
    <r>
      <rPr>
        <rFont val="Arial, sans-serif"/>
        <color rgb="FF1155CC"/>
        <sz val="15.0"/>
        <u/>
      </rPr>
      <t>Los operadores de petróleo de AOPYDE ven a Gobierno y empresas, como Repsol o Cepsa, aliarse en su contra</t>
    </r>
    <r>
      <rPr>
        <rFont val="Arial, sans-serif"/>
        <color rgb="FF1155CC"/>
        <sz val="11.0"/>
        <u/>
      </rPr>
      <t>La asociación de 9 operadoras al por mayor de productos petrolíferos denuncia que se les acusa de un fraude millonario con estimaciones "arbitrarias".</t>
    </r>
    <r>
      <rPr>
        <rFont val="Arial, sans-serif"/>
        <color rgb="FF1155CC"/>
        <sz val="12.0"/>
        <u/>
      </rPr>
      <t>.</t>
    </r>
    <r>
      <rPr>
        <rFont val="Arial, sans-serif"/>
        <color rgb="FF1155CC"/>
        <sz val="11.0"/>
        <u/>
      </rPr>
      <t>17 oct 2024</t>
    </r>
  </si>
  <si>
    <t>Los operadores de petróleo de AOPYDE ven a Gobierno y empresas, como Repsol o Cepsa, aliarse en su contra</t>
  </si>
  <si>
    <t>La asociación de 9 operadoras al por mayor de productos petrolíferos denuncia que se les acusa de un fraude millonario con estimaciones "arbitrarias".</t>
  </si>
  <si>
    <t>AOPYDE oil operators see the Government and companies, such as Repsol or Cepsa, allying against them</t>
  </si>
  <si>
    <t>The association of 9 wholesale oil products operators denounces that they are accused of a million-dollar fraud with "arbitrary" estimates.</t>
  </si>
  <si>
    <t>“Repsol”, “oil industry”, “regulation”</t>
  </si>
  <si>
    <t>“Repsol”, “industria petrolera”, “regulación”</t>
  </si>
  <si>
    <t>Negative impact due to allegations against Repsol.</t>
  </si>
  <si>
    <t>aliarse en su contra</t>
  </si>
  <si>
    <t>Controversia sectorial.</t>
  </si>
  <si>
    <t>Polémica sectorial.</t>
  </si>
  <si>
    <r>
      <rPr>
        <rFont val="Arial, sans-serif"/>
        <color rgb="FF1155CC"/>
        <sz val="9.0"/>
        <u/>
      </rPr>
      <t>Investing.com España</t>
    </r>
    <r>
      <rPr>
        <rFont val="Arial, sans-serif"/>
        <color rgb="FF1155CC"/>
        <sz val="15.0"/>
        <u/>
      </rPr>
      <t>Análisis de Telefónica, Rovi, Mapfre, Puig, Merlin, Naturgy, Redeia, Repsol y más</t>
    </r>
    <r>
      <rPr>
        <rFont val="Arial, sans-serif"/>
        <color rgb="FF1155CC"/>
        <sz val="11.0"/>
        <u/>
      </rPr>
      <t>Análisis de Acciones por Diego Gutiérrez Pérez cubriendo: Naturgy Energy Group S.A., Repsol S.A., Mapfre S.A., Telefónica S.A.. Lea los Análisis de Acciones...</t>
    </r>
    <r>
      <rPr>
        <rFont val="Arial, sans-serif"/>
        <color rgb="FF1155CC"/>
        <sz val="12.0"/>
        <u/>
      </rPr>
      <t>.</t>
    </r>
    <r>
      <rPr>
        <rFont val="Arial, sans-serif"/>
        <color rgb="FF1155CC"/>
        <sz val="11.0"/>
        <u/>
      </rPr>
      <t>17 oct 2024</t>
    </r>
  </si>
  <si>
    <t>Análisis de Telefónica, Rovi, Mapfre, Puig, Merlin, Naturgy, Redeia, Repsol y más</t>
  </si>
  <si>
    <t>Análisis de Acciones por Diego Gutiérrez Pérez cubriendo: Naturgy Energy Group S.A., Repsol S.A., Mapfre S.A., Telefónica S.A.. Lea los Análisis de Acciones....</t>
  </si>
  <si>
    <t>Analysis of Telefónica, Rovi, Mapfre, Puig, Merlin, Naturgy, Redeia, Repsol and more</t>
  </si>
  <si>
    <t>Stock Analysis by Diego Gutiérrez Pérez covering: Naturgy Energy Group S.A., Repsol S.A., Mapfre S.A., Telefónica S.A.. Read the Stock Analysis....</t>
  </si>
  <si>
    <t>Neutral stock analysis.</t>
  </si>
  <si>
    <r>
      <rPr>
        <rFont val="Arial, sans-serif"/>
        <color rgb="FF1155CC"/>
        <sz val="9.0"/>
        <u/>
      </rPr>
      <t>MiCiudadReal.es</t>
    </r>
    <r>
      <rPr>
        <rFont val="Arial, sans-serif"/>
        <color rgb="FF1155CC"/>
        <sz val="15.0"/>
        <u/>
      </rPr>
      <t>Navec presenta un «dramático» ERE extintivo para toda la plantilla de Puertollano y los sindicatos convocan huelga indefinida en demanda de subrogación</t>
    </r>
    <r>
      <rPr>
        <rFont val="Arial, sans-serif"/>
        <color rgb="FF1155CC"/>
        <sz val="11.0"/>
        <u/>
      </rPr>
      <t>El comité de empresa de Navec en Puertollano, principal contratista en el complejo petroquímico de Repsol de la ciudad industrial, ha convocado una huelga...</t>
    </r>
    <r>
      <rPr>
        <rFont val="Arial, sans-serif"/>
        <color rgb="FF1155CC"/>
        <sz val="12.0"/>
        <u/>
      </rPr>
      <t>.</t>
    </r>
    <r>
      <rPr>
        <rFont val="Arial, sans-serif"/>
        <color rgb="FF1155CC"/>
        <sz val="11.0"/>
        <u/>
      </rPr>
      <t>17 oct 2024</t>
    </r>
  </si>
  <si>
    <t>Navec presenta un «dramático» ERE extintivo para toda la plantilla de Puertollano y los sindicatos convocan huelga indefinida en demanda de subrogación</t>
  </si>
  <si>
    <t>El comité de empresa de Navec en Puertollano, principal contratista en el complejo petroquímico de Repsol de la ciudad industrial, ha convocado una huelga....</t>
  </si>
  <si>
    <t>Navec presents a "dramatic" ERE extinctive for the entire Puertollano workforce and the unions call an indefinite strike to demand subrogation</t>
  </si>
  <si>
    <t>The works council of Navec in Puertollano, the main contractor at the Repsol petrochemical complex in the industrial city, has called a strike....</t>
  </si>
  <si>
    <t>“Repsol”, “Puertollano”, “Navec”, “strike”</t>
  </si>
  <si>
    <t>“Repsol”, “Puertollano”, “Navec”, “huelga”</t>
  </si>
  <si>
    <t>Strong negative impact due to workforce reduction and strikes.</t>
  </si>
  <si>
    <t>ERE extintivo, "huelga"</t>
  </si>
  <si>
    <t>Crisis laboral severa.</t>
  </si>
  <si>
    <r>
      <rPr>
        <rFont val="Arial, sans-serif"/>
        <color rgb="FF1155CC"/>
        <sz val="9.0"/>
        <u/>
      </rPr>
      <t>ABC</t>
    </r>
    <r>
      <rPr>
        <rFont val="Arial, sans-serif"/>
        <color rgb="FF1155CC"/>
        <sz val="15.0"/>
        <u/>
      </rPr>
      <t>La tortilla de patatas de Cotxino, la mejor de Málaga según la Guía Repsol</t>
    </r>
    <r>
      <rPr>
        <rFont val="Arial, sans-serif"/>
        <color rgb="FF1155CC"/>
        <sz val="11.0"/>
        <u/>
      </rPr>
      <t>La guía española ha seleccionado las mejores 17 tortillas de España, siendo la de este bar de Marbella la única andaluza escogida.</t>
    </r>
    <r>
      <rPr>
        <rFont val="Arial, sans-serif"/>
        <color rgb="FF1155CC"/>
        <sz val="12.0"/>
        <u/>
      </rPr>
      <t>.</t>
    </r>
    <r>
      <rPr>
        <rFont val="Arial, sans-serif"/>
        <color rgb="FF1155CC"/>
        <sz val="11.0"/>
        <u/>
      </rPr>
      <t>17 oct 2024</t>
    </r>
  </si>
  <si>
    <t>La tortilla de patatas de Cotxino, la mejor de Málaga según la Guía Repsol</t>
  </si>
  <si>
    <t>La guía española ha seleccionado las mejores 17 tortillas de España, siendo la de este bar de Marbella la única andaluza escogida.</t>
  </si>
  <si>
    <t>Cotxino's potato omelette, the best in Malaga according to the Repsol Guide</t>
  </si>
  <si>
    <t>The Spanish guide has selected the best 17 tortillas in Spain, with the one from this bar in Marbella being the only Andalusian one chosen.</t>
  </si>
  <si>
    <r>
      <rPr>
        <rFont val="Arial, sans-serif"/>
        <color rgb="FF1155CC"/>
        <sz val="9.0"/>
        <u/>
      </rPr>
      <t>Guía Repsol</t>
    </r>
    <r>
      <rPr>
        <rFont val="Arial, sans-serif"/>
        <color rgb="FF1155CC"/>
        <sz val="15.0"/>
        <u/>
      </rPr>
      <t>Comarca de Vératton: dormir en casas hobbits a dos horas de Madrid</t>
    </r>
    <r>
      <rPr>
        <rFont val="Arial, sans-serif"/>
        <color rgb="FF1155CC"/>
        <sz val="11.0"/>
        <u/>
      </rPr>
      <t>Tres casas enterradas en el monte con puertas de colores vivos y rodeadas de bosque, un arroyo y montañas. Así es en esencia 'Comarca de Vératton', un aloj.</t>
    </r>
    <r>
      <rPr>
        <rFont val="Arial, sans-serif"/>
        <color rgb="FF1155CC"/>
        <sz val="12.0"/>
        <u/>
      </rPr>
      <t>.</t>
    </r>
    <r>
      <rPr>
        <rFont val="Arial, sans-serif"/>
        <color rgb="FF1155CC"/>
        <sz val="11.0"/>
        <u/>
      </rPr>
      <t>17 oct 2024</t>
    </r>
  </si>
  <si>
    <t>Comarca de Vératton: dormir en casas hobbits a dos horas de Madrid</t>
  </si>
  <si>
    <t>Tres casas enterradas en el monte con puertas de colores vivos y rodeadas de bosque, un arroyo y montañas. Así es en esencia 'Comarca de Vératton', un aloj..</t>
  </si>
  <si>
    <t>Vératton region: sleeping in hobbit houses two hours from Madrid</t>
  </si>
  <si>
    <t>Three houses buried in the mountains with brightly colored doors and surrounded by forest, a stream and mountains. This is essentially 'Vératton Region', an accommodation..</t>
  </si>
  <si>
    <r>
      <rPr>
        <rFont val="Arial, sans-serif"/>
        <color rgb="FF1155CC"/>
        <sz val="9.0"/>
        <u/>
      </rPr>
      <t>Regalos y Muestras gratis</t>
    </r>
    <r>
      <rPr>
        <rFont val="Arial, sans-serif"/>
        <color rgb="FF1155CC"/>
        <sz val="15.0"/>
        <u/>
      </rPr>
      <t>Guía Repsol sortea 40 reembolsos de hasta 100€ en restaurantes</t>
    </r>
    <r>
      <rPr>
        <rFont val="Arial, sans-serif"/>
        <color rgb="FF1155CC"/>
        <sz val="11.0"/>
        <u/>
      </rPr>
      <t>Quieres que Guía Repsol te pague la comida o cena?, entonces regístrate en el sorteo para poder ganar un reembolso de hasta 100€ en consumo.</t>
    </r>
    <r>
      <rPr>
        <rFont val="Arial, sans-serif"/>
        <color rgb="FF1155CC"/>
        <sz val="12.0"/>
        <u/>
      </rPr>
      <t>.</t>
    </r>
    <r>
      <rPr>
        <rFont val="Arial, sans-serif"/>
        <color rgb="FF1155CC"/>
        <sz val="11.0"/>
        <u/>
      </rPr>
      <t>17 oct 2024</t>
    </r>
  </si>
  <si>
    <t>Guía Repsol sortea 40 reembolsos de hasta 100€ en restaurantes</t>
  </si>
  <si>
    <t>Quieres que Guía Repsol te pague la comida o cena?, entonces regístrate en el sorteo para poder ganar un reembolso de hasta 100€ en consumo.</t>
  </si>
  <si>
    <t>Repsol Guide raffles off 40 refunds of up to €100 in restaurants</t>
  </si>
  <si>
    <t>Do you want the Repsol Guide to pay for your lunch or dinner? Then register for the draw to win a refund of up to €100 in consumption.</t>
  </si>
  <si>
    <r>
      <rPr>
        <rFont val="Arial, sans-serif"/>
        <color rgb="FF1155CC"/>
        <sz val="9.0"/>
        <u/>
      </rPr>
      <t>Canal UGR</t>
    </r>
    <r>
      <rPr>
        <rFont val="Arial, sans-serif"/>
        <color rgb="FF1155CC"/>
        <sz val="15.0"/>
        <u/>
      </rPr>
      <t>Arranca la Cátedra Universidad-Empresa de Inteligencia Artificial en colaboración con Repsol</t>
    </r>
    <r>
      <rPr>
        <rFont val="Arial, sans-serif"/>
        <color rgb="FF1155CC"/>
        <sz val="11.0"/>
        <u/>
      </rPr>
      <t>La cátedra se centrará en la importancia de la dimensión ética de la IA y su impacto en la privacidad, derechos fundamentales y seguridad.</t>
    </r>
    <r>
      <rPr>
        <rFont val="Arial, sans-serif"/>
        <color rgb="FF1155CC"/>
        <sz val="12.0"/>
        <u/>
      </rPr>
      <t>.</t>
    </r>
    <r>
      <rPr>
        <rFont val="Arial, sans-serif"/>
        <color rgb="FF1155CC"/>
        <sz val="11.0"/>
        <u/>
      </rPr>
      <t>18 oct 2024</t>
    </r>
  </si>
  <si>
    <t>Canal UGRA</t>
  </si>
  <si>
    <t>Arranca la Cátedra Universidad-Empresa de Inteligencia Artificial en colaboración con Repsol</t>
  </si>
  <si>
    <t>La cátedra se centrará en la importancia de la dimensión ética de la IA y su impacto en la privacidad, derechos fundamentales y seguridad.</t>
  </si>
  <si>
    <t>The University-Business Chair in Artificial Intelligence starts in collaboration with Repsol</t>
  </si>
  <si>
    <t>The lecture will focus on the importance of the ethical dimension of AI and its impact on privacy, fundamental rights and security.</t>
  </si>
  <si>
    <r>
      <rPr>
        <rFont val="Arial, sans-serif"/>
        <color rgb="FF1155CC"/>
        <sz val="9.0"/>
        <u/>
      </rPr>
      <t>Repsol</t>
    </r>
    <r>
      <rPr>
        <rFont val="Arial, sans-serif"/>
        <color rgb="FF1155CC"/>
        <sz val="15.0"/>
        <u/>
      </rPr>
      <t>CAEs: ¿Qué ventajas tienen para las empresas?</t>
    </r>
    <r>
      <rPr>
        <rFont val="Arial, sans-serif"/>
        <color rgb="FF1155CC"/>
        <sz val="11.0"/>
        <u/>
      </rPr>
      <t>En este post te contamos cuáles son los beneficios de los CAEs para las empresas, ¡haz clic y descubre como obtenerlos!</t>
    </r>
    <r>
      <rPr>
        <rFont val="Arial, sans-serif"/>
        <color rgb="FF1155CC"/>
        <sz val="12.0"/>
        <u/>
      </rPr>
      <t>.</t>
    </r>
    <r>
      <rPr>
        <rFont val="Arial, sans-serif"/>
        <color rgb="FF1155CC"/>
        <sz val="11.0"/>
        <u/>
      </rPr>
      <t>18 oct 2024</t>
    </r>
  </si>
  <si>
    <t>¿Qué ventajas tienen para las empresas?</t>
  </si>
  <si>
    <t>En este post te contamos cuáles son los beneficios de los CAEs para las empresas, ¡haz clic y descubre como obtenerlos!.</t>
  </si>
  <si>
    <t>What advantages do they have for companies?</t>
  </si>
  <si>
    <t>In this post we tell you what the benefits of CAEs are for companies, click and discover how to obtain them!</t>
  </si>
  <si>
    <t>Miscellaneous</t>
  </si>
  <si>
    <r>
      <rPr>
        <rFont val="Arial, sans-serif"/>
        <color rgb="FF1155CC"/>
        <sz val="9.0"/>
        <u/>
      </rPr>
      <t>El Economista</t>
    </r>
    <r>
      <rPr>
        <rFont val="Arial, sans-serif"/>
        <color rgb="FF1155CC"/>
        <sz val="15.0"/>
        <u/>
      </rPr>
      <t>Carlos Suárez (Repsol): "El SAF es estratégico para transformar nuestros complejos industriales hacia una producción más sostenible"</t>
    </r>
    <r>
      <rPr>
        <rFont val="Arial, sans-serif"/>
        <color rgb="FF1155CC"/>
        <sz val="11.0"/>
        <u/>
      </rPr>
      <t>Repsol expuso su compromiso con la descarbonización del transporte aéreo mediante la producción de SAF (combustible sostenible de ...</t>
    </r>
    <r>
      <rPr>
        <rFont val="Arial, sans-serif"/>
        <color rgb="FF1155CC"/>
        <sz val="12.0"/>
        <u/>
      </rPr>
      <t>.</t>
    </r>
    <r>
      <rPr>
        <rFont val="Arial, sans-serif"/>
        <color rgb="FF1155CC"/>
        <sz val="11.0"/>
        <u/>
      </rPr>
      <t>18 oct 2024</t>
    </r>
  </si>
  <si>
    <t>El SAF es estratégico para transformar nuestros complejos industriales hacia una producción más sostenible</t>
  </si>
  <si>
    <t>Repsol expuso su compromiso con la descarbonización del transporte aéreo mediante la producción de SAF (combustible sostenible de ....</t>
  </si>
  <si>
    <t>The SAF is strategic to transform our industrial complexes towards more sustainable production</t>
  </si>
  <si>
    <t>Repsol explained its commitment to the decarbonization of air transport through the production of SAF (sustainable fuel from....</t>
  </si>
  <si>
    <t>“Repsol”, “SAF”, “sustainable production”</t>
  </si>
  <si>
    <t>“Repsol”, “SAF”, “producción sostenible”</t>
  </si>
  <si>
    <t>Positive impact due to Repsol's investment in sustainable fuels.</t>
  </si>
  <si>
    <t>sostenible</t>
  </si>
  <si>
    <t>Compromiso ecológico positivo.</t>
  </si>
  <si>
    <r>
      <rPr>
        <rFont val="Arial, sans-serif"/>
        <color rgb="FF1155CC"/>
        <sz val="9.0"/>
        <u/>
      </rPr>
      <t>Box Repsol</t>
    </r>
    <r>
      <rPr>
        <rFont val="Arial, sans-serif"/>
        <color rgb="FF1155CC"/>
        <sz val="15.0"/>
        <u/>
      </rPr>
      <t>Promo Hondacbr1000repsol</t>
    </r>
    <r>
      <rPr>
        <rFont val="Arial, sans-serif"/>
        <color rgb="FF1155CC"/>
        <sz val="11.0"/>
        <u/>
      </rPr>
      <t>¡Gana una Honda CBR1000RR Fireblade vinilada con los colores de Repsol! ¿Quieres llevarte una Honda CBR totalmente gratuita y con los colores que llevan...</t>
    </r>
    <r>
      <rPr>
        <rFont val="Arial, sans-serif"/>
        <color rgb="FF1155CC"/>
        <sz val="12.0"/>
        <u/>
      </rPr>
      <t>.</t>
    </r>
    <r>
      <rPr>
        <rFont val="Arial, sans-serif"/>
        <color rgb="FF1155CC"/>
        <sz val="11.0"/>
        <u/>
      </rPr>
      <t>18 oct 2024</t>
    </r>
  </si>
  <si>
    <t>¡Gana una Honda CBR1000RR Fireblade vinilada con los colores de Repsol!</t>
  </si>
  <si>
    <t>¡Gana una Honda CBR1000RR Fireblade vinilada con los colores de Repsol! ¿Quieres llevarte una Honda CBR totalmente gratuita y con los colores que llevan....</t>
  </si>
  <si>
    <t>Win a vinyl Honda CBR1000RR Fireblade in Repsol colors!</t>
  </si>
  <si>
    <t>Win a vinyl Honda CBR1000RR Fireblade in Repsol colors! Do you want to get a Honda CBR completely free and with the colors they wear....</t>
  </si>
  <si>
    <r>
      <rPr>
        <rFont val="Arial, sans-serif"/>
        <color rgb="FF1155CC"/>
        <sz val="9.0"/>
        <u/>
      </rPr>
      <t>El Periódico de la Energía</t>
    </r>
    <r>
      <rPr>
        <rFont val="Arial, sans-serif"/>
        <color rgb="FF1155CC"/>
        <sz val="15.0"/>
        <u/>
      </rPr>
      <t>Granada estrena una cátedra de IA con Repsol centrada en seguridad, privacidad y derechos</t>
    </r>
    <r>
      <rPr>
        <rFont val="Arial, sans-serif"/>
        <color rgb="FF1155CC"/>
        <sz val="11.0"/>
        <u/>
      </rPr>
      <t>La UGR ha estrenado una cátedra con Repsol, centrada en la Inteligencia Artificial y su dimensión ética que analizará el impacto de esta tecnología...</t>
    </r>
    <r>
      <rPr>
        <rFont val="Arial, sans-serif"/>
        <color rgb="FF1155CC"/>
        <sz val="12.0"/>
        <u/>
      </rPr>
      <t>.</t>
    </r>
    <r>
      <rPr>
        <rFont val="Arial, sans-serif"/>
        <color rgb="FF1155CC"/>
        <sz val="11.0"/>
        <u/>
      </rPr>
      <t>18 oct 2024</t>
    </r>
  </si>
  <si>
    <t>Granada estrena una cátedra de IA con Repsol centrada en seguridad, privacidad y derechos</t>
  </si>
  <si>
    <t>La UGR ha estrenado una cátedra con Repsol, centrada en la Inteligencia Artificial y su dimensión ética que analizará el impacto de esta tecnología.</t>
  </si>
  <si>
    <t>Granada launches an AI chair with Repsol focused on security, privacy and rights</t>
  </si>
  <si>
    <t>The UGR has launched a chair with Repsol, focused on Artificial Intelligence and its ethical dimension that will analyze the impact of this technology.</t>
  </si>
  <si>
    <r>
      <rPr>
        <rFont val="Arial, sans-serif"/>
        <color rgb="FF1155CC"/>
        <sz val="9.0"/>
        <u/>
      </rPr>
      <t>El Independiente</t>
    </r>
    <r>
      <rPr>
        <rFont val="Arial, sans-serif"/>
        <color rgb="FF1155CC"/>
        <sz val="15.0"/>
        <u/>
      </rPr>
      <t>160 millones de la UE en 'el aire' para una planta de hidrógeno verde 'congelada' de Repsol</t>
    </r>
    <r>
      <rPr>
        <rFont val="Arial, sans-serif"/>
        <color rgb="FF1155CC"/>
        <sz val="11.0"/>
        <u/>
      </rPr>
      <t>Petronor, filial de la petrolera, formaliza el trámite para acceder a las ayudas europeas pero mantiene suspendida su planta de 100 MW por el 'impuestazo'.</t>
    </r>
    <r>
      <rPr>
        <rFont val="Arial, sans-serif"/>
        <color rgb="FF1155CC"/>
        <sz val="12.0"/>
        <u/>
      </rPr>
      <t>.</t>
    </r>
    <r>
      <rPr>
        <rFont val="Arial, sans-serif"/>
        <color rgb="FF1155CC"/>
        <sz val="11.0"/>
        <u/>
      </rPr>
      <t>18 oct 2024</t>
    </r>
  </si>
  <si>
    <t>160 millones de la UE en 'el aire' para una planta de hidrógeno verde 'congelada' de Repsol</t>
  </si>
  <si>
    <t>Petronor, filial de la petrolera, formaliza el trámite para acceder a las ayudas europeas pero mantiene suspendida su planta de 100 MW por el 'impuestazo'.</t>
  </si>
  <si>
    <t>160 million from the EU in 'the air' for a 'frozen' Repsol green hydrogen plant</t>
  </si>
  <si>
    <t>Petronor, a subsidiary of the oil company, formalizes the process to access European aid but keeps its 100 MW plant suspended due to the 'tax'.</t>
  </si>
  <si>
    <t>“Repsol”, “green hydrogen”, “investment”</t>
  </si>
  <si>
    <t>“Repsol”, “hidrógeno verde”, “inversión”</t>
  </si>
  <si>
    <t>Negative sentiment due to stalled green energy project.</t>
  </si>
  <si>
    <t>congelada</t>
  </si>
  <si>
    <t>Incertidumbre en inversión.</t>
  </si>
  <si>
    <r>
      <rPr>
        <rFont val="Arial, sans-serif"/>
        <color rgb="FF1155CC"/>
        <sz val="9.0"/>
        <u/>
      </rPr>
      <t>Expansión</t>
    </r>
    <r>
      <rPr>
        <rFont val="Arial, sans-serif"/>
        <color rgb="FF1155CC"/>
        <sz val="15.0"/>
        <u/>
      </rPr>
      <t>Solaria, Enagás y Repsol, un festín para fondos oportunistas</t>
    </r>
    <r>
      <rPr>
        <rFont val="Arial, sans-serif"/>
        <color rgb="FF1155CC"/>
        <sz val="11.0"/>
        <u/>
      </rPr>
      <t>El pasado 1 de octubre, Marshall Wace, un fondo con sede en Londres, comunicó a la Comisión Nacional del Mercado de Valores (CNMV) que había tomado el 0,51%...</t>
    </r>
    <r>
      <rPr>
        <rFont val="Arial, sans-serif"/>
        <color rgb="FF1155CC"/>
        <sz val="12.0"/>
        <u/>
      </rPr>
      <t>.</t>
    </r>
    <r>
      <rPr>
        <rFont val="Arial, sans-serif"/>
        <color rgb="FF1155CC"/>
        <sz val="11.0"/>
        <u/>
      </rPr>
      <t>18 oct 2024</t>
    </r>
  </si>
  <si>
    <t>Solaria, Enagás y Repsol, un festín para fondos oportunistas</t>
  </si>
  <si>
    <t>El pasado 1 de octubre, Marshall Wace, un fondo con sede en Londres, comunicó a la Comisión Nacional del Mercado de Valores (CNMV) que había tomado el 0,51%....</t>
  </si>
  <si>
    <t>Solaria, Enagás and Repsol, a feast for opportunistic funds</t>
  </si>
  <si>
    <t>On October 1, Marshall Wace, a fund based in London, informed the National Securities Market Commission (CNMV) that it had taken 0.51%....</t>
  </si>
  <si>
    <t>“Repsol”, “stock market”, “funds”</t>
  </si>
  <si>
    <t>“Repsol”, “bolsa”, “fondos”</t>
  </si>
  <si>
    <t>Negative sentiment linked to financial speculation.</t>
  </si>
  <si>
    <t>fondos oportunistas</t>
  </si>
  <si>
    <t>Presión financiera negativa.</t>
  </si>
  <si>
    <r>
      <rPr>
        <rFont val="Arial, sans-serif"/>
        <color rgb="FF1155CC"/>
        <sz val="9.0"/>
        <u/>
      </rPr>
      <t>Guía Repsol</t>
    </r>
    <r>
      <rPr>
        <rFont val="Arial, sans-serif"/>
        <color rgb="FF1155CC"/>
        <sz val="15.0"/>
        <u/>
      </rPr>
      <t>De antiguo banco a hotel de lujo: un palacio con muchas vidas</t>
    </r>
    <r>
      <rPr>
        <rFont val="Arial, sans-serif"/>
        <color rgb="FF1155CC"/>
        <sz val="11.0"/>
        <u/>
      </rPr>
      <t>Descubre el Palacio Gran Vía, un tesoro arquitectónico de Granada. Desde su construcción en 1905 hasta su renacimiento como hotel de lujo.</t>
    </r>
    <r>
      <rPr>
        <rFont val="Arial, sans-serif"/>
        <color rgb="FF1155CC"/>
        <sz val="12.0"/>
        <u/>
      </rPr>
      <t>.</t>
    </r>
    <r>
      <rPr>
        <rFont val="Arial, sans-serif"/>
        <color rgb="FF1155CC"/>
        <sz val="11.0"/>
        <u/>
      </rPr>
      <t>18 oct 2024</t>
    </r>
  </si>
  <si>
    <t>De antiguo banco a hotel de lujo: un palacio con muchas vidas</t>
  </si>
  <si>
    <t>Descubre el Palacio Gran Vía, un tesoro arquitectónico de Granada. Desde su construcción en 1905 hasta su renacimiento como hotel de lujo.</t>
  </si>
  <si>
    <t>From former bank to luxury hotel: a palace with many lives</t>
  </si>
  <si>
    <t>Discover the Gran Vía Palace, an architectural treasure of Granada. From its construction in 1905 to its rebirth as a luxury hotel.</t>
  </si>
  <si>
    <r>
      <rPr>
        <rFont val="Arial, sans-serif"/>
        <color rgb="FF1155CC"/>
        <sz val="9.0"/>
        <u/>
      </rPr>
      <t>20Minutos</t>
    </r>
    <r>
      <rPr>
        <rFont val="Arial, sans-serif"/>
        <color rgb="FF1155CC"/>
        <sz val="15.0"/>
        <u/>
      </rPr>
      <t>El restaurante de carretera en la A-4 recomendado por la Guía Repsol: carne de caza y rodeado de naturaleza</t>
    </r>
    <r>
      <rPr>
        <rFont val="Arial, sans-serif"/>
        <color rgb="FF1155CC"/>
        <sz val="11.0"/>
        <u/>
      </rPr>
      <t>Ubicado en la que antes era conocida como la carretera de Andalucía, este restaurante tiene una carta que es una oda a la cocina jienense y ofrece unas...</t>
    </r>
    <r>
      <rPr>
        <rFont val="Arial, sans-serif"/>
        <color rgb="FF1155CC"/>
        <sz val="12.0"/>
        <u/>
      </rPr>
      <t>.</t>
    </r>
    <r>
      <rPr>
        <rFont val="Arial, sans-serif"/>
        <color rgb="FF1155CC"/>
        <sz val="11.0"/>
        <u/>
      </rPr>
      <t>18 oct 2024</t>
    </r>
  </si>
  <si>
    <t>El restaurante de carretera en la A-4 recomendado por la Guía Repsol: carne de caza y rodeado de naturaleza</t>
  </si>
  <si>
    <t>Ubicado en la que antes era conocida como la carretera de Andalucía, este restaurante tiene una carta que es una oda a la cocina jienense y ofrece unas....</t>
  </si>
  <si>
    <t>The roadside restaurant on the A-4 recommended by the Repsol Guide: game meat and surrounded by nature</t>
  </si>
  <si>
    <t>Located on what was previously known as the Andalusian highway, this restaurant has a menu that is an ode to Jaén cuisine and offers...</t>
  </si>
  <si>
    <r>
      <rPr>
        <rFont val="Arial, sans-serif"/>
        <color rgb="FF1155CC"/>
        <sz val="9.0"/>
        <u/>
      </rPr>
      <t>Lanza Digital</t>
    </r>
    <r>
      <rPr>
        <rFont val="Arial, sans-serif"/>
        <color rgb="FF1155CC"/>
        <sz val="15.0"/>
        <u/>
      </rPr>
      <t>RLESA anuncia que Repsol ha presentado una solicitud de suspensión cautelar de la huelga</t>
    </r>
    <r>
      <rPr>
        <rFont val="Arial, sans-serif"/>
        <color rgb="FF1155CC"/>
        <sz val="11.0"/>
        <u/>
      </rPr>
      <t>El próximo día 23 de octubre se pronunciará el juzgado si aceptan o no esta suspensión de la huelga de RLESA, "le han lanzado la patata caliente"</t>
    </r>
    <r>
      <rPr>
        <rFont val="Arial, sans-serif"/>
        <color rgb="FF1155CC"/>
        <sz val="12.0"/>
        <u/>
      </rPr>
      <t>.</t>
    </r>
    <r>
      <rPr>
        <rFont val="Arial, sans-serif"/>
        <color rgb="FF1155CC"/>
        <sz val="11.0"/>
        <u/>
      </rPr>
      <t>18 oct 2024</t>
    </r>
  </si>
  <si>
    <t>RLESA anuncia que Repsol ha presentado una solicitud de suspensión cautelar de la huelga</t>
  </si>
  <si>
    <t>El próximo día 23 de octubre se pronunciará el juzgado si aceptan o no esta suspensión de la huelga de RLESA, "le han lanzado la patata caliente".</t>
  </si>
  <si>
    <t>RLESA announces that Repsol has submitted a request for a precautionary suspension of the strike</t>
  </si>
  <si>
    <t>On October 23, the court will rule on whether or not they accept this suspension of the RLESA strike, "they have thrown the hot potato at it."</t>
  </si>
  <si>
    <t>pause, labor strike</t>
  </si>
  <si>
    <t>pausa, huelga laboral</t>
  </si>
  <si>
    <t>Negative due to continued labor issues.</t>
  </si>
  <si>
    <t>suspensión cautelar</t>
  </si>
  <si>
    <t>Conflicto laboral prolongado.</t>
  </si>
  <si>
    <r>
      <rPr>
        <rFont val="Arial, sans-serif"/>
        <color rgb="FF1155CC"/>
        <sz val="9.0"/>
        <u/>
      </rPr>
      <t>Diari de Tarragona</t>
    </r>
    <r>
      <rPr>
        <rFont val="Arial, sans-serif"/>
        <color rgb="FF1155CC"/>
        <sz val="15.0"/>
        <u/>
      </rPr>
      <t>La máquina que llegó en Tarragona donde antes lo hacían los humanos</t>
    </r>
    <r>
      <rPr>
        <rFont val="Arial, sans-serif"/>
        <color rgb="FF1155CC"/>
        <sz val="11.0"/>
        <u/>
      </rPr>
      <t>De Madrid a hacer volar un dron en el área de química de Repsol en Tarragona. Antonio Rodríguez, nacido en la capital hace ya 24 primaveras, es técnic...</t>
    </r>
    <r>
      <rPr>
        <rFont val="Arial, sans-serif"/>
        <color rgb="FF1155CC"/>
        <sz val="12.0"/>
        <u/>
      </rPr>
      <t>.</t>
    </r>
    <r>
      <rPr>
        <rFont val="Arial, sans-serif"/>
        <color rgb="FF1155CC"/>
        <sz val="11.0"/>
        <u/>
      </rPr>
      <t>18 oct 2024</t>
    </r>
  </si>
  <si>
    <t>La máquina que llegó en Tarragona donde antes lo hacían los humanos</t>
  </si>
  <si>
    <t>De Madrid a hacer volar un dron en el área de química de Repsol en Tarragona. Antonio Rodríguez, nacido en la capital hace ya 24 primaveras, es técnic....</t>
  </si>
  <si>
    <t>The machine that arrived in Tarragona where humans used to do it</t>
  </si>
  <si>
    <t>From Madrid to fly a drone in the Repsol chemistry area in Tarragona. Antonio Rodríguez, born in the capital 24 years ago, is a technician....</t>
  </si>
  <si>
    <t>drone, expands capacity</t>
  </si>
  <si>
    <t>dron, amplía capacidad</t>
  </si>
  <si>
    <t>Neutral technology-related news.</t>
  </si>
  <si>
    <t>Neutral (tecnología).</t>
  </si>
  <si>
    <r>
      <rPr>
        <rFont val="Arial, sans-serif"/>
        <color rgb="FF1155CC"/>
        <sz val="9.0"/>
        <u/>
      </rPr>
      <t>Cadena SER</t>
    </r>
    <r>
      <rPr>
        <rFont val="Arial, sans-serif"/>
        <color rgb="FF1155CC"/>
        <sz val="15.0"/>
        <u/>
      </rPr>
      <t>Una cena de estrellas y soles en Huesca para elevarse al cielo de la gastronomía</t>
    </r>
    <r>
      <rPr>
        <rFont val="Arial, sans-serif"/>
        <color rgb="FF1155CC"/>
        <sz val="11.0"/>
        <u/>
      </rPr>
      <t>Huesca. Una docena de chefs y maestros pasteleros y un menú de ensueño para mostrar lo mejor de la cocina aragonesa clásica y de vanguardia en una cena en...</t>
    </r>
    <r>
      <rPr>
        <rFont val="Arial, sans-serif"/>
        <color rgb="FF1155CC"/>
        <sz val="12.0"/>
        <u/>
      </rPr>
      <t>.</t>
    </r>
    <r>
      <rPr>
        <rFont val="Arial, sans-serif"/>
        <color rgb="FF1155CC"/>
        <sz val="11.0"/>
        <u/>
      </rPr>
      <t>18 oct 2024</t>
    </r>
  </si>
  <si>
    <t>Una cena de estrellas y soles en Huesca para elevarse al cielo de la gastronomía</t>
  </si>
  <si>
    <t>Una docena de chefs y maestros pasteleros y un menú de ensueño para mostrar lo mejor de la cocina aragonesa clásica y de vanguardia en una cena en....</t>
  </si>
  <si>
    <t>A dinner of stars and suns in Huesca to rise to the heaven of gastronomy</t>
  </si>
  <si>
    <t>A dozen chefs and pastry masters and a dream menu to showcase the best of classic and avant-garde Aragonese cuisine at a dinner at...</t>
  </si>
  <si>
    <r>
      <rPr>
        <rFont val="Arial, sans-serif"/>
        <color rgb="FF1155CC"/>
        <sz val="9.0"/>
        <u/>
      </rPr>
      <t>alimente.elconfidencial.com</t>
    </r>
    <r>
      <rPr>
        <rFont val="Arial, sans-serif"/>
        <color rgb="FF1155CC"/>
        <sz val="15.0"/>
        <u/>
      </rPr>
      <t>El restaurante favorito de Quique Dacosta para comer paella valenciana: a la brasa y por solo 26 euros por persona</t>
    </r>
    <r>
      <rPr>
        <rFont val="Arial, sans-serif"/>
        <color rgb="FF1155CC"/>
        <sz val="11.0"/>
        <u/>
      </rPr>
      <t>El prestigioso chef ha desvelado a la Guía Repsol cuáles son sus lugares favoritos para disfrutar de un buen desayuno, unas tapas o una paella valenciana.</t>
    </r>
    <r>
      <rPr>
        <rFont val="Arial, sans-serif"/>
        <color rgb="FF1155CC"/>
        <sz val="12.0"/>
        <u/>
      </rPr>
      <t>.</t>
    </r>
    <r>
      <rPr>
        <rFont val="Arial, sans-serif"/>
        <color rgb="FF1155CC"/>
        <sz val="11.0"/>
        <u/>
      </rPr>
      <t>18 oct 2024</t>
    </r>
  </si>
  <si>
    <t>El restaurante favorito de Quique Dacosta para comer paella valenciana: a la brasa y por solo 26 euros por persona</t>
  </si>
  <si>
    <t>El prestigioso chef ha desvelado a la Guía Repsol cuáles son sus lugares favoritos para disfrutar de un buen desayuno, unas tapas o una paella valenciana.</t>
  </si>
  <si>
    <t>Quique Dacosta's favorite restaurant to eat Valencian paella: grilled and for only 26 euros per person</t>
  </si>
  <si>
    <t>The prestigious chef has revealed to the Repsol Guide which are his favorite places to enjoy a good breakfast, some tapas or a Valencian paella.</t>
  </si>
  <si>
    <r>
      <rPr>
        <rFont val="Arial, sans-serif"/>
        <color rgb="FF1155CC"/>
        <sz val="9.0"/>
        <u/>
      </rPr>
      <t>Gestión</t>
    </r>
    <r>
      <rPr>
        <rFont val="Arial, sans-serif"/>
        <color rgb="FF1155CC"/>
        <sz val="15.0"/>
        <u/>
      </rPr>
      <t>REPSOL inaugura la ampliación de su Unidad de Gasolinas en Refinería la Pampilla</t>
    </r>
    <r>
      <rPr>
        <rFont val="Arial, sans-serif"/>
        <color rgb="FF1155CC"/>
        <sz val="11.0"/>
        <u/>
      </rPr>
      <t>Con la presencia de Jaime Fernández-Cuesta, Presidente Ejecutivo de REPSOL Perú, y la viceministra de Hidrocarburos, Iris Cárdenas, REPSOL inauguró la...</t>
    </r>
    <r>
      <rPr>
        <rFont val="Arial, sans-serif"/>
        <color rgb="FF1155CC"/>
        <sz val="12.0"/>
        <u/>
      </rPr>
      <t>.</t>
    </r>
    <r>
      <rPr>
        <rFont val="Arial, sans-serif"/>
        <color rgb="FF1155CC"/>
        <sz val="11.0"/>
        <u/>
      </rPr>
      <t>18 oct 2024</t>
    </r>
  </si>
  <si>
    <t>REPSOL inaugura la ampliación de su Unidad de Gasolinas en Refinería la Pampilla</t>
  </si>
  <si>
    <t>Con la presencia de Jaime Fernández-Cuesta, Presidente Ejecutivo de REPSOL Perú, y la viceministra de Hidrocarburos, Iris Cárdenas, REPSOL inauguró la....</t>
  </si>
  <si>
    <t>REPSOL inaugurates the expansion of its Gasoline Unit at the La Pampilla Refinery</t>
  </si>
  <si>
    <t>With the presence of Jaime Fernández-Cuesta, Executive President of REPSOL Peru, and the Vice Minister of Hydrocarbons, Iris Cárdenas, REPSOL inaugurated the....</t>
  </si>
  <si>
    <t>expands, inaugurates</t>
  </si>
  <si>
    <t>expande, inaugura</t>
  </si>
  <si>
    <t>Positive due to Repsol’s investment in fuel production.</t>
  </si>
  <si>
    <t>Hito operativo positivo.</t>
  </si>
  <si>
    <r>
      <rPr>
        <rFont val="Arial, sans-serif"/>
        <color rgb="FF1155CC"/>
        <sz val="9.0"/>
        <u/>
      </rPr>
      <t>Box Repsol</t>
    </r>
    <r>
      <rPr>
        <rFont val="Arial, sans-serif"/>
        <color rgb="FF1155CC"/>
        <sz val="15.0"/>
        <u/>
      </rPr>
      <t>Resultados de los entrenamientos del GP de Australia de MotoGP</t>
    </r>
    <r>
      <rPr>
        <rFont val="Arial, sans-serif"/>
        <color rgb="FF1155CC"/>
        <sz val="11.0"/>
        <u/>
      </rPr>
      <t>Marc Márquez lidera la primera jornada de MotoGP en Australia, en la que la lluvia ha obligado a cancelar la sesión matinal.</t>
    </r>
    <r>
      <rPr>
        <rFont val="Arial, sans-serif"/>
        <color rgb="FF1155CC"/>
        <sz val="12.0"/>
        <u/>
      </rPr>
      <t>.</t>
    </r>
    <r>
      <rPr>
        <rFont val="Arial, sans-serif"/>
        <color rgb="FF1155CC"/>
        <sz val="11.0"/>
        <u/>
      </rPr>
      <t>18 oct 2024</t>
    </r>
  </si>
  <si>
    <t>Marc Márquez lidera la primera jornada de MotoGP en Australia, en la que la lluvia ha obligado a cancelar la sesión matinal.</t>
  </si>
  <si>
    <t>Marc Márquez leads the first day of MotoGP in Australia, in which rain has forced the cancellation of the morning session.</t>
  </si>
  <si>
    <r>
      <rPr>
        <rFont val="Arial, sans-serif"/>
        <color rgb="FF1155CC"/>
        <sz val="9.0"/>
        <u/>
      </rPr>
      <t>El Comercio Perú</t>
    </r>
    <r>
      <rPr>
        <rFont val="Arial, sans-serif"/>
        <color rgb="FF1155CC"/>
        <sz val="15.0"/>
        <u/>
      </rPr>
      <t>Así será el Semillero de Fútbol Femenino de El Comercio, Repsol, Igma Sports | DEPORTE-TOTAL</t>
    </r>
    <r>
      <rPr>
        <rFont val="Arial, sans-serif"/>
        <color rgb="FF1155CC"/>
        <sz val="11.0"/>
        <u/>
      </rPr>
      <t>El Comercio, junto a Repsol e Igma Sports, organizarán uno de los eventos deportivos que promete reunir a los mejores proyectos del fútbol femenino.</t>
    </r>
    <r>
      <rPr>
        <rFont val="Arial, sans-serif"/>
        <color rgb="FF1155CC"/>
        <sz val="12.0"/>
        <u/>
      </rPr>
      <t>.</t>
    </r>
    <r>
      <rPr>
        <rFont val="Arial, sans-serif"/>
        <color rgb="FF1155CC"/>
        <sz val="11.0"/>
        <u/>
      </rPr>
      <t>18 oct 2024</t>
    </r>
  </si>
  <si>
    <t>Así será el Semillero de Fútbol Femenino de El Comercio, Repsol, Igma Sports</t>
  </si>
  <si>
    <t>El Comercio, junto a Repsol e Igma Sports, organizarán uno de los eventos deportivos que promete reunir a los mejores proyectos del fútbol femenino.</t>
  </si>
  <si>
    <t>This will be the Women's Soccer Hotbed of El Comercio, Repsol, Igma Sports</t>
  </si>
  <si>
    <t>El Comercio, together with Repsol and Igma Sports, will organize one of the sporting events that promises to bring together the best projects in women's football.</t>
  </si>
  <si>
    <r>
      <rPr>
        <rFont val="Arial, sans-serif"/>
        <color rgb="FF1155CC"/>
        <sz val="9.0"/>
        <u/>
      </rPr>
      <t>Guía Repsol</t>
    </r>
    <r>
      <rPr>
        <rFont val="Arial, sans-serif"/>
        <color rgb="FF1155CC"/>
        <sz val="15.0"/>
        <u/>
      </rPr>
      <t>Este bar de Valladolid sirve 100 toneladas de sepia al año</t>
    </r>
    <r>
      <rPr>
        <rFont val="Arial, sans-serif"/>
        <color rgb="FF1155CC"/>
        <sz val="11.0"/>
        <u/>
      </rPr>
      <t>El bar La Sepia, un clásico de Valladolid, cumple medio siglo con una receta sencilla y magistral: sepia a la plancha con alioli.</t>
    </r>
    <r>
      <rPr>
        <rFont val="Arial, sans-serif"/>
        <color rgb="FF1155CC"/>
        <sz val="12.0"/>
        <u/>
      </rPr>
      <t>.</t>
    </r>
    <r>
      <rPr>
        <rFont val="Arial, sans-serif"/>
        <color rgb="FF1155CC"/>
        <sz val="11.0"/>
        <u/>
      </rPr>
      <t>18 oct 2024</t>
    </r>
  </si>
  <si>
    <t>Este bar de Valladolid sirve 100 toneladas de sepia al año</t>
  </si>
  <si>
    <t>El bar La Sepia, un clásico de Valladolid, cumple medio siglo con una receta sencilla y magistral: sepia a la plancha con alioli.</t>
  </si>
  <si>
    <t>This bar in Valladolid serves 100 tons of cuttlefish a year</t>
  </si>
  <si>
    <t>The La Sepia bar, a classic in Valladolid, celebrates half a century with a simple and masterful recipe: grilled cuttlefish with aioli.</t>
  </si>
  <si>
    <r>
      <rPr>
        <rFont val="Arial, sans-serif"/>
        <color rgb="FF1155CC"/>
        <sz val="9.0"/>
        <u/>
      </rPr>
      <t>Revista ProActivo</t>
    </r>
    <r>
      <rPr>
        <rFont val="Arial, sans-serif"/>
        <color rgb="FF1155CC"/>
        <sz val="15.0"/>
        <u/>
      </rPr>
      <t>MINEM: Repsol en La Pampilla cumple hito de producir gasolina baja en azufre de 10 ppm (Exclusivo)</t>
    </r>
    <r>
      <rPr>
        <rFont val="Arial, sans-serif"/>
        <color rgb="FF1155CC"/>
        <sz val="11.0"/>
        <u/>
      </rPr>
      <t>Iris Cárdenas, viceministra de Hidrocarburos del Ministerio de Energía y Minas (MINEM), destacó que la ampliación de las Unidades de Producción de...</t>
    </r>
    <r>
      <rPr>
        <rFont val="Arial, sans-serif"/>
        <color rgb="FF1155CC"/>
        <sz val="12.0"/>
        <u/>
      </rPr>
      <t>.</t>
    </r>
    <r>
      <rPr>
        <rFont val="Arial, sans-serif"/>
        <color rgb="FF1155CC"/>
        <sz val="11.0"/>
        <u/>
      </rPr>
      <t>18 oct 2024</t>
    </r>
  </si>
  <si>
    <t>Repsol en La Pampilla cumple hito de producir gasolina baja en azufre de 10 ppm (Exclusivo)</t>
  </si>
  <si>
    <t>Iris Cárdenas, viceministra de Hidrocarburos del Ministerio de Energía y Minas (MINEM), destacó que la ampliación de las Unidades de Producción de....</t>
  </si>
  <si>
    <t>Repsol in La Pampilla meets the milestone of producing 10 ppm low sulfur gasoline (Exclusive)</t>
  </si>
  <si>
    <t>Iris Cárdenas, Vice Minister of Hydrocarbons of the Ministry of Energy and Mines (MINEM), highlighted that the expansion of the Production Units of...</t>
  </si>
  <si>
    <t>milestone, low sulfur, environmental</t>
  </si>
  <si>
    <t>hito, bajo contenido de azufre, ambiental</t>
  </si>
  <si>
    <t>Positive due to environmental progress and cleaner fuel.</t>
  </si>
  <si>
    <t>hito, "baja en azufre"</t>
  </si>
  <si>
    <t>Avance ambiental positivo.</t>
  </si>
  <si>
    <r>
      <rPr>
        <rFont val="Arial, sans-serif"/>
        <color rgb="FF1155CC"/>
        <sz val="9.0"/>
        <u/>
      </rPr>
      <t>Box Repsol</t>
    </r>
    <r>
      <rPr>
        <rFont val="Arial, sans-serif"/>
        <color rgb="FF1155CC"/>
        <sz val="15.0"/>
        <u/>
      </rPr>
      <t>Resultados de la clasificación del GP de Australia de MotoGP</t>
    </r>
    <r>
      <rPr>
        <rFont val="Arial, sans-serif"/>
        <color rgb="FF1155CC"/>
        <sz val="11.0"/>
        <u/>
      </rPr>
      <t>Los entrenamientos cronometrados del Gran Premio de Australia han terminado con una nueva exhibición de Jorge Martín, el piloto más rápido de la parrilla de...</t>
    </r>
    <r>
      <rPr>
        <rFont val="Arial, sans-serif"/>
        <color rgb="FF1155CC"/>
        <sz val="12.0"/>
        <u/>
      </rPr>
      <t>.</t>
    </r>
    <r>
      <rPr>
        <rFont val="Arial, sans-serif"/>
        <color rgb="FF1155CC"/>
        <sz val="11.0"/>
        <u/>
      </rPr>
      <t>18 oct 2024</t>
    </r>
  </si>
  <si>
    <t>Resultados de la clasificación del GP de Australia de MotoGP</t>
  </si>
  <si>
    <t>Los entrenamientos cronometrados del Gran Premio de Australia han terminado con una nueva exhibición de Jorge Martín, el piloto más rápido de la parrilla de....</t>
  </si>
  <si>
    <t>MotoGP Australian GP qualifying results</t>
  </si>
  <si>
    <t>The qualifying practice for the Australian Grand Prix has ended with a new performance by Jorge Martín, the fastest driver on the grid....</t>
  </si>
  <si>
    <r>
      <rPr>
        <rFont val="Arial, sans-serif"/>
        <color rgb="FF1155CC"/>
        <sz val="9.0"/>
        <u/>
      </rPr>
      <t>Europa Press</t>
    </r>
    <r>
      <rPr>
        <rFont val="Arial, sans-serif"/>
        <color rgb="FF1155CC"/>
        <sz val="15.0"/>
        <u/>
      </rPr>
      <t>Repsol cuenta en Euskadi con casi 70 estaciones de servicio con combustible 100% renovable</t>
    </r>
    <r>
      <rPr>
        <rFont val="Arial, sans-serif"/>
        <color rgb="FF1155CC"/>
        <sz val="11.0"/>
        <u/>
      </rPr>
      <t>Destaca que la planta demo de combustible sintético en el Puerto de Bilbao, prevista en 2026, será un hito...</t>
    </r>
    <r>
      <rPr>
        <rFont val="Arial, sans-serif"/>
        <color rgb="FF1155CC"/>
        <sz val="12.0"/>
        <u/>
      </rPr>
      <t>.</t>
    </r>
    <r>
      <rPr>
        <rFont val="Arial, sans-serif"/>
        <color rgb="FF1155CC"/>
        <sz val="11.0"/>
        <u/>
      </rPr>
      <t>19 oct 2024</t>
    </r>
  </si>
  <si>
    <t>Repsol cuenta en Euskadi con casi 70 estaciones de servicio con combustible 100% renovable</t>
  </si>
  <si>
    <t>Destaca que la planta demo de combustible sintético en el Puerto de Bilbao, prevista en 2026, será un hito....</t>
  </si>
  <si>
    <t>Repsol has almost 70 service stations in the Basque Country with 100% renewable fuel</t>
  </si>
  <si>
    <t>It stands out that the synthetic fuel demo plant in the Port of Bilbao, scheduled for 2026, will be a milestone....</t>
  </si>
  <si>
    <t>100% renewable fuel, expansion</t>
  </si>
  <si>
    <t>Combustible 100% renovable, expansión</t>
  </si>
  <si>
    <t>Strongly positive as it aligns with sustainability trends.</t>
  </si>
  <si>
    <t>100% renovable</t>
  </si>
  <si>
    <t>Sostenibilidad destacada.</t>
  </si>
  <si>
    <r>
      <rPr>
        <rFont val="Arial, sans-serif"/>
        <color rgb="FF1155CC"/>
        <sz val="9.0"/>
        <u/>
      </rPr>
      <t>tele7.tv</t>
    </r>
    <r>
      <rPr>
        <rFont val="Arial, sans-serif"/>
        <color rgb="FF1155CC"/>
        <sz val="15.0"/>
        <u/>
      </rPr>
      <t>Repsol Technology Lab, cuna de los combustibles renovables</t>
    </r>
    <r>
      <rPr>
        <rFont val="Arial, sans-serif"/>
        <color rgb="FF1155CC"/>
        <sz val="11.0"/>
        <u/>
      </rPr>
      <t>TELE7 ha visitado en Madrid el epicentro de la innovación de la compañía REPSOL.Repsol Technology Lab es el centro de investigación privado más grande del...</t>
    </r>
    <r>
      <rPr>
        <rFont val="Arial, sans-serif"/>
        <color rgb="FF1155CC"/>
        <sz val="12.0"/>
        <u/>
      </rPr>
      <t>.</t>
    </r>
    <r>
      <rPr>
        <rFont val="Arial, sans-serif"/>
        <color rgb="FF1155CC"/>
        <sz val="11.0"/>
        <u/>
      </rPr>
      <t>19 oct 2024</t>
    </r>
  </si>
  <si>
    <t>Repsol Technology Lab, cuna de los combustibles renovables</t>
  </si>
  <si>
    <t>Repsol Technology Lab es el centro de investigación privado más grande del....</t>
  </si>
  <si>
    <t>Repsol Technology Lab, cradle of renewable fuels</t>
  </si>
  <si>
    <t>Repsol Technology Lab is the largest private research center in the...</t>
  </si>
  <si>
    <t>innovation, renewable fuels</t>
  </si>
  <si>
    <t>innovación, combustibles renovables</t>
  </si>
  <si>
    <t>Repsol’s commitment to R&amp;D in sustainable energy is viewed positively.</t>
  </si>
  <si>
    <t>Innovación tecnológica positiva.</t>
  </si>
  <si>
    <r>
      <rPr>
        <rFont val="Arial, sans-serif"/>
        <color rgb="FF1155CC"/>
        <sz val="9.0"/>
        <u/>
      </rPr>
      <t>CapitalMadrid</t>
    </r>
    <r>
      <rPr>
        <rFont val="Arial, sans-serif"/>
        <color rgb="FF1155CC"/>
        <sz val="15.0"/>
        <u/>
      </rPr>
      <t>Repsol acelera las negociaicones con Aramco para la venta de parte de sus renovables</t>
    </r>
    <r>
      <rPr>
        <rFont val="Arial, sans-serif"/>
        <color rgb="FF1155CC"/>
        <sz val="11.0"/>
        <u/>
      </rPr>
      <t>La española Repsol y el gigante saudí Aramco han acelerado las negociaciones -conocidas allá por el mes de junio- para cerrar la venta de una participación...</t>
    </r>
    <r>
      <rPr>
        <rFont val="Arial, sans-serif"/>
        <color rgb="FF1155CC"/>
        <sz val="12.0"/>
        <u/>
      </rPr>
      <t>.</t>
    </r>
    <r>
      <rPr>
        <rFont val="Arial, sans-serif"/>
        <color rgb="FF1155CC"/>
        <sz val="11.0"/>
        <u/>
      </rPr>
      <t>19 oct 2024</t>
    </r>
  </si>
  <si>
    <t>Repsol acelera las negociaciones con Aramco para la venta de parte de sus renovables</t>
  </si>
  <si>
    <t>La española Repsol y el gigante saudí Aramco han acelerado las negociaciones -conocidas allá por el mes de junio- para cerrar la venta de una participación....</t>
  </si>
  <si>
    <t>Repsol accelerates negotiations with Aramco for the sale of part of its renewables</t>
  </si>
  <si>
    <t>The Spanish Repsol and the Saudi giant Aramco have accelerated the negotiations - known back in June - to close the sale of a stake....</t>
  </si>
  <si>
    <t>negotiations, sale, renewables</t>
  </si>
  <si>
    <t>negociaciones, venta, renovables</t>
  </si>
  <si>
    <t>Mixed but slightly positive as it signals strategic growth.</t>
  </si>
  <si>
    <t>acelera negociaciones</t>
  </si>
  <si>
    <r>
      <rPr>
        <rFont val="Arial, sans-serif"/>
        <color rgb="FF1155CC"/>
        <sz val="9.0"/>
        <u/>
      </rPr>
      <t>Crónica Vasca</t>
    </r>
    <r>
      <rPr>
        <rFont val="Arial, sans-serif"/>
        <color rgb="FF1155CC"/>
        <sz val="15.0"/>
        <u/>
      </rPr>
      <t>Avanzan las obras de la planta de combustibles sintéticos de Repsol, en el Puerto de Bilbao</t>
    </r>
    <r>
      <rPr>
        <rFont val="Arial, sans-serif"/>
        <color rgb="FF1155CC"/>
        <sz val="11.0"/>
        <u/>
      </rPr>
      <t>La planta de combustibles sintéticos de Bilbao "va a ser un hito muy importante" porque va a ser la primera planta de combustibles sintéticos que Repsol...</t>
    </r>
    <r>
      <rPr>
        <rFont val="Arial, sans-serif"/>
        <color rgb="FF1155CC"/>
        <sz val="12.0"/>
        <u/>
      </rPr>
      <t>.</t>
    </r>
    <r>
      <rPr>
        <rFont val="Arial, sans-serif"/>
        <color rgb="FF1155CC"/>
        <sz val="11.0"/>
        <u/>
      </rPr>
      <t>19 oct 2024</t>
    </r>
  </si>
  <si>
    <t>Avanzan las obras de la planta de combustibles sintéticos de Repsol, en el Puerto de Bilbao</t>
  </si>
  <si>
    <t>La planta de combustibles sintéticos de Bilbao "va a ser un hito muy importante" porque va a ser la primera planta de combustibles sintéticos que Repsol....</t>
  </si>
  <si>
    <t>Work progresses on the Repsol synthetic fuel plant in the Port of Bilbao</t>
  </si>
  <si>
    <t>The Bilbao synthetic fuels plant "is going to be a very important milestone" because it will be the first synthetic fuels plant that Repsol...</t>
  </si>
  <si>
    <t>progress, synthetic fuel</t>
  </si>
  <si>
    <t>progreso, combustible sintético</t>
  </si>
  <si>
    <t>Positive as synthetic fuels contribute to future energy solutions.</t>
  </si>
  <si>
    <t>avanzan obras</t>
  </si>
  <si>
    <t>Progreso en proyectos verdes.</t>
  </si>
  <si>
    <r>
      <rPr>
        <rFont val="Arial, sans-serif"/>
        <color rgb="FF1155CC"/>
        <sz val="9.0"/>
        <u/>
      </rPr>
      <t>Huelva 24</t>
    </r>
    <r>
      <rPr>
        <rFont val="Arial, sans-serif"/>
        <color rgb="FF1155CC"/>
        <sz val="15.0"/>
        <u/>
      </rPr>
      <t>El mejor hotel para hacer una escapada en otoño según la Guía Repsol se encuentra en Huelva</t>
    </r>
    <r>
      <rPr>
        <rFont val="Arial, sans-serif"/>
        <color rgb="FF1155CC"/>
        <sz val="11.0"/>
        <u/>
      </rPr>
      <t>Con la llegada del otoño lo hacen también las escapadas de fin de semana a la sierra. Y, según la reconocida Guía Repsol, la de Huelva alberga uno de los...</t>
    </r>
    <r>
      <rPr>
        <rFont val="Arial, sans-serif"/>
        <color rgb="FF1155CC"/>
        <sz val="12.0"/>
        <u/>
      </rPr>
      <t>.</t>
    </r>
    <r>
      <rPr>
        <rFont val="Arial, sans-serif"/>
        <color rgb="FF1155CC"/>
        <sz val="11.0"/>
        <u/>
      </rPr>
      <t>19 oct 2024</t>
    </r>
  </si>
  <si>
    <t>El mejor hotel para hacer una escapada en otoño según la Guía Repsol se encuentra en Huelva</t>
  </si>
  <si>
    <t>Con la llegada del otoño lo hacen también las escapadas de fin de semana a la sierra. Y, según la reconocida Guía Repsol, la de Huelva alberga uno de los....</t>
  </si>
  <si>
    <t>The best hotel for a getaway in autumn according to the Repsol Guide is located in Huelva</t>
  </si>
  <si>
    <t>With the arrival of autumn, so do weekend getaways to the mountains. And, according to the renowned Repsol Guide, Huelva is home to one of the...</t>
  </si>
  <si>
    <r>
      <rPr>
        <rFont val="Arial, sans-serif"/>
        <color rgb="FF1155CC"/>
        <sz val="9.0"/>
        <u/>
      </rPr>
      <t>Box Repsol</t>
    </r>
    <r>
      <rPr>
        <rFont val="Arial, sans-serif"/>
        <color rgb="FF1155CC"/>
        <sz val="15.0"/>
        <u/>
      </rPr>
      <t>Resultados de la carrera sprint del GP de Australia de MotoGP</t>
    </r>
    <r>
      <rPr>
        <rFont val="Arial, sans-serif"/>
        <color rgb="FF1155CC"/>
        <sz val="11.0"/>
        <u/>
      </rPr>
      <t>La primera carrera del Gran Premio de Australia, la carrera sprint de MotoGP, ha visto un nuevo triunfo del líder del Mundial, Jorge Martín.</t>
    </r>
    <r>
      <rPr>
        <rFont val="Arial, sans-serif"/>
        <color rgb="FF1155CC"/>
        <sz val="12.0"/>
        <u/>
      </rPr>
      <t>.</t>
    </r>
    <r>
      <rPr>
        <rFont val="Arial, sans-serif"/>
        <color rgb="FF1155CC"/>
        <sz val="11.0"/>
        <u/>
      </rPr>
      <t>19 oct 2024</t>
    </r>
  </si>
  <si>
    <t>Resultados de la carrera sprint del GP de Australia de MotoGP</t>
  </si>
  <si>
    <t>La primera carrera del Gran Premio de Australia, la carrera sprint de MotoGP, ha visto un nuevo triunfo del líder del Mundial, Jorge Martín.</t>
  </si>
  <si>
    <t>MotoGP Australian GP sprint race results</t>
  </si>
  <si>
    <t>The first race of the Australian Grand Prix, the MotoGP sprint race, has seen a new victory for the World Championship leader, Jorge Martín.</t>
  </si>
  <si>
    <r>
      <rPr>
        <rFont val="Arial, sans-serif"/>
        <color rgb="FF1155CC"/>
        <sz val="9.0"/>
        <u/>
      </rPr>
      <t>La Vanguardia</t>
    </r>
    <r>
      <rPr>
        <rFont val="Arial, sans-serif"/>
        <color rgb="FF1155CC"/>
        <sz val="15.0"/>
        <u/>
      </rPr>
      <t>Las energéticas, en pie de guerra por la permanencia del impuesto especial</t>
    </r>
    <r>
      <rPr>
        <rFont val="Arial, sans-serif"/>
        <color rgb="FF1155CC"/>
        <sz val="11.0"/>
        <u/>
      </rPr>
      <t>El plan de ajuste fiscal que el Gobierno ha remitido a Bruselas esta semana ha vuelto a tensionar a las principales empresas energéticas del país.</t>
    </r>
    <r>
      <rPr>
        <rFont val="Arial, sans-serif"/>
        <color rgb="FF1155CC"/>
        <sz val="12.0"/>
        <u/>
      </rPr>
      <t>.</t>
    </r>
    <r>
      <rPr>
        <rFont val="Arial, sans-serif"/>
        <color rgb="FF1155CC"/>
        <sz val="11.0"/>
        <u/>
      </rPr>
      <t>19 oct 2024</t>
    </r>
  </si>
  <si>
    <t>Las energéticas, en pie de guerra por la permanencia del impuesto especial</t>
  </si>
  <si>
    <t>El plan de ajuste fiscal que el Gobierno ha remitido a Bruselas esta semana ha vuelto a tensionar a las principales empresas energéticas del país.</t>
  </si>
  <si>
    <t>Energy companies, on the warpath for the permanence of the special tax</t>
  </si>
  <si>
    <t>The fiscal adjustment plan that the Government has sent to Brussels this week has once again put stress on the country's main energy companies.</t>
  </si>
  <si>
    <t>warpath, oppose tax</t>
  </si>
  <si>
    <t>sentido de guerra, oponerse a los impuestos</t>
  </si>
  <si>
    <t>Negative due to conflicts with government policies.</t>
  </si>
  <si>
    <t>Presión fiscal negativa.</t>
  </si>
  <si>
    <r>
      <rPr>
        <rFont val="Arial, sans-serif"/>
        <color rgb="FF1155CC"/>
        <sz val="9.0"/>
        <u/>
      </rPr>
      <t>El Español</t>
    </r>
    <r>
      <rPr>
        <rFont val="Arial, sans-serif"/>
        <color rgb="FF1155CC"/>
        <sz val="15.0"/>
        <u/>
      </rPr>
      <t>De queso y hasta de morcilla, el local de Valencia donde disfrutar la mejor tortilla de patata, según la Guía Repsol</t>
    </r>
    <r>
      <rPr>
        <rFont val="Arial, sans-serif"/>
        <color rgb="FF1155CC"/>
        <sz val="11.0"/>
        <u/>
      </rPr>
      <t>La guía gastronómica ha seleccionado algunos restaurantes de España donde disfrutar de platos míticos "sin equivocarse". Más información: Ni en Betanzos ni...</t>
    </r>
    <r>
      <rPr>
        <rFont val="Arial, sans-serif"/>
        <color rgb="FF1155CC"/>
        <sz val="12.0"/>
        <u/>
      </rPr>
      <t>.</t>
    </r>
    <r>
      <rPr>
        <rFont val="Arial, sans-serif"/>
        <color rgb="FF1155CC"/>
        <sz val="11.0"/>
        <u/>
      </rPr>
      <t>19 oct 2024</t>
    </r>
  </si>
  <si>
    <t>De queso y hasta de morcilla, el local de Valencia donde disfrutar la mejor tortilla de patata, según la Guía Repsol</t>
  </si>
  <si>
    <t>La guía gastronómica ha seleccionado algunos restaurantes de España donde disfrutar de platos míticos "sin equivocarse".</t>
  </si>
  <si>
    <t>Cheese and even blood sausage, the place in Valencia where you can enjoy the best potato omelette, according to the Repsol Guide</t>
  </si>
  <si>
    <t>The gastronomic guide has selected some restaurants in Spain where you can enjoy legendary dishes "without making mistakes."</t>
  </si>
  <si>
    <r>
      <rPr>
        <rFont val="Arial, sans-serif"/>
        <color rgb="FF1155CC"/>
        <sz val="9.0"/>
        <u/>
      </rPr>
      <t>Car and Driver</t>
    </r>
    <r>
      <rPr>
        <rFont val="Arial, sans-serif"/>
        <color rgb="FF1155CC"/>
        <sz val="15.0"/>
        <u/>
      </rPr>
      <t>Guanyu Zhou no levanta cabeza: sanción tras la clasificación ‘sprint’ del GP de EEUU</t>
    </r>
    <r>
      <rPr>
        <rFont val="Arial, sans-serif"/>
        <color rgb="FF1155CC"/>
        <sz val="11.0"/>
        <u/>
      </rPr>
      <t>El piloto chino tendrá aún más complicado destacar en el Circuito de las Américas tras tener que afrontar una sanción en la parrilla de salida.</t>
    </r>
    <r>
      <rPr>
        <rFont val="Arial, sans-serif"/>
        <color rgb="FF1155CC"/>
        <sz val="12.0"/>
        <u/>
      </rPr>
      <t>.</t>
    </r>
    <r>
      <rPr>
        <rFont val="Arial, sans-serif"/>
        <color rgb="FF1155CC"/>
        <sz val="11.0"/>
        <u/>
      </rPr>
      <t>19 oct 2024</t>
    </r>
  </si>
  <si>
    <t>Guanyu Zhou no levanta cabeza: sanción tras la clasificación ‘sprint’ del GP de EEUU</t>
  </si>
  <si>
    <t>El piloto chino tendrá aún más complicado destacar en el Circuito de las Américas tras tener que afrontar una sanción en la parrilla de salida.</t>
  </si>
  <si>
    <t>Guanyu Zhou does not raise his head: sanction after the 'sprint' classification of the US GP</t>
  </si>
  <si>
    <t>The Chinese driver will have an even more difficult time standing out at the Circuit of the Americas after having to face a penalty on the starting grid.</t>
  </si>
  <si>
    <r>
      <rPr>
        <rFont val="Arial, sans-serif"/>
        <color rgb="FF1155CC"/>
        <sz val="9.0"/>
        <u/>
      </rPr>
      <t>Car and Driver</t>
    </r>
    <r>
      <rPr>
        <rFont val="Arial, sans-serif"/>
        <color rgb="FF1155CC"/>
        <sz val="15.0"/>
        <u/>
      </rPr>
      <t>La FIA monta una reunión de pilotos en Austin y deja fuera a Franco Colapinto y Alex Albon</t>
    </r>
    <r>
      <rPr>
        <rFont val="Arial, sans-serif"/>
        <color rgb="FF1155CC"/>
        <sz val="11.0"/>
        <u/>
      </rPr>
      <t>Los pilotos de Williams no pudieron asistir a la reunión capitaneada por el director de carrera de la Fórmula 1.</t>
    </r>
    <r>
      <rPr>
        <rFont val="Arial, sans-serif"/>
        <color rgb="FF1155CC"/>
        <sz val="12.0"/>
        <u/>
      </rPr>
      <t>.</t>
    </r>
    <r>
      <rPr>
        <rFont val="Arial, sans-serif"/>
        <color rgb="FF1155CC"/>
        <sz val="11.0"/>
        <u/>
      </rPr>
      <t>19 oct 2024</t>
    </r>
  </si>
  <si>
    <t>La FIA monta una reunión de pilotos en Austin y deja fuera a Franco Colapinto y Alex Albon</t>
  </si>
  <si>
    <t>Los pilotos de Williams no pudieron asistir a la reunión capitaneada por el director de carrera de la Fórmula 1.</t>
  </si>
  <si>
    <t>The FIA ​​holds a drivers' meeting in Austin and leaves out Franco Colapinto and Alex Albon</t>
  </si>
  <si>
    <t>The Williams drivers were unable to attend the meeting led by the Formula 1 race director.</t>
  </si>
  <si>
    <r>
      <rPr>
        <rFont val="Arial, sans-serif"/>
        <color rgb="FF1155CC"/>
        <sz val="9.0"/>
        <u/>
      </rPr>
      <t>El Mundo</t>
    </r>
    <r>
      <rPr>
        <rFont val="Arial, sans-serif"/>
        <color rgb="FF1155CC"/>
        <sz val="15.0"/>
        <u/>
      </rPr>
      <t>Repsol se planta ante el Gobierno por el 'impuestazo' y decide trasladar ya a Portugal un primer proyecto de inversión 'verde'</t>
    </r>
    <r>
      <rPr>
        <rFont val="Arial, sans-serif"/>
        <color rgb="FF1155CC"/>
        <sz val="11.0"/>
        <u/>
      </rPr>
      <t>El anuncio del ministro de Economía, Carlos Cuerpo, de que se va a perpetuar el impuesto a las empresas energéticas -para intentar cuadrar cuentas en el...</t>
    </r>
    <r>
      <rPr>
        <rFont val="Arial, sans-serif"/>
        <color rgb="FF1155CC"/>
        <sz val="12.0"/>
        <u/>
      </rPr>
      <t>.</t>
    </r>
    <r>
      <rPr>
        <rFont val="Arial, sans-serif"/>
        <color rgb="FF1155CC"/>
        <sz val="11.0"/>
        <u/>
      </rPr>
      <t>20 oct 2024</t>
    </r>
  </si>
  <si>
    <t>Repsol se planta ante el Gobierno por el 'impuestazo' y decide trasladar ya a Portugal un primer proyecto de inversión 'verde'</t>
  </si>
  <si>
    <t>Repsol se planta ante el Gobierno por el 'impuestazo' y decide trasladar ya a Portugal un primer proyecto de inversión 'verde'.</t>
  </si>
  <si>
    <t>Repsol stands before the Government for the 'tax' and decides to transfer its first 'green' investment project to Portugal</t>
  </si>
  <si>
    <t>Repsol stands before the Government for the 'tax' and decides to transfer its first 'green' investment project to Portugal.</t>
  </si>
  <si>
    <t>stands before Government, transfer, green investment</t>
  </si>
  <si>
    <t>se presenta ante Gobierno, transferencia, inversión verde</t>
  </si>
  <si>
    <t>Negative as it suggests tension with the government and relocation of investment.</t>
  </si>
  <si>
    <t>impuestazo, "trasladar"</t>
  </si>
  <si>
    <t>Conflicto regulatorio y fuga de inversión.</t>
  </si>
  <si>
    <r>
      <rPr>
        <rFont val="Arial, sans-serif"/>
        <color rgb="FF1155CC"/>
        <sz val="9.0"/>
        <u/>
      </rPr>
      <t>Guía Repsol</t>
    </r>
    <r>
      <rPr>
        <rFont val="Arial, sans-serif"/>
        <color rgb="FF1155CC"/>
        <sz val="15.0"/>
        <u/>
      </rPr>
      <t>Cocineros de todos los rincones de España llenarán la Comunidad Valenciana</t>
    </r>
    <r>
      <rPr>
        <rFont val="Arial, sans-serif"/>
        <color rgb="FF1155CC"/>
        <sz val="11.0"/>
        <u/>
      </rPr>
      <t>Guia Repsol.</t>
    </r>
    <r>
      <rPr>
        <rFont val="Arial, sans-serif"/>
        <color rgb="FF1155CC"/>
        <sz val="12.0"/>
        <u/>
      </rPr>
      <t>.</t>
    </r>
    <r>
      <rPr>
        <rFont val="Arial, sans-serif"/>
        <color rgb="FF1155CC"/>
        <sz val="11.0"/>
        <u/>
      </rPr>
      <t>20 oct 2024</t>
    </r>
  </si>
  <si>
    <t>Cocineros de todos los rincones de España llenarán la Comunidad Valenciana</t>
  </si>
  <si>
    <t>Chefs from all corners of Spain will fill the Valencian Community</t>
  </si>
  <si>
    <r>
      <rPr>
        <rFont val="Arial, sans-serif"/>
        <color rgb="FF1155CC"/>
        <sz val="9.0"/>
        <u/>
      </rPr>
      <t>El Confidencial</t>
    </r>
    <r>
      <rPr>
        <rFont val="Arial, sans-serif"/>
        <color rgb="FF1155CC"/>
        <sz val="15.0"/>
        <u/>
      </rPr>
      <t>Iberdrola y Repsol chocan por la cronificación del 'impuestazo' y crean un dilema al PNV</t>
    </r>
    <r>
      <rPr>
        <rFont val="Arial, sans-serif"/>
        <color rgb="FF1155CC"/>
        <sz val="11.0"/>
        <u/>
      </rPr>
      <t>La eléctrica busca encontrar un impuesto que sólo afecte a petroleras y gasistas. La petrolera se opone por completo a esta evolución del gravamen y...</t>
    </r>
    <r>
      <rPr>
        <rFont val="Arial, sans-serif"/>
        <color rgb="FF1155CC"/>
        <sz val="12.0"/>
        <u/>
      </rPr>
      <t>.</t>
    </r>
    <r>
      <rPr>
        <rFont val="Arial, sans-serif"/>
        <color rgb="FF1155CC"/>
        <sz val="11.0"/>
        <u/>
      </rPr>
      <t>20 oct 2024</t>
    </r>
  </si>
  <si>
    <t>Iberdrola y Repsol chocan por la cronificación del 'impuestazo' y crean un dilema al PNV</t>
  </si>
  <si>
    <t>La eléctrica busca encontrar un impuesto que sólo afecte a petroleras y gasistas. La petrolera se opone por completo a esta evolución del gravamen y....</t>
  </si>
  <si>
    <t>Iberdrola and Repsol clash over the chronification of the 'tax' and create a dilemma for the PNV</t>
  </si>
  <si>
    <t>The electricity company seeks to find a tax that only affects oil and gas companies. The oil company is completely opposed to this evolution of the tax and...</t>
  </si>
  <si>
    <t>clash, dilemma, tax dispute</t>
  </si>
  <si>
    <t>choque, dilema, disputa fiscal</t>
  </si>
  <si>
    <t>Negative due to perceived instability and industry conflict.</t>
  </si>
  <si>
    <t>impuestazo, "chocan"</t>
  </si>
  <si>
    <t>Tensión política y fiscal.</t>
  </si>
  <si>
    <r>
      <rPr>
        <rFont val="Arial, sans-serif"/>
        <color rgb="FF1155CC"/>
        <sz val="9.0"/>
        <u/>
      </rPr>
      <t>ELLE</t>
    </r>
    <r>
      <rPr>
        <rFont val="Arial, sans-serif"/>
        <color rgb="FF1155CC"/>
        <sz val="15.0"/>
        <u/>
      </rPr>
      <t>El restaurante con Sol Repsol en Jaén que eleva la cocina local a alta gastronomía a un precio asequible y arrasa en valoraciones en Google</t>
    </r>
    <r>
      <rPr>
        <rFont val="Arial, sans-serif"/>
        <color rgb="FF1155CC"/>
        <sz val="11.0"/>
        <u/>
      </rPr>
      <t>Casa Antonio en Jaén, el restaurante castizo que eleva la gastronomía local a alta cocina. Es asequible y arrasa con valoraciones en Google con 4,5 sobre 5.</t>
    </r>
    <r>
      <rPr>
        <rFont val="Arial, sans-serif"/>
        <color rgb="FF1155CC"/>
        <sz val="12.0"/>
        <u/>
      </rPr>
      <t>.</t>
    </r>
    <r>
      <rPr>
        <rFont val="Arial, sans-serif"/>
        <color rgb="FF1155CC"/>
        <sz val="11.0"/>
        <u/>
      </rPr>
      <t>20 oct 2024</t>
    </r>
  </si>
  <si>
    <t>El restaurante con Sol Repsol en Jaén que eleva la cocina local a alta gastronomía a un precio asequible y arrasa en valoraciones en Google.</t>
  </si>
  <si>
    <t>The restaurant with Sol Repsol in Jaén that elevates local cuisine to haute cuisine at an affordable price and sweeps Google ratings.</t>
  </si>
  <si>
    <t>Gastronomy-related, no impact on Repsol’s image.</t>
  </si>
  <si>
    <r>
      <rPr>
        <rFont val="Arial, sans-serif"/>
        <color rgb="FF1155CC"/>
        <sz val="9.0"/>
        <u/>
      </rPr>
      <t>Box Repsol</t>
    </r>
    <r>
      <rPr>
        <rFont val="Arial, sans-serif"/>
        <color rgb="FF1155CC"/>
        <sz val="15.0"/>
        <u/>
      </rPr>
      <t>Resultados del GP de Australia de MotoGP</t>
    </r>
    <r>
      <rPr>
        <rFont val="Arial, sans-serif"/>
        <color rgb="FF1155CC"/>
        <sz val="11.0"/>
        <u/>
      </rPr>
      <t>Crónica y resultados la carrera principal del GP de Australia de MotoGP 2024, celebrado en Phillip Island.</t>
    </r>
    <r>
      <rPr>
        <rFont val="Arial, sans-serif"/>
        <color rgb="FF1155CC"/>
        <sz val="12.0"/>
        <u/>
      </rPr>
      <t>.</t>
    </r>
    <r>
      <rPr>
        <rFont val="Arial, sans-serif"/>
        <color rgb="FF1155CC"/>
        <sz val="11.0"/>
        <u/>
      </rPr>
      <t>20 oct 2024</t>
    </r>
  </si>
  <si>
    <t>Resultados del GP de Australia de MotoGP</t>
  </si>
  <si>
    <t>Crónica y resultados la carrera principal del GP de Australia de MotoGP 2024, celebrado en Phillip Island.</t>
  </si>
  <si>
    <t>MotoGP Australian GP results</t>
  </si>
  <si>
    <t>Chronicle and results of the main race of the 2024 MotoGP Australian GP, ​​held at Phillip Island.</t>
  </si>
  <si>
    <t>Motorsport-related, no impact on Repsol’s corporate image.</t>
  </si>
  <si>
    <r>
      <rPr>
        <rFont val="Arial, sans-serif"/>
        <color rgb="FF1155CC"/>
        <sz val="9.0"/>
        <u/>
      </rPr>
      <t>Car and Driver</t>
    </r>
    <r>
      <rPr>
        <rFont val="Arial, sans-serif"/>
        <color rgb="FF1155CC"/>
        <sz val="15.0"/>
        <u/>
      </rPr>
      <t>Lando Norris lanza una pullita a la FIA tras su polémica sanción con Max Verstappen: "No hago las normas"</t>
    </r>
    <r>
      <rPr>
        <rFont val="Arial, sans-serif"/>
        <color rgb="FF1155CC"/>
        <sz val="11.0"/>
        <u/>
      </rPr>
      <t>El británico ha terminado 4º tras una carrera en la que se ha visto marcado por la acción polémica con Max Verstappen.</t>
    </r>
    <r>
      <rPr>
        <rFont val="Arial, sans-serif"/>
        <color rgb="FF1155CC"/>
        <sz val="12.0"/>
        <u/>
      </rPr>
      <t>.</t>
    </r>
    <r>
      <rPr>
        <rFont val="Arial, sans-serif"/>
        <color rgb="FF1155CC"/>
        <sz val="11.0"/>
        <u/>
      </rPr>
      <t>20 oct 2024</t>
    </r>
  </si>
  <si>
    <t>Lando Norris lanza una pullita a la FIA tras su polémica sanción con Max Verstappen: "No hago las normas"</t>
  </si>
  <si>
    <t>El británico ha terminado 4º tras una carrera en la que se ha visto marcado por la acción polémica con Max Verstappen.</t>
  </si>
  <si>
    <t>Lando Norris takes a swipe at the FIA ​​after his controversial sanction with Max Verstappen: "I don't make the rules"</t>
  </si>
  <si>
    <t>The Briton finished 4th after a race in which he was marked by the controversial action with Max Verstappen.</t>
  </si>
  <si>
    <t>Motorsport-related, no relevance to Repsol.</t>
  </si>
  <si>
    <r>
      <rPr>
        <rFont val="Arial, sans-serif"/>
        <color rgb="FF1155CC"/>
        <sz val="9.0"/>
        <u/>
      </rPr>
      <t>20Minutos</t>
    </r>
    <r>
      <rPr>
        <rFont val="Arial, sans-serif"/>
        <color rgb="FF1155CC"/>
        <sz val="15.0"/>
        <u/>
      </rPr>
      <t>Este es el pueblo de Guadalajara donde mejor se come, según National Geographic</t>
    </r>
    <r>
      <rPr>
        <rFont val="Arial, sans-serif"/>
        <color rgb="FF1155CC"/>
        <sz val="11.0"/>
        <u/>
      </rPr>
      <t>La reconocida revista ha publicado un ranking con los 18 mejores pueblos de España a los que ir a comer, y en el séptimo puesto se encuentra Sigüenza...</t>
    </r>
    <r>
      <rPr>
        <rFont val="Arial, sans-serif"/>
        <color rgb="FF1155CC"/>
        <sz val="12.0"/>
        <u/>
      </rPr>
      <t>.</t>
    </r>
    <r>
      <rPr>
        <rFont val="Arial, sans-serif"/>
        <color rgb="FF1155CC"/>
        <sz val="11.0"/>
        <u/>
      </rPr>
      <t>20 oct 2024</t>
    </r>
  </si>
  <si>
    <t>Este es el pueblo de Guadalajara donde mejor se come, según National Geographic</t>
  </si>
  <si>
    <t>La reconocida revista ha publicado un ranking con los 18 mejores pueblos de España a los que ir a comer, y en el séptimo puesto se encuentra Sigüenza.</t>
  </si>
  <si>
    <t>This is the town in Guadalajara where you eat the best, according to National Geographic</t>
  </si>
  <si>
    <t>The renowned magazine has published a ranking of the 18 best towns in Spain to go to eat, and in seventh place is Sigüenza.</t>
  </si>
  <si>
    <t>Gastronomy-related, not impacting Repsol’s corporate image.</t>
  </si>
  <si>
    <r>
      <rPr>
        <rFont val="Arial, sans-serif"/>
        <color rgb="FF1155CC"/>
        <sz val="9.0"/>
        <u/>
      </rPr>
      <t>Car and Driver</t>
    </r>
    <r>
      <rPr>
        <rFont val="Arial, sans-serif"/>
        <color rgb="FF1155CC"/>
        <sz val="15.0"/>
        <u/>
      </rPr>
      <t>Así explica la FIA la polémica sanción a Lando Norris con Max Verstappen</t>
    </r>
    <r>
      <rPr>
        <rFont val="Arial, sans-serif"/>
        <color rgb="FF1155CC"/>
        <sz val="11.0"/>
        <u/>
      </rPr>
      <t>El castigo le costó el podio al piloto británico, además de ceder puntos con su máximo rival por el título.</t>
    </r>
    <r>
      <rPr>
        <rFont val="Arial, sans-serif"/>
        <color rgb="FF1155CC"/>
        <sz val="12.0"/>
        <u/>
      </rPr>
      <t>.</t>
    </r>
    <r>
      <rPr>
        <rFont val="Arial, sans-serif"/>
        <color rgb="FF1155CC"/>
        <sz val="11.0"/>
        <u/>
      </rPr>
      <t>20 oct 2024</t>
    </r>
  </si>
  <si>
    <t>Así explica la FIA la polémica sanción a Lando Norris con Max Verstappen</t>
  </si>
  <si>
    <t>El castigo le costó el podio al piloto británico, además de ceder puntos con su máximo rival por el título.</t>
  </si>
  <si>
    <t>This is how the FIA ​​explains the controversial sanction to Lando Norris with Max Verstappen</t>
  </si>
  <si>
    <t>The punishment cost the British driver the podium, in addition to giving up points with his main rival for the title.</t>
  </si>
  <si>
    <r>
      <rPr>
        <rFont val="Arial, sans-serif"/>
        <color rgb="FF1155CC"/>
        <sz val="9.0"/>
        <u/>
      </rPr>
      <t>Car and Driver</t>
    </r>
    <r>
      <rPr>
        <rFont val="Arial, sans-serif"/>
        <color rgb="FF1155CC"/>
        <sz val="15.0"/>
        <u/>
      </rPr>
      <t>La FIA sanciona a un equipo por romper el parque cerrado, y no es Red Bull</t>
    </r>
    <r>
      <rPr>
        <rFont val="Arial, sans-serif"/>
        <color rgb="FF1155CC"/>
        <sz val="11.0"/>
        <u/>
      </rPr>
      <t>Con todos los ojos puestos en le mecanismo de variación de altura, sellado por la FIA, ha sido otro que ha roto el parque cerrado.</t>
    </r>
    <r>
      <rPr>
        <rFont val="Arial, sans-serif"/>
        <color rgb="FF1155CC"/>
        <sz val="12.0"/>
        <u/>
      </rPr>
      <t>.</t>
    </r>
    <r>
      <rPr>
        <rFont val="Arial, sans-serif"/>
        <color rgb="FF1155CC"/>
        <sz val="11.0"/>
        <u/>
      </rPr>
      <t>20 oct 2024</t>
    </r>
  </si>
  <si>
    <t>La FIA sanciona a un equipo por romper el parque cerrado, y no es Red Bull</t>
  </si>
  <si>
    <t>Con todos los ojos puestos en le mecanismo de variación de altura, sellado por la FIA, ha sido otro que ha roto el parque cerrado.</t>
  </si>
  <si>
    <t>The FIA ​​sanctions a team for breaking parc ferme, and it is not Red Bull</t>
  </si>
  <si>
    <t>With all eyes on the height variation mechanism, sealed by the FIA, it has been another one that has broken the parc ferme.</t>
  </si>
  <si>
    <r>
      <rPr>
        <rFont val="Arial, sans-serif"/>
        <color rgb="FF1155CC"/>
        <sz val="9.0"/>
        <u/>
      </rPr>
      <t>Car and Driver</t>
    </r>
    <r>
      <rPr>
        <rFont val="Arial, sans-serif"/>
        <color rgb="FF1155CC"/>
        <sz val="15.0"/>
        <u/>
      </rPr>
      <t>Fernando Alonso tenía razón. La rocambolesca explicación de la FIA a la no sanción a Lando Norris</t>
    </r>
    <r>
      <rPr>
        <rFont val="Arial, sans-serif"/>
        <color rgb="FF1155CC"/>
        <sz val="11.0"/>
        <u/>
      </rPr>
      <t>La FIA estudió una acción de Lando Norris con reconocible parecido que, en esta ocasión, ha tenido un desenlace muy distinto.</t>
    </r>
    <r>
      <rPr>
        <rFont val="Arial, sans-serif"/>
        <color rgb="FF1155CC"/>
        <sz val="12.0"/>
        <u/>
      </rPr>
      <t>.</t>
    </r>
    <r>
      <rPr>
        <rFont val="Arial, sans-serif"/>
        <color rgb="FF1155CC"/>
        <sz val="11.0"/>
        <u/>
      </rPr>
      <t>20 oct 2024</t>
    </r>
  </si>
  <si>
    <t>Fernando Alonso tenía razón. La rocambolesca explicación de la FIA a la no sanción a Lando Norris</t>
  </si>
  <si>
    <t>La FIA estudió una acción de Lando Norris con reconocible parecido que, en esta ocasión, ha tenido un desenlace muy distinto.</t>
  </si>
  <si>
    <t>Fernando Alonso was right. The bizarre explanation of the FIA ​​for the non-sanction of Lando Norris</t>
  </si>
  <si>
    <t>The FIA ​​studied an action by Lando Norris with a recognizable resemblance that, on this occasion, had a very different outcome.</t>
  </si>
  <si>
    <r>
      <rPr>
        <rFont val="Arial, sans-serif"/>
        <color rgb="FF1155CC"/>
        <sz val="9.0"/>
        <u/>
      </rPr>
      <t>Expansión</t>
    </r>
    <r>
      <rPr>
        <rFont val="Arial, sans-serif"/>
        <color rgb="FF1155CC"/>
        <sz val="15.0"/>
        <u/>
      </rPr>
      <t>Repsol se lleva a Portugal una inversión de 15 millones de euros para producir hidrógeno verde</t>
    </r>
    <r>
      <rPr>
        <rFont val="Arial, sans-serif"/>
        <color rgb="FF1155CC"/>
        <sz val="11.0"/>
        <u/>
      </rPr>
      <t>Repsol ha elegido su Complejo Industrial de Sines, en Portugal, para invertir 15 millones de euros en un nuevo proyecto de hidrógeno renovable,...</t>
    </r>
    <r>
      <rPr>
        <rFont val="Arial, sans-serif"/>
        <color rgb="FF1155CC"/>
        <sz val="12.0"/>
        <u/>
      </rPr>
      <t>.</t>
    </r>
    <r>
      <rPr>
        <rFont val="Arial, sans-serif"/>
        <color rgb="FF1155CC"/>
        <sz val="11.0"/>
        <u/>
      </rPr>
      <t>21 oct 2024</t>
    </r>
  </si>
  <si>
    <t>Repsol se lleva a Portugal una inversión de 15 millones de euros para producir hidrógeno verde</t>
  </si>
  <si>
    <t>Repsol ha elegido su Complejo Industrial de Sines, en Portugal, para invertir 15 millones de euros en un nuevo proyecto de hidrógeno renovable,....</t>
  </si>
  <si>
    <t>Repsol takes an investment of 15 million euros to Portugal to produce green hydrogen</t>
  </si>
  <si>
    <t>Repsol has chosen its Sines Industrial Complex, in Portugal, to invest 15 million euros in a new renewable hydrogen project,...</t>
  </si>
  <si>
    <t>investment, green hydrogen</t>
  </si>
  <si>
    <t>inversión, hidrógeno verde</t>
  </si>
  <si>
    <t>Positive as it highlights Repsol’s commitment to renewable energy.</t>
  </si>
  <si>
    <r>
      <rPr>
        <rFont val="Arial, sans-serif"/>
        <color rgb="FF1155CC"/>
        <sz val="9.0"/>
        <u/>
      </rPr>
      <t>Libre Mercado</t>
    </r>
    <r>
      <rPr>
        <rFont val="Arial, sans-serif"/>
        <color rgb="FF1155CC"/>
        <sz val="15.0"/>
        <u/>
      </rPr>
      <t>Repsol huye del impuestazo a Portugal y mantiene inversiones bloqueadas en País Vasco y Cataluña</t>
    </r>
    <r>
      <rPr>
        <rFont val="Arial, sans-serif"/>
        <color rgb="FF1155CC"/>
        <sz val="11.0"/>
        <u/>
      </rPr>
      <t>Repsol huye del impuestazo de Sánchez y se lleva inversiones a Portugal mientras mantiene bloqueados miles de millones en Cataluña y País Vasco.</t>
    </r>
    <r>
      <rPr>
        <rFont val="Arial, sans-serif"/>
        <color rgb="FF1155CC"/>
        <sz val="12.0"/>
        <u/>
      </rPr>
      <t>.</t>
    </r>
    <r>
      <rPr>
        <rFont val="Arial, sans-serif"/>
        <color rgb="FF1155CC"/>
        <sz val="11.0"/>
        <u/>
      </rPr>
      <t>21 oct 2024</t>
    </r>
  </si>
  <si>
    <t>Repsol huye del impustazo a Portugal y mantiene inversiones bloqueadas en País Vasco y Cataluña</t>
  </si>
  <si>
    <t>Repsol huye del impuestazo de Sánchez y se lleva inversiones a Portugal mientras mantiene bloqueados miles de millones en Cataluña y País Vasco.</t>
  </si>
  <si>
    <t>Repsol flees from the tax on Portugal and maintains blocked investments in the Basque Country and Catalonia</t>
  </si>
  <si>
    <t>Repsol flees from Sánchez's imposition and takes investments to Portugal while keeping billions blocked in Catalonia and the Basque Country.</t>
  </si>
  <si>
    <t>flees, blocked investments</t>
  </si>
  <si>
    <t>Huye, inversiones bloqueadas</t>
  </si>
  <si>
    <t>Negative as it suggests instability and conflict with the government.</t>
  </si>
  <si>
    <t>huye, bloqueados</t>
  </si>
  <si>
    <t>Negative due to tax dispute and frozen investments.</t>
  </si>
  <si>
    <t>Negativo por disputa fiscal e inversiones congeladas.</t>
  </si>
  <si>
    <r>
      <rPr>
        <rFont val="Arial, sans-serif"/>
        <color rgb="FF1155CC"/>
        <sz val="9.0"/>
        <u/>
      </rPr>
      <t>El Periódico de la Energía</t>
    </r>
    <r>
      <rPr>
        <rFont val="Arial, sans-serif"/>
        <color rgb="FF1155CC"/>
        <sz val="15.0"/>
        <u/>
      </rPr>
      <t>Repsol ejecutará un electrolizador en Portugal mientras los de España siguen en 'stand by'</t>
    </r>
    <r>
      <rPr>
        <rFont val="Arial, sans-serif"/>
        <color rgb="FF1155CC"/>
        <sz val="11.0"/>
        <u/>
      </rPr>
      <t>Repsol materializará su inversión en un electrolizador de 4 MW en Portugal, mientras que en España siguen en 'stand by' proyectos con una capacidad de...</t>
    </r>
    <r>
      <rPr>
        <rFont val="Arial, sans-serif"/>
        <color rgb="FF1155CC"/>
        <sz val="12.0"/>
        <u/>
      </rPr>
      <t>.</t>
    </r>
    <r>
      <rPr>
        <rFont val="Arial, sans-serif"/>
        <color rgb="FF1155CC"/>
        <sz val="11.0"/>
        <u/>
      </rPr>
      <t>21 oct 2024</t>
    </r>
  </si>
  <si>
    <t>Repsol ejecutará un electrolizador en Portugal mientras los de España siguen en 'stand by'</t>
  </si>
  <si>
    <t>Repsol materializará su inversión en un electrolizador de 4 MW en Portugal, mientras que en España siguen en 'stand by' proyectos con una capacidad de....</t>
  </si>
  <si>
    <t>Repsol will build an electrolyzer in Portugal while those in Spain remain on standby</t>
  </si>
  <si>
    <t>Repsol will materialize its investment in a 4 MW electrolyzer in Portugal, while in Spain projects with a capacity of...</t>
  </si>
  <si>
    <t>investment, electrolyzer, on standby</t>
  </si>
  <si>
    <t>inversión, electrolizador, en espera</t>
  </si>
  <si>
    <t>Negative as it implies a shift in investment away from Spain due to policy uncertainty.</t>
  </si>
  <si>
    <t>inversión, stand by</t>
  </si>
  <si>
    <t>Mixed: positive for Portugal, negative for Spain.</t>
  </si>
  <si>
    <t>Mixto: positivo para Portugal, negativo para España.</t>
  </si>
  <si>
    <r>
      <rPr>
        <rFont val="Arial, sans-serif"/>
        <color rgb="FF1155CC"/>
        <sz val="9.0"/>
        <u/>
      </rPr>
      <t>El Economista</t>
    </r>
    <r>
      <rPr>
        <rFont val="Arial, sans-serif"/>
        <color rgb="FF1155CC"/>
        <sz val="15.0"/>
        <u/>
      </rPr>
      <t>Repsol mueve inversiones a Portugal como protesta por el 'impuestazo' a las energéticas</t>
    </r>
    <r>
      <rPr>
        <rFont val="Arial, sans-serif"/>
        <color rgb="FF1155CC"/>
        <sz val="11.0"/>
        <u/>
      </rPr>
      <t>Repsol ha cumplido su promesa de mover inversiones a otros países por el impuesto extraordinario a la banca y las energéticas ...</t>
    </r>
    <r>
      <rPr>
        <rFont val="Arial, sans-serif"/>
        <color rgb="FF1155CC"/>
        <sz val="12.0"/>
        <u/>
      </rPr>
      <t>.</t>
    </r>
    <r>
      <rPr>
        <rFont val="Arial, sans-serif"/>
        <color rgb="FF1155CC"/>
        <sz val="11.0"/>
        <u/>
      </rPr>
      <t>21 oct 2024</t>
    </r>
  </si>
  <si>
    <t>Repsol mueve inversiones a Portugal como protesta por el 'impuestazo' a las energéticas</t>
  </si>
  <si>
    <t>Repsol ha cumplido su promesa de mover inversiones a otros países por el impuesto extraordinario a la banca y las energéticas.</t>
  </si>
  <si>
    <t>Repsol moves investments to Portugal as a protest against the 'tax' on energy companies</t>
  </si>
  <si>
    <t>Repsol has fulfilled its promise to move investments to other countries due to the extraordinary tax on banking and energy companies.</t>
  </si>
  <si>
    <t>moves investments, protest, tax</t>
  </si>
  <si>
    <t>mueve inversiones, protesta, impuesto</t>
  </si>
  <si>
    <t>Negative as it reinforces the narrative of government conflict and lost investment.</t>
  </si>
  <si>
    <t>mover inversiones, impuesto</t>
  </si>
  <si>
    <t>Negative due to tax-driven divestment.</t>
  </si>
  <si>
    <t>Negativo por desinversión impulsada por impuestos.</t>
  </si>
  <si>
    <r>
      <rPr>
        <rFont val="Arial, sans-serif"/>
        <color rgb="FF1155CC"/>
        <sz val="9.0"/>
        <u/>
      </rPr>
      <t>Crónica Global</t>
    </r>
    <r>
      <rPr>
        <rFont val="Arial, sans-serif"/>
        <color rgb="FF1155CC"/>
        <sz val="15.0"/>
        <u/>
      </rPr>
      <t>Repsol traslada inversiones a Portugal como rechazo al 'impuestazo' energético del Gobierno</t>
    </r>
    <r>
      <rPr>
        <rFont val="Arial, sans-serif"/>
        <color rgb="FF1155CC"/>
        <sz val="11.0"/>
        <u/>
      </rPr>
      <t>La firma petrolera deja en el aire su plan estratégico en España si se consolida como "fija" la tasa sobre los ingresos que se aprobó con la guerra de...</t>
    </r>
    <r>
      <rPr>
        <rFont val="Arial, sans-serif"/>
        <color rgb="FF1155CC"/>
        <sz val="12.0"/>
        <u/>
      </rPr>
      <t>.</t>
    </r>
    <r>
      <rPr>
        <rFont val="Arial, sans-serif"/>
        <color rgb="FF1155CC"/>
        <sz val="11.0"/>
        <u/>
      </rPr>
      <t>21 oct 2024</t>
    </r>
  </si>
  <si>
    <t>Repsol traslada inversiones a Portugal como rechazo al 'impuestazo' energético del Gobierno</t>
  </si>
  <si>
    <t>La firma petrolera deja en el aire su plan estratégico en España si se consolida como "fija" la tasa sobre los ingresos que se aprobó con la guerra de....</t>
  </si>
  <si>
    <t>Repsol transfers investments to Portugal as a rejection of the Government's energy 'tax'</t>
  </si>
  <si>
    <t>The oil firm leaves its strategic plan in Spain up in the air if the rate on income that was approved with the war of... is consolidated as "fixed".</t>
  </si>
  <si>
    <t>transfers investments, rejection, tax</t>
  </si>
  <si>
    <t>transferencias de inversiones, rechazo, impuesto</t>
  </si>
  <si>
    <t>Negative as it portrays uncertainty and strained relations with the government.</t>
  </si>
  <si>
    <t>traslada, rechazo</t>
  </si>
  <si>
    <t>Strong negative due to tax protest.</t>
  </si>
  <si>
    <t>Fuerte negativo por protesta fiscal.</t>
  </si>
  <si>
    <r>
      <rPr>
        <rFont val="Arial, sans-serif"/>
        <color rgb="FF1155CC"/>
        <sz val="9.0"/>
        <u/>
      </rPr>
      <t>Economía Digital</t>
    </r>
    <r>
      <rPr>
        <rFont val="Arial, sans-serif"/>
        <color rgb="FF1155CC"/>
        <sz val="15.0"/>
        <u/>
      </rPr>
      <t>Repsol y Suma Capital invierten 5 millones en la tecnológica valenciana de cargadores eléctricos V2C</t>
    </r>
    <r>
      <rPr>
        <rFont val="Arial, sans-serif"/>
        <color rgb="FF1155CC"/>
        <sz val="11.0"/>
        <u/>
      </rPr>
      <t>La tecnológica valenciana V2C ha asegurado una ronda de inversión de 5 millones de euros liderada por SC Net Zero Ventures, el fondo gestionado por Suma...</t>
    </r>
    <r>
      <rPr>
        <rFont val="Arial, sans-serif"/>
        <color rgb="FF1155CC"/>
        <sz val="12.0"/>
        <u/>
      </rPr>
      <t>.</t>
    </r>
    <r>
      <rPr>
        <rFont val="Arial, sans-serif"/>
        <color rgb="FF1155CC"/>
        <sz val="11.0"/>
        <u/>
      </rPr>
      <t>21 oct 2024</t>
    </r>
  </si>
  <si>
    <t>Repsol y Suma Capital invierten 5 millones en la tecnológica valenciana de cargadores eléctricos V2C</t>
  </si>
  <si>
    <t>La tecnológica valenciana V2C ha asegurado una ronda de inversión de 5 millones de euros liderada por SC Net Zero Ventures, el fondo gestionado por Suma.</t>
  </si>
  <si>
    <t>Repsol and Suma Capital invest 5 million in the Valencian V2C electric charger technology company</t>
  </si>
  <si>
    <t>The Valencian technology company V2C has secured an investment round of 5 million euros led by SC Net Zero Ventures, the fund managed by Suma.</t>
  </si>
  <si>
    <t>invest, electric charger, technology</t>
  </si>
  <si>
    <t>invertir, cargador eléctrico, tecnología</t>
  </si>
  <si>
    <t>Positive as it highlights Repsol’s role in innovative and sustainable energy projects.</t>
  </si>
  <si>
    <t>invierten, cargadores eléctricos</t>
  </si>
  <si>
    <t>Positive for EV infrastructure.</t>
  </si>
  <si>
    <t>Positivo para la infraestructura de vehículos eléctricos.</t>
  </si>
  <si>
    <r>
      <rPr>
        <rFont val="Arial, sans-serif"/>
        <color rgb="FF1155CC"/>
        <sz val="9.0"/>
        <u/>
      </rPr>
      <t>La Vanguardia</t>
    </r>
    <r>
      <rPr>
        <rFont val="Arial, sans-serif"/>
        <color rgb="FF1155CC"/>
        <sz val="15.0"/>
        <u/>
      </rPr>
      <t>Foment pide al Govern que salve la inversión millonaria de Repsol en Tarragona</t>
    </r>
    <r>
      <rPr>
        <rFont val="Arial, sans-serif"/>
        <color rgb="FF1155CC"/>
        <sz val="11.0"/>
        <u/>
      </rPr>
      <t>Foment del Treball ha pedido a la Generalitat que intervenga ante el Gobierno para evitar que el impuesto extraordinario a las energéticas se convierta en...</t>
    </r>
    <r>
      <rPr>
        <rFont val="Arial, sans-serif"/>
        <color rgb="FF1155CC"/>
        <sz val="12.0"/>
        <u/>
      </rPr>
      <t>.</t>
    </r>
    <r>
      <rPr>
        <rFont val="Arial, sans-serif"/>
        <color rgb="FF1155CC"/>
        <sz val="11.0"/>
        <u/>
      </rPr>
      <t>21 oct 2024</t>
    </r>
  </si>
  <si>
    <t>Foment pide al Govern que salve la inversión millonaria de Repsol en Tarragona</t>
  </si>
  <si>
    <t>Foment del Treball ha pedido a la Generalitat que intervenga ante el Gobierno para evitar que el impuesto extraordinario a las energéticas se convierta en....</t>
  </si>
  <si>
    <t>Foment asks the Government to save Repsol's million-dollar investment in Tarragona</t>
  </si>
  <si>
    <t>Foment del Treball has asked the Generalitat to intervene before the Government to prevent the extraordinary tax on energy companies from becoming...</t>
  </si>
  <si>
    <t>save investment, million-dollar, Tarragona</t>
  </si>
  <si>
    <t>ahorrar inversión, millonario, Tarragona</t>
  </si>
  <si>
    <t>Negative as it signals potential investment risks due to government policy.</t>
  </si>
  <si>
    <t>salve, inversión</t>
  </si>
  <si>
    <t>Mildly positive for local investment.</t>
  </si>
  <si>
    <t>Ligeramente positivo para la inversión local.</t>
  </si>
  <si>
    <r>
      <rPr>
        <rFont val="Arial, sans-serif"/>
        <color rgb="FF1155CC"/>
        <sz val="9.0"/>
        <u/>
      </rPr>
      <t>LaSexta</t>
    </r>
    <r>
      <rPr>
        <rFont val="Arial, sans-serif"/>
        <color rgb="FF1155CC"/>
        <sz val="15.0"/>
        <u/>
      </rPr>
      <t>Repsol cumple su amenaza e instalará una planta de hidrógeno renovable en Portugal</t>
    </r>
    <r>
      <rPr>
        <rFont val="Arial, sans-serif"/>
        <color rgb="FF1155CC"/>
        <sz val="11.0"/>
        <u/>
      </rPr>
      <t>Repsol ha anunciado oficialmente su decisión de instalar una planta de hidrógeno renovable en Sines, Portugal, cumpliendo así la advertencia realizada...</t>
    </r>
    <r>
      <rPr>
        <rFont val="Arial, sans-serif"/>
        <color rgb="FF1155CC"/>
        <sz val="12.0"/>
        <u/>
      </rPr>
      <t>.</t>
    </r>
    <r>
      <rPr>
        <rFont val="Arial, sans-serif"/>
        <color rgb="FF1155CC"/>
        <sz val="11.0"/>
        <u/>
      </rPr>
      <t>21 oct 2024</t>
    </r>
  </si>
  <si>
    <t>Repsol cumple su amenaza e instalará una planta de hidrógeno renovable en Portugal</t>
  </si>
  <si>
    <t>Repsol ha anunciado oficialmente su decisión de instalar una planta de hidrógeno renovable en Sines, Portugal, cumpliendo así la advertencia realizada....</t>
  </si>
  <si>
    <t>Repsol fulfills its threat and will install a renewable hydrogen plant in Portugal</t>
  </si>
  <si>
    <t>Repsol has officially announced its decision to install a renewable hydrogen plant in Sines, Portugal, thus complying with the warning issued....</t>
  </si>
  <si>
    <t>threat, renewable hydrogen</t>
  </si>
  <si>
    <t>amenaza, hidrógeno renovable</t>
  </si>
  <si>
    <t>Mixed impact; sustainability is positive, but the relocation due to taxation presents a negative perception.</t>
  </si>
  <si>
    <t>amenaza, planta renovable</t>
  </si>
  <si>
    <t>Negative framing ("amenaza") despite green project.</t>
  </si>
  <si>
    <t>Encuadre negativo ("amenaza") a pesar del proyecto verde.</t>
  </si>
  <si>
    <r>
      <rPr>
        <rFont val="Arial, sans-serif"/>
        <color rgb="FF1155CC"/>
        <sz val="9.0"/>
        <u/>
      </rPr>
      <t>Diario de Sevilla</t>
    </r>
    <r>
      <rPr>
        <rFont val="Arial, sans-serif"/>
        <color rgb="FF1155CC"/>
        <sz val="15.0"/>
        <u/>
      </rPr>
      <t>Repsol, proveedor multienergía del Festival de Sitges</t>
    </r>
    <r>
      <rPr>
        <rFont val="Arial, sans-serif"/>
        <color rgb="FF1155CC"/>
        <sz val="11.0"/>
        <u/>
      </rPr>
      <t>Repsol ha sido el proveedor multienergía del Festival de Sitges, que cumplió este año su edición número 57. A través de esta colaboración se logró evitar la...</t>
    </r>
    <r>
      <rPr>
        <rFont val="Arial, sans-serif"/>
        <color rgb="FF1155CC"/>
        <sz val="12.0"/>
        <u/>
      </rPr>
      <t>.</t>
    </r>
    <r>
      <rPr>
        <rFont val="Arial, sans-serif"/>
        <color rgb="FF1155CC"/>
        <sz val="11.0"/>
        <u/>
      </rPr>
      <t>21 oct 2024</t>
    </r>
  </si>
  <si>
    <t>Repsol, proveedor multienergía del Festival de Sitges</t>
  </si>
  <si>
    <t>Repsol ha sido el proveedor multienergía del Festival de Sitges, que cumplió este año su edición número 57. A través de esta colaboración se logró evitar la....</t>
  </si>
  <si>
    <t>Repsol, multi-energy supplier to the Sitges Festival</t>
  </si>
  <si>
    <t>Repsol has been the multi-energy supplier of the Sitges Festival, which this year celebrated its 57th edition. Through this collaboration it was possible to avoid...</t>
  </si>
  <si>
    <r>
      <rPr>
        <rFont val="Arial, sans-serif"/>
        <color rgb="FF1155CC"/>
        <sz val="9.0"/>
        <u/>
      </rPr>
      <t>El Debate</t>
    </r>
    <r>
      <rPr>
        <rFont val="Arial, sans-serif"/>
        <color rgb="FF1155CC"/>
        <sz val="15.0"/>
        <u/>
      </rPr>
      <t>Repsol traslada una inversión a Portugal tras anunciar el Gobierno la prórroga del impuesto a las energéticas</t>
    </r>
    <r>
      <rPr>
        <rFont val="Arial, sans-serif"/>
        <color rgb="FF1155CC"/>
        <sz val="11.0"/>
        <u/>
      </rPr>
      <t>Repsol empieza a cumplir su promesa de trasladar inversiones a otras regiones. La energética ha adjudicado a una instalación en Portugal un electro...</t>
    </r>
    <r>
      <rPr>
        <rFont val="Arial, sans-serif"/>
        <color rgb="FF1155CC"/>
        <sz val="12.0"/>
        <u/>
      </rPr>
      <t>.</t>
    </r>
    <r>
      <rPr>
        <rFont val="Arial, sans-serif"/>
        <color rgb="FF1155CC"/>
        <sz val="11.0"/>
        <u/>
      </rPr>
      <t>21 oct 2024</t>
    </r>
  </si>
  <si>
    <t>Repsol traslada una inversión a Portugal tras anunciar el Gobierno la prórroga del impuesto a las energéticas</t>
  </si>
  <si>
    <t>Repsol empieza a cumplir su promesa de trasladar inversiones a otras regiones. La energética ha adjudicado a una instalación en Portugal un electro....</t>
  </si>
  <si>
    <t>Repsol transfers an investment to Portugal after the Government announces the extension of the tax on energy companies</t>
  </si>
  <si>
    <t>Repsol is beginning to fulfill its promise to transfer investments to other regions. The energy company has awarded a facility in Portugal with an electro....</t>
  </si>
  <si>
    <t>transfers investment, tax</t>
  </si>
  <si>
    <t>transferencias de inversión, impuestos</t>
  </si>
  <si>
    <t>Negative as it signals instability and policy-driven capital flight.</t>
  </si>
  <si>
    <t>traslada, impuesto</t>
  </si>
  <si>
    <t>Negative due to tax-driven relocation.</t>
  </si>
  <si>
    <t>Negativo debido a la reubicación impulsada por impuestos.</t>
  </si>
  <si>
    <r>
      <rPr>
        <rFont val="Arial, sans-serif"/>
        <color rgb="FF1155CC"/>
        <sz val="9.0"/>
        <u/>
      </rPr>
      <t>El Independiente</t>
    </r>
    <r>
      <rPr>
        <rFont val="Arial, sans-serif"/>
        <color rgb="FF1155CC"/>
        <sz val="15.0"/>
        <u/>
      </rPr>
      <t>Repsol cumple su amenaza y traslada un proyecto a Portugal en protesta al 'impuestazo'</t>
    </r>
    <r>
      <rPr>
        <rFont val="Arial, sans-serif"/>
        <color rgb="FF1155CC"/>
        <sz val="11.0"/>
        <u/>
      </rPr>
      <t>La amenaza ya se ha cumplido. Si el gravamen a las energéticas, inicialmente provisional, no se eliminaba habría que reconsiderar futuras inversiones. La.</t>
    </r>
    <r>
      <rPr>
        <rFont val="Arial, sans-serif"/>
        <color rgb="FF1155CC"/>
        <sz val="12.0"/>
        <u/>
      </rPr>
      <t>.</t>
    </r>
    <r>
      <rPr>
        <rFont val="Arial, sans-serif"/>
        <color rgb="FF1155CC"/>
        <sz val="11.0"/>
        <u/>
      </rPr>
      <t>21 oct 2024</t>
    </r>
  </si>
  <si>
    <t>Repsol cumple su amenaza y traslada un proyecto a Portugal en protesta al 'impuestazo'</t>
  </si>
  <si>
    <t>La amenaza ya se ha cumplido. Si el gravamen a las energéticas, inicialmente provisional, no se eliminaba habría que reconsiderar futuras inversiones. La..</t>
  </si>
  <si>
    <t>Repsol fulfills its threat and moves a project to Portugal in protest of the 'tax'</t>
  </si>
  <si>
    <t>The threat has already been fulfilled. If the tax on energy companies, initially provisional, was not eliminated, future investments would have to be reconsidered. The..</t>
  </si>
  <si>
    <t>threat, moves project, protest</t>
  </si>
  <si>
    <t>amenaza, mueve proyecto, protesta</t>
  </si>
  <si>
    <t>Negative due to economic uncertainty and perceived governmental conflict.</t>
  </si>
  <si>
    <t>amenaza, protesta</t>
  </si>
  <si>
    <t>Strong negative due to tax conflict.</t>
  </si>
  <si>
    <t>Fuerte negativo por conflicto fiscal.</t>
  </si>
  <si>
    <r>
      <rPr>
        <rFont val="Arial, sans-serif"/>
        <color rgb="FF1155CC"/>
        <sz val="9.0"/>
        <u/>
      </rPr>
      <t>La Gaceta de la Iberosfera</t>
    </r>
    <r>
      <rPr>
        <rFont val="Arial, sans-serif"/>
        <color rgb="FF1155CC"/>
        <sz val="15.0"/>
        <u/>
      </rPr>
      <t>Repsol planea trasladar su inversión de 1.100 millones de euros de Tarragona a Portugal por la inestabilidad...</t>
    </r>
    <r>
      <rPr>
        <rFont val="Arial, sans-serif"/>
        <color rgb="FF1155CC"/>
        <sz val="11.0"/>
        <u/>
      </rPr>
      <t>Repsol podría forzar la cancelación de proyectos clave como el electrolizador de 150 MW y la Ecoplanta de El Morell.</t>
    </r>
    <r>
      <rPr>
        <rFont val="Arial, sans-serif"/>
        <color rgb="FF1155CC"/>
        <sz val="12.0"/>
        <u/>
      </rPr>
      <t>.</t>
    </r>
    <r>
      <rPr>
        <rFont val="Arial, sans-serif"/>
        <color rgb="FF1155CC"/>
        <sz val="11.0"/>
        <u/>
      </rPr>
      <t>21 oct 2024</t>
    </r>
  </si>
  <si>
    <t>La Gaceta de la Iberosfera</t>
  </si>
  <si>
    <t>Repsol planea trasladar su inversión de 1.100 millones de euros de Tarragona a Portugal por la inestabilidad...</t>
  </si>
  <si>
    <t>Repsol podría forzar la cancelación de proyectos clave como el electrolizador de 150 MW y la Ecoplanta de El Morell.</t>
  </si>
  <si>
    <t>Repsol plans to move its investment of 1.1 billion euros from Tarragona to Portugal due to the instability...</t>
  </si>
  <si>
    <t>Repsol could force the cancellation of key projects such as the 150 MW electrolyzer and the El Morell Ecoplant.</t>
  </si>
  <si>
    <t>move investment, instability</t>
  </si>
  <si>
    <t>mover inversión, inestabilidad</t>
  </si>
  <si>
    <t>Negative as it indicates potential capital loss and investment withdrawal from Spain.</t>
  </si>
  <si>
    <t>trasladar, inestabilidad</t>
  </si>
  <si>
    <t>Very negative for Spain’s industrial future.</t>
  </si>
  <si>
    <t>Muy negativo para el futuro industrial de España.</t>
  </si>
  <si>
    <r>
      <rPr>
        <rFont val="Arial, sans-serif"/>
        <color rgb="FF1155CC"/>
        <sz val="9.0"/>
        <u/>
      </rPr>
      <t>Diari de Tarragona</t>
    </r>
    <r>
      <rPr>
        <rFont val="Arial, sans-serif"/>
        <color rgb="FF1155CC"/>
        <sz val="15.0"/>
        <u/>
      </rPr>
      <t>La inversión de 1.100 millones de euros de Repsol en Tarragona pende de un hilo</t>
    </r>
    <r>
      <rPr>
        <rFont val="Arial, sans-serif"/>
        <color rgb="FF1155CC"/>
        <sz val="11.0"/>
        <u/>
      </rPr>
      <t>Hasta 1.100 millones de euros en una inversión estratégica para el futuro del polo petroquímico de Tarragona penden de un hilo. Mañana martes expira e...</t>
    </r>
    <r>
      <rPr>
        <rFont val="Arial, sans-serif"/>
        <color rgb="FF1155CC"/>
        <sz val="12.0"/>
        <u/>
      </rPr>
      <t>.</t>
    </r>
    <r>
      <rPr>
        <rFont val="Arial, sans-serif"/>
        <color rgb="FF1155CC"/>
        <sz val="11.0"/>
        <u/>
      </rPr>
      <t>21 oct 2024</t>
    </r>
  </si>
  <si>
    <t>La inversión de 1.100 millones de euros de Repsol en Tarragona pende de un hilo</t>
  </si>
  <si>
    <t>Hasta 1.100 millones de euros en una inversión estratégica para el futuro del polo petroquímico de Tarragona penden de un hilo. Mañana martes expira e....</t>
  </si>
  <si>
    <t>Repsol's 1.1 billion euro investment in Tarragona hangs by a thread</t>
  </si>
  <si>
    <t>Up to 1.1 billion euros in a strategic investment for the future of the petrochemical hub of Tarragona hangs in the balance. Tomorrow, Tuesday, it expires...</t>
  </si>
  <si>
    <t>investment hangs by a thread, strategic</t>
  </si>
  <si>
    <t>la inversión pende de un hilo, estratégica</t>
  </si>
  <si>
    <t>Negative due to investment uncertainty and potential economic repercussions.</t>
  </si>
  <si>
    <t>pende de un hilo</t>
  </si>
  <si>
    <t>Negative uncertainty.</t>
  </si>
  <si>
    <t>Incertidumbre negativa.</t>
  </si>
  <si>
    <r>
      <rPr>
        <rFont val="Arial, sans-serif"/>
        <color rgb="FF1155CC"/>
        <sz val="9.0"/>
        <u/>
      </rPr>
      <t>MurciaEconomía.com</t>
    </r>
    <r>
      <rPr>
        <rFont val="Arial, sans-serif"/>
        <color rgb="FF1155CC"/>
        <sz val="15.0"/>
        <u/>
      </rPr>
      <t>Repsol apuesta por Portugal con una inversión de 15 M€ en hidrógeno renovable</t>
    </r>
    <r>
      <rPr>
        <rFont val="Arial, sans-serif"/>
        <color rgb="FF1155CC"/>
        <sz val="11.0"/>
        <u/>
      </rPr>
      <t>Repsol ha decidido invertir 15 millones de euros en un nuevo proyecto de hidrógeno renovable en su Complejo Industrial de Sines, en Portugal.</t>
    </r>
    <r>
      <rPr>
        <rFont val="Arial, sans-serif"/>
        <color rgb="FF1155CC"/>
        <sz val="12.0"/>
        <u/>
      </rPr>
      <t>.</t>
    </r>
    <r>
      <rPr>
        <rFont val="Arial, sans-serif"/>
        <color rgb="FF1155CC"/>
        <sz val="11.0"/>
        <u/>
      </rPr>
      <t>21 oct 2024</t>
    </r>
  </si>
  <si>
    <t>Repsol apuesta por Portugal con una inversión de 15 M€ en hidrógeno renovable</t>
  </si>
  <si>
    <t>Repsol ha decidido invertir 15 millones de euros en un nuevo proyecto de hidrógeno renovable en su Complejo Industrial de Sines, en Portugal.</t>
  </si>
  <si>
    <t>Repsol bets on Portugal with an investment of €15 million in renewable hydrogen</t>
  </si>
  <si>
    <t>Repsol has decided to invest 15 million euros in a new renewable hydrogen project at its Sines Industrial Complex, in Portugal.</t>
  </si>
  <si>
    <t>investment, renewable hydrogen</t>
  </si>
  <si>
    <t>inversión, hidrógeno renovable</t>
  </si>
  <si>
    <t>Positive due to sustainability efforts despite the investment relocation.</t>
  </si>
  <si>
    <t>apuesta, hidrógeno renovable</t>
  </si>
  <si>
    <t>Positive for renewables, but negative subtext for Spain.</t>
  </si>
  <si>
    <t>Positivo para las renovables, pero subtexto negativo para España.</t>
  </si>
  <si>
    <r>
      <rPr>
        <rFont val="Arial, sans-serif"/>
        <color rgb="FF1155CC"/>
        <sz val="9.0"/>
        <u/>
      </rPr>
      <t>El Mundo</t>
    </r>
    <r>
      <rPr>
        <rFont val="Arial, sans-serif"/>
        <color rgb="FF1155CC"/>
        <sz val="15.0"/>
        <u/>
      </rPr>
      <t>Repsol deja en el aire el futuro de sus cinco refinerías en España al congelar 1.500 millones de inversión por el 'impuestazo'</t>
    </r>
    <r>
      <rPr>
        <rFont val="Arial, sans-serif"/>
        <color rgb="FF1155CC"/>
        <sz val="11.0"/>
        <u/>
      </rPr>
      <t>El grupo Repsol deja en el aire el futuro de sus cinco refinerías en España tras congelar 1,.500 millones de inversión en España tras el impuestazo...</t>
    </r>
    <r>
      <rPr>
        <rFont val="Arial, sans-serif"/>
        <color rgb="FF1155CC"/>
        <sz val="12.0"/>
        <u/>
      </rPr>
      <t>.</t>
    </r>
    <r>
      <rPr>
        <rFont val="Arial, sans-serif"/>
        <color rgb="FF1155CC"/>
        <sz val="11.0"/>
        <u/>
      </rPr>
      <t>21 oct 2024</t>
    </r>
  </si>
  <si>
    <t>Repsol deja en el aire el futuro de sus cinco refinerías en España al congelar 1.500 millones de inversión por el 'impuestazo'</t>
  </si>
  <si>
    <t>Repsol deja en el aire el futuro de sus cinco refinerías en España tras congelar 1.500 millones de inversión en España tras el impuestazo.</t>
  </si>
  <si>
    <t>Repsol leaves the future of its five refineries in Spain up in the air by freezing 1,500 million in investment due to the 'tax'</t>
  </si>
  <si>
    <t>Repsol leaves the future of its five refineries in Spain up in the air after freezing 1,500 million in investment in Spain following the tax.</t>
  </si>
  <si>
    <t>freezing investment, tax</t>
  </si>
  <si>
    <t>congelación de inversiones, impuestos</t>
  </si>
  <si>
    <t>Negative as it suggests economic uncertainty and possible industry disruption.</t>
  </si>
  <si>
    <t>congelar, impuestazo</t>
  </si>
  <si>
    <r>
      <rPr>
        <rFont val="Arial, sans-serif"/>
        <color rgb="FF1155CC"/>
        <sz val="9.0"/>
        <u/>
      </rPr>
      <t>Expansión</t>
    </r>
    <r>
      <rPr>
        <rFont val="Arial, sans-serif"/>
        <color rgb="FF1155CC"/>
        <sz val="15.0"/>
        <u/>
      </rPr>
      <t>Repsol y el formidable soporte de los 11,40-11,50 euros</t>
    </r>
    <r>
      <rPr>
        <rFont val="Arial, sans-serif"/>
        <color rgb="FF1155CC"/>
        <sz val="11.0"/>
        <u/>
      </rPr>
      <t>A la vista del gráfico de la petrolera da la sensación de que el valor parece estar construyendo un suelo de mercado a las puertas del importante soporte...</t>
    </r>
    <r>
      <rPr>
        <rFont val="Arial, sans-serif"/>
        <color rgb="FF1155CC"/>
        <sz val="12.0"/>
        <u/>
      </rPr>
      <t>.</t>
    </r>
    <r>
      <rPr>
        <rFont val="Arial, sans-serif"/>
        <color rgb="FF1155CC"/>
        <sz val="11.0"/>
        <u/>
      </rPr>
      <t>21 oct 2024</t>
    </r>
  </si>
  <si>
    <t>Repsol y el formidable soporte de los 11,40-11,50 euros</t>
  </si>
  <si>
    <t>A la vista del gráfico de la petrolera da la sensación de que el valor parece estar construyendo un suelo de mercado a las puertas del importante soporte....</t>
  </si>
  <si>
    <t>Repsol and the formidable support of 11.40-11.50 euros</t>
  </si>
  <si>
    <t>Looking at the oil company's graph, it gives the impression that the value seems to be building a market floor at the gates of important support...</t>
  </si>
  <si>
    <t>Financial market movement does not directly impact Repsol’s corporate image.</t>
  </si>
  <si>
    <t>Análisis financiero neutral.</t>
  </si>
  <si>
    <r>
      <rPr>
        <rFont val="Arial, sans-serif"/>
        <color rgb="FF1155CC"/>
        <sz val="9.0"/>
        <u/>
      </rPr>
      <t>LaSexta</t>
    </r>
    <r>
      <rPr>
        <rFont val="Arial, sans-serif"/>
        <color rgb="FF1155CC"/>
        <sz val="15.0"/>
        <u/>
      </rPr>
      <t>Carlos Segovia, tras la marcha de una planta de Repsol a Portugal por el 'impuestazo': "Cientos d</t>
    </r>
    <r>
      <rPr>
        <rFont val="Arial, sans-serif"/>
        <color rgb="FF1155CC"/>
        <sz val="11.0"/>
        <u/>
      </rPr>
      <t>Tras la marcha de una planta de Repsol de 15 millones de euros de España a Portugal, Carlos Segovia explica que "está en peligro mucho más dinero" por el...</t>
    </r>
    <r>
      <rPr>
        <rFont val="Arial, sans-serif"/>
        <color rgb="FF1155CC"/>
        <sz val="12.0"/>
        <u/>
      </rPr>
      <t>.</t>
    </r>
    <r>
      <rPr>
        <rFont val="Arial, sans-serif"/>
        <color rgb="FF1155CC"/>
        <sz val="11.0"/>
        <u/>
      </rPr>
      <t>21 oct 2024</t>
    </r>
  </si>
  <si>
    <t>Carlos Segovia, tras la marcha de una planta de Repsol a Portugal por el 'impuestazo': "Cientos de millones en peligro"</t>
  </si>
  <si>
    <t>"está en peligro mucho más dinero" por el....</t>
  </si>
  <si>
    <t>Carlos Segovia, after the departure of a Repsol plant to Portugal due to the 'tax': "Hundreds of millions in danger"</t>
  </si>
  <si>
    <t>"a lot more money is at risk" because of...</t>
  </si>
  <si>
    <t>departure, millions in danger</t>
  </si>
  <si>
    <t>partida, millones en peligro</t>
  </si>
  <si>
    <t>Negative as it reinforces uncertainty around government policies and investment risks.</t>
  </si>
  <si>
    <t>peligro, impuestazo</t>
  </si>
  <si>
    <t>Negative financial risk.</t>
  </si>
  <si>
    <t>Riesgo financiero negativo.</t>
  </si>
  <si>
    <r>
      <rPr>
        <rFont val="Arial, sans-serif"/>
        <color rgb="FF1155CC"/>
        <sz val="9.0"/>
        <u/>
      </rPr>
      <t>Economía Digital</t>
    </r>
    <r>
      <rPr>
        <rFont val="Arial, sans-serif"/>
        <color rgb="FF1155CC"/>
        <sz val="15.0"/>
        <u/>
      </rPr>
      <t>Primera deslocalización de Repsol a Portugal y amenaza 3.000 millones en Tarragona, Bilbao y Cartagena</t>
    </r>
    <r>
      <rPr>
        <rFont val="Arial, sans-serif"/>
        <color rgb="FF1155CC"/>
        <sz val="11.0"/>
        <u/>
      </rPr>
      <t>Repsol se lleva a Portugal una de sus inversiones en hidrógeno verde ante la decisión del Gobierno de hacer permanente el impuesto a los «beneficios caídos...</t>
    </r>
    <r>
      <rPr>
        <rFont val="Arial, sans-serif"/>
        <color rgb="FF1155CC"/>
        <sz val="12.0"/>
        <u/>
      </rPr>
      <t>.</t>
    </r>
    <r>
      <rPr>
        <rFont val="Arial, sans-serif"/>
        <color rgb="FF1155CC"/>
        <sz val="11.0"/>
        <u/>
      </rPr>
      <t>21 oct 2024</t>
    </r>
  </si>
  <si>
    <t>Primera deslocalización de Repsol a Portugal y amenaza 3.000 millones en Tarragona, Bilbao y Cartagena</t>
  </si>
  <si>
    <t>Repsol se lleva a Portugal una de sus inversiones en hidrógeno verde ante la decisión del Gobierno de hacer permanente el impuesto a los «beneficios caídos.</t>
  </si>
  <si>
    <t>First relocation of Repsol to Portugal and threatens 3,000 million in Tarragona, Bilbao and Cartagena</t>
  </si>
  <si>
    <t>Repsol takes one of its investments in green hydrogen to Portugal following the Government's decision to make the "lost profits" tax permanent.</t>
  </si>
  <si>
    <t>relocation, threatens investment, green hydrogen</t>
  </si>
  <si>
    <t>reubicación, amenaza la inversión, hidrógeno verde</t>
  </si>
  <si>
    <t>Negative as it signals major investment shifts due to unfavorable policies.</t>
  </si>
  <si>
    <t>deslocalización, amenaza</t>
  </si>
  <si>
    <t>Very negative for Spain.</t>
  </si>
  <si>
    <t>Muy negativo para España.</t>
  </si>
  <si>
    <r>
      <rPr>
        <rFont val="Arial, sans-serif"/>
        <color rgb="FF1155CC"/>
        <sz val="9.0"/>
        <u/>
      </rPr>
      <t>Diari de Tarragona</t>
    </r>
    <r>
      <rPr>
        <rFont val="Arial, sans-serif"/>
        <color rgb="FF1155CC"/>
        <sz val="15.0"/>
        <u/>
      </rPr>
      <t>Alarma sindical por la posible pérdida de la inversión millonaria de Repsol</t>
    </r>
    <r>
      <rPr>
        <rFont val="Arial, sans-serif"/>
        <color rgb="FF1155CC"/>
        <sz val="11.0"/>
        <u/>
      </rPr>
      <t>Las alarmas han saltado en las organizaciones sindicales del Camp de Tarragona. La posible pérdida de la inversión de 1.100 millones de euros de Repsol en...</t>
    </r>
    <r>
      <rPr>
        <rFont val="Arial, sans-serif"/>
        <color rgb="FF1155CC"/>
        <sz val="12.0"/>
        <u/>
      </rPr>
      <t>.</t>
    </r>
    <r>
      <rPr>
        <rFont val="Arial, sans-serif"/>
        <color rgb="FF1155CC"/>
        <sz val="11.0"/>
        <u/>
      </rPr>
      <t>21 oct 2024</t>
    </r>
  </si>
  <si>
    <t>Alarma sindical por la posible pérdida de la inversión millonaria de Repsol</t>
  </si>
  <si>
    <t>Las alarmas han saltado en las organizaciones sindicales del Camp de Tarragona. La posible pérdida de la inversión de 1.100 millones de euros de Repsol en....</t>
  </si>
  <si>
    <t>Union alarm over the possible loss of Repsol's million-dollar investment</t>
  </si>
  <si>
    <t>Alarms have gone off in the union organizations of Camp de Tarragona. The possible loss of Repsol's 1.1 billion euro investment in....</t>
  </si>
  <si>
    <t>union alarm, loss of investment</t>
  </si>
  <si>
    <t>alarma sindical, pérdida de inversión</t>
  </si>
  <si>
    <t>Negative as it indicates economic and labor instability.</t>
  </si>
  <si>
    <t>alarma, pérdida</t>
  </si>
  <si>
    <t>Negative labor impact.</t>
  </si>
  <si>
    <t>Impacto laboral negativo.</t>
  </si>
  <si>
    <r>
      <rPr>
        <rFont val="Arial, sans-serif"/>
        <color rgb="FF1155CC"/>
        <sz val="9.0"/>
        <u/>
      </rPr>
      <t>Guía Repsol</t>
    </r>
    <r>
      <rPr>
        <rFont val="Arial, sans-serif"/>
        <color rgb="FF1155CC"/>
        <sz val="15.0"/>
        <u/>
      </rPr>
      <t>El robledal encantado de la ruta del barranco del Bornova</t>
    </r>
    <r>
      <rPr>
        <rFont val="Arial, sans-serif"/>
        <color rgb="FF1155CC"/>
        <sz val="11.0"/>
        <u/>
      </rPr>
      <t>No tiene nombre, ni oficial, ni oficioso, este pequeño y solitario robledal, oculto en el barranco perdido del Bornova (Hiendelaencina, Guadalajara),...</t>
    </r>
    <r>
      <rPr>
        <rFont val="Arial, sans-serif"/>
        <color rgb="FF1155CC"/>
        <sz val="12.0"/>
        <u/>
      </rPr>
      <t>.</t>
    </r>
    <r>
      <rPr>
        <rFont val="Arial, sans-serif"/>
        <color rgb="FF1155CC"/>
        <sz val="11.0"/>
        <u/>
      </rPr>
      <t>21 oct 2024</t>
    </r>
  </si>
  <si>
    <t>El robledal encantado de la ruta del barranco del Bornova</t>
  </si>
  <si>
    <t>No tiene nombre, ni oficial, ni oficioso, este pequeño y solitario robledal, oculto en el barranco perdido del Bornova (Hiendelaencina, Guadalajara),....</t>
  </si>
  <si>
    <t>The enchanted oak grove on the Bornova ravine route</t>
  </si>
  <si>
    <t>This small and solitary oak grove, hidden in the lost ravine of Bornova (Hiendelaencina, Guadalajara), has no name, neither official nor unofficial....</t>
  </si>
  <si>
    <r>
      <rPr>
        <rFont val="Arial, sans-serif"/>
        <color rgb="FF1155CC"/>
        <sz val="9.0"/>
        <u/>
      </rPr>
      <t>Guía Repsol</t>
    </r>
    <r>
      <rPr>
        <rFont val="Arial, sans-serif"/>
        <color rgb="FF1155CC"/>
        <sz val="15.0"/>
        <u/>
      </rPr>
      <t>La joven cocina con gancho que triunfa en Chamberí y que debes probar</t>
    </r>
    <r>
      <rPr>
        <rFont val="Arial, sans-serif"/>
        <color rgb="FF1155CC"/>
        <sz val="11.0"/>
        <u/>
      </rPr>
      <t>TonTon: Un viaje culinario a través de los sentidos en Chamberí. Saborea la cocina de autor de Bosco Suárez de Puga, Alice Reydet y Arnaud Bernard en un...</t>
    </r>
    <r>
      <rPr>
        <rFont val="Arial, sans-serif"/>
        <color rgb="FF1155CC"/>
        <sz val="12.0"/>
        <u/>
      </rPr>
      <t>.</t>
    </r>
    <r>
      <rPr>
        <rFont val="Arial, sans-serif"/>
        <color rgb="FF1155CC"/>
        <sz val="11.0"/>
        <u/>
      </rPr>
      <t>21 oct 2024</t>
    </r>
  </si>
  <si>
    <t>La joven cocina con gancho que triunfa en Chamberí y que debes probar</t>
  </si>
  <si>
    <t>TonTon: Un viaje culinario a través de los sentidos en Chamberí. Saborea la cocina de autor de Bosco Suárez de Puga, Alice Reydet y Arnaud Bernard en un....</t>
  </si>
  <si>
    <t>The young kitchen with a hook that is triumphing in Chamberí and that you should try</t>
  </si>
  <si>
    <t>TonTon: A culinary journey through the senses in Chamberí. Savor the signature cuisine of Bosco Suárez de Puga, Alice Reydet and Arnaud Bernard in a...</t>
  </si>
  <si>
    <r>
      <rPr>
        <rFont val="Arial, sans-serif"/>
        <color rgb="FF1155CC"/>
        <sz val="9.0"/>
        <u/>
      </rPr>
      <t>Diari de Tarragona</t>
    </r>
    <r>
      <rPr>
        <rFont val="Arial, sans-serif"/>
        <color rgb="FF1155CC"/>
        <sz val="15.0"/>
        <u/>
      </rPr>
      <t>Las reacciones políticas sobre la posible pérdida de la inversión millonaria de Repsol en Tarragona</t>
    </r>
    <r>
      <rPr>
        <rFont val="Arial, sans-serif"/>
        <color rgb="FF1155CC"/>
        <sz val="11.0"/>
        <u/>
      </rPr>
      <t>Perfil bajo. Mensajes sin responder. Respuestas con tópicos. Más de un silencio. Información que se diluye. Idas y venidas. Poco ruido. Estas son las ...</t>
    </r>
    <r>
      <rPr>
        <rFont val="Arial, sans-serif"/>
        <color rgb="FF1155CC"/>
        <sz val="12.0"/>
        <u/>
      </rPr>
      <t>.</t>
    </r>
    <r>
      <rPr>
        <rFont val="Arial, sans-serif"/>
        <color rgb="FF1155CC"/>
        <sz val="11.0"/>
        <u/>
      </rPr>
      <t>21 oct 2024</t>
    </r>
  </si>
  <si>
    <t>Las reacciones políticas sobre la posible pérdida de la inversión millonaria de Repsol en Tarragona</t>
  </si>
  <si>
    <t>Las reacciones políticas sobre la posible pérdida de la inversión millonaria de Repsol en TarragonaPerfil bajo. Mensajes sin responder. Respuestas con tópicos. Más de un silencio. Información que se diluye. Idas y venidas. Poco ruido. Estas son las ....</t>
  </si>
  <si>
    <t>Political reactions to the possible loss of Repsol's million-dollar investment in Tarragona</t>
  </si>
  <si>
    <t>Political reactions to the possible loss of Repsol's million-dollar investment in TarragonaLow profile. Unanswered messages. Answers with topics. More of a silence. Information that is diluted. Comings and comings. Little noise. These are the....</t>
  </si>
  <si>
    <r>
      <rPr>
        <rFont val="Arial, sans-serif"/>
        <color rgb="FF1155CC"/>
        <sz val="9.0"/>
        <u/>
      </rPr>
      <t>Diari de Tarragona</t>
    </r>
    <r>
      <rPr>
        <rFont val="Arial, sans-serif"/>
        <color rgb="FF1155CC"/>
        <sz val="15.0"/>
        <u/>
      </rPr>
      <t>El Morell pide «responsabilidad» al Gobierno para salvar el proyecto de ecoplanta de Repsol</t>
    </r>
    <r>
      <rPr>
        <rFont val="Arial, sans-serif"/>
        <color rgb="FF1155CC"/>
        <sz val="11.0"/>
        <u/>
      </rPr>
      <t>El alcalde de El Morell, Eloi Calbet, ha catalogado de «falta de responsabilidad» el deseo del Gobierno central de hacer permanente el impuesto extrao...</t>
    </r>
    <r>
      <rPr>
        <rFont val="Arial, sans-serif"/>
        <color rgb="FF1155CC"/>
        <sz val="12.0"/>
        <u/>
      </rPr>
      <t>.</t>
    </r>
    <r>
      <rPr>
        <rFont val="Arial, sans-serif"/>
        <color rgb="FF1155CC"/>
        <sz val="11.0"/>
        <u/>
      </rPr>
      <t>21 oct 2024</t>
    </r>
  </si>
  <si>
    <t>El Morell pide «responsabilidad» al Gobierno para salvar el proyecto de ecoplanta de Repsol</t>
  </si>
  <si>
    <t>El alcalde de El Morell, Eloi Calbet, ha catalogado de «falta de responsabilidad» el deseo del Gobierno central de hacer permanente el impuesto extrao....</t>
  </si>
  <si>
    <t>El Morell asks the Government for “responsibility” to save the Repsol eco-plant project</t>
  </si>
  <si>
    <t>The mayor of El Morell, Eloi Calbet, has described the central government's desire to make the foreign tax permanent as a "lack of responsibility"....</t>
  </si>
  <si>
    <t>responsibility, eco-plant project</t>
  </si>
  <si>
    <t>responsabilidad, proyecto de ecoplanta</t>
  </si>
  <si>
    <t>Negative as it criticizes governmental actions potentially blocking investment.</t>
  </si>
  <si>
    <t>responsabilidad, salvar</t>
  </si>
  <si>
    <t>Mildly positive local appeal.</t>
  </si>
  <si>
    <t>Atractivo local ligeramente positivo.</t>
  </si>
  <si>
    <r>
      <rPr>
        <rFont val="Arial, sans-serif"/>
        <color rgb="FF1155CC"/>
        <sz val="9.0"/>
        <u/>
      </rPr>
      <t>El Mundo</t>
    </r>
    <r>
      <rPr>
        <rFont val="Arial, sans-serif"/>
        <color rgb="FF1155CC"/>
        <sz val="15.0"/>
        <u/>
      </rPr>
      <t>Repsol: el impuesto a las energéticas ahuyenta la inversión</t>
    </r>
    <r>
      <rPr>
        <rFont val="Arial, sans-serif"/>
        <color rgb="FF1155CC"/>
        <sz val="11.0"/>
        <u/>
      </rPr>
      <t>El castigo a las energéticas en forma de impuesto a sus beneficios -que el Gobierno aprobó como provisional y ahora ha decidido perpetuar pese a que la...</t>
    </r>
    <r>
      <rPr>
        <rFont val="Arial, sans-serif"/>
        <color rgb="FF1155CC"/>
        <sz val="12.0"/>
        <u/>
      </rPr>
      <t>.</t>
    </r>
    <r>
      <rPr>
        <rFont val="Arial, sans-serif"/>
        <color rgb="FF1155CC"/>
        <sz val="11.0"/>
        <u/>
      </rPr>
      <t>21 oct 2024</t>
    </r>
  </si>
  <si>
    <t>Repsol: el impuesto a las energéticas ahuyenta la inversión</t>
  </si>
  <si>
    <t>El castigo a las energéticas en forma de impuesto a sus beneficios -que el Gobierno aprobó como provisional y ahora ha decidido perpetuar pese a que la....</t>
  </si>
  <si>
    <t>Repsol: the tax on energy companies scares away investment</t>
  </si>
  <si>
    <t>The punishment of energy companies in the form of a tax on their profits - which the Government approved as provisional and has now decided to perpetuate despite the...</t>
  </si>
  <si>
    <t>tax, scares away investment</t>
  </si>
  <si>
    <t>impuesto, asusta la inversión</t>
  </si>
  <si>
    <t>Negative as it frames the tax policy as a deterrent to business growth.</t>
  </si>
  <si>
    <t>ahuyenta, impuesto</t>
  </si>
  <si>
    <t>Negative tax impact.</t>
  </si>
  <si>
    <t>Impacto fiscal negativo.</t>
  </si>
  <si>
    <r>
      <rPr>
        <rFont val="Arial, sans-serif"/>
        <color rgb="FF1155CC"/>
        <sz val="9.0"/>
        <u/>
      </rPr>
      <t>Diari de Tarragona</t>
    </r>
    <r>
      <rPr>
        <rFont val="Arial, sans-serif"/>
        <color rgb="FF1155CC"/>
        <sz val="15.0"/>
        <u/>
      </rPr>
      <t>El polo petroquímico de Tarragona se juega su futuro industrial</t>
    </r>
    <r>
      <rPr>
        <rFont val="Arial, sans-serif"/>
        <color rgb="FF1155CC"/>
        <sz val="11.0"/>
        <u/>
      </rPr>
      <t>Hasta 1.100 millones de euros en una inversión estratégica para el futuro del polo petroquímico de Tarragona penden de un hilo. Hoy expiraba el plazo ...</t>
    </r>
    <r>
      <rPr>
        <rFont val="Arial, sans-serif"/>
        <color rgb="FF1155CC"/>
        <sz val="12.0"/>
        <u/>
      </rPr>
      <t>.</t>
    </r>
    <r>
      <rPr>
        <rFont val="Arial, sans-serif"/>
        <color rgb="FF1155CC"/>
        <sz val="11.0"/>
        <u/>
      </rPr>
      <t>21 oct 2024</t>
    </r>
  </si>
  <si>
    <t>El polo petroquímico de Tarragona se juega su futuro industrial</t>
  </si>
  <si>
    <t>Hasta 1.100 millones de euros en una inversión estratégica para el futuro del polo petroquímico de Tarragona penden de un hilo. Hoy expiraba el plazo ....</t>
  </si>
  <si>
    <t>The petrochemical hub of Tarragona is risking its industrial future</t>
  </si>
  <si>
    <t>Up to 1.1 billion euros in a strategic investment for the future of the petrochemical hub of Tarragona hangs in the balance. Today the deadline expired....</t>
  </si>
  <si>
    <t>risking industrial future, investment</t>
  </si>
  <si>
    <t>arriesgar el futuro industrial, inversión</t>
  </si>
  <si>
    <t>Negative due to economic and industrial uncertainty.</t>
  </si>
  <si>
    <t>Negative industrial uncertainty.</t>
  </si>
  <si>
    <t>Incertidumbre industrial negativa.</t>
  </si>
  <si>
    <r>
      <rPr>
        <rFont val="Arial, sans-serif"/>
        <color rgb="FF1155CC"/>
        <sz val="9.0"/>
        <u/>
      </rPr>
      <t>El Nacional.cat</t>
    </r>
    <r>
      <rPr>
        <rFont val="Arial, sans-serif"/>
        <color rgb="FF1155CC"/>
        <sz val="15.0"/>
        <u/>
      </rPr>
      <t>Catalunya se juega una inversión de 1.100 millones por el impuesto a las energéticas</t>
    </r>
    <r>
      <rPr>
        <rFont val="Arial, sans-serif"/>
        <color rgb="FF1155CC"/>
        <sz val="11.0"/>
        <u/>
      </rPr>
      <t>Se agota el periodo de enmiendas en el Congreso y Moncloa ya ha enviado a Bruselas un plan fiscal que prevé el impuesto.</t>
    </r>
    <r>
      <rPr>
        <rFont val="Arial, sans-serif"/>
        <color rgb="FF1155CC"/>
        <sz val="12.0"/>
        <u/>
      </rPr>
      <t>.</t>
    </r>
    <r>
      <rPr>
        <rFont val="Arial, sans-serif"/>
        <color rgb="FF1155CC"/>
        <sz val="11.0"/>
        <u/>
      </rPr>
      <t>21 oct 2024</t>
    </r>
  </si>
  <si>
    <t>Catalunya se juega una inversión de 1.100 millones por el impuesto a las energéticas</t>
  </si>
  <si>
    <t>Se agota el periodo de enmiendas en el Congreso y Moncloa ya ha enviado a Bruselas un plan fiscal que prevé el impuesto.</t>
  </si>
  <si>
    <t>Catalonia is risking an investment of 1,100 million for the tax on energy companies</t>
  </si>
  <si>
    <t>The period for amendments in Congress is running out and Moncloa has already sent a fiscal plan to Brussels that foresees the tax.</t>
  </si>
  <si>
    <t>risking investment, tax</t>
  </si>
  <si>
    <t>inversión arriesgada, impuesto</t>
  </si>
  <si>
    <t>Negative as it emphasizes economic uncertainty caused by tax policies.</t>
  </si>
  <si>
    <t>impuesto, inversión</t>
  </si>
  <si>
    <t>Negative economic impact.</t>
  </si>
  <si>
    <t>Impacto económico negativo.</t>
  </si>
  <si>
    <r>
      <rPr>
        <rFont val="Arial, sans-serif"/>
        <color rgb="FF1155CC"/>
        <sz val="9.0"/>
        <u/>
      </rPr>
      <t>El Economista</t>
    </r>
    <r>
      <rPr>
        <rFont val="Arial, sans-serif"/>
        <color rgb="FF1155CC"/>
        <sz val="15.0"/>
        <u/>
      </rPr>
      <t>'Foment' alerta de que el impuesto a las energéticas pone en riesgo el polo químico de Tarragona</t>
    </r>
    <r>
      <rPr>
        <rFont val="Arial, sans-serif"/>
        <color rgb="FF1155CC"/>
        <sz val="11.0"/>
        <u/>
      </rPr>
      <t>La patronal Foment del Treball ha alertado este lunes sobre los efectos perjudiciales de consolidar de forma permanente el impuesto ...</t>
    </r>
    <r>
      <rPr>
        <rFont val="Arial, sans-serif"/>
        <color rgb="FF1155CC"/>
        <sz val="12.0"/>
        <u/>
      </rPr>
      <t>.</t>
    </r>
    <r>
      <rPr>
        <rFont val="Arial, sans-serif"/>
        <color rgb="FF1155CC"/>
        <sz val="11.0"/>
        <u/>
      </rPr>
      <t>21 oct 2024</t>
    </r>
  </si>
  <si>
    <t>Foment alerta de que el impuesto a las energéticas pone en riesgo el polo químico de Tarragona</t>
  </si>
  <si>
    <t>La patronal Foment del Treball ha alertado este lunes sobre los efectos perjudiciales de consolidar de forma permanente el impuesto ....</t>
  </si>
  <si>
    <t>Foment warns that the tax on energy companies puts the Tarragona chemical hub at risk</t>
  </si>
  <si>
    <t>The Foment del Treball employer's association has warned this Monday about the detrimental effects of permanently consolidating the tax....</t>
  </si>
  <si>
    <t>tax, risk</t>
  </si>
  <si>
    <t>impuesto, riesgo</t>
  </si>
  <si>
    <t>Negative as it raises concerns about the long-term viability of industrial investment in the region.</t>
  </si>
  <si>
    <t>riesgo, impuesto</t>
  </si>
  <si>
    <t>Negative warning.</t>
  </si>
  <si>
    <t>Advertencia negativa.</t>
  </si>
  <si>
    <r>
      <rPr>
        <rFont val="Arial, sans-serif"/>
        <color rgb="FF1155CC"/>
        <sz val="9.0"/>
        <u/>
      </rPr>
      <t>El Economista</t>
    </r>
    <r>
      <rPr>
        <rFont val="Arial, sans-serif"/>
        <color rgb="FF1155CC"/>
        <sz val="15.0"/>
        <u/>
      </rPr>
      <t>Repsol congela sus inversiones en hidrógeno verde en España</t>
    </r>
    <r>
      <rPr>
        <rFont val="Arial, sans-serif"/>
        <color rgb="FF1155CC"/>
        <sz val="11.0"/>
        <u/>
      </rPr>
      <t>La decisión de Repsol podría comprometer las ambiciones de España, que pretende convertirse en un líder mundial del hidrógeno verde.</t>
    </r>
    <r>
      <rPr>
        <rFont val="Arial, sans-serif"/>
        <color rgb="FF1155CC"/>
        <sz val="12.0"/>
        <u/>
      </rPr>
      <t>.</t>
    </r>
    <r>
      <rPr>
        <rFont val="Arial, sans-serif"/>
        <color rgb="FF1155CC"/>
        <sz val="11.0"/>
        <u/>
      </rPr>
      <t>21 oct 2024</t>
    </r>
  </si>
  <si>
    <t>Repsol congela sus inversiones en hidrógeno verde en España</t>
  </si>
  <si>
    <t>La decisión de Repsol podría comprometer las ambiciones de España, que pretende convertirse en un líder mundial del hidrógeno verde.</t>
  </si>
  <si>
    <t>Repsol freezes its investments in green hydrogen in Spain</t>
  </si>
  <si>
    <t>Repsol's decision could compromise the ambitions of Spain, which aims to become a world leader in green hydrogen.</t>
  </si>
  <si>
    <t>freezes investments, green hydrogen</t>
  </si>
  <si>
    <t>congela inversiones, hidrógeno verde</t>
  </si>
  <si>
    <t>Negative as it signals delays in Spain's green hydrogen development and lost opportunities.</t>
  </si>
  <si>
    <t>congela, inversiones</t>
  </si>
  <si>
    <t>Negative for green transition.</t>
  </si>
  <si>
    <t>Negativo para la transición verde.</t>
  </si>
  <si>
    <r>
      <rPr>
        <rFont val="Arial, sans-serif"/>
        <color rgb="FF1155CC"/>
        <sz val="9.0"/>
        <u/>
      </rPr>
      <t>Finanzas.com</t>
    </r>
    <r>
      <rPr>
        <rFont val="Arial, sans-serif"/>
        <color rgb="FF1155CC"/>
        <sz val="15.0"/>
        <u/>
      </rPr>
      <t>Las compañías más baratas del IBEX 35</t>
    </r>
    <r>
      <rPr>
        <rFont val="Arial, sans-serif"/>
        <color rgb="FF1155CC"/>
        <sz val="11.0"/>
        <u/>
      </rPr>
      <t>Repsol, IAG y los bancos son las compañías más baratas del IBEX 35 si se atiende a su ratio PER. Aunque los expertos avisan de que hay que tener en cuenta...</t>
    </r>
    <r>
      <rPr>
        <rFont val="Arial, sans-serif"/>
        <color rgb="FF1155CC"/>
        <sz val="12.0"/>
        <u/>
      </rPr>
      <t>.</t>
    </r>
    <r>
      <rPr>
        <rFont val="Arial, sans-serif"/>
        <color rgb="FF1155CC"/>
        <sz val="11.0"/>
        <u/>
      </rPr>
      <t>21 oct 2024</t>
    </r>
  </si>
  <si>
    <t>Repsol, IAG y los bancos son las compañías más baratas del IBEX 35 si se atiende a su ratio PER.</t>
  </si>
  <si>
    <t>Repsol, IAG y los bancos son las compañías más baratas del IBEX 35 si se atiende a su ratio PER. Aunque los expertos avisan de que hay que tener en cuenta....</t>
  </si>
  <si>
    <t>Repsol, IAG and the banks are the cheapest companies on the IBEX 35 if you look at their PER ratio.</t>
  </si>
  <si>
    <t>Repsol, IAG and the banks are the cheapest companies on the IBEX 35 if you look at their PER ratio. Although experts warn that you have to take into account...</t>
  </si>
  <si>
    <t>Stock valuation analysis does not directly impact Repsol’s corporate image.</t>
  </si>
  <si>
    <r>
      <rPr>
        <rFont val="Arial, sans-serif"/>
        <color rgb="FF1155CC"/>
        <sz val="9.0"/>
        <u/>
      </rPr>
      <t>Cinco Días</t>
    </r>
    <r>
      <rPr>
        <rFont val="Arial, sans-serif"/>
        <color rgb="FF1155CC"/>
        <sz val="15.0"/>
        <u/>
      </rPr>
      <t>Los nuevos jefes</t>
    </r>
    <r>
      <rPr>
        <rFont val="Arial, sans-serif"/>
        <color rgb="FF1155CC"/>
        <sz val="11.0"/>
        <u/>
      </rPr>
      <t>La nueva directora de hidrógeno de Repsol: el nuevo director de pymes en España de Microsoft...</t>
    </r>
    <r>
      <rPr>
        <rFont val="Arial, sans-serif"/>
        <color rgb="FF1155CC"/>
        <sz val="12.0"/>
        <u/>
      </rPr>
      <t>.</t>
    </r>
    <r>
      <rPr>
        <rFont val="Arial, sans-serif"/>
        <color rgb="FF1155CC"/>
        <sz val="11.0"/>
        <u/>
      </rPr>
      <t>21 oct 2024</t>
    </r>
  </si>
  <si>
    <t>Los nuevos jefes</t>
  </si>
  <si>
    <t>La nueva directora de hidrógeno de Repsol: el nuevo director de pymes en España de Microsoft.</t>
  </si>
  <si>
    <t>The new bosses</t>
  </si>
  <si>
    <t>Repsol's new hydrogen director: Microsoft's new director of SMEs in Spain.</t>
  </si>
  <si>
    <r>
      <rPr>
        <rFont val="Arial, sans-serif"/>
        <color rgb="FF1155CC"/>
        <sz val="9.0"/>
        <u/>
      </rPr>
      <t>Bolsamania</t>
    </r>
    <r>
      <rPr>
        <rFont val="Arial, sans-serif"/>
        <color rgb="FF1155CC"/>
        <sz val="15.0"/>
        <u/>
      </rPr>
      <t>Repsol: Proyectos renovables en Nueva York</t>
    </r>
    <r>
      <rPr>
        <rFont val="Arial, sans-serif"/>
        <color rgb="FF1155CC"/>
        <sz val="11.0"/>
        <u/>
      </rPr>
      <t>1-. Según información aparecida en prensa, dos parques fotovoltaicos de 520 MW de ConnectGen/Repsol han precalificado para su puesta en marcha en conjunto...</t>
    </r>
    <r>
      <rPr>
        <rFont val="Arial, sans-serif"/>
        <color rgb="FF1155CC"/>
        <sz val="12.0"/>
        <u/>
      </rPr>
      <t>.</t>
    </r>
    <r>
      <rPr>
        <rFont val="Arial, sans-serif"/>
        <color rgb="FF1155CC"/>
        <sz val="11.0"/>
        <u/>
      </rPr>
      <t>21 oct 2024</t>
    </r>
  </si>
  <si>
    <t>Repsol: Proyectos renovables en Nueva York</t>
  </si>
  <si>
    <t>Según información aparecida en prensa, dos parques fotovoltaicos de 520 MW de ConnectGen/Repsol han precalificado para su puesta en marcha en conjunto.</t>
  </si>
  <si>
    <t>Repsol: Renewable projects in New York</t>
  </si>
  <si>
    <t>According to information appearing in the press, two 520 MW photovoltaic parks from ConnectGen/Repsol have been prequalified for joint commissioning.</t>
  </si>
  <si>
    <t>renewable projects, photovoltaic parks</t>
  </si>
  <si>
    <t>proyectos renovables, parques fotovoltaicos</t>
  </si>
  <si>
    <t>Positive as it highlights Repsol’s international expansion into renewables.</t>
  </si>
  <si>
    <t>Positive for green energy.</t>
  </si>
  <si>
    <t>Positivo para la energía verde.</t>
  </si>
  <si>
    <r>
      <rPr>
        <rFont val="Arial, sans-serif"/>
        <color rgb="FF1155CC"/>
        <sz val="9.0"/>
        <u/>
      </rPr>
      <t>Car and Driver</t>
    </r>
    <r>
      <rPr>
        <rFont val="Arial, sans-serif"/>
        <color rgb="FF1155CC"/>
        <sz val="15.0"/>
        <u/>
      </rPr>
      <t>La F1 tuvo que dar marcha atrás con los trofeos especiales de EEUU</t>
    </r>
    <r>
      <rPr>
        <rFont val="Arial, sans-serif"/>
        <color rgb="FF1155CC"/>
        <sz val="11.0"/>
        <u/>
      </rPr>
      <t>El Gran Premio de Estados Unidos había sido seleccionado para presentar en sociedad los 'Heroo', unas figuras que se asemejan a los pilotos con traje de...</t>
    </r>
    <r>
      <rPr>
        <rFont val="Arial, sans-serif"/>
        <color rgb="FF1155CC"/>
        <sz val="12.0"/>
        <u/>
      </rPr>
      <t>.</t>
    </r>
    <r>
      <rPr>
        <rFont val="Arial, sans-serif"/>
        <color rgb="FF1155CC"/>
        <sz val="11.0"/>
        <u/>
      </rPr>
      <t>21 oct 2024</t>
    </r>
  </si>
  <si>
    <t>La F1 tuvo que dar marcha atrás con los trofeos especiales de EEUU</t>
  </si>
  <si>
    <t>El Gran Premio de Estados Unidos había sido seleccionado para presentar en sociedad los 'Heroo', unas figuras que se asemejan a los pilotos con traje de....</t>
  </si>
  <si>
    <t>F1 had to back down with the US special trophies</t>
  </si>
  <si>
    <t>The United States Grand Prix had been selected to present the 'Heroo' in society, figures that resemble pilots in suits....</t>
  </si>
  <si>
    <r>
      <rPr>
        <rFont val="Arial, sans-serif"/>
        <color rgb="FF1155CC"/>
        <sz val="9.0"/>
        <u/>
      </rPr>
      <t>El Mundo</t>
    </r>
    <r>
      <rPr>
        <rFont val="Arial, sans-serif"/>
        <color rgb="FF1155CC"/>
        <sz val="15.0"/>
        <u/>
      </rPr>
      <t>Bandar Alkhorayef, ministro de Industria de Arabia Saudí: "Vemos grandes oportunidades para invertir en las mayores empresas españolas"</t>
    </r>
    <r>
      <rPr>
        <rFont val="Arial, sans-serif"/>
        <color rgb="FF1155CC"/>
        <sz val="11.0"/>
        <u/>
      </rPr>
      <t>Bandar Alkhorayef carga en Arabia Saudí con una de las carteras de mayor contenido estratégico en la Vision 2030, el gran proyecto que el reino saudí ha...</t>
    </r>
    <r>
      <rPr>
        <rFont val="Arial, sans-serif"/>
        <color rgb="FF1155CC"/>
        <sz val="12.0"/>
        <u/>
      </rPr>
      <t>.</t>
    </r>
    <r>
      <rPr>
        <rFont val="Arial, sans-serif"/>
        <color rgb="FF1155CC"/>
        <sz val="11.0"/>
        <u/>
      </rPr>
      <t>21 oct 2024</t>
    </r>
  </si>
  <si>
    <t>"Vemos grandes oportunidades para invertir en las mayores empresas españolas"</t>
  </si>
  <si>
    <t>"We see great opportunities to invest in the largest Spanish companies"</t>
  </si>
  <si>
    <r>
      <rPr>
        <rFont val="Arial, sans-serif"/>
        <color rgb="FF1155CC"/>
        <sz val="9.0"/>
        <u/>
      </rPr>
      <t>El Correo</t>
    </r>
    <r>
      <rPr>
        <rFont val="Arial, sans-serif"/>
        <color rgb="FF1155CC"/>
        <sz val="15.0"/>
        <u/>
      </rPr>
      <t>Josu Jon Imaz: Industria o populismo</t>
    </r>
    <r>
      <rPr>
        <rFont val="Arial, sans-serif"/>
        <color rgb="FF1155CC"/>
        <sz val="11.0"/>
        <u/>
      </rPr>
      <t>Josu Jon Imaz, consejero delegado de Repsol, critica con dureza la propuesta de «hacer permanente un nuevo impuesto a las energéticas» que considera...</t>
    </r>
    <r>
      <rPr>
        <rFont val="Arial, sans-serif"/>
        <color rgb="FF1155CC"/>
        <sz val="12.0"/>
        <u/>
      </rPr>
      <t>.</t>
    </r>
    <r>
      <rPr>
        <rFont val="Arial, sans-serif"/>
        <color rgb="FF1155CC"/>
        <sz val="11.0"/>
        <u/>
      </rPr>
      <t>21 oct 2024</t>
    </r>
  </si>
  <si>
    <t>Josu Jon Imaz: Industria o populismo</t>
  </si>
  <si>
    <t>Josu Jon Imaz, consejero delegado de Repsol, critica con dureza la propuesta de «hacer permanente un nuevo impuesto a las energéticas» que considera....</t>
  </si>
  <si>
    <t>Josu Jon Imaz: Industry or populism</t>
  </si>
  <si>
    <t>Josu Jon Imaz, CEO of Repsol, harshly criticizes the proposal to "make permanent a new tax on energy companies" which he considers...</t>
  </si>
  <si>
    <t>criticizes tax, populism</t>
  </si>
  <si>
    <t>Critica los impuestos, el populismo</t>
  </si>
  <si>
    <t>Negative as it reflects conflict with government policies and regulatory risks.</t>
  </si>
  <si>
    <t>populismo</t>
  </si>
  <si>
    <t>Negative political critique.</t>
  </si>
  <si>
    <t>Crítica política negativa.</t>
  </si>
  <si>
    <r>
      <rPr>
        <rFont val="Arial, sans-serif"/>
        <color rgb="FF1155CC"/>
        <sz val="9.0"/>
        <u/>
      </rPr>
      <t>Energías Renovables, el periodismo de las energías limpias.</t>
    </r>
    <r>
      <rPr>
        <rFont val="Arial, sans-serif"/>
        <color rgb="FF1155CC"/>
        <sz val="15.0"/>
        <u/>
      </rPr>
      <t>Repsol amenaza con la deslocalización si se mantiene el impuesto del 1,2% a las grandes energéticas</t>
    </r>
    <r>
      <rPr>
        <rFont val="Arial, sans-serif"/>
        <color rgb="FF1155CC"/>
        <sz val="11.0"/>
        <u/>
      </rPr>
      <t>Repsol amenaza con desviar sus inversiones a terceros países (entre ellos, Portugal) si el Ejecutivo PSOE-Sumar mantiene el impuesto del 1,2% a las...</t>
    </r>
    <r>
      <rPr>
        <rFont val="Arial, sans-serif"/>
        <color rgb="FF1155CC"/>
        <sz val="12.0"/>
        <u/>
      </rPr>
      <t>.</t>
    </r>
    <r>
      <rPr>
        <rFont val="Arial, sans-serif"/>
        <color rgb="FF1155CC"/>
        <sz val="11.0"/>
        <u/>
      </rPr>
      <t>22 oct 2024</t>
    </r>
  </si>
  <si>
    <t>Repsol amenaza con desviar sus inversiones a terceros países si se mantiene el impuesto del 1,2% a las grandes energéticas</t>
  </si>
  <si>
    <t>Repsol amenaza con desviar sus inversiones a terceros países (entre ellos, Portugal) si el Ejecutivo PSOE-Sumar mantiene el impuesto del 1,2% a las....</t>
  </si>
  <si>
    <t>Repsol threatens to divert its investments to third countries if the 1.2% tax on large energy companies is maintained</t>
  </si>
  <si>
    <t>Repsol threatens to divert its investments to third countries (including Portugal) if the PSOE-Sumar Executive maintains the 1.2% tax on...</t>
  </si>
  <si>
    <t>threatens, divert investments, tax</t>
  </si>
  <si>
    <t>amenazar, desviar inversiones, imponer impuestos</t>
  </si>
  <si>
    <t>Negative as it suggests instability and possible capital flight.</t>
  </si>
  <si>
    <t>amenaza, desviar</t>
  </si>
  <si>
    <t>Strong negative tax threat.</t>
  </si>
  <si>
    <t>Fuerte amenaza fiscal negativa.</t>
  </si>
  <si>
    <r>
      <rPr>
        <rFont val="Arial, sans-serif"/>
        <color rgb="FF1155CC"/>
        <sz val="9.0"/>
        <u/>
      </rPr>
      <t>Diario Público</t>
    </r>
    <r>
      <rPr>
        <rFont val="Arial, sans-serif"/>
        <color rgb="FF1155CC"/>
        <sz val="15.0"/>
        <u/>
      </rPr>
      <t>Repsol congela sus proyectos de hidrógeno verde en España</t>
    </r>
    <r>
      <rPr>
        <rFont val="Arial, sans-serif"/>
        <color rgb="FF1155CC"/>
        <sz val="11.0"/>
        <u/>
      </rPr>
      <t>La petrolera Repsol ha dejado en suspenso los proyectos de hidrógeno verde previstos en España, con una capacidad de electrólisis de 350 megavatios (MW),...</t>
    </r>
    <r>
      <rPr>
        <rFont val="Arial, sans-serif"/>
        <color rgb="FF1155CC"/>
        <sz val="12.0"/>
        <u/>
      </rPr>
      <t>.</t>
    </r>
    <r>
      <rPr>
        <rFont val="Arial, sans-serif"/>
        <color rgb="FF1155CC"/>
        <sz val="11.0"/>
        <u/>
      </rPr>
      <t>22 oct 2024</t>
    </r>
  </si>
  <si>
    <t>Repsol congela sus proyectos de hidrógeno verde en España</t>
  </si>
  <si>
    <t>La petrolera Repsol ha dejado en suspenso los proyectos de hidrógeno verde previstos en España, con una capacidad de electrólisis de 350 megavatios (MW),....</t>
  </si>
  <si>
    <t>Repsol freezes its green hydrogen projects in Spain</t>
  </si>
  <si>
    <t>The oil company Repsol has put on hold the green hydrogen projects planned in Spain, with an electrolysis capacity of 350 megawatts (MW)....</t>
  </si>
  <si>
    <t>freezes, green hydrogen</t>
  </si>
  <si>
    <t>se congela, hidrógeno verde</t>
  </si>
  <si>
    <t>Negative as it signals a pause in renewable energy investments.</t>
  </si>
  <si>
    <t>congela, proyectos</t>
  </si>
  <si>
    <t>Negative for green energy.</t>
  </si>
  <si>
    <t>Negativo para la energía verde.</t>
  </si>
  <si>
    <r>
      <rPr>
        <rFont val="Arial, sans-serif"/>
        <color rgb="FF1155CC"/>
        <sz val="9.0"/>
        <u/>
      </rPr>
      <t>EL PAÍS</t>
    </r>
    <r>
      <rPr>
        <rFont val="Arial, sans-serif"/>
        <color rgb="FF1155CC"/>
        <sz val="15.0"/>
        <u/>
      </rPr>
      <t>Sumar propone que el Estado tome el control en Repsol tras llevarse inversiones fuera de España</t>
    </r>
    <r>
      <rPr>
        <rFont val="Arial, sans-serif"/>
        <color rgb="FF1155CC"/>
        <sz val="11.0"/>
        <u/>
      </rPr>
      <t>El consejero delegado de Repsol critica duramente el impuesto extraordinario a las energéticas: “es el peaje a pagar para que Sumar siga sosteniendo un...</t>
    </r>
    <r>
      <rPr>
        <rFont val="Arial, sans-serif"/>
        <color rgb="FF1155CC"/>
        <sz val="12.0"/>
        <u/>
      </rPr>
      <t>.</t>
    </r>
    <r>
      <rPr>
        <rFont val="Arial, sans-serif"/>
        <color rgb="FF1155CC"/>
        <sz val="11.0"/>
        <u/>
      </rPr>
      <t>22 oct 2024</t>
    </r>
  </si>
  <si>
    <t>Sumar propone que el Estado tome el control en Repsol tras llevarse inversiones fuera de España</t>
  </si>
  <si>
    <t>El consejero delegado de Repsol critica duramente el impuesto extraordinario a las energéticas: “es el peaje a pagar para que Sumar siga sosteniendo un....</t>
  </si>
  <si>
    <t>Sumar proposes that the State take control of Repsol after taking investments outside of Spain</t>
  </si>
  <si>
    <t>The CEO of Repsol harshly criticizes the extraordinary tax on energy companies: “it is the toll to pay for Sumar to continue maintaining a...</t>
  </si>
  <si>
    <t>take control, investments outside Spain</t>
  </si>
  <si>
    <t>tomar el control, inversiones fuera de España</t>
  </si>
  <si>
    <t>Negative as it implies political tensions and regulatory uncertainty.</t>
  </si>
  <si>
    <t>tome control</t>
  </si>
  <si>
    <t>Negative political reaction.</t>
  </si>
  <si>
    <t>Reacción política negativa.</t>
  </si>
  <si>
    <r>
      <rPr>
        <rFont val="Arial, sans-serif"/>
        <color rgb="FF1155CC"/>
        <sz val="9.0"/>
        <u/>
      </rPr>
      <t>El Confidencial</t>
    </r>
    <r>
      <rPr>
        <rFont val="Arial, sans-serif"/>
        <color rgb="FF1155CC"/>
        <sz val="15.0"/>
        <u/>
      </rPr>
      <t>Imaz (Repsol) carga contra el impuesto a las energéticas: "Me repugna la demagogia fiscal"</t>
    </r>
    <r>
      <rPr>
        <rFont val="Arial, sans-serif"/>
        <color rgb="FF1155CC"/>
        <sz val="11.0"/>
        <u/>
      </rPr>
      <t>El consejero delegado de Repsol, Josu Jon Imaz, ha arremetido contra la decisión del Gobierno de hacer permanente el impuesto al sector energético y la...</t>
    </r>
    <r>
      <rPr>
        <rFont val="Arial, sans-serif"/>
        <color rgb="FF1155CC"/>
        <sz val="12.0"/>
        <u/>
      </rPr>
      <t>.</t>
    </r>
    <r>
      <rPr>
        <rFont val="Arial, sans-serif"/>
        <color rgb="FF1155CC"/>
        <sz val="11.0"/>
        <u/>
      </rPr>
      <t>22 oct 2024</t>
    </r>
  </si>
  <si>
    <t>Imaz (Repsol) carga contra el impuesto a las energéticas: "Me repugna la demagogia fiscal"</t>
  </si>
  <si>
    <t>"Me repugna la demagogia fiscal" El consejero delegado de Repsol, Josu Jon Imaz, ha arremetido contra la decisión del Gobierno de hacer permanente el impuesto al sector energético y la....</t>
  </si>
  <si>
    <t>Imaz (Repsol) attacks the tax on energy companies: "I am repelled by fiscal demagoguery"</t>
  </si>
  <si>
    <t>"I am repelled by fiscal demagogy" The CEO of Repsol, Josu Jon Imaz, has attacked the Government's decision to make the tax on the energy sector permanent and...</t>
  </si>
  <si>
    <t>attacks tax, fiscal demagoguery</t>
  </si>
  <si>
    <t>ataca al impuesto, demagogia fiscal</t>
  </si>
  <si>
    <t>Negative as it reflects tension between Repsol and the government, signaling regulatory conflict.</t>
  </si>
  <si>
    <t>demagogia, impuesto</t>
  </si>
  <si>
    <r>
      <rPr>
        <rFont val="Arial, sans-serif"/>
        <color rgb="FF1155CC"/>
        <sz val="9.0"/>
        <u/>
      </rPr>
      <t>La Vanguardia</t>
    </r>
    <r>
      <rPr>
        <rFont val="Arial, sans-serif"/>
        <color rgb="FF1155CC"/>
        <sz val="15.0"/>
        <u/>
      </rPr>
      <t>Junts exige retirar el impuesto energético para salvar la inversión de Repsol en Tarragona</t>
    </r>
    <r>
      <rPr>
        <rFont val="Arial, sans-serif"/>
        <color rgb="FF1155CC"/>
        <sz val="11.0"/>
        <u/>
      </rPr>
      <t>El impuesto extraordinario a los beneficios de las grandes compañías energéticas que operan en España no tiene, en este momento, los apoyos parlamentarios...</t>
    </r>
    <r>
      <rPr>
        <rFont val="Arial, sans-serif"/>
        <color rgb="FF1155CC"/>
        <sz val="12.0"/>
        <u/>
      </rPr>
      <t>.</t>
    </r>
    <r>
      <rPr>
        <rFont val="Arial, sans-serif"/>
        <color rgb="FF1155CC"/>
        <sz val="11.0"/>
        <u/>
      </rPr>
      <t>22 oct 2024</t>
    </r>
  </si>
  <si>
    <t>Junts exige retirar el impuesto energético para salvar la inversión de Repsol en Tarragona</t>
  </si>
  <si>
    <t>El impuesto extraordinario a los beneficios de las grandes compañías energéticas que operan en España no tiene, en este momento, los apoyos parlamentarios.</t>
  </si>
  <si>
    <t>Junts demands to withdraw the energy tax to save Repsol's investment in Tarragona</t>
  </si>
  <si>
    <t>The extraordinary tax on the profits of large energy companies operating in Spain does not have, at this time, parliamentary support.</t>
  </si>
  <si>
    <t>withdraw tax, save investment</t>
  </si>
  <si>
    <t>retirar impuestos, ahorrar inversiones</t>
  </si>
  <si>
    <t>Negative due to policy instability but with potential for resolution.</t>
  </si>
  <si>
    <t>retirar, salvar</t>
  </si>
  <si>
    <t>Positive political pushback.</t>
  </si>
  <si>
    <t>Rechazo político positivo.</t>
  </si>
  <si>
    <r>
      <rPr>
        <rFont val="Arial, sans-serif"/>
        <color rgb="FF1155CC"/>
        <sz val="9.0"/>
        <u/>
      </rPr>
      <t>El Periódico de la Energía</t>
    </r>
    <r>
      <rPr>
        <rFont val="Arial, sans-serif"/>
        <color rgb="FF1155CC"/>
        <sz val="15.0"/>
        <u/>
      </rPr>
      <t>CCOO pide reunión una urgente a Repsol para evaluar la situación ante las inversiones en 'stand by'</t>
    </r>
    <r>
      <rPr>
        <rFont val="Arial, sans-serif"/>
        <color rgb="FF1155CC"/>
        <sz val="11.0"/>
        <u/>
      </rPr>
      <t>CCOO de Industria ha solicitado una reunión urgente a Repsol tras conocer que en España deja en 'stand by' proyectos con una capacidad de electrólisis de...</t>
    </r>
    <r>
      <rPr>
        <rFont val="Arial, sans-serif"/>
        <color rgb="FF1155CC"/>
        <sz val="12.0"/>
        <u/>
      </rPr>
      <t>.</t>
    </r>
    <r>
      <rPr>
        <rFont val="Arial, sans-serif"/>
        <color rgb="FF1155CC"/>
        <sz val="11.0"/>
        <u/>
      </rPr>
      <t>22 oct 2024</t>
    </r>
  </si>
  <si>
    <t>CCOO pide reunión urgente a Repsol para evaluar la situación ante las inversiones en 'stand by'</t>
  </si>
  <si>
    <t>CCOO de Industria ha solicitado una reunión urgente a Repsol tras conocer que en España deja en 'stand by' proyectos con una capacidad de electrólisis de....</t>
  </si>
  <si>
    <t>CCOO requests an urgent meeting with Repsol to evaluate the situation regarding investments in 'stand by'</t>
  </si>
  <si>
    <t>CCOO de Industria has requested an urgent meeting with Repsol after learning that in Spain it leaves projects with an electrolysis capacity of...</t>
  </si>
  <si>
    <t>urgent meeting, stand by investments</t>
  </si>
  <si>
    <t>reunión urgente, esperar inversiones</t>
  </si>
  <si>
    <t>Negative as it indicates uncertainty about Repsol’s investment plans.</t>
  </si>
  <si>
    <t>stand by</t>
  </si>
  <si>
    <t>Negative labor concern.</t>
  </si>
  <si>
    <t>Preocupación laboral negativa.</t>
  </si>
  <si>
    <r>
      <rPr>
        <rFont val="Arial, sans-serif"/>
        <color rgb="FF1155CC"/>
        <sz val="9.0"/>
        <u/>
      </rPr>
      <t>Diari ARA</t>
    </r>
    <r>
      <rPr>
        <rFont val="Arial, sans-serif"/>
        <color rgb="FF1155CC"/>
        <sz val="15.0"/>
        <u/>
      </rPr>
      <t>Repsol avisa de que el impuesto a las energéticas frenará las inversiones en Tarragona</t>
    </r>
    <r>
      <rPr>
        <rFont val="Arial, sans-serif"/>
        <color rgb="FF1155CC"/>
        <sz val="11.0"/>
        <u/>
      </rPr>
      <t>TarragonaRepsol ha advertido de que las principales inversiones que tenía previstas en el Camp de Tarragona se detendrán si el gobierno de Pedro Sánchez...</t>
    </r>
    <r>
      <rPr>
        <rFont val="Arial, sans-serif"/>
        <color rgb="FF1155CC"/>
        <sz val="12.0"/>
        <u/>
      </rPr>
      <t>.</t>
    </r>
    <r>
      <rPr>
        <rFont val="Arial, sans-serif"/>
        <color rgb="FF1155CC"/>
        <sz val="11.0"/>
        <u/>
      </rPr>
      <t>22 oct 2024</t>
    </r>
  </si>
  <si>
    <t>Repsol avisa de que el impuesto a las energéticas frenará las inversiones en Tarragona</t>
  </si>
  <si>
    <t>Repsol ha advertido de que las principales inversiones que tenía previstas en el Camp de Tarragona se detendrán si el gobierno de Pedro Sánchez....</t>
  </si>
  <si>
    <t>Repsol warns that the tax on energy companies will stop investments in Tarragona</t>
  </si>
  <si>
    <t>Repsol has warned that the main investments it had planned in Camp de Tarragona will stop if Pedro Sánchez's government...</t>
  </si>
  <si>
    <t>warns, stop investments</t>
  </si>
  <si>
    <t>advierte, detengan las inversiones</t>
  </si>
  <si>
    <t>Negative as it suggests halted development and financial uncertainty.</t>
  </si>
  <si>
    <t>frenará, impuesto</t>
  </si>
  <si>
    <t>Negative investment warning.</t>
  </si>
  <si>
    <t>Advertencia de inversión negativa.</t>
  </si>
  <si>
    <r>
      <rPr>
        <rFont val="Arial, sans-serif"/>
        <color rgb="FF1155CC"/>
        <sz val="9.0"/>
        <u/>
      </rPr>
      <t>El Periódico</t>
    </r>
    <r>
      <rPr>
        <rFont val="Arial, sans-serif"/>
        <color rgb="FF1155CC"/>
        <sz val="15.0"/>
        <u/>
      </rPr>
      <t>Repsol congela dos inversiones millonarias en Tarragona por el impuesto a las energéticas</t>
    </r>
    <r>
      <rPr>
        <rFont val="Arial, sans-serif"/>
        <color rgb="FF1155CC"/>
        <sz val="11.0"/>
        <u/>
      </rPr>
      <t>La multinacional advierte de que el 'populismo fiscal' compromete el futuro de la industria en España y amenaza con 'paralizar las inversiones' de 1.100...</t>
    </r>
    <r>
      <rPr>
        <rFont val="Arial, sans-serif"/>
        <color rgb="FF1155CC"/>
        <sz val="12.0"/>
        <u/>
      </rPr>
      <t>.</t>
    </r>
    <r>
      <rPr>
        <rFont val="Arial, sans-serif"/>
        <color rgb="FF1155CC"/>
        <sz val="11.0"/>
        <u/>
      </rPr>
      <t>22 oct 2024</t>
    </r>
  </si>
  <si>
    <t>Repsol congela dos inversiones millonarias en Tarragona por el impuesto a las energéticas</t>
  </si>
  <si>
    <t>La multinacional advierte de que el 'populismo fiscal' compromete el futuro de la industria en España y amenaza con 'paralizar las inversiones' de 1.100....</t>
  </si>
  <si>
    <t>Repsol freezes two million-dollar investments in Tarragona due to the tax on energy companies</t>
  </si>
  <si>
    <t>The multinational warns that 'fiscal populism' compromises the future of the industry in Spain and threatens to 'paralyze investments' of 1,100...</t>
  </si>
  <si>
    <t>freezes investments, paralyze</t>
  </si>
  <si>
    <t>congela inversiones, paraliza</t>
  </si>
  <si>
    <t>Negative due to potential economic impact and lost investment.</t>
  </si>
  <si>
    <t>congela, impuesto</t>
  </si>
  <si>
    <r>
      <rPr>
        <rFont val="Arial, sans-serif"/>
        <color rgb="FF1155CC"/>
        <sz val="9.0"/>
        <u/>
      </rPr>
      <t>Crónica Global</t>
    </r>
    <r>
      <rPr>
        <rFont val="Arial, sans-serif"/>
        <color rgb="FF1155CC"/>
        <sz val="15.0"/>
        <u/>
      </rPr>
      <t>Junts bloqueará el 'impuestazo' energético del Gobierno para retener la inversión de Repsol en Tarragona</t>
    </r>
    <r>
      <rPr>
        <rFont val="Arial, sans-serif"/>
        <color rgb="FF1155CC"/>
        <sz val="11.0"/>
        <u/>
      </rPr>
      <t>La formación de Puigdemont busca proteger el proyecto industrial estratégico en el mayor polo petroquímico de Cataluña Más información: El sector liberal de...</t>
    </r>
    <r>
      <rPr>
        <rFont val="Arial, sans-serif"/>
        <color rgb="FF1155CC"/>
        <sz val="12.0"/>
        <u/>
      </rPr>
      <t>.</t>
    </r>
    <r>
      <rPr>
        <rFont val="Arial, sans-serif"/>
        <color rgb="FF1155CC"/>
        <sz val="11.0"/>
        <u/>
      </rPr>
      <t>22 oct 2024</t>
    </r>
  </si>
  <si>
    <t>Junts bloqueará el 'impuestazo' energético del Gobierno para retener la inversión de Repsol en Tarragona</t>
  </si>
  <si>
    <t>La formación de Puigdemont busca proteger el proyecto industrial estratégico en el mayor polo petroquímico de Cataluña.</t>
  </si>
  <si>
    <t>Junts will block the Government's energy 'tax' to retain Repsol's investment in Tarragona</t>
  </si>
  <si>
    <t>Puigdemont's formation seeks to protect the strategic industrial project in the largest petrochemical hub in Catalonia.</t>
  </si>
  <si>
    <t>block tax, retain investment</t>
  </si>
  <si>
    <t>impuesto bloque, retener la inversión</t>
  </si>
  <si>
    <t>Negative due to political instability affecting Repsol’s future investments.</t>
  </si>
  <si>
    <t>bloqueará, retener</t>
  </si>
  <si>
    <t>Positive political action.</t>
  </si>
  <si>
    <t>Acción política positiva.</t>
  </si>
  <si>
    <r>
      <rPr>
        <rFont val="Arial, sans-serif"/>
        <color rgb="FF1155CC"/>
        <sz val="9.0"/>
        <u/>
      </rPr>
      <t>Radio Intereconomía</t>
    </r>
    <r>
      <rPr>
        <rFont val="Arial, sans-serif"/>
        <color rgb="FF1155CC"/>
        <sz val="15.0"/>
        <u/>
      </rPr>
      <t>Imaz, CEO de Repsol, carga contra la demagogia fiscal del Gobierno y el peaje de Sánchez a Sumar</t>
    </r>
    <r>
      <rPr>
        <rFont val="Arial, sans-serif"/>
        <color rgb="FF1155CC"/>
        <sz val="11.0"/>
        <u/>
      </rPr>
      <t>El consejero delegado de Repsol, Josu Jon Imaz, ha advertido de que la inversión en el sector energético español «se ralentizará al mínimo» por el...</t>
    </r>
    <r>
      <rPr>
        <rFont val="Arial, sans-serif"/>
        <color rgb="FF1155CC"/>
        <sz val="12.0"/>
        <u/>
      </rPr>
      <t>.</t>
    </r>
    <r>
      <rPr>
        <rFont val="Arial, sans-serif"/>
        <color rgb="FF1155CC"/>
        <sz val="11.0"/>
        <u/>
      </rPr>
      <t>22 oct 2024</t>
    </r>
  </si>
  <si>
    <t>Imaz, CEO de Repsol, carga contra la demagogia fiscal del Gobierno y el peaje de Sánchez a Sumar</t>
  </si>
  <si>
    <t>El consejero delegado de Repsol, Josu Jon Imaz, ha advertido de que la inversión en el sector energético español «se ralentizará al mínimo» por el....</t>
  </si>
  <si>
    <t>Imaz, CEO of Repsol, charges against the Government's fiscal demagoguery and Sánchez's toll on Sumar</t>
  </si>
  <si>
    <t>The CEO of Repsol, Josu Jon Imaz, has warned that investment in the Spanish energy sector "will slow down to a minimum" due to...</t>
  </si>
  <si>
    <t>charges against tax, slow down investment</t>
  </si>
  <si>
    <t>cargos contra impuestos, frenan la inversión</t>
  </si>
  <si>
    <t>Negative as it reinforces uncertainty and strained government relations.</t>
  </si>
  <si>
    <t>demagogia, peaje</t>
  </si>
  <si>
    <r>
      <rPr>
        <rFont val="Arial, sans-serif"/>
        <color rgb="FF1155CC"/>
        <sz val="9.0"/>
        <u/>
      </rPr>
      <t>Alicante Plaza</t>
    </r>
    <r>
      <rPr>
        <rFont val="Arial, sans-serif"/>
        <color rgb="FF1155CC"/>
        <sz val="15.0"/>
        <u/>
      </rPr>
      <t>TUI y Repsol prueban en Benidorm el biocombustible en autocares para reducir emisiones en destinos turísticos</t>
    </r>
    <r>
      <rPr>
        <rFont val="Arial, sans-serif"/>
        <color rgb="FF1155CC"/>
        <sz val="11.0"/>
        <u/>
      </rPr>
      <t>BENIDORM. TUI y Repsol han probado en Benidorm el uso de biocombustible en autocares a través de una iniciativa conjunta que tiene como objetivo la...</t>
    </r>
    <r>
      <rPr>
        <rFont val="Arial, sans-serif"/>
        <color rgb="FF1155CC"/>
        <sz val="12.0"/>
        <u/>
      </rPr>
      <t>.</t>
    </r>
    <r>
      <rPr>
        <rFont val="Arial, sans-serif"/>
        <color rgb="FF1155CC"/>
        <sz val="11.0"/>
        <u/>
      </rPr>
      <t>22 oct 2024</t>
    </r>
  </si>
  <si>
    <t>TUI y Repsol prueban en Benidorm el biocombustible en autocares para reducir emisiones en destinos turísticos</t>
  </si>
  <si>
    <t>TUI y Repsol han probado en Benidorm el uso de biocombustible en autocares a través de una iniciativa conjunta que tiene como objetivo la....</t>
  </si>
  <si>
    <t>TUI and Repsol test biofuel in coaches in Benidorm to reduce emissions in tourist destinations</t>
  </si>
  <si>
    <t>TUI and Repsol have tested the use of biofuel in coaches in Benidorm through a joint initiative that aims to...</t>
  </si>
  <si>
    <t>biofuel, reduce emissions</t>
  </si>
  <si>
    <t>biocombustible, reducir emisiones</t>
  </si>
  <si>
    <t>Positive as it highlights sustainability efforts in tourism-related energy solutions.</t>
  </si>
  <si>
    <r>
      <rPr>
        <rFont val="Arial, sans-serif"/>
        <color rgb="FF1155CC"/>
        <sz val="9.0"/>
        <u/>
      </rPr>
      <t>La Gaceta de la Iberosfera</t>
    </r>
    <r>
      <rPr>
        <rFont val="Arial, sans-serif"/>
        <color rgb="FF1155CC"/>
        <sz val="15.0"/>
        <u/>
      </rPr>
      <t>Repsol lleva inversiones a Portugal como protesta por el impuesto a las energéticas</t>
    </r>
    <r>
      <rPr>
        <rFont val="Arial, sans-serif"/>
        <color rgb="FF1155CC"/>
        <sz val="11.0"/>
        <u/>
      </rPr>
      <t>La compañía energética española Repsol ha cumplido su advertencia de trasladar sus inversiones a otros países debido al impuesto extraordinario a la banca...</t>
    </r>
    <r>
      <rPr>
        <rFont val="Arial, sans-serif"/>
        <color rgb="FF1155CC"/>
        <sz val="12.0"/>
        <u/>
      </rPr>
      <t>.</t>
    </r>
    <r>
      <rPr>
        <rFont val="Arial, sans-serif"/>
        <color rgb="FF1155CC"/>
        <sz val="11.0"/>
        <u/>
      </rPr>
      <t>22 oct 2024</t>
    </r>
  </si>
  <si>
    <t>Repsol lleva inversiones a Portugal como protesta por el impuesto a las energéticas</t>
  </si>
  <si>
    <t>La compañía energética española Repsol ha cumplido su advertencia de trasladar sus inversiones a otros países debido al impuesto extraordinario a la banca.</t>
  </si>
  <si>
    <t>Repsol brings investments to Portugal in protest against the tax on energy companies</t>
  </si>
  <si>
    <t>The Spanish energy company Repsol has fulfilled its warning to move its investments to other countries due to the extraordinary banking tax.</t>
  </si>
  <si>
    <t>brings investments, protest, tax</t>
  </si>
  <si>
    <t>trae inversiones, protesta, impuestos</t>
  </si>
  <si>
    <t>Negative as it signals investment flight due to policy disputes.</t>
  </si>
  <si>
    <t>protesta, impuesto</t>
  </si>
  <si>
    <t>Negative tax conflict.</t>
  </si>
  <si>
    <t>Conflicto fiscal negativo.</t>
  </si>
  <si>
    <r>
      <rPr>
        <rFont val="Arial, sans-serif"/>
        <color rgb="FF1155CC"/>
        <sz val="9.0"/>
        <u/>
      </rPr>
      <t>Libre Mercado</t>
    </r>
    <r>
      <rPr>
        <rFont val="Arial, sans-serif"/>
        <color rgb="FF1155CC"/>
        <sz val="15.0"/>
        <u/>
      </rPr>
      <t>Sumar propone intervenir Repsol por protestar contra el impuestazo energético</t>
    </r>
    <r>
      <rPr>
        <rFont val="Arial, sans-serif"/>
        <color rgb="FF1155CC"/>
        <sz val="11.0"/>
        <u/>
      </rPr>
      <t>La respuesta de Repsol, que podría llevarse más inversiones fuera de España, ha llevado a Sumar a amenazar con tomar el control de la compañía.</t>
    </r>
    <r>
      <rPr>
        <rFont val="Arial, sans-serif"/>
        <color rgb="FF1155CC"/>
        <sz val="12.0"/>
        <u/>
      </rPr>
      <t>.</t>
    </r>
    <r>
      <rPr>
        <rFont val="Arial, sans-serif"/>
        <color rgb="FF1155CC"/>
        <sz val="11.0"/>
        <u/>
      </rPr>
      <t>22 oct 2024</t>
    </r>
  </si>
  <si>
    <t>Sumar propone intervenir Repsol por protestar contra el impositazo energético</t>
  </si>
  <si>
    <t>La respuesta de Repsol, que podría llevarse más inversiones fuera de España, ha llevado a Sumar a amenazar con tomar el control de la compañía.</t>
  </si>
  <si>
    <t>Sumar proposes Repsol intervene for protesting against the energy tax</t>
  </si>
  <si>
    <t>Repsol's response, which could take more investments outside of Spain, has led Sumar to threaten to take control of the company.</t>
  </si>
  <si>
    <t>intervene, protest, take control</t>
  </si>
  <si>
    <t>intervenir, protestar, tomar el control</t>
  </si>
  <si>
    <t>Negative as it suggests severe political tensions and regulatory risks.</t>
  </si>
  <si>
    <t>intervenir, protestar</t>
  </si>
  <si>
    <r>
      <rPr>
        <rFont val="Arial, sans-serif"/>
        <color rgb="FF1155CC"/>
        <sz val="9.0"/>
        <u/>
      </rPr>
      <t>ENCLM</t>
    </r>
    <r>
      <rPr>
        <rFont val="Arial, sans-serif"/>
        <color rgb="FF1155CC"/>
        <sz val="15.0"/>
        <u/>
      </rPr>
      <t>«Industria o populismo», por Josu Jon Imaz, consejero delegado de Repsol</t>
    </r>
    <r>
      <rPr>
        <rFont val="Arial, sans-serif"/>
        <color rgb="FF1155CC"/>
        <sz val="11.0"/>
        <u/>
      </rPr>
      <t>Artículo de opinión del consejero delegado de Repsol sobre el impuesto a las refinerías. Repsol tiene inversiones en Castilla-La Mancha.</t>
    </r>
    <r>
      <rPr>
        <rFont val="Arial, sans-serif"/>
        <color rgb="FF1155CC"/>
        <sz val="12.0"/>
        <u/>
      </rPr>
      <t>.</t>
    </r>
    <r>
      <rPr>
        <rFont val="Arial, sans-serif"/>
        <color rgb="FF1155CC"/>
        <sz val="11.0"/>
        <u/>
      </rPr>
      <t>22 oct 2024</t>
    </r>
  </si>
  <si>
    <t>«Industria o populismo», por Josu Jon Imaz, consejero delegado de Repsol</t>
  </si>
  <si>
    <t>Artículo de opinión del consejero delegado de Repsol sobre el impuesto a las refinerías. Repsol tiene inversiones en Castilla-La Mancha.</t>
  </si>
  <si>
    <t>"Industry or populism", by Josu Jon Imaz, CEO of Repsol</t>
  </si>
  <si>
    <t>Opinion article by the CEO of Repsol on the tax on refineries. Repsol has investments in Castilla-La Mancha.</t>
  </si>
  <si>
    <t>industry, populism, tax on refineries</t>
  </si>
  <si>
    <t>industria, populismo, impuesto a las refinerías</t>
  </si>
  <si>
    <t>Negative as it highlights opposition to government policies and regulatory friction.</t>
  </si>
  <si>
    <t>Negative political framing.</t>
  </si>
  <si>
    <t>Encuadre político negativo.</t>
  </si>
  <si>
    <r>
      <rPr>
        <rFont val="Arial, sans-serif"/>
        <color rgb="FF1155CC"/>
        <sz val="9.0"/>
        <u/>
      </rPr>
      <t>Artículo 14</t>
    </r>
    <r>
      <rPr>
        <rFont val="Arial, sans-serif"/>
        <color rgb="FF1155CC"/>
        <sz val="15.0"/>
        <u/>
      </rPr>
      <t>Repsol paraliza su inversión en España por culpa de los impuestos</t>
    </r>
    <r>
      <rPr>
        <rFont val="Arial, sans-serif"/>
        <color rgb="FF1155CC"/>
        <sz val="11.0"/>
        <u/>
      </rPr>
      <t>La inversión de Repsol en España se queda en 'standby' por la presión fiscal del Gobierno sobre las energéticas.</t>
    </r>
    <r>
      <rPr>
        <rFont val="Arial, sans-serif"/>
        <color rgb="FF1155CC"/>
        <sz val="12.0"/>
        <u/>
      </rPr>
      <t>.</t>
    </r>
    <r>
      <rPr>
        <rFont val="Arial, sans-serif"/>
        <color rgb="FF1155CC"/>
        <sz val="11.0"/>
        <u/>
      </rPr>
      <t>22 oct 2024</t>
    </r>
  </si>
  <si>
    <t>Repsol paraliza su inversión en España por culpa de los impuestos</t>
  </si>
  <si>
    <t>La inversión de Repsol en España se queda en 'standby' por la presión fiscal del Gobierno sobre las energéticas.</t>
  </si>
  <si>
    <t>Repsol paralyzes its investment in Spain because of taxes</t>
  </si>
  <si>
    <t>Repsol's investment in Spain remains on standby due to the Government's fiscal pressure on energy companies.</t>
  </si>
  <si>
    <t>paralyzes investment, taxes</t>
  </si>
  <si>
    <t>paraliza la inversión, impuestos</t>
  </si>
  <si>
    <t>Negative due to halted investments and financial uncertainty.</t>
  </si>
  <si>
    <t>paraliza, impuestos</t>
  </si>
  <si>
    <t>Strong negative tax impact.</t>
  </si>
  <si>
    <t>Fuerte impacto fiscal negativo.</t>
  </si>
  <si>
    <r>
      <rPr>
        <rFont val="Arial, sans-serif"/>
        <color rgb="FF1155CC"/>
        <sz val="9.0"/>
        <u/>
      </rPr>
      <t>Motorsport.com España</t>
    </r>
    <r>
      <rPr>
        <rFont val="Arial, sans-serif"/>
        <color rgb="FF1155CC"/>
        <sz val="15.0"/>
        <u/>
      </rPr>
      <t>Castrol ultima su acuerdo con Honda y como relevo de Repsol en MotoGP</t>
    </r>
    <r>
      <rPr>
        <rFont val="Arial, sans-serif"/>
        <color rgb="FF1155CC"/>
        <sz val="11.0"/>
        <u/>
      </rPr>
      <t>Después de que Repsol confirmara que no renovará su acuerdo como patrocinador del equipo oficial de Honda, ultiman su alianza con Castrol con vistas a 2025.</t>
    </r>
    <r>
      <rPr>
        <rFont val="Arial, sans-serif"/>
        <color rgb="FF1155CC"/>
        <sz val="12.0"/>
        <u/>
      </rPr>
      <t>.</t>
    </r>
    <r>
      <rPr>
        <rFont val="Arial, sans-serif"/>
        <color rgb="FF1155CC"/>
        <sz val="11.0"/>
        <u/>
      </rPr>
      <t>22 oct 2024</t>
    </r>
  </si>
  <si>
    <t>Castrol ultima su acuerdo con Honda y como relevo de Repsol en MotoGP</t>
  </si>
  <si>
    <t>Después de que Repsol confirmara que no renovará su acuerdo como patrocinador del equipo oficial de Honda, ultiman su alianza con Castrol con vistas a 2025.</t>
  </si>
  <si>
    <t>Castrol finalizes its agreement with Honda and as a replacement for Repsol in MotoGP</t>
  </si>
  <si>
    <t>After Repsol confirmed that it will not renew its agreement as a sponsor of the official Honda team, they are finalizing their alliance with Castrol with a view to 2025.</t>
  </si>
  <si>
    <r>
      <rPr>
        <rFont val="Arial, sans-serif"/>
        <color rgb="FF1155CC"/>
        <sz val="9.0"/>
        <u/>
      </rPr>
      <t>Expansión</t>
    </r>
    <r>
      <rPr>
        <rFont val="Arial, sans-serif"/>
        <color rgb="FF1155CC"/>
        <sz val="15.0"/>
        <u/>
      </rPr>
      <t>Repsol, Iberdrola y Cepsa negocian in extremis frenar el impuestazo</t>
    </r>
    <r>
      <rPr>
        <rFont val="Arial, sans-serif"/>
        <color rgb="FF1155CC"/>
        <sz val="11.0"/>
        <u/>
      </rPr>
      <t>Repsol, Cepsa, Iberdrola, Endesa y Naturgy -las empresas más afectadas por el denominado impuestazo- están manteniendo contactos políticos a varias bandas...</t>
    </r>
    <r>
      <rPr>
        <rFont val="Arial, sans-serif"/>
        <color rgb="FF1155CC"/>
        <sz val="12.0"/>
        <u/>
      </rPr>
      <t>.</t>
    </r>
    <r>
      <rPr>
        <rFont val="Arial, sans-serif"/>
        <color rgb="FF1155CC"/>
        <sz val="11.0"/>
        <u/>
      </rPr>
      <t>22 oct 2024</t>
    </r>
  </si>
  <si>
    <t>Repsol, Iberdrola y Cepsa negocian in extremis frenar el impuestazo</t>
  </si>
  <si>
    <t>Repsol, Cepsa, Iberdrola, Endesa y Naturgy -las empresas más afectadas por el denominado impuestazo- están manteniendo contactos políticos a varias bandas....</t>
  </si>
  <si>
    <t>Repsol, Iberdrola and Cepsa negotiate in extremis to stop the tax</t>
  </si>
  <si>
    <t>Repsol, Cepsa, Iberdrola, Endesa and Naturgy - the companies most affected by the so-called tax - are maintaining political contacts on various sides...</t>
  </si>
  <si>
    <t>negotiate, stop tax</t>
  </si>
  <si>
    <t>negociar, detener impuestos</t>
  </si>
  <si>
    <t>Negative as it suggests instability and urgent lobbying efforts against fiscal measures.</t>
  </si>
  <si>
    <t>frenar, impuestazo</t>
  </si>
  <si>
    <t>Negative tax context.</t>
  </si>
  <si>
    <t>Contexto fiscal negativo.</t>
  </si>
  <si>
    <r>
      <rPr>
        <rFont val="Arial, sans-serif"/>
        <color rgb="FF1155CC"/>
        <sz val="9.0"/>
        <u/>
      </rPr>
      <t>Energías Renovables, el periodismo de las energías limpias.</t>
    </r>
    <r>
      <rPr>
        <rFont val="Arial, sans-serif"/>
        <color rgb="FF1155CC"/>
        <sz val="15.0"/>
        <u/>
      </rPr>
      <t>Alianza Verde exige que Repsol devuelva las subvenciones que ha recibido del Estado si la petrolera deslocaliza sus inversiones</t>
    </r>
    <r>
      <rPr>
        <rFont val="Arial, sans-serif"/>
        <color rgb="FF1155CC"/>
        <sz val="11.0"/>
        <u/>
      </rPr>
      <t>El partido ecologista Alianza Verde y el grupo parlamentario Podemos registran en el Congreso varias preguntas sobre el anuncio de deslocalización de...</t>
    </r>
    <r>
      <rPr>
        <rFont val="Arial, sans-serif"/>
        <color rgb="FF1155CC"/>
        <sz val="12.0"/>
        <u/>
      </rPr>
      <t>.</t>
    </r>
    <r>
      <rPr>
        <rFont val="Arial, sans-serif"/>
        <color rgb="FF1155CC"/>
        <sz val="11.0"/>
        <u/>
      </rPr>
      <t>22 oct 2024</t>
    </r>
  </si>
  <si>
    <t>Alianza Verde exige que Repsol devuelva las subvenciones que ha recibido del Estado si la petrolera deslocaliza sus inversiones</t>
  </si>
  <si>
    <t>Alianza Verde exige que Repsol devuelva las subvenciones que ha recibido del Estado si la petrolera deslocaliza sus inversiones.</t>
  </si>
  <si>
    <t>Alianza Verde demands that Repsol return the subsidies it has received from the State if the oil company relocates its investments</t>
  </si>
  <si>
    <t>Alianza Verde demands that Repsol return the subsidies it has received from the State if the oil company relocates its investments.</t>
  </si>
  <si>
    <t>return subsidies, relocates investments</t>
  </si>
  <si>
    <t>subsidios de retorno, relocalización de inversiones</t>
  </si>
  <si>
    <t>Negative as it implies political and financial pressure on Repsol.</t>
  </si>
  <si>
    <t>devuelva, deslocaliza</t>
  </si>
  <si>
    <t>Negative political demand.</t>
  </si>
  <si>
    <t>Demanda política negativa.</t>
  </si>
  <si>
    <r>
      <rPr>
        <rFont val="Arial, sans-serif"/>
        <color rgb="FF1155CC"/>
        <sz val="9.0"/>
        <u/>
      </rPr>
      <t>El Periódico de la Energía</t>
    </r>
    <r>
      <rPr>
        <rFont val="Arial, sans-serif"/>
        <color rgb="FF1155CC"/>
        <sz val="15.0"/>
        <u/>
      </rPr>
      <t>Petronor (Repsol) mantiene paralizado el proyecto de un electrolizador de 100 MW en Vizcaya</t>
    </r>
    <r>
      <rPr>
        <rFont val="Arial, sans-serif"/>
        <color rgb="FF1155CC"/>
        <sz val="11.0"/>
        <u/>
      </rPr>
      <t>Petronor, filial de Repsol, ha confirmado que mantiene "paralizado" el proyecto para poner en marcha un electrolizador de 100 MW en la refinería de Muskiz...</t>
    </r>
    <r>
      <rPr>
        <rFont val="Arial, sans-serif"/>
        <color rgb="FF1155CC"/>
        <sz val="12.0"/>
        <u/>
      </rPr>
      <t>.</t>
    </r>
    <r>
      <rPr>
        <rFont val="Arial, sans-serif"/>
        <color rgb="FF1155CC"/>
        <sz val="11.0"/>
        <u/>
      </rPr>
      <t>22 oct 2024</t>
    </r>
  </si>
  <si>
    <t>Petronor (Repsol) mantiene paralizado el proyecto de un electrolizador de 100 MW en Vizcaya</t>
  </si>
  <si>
    <t>Petronor, filial de Repsol, ha confirmado que mantiene "paralizado" el proyecto para poner en marcha un electrolizador de 100 MW en la refinería de Muskiz....</t>
  </si>
  <si>
    <t>Petronor (Repsol) keeps the project of a 100 MW electrolyzer in Vizcaya paralyzed</t>
  </si>
  <si>
    <t>Petronor, a subsidiary of Repsol, has confirmed that the project to launch a 100 MW electrolyzer at the Muskiz refinery is "paralyzed"....</t>
  </si>
  <si>
    <t>paralyzed project, electrolyzer</t>
  </si>
  <si>
    <t>proyecto paralizado, electrolizador</t>
  </si>
  <si>
    <t>Negative as it suggests delays in renewable energy initiatives.</t>
  </si>
  <si>
    <t>paralizado</t>
  </si>
  <si>
    <r>
      <rPr>
        <rFont val="Arial, sans-serif"/>
        <color rgb="FF1155CC"/>
        <sz val="9.0"/>
        <u/>
      </rPr>
      <t>La Vanguardia</t>
    </r>
    <r>
      <rPr>
        <rFont val="Arial, sans-serif"/>
        <color rgb="FF1155CC"/>
        <sz val="15.0"/>
        <u/>
      </rPr>
      <t>CC.OO. solicita a Repsol una reunión urgente ante la amenaza de congelar inversiones</t>
    </r>
    <r>
      <rPr>
        <rFont val="Arial, sans-serif"/>
        <color rgb="FF1155CC"/>
        <sz val="11.0"/>
        <u/>
      </rPr>
      <t>CC.OO. ha solicitado una reunión urgente a Repsol tras conocer que la compañía tiene paralizadas varias inversiones en España por las intenciones del...</t>
    </r>
    <r>
      <rPr>
        <rFont val="Arial, sans-serif"/>
        <color rgb="FF1155CC"/>
        <sz val="12.0"/>
        <u/>
      </rPr>
      <t>.</t>
    </r>
    <r>
      <rPr>
        <rFont val="Arial, sans-serif"/>
        <color rgb="FF1155CC"/>
        <sz val="11.0"/>
        <u/>
      </rPr>
      <t>22 oct 2024</t>
    </r>
  </si>
  <si>
    <t>CC.OO. solicita a Repsol una reunión urgente ante la amenaza de congelar inversiones</t>
  </si>
  <si>
    <t>CC.OO. ha solicitado una reunión urgente a Repsol tras conocer que la compañía tiene paralizadas varias inversiones en España por las intenciones del....</t>
  </si>
  <si>
    <t>CC.OO. requests Repsol for an urgent meeting due to the threat of freezing investments</t>
  </si>
  <si>
    <t>CC.OO. has requested an urgent meeting with Repsol after learning that the company has paralyzed several investments in Spain due to the intentions of...</t>
  </si>
  <si>
    <t>urgent meeting, freezing investments</t>
  </si>
  <si>
    <t>reunión urgente, congelación de inversiones</t>
  </si>
  <si>
    <t>Negative as it signals economic and labor uncertainty.</t>
  </si>
  <si>
    <t>congelar, amenaza</t>
  </si>
  <si>
    <r>
      <rPr>
        <rFont val="Arial, sans-serif"/>
        <color rgb="FF1155CC"/>
        <sz val="9.0"/>
        <u/>
      </rPr>
      <t>Todocircuito.com</t>
    </r>
    <r>
      <rPr>
        <rFont val="Arial, sans-serif"/>
        <color rgb="FF1155CC"/>
        <sz val="15.0"/>
        <u/>
      </rPr>
      <t>Honda ya tiene un sustituto para Repsol en MotoGP</t>
    </r>
    <r>
      <rPr>
        <rFont val="Arial, sans-serif"/>
        <color rgb="FF1155CC"/>
        <sz val="11.0"/>
        <u/>
      </rPr>
      <t>Honda ya tiene asegurado un nuevo patrocinador para la próxima temporada de MotoGP tras la confirmación de la salida de Repsol, poniendo fin a una histórica...</t>
    </r>
    <r>
      <rPr>
        <rFont val="Arial, sans-serif"/>
        <color rgb="FF1155CC"/>
        <sz val="12.0"/>
        <u/>
      </rPr>
      <t>.</t>
    </r>
    <r>
      <rPr>
        <rFont val="Arial, sans-serif"/>
        <color rgb="FF1155CC"/>
        <sz val="11.0"/>
        <u/>
      </rPr>
      <t>22 oct 2024</t>
    </r>
  </si>
  <si>
    <t>Honda ya tiene un sustituto para Repsol en MotoGP</t>
  </si>
  <si>
    <t>Honda ya tiene asegurado un nuevo patrocinador para la próxima temporada de MotoGP tras la confirmación de la salida de Repsol, poniendo fin a una histórica....</t>
  </si>
  <si>
    <t>Honda already has a replacement for Repsol in MotoGP</t>
  </si>
  <si>
    <t>Honda has already secured a new sponsor for the next MotoGP season after the confirmation of Repsol's departure, putting an end to a historic...</t>
  </si>
  <si>
    <r>
      <rPr>
        <rFont val="Arial, sans-serif"/>
        <color rgb="FF1155CC"/>
        <sz val="9.0"/>
        <u/>
      </rPr>
      <t>El Debate</t>
    </r>
    <r>
      <rPr>
        <rFont val="Arial, sans-serif"/>
        <color rgb="FF1155CC"/>
        <sz val="15.0"/>
        <u/>
      </rPr>
      <t>Sumar propone que el Estado tome el control en Repsol tras llevarse inversiones fuera de España</t>
    </r>
    <r>
      <rPr>
        <rFont val="Arial, sans-serif"/>
        <color rgb="FF1155CC"/>
        <sz val="11.0"/>
        <u/>
      </rPr>
      <t>El portavoz económico de Sumar, Carlos Martín, ha propuesto este martes que el Estado tome una participación de control en Repsol después de que la empresa...</t>
    </r>
    <r>
      <rPr>
        <rFont val="Arial, sans-serif"/>
        <color rgb="FF1155CC"/>
        <sz val="12.0"/>
        <u/>
      </rPr>
      <t>.</t>
    </r>
    <r>
      <rPr>
        <rFont val="Arial, sans-serif"/>
        <color rgb="FF1155CC"/>
        <sz val="11.0"/>
        <u/>
      </rPr>
      <t>22 oct 2024</t>
    </r>
  </si>
  <si>
    <t>El portavoz económico de Sumar, Carlos Martín, ha propuesto este martes que el Estado tome una participación de control en Repsol después de que la empresa....</t>
  </si>
  <si>
    <t>Sumar's economic spokesman, Carlos Martín, proposed this Tuesday that the State take a controlling stake in Repsol after the company...</t>
  </si>
  <si>
    <t>State control, investments outside Spain</t>
  </si>
  <si>
    <t>Control estatal, inversiones fuera de España</t>
  </si>
  <si>
    <t>Negative as it suggests potential nationalization efforts and high political tension.</t>
  </si>
  <si>
    <r>
      <rPr>
        <rFont val="Arial, sans-serif"/>
        <color rgb="FF1155CC"/>
        <sz val="9.0"/>
        <u/>
      </rPr>
      <t>diarimes.com</t>
    </r>
    <r>
      <rPr>
        <rFont val="Arial, sans-serif"/>
        <color rgb="FF1155CC"/>
        <sz val="15.0"/>
        <u/>
      </rPr>
      <t>Repsol deja en ‘standby’ las inversiones en Tarragona por el impuesto a las energéticas</t>
    </r>
    <r>
      <rPr>
        <rFont val="Arial, sans-serif"/>
        <color rgb="FF1155CC"/>
        <sz val="11.0"/>
        <u/>
      </rPr>
      <t>El mantenimiento del gravamen lleva a la compañía al conflicto con el Estado español mientras se acerca a Portugal.</t>
    </r>
    <r>
      <rPr>
        <rFont val="Arial, sans-serif"/>
        <color rgb="FF1155CC"/>
        <sz val="12.0"/>
        <u/>
      </rPr>
      <t>.</t>
    </r>
    <r>
      <rPr>
        <rFont val="Arial, sans-serif"/>
        <color rgb="FF1155CC"/>
        <sz val="11.0"/>
        <u/>
      </rPr>
      <t>22 oct 2024</t>
    </r>
  </si>
  <si>
    <t>Repsol deja en ‘standby’ las inversiones en Tarragona por el impuesto a las energéticas</t>
  </si>
  <si>
    <t>El mantenimiento del gravamen lleva a la compañía al conflicto con el Estado español mientras se acerca a Portugal.</t>
  </si>
  <si>
    <t>Repsol leaves investments in Tarragona on standby due to the tax on energy companies</t>
  </si>
  <si>
    <t>Maintaining the tax leads the company into conflict with the Spanish State while approaching Portugal.</t>
  </si>
  <si>
    <t>standby investments, conflict with State</t>
  </si>
  <si>
    <t>inversiones standby, conflicto con el Estado</t>
  </si>
  <si>
    <t>Negative due to halted investments and rising tensions with the government.</t>
  </si>
  <si>
    <t>standby, impuesto</t>
  </si>
  <si>
    <t>Negative investment freeze.</t>
  </si>
  <si>
    <t>Congelación negativa de la inversión.</t>
  </si>
  <si>
    <r>
      <rPr>
        <rFont val="Arial, sans-serif"/>
        <color rgb="FF1155CC"/>
        <sz val="9.0"/>
        <u/>
      </rPr>
      <t>GaliciaPress</t>
    </r>
    <r>
      <rPr>
        <rFont val="Arial, sans-serif"/>
        <color rgb="FF1155CC"/>
        <sz val="15.0"/>
        <u/>
      </rPr>
      <t>La CIG denuncia ante Inspección de Trabajo a Repsol por supuesta vulneración del derecho a huelga de empleados de Navec</t>
    </r>
    <r>
      <rPr>
        <rFont val="Arial, sans-serif"/>
        <color rgb="FF1155CC"/>
        <sz val="11.0"/>
        <u/>
      </rPr>
      <t>La empresa sostiene que el conflicto laboral tiene que ser tratado en el seno de la propia contratista ...</t>
    </r>
    <r>
      <rPr>
        <rFont val="Arial, sans-serif"/>
        <color rgb="FF1155CC"/>
        <sz val="12.0"/>
        <u/>
      </rPr>
      <t>.</t>
    </r>
    <r>
      <rPr>
        <rFont val="Arial, sans-serif"/>
        <color rgb="FF1155CC"/>
        <sz val="11.0"/>
        <u/>
      </rPr>
      <t>22 oct 2024</t>
    </r>
  </si>
  <si>
    <t>La CIG denuncia ante Inspección de Trabajo a Repsol por supuesta vulneración del derecho a huelga de empleados de Navec</t>
  </si>
  <si>
    <t>La CIG denuncia ante Inspección de Trabajo a Repsol por supuesta vulneración del derecho a huelga de empleados de Navec. La empresa sostiene que el conflicto laboral tiene que ser tratado en el seno de la propia contratista.</t>
  </si>
  <si>
    <t>The CIG denounces Repsol to the Labor Inspection for alleged violation of the right to strike of Navec employees</t>
  </si>
  <si>
    <t>The CIG reports Repsol to the Labor Inspection for alleged violation of the right to strike of Navec employees. The company maintains that the labor conflict has to be dealt with within the contractor itself.</t>
  </si>
  <si>
    <t>denounces, violation of the right to strike</t>
  </si>
  <si>
    <t>denuncia, violación del derecho de huelga</t>
  </si>
  <si>
    <t>Negative as it involves labor disputes, which can harm Repsol’s public image.</t>
  </si>
  <si>
    <t>denuncia, huelga</t>
  </si>
  <si>
    <r>
      <rPr>
        <rFont val="Arial, sans-serif"/>
        <color rgb="FF1155CC"/>
        <sz val="9.0"/>
        <u/>
      </rPr>
      <t>Economía Digital</t>
    </r>
    <r>
      <rPr>
        <rFont val="Arial, sans-serif"/>
        <color rgb="FF1155CC"/>
        <sz val="15.0"/>
        <u/>
      </rPr>
      <t>Repsol paraliza proyectos que suponen el 3% de los objetivos en hidrógeno renovable del Gobierno</t>
    </r>
    <r>
      <rPr>
        <rFont val="Arial, sans-serif"/>
        <color rgb="FF1155CC"/>
        <sz val="11.0"/>
        <u/>
      </rPr>
      <t>Repsol eleva la presión en su disputa con el Gobierno de Pedro Sánchez tras conocerse la intención de hacer permanente el impuesto a los beneficios...</t>
    </r>
    <r>
      <rPr>
        <rFont val="Arial, sans-serif"/>
        <color rgb="FF1155CC"/>
        <sz val="12.0"/>
        <u/>
      </rPr>
      <t>.</t>
    </r>
    <r>
      <rPr>
        <rFont val="Arial, sans-serif"/>
        <color rgb="FF1155CC"/>
        <sz val="11.0"/>
        <u/>
      </rPr>
      <t>22 oct 2024</t>
    </r>
  </si>
  <si>
    <t>Repsol paraliza proyectos que suponen el 3% de los objetivos en hidrógeno renovable del Gobierno</t>
  </si>
  <si>
    <t>Repsol eleva la presión en su disputa con el Gobierno de Pedro Sánchez tras conocerse la intención de hacer permanente el impuesto a los beneficios.</t>
  </si>
  <si>
    <t>Repsol paralyzes projects that represent 3% of the Government's renewable hydrogen objectives</t>
  </si>
  <si>
    <t>Repsol increases the pressure in its dispute with the Government of Pedro Sánchez after learning of the intention to make the profit tax permanent.</t>
  </si>
  <si>
    <t>paralyzes projects, renewable hydrogen, dispute</t>
  </si>
  <si>
    <t>paraliza proyectos, hidrógeno renovable, disputa</t>
  </si>
  <si>
    <t>Negative as it signals halted renewable energy initiatives due to regulatory issues.</t>
  </si>
  <si>
    <t>paraliza</t>
  </si>
  <si>
    <t>Negative for green goals.</t>
  </si>
  <si>
    <t>Negativo para objetivos verdes.</t>
  </si>
  <si>
    <r>
      <rPr>
        <rFont val="Arial, sans-serif"/>
        <color rgb="FF1155CC"/>
        <sz val="9.0"/>
        <u/>
      </rPr>
      <t>El Independiente</t>
    </r>
    <r>
      <rPr>
        <rFont val="Arial, sans-serif"/>
        <color rgb="FF1155CC"/>
        <sz val="15.0"/>
        <u/>
      </rPr>
      <t>¿Qué es el 'electrolizador' que Repsol se ha llevado a Portugal?</t>
    </r>
    <r>
      <rPr>
        <rFont val="Arial, sans-serif"/>
        <color rgb="FF1155CC"/>
        <sz val="11.0"/>
        <u/>
      </rPr>
      <t>Por el momento sólo es la primera advertencia cumplida. Podría no ser la última. El primer revés inversor de uno de los gigantes energéticos para la.</t>
    </r>
    <r>
      <rPr>
        <rFont val="Arial, sans-serif"/>
        <color rgb="FF1155CC"/>
        <sz val="12.0"/>
        <u/>
      </rPr>
      <t>.</t>
    </r>
    <r>
      <rPr>
        <rFont val="Arial, sans-serif"/>
        <color rgb="FF1155CC"/>
        <sz val="11.0"/>
        <u/>
      </rPr>
      <t>22 oct 2024</t>
    </r>
  </si>
  <si>
    <t>¿Qué es el 'electrolizador' que Repsol se ha llevado a Portugal?</t>
  </si>
  <si>
    <t>Por el momento sólo es la primera advertencia cumplida. Podría no ser la última. El primer revés inversor de uno de los gigantes energéticos para la..</t>
  </si>
  <si>
    <t>What is the 'electrolyzer' that Repsol has brought to Portugal?</t>
  </si>
  <si>
    <t>For the moment it is only the first warning fulfilled. It might not be the last. The first investment setback of one of the energy giants for the...</t>
  </si>
  <si>
    <t>electrolyzer, brought to Portugal</t>
  </si>
  <si>
    <t>electrolizador, traído a Portugal</t>
  </si>
  <si>
    <t>Negative as it highlights investment leaving Spain, despite sustainability focus.</t>
  </si>
  <si>
    <t>Neutral technical context.</t>
  </si>
  <si>
    <t>Contexto técnico neutro.</t>
  </si>
  <si>
    <r>
      <rPr>
        <rFont val="Arial, sans-serif"/>
        <color rgb="FF1155CC"/>
        <sz val="9.0"/>
        <u/>
      </rPr>
      <t>Guía Repsol</t>
    </r>
    <r>
      <rPr>
        <rFont val="Arial, sans-serif"/>
        <color rgb="FF1155CC"/>
        <sz val="15.0"/>
        <u/>
      </rPr>
      <t>Un hotel con alma vasco-cubana a los pies del Puerte Colgante de Portugalete</t>
    </r>
    <r>
      <rPr>
        <rFont val="Arial, sans-serif"/>
        <color rgb="FF1155CC"/>
        <sz val="11.0"/>
        <u/>
      </rPr>
      <t>Alójate a los pies del mismísimo Puente Colgante de Portugalete. Una ubicación privilegiada que te encantará en un edificio con mucha historia.</t>
    </r>
    <r>
      <rPr>
        <rFont val="Arial, sans-serif"/>
        <color rgb="FF1155CC"/>
        <sz val="12.0"/>
        <u/>
      </rPr>
      <t>.</t>
    </r>
    <r>
      <rPr>
        <rFont val="Arial, sans-serif"/>
        <color rgb="FF1155CC"/>
        <sz val="11.0"/>
        <u/>
      </rPr>
      <t>22 oct 2024</t>
    </r>
  </si>
  <si>
    <t>Un hotel con alma vasco-cubana a los pies del Puerte Colgante de Portugalete</t>
  </si>
  <si>
    <t>Alójate a los pies del mismísimo Puente Colgante de Portugalete. Una ubicación privilegiada que te encantará en un edificio con mucha historia.</t>
  </si>
  <si>
    <t>A hotel with a Basque-Cuban soul at the foot of the Hanging Bridge of Portugalete</t>
  </si>
  <si>
    <t>Stay at the foot of the Portugalete Suspension Bridge itself. A privileged location that you will love in a building with a lot of history.</t>
  </si>
  <si>
    <r>
      <rPr>
        <rFont val="Arial, sans-serif"/>
        <color rgb="FF1155CC"/>
        <sz val="9.0"/>
        <u/>
      </rPr>
      <t>El Español</t>
    </r>
    <r>
      <rPr>
        <rFont val="Arial, sans-serif"/>
        <color rgb="FF1155CC"/>
        <sz val="15.0"/>
        <u/>
      </rPr>
      <t>Repsol planea proyectos verdes en Portugal y EEUU mientras paraliza su inversión en España por el 'impuestazo'</t>
    </r>
    <r>
      <rPr>
        <rFont val="Arial, sans-serif"/>
        <color rgb="FF1155CC"/>
        <sz val="11.0"/>
        <u/>
      </rPr>
      <t>Hidrógeno, renovables y reducir CO2 permitirán a la energética española cumplir con la descarbonización fuera de nuestras fronteras. Más información: Repsol...</t>
    </r>
    <r>
      <rPr>
        <rFont val="Arial, sans-serif"/>
        <color rgb="FF1155CC"/>
        <sz val="12.0"/>
        <u/>
      </rPr>
      <t>.</t>
    </r>
    <r>
      <rPr>
        <rFont val="Arial, sans-serif"/>
        <color rgb="FF1155CC"/>
        <sz val="11.0"/>
        <u/>
      </rPr>
      <t>22 oct 2024</t>
    </r>
  </si>
  <si>
    <t>Repsol planea proyectos verdes en Portugal y EEUU mientras paraliza su inversión en España por el 'impuestazo'</t>
  </si>
  <si>
    <t>Hidrógeno, renovables y reducir CO2 permitirán a la energética española cumplir con la descarbonización fuera de nuestras fronteras.</t>
  </si>
  <si>
    <t>Repsol plans green projects in Portugal and the US while paralyzing its investment in Spain due to the 'tax'</t>
  </si>
  <si>
    <t>Hydrogen, renewables and reducing CO2 will allow the Spanish energy company to comply with decarbonization outside our borders.</t>
  </si>
  <si>
    <t>green projects, paralyzing investment, tax</t>
  </si>
  <si>
    <t>proyectos verdes, inversión paralizante, impuestos</t>
  </si>
  <si>
    <t>Negative as it suggests Repsol is shifting focus away from Spain due to fiscal policies.</t>
  </si>
  <si>
    <t>paraliza, impuestazo</t>
  </si>
  <si>
    <t>Negative tax-driven divestment.</t>
  </si>
  <si>
    <t>Desinversión negativa impulsada por impuestos.</t>
  </si>
  <si>
    <r>
      <rPr>
        <rFont val="Arial, sans-serif"/>
        <color rgb="FF1155CC"/>
        <sz val="9.0"/>
        <u/>
      </rPr>
      <t>Repsol</t>
    </r>
    <r>
      <rPr>
        <rFont val="Arial, sans-serif"/>
        <color rgb="FF1155CC"/>
        <sz val="15.0"/>
        <u/>
      </rPr>
      <t>Presentamos nuestras soluciones innovadoras de movilidad sostenible en la IZB 2024</t>
    </r>
    <r>
      <rPr>
        <rFont val="Arial, sans-serif"/>
        <color rgb="FF1155CC"/>
        <sz val="11.0"/>
        <u/>
      </rPr>
      <t>Hemos participado nuevamente en en la 12ª edición de la Feria Internacional de Proveedores (IZB) 2024, que ha tenido lugar en Allerpark, Wolfsburg.</t>
    </r>
    <r>
      <rPr>
        <rFont val="Arial, sans-serif"/>
        <color rgb="FF1155CC"/>
        <sz val="12.0"/>
        <u/>
      </rPr>
      <t>.</t>
    </r>
    <r>
      <rPr>
        <rFont val="Arial, sans-serif"/>
        <color rgb="FF1155CC"/>
        <sz val="11.0"/>
        <u/>
      </rPr>
      <t>22 oct 2024</t>
    </r>
  </si>
  <si>
    <t>Presentamos nuestras soluciones innovadoras de movilidad sostenible en la IZB 2024</t>
  </si>
  <si>
    <t>Hemos participado nuevamente en la 12ª edición de la Feria Internacional de Proveedores (IZB) 2024, que ha tenido lugar en Allerpark, Wolfsburg.</t>
  </si>
  <si>
    <t>We present our innovative sustainable mobility solutions at IZB 2024</t>
  </si>
  <si>
    <t>We have participated again in the 12th edition of the International Supplier Fair (IZB) 2024, which took place in Allerpark, Wolfsburg.</t>
  </si>
  <si>
    <r>
      <rPr>
        <rFont val="Arial, sans-serif"/>
        <color rgb="FF1155CC"/>
        <sz val="9.0"/>
        <u/>
      </rPr>
      <t>Diari de Tarragona</t>
    </r>
    <r>
      <rPr>
        <rFont val="Arial, sans-serif"/>
        <color rgb="FF1155CC"/>
        <sz val="15.0"/>
        <u/>
      </rPr>
      <t>Yolanda Díaz, sobre Repsol: «Las empresas españolas deben implicarse con su país»</t>
    </r>
    <r>
      <rPr>
        <rFont val="Arial, sans-serif"/>
        <color rgb="FF1155CC"/>
        <sz val="11.0"/>
        <u/>
      </rPr>
      <t>Yolanda Díaz dispara contra Repsol. Solo 24 horas después de que trascendiera que está en vilo una inversión de 1.100 millones de euros en una Ecoplan...</t>
    </r>
    <r>
      <rPr>
        <rFont val="Arial, sans-serif"/>
        <color rgb="FF1155CC"/>
        <sz val="12.0"/>
        <u/>
      </rPr>
      <t>.</t>
    </r>
    <r>
      <rPr>
        <rFont val="Arial, sans-serif"/>
        <color rgb="FF1155CC"/>
        <sz val="11.0"/>
        <u/>
      </rPr>
      <t>22 oct 2024</t>
    </r>
  </si>
  <si>
    <t>Yolanda Díaz, sobre Repsol: «Las empresas españolas deben implicarse con su país»</t>
  </si>
  <si>
    <t>Yolanda Díaz dispara contra Repsol. Solo 24 horas después de que trascendiera que está en vilo una inversión de 1.100 millones de euros en una Ecoplan....</t>
  </si>
  <si>
    <t>Yolanda Díaz, about Repsol: «Spanish companies must get involved with their country»</t>
  </si>
  <si>
    <t>Yolanda Díaz shoots against Repsol. Only 24 hours after it emerged that an investment of 1.1 billion euros in an Ecoplan is in suspense...</t>
  </si>
  <si>
    <t>shoots against Repsol, investment in suspense</t>
  </si>
  <si>
    <t>Dispara contra Repsol, la inversión en vilo</t>
  </si>
  <si>
    <t>Negative due to political pressure on Repsol and investment uncertainty.</t>
  </si>
  <si>
    <t>implicarse</t>
  </si>
  <si>
    <r>
      <rPr>
        <rFont val="Arial, sans-serif"/>
        <color rgb="FF1155CC"/>
        <sz val="9.0"/>
        <u/>
      </rPr>
      <t>herculesdiario.es</t>
    </r>
    <r>
      <rPr>
        <rFont val="Arial, sans-serif"/>
        <color rgb="FF1155CC"/>
        <sz val="15.0"/>
        <u/>
      </rPr>
      <t>Repsol podría cerrar sus refinerías en España</t>
    </r>
    <r>
      <rPr>
        <rFont val="Arial, sans-serif"/>
        <color rgb="FF1155CC"/>
        <sz val="11.0"/>
        <u/>
      </rPr>
      <t>El grupo petrolero ha congelado 1.500 millones de euros en inversión debido a los impuestos del Gobierno y no garantiza proyectos verdes en el país.</t>
    </r>
    <r>
      <rPr>
        <rFont val="Arial, sans-serif"/>
        <color rgb="FF1155CC"/>
        <sz val="12.0"/>
        <u/>
      </rPr>
      <t>.</t>
    </r>
    <r>
      <rPr>
        <rFont val="Arial, sans-serif"/>
        <color rgb="FF1155CC"/>
        <sz val="11.0"/>
        <u/>
      </rPr>
      <t>22 oct 2024</t>
    </r>
  </si>
  <si>
    <t>herculesdiario.es</t>
  </si>
  <si>
    <t>Repsol podría cerrar sus refinerías en España</t>
  </si>
  <si>
    <t>El grupo petrolero ha congelado 1.500 millones de euros en inversión debido a los impuestos del Gobierno y no garantiza proyectos verdes en el país.</t>
  </si>
  <si>
    <t>Repsol could close its refineries in Spain</t>
  </si>
  <si>
    <t>The oil group has frozen 1.5 billion euros in investment due to Government taxes and does not guarantee green projects in the country.</t>
  </si>
  <si>
    <t>close refineries, frozen investment</t>
  </si>
  <si>
    <t>cerrar refinerías, inversiones congeladas</t>
  </si>
  <si>
    <t>Highly negative as it suggests major economic and industrial consequences.</t>
  </si>
  <si>
    <t>Severe negative operational risk.</t>
  </si>
  <si>
    <t>Riesgo operacional negativo severo.</t>
  </si>
  <si>
    <r>
      <rPr>
        <rFont val="Arial, sans-serif"/>
        <color rgb="FF1155CC"/>
        <sz val="9.0"/>
        <u/>
      </rPr>
      <t>MOTOSAN</t>
    </r>
    <r>
      <rPr>
        <rFont val="Arial, sans-serif"/>
        <color rgb="FF1155CC"/>
        <sz val="15.0"/>
        <u/>
      </rPr>
      <t>Honda podría tener ya un patrocinador para sustituir a Repsol en 2025</t>
    </r>
    <r>
      <rPr>
        <rFont val="Arial, sans-serif"/>
        <color rgb="FF1155CC"/>
        <sz val="11.0"/>
        <u/>
      </rPr>
      <t>Las cosas cambiarán para Honda de cara al 2025, cuando no tendrá a Repsol como patrocinador. Durante todo el año se ha ido rumoreando cada vez más y más.</t>
    </r>
    <r>
      <rPr>
        <rFont val="Arial, sans-serif"/>
        <color rgb="FF1155CC"/>
        <sz val="12.0"/>
        <u/>
      </rPr>
      <t>.</t>
    </r>
    <r>
      <rPr>
        <rFont val="Arial, sans-serif"/>
        <color rgb="FF1155CC"/>
        <sz val="11.0"/>
        <u/>
      </rPr>
      <t>22 oct 2024</t>
    </r>
  </si>
  <si>
    <t>Honda podría tener ya un patrocinador para sustituir a Repsol en 2025</t>
  </si>
  <si>
    <t>Las cosas cambiarán para Honda de cara al 2025, cuando no tendrá a Repsol como patrocinador. Durante todo el año se ha ido rumoreando cada vez más y más.</t>
  </si>
  <si>
    <t>Honda could already have a sponsor to replace Repsol in 2025</t>
  </si>
  <si>
    <t>Things will change for Honda by 2025, when it will not have Repsol as a sponsor. Throughout the year it has been rumored more and more.</t>
  </si>
  <si>
    <r>
      <rPr>
        <rFont val="Arial, sans-serif"/>
        <color rgb="FF1155CC"/>
        <sz val="9.0"/>
        <u/>
      </rPr>
      <t>Diari de Tarragona</t>
    </r>
    <r>
      <rPr>
        <rFont val="Arial, sans-serif"/>
        <color rgb="FF1155CC"/>
        <sz val="15.0"/>
        <u/>
      </rPr>
      <t>Qué es el ‘impuestazo’ a la banca y a las energéticas que enfría las inversiones de Repsol en Tarragona</t>
    </r>
    <r>
      <rPr>
        <rFont val="Arial, sans-serif"/>
        <color rgb="FF1155CC"/>
        <sz val="11.0"/>
        <u/>
      </rPr>
      <t>El impuesto a la banca y las energéticas, cuya permanencia amenaza las inversiones de Repsol en Tarragona, vuelve a escena después del aviso de la com...</t>
    </r>
    <r>
      <rPr>
        <rFont val="Arial, sans-serif"/>
        <color rgb="FF1155CC"/>
        <sz val="12.0"/>
        <u/>
      </rPr>
      <t>.</t>
    </r>
    <r>
      <rPr>
        <rFont val="Arial, sans-serif"/>
        <color rgb="FF1155CC"/>
        <sz val="11.0"/>
        <u/>
      </rPr>
      <t>22 oct 2024</t>
    </r>
  </si>
  <si>
    <t>Qué es el ‘impuestazo’ a la banca y a las energéticas que enfría las inversiones de Repsol en Tarragona</t>
  </si>
  <si>
    <t>El impuesto a la banca y las energéticas, cuya permanencia amenaza las inversiones de Repsol en Tarragona, vuelve a escena después del aviso de la com....</t>
  </si>
  <si>
    <t>What is the 'tax' on banking and energy companies that cools Repsol's investments in Tarragona</t>
  </si>
  <si>
    <t>The tax on banks and energy companies, whose permanence threatens Repsol's investments in Tarragona, returns to the scene after the company's notice....</t>
  </si>
  <si>
    <t>tax, threatens investments</t>
  </si>
  <si>
    <t>impuesto, amenaza las inversiones</t>
  </si>
  <si>
    <t>Negative as it reinforces concerns about fiscal policies discouraging investment.</t>
  </si>
  <si>
    <t>impuestazo, enfría</t>
  </si>
  <si>
    <r>
      <rPr>
        <rFont val="Arial, sans-serif"/>
        <color rgb="FF1155CC"/>
        <sz val="9.0"/>
        <u/>
      </rPr>
      <t>Consenso del Mercado</t>
    </r>
    <r>
      <rPr>
        <rFont val="Arial, sans-serif"/>
        <color rgb="FF1155CC"/>
        <sz val="15.0"/>
        <u/>
      </rPr>
      <t>Noticias Ibex 35 Repsol estudia paralizar sus inversiones de hidrogeno en España ante el planteamiento de mantener el impuesto a las energéticas</t>
    </r>
    <r>
      <rPr>
        <rFont val="Arial, sans-serif"/>
        <color rgb="FF1155CC"/>
        <sz val="11.0"/>
        <u/>
      </rPr>
      <t>Norbolsa | La petrolera Repsol ha dejado en suspenso los proyectos de hidrógeno verde previstos en España, con una capacidad de electrólisis de 350...</t>
    </r>
    <r>
      <rPr>
        <rFont val="Arial, sans-serif"/>
        <color rgb="FF1155CC"/>
        <sz val="12.0"/>
        <u/>
      </rPr>
      <t>.</t>
    </r>
    <r>
      <rPr>
        <rFont val="Arial, sans-serif"/>
        <color rgb="FF1155CC"/>
        <sz val="11.0"/>
        <u/>
      </rPr>
      <t>22 oct 2024</t>
    </r>
  </si>
  <si>
    <t>Norbolsa</t>
  </si>
  <si>
    <t>Repsol estudia paralizar sus inversiones de hidrogeno en España ante el planteamiento de mantener el impuesto a las energéticas</t>
  </si>
  <si>
    <t>La petrolera Repsol ha dejado en suspenso los proyectos de hidrógeno verde previstos en España, con una capacidad de electrólisis de 350....</t>
  </si>
  <si>
    <t>Repsol studies paralyzing its hydrogen investments in Spain due to the proposal of maintaining the tax on energy companies</t>
  </si>
  <si>
    <t>The oil company Repsol has put on hold the green hydrogen projects planned in Spain, with an electrolysis capacity of 350...</t>
  </si>
  <si>
    <t>paralyzing investments, hydrogen, tax</t>
  </si>
  <si>
    <t>inversiones paralizantes, hidrógeno, impuestos</t>
  </si>
  <si>
    <t>Negative due to halted renewable energy investments and regulatory uncertainty.</t>
  </si>
  <si>
    <t>paralizar, impuesto</t>
  </si>
  <si>
    <t>Strong negative for green energy.</t>
  </si>
  <si>
    <t>Fuerte negativo para la energía verde.</t>
  </si>
  <si>
    <r>
      <rPr>
        <rFont val="Arial, sans-serif"/>
        <color rgb="FF1155CC"/>
        <sz val="9.0"/>
        <u/>
      </rPr>
      <t>Business Insider España</t>
    </r>
    <r>
      <rPr>
        <rFont val="Arial, sans-serif"/>
        <color rgb="FF1155CC"/>
        <sz val="15.0"/>
        <u/>
      </rPr>
      <t>La decisión de Repsol de llevarse inversiones fuera de España tensiona la coalición y vuelve a enfrentar al Gobierno con los empresarios</t>
    </r>
    <r>
      <rPr>
        <rFont val="Arial, sans-serif"/>
        <color rgb="FF1155CC"/>
        <sz val="11.0"/>
        <u/>
      </rPr>
      <t>Los empresarios respaldan la decisión de Repsol de invertir en Portugal ante lo que consideran una falta de seguridad jurídica en España y 'populismo...</t>
    </r>
    <r>
      <rPr>
        <rFont val="Arial, sans-serif"/>
        <color rgb="FF1155CC"/>
        <sz val="12.0"/>
        <u/>
      </rPr>
      <t>.</t>
    </r>
    <r>
      <rPr>
        <rFont val="Arial, sans-serif"/>
        <color rgb="FF1155CC"/>
        <sz val="11.0"/>
        <u/>
      </rPr>
      <t>22 oct 2024</t>
    </r>
  </si>
  <si>
    <t>La decisión de Repsol de llevarse inversiones fuera de España tensiona la coalición y vuelve a enfrentar al Gobierno con los empresarios</t>
  </si>
  <si>
    <t>Los empresarios respaldan la decisión de Repsol de invertir en Portugal ante lo que consideran una falta de seguridad jurídica en España y 'populismo....</t>
  </si>
  <si>
    <t>Repsol's decision to take investments out of Spain strains the coalition and once again confronts the Government with businessmen</t>
  </si>
  <si>
    <t>Businessmen support Repsol's decision to invest in Portugal in the face of what they consider a lack of legal security in Spain and 'populism...'</t>
  </si>
  <si>
    <t>investment out of Spain, lack of legal security</t>
  </si>
  <si>
    <t>inversión fuera de España, falta de seguridad jurídica</t>
  </si>
  <si>
    <t>Negative as it highlights conflict between the private sector and the government.</t>
  </si>
  <si>
    <t>tensión, enfrentar</t>
  </si>
  <si>
    <t>Negative political fallout.</t>
  </si>
  <si>
    <t>Consecuencias políticas negativas.</t>
  </si>
  <si>
    <r>
      <rPr>
        <rFont val="Arial, sans-serif"/>
        <color rgb="FF1155CC"/>
        <sz val="9.0"/>
        <u/>
      </rPr>
      <t>El Confidencial</t>
    </r>
    <r>
      <rPr>
        <rFont val="Arial, sans-serif"/>
        <color rgb="FF1155CC"/>
        <sz val="15.0"/>
        <u/>
      </rPr>
      <t>Junts bloquea el impuestazo energético del Gobierno tras la presión de Repsol</t>
    </r>
    <r>
      <rPr>
        <rFont val="Arial, sans-serif"/>
        <color rgb="FF1155CC"/>
        <sz val="11.0"/>
        <u/>
      </rPr>
      <t>La formación de Carles Puigdemont no respaldará al PSOE y Sumar en convertir en permanente el gravamen temporal. La energética que lidera Josu Jon Imaz ha...</t>
    </r>
    <r>
      <rPr>
        <rFont val="Arial, sans-serif"/>
        <color rgb="FF1155CC"/>
        <sz val="12.0"/>
        <u/>
      </rPr>
      <t>.</t>
    </r>
    <r>
      <rPr>
        <rFont val="Arial, sans-serif"/>
        <color rgb="FF1155CC"/>
        <sz val="11.0"/>
        <u/>
      </rPr>
      <t>22 oct 2024</t>
    </r>
  </si>
  <si>
    <t>Junts bloquea el impuestazo energético del Gobierno tras la presión de Repsol</t>
  </si>
  <si>
    <t>La formación de Carles Puigdemont no respaldará al PSOE y Sumar en convertir en permanente el gravamen temporal. La energética que lidera Josu Jon Imaz ha....</t>
  </si>
  <si>
    <t>Junts blocks the Government's energy imposition after pressure from Repsol</t>
  </si>
  <si>
    <t>Carles Puigdemont's party will not support the PSOE and Sumar in making the temporary tax permanent. The energy company led by Josu Jon Imaz has...</t>
  </si>
  <si>
    <t>blocks tax, pressure from Repsol</t>
  </si>
  <si>
    <t>bloquea el impuesto, presión de Repsol</t>
  </si>
  <si>
    <t>Negative as it indicates political instability surrounding Repsol’s operations.</t>
  </si>
  <si>
    <t>bloquea, presión</t>
  </si>
  <si>
    <r>
      <rPr>
        <rFont val="Arial, sans-serif"/>
        <color rgb="FF1155CC"/>
        <sz val="9.0"/>
        <u/>
      </rPr>
      <t>La Voz de Galicia</t>
    </r>
    <r>
      <rPr>
        <rFont val="Arial, sans-serif"/>
        <color rgb="FF1155CC"/>
        <sz val="15.0"/>
        <u/>
      </rPr>
      <t>Repsol invertirá 15 millones en Portugal para poner en marcha un proyecto de hidrógeno verde</t>
    </r>
    <r>
      <rPr>
        <rFont val="Arial, sans-serif"/>
        <color rgb="FF1155CC"/>
        <sz val="11.0"/>
        <u/>
      </rPr>
      <t>La petrolera se mantiene a la espera del impuesto energético para aclarar sus inversiones en España.</t>
    </r>
    <r>
      <rPr>
        <rFont val="Arial, sans-serif"/>
        <color rgb="FF1155CC"/>
        <sz val="12.0"/>
        <u/>
      </rPr>
      <t>.</t>
    </r>
    <r>
      <rPr>
        <rFont val="Arial, sans-serif"/>
        <color rgb="FF1155CC"/>
        <sz val="11.0"/>
        <u/>
      </rPr>
      <t>22 oct 2024</t>
    </r>
  </si>
  <si>
    <t>Repsol invertirá 15 millones en Portugal para poner en marcha un proyecto de hidrógeno verde</t>
  </si>
  <si>
    <t>La petrolera se mantiene a la espera del impuesto energético para aclarar sus inversiones en España.</t>
  </si>
  <si>
    <t>Repsol will invest 15 million in Portugal to launch a green hydrogen project</t>
  </si>
  <si>
    <t>The oil company is waiting for the energy tax to clarify its investments in Spain.</t>
  </si>
  <si>
    <t>invest, green hydrogen, Portugal</t>
  </si>
  <si>
    <t>invertir, hidrógeno verde, Portugal</t>
  </si>
  <si>
    <t>Positive due to commitment to sustainability, despite investment shifting abroad.</t>
  </si>
  <si>
    <t>invertirá, hidrógeno verde</t>
  </si>
  <si>
    <t>Positive for renewables.</t>
  </si>
  <si>
    <t>Positivo para las energías renovables.</t>
  </si>
  <si>
    <r>
      <rPr>
        <rFont val="Arial, sans-serif"/>
        <color rgb="FF1155CC"/>
        <sz val="9.0"/>
        <u/>
      </rPr>
      <t>El Independiente</t>
    </r>
    <r>
      <rPr>
        <rFont val="Arial, sans-serif"/>
        <color rgb="FF1155CC"/>
        <sz val="15.0"/>
        <u/>
      </rPr>
      <t>Imaz (Repsol), a Sánchez por el 'impuestazo'. "Miles de millones se desviarán a otros países"</t>
    </r>
    <r>
      <rPr>
        <rFont val="Arial, sans-serif"/>
        <color rgb="FF1155CC"/>
        <sz val="11.0"/>
        <u/>
      </rPr>
      <t>Es una advertencia contundente. La firma el consejero delegado de una de las gigantes de la energía en España: Repsol. En víspera de que el Gobierno.</t>
    </r>
    <r>
      <rPr>
        <rFont val="Arial, sans-serif"/>
        <color rgb="FF1155CC"/>
        <sz val="12.0"/>
        <u/>
      </rPr>
      <t>.</t>
    </r>
    <r>
      <rPr>
        <rFont val="Arial, sans-serif"/>
        <color rgb="FF1155CC"/>
        <sz val="11.0"/>
        <u/>
      </rPr>
      <t>22 oct 2024</t>
    </r>
  </si>
  <si>
    <t>Imaz (Repsol), a Sánchez por el 'impuestazo'. "Miles de millones se desviarán a otros países"</t>
  </si>
  <si>
    <t>Es una advertencia contundente. La firma el consejero delegado de una de las gigantes de la energía en España: Repsol. En víspera de que el Gobierno..</t>
  </si>
  <si>
    <t>Imaz (Repsol), to Sánchez for the 'tax'. "Billions will be diverted to other countries"</t>
  </si>
  <si>
    <t>It is a strong warning. It is signed by the CEO of one of the energy giants in Spain: Repsol. On the eve of the Government...</t>
  </si>
  <si>
    <t>divert billions, tax</t>
  </si>
  <si>
    <t>desviar miles de millones, impuestos</t>
  </si>
  <si>
    <t>Negative as it suggests capital flight and worsening government relations.</t>
  </si>
  <si>
    <t>desviarán, impuestazo</t>
  </si>
  <si>
    <t>Strong negative tax critique.</t>
  </si>
  <si>
    <t>Fuerte crítica fiscal negativa.</t>
  </si>
  <si>
    <r>
      <rPr>
        <rFont val="Arial, sans-serif"/>
        <color rgb="FF1155CC"/>
        <sz val="9.0"/>
        <u/>
      </rPr>
      <t>Guía Repsol</t>
    </r>
    <r>
      <rPr>
        <rFont val="Arial, sans-serif"/>
        <color rgb="FF1155CC"/>
        <sz val="15.0"/>
        <u/>
      </rPr>
      <t>Los arroces más ricos también se cocinan fuera de España</t>
    </r>
    <r>
      <rPr>
        <rFont val="Arial, sans-serif"/>
        <color rgb="FF1155CC"/>
        <sz val="11.0"/>
        <u/>
      </rPr>
      <t>Disfruta de una fiesta gastronómica única en la Albufera. Clandestinos 2024 reúne a los mejores chefs para celebrar el arroz.</t>
    </r>
    <r>
      <rPr>
        <rFont val="Arial, sans-serif"/>
        <color rgb="FF1155CC"/>
        <sz val="12.0"/>
        <u/>
      </rPr>
      <t>.</t>
    </r>
    <r>
      <rPr>
        <rFont val="Arial, sans-serif"/>
        <color rgb="FF1155CC"/>
        <sz val="11.0"/>
        <u/>
      </rPr>
      <t>22 oct 2024</t>
    </r>
  </si>
  <si>
    <t>Los arroces más ricos también se cocinan fuera de España</t>
  </si>
  <si>
    <t>Disfruta de una fiesta gastronómica única en la Albufera. Clandestinos 2024 reúne a los mejores chefs para celebrar el arroz.</t>
  </si>
  <si>
    <t>The richest rice dishes are also cooked outside of Spain</t>
  </si>
  <si>
    <t>Enjoy a unique gastronomic festival in the Albufera. Clandestinos 2024 brings together the best chefs to celebrate rice.</t>
  </si>
  <si>
    <r>
      <rPr>
        <rFont val="Arial, sans-serif"/>
        <color rgb="FF1155CC"/>
        <sz val="9.0"/>
        <u/>
      </rPr>
      <t>El Nacional.cat</t>
    </r>
    <r>
      <rPr>
        <rFont val="Arial, sans-serif"/>
        <color rgb="FF1155CC"/>
        <sz val="15.0"/>
        <u/>
      </rPr>
      <t>Imaz (Repsol): Con el impuesto a las energéticas, miles de millones se irán a otros países</t>
    </r>
    <r>
      <rPr>
        <rFont val="Arial, sans-serif"/>
        <color rgb="FF1155CC"/>
        <sz val="11.0"/>
        <u/>
      </rPr>
      <t>El consejero delegado de Repsol arremete contra un 'impuestazo' discriminatorio, fruto de 'políticas populistas e ilegales'</t>
    </r>
    <r>
      <rPr>
        <rFont val="Arial, sans-serif"/>
        <color rgb="FF1155CC"/>
        <sz val="12.0"/>
        <u/>
      </rPr>
      <t>.</t>
    </r>
    <r>
      <rPr>
        <rFont val="Arial, sans-serif"/>
        <color rgb="FF1155CC"/>
        <sz val="11.0"/>
        <u/>
      </rPr>
      <t>22 oct 2024</t>
    </r>
  </si>
  <si>
    <t>Con el impuesto a las energéticas, miles de millones se irán a otros países</t>
  </si>
  <si>
    <t>El consejero delegado de Repsol arremete contra un 'impuestazo' discriminatorio, fruto de 'políticas populistas e ilegales'.</t>
  </si>
  <si>
    <t>With the tax on energy companies, billions will go to other countries</t>
  </si>
  <si>
    <t>The CEO of Repsol attacks a discriminatory 'tax', the result of 'populist and illegal policies'.</t>
  </si>
  <si>
    <t>billions leave Spain, populist policies</t>
  </si>
  <si>
    <t>Miles de millones abandonan España, políticas populistas</t>
  </si>
  <si>
    <t>Negative due to strong criticism of government taxation, suggesting economic risk.</t>
  </si>
  <si>
    <t>impuesto, irán</t>
  </si>
  <si>
    <r>
      <rPr>
        <rFont val="Arial, sans-serif"/>
        <color rgb="FF1155CC"/>
        <sz val="9.0"/>
        <u/>
      </rPr>
      <t>Hispanidad</t>
    </r>
    <r>
      <rPr>
        <rFont val="Arial, sans-serif"/>
        <color rgb="FF1155CC"/>
        <sz val="15.0"/>
        <u/>
      </rPr>
      <t>Sumar quiere que el Gobierno compre un paquete de acciones de Repsol: es decir, que repita la vergonzosa 'operación Telefónica’</t>
    </r>
    <r>
      <rPr>
        <rFont val="Arial, sans-serif"/>
        <color rgb="FF1155CC"/>
        <sz val="11.0"/>
        <u/>
      </rPr>
      <t>Sumar no deja de sorprender con sus ocurrencias... y la penúltima es que quiere que el Gobierno compre un paquete de control en Repsol. Es decir, que repita...</t>
    </r>
    <r>
      <rPr>
        <rFont val="Arial, sans-serif"/>
        <color rgb="FF1155CC"/>
        <sz val="12.0"/>
        <u/>
      </rPr>
      <t>.</t>
    </r>
    <r>
      <rPr>
        <rFont val="Arial, sans-serif"/>
        <color rgb="FF1155CC"/>
        <sz val="11.0"/>
        <u/>
      </rPr>
      <t>22 oct 2024</t>
    </r>
  </si>
  <si>
    <t>Sumar quiere que el Gobierno compre un paquete de acciones de Repsol: es decir, que repita la vergonzosa 'operación Telefónica’</t>
  </si>
  <si>
    <t>Sumar no deja de sorprender con sus ocurrencias... y la penúltima es que quiere que el Gobierno compre un paquete de control en Repsol. Es decir, que repita....</t>
  </si>
  <si>
    <t>Sumar wants the Government to buy a package of Repsol shares: that is, to repeat the shameful 'Telefónica operation'</t>
  </si>
  <si>
    <t>Sumar never ceases to surprise with his ideas... and the penultimate one is that he wants the Government to buy a control package in Repsol. That is, repeat...</t>
  </si>
  <si>
    <t>government buy shares, control package</t>
  </si>
  <si>
    <t>el gobierno compra acciones, paquete de control</t>
  </si>
  <si>
    <t>Negative as it raises concerns about potential government intervention in Repsol.</t>
  </si>
  <si>
    <t>vergonzosa</t>
  </si>
  <si>
    <r>
      <rPr>
        <rFont val="Arial, sans-serif"/>
        <color rgb="FF1155CC"/>
        <sz val="9.0"/>
        <u/>
      </rPr>
      <t>El Cronista</t>
    </r>
    <r>
      <rPr>
        <rFont val="Arial, sans-serif"/>
        <color rgb="FF1155CC"/>
        <sz val="15.0"/>
        <u/>
      </rPr>
      <t>Repsol: así abre la cotización hoy martes 22 de octubre, ¿cuánto rinden los dividendos?</t>
    </r>
    <r>
      <rPr>
        <rFont val="Arial, sans-serif"/>
        <color rgb="FF1155CC"/>
        <sz val="11.0"/>
        <u/>
      </rPr>
      <t>En la apertura de mercados de este martes, 22 de octubre de 2024, en España, las acciones de la compañía de petróleo, gas y combustibles consumibles Repsol...</t>
    </r>
    <r>
      <rPr>
        <rFont val="Arial, sans-serif"/>
        <color rgb="FF1155CC"/>
        <sz val="12.0"/>
        <u/>
      </rPr>
      <t>.</t>
    </r>
    <r>
      <rPr>
        <rFont val="Arial, sans-serif"/>
        <color rgb="FF1155CC"/>
        <sz val="11.0"/>
        <u/>
      </rPr>
      <t>22 oct 2024</t>
    </r>
  </si>
  <si>
    <t>Repsol: así abre la cotización hoy martes 22 de octubre, ¿cuánto rinden los dividendos?</t>
  </si>
  <si>
    <t>En la apertura de mercados de este martes, 22 de octubre de 2024, en España, las acciones de la compañía de petróleo, gas y combustibles consumibles Repsol....</t>
  </si>
  <si>
    <t>Repsol: this is how the price opens today, Tuesday, October 22, how much do the dividends yield?</t>
  </si>
  <si>
    <t>At the market opening this Tuesday, October 22, 2024, in Spain, the shares of the oil, gas and consumable fuels company Repsol...</t>
  </si>
  <si>
    <t>Market fluctuations do not directly impact Repsol’s corporate image.</t>
  </si>
  <si>
    <t>Neutral financial update.</t>
  </si>
  <si>
    <t>Actualización financiera neutral.</t>
  </si>
  <si>
    <r>
      <rPr>
        <rFont val="Arial, sans-serif"/>
        <color rgb="FF1155CC"/>
        <sz val="9.0"/>
        <u/>
      </rPr>
      <t>Crónica Global</t>
    </r>
    <r>
      <rPr>
        <rFont val="Arial, sans-serif"/>
        <color rgb="FF1155CC"/>
        <sz val="15.0"/>
        <u/>
      </rPr>
      <t>La Cámara de Tarragona alerta que el impuesto a las eléctricas pone "en riesgo" el complejo de Repsol y "decenas de miles de empleos"</t>
    </r>
    <r>
      <rPr>
        <rFont val="Arial, sans-serif"/>
        <color rgb="FF1155CC"/>
        <sz val="11.0"/>
        <u/>
      </rPr>
      <t>La entidad teme la "pérdida de centenares de millones de euros en inversiones" y pide "responsabilidad y rigor" al Gobierno. Impuestos · Empleo · Repsol...</t>
    </r>
    <r>
      <rPr>
        <rFont val="Arial, sans-serif"/>
        <color rgb="FF1155CC"/>
        <sz val="12.0"/>
        <u/>
      </rPr>
      <t>.</t>
    </r>
    <r>
      <rPr>
        <rFont val="Arial, sans-serif"/>
        <color rgb="FF1155CC"/>
        <sz val="11.0"/>
        <u/>
      </rPr>
      <t>22 oct 2024</t>
    </r>
  </si>
  <si>
    <t>La Cámara de Tarragona alerta que el impuesto a las eléctricas pone "en riesgo" el complejo de Repsol y "decenas de miles de empleos"</t>
  </si>
  <si>
    <t>La entidad teme la "pérdida de centenares de millones de euros en inversiones" y pide "responsabilidad y rigor" al Gobierno.</t>
  </si>
  <si>
    <t>The Tarragona Chamber warns that the tax on electricity companies puts the Repsol complex and "tens of thousands of jobs" at risk</t>
  </si>
  <si>
    <t>The entity fears the "loss of hundreds of millions of euros in investments" and asks for "responsibility and rigor" from the Government.</t>
  </si>
  <si>
    <t>jobs at risk, tax impact</t>
  </si>
  <si>
    <t>empleos en riesgo, impacto fiscal</t>
  </si>
  <si>
    <t>Negative as it signals potential economic consequences and industrial decline.</t>
  </si>
  <si>
    <t>riesgo, empleos</t>
  </si>
  <si>
    <t>Severe negative economic risk.</t>
  </si>
  <si>
    <t>Riesgo económico negativo severo.</t>
  </si>
  <si>
    <r>
      <rPr>
        <rFont val="Arial, sans-serif"/>
        <color rgb="FF1155CC"/>
        <sz val="9.0"/>
        <u/>
      </rPr>
      <t>SPORT</t>
    </r>
    <r>
      <rPr>
        <rFont val="Arial, sans-serif"/>
        <color rgb="FF1155CC"/>
        <sz val="15.0"/>
        <u/>
      </rPr>
      <t>Castrol se perfila como relevo de Repsol en Honda</t>
    </r>
    <r>
      <rPr>
        <rFont val="Arial, sans-serif"/>
        <color rgb="FF1155CC"/>
        <sz val="11.0"/>
        <u/>
      </rPr>
      <t>La petrolera británica ya es uno de los patrocinadores actuales del LCR de Cecchinello.</t>
    </r>
    <r>
      <rPr>
        <rFont val="Arial, sans-serif"/>
        <color rgb="FF1155CC"/>
        <sz val="12.0"/>
        <u/>
      </rPr>
      <t>.</t>
    </r>
    <r>
      <rPr>
        <rFont val="Arial, sans-serif"/>
        <color rgb="FF1155CC"/>
        <sz val="11.0"/>
        <u/>
      </rPr>
      <t>22 oct 2024</t>
    </r>
  </si>
  <si>
    <t>Castrol</t>
  </si>
  <si>
    <t>Castrol se perfila como relevo de Repsol en Honda</t>
  </si>
  <si>
    <t>La petrolera británica ya es uno de los patrocinadores actuales del LCR de Cecchinello.</t>
  </si>
  <si>
    <t>Castrol is emerging as a replacement for Repsol in Honda</t>
  </si>
  <si>
    <t>The British oil company is already one of the current sponsors of Cecchinello's LCR.</t>
  </si>
  <si>
    <r>
      <rPr>
        <rFont val="Arial, sans-serif"/>
        <color rgb="FF1155CC"/>
        <sz val="9.0"/>
        <u/>
      </rPr>
      <t>La Comarca de Puertollano</t>
    </r>
    <r>
      <rPr>
        <rFont val="Arial, sans-serif"/>
        <color rgb="FF1155CC"/>
        <sz val="15.0"/>
        <u/>
      </rPr>
      <t>Este jueves arranca la huelga indefinida de 'Navec' en Puertollano con una concentración a las puertas de Repsol-Químicas</t>
    </r>
    <r>
      <rPr>
        <rFont val="Arial, sans-serif"/>
        <color rgb="FF1155CC"/>
        <sz val="11.0"/>
        <u/>
      </rPr>
      <t>Los 130 trabajadores de 'Navec' en Puertollano están llamados a la huelga indefinida este jueves a partir de las siete de la mañana con una concentración a...</t>
    </r>
    <r>
      <rPr>
        <rFont val="Arial, sans-serif"/>
        <color rgb="FF1155CC"/>
        <sz val="12.0"/>
        <u/>
      </rPr>
      <t>.</t>
    </r>
    <r>
      <rPr>
        <rFont val="Arial, sans-serif"/>
        <color rgb="FF1155CC"/>
        <sz val="11.0"/>
        <u/>
      </rPr>
      <t>22 oct 2024</t>
    </r>
  </si>
  <si>
    <t>Este jueves arranca la huelga indefinida de 'Navec' en Puertollano con una concentración a las puertas de Repsol-Químicas</t>
  </si>
  <si>
    <t>Los 130 trabajadores de 'Navec' en Puertollano están llamados a la huelga indefinida este jueves a partir de las siete de la mañana con una concentración a....</t>
  </si>
  <si>
    <t>This Thursday the indefinite strike of 'Navec' begins in Puertollano with a rally at the doors of Repsol-Químicas</t>
  </si>
  <si>
    <t>The 130 'Navec' workers in Puertollano are called to go on an indefinite strike this Thursday starting at seven in the morning with a rally at...</t>
  </si>
  <si>
    <t>strike, Repsol-Químicas</t>
  </si>
  <si>
    <t>huelga, Repsol-Químicas</t>
  </si>
  <si>
    <t>Negative as it involves labor unrest associated with Repsol, which may impact reputation.</t>
  </si>
  <si>
    <r>
      <rPr>
        <rFont val="Arial, sans-serif"/>
        <color rgb="FF1155CC"/>
        <sz val="9.0"/>
        <u/>
      </rPr>
      <t>Diari de Tarragona</t>
    </r>
    <r>
      <rPr>
        <rFont val="Arial, sans-serif"/>
        <color rgb="FF1155CC"/>
        <sz val="15.0"/>
        <u/>
      </rPr>
      <t>Más tiempo para negociar el ‘impuestazo’ que amenaza la inversión de Repsol en Tarragona</t>
    </r>
    <r>
      <rPr>
        <rFont val="Arial, sans-serif"/>
        <color rgb="FF1155CC"/>
        <sz val="11.0"/>
        <u/>
      </rPr>
      <t>La Mesa del Congreso de los Diputados ha aprobado esta mañana una prórroga para ampliar el plazo en el que pueden presentarse enmiendas al proyecto de...</t>
    </r>
    <r>
      <rPr>
        <rFont val="Arial, sans-serif"/>
        <color rgb="FF1155CC"/>
        <sz val="12.0"/>
        <u/>
      </rPr>
      <t>.</t>
    </r>
    <r>
      <rPr>
        <rFont val="Arial, sans-serif"/>
        <color rgb="FF1155CC"/>
        <sz val="11.0"/>
        <u/>
      </rPr>
      <t>22 oct 2024</t>
    </r>
  </si>
  <si>
    <t>Más tiempo para negociar el ‘impuestazo’ que amenaza la inversión de Repsol en Tarragona</t>
  </si>
  <si>
    <t>Más tiempo para negociar el ‘impuestazo’ que amenaza la inversión de Repsol en Tarragona. La Mesa del Congreso de los Diputados ha aprobado esta mañana una prórroga para ampliar el plazo en el que pueden presentarse enmiendas al proyecto de....</t>
  </si>
  <si>
    <t>More time to negotiate the 'tax' that threatens Repsol's investment in Tarragona</t>
  </si>
  <si>
    <t>More time to negotiate the 'tax' that threatens Repsol's investment in Tarragona. The Board of the Congress of Deputies has approved this morning an extension to extend the period in which amendments can be presented to the draft of...</t>
  </si>
  <si>
    <t>tax negotiation, threatens investment</t>
  </si>
  <si>
    <t>Negociación fiscal, amenaza la inversión</t>
  </si>
  <si>
    <t>Negative as it suggests ongoing uncertainty regarding taxation and investment.</t>
  </si>
  <si>
    <t>amenaza, impuestazo</t>
  </si>
  <si>
    <t>Negative tax uncertainty.</t>
  </si>
  <si>
    <t>Incertidumbre fiscal negativa.</t>
  </si>
  <si>
    <r>
      <rPr>
        <rFont val="Arial, sans-serif"/>
        <color rgb="FF1155CC"/>
        <sz val="9.0"/>
        <u/>
      </rPr>
      <t>ElPlural.com</t>
    </r>
    <r>
      <rPr>
        <rFont val="Arial, sans-serif"/>
        <color rgb="FF1155CC"/>
        <sz val="15.0"/>
        <u/>
      </rPr>
      <t>Repsol deja en el aire sus inversiones en España a la espera de la decisión política sobre el impuesto</t>
    </r>
    <r>
      <rPr>
        <rFont val="Arial, sans-serif"/>
        <color rgb="FF1155CC"/>
        <sz val="11.0"/>
        <u/>
      </rPr>
      <t>"Nuestra cobertura social tendrá dificultades para sostenerse en un futuro", ha advertido Imaz entre acusaciones de "demagogia" y "populismo" al Gobierno.</t>
    </r>
    <r>
      <rPr>
        <rFont val="Arial, sans-serif"/>
        <color rgb="FF1155CC"/>
        <sz val="12.0"/>
        <u/>
      </rPr>
      <t>.</t>
    </r>
    <r>
      <rPr>
        <rFont val="Arial, sans-serif"/>
        <color rgb="FF1155CC"/>
        <sz val="11.0"/>
        <u/>
      </rPr>
      <t>22 oct 2024</t>
    </r>
  </si>
  <si>
    <t>Repsol deja en el aire sus inversiones en España a la espera de la decisión política sobre el impuesto</t>
  </si>
  <si>
    <t>"Nuestra cobertura social tendrá dificultades para sostenerse en un futuro", ha advertido Imaz entre acusaciones de "demagogia" y "populismo" al Gobierno.</t>
  </si>
  <si>
    <t>Repsol leaves its investments in Spain up in the air awaiting the political decision on the tax</t>
  </si>
  <si>
    <t>"Our social coverage will have difficulty sustaining itself in the future," Imaz has warned amid accusations of "demagogy" and "populism" against the Government.</t>
  </si>
  <si>
    <t>investments up in the air, political decision</t>
  </si>
  <si>
    <t>inversiones en el aire, decisión política</t>
  </si>
  <si>
    <t>Negative as it highlights uncertainty and delays in major projects.</t>
  </si>
  <si>
    <t>deja en el aire, impuesto</t>
  </si>
  <si>
    <r>
      <rPr>
        <rFont val="Arial, sans-serif"/>
        <color rgb="FF1155CC"/>
        <sz val="9.0"/>
        <u/>
      </rPr>
      <t>EITB</t>
    </r>
    <r>
      <rPr>
        <rFont val="Arial, sans-serif"/>
        <color rgb="FF1155CC"/>
        <sz val="15.0"/>
        <u/>
      </rPr>
      <t>Pradales se suma a Garamendi e Imaz en la crítica al impuesto estatal a bancos y energéticas</t>
    </r>
    <r>
      <rPr>
        <rFont val="Arial, sans-serif"/>
        <color rgb="FF1155CC"/>
        <sz val="11.0"/>
        <u/>
      </rPr>
      <t>El lehendakari cree "que gravar las ventas y no los dividendos de las compañías no es el mejor modelo". El consejero delegado de Repsol ha calificado el...</t>
    </r>
    <r>
      <rPr>
        <rFont val="Arial, sans-serif"/>
        <color rgb="FF1155CC"/>
        <sz val="12.0"/>
        <u/>
      </rPr>
      <t>.</t>
    </r>
    <r>
      <rPr>
        <rFont val="Arial, sans-serif"/>
        <color rgb="FF1155CC"/>
        <sz val="11.0"/>
        <u/>
      </rPr>
      <t>22 oct 2024</t>
    </r>
  </si>
  <si>
    <t>Pradales se suma a Garamendi e Imaz en la crítica al impuesto estatal a bancos y energéticas</t>
  </si>
  <si>
    <t>El lehendakari cree "que gravar las ventas y no los dividendos de las compañías no es el mejor modelo". El consejero delegado de Repsol ha calificado el....</t>
  </si>
  <si>
    <t>Pradales joins Garamendi and Imaz in criticizing the state tax on banks and energy companies</t>
  </si>
  <si>
    <t>The Lehendakari believes "that taxing sales and not company dividends is not the best model." The CEO of Repsol has described the...</t>
  </si>
  <si>
    <t>criticizing tax, not best model</t>
  </si>
  <si>
    <t>criticar el impuesto, no es el mejor modelo</t>
  </si>
  <si>
    <t>Negative as it adds to the widespread opposition to the tax, fueling uncertainty.</t>
  </si>
  <si>
    <t>crítica, impuesto</t>
  </si>
  <si>
    <r>
      <rPr>
        <rFont val="Arial, sans-serif"/>
        <color rgb="FF1155CC"/>
        <sz val="9.0"/>
        <u/>
      </rPr>
      <t>Cadena de Suministro</t>
    </r>
    <r>
      <rPr>
        <rFont val="Arial, sans-serif"/>
        <color rgb="FF1155CC"/>
        <sz val="15.0"/>
        <u/>
      </rPr>
      <t>Los transportistas distribuidores de butano suspenderán temporalmente el reparto domiciliario a particulares y empresas</t>
    </r>
    <r>
      <rPr>
        <rFont val="Arial, sans-serif"/>
        <color rgb="FF1155CC"/>
        <sz val="11.0"/>
        <u/>
      </rPr>
      <t>Durante el periodo de suspensión, las agencias de distribución no realizarán entregas domiciliarias a particulares ni a empresas, aunque seguirán...</t>
    </r>
    <r>
      <rPr>
        <rFont val="Arial, sans-serif"/>
        <color rgb="FF1155CC"/>
        <sz val="12.0"/>
        <u/>
      </rPr>
      <t>.</t>
    </r>
    <r>
      <rPr>
        <rFont val="Arial, sans-serif"/>
        <color rgb="FF1155CC"/>
        <sz val="11.0"/>
        <u/>
      </rPr>
      <t>22 oct 2024</t>
    </r>
  </si>
  <si>
    <t>Cadena de Suministro</t>
  </si>
  <si>
    <t>Los transportistas distribuidores de butano suspenderán temporalmente el reparto domiciliario a particulares y empresas</t>
  </si>
  <si>
    <t>Los transportistas distribuidores de butano suspenderán temporalmente el reparto domiciliario a particulares y empresas. Durante el periodo de suspensión, las agencias de distribución no realizarán entregas domiciliarias a particulares ni a empresas, aunque seguirán...</t>
  </si>
  <si>
    <t>Butane distributor transporters will temporarily suspend home delivery to individuals and companies</t>
  </si>
  <si>
    <t>Butane distributor transporters will temporarily suspend home delivery to individuals and companies. During the suspension period, distribution agencies will not make home deliveries to individuals or companies, although they will continue...</t>
  </si>
  <si>
    <t>Not directly related to Repsol’s corporate image.</t>
  </si>
  <si>
    <r>
      <rPr>
        <rFont val="Arial, sans-serif"/>
        <color rgb="FF1155CC"/>
        <sz val="9.0"/>
        <u/>
      </rPr>
      <t>lamarea.com</t>
    </r>
    <r>
      <rPr>
        <rFont val="Arial, sans-serif"/>
        <color rgb="FF1155CC"/>
        <sz val="15.0"/>
        <u/>
      </rPr>
      <t>FAES ha recibido casi 1,5 millones de euros por parte de grandes empresas entre 2018 y 2022</t>
    </r>
    <r>
      <rPr>
        <rFont val="Arial, sans-serif"/>
        <color rgb="FF1155CC"/>
        <sz val="11.0"/>
        <u/>
      </rPr>
      <t>Empresas del IBEX 35 como Repsol, Endesa, Iberdrola o ACS han realizado donaciones a la fundación presidida por José María Aznar.</t>
    </r>
    <r>
      <rPr>
        <rFont val="Arial, sans-serif"/>
        <color rgb="FF1155CC"/>
        <sz val="12.0"/>
        <u/>
      </rPr>
      <t>.</t>
    </r>
    <r>
      <rPr>
        <rFont val="Arial, sans-serif"/>
        <color rgb="FF1155CC"/>
        <sz val="11.0"/>
        <u/>
      </rPr>
      <t>22 oct 2024</t>
    </r>
  </si>
  <si>
    <t>lamarea.com</t>
  </si>
  <si>
    <t>FAES ha recibido casi 1,5 millones de euros por parte de grandes empresas entre 2018 y 2022</t>
  </si>
  <si>
    <t>Empresas del IBEX 35 como Repsol, Endesa, Iberdrola o ACS han realizado donaciones a la fundación presidida por José María Aznar.</t>
  </si>
  <si>
    <t>FAES has received almost 1.5 million euros from large companies between 2018 and 2022</t>
  </si>
  <si>
    <t>IBEX 35 companies such as Repsol, Endesa, Iberdrola and ACS have made donations to the foundation chaired by José María Aznar.</t>
  </si>
  <si>
    <r>
      <rPr>
        <rFont val="Arial, sans-serif"/>
        <color rgb="FF1155CC"/>
        <sz val="9.0"/>
        <u/>
      </rPr>
      <t>El Confidencial</t>
    </r>
    <r>
      <rPr>
        <rFont val="Arial, sans-serif"/>
        <color rgb="FF1155CC"/>
        <sz val="15.0"/>
        <u/>
      </rPr>
      <t>Estos son los días en los que no vas a recibir la bombona de butano por la huelga de los butaneros</t>
    </r>
    <r>
      <rPr>
        <rFont val="Arial, sans-serif"/>
        <color rgb="FF1155CC"/>
        <sz val="11.0"/>
        <u/>
      </rPr>
      <t>Los repartidores de butano han convocado una huelga que afectará a millones de hogares en toda España, generando preocupación por la suspensión del servicio...</t>
    </r>
    <r>
      <rPr>
        <rFont val="Arial, sans-serif"/>
        <color rgb="FF1155CC"/>
        <sz val="12.0"/>
        <u/>
      </rPr>
      <t>.</t>
    </r>
    <r>
      <rPr>
        <rFont val="Arial, sans-serif"/>
        <color rgb="FF1155CC"/>
        <sz val="11.0"/>
        <u/>
      </rPr>
      <t>22 oct 2024</t>
    </r>
  </si>
  <si>
    <t>Estos son los días en los que no vas a recibir la bombona de butano por la huelga de los butaneros</t>
  </si>
  <si>
    <t>Los repartidores de butano han convocado una huelga que afectará a millones de hogares en toda España, generando preocupación por la suspensión del servicio.</t>
  </si>
  <si>
    <t>These are the days in which you will not receive the butane cylinder due to the butane workers' strike</t>
  </si>
  <si>
    <t>Butane delivery workers have called a strike that will affect millions of homes throughout Spain, generating concern about the suspension of the service.</t>
  </si>
  <si>
    <r>
      <rPr>
        <rFont val="Arial, sans-serif"/>
        <color rgb="FF1155CC"/>
        <sz val="9.0"/>
        <u/>
      </rPr>
      <t>Diari de Tarragona</t>
    </r>
    <r>
      <rPr>
        <rFont val="Arial, sans-serif"/>
        <color rgb="FF1155CC"/>
        <sz val="15.0"/>
        <u/>
      </rPr>
      <t>Junts no apoya un impuesto permanente a las energéticas: «No pondremos en riesgo las inversiones en Tarragona»</t>
    </r>
    <r>
      <rPr>
        <rFont val="Arial, sans-serif"/>
        <color rgb="FF1155CC"/>
        <sz val="11.0"/>
        <u/>
      </rPr>
      <t>Junts per Catalunya se muestra firme en su intención de proteger las inversiones en Tarragona frente al nuevo impuesto a las energéticas propuesto por...</t>
    </r>
    <r>
      <rPr>
        <rFont val="Arial, sans-serif"/>
        <color rgb="FF1155CC"/>
        <sz val="12.0"/>
        <u/>
      </rPr>
      <t>.</t>
    </r>
    <r>
      <rPr>
        <rFont val="Arial, sans-serif"/>
        <color rgb="FF1155CC"/>
        <sz val="11.0"/>
        <u/>
      </rPr>
      <t>22 oct 2024</t>
    </r>
  </si>
  <si>
    <t>Junts no apoya un impuesto permanente a las energéticas: «No pondremos en riesgo las inversiones en Tarragona»</t>
  </si>
  <si>
    <t>Junts per Catalunya se muestra firme en su intención de proteger las inversiones en Tarragona frente al nuevo impuesto a las energéticas propuesto por....</t>
  </si>
  <si>
    <t>Junts does not support a permanent tax on energy companies: "We will not put investments in Tarragona at risk"</t>
  </si>
  <si>
    <t>Junts per Catalunya is firm in its intention to protect investments in Tarragona against the new tax on energy companies proposed by...</t>
  </si>
  <si>
    <t>not support tax, protect investments</t>
  </si>
  <si>
    <t>no apoyar impuestos, proteger inversiones</t>
  </si>
  <si>
    <t>Negative as it reflects ongoing political disputes affecting Repsol’s investment climate.</t>
  </si>
  <si>
    <t>no apoya, riesgo</t>
  </si>
  <si>
    <t>Positive political stance.</t>
  </si>
  <si>
    <t>Postura política positiva.</t>
  </si>
  <si>
    <r>
      <rPr>
        <rFont val="Arial, sans-serif"/>
        <color rgb="FF1155CC"/>
        <sz val="9.0"/>
        <u/>
      </rPr>
      <t>grandepremio.com</t>
    </r>
    <r>
      <rPr>
        <rFont val="Arial, sans-serif"/>
        <color rgb="FF1155CC"/>
        <sz val="15.0"/>
        <u/>
      </rPr>
      <t>Honda continúa con las reformas y se acerca a un acuerdo con nuevo patrocinador para 2025</t>
    </r>
    <r>
      <rPr>
        <rFont val="Arial, sans-serif"/>
        <color rgb="FF1155CC"/>
        <sz val="11.0"/>
        <u/>
      </rPr>
      <t>Honda continúa con su dura revisión de MotoGP, también en el área empresarial. En septiembre, durante el fin de semana del GP de San Marino, el fabricante...</t>
    </r>
    <r>
      <rPr>
        <rFont val="Arial, sans-serif"/>
        <color rgb="FF1155CC"/>
        <sz val="12.0"/>
        <u/>
      </rPr>
      <t>.</t>
    </r>
    <r>
      <rPr>
        <rFont val="Arial, sans-serif"/>
        <color rgb="FF1155CC"/>
        <sz val="11.0"/>
        <u/>
      </rPr>
      <t>22 oct 2024</t>
    </r>
  </si>
  <si>
    <t>grandepremio.com</t>
  </si>
  <si>
    <t>Honda continúa con las reformas y se acerca a un acuerdo con nuevo patrocinador para 2025</t>
  </si>
  <si>
    <t>Honda continúa con su dura revisión de MotoGP, también en el área empresarial. En septiembre, durante el fin de semana del GP de San Marino, el fabricante....</t>
  </si>
  <si>
    <t>Honda continues with reforms and approaches an agreement with a new sponsor for 2025</t>
  </si>
  <si>
    <t>Honda continues its tough review of MotoGP, also in the business area. In September, during the San Marino GP weekend, the manufacturer...</t>
  </si>
  <si>
    <r>
      <rPr>
        <rFont val="Arial, sans-serif"/>
        <color rgb="FF1155CC"/>
        <sz val="9.0"/>
        <u/>
      </rPr>
      <t>El Periódico de la Energía</t>
    </r>
    <r>
      <rPr>
        <rFont val="Arial, sans-serif"/>
        <color rgb="FF1155CC"/>
        <sz val="15.0"/>
        <u/>
      </rPr>
      <t>Garamendi censura la permanencia del impuesto a las energéticas, que "pone en duda" inversiones en España</t>
    </r>
    <r>
      <rPr>
        <rFont val="Arial, sans-serif"/>
        <color rgb="FF1155CC"/>
        <sz val="11.0"/>
        <u/>
      </rPr>
      <t>El directivo ha afirmado que "pone en duda" inversiones "milmillonarias" en España; y se ha mostrado "en sintonía" con Repsol, Cepsa y todas las compañías...</t>
    </r>
    <r>
      <rPr>
        <rFont val="Arial, sans-serif"/>
        <color rgb="FF1155CC"/>
        <sz val="12.0"/>
        <u/>
      </rPr>
      <t>.</t>
    </r>
    <r>
      <rPr>
        <rFont val="Arial, sans-serif"/>
        <color rgb="FF1155CC"/>
        <sz val="11.0"/>
        <u/>
      </rPr>
      <t>22 oct 2024</t>
    </r>
  </si>
  <si>
    <t>Garamendi censura la permanencia del impuesto a las energéticas, que "pone en duda" inversiones en España</t>
  </si>
  <si>
    <t>El directivo ha afirmado que "pone en duda" inversiones "milmillonarias" en España; y se ha mostrado "en sintonía" con Repsol, Cepsa y todas las compañías....</t>
  </si>
  <si>
    <t>Garamendi censures the permanence of the tax on energy companies, which "questions" investments in Spain</t>
  </si>
  <si>
    <t>The manager has stated that he "questions" "billion-dollar" investments in Spain; and has shown itself to be "in tune" with Repsol, Cepsa and all the companies....</t>
  </si>
  <si>
    <t>questions investments, tax permanence</t>
  </si>
  <si>
    <t>Cuestiona inversiones, permanencia fiscal</t>
  </si>
  <si>
    <t>Negative as it highlights ongoing opposition to fiscal policies affecting investments.</t>
  </si>
  <si>
    <t>censura, impuesto</t>
  </si>
  <si>
    <t>Negative business critique.</t>
  </si>
  <si>
    <t>Crítica empresarial negativa.</t>
  </si>
  <si>
    <r>
      <rPr>
        <rFont val="Arial, sans-serif"/>
        <color rgb="FF1155CC"/>
        <sz val="9.0"/>
        <u/>
      </rPr>
      <t>20Minutos</t>
    </r>
    <r>
      <rPr>
        <rFont val="Arial, sans-serif"/>
        <color rgb="FF1155CC"/>
        <sz val="15.0"/>
        <u/>
      </rPr>
      <t>El Congreso da más tiempo para reformar el proyecto de ley que convertirá en permanente el gravamen energético</t>
    </r>
    <r>
      <rPr>
        <rFont val="Arial, sans-serif"/>
        <color rgb="FF1155CC"/>
        <sz val="11.0"/>
        <u/>
      </rPr>
      <t>La Mesa de la Cámara Baja acuerda ampliar una semana más, hasta el 30 de octubre, el plazo para recibir enmiendas al proyecto de ley que propone un tipo...</t>
    </r>
    <r>
      <rPr>
        <rFont val="Arial, sans-serif"/>
        <color rgb="FF1155CC"/>
        <sz val="12.0"/>
        <u/>
      </rPr>
      <t>.</t>
    </r>
    <r>
      <rPr>
        <rFont val="Arial, sans-serif"/>
        <color rgb="FF1155CC"/>
        <sz val="11.0"/>
        <u/>
      </rPr>
      <t>22 oct 2024</t>
    </r>
  </si>
  <si>
    <t>El Congreso da más tiempo para reformar el proyecto de ley que convertirá en permanente el gravamen energético</t>
  </si>
  <si>
    <t>La Mesa de la Cámara Baja acuerda ampliar una semana más, hasta el 30 de octubre, el plazo para recibir enmiendas al proyecto de ley que propone un tipo....</t>
  </si>
  <si>
    <t>Congress gives more time to reform the bill that will make the energy tax permanent</t>
  </si>
  <si>
    <t>The Lower House Board agrees to extend one more week, until October 30, the deadline to receive amendments to the bill that proposes a type...</t>
  </si>
  <si>
    <t>energy tax, reform bill</t>
  </si>
  <si>
    <t>impuesto a la energía, proyecto de ley de reforma</t>
  </si>
  <si>
    <t>Negative as it suggests prolonged uncertainty over Repsol’s tax situation.</t>
  </si>
  <si>
    <t>Neutral legislative update.</t>
  </si>
  <si>
    <t>Actualización legislativa neutral.</t>
  </si>
  <si>
    <r>
      <rPr>
        <rFont val="Arial, sans-serif"/>
        <color rgb="FF1155CC"/>
        <sz val="9.0"/>
        <u/>
      </rPr>
      <t>Crónica Vasca</t>
    </r>
    <r>
      <rPr>
        <rFont val="Arial, sans-serif"/>
        <color rgb="FF1155CC"/>
        <sz val="15.0"/>
        <u/>
      </rPr>
      <t>Petronor mantiene paralizado el proyecto de un electrolizador de 100 MW en Bizkaia</t>
    </r>
    <r>
      <rPr>
        <rFont val="Arial, sans-serif"/>
        <color rgb="FF1155CC"/>
        <sz val="11.0"/>
        <u/>
      </rPr>
      <t>La ratificación se produce una vez que Repsol ha seleccionado Portugal como destino de una inversión de 15 millones en un nuevo proyecto de hidrógeno Más...</t>
    </r>
    <r>
      <rPr>
        <rFont val="Arial, sans-serif"/>
        <color rgb="FF1155CC"/>
        <sz val="12.0"/>
        <u/>
      </rPr>
      <t>.</t>
    </r>
    <r>
      <rPr>
        <rFont val="Arial, sans-serif"/>
        <color rgb="FF1155CC"/>
        <sz val="11.0"/>
        <u/>
      </rPr>
      <t>22 oct 2024</t>
    </r>
  </si>
  <si>
    <t>Petronor mantiene paralizado el proyecto de un electrolizador de 100 MW en Bizkaia</t>
  </si>
  <si>
    <t>La ratificación se produce una vez que Repsol ha seleccionado Portugal como destino de una inversión de 15 millones en un nuevo proyecto de hidrógeno.</t>
  </si>
  <si>
    <t>Petronor keeps the project of a 100 MW electrolyzer in Bizkaia paralyzed</t>
  </si>
  <si>
    <t>The ratification occurs once Repsol has selected Portugal as the destination for an investment of 15 million in a new hydrogen project.</t>
  </si>
  <si>
    <t>Negative as it suggests halted renewable energy development in Spain.</t>
  </si>
  <si>
    <r>
      <rPr>
        <rFont val="Arial, sans-serif"/>
        <color rgb="FF1155CC"/>
        <sz val="9.0"/>
        <u/>
      </rPr>
      <t>El Economista</t>
    </r>
    <r>
      <rPr>
        <rFont val="Arial, sans-serif"/>
        <color rgb="FF1155CC"/>
        <sz val="15.0"/>
        <u/>
      </rPr>
      <t>Junts retira su apoyo a la renovación del impuestazo a las energéticas para evitar perder inversión industrial</t>
    </r>
    <r>
      <rPr>
        <rFont val="Arial, sans-serif"/>
        <color rgb="FF1155CC"/>
        <sz val="11.0"/>
        <u/>
      </rPr>
      <t>El equilibrio parlamentario se le complica al Ejecutivo para implementar de manera permanente el impuesto a las energéticas y la banca.</t>
    </r>
    <r>
      <rPr>
        <rFont val="Arial, sans-serif"/>
        <color rgb="FF1155CC"/>
        <sz val="12.0"/>
        <u/>
      </rPr>
      <t>.</t>
    </r>
    <r>
      <rPr>
        <rFont val="Arial, sans-serif"/>
        <color rgb="FF1155CC"/>
        <sz val="11.0"/>
        <u/>
      </rPr>
      <t>22 oct 2024</t>
    </r>
  </si>
  <si>
    <t>Junts retira su apoyo a la renovación del impuestazo a las energéticas para evitar perder inversión industrial</t>
  </si>
  <si>
    <t>El equilibrio parlamentario se le complica al Ejecutivo para implementar de manera permanente el impuesto a las energéticas y la banca.</t>
  </si>
  <si>
    <t>Junts withdraws its support for the renewal of the tax on energy companies to avoid losing industrial investment</t>
  </si>
  <si>
    <t>The parliamentary balance is difficult for the Executive to permanently implement the tax on energy and banking.</t>
  </si>
  <si>
    <t>withdraws support, avoid losing investment</t>
  </si>
  <si>
    <t>retira apoyo, evitar perder inversión</t>
  </si>
  <si>
    <t>Negative as it reflects political instability surrounding industrial investment.</t>
  </si>
  <si>
    <t>retira, evitar</t>
  </si>
  <si>
    <r>
      <rPr>
        <rFont val="Arial, sans-serif"/>
        <color rgb="FF1155CC"/>
        <sz val="9.0"/>
        <u/>
      </rPr>
      <t>El Nacional.cat</t>
    </r>
    <r>
      <rPr>
        <rFont val="Arial, sans-serif"/>
        <color rgb="FF1155CC"/>
        <sz val="15.0"/>
        <u/>
      </rPr>
      <t>Junts, determinado a salvar las inversiones en Tarragona ante el 'impuestazo'</t>
    </r>
    <r>
      <rPr>
        <rFont val="Arial, sans-serif"/>
        <color rgb="FF1155CC"/>
        <sz val="11.0"/>
        <u/>
      </rPr>
      <t>Junts per Catalunya no acompañará al Gobierno en su aventura de hacer permanente el impuesto a las energéticas, ya que pone en peligro una inversión de...</t>
    </r>
    <r>
      <rPr>
        <rFont val="Arial, sans-serif"/>
        <color rgb="FF1155CC"/>
        <sz val="12.0"/>
        <u/>
      </rPr>
      <t>.</t>
    </r>
    <r>
      <rPr>
        <rFont val="Arial, sans-serif"/>
        <color rgb="FF1155CC"/>
        <sz val="11.0"/>
        <u/>
      </rPr>
      <t>22 oct 2024</t>
    </r>
  </si>
  <si>
    <t>Junts, determinado a salvar las inversiones en Tarragona ante el 'impuestazo'</t>
  </si>
  <si>
    <t>Junts per Catalunya no acompañará al Gobierno en su aventura de hacer permanente el impuesto a las energéticas, ya que pone en peligro una inversión de....</t>
  </si>
  <si>
    <t>Junts, determined to save investments in Tarragona in the face of the 'tax'</t>
  </si>
  <si>
    <t>Junts per Catalunya will not accompany the Government in its adventure to make the tax on energy companies permanent, since it endangers an investment of...</t>
  </si>
  <si>
    <t>save investments, tax opposition</t>
  </si>
  <si>
    <t>salvar inversiones, oposición fiscal</t>
  </si>
  <si>
    <t>Negative due to ongoing political debates impacting Repsol's business decisions.</t>
  </si>
  <si>
    <t>salvar</t>
  </si>
  <si>
    <t>Positive local stance.</t>
  </si>
  <si>
    <t>Postura local positiva.</t>
  </si>
  <si>
    <r>
      <rPr>
        <rFont val="Arial, sans-serif"/>
        <color rgb="FF1155CC"/>
        <sz val="9.0"/>
        <u/>
      </rPr>
      <t>EL PAÍS</t>
    </r>
    <r>
      <rPr>
        <rFont val="Arial, sans-serif"/>
        <color rgb="FF1155CC"/>
        <sz val="15.0"/>
        <u/>
      </rPr>
      <t>El Gobierno retrasa la reforma de los impuestos a banca y energéticas ante la presión de sus socios y empresas</t>
    </r>
    <r>
      <rPr>
        <rFont val="Arial, sans-serif"/>
        <color rgb="FF1155CC"/>
        <sz val="11.0"/>
        <u/>
      </rPr>
      <t>Hacienda y Economía estudian suavizar los gravámenes para adaptarlos al ciclo económico, evitar una fuga de inversiones ante la amenaza de las empresas y...</t>
    </r>
    <r>
      <rPr>
        <rFont val="Arial, sans-serif"/>
        <color rgb="FF1155CC"/>
        <sz val="12.0"/>
        <u/>
      </rPr>
      <t>.</t>
    </r>
    <r>
      <rPr>
        <rFont val="Arial, sans-serif"/>
        <color rgb="FF1155CC"/>
        <sz val="11.0"/>
        <u/>
      </rPr>
      <t>22 oct 2024</t>
    </r>
  </si>
  <si>
    <t>El Gobierno retrasa la reforma de los impuestos a banca y energéticas ante la presión de sus socios y empresas</t>
  </si>
  <si>
    <t>Hacienda y Economía estudian suavizar los gravámenes para adaptarlos al ciclo económico, evitar una fuga de inversiones ante la amenaza de las empresas y....</t>
  </si>
  <si>
    <t>The Government delays the reform of banking and energy taxes due to pressure from its partners and companies</t>
  </si>
  <si>
    <t>The Treasury and Economy are studying softening taxes to adapt them to the economic cycle, avoiding a flight of investments due to the threat of companies and...</t>
  </si>
  <si>
    <t>delays tax reform, investment flight</t>
  </si>
  <si>
    <t>retrasa la reforma fiscal, fuga de inversiones</t>
  </si>
  <si>
    <t>Negative as it implies continued uncertainty in the investment climate.</t>
  </si>
  <si>
    <t>retrasa, presión</t>
  </si>
  <si>
    <r>
      <rPr>
        <rFont val="Arial, sans-serif"/>
        <color rgb="FF1155CC"/>
        <sz val="9.0"/>
        <u/>
      </rPr>
      <t>MotorcycleSports</t>
    </r>
    <r>
      <rPr>
        <rFont val="Arial, sans-serif"/>
        <color rgb="FF1155CC"/>
        <sz val="15.0"/>
        <u/>
      </rPr>
      <t>Honda cerca de un acuerdo con Castrol para reemplazar a Repsol como patrocinador principal en 2025.</t>
    </r>
    <r>
      <rPr>
        <rFont val="Arial, sans-serif"/>
        <color rgb="FF1155CC"/>
        <sz val="11.0"/>
        <u/>
      </rPr>
      <t>Honda Racing Corporation (HRC) está cerca de anunciar a Castrol como su nuevo patrocinador principal para 2025, tras el final de su histórica asociación de...</t>
    </r>
    <r>
      <rPr>
        <rFont val="Arial, sans-serif"/>
        <color rgb="FF1155CC"/>
        <sz val="12.0"/>
        <u/>
      </rPr>
      <t>.</t>
    </r>
    <r>
      <rPr>
        <rFont val="Arial, sans-serif"/>
        <color rgb="FF1155CC"/>
        <sz val="11.0"/>
        <u/>
      </rPr>
      <t>22 oct 2024</t>
    </r>
  </si>
  <si>
    <t>Honda cerca de un acuerdo con Castrol para reemplazar a Repsol como patrocinador principal en 2025.</t>
  </si>
  <si>
    <t>Honda Racing Corporation (HRC) está cerca de anunciar a Castrol como su nuevo patrocinador principal para 2025, tras el final de su histórica asociación de....</t>
  </si>
  <si>
    <t>Honda close to an agreement with Castrol to replace Repsol as title sponsor in 2025.</t>
  </si>
  <si>
    <t>Honda Racing Corporation (HRC) is close to announcing Castrol as its new title sponsor for 2025, following the end of its historic partnership of...</t>
  </si>
  <si>
    <r>
      <rPr>
        <rFont val="Arial, sans-serif"/>
        <color rgb="FF1155CC"/>
        <sz val="9.0"/>
        <u/>
      </rPr>
      <t>Diari de Tarragona</t>
    </r>
    <r>
      <rPr>
        <rFont val="Arial, sans-serif"/>
        <color rgb="FF1155CC"/>
        <sz val="15.0"/>
        <u/>
      </rPr>
      <t>¿Cuánto ha recaudado en total el ‘impuestazo’ a banca y energéticas?</t>
    </r>
    <r>
      <rPr>
        <rFont val="Arial, sans-serif"/>
        <color rgb="FF1155CC"/>
        <sz val="11.0"/>
        <u/>
      </rPr>
      <t>El impuesto a la banca y a las energéticas que el Gobierno de España impulsó en 2022 por dos años y que ahora quiere mantener ha aportado un total de ...</t>
    </r>
    <r>
      <rPr>
        <rFont val="Arial, sans-serif"/>
        <color rgb="FF1155CC"/>
        <sz val="12.0"/>
        <u/>
      </rPr>
      <t>.</t>
    </r>
    <r>
      <rPr>
        <rFont val="Arial, sans-serif"/>
        <color rgb="FF1155CC"/>
        <sz val="11.0"/>
        <u/>
      </rPr>
      <t>22 oct 2024</t>
    </r>
  </si>
  <si>
    <t>¿Cuánto ha recaudado en total el ‘impuestazo’ a banca y energéticas?</t>
  </si>
  <si>
    <t>El impuesto a la banca y a las energéticas que el Gobierno de España impulsó en 2022 por dos años y que ahora quiere mantener ha aportado un total de ....</t>
  </si>
  <si>
    <t>How much has the 'tax' on banking and energy raised in total?</t>
  </si>
  <si>
    <t>The tax on banking and energy companies that the Government of Spain promoted in 2022 for two years and that it now wants to maintain has contributed a total of...</t>
  </si>
  <si>
    <t>Informative article not directly affecting Repsol’s corporate image.</t>
  </si>
  <si>
    <r>
      <rPr>
        <rFont val="Arial, sans-serif"/>
        <color rgb="FF1155CC"/>
        <sz val="9.0"/>
        <u/>
      </rPr>
      <t>20Minutos</t>
    </r>
    <r>
      <rPr>
        <rFont val="Arial, sans-serif"/>
        <color rgb="FF1155CC"/>
        <sz val="15.0"/>
        <u/>
      </rPr>
      <t>Garamendi critica el impuesto permanente a las elétricas que "pone en duda" la inversión en España</t>
    </r>
    <r>
      <rPr>
        <rFont val="Arial, sans-serif"/>
        <color rgb="FF1155CC"/>
        <sz val="11.0"/>
        <u/>
      </rPr>
      <t>El presidente de la CEOE se suma a las declaraciones de otros directivos como el consejero delegado de Repsol, Josu Jon Imaz quien aseguró que 'miles de...</t>
    </r>
    <r>
      <rPr>
        <rFont val="Arial, sans-serif"/>
        <color rgb="FF1155CC"/>
        <sz val="12.0"/>
        <u/>
      </rPr>
      <t>.</t>
    </r>
    <r>
      <rPr>
        <rFont val="Arial, sans-serif"/>
        <color rgb="FF1155CC"/>
        <sz val="11.0"/>
        <u/>
      </rPr>
      <t>22 oct 2024</t>
    </r>
  </si>
  <si>
    <t>Garamendi critica el impuesto permanente a las elétricas que "pone en duda" la inversión en España</t>
  </si>
  <si>
    <t>Garamendi critica el impuesto permanente a las elétricas que "pone en duda" la inversión en España.</t>
  </si>
  <si>
    <t>Garamendi criticizes the permanent tax on electricity companies that "questions" investment in Spain</t>
  </si>
  <si>
    <t>Garamendi criticizes the permanent tax on electricity companies that "calls into question" investment in Spain.</t>
  </si>
  <si>
    <t>criticizes tax, questions investment</t>
  </si>
  <si>
    <t>Critica los impuestos, cuestiona la inversión</t>
  </si>
  <si>
    <t>Negative as it highlights continued business opposition to the tax policy.</t>
  </si>
  <si>
    <t>critica, impuesto</t>
  </si>
  <si>
    <r>
      <rPr>
        <rFont val="Arial, sans-serif"/>
        <color rgb="FF1155CC"/>
        <sz val="9.0"/>
        <u/>
      </rPr>
      <t>El Mundo</t>
    </r>
    <r>
      <rPr>
        <rFont val="Arial, sans-serif"/>
        <color rgb="FF1155CC"/>
        <sz val="15.0"/>
        <u/>
      </rPr>
      <t>El Gobierno pierde el apoyo de Junts al 'impuestazo' a bancos y energéticas y retrasa su tramitación</t>
    </r>
    <r>
      <rPr>
        <rFont val="Arial, sans-serif"/>
        <color rgb="FF1155CC"/>
        <sz val="11.0"/>
        <u/>
      </rPr>
      <t>Nuevo plante de Junts al Gobierno, tras el bloqueo a la tramitación de los Presupuestos Generales del Estado. La formación liderada por Carles Puigdemont ha...</t>
    </r>
    <r>
      <rPr>
        <rFont val="Arial, sans-serif"/>
        <color rgb="FF1155CC"/>
        <sz val="12.0"/>
        <u/>
      </rPr>
      <t>.</t>
    </r>
    <r>
      <rPr>
        <rFont val="Arial, sans-serif"/>
        <color rgb="FF1155CC"/>
        <sz val="11.0"/>
        <u/>
      </rPr>
      <t>22 oct 2024</t>
    </r>
  </si>
  <si>
    <t>El Gobierno pierde el apoyo de Junts al 'impuestazo' a bancos y energéticas y retrasa su tramitación</t>
  </si>
  <si>
    <t>Nuevo plante de Junts al Gobierno, tras el bloqueo a la tramitación de los Presupuestos Generales del Estado. La formación liderada por Carles Puigdemont ha....</t>
  </si>
  <si>
    <t>The Government loses the support of Junts for the 'tax' on banks and energy companies and delays its processing</t>
  </si>
  <si>
    <t>New proposal from Junts to the Government, after the blockage of the processing of the General State Budgets. The formation led by Carles Puigdemont has....</t>
  </si>
  <si>
    <t>loses support, delays processing</t>
  </si>
  <si>
    <t>pierde soporte, retrasa el procesamiento</t>
  </si>
  <si>
    <t>Negative as it signals instability in policy affecting energy companies.</t>
  </si>
  <si>
    <t>pierde apoyo</t>
  </si>
  <si>
    <r>
      <rPr>
        <rFont val="Arial, sans-serif"/>
        <color rgb="FF1155CC"/>
        <sz val="9.0"/>
        <u/>
      </rPr>
      <t>El Español</t>
    </r>
    <r>
      <rPr>
        <rFont val="Arial, sans-serif"/>
        <color rgb="FF1155CC"/>
        <sz val="15.0"/>
        <u/>
      </rPr>
      <t>El puesto de alta cocina dentro de un mítico mercado de Madrid con caviar, ostras y un sumiller</t>
    </r>
    <r>
      <rPr>
        <rFont val="Arial, sans-serif"/>
        <color rgb="FF1155CC"/>
        <sz val="11.0"/>
        <u/>
      </rPr>
      <t>Desde el jueves, el Mercado de Vallehermoso acoge Krudo, la versión más canalla de la "cocina viajera" de un chef en la Guía Michelin y Repsol.</t>
    </r>
    <r>
      <rPr>
        <rFont val="Arial, sans-serif"/>
        <color rgb="FF1155CC"/>
        <sz val="12.0"/>
        <u/>
      </rPr>
      <t>.</t>
    </r>
    <r>
      <rPr>
        <rFont val="Arial, sans-serif"/>
        <color rgb="FF1155CC"/>
        <sz val="11.0"/>
        <u/>
      </rPr>
      <t>22 oct 2024</t>
    </r>
  </si>
  <si>
    <t>El puesto de alta cocina dentro de un mítico mercado de Madrid con caviar, ostras y un sumiller</t>
  </si>
  <si>
    <t>Desde el jueves, el Mercado de Vallehermoso acoge Krudo, la versión más canalla de la "cocina viajera" de un chef en la Guía Michelin y Repsol.</t>
  </si>
  <si>
    <t>The haute cuisine stand inside a legendary Madrid market with caviar, oysters and a sommelier</t>
  </si>
  <si>
    <t>Since Thursday, the Vallehermoso Market has hosted Krudo, the most scoundrel version of the "travelling cuisine" of a chef in the Michelin Guide and Repsol.</t>
  </si>
  <si>
    <r>
      <rPr>
        <rFont val="Arial, sans-serif"/>
        <color rgb="FF1155CC"/>
        <sz val="9.0"/>
        <u/>
      </rPr>
      <t>motociclismo.pt</t>
    </r>
    <r>
      <rPr>
        <rFont val="Arial, sans-serif"/>
        <color rgb="FF1155CC"/>
        <sz val="15.0"/>
        <u/>
      </rPr>
      <t>Honda está próxima de un acuerdo con Castrol para sustituir a Repsol como patrocinador principal en 2025.</t>
    </r>
    <r>
      <rPr>
        <rFont val="Arial, sans-serif"/>
        <color rgb="FF1155CC"/>
        <sz val="11.0"/>
        <u/>
      </rPr>
      <t>La Honda Racing Corporation (HRC) está a punto de anunciar a Castrol como nuevo patrocinador principal para 2025, tras el final de la histórica asociación...</t>
    </r>
    <r>
      <rPr>
        <rFont val="Arial, sans-serif"/>
        <color rgb="FF1155CC"/>
        <sz val="12.0"/>
        <u/>
      </rPr>
      <t>.</t>
    </r>
    <r>
      <rPr>
        <rFont val="Arial, sans-serif"/>
        <color rgb="FF1155CC"/>
        <sz val="11.0"/>
        <u/>
      </rPr>
      <t>22 oct 2024</t>
    </r>
  </si>
  <si>
    <t>Honda está próxima de un acuerdo con Castrol para sustituir a Repsol como patrocinador principal en 2025.</t>
  </si>
  <si>
    <t>Honda is close to an agreement with Castrol to replace Repsol as main sponsor in 2025.</t>
  </si>
  <si>
    <t>replacement, Repsol exits MotoGP</t>
  </si>
  <si>
    <t>reposición, Repsol sale de MotoGP</t>
  </si>
  <si>
    <t>Negative as it marks the loss of brand exposure in MotoGP.</t>
  </si>
  <si>
    <t>sustituir</t>
  </si>
  <si>
    <t>Loss of sponsorship negatively impacts brand visibility.</t>
  </si>
  <si>
    <t>La pérdida de patrocinio afecta negativamente la visibilidad de la marca.</t>
  </si>
  <si>
    <r>
      <rPr>
        <rFont val="Arial, sans-serif"/>
        <color rgb="FF1155CC"/>
        <sz val="9.0"/>
        <u/>
      </rPr>
      <t>El Español</t>
    </r>
    <r>
      <rPr>
        <rFont val="Arial, sans-serif"/>
        <color rgb="FF1155CC"/>
        <sz val="15.0"/>
        <u/>
      </rPr>
      <t>El mejor restaurante de Castellón para comer buen arroz sin dejarte un dineral: recomendado por Guía Repsol</t>
    </r>
    <r>
      <rPr>
        <rFont val="Arial, sans-serif"/>
        <color rgb="FF1155CC"/>
        <sz val="11.0"/>
        <u/>
      </rPr>
      <t>Abierto en 1987, es uno de los establecimientos más apreciados por los locales, con arroces desde 18 euros. Más información: Cómo hacer una paella...</t>
    </r>
    <r>
      <rPr>
        <rFont val="Arial, sans-serif"/>
        <color rgb="FF1155CC"/>
        <sz val="12.0"/>
        <u/>
      </rPr>
      <t>.</t>
    </r>
    <r>
      <rPr>
        <rFont val="Arial, sans-serif"/>
        <color rgb="FF1155CC"/>
        <sz val="11.0"/>
        <u/>
      </rPr>
      <t>22 oct 2024</t>
    </r>
  </si>
  <si>
    <t>El mejor restaurante de Castellón para comer buen arroz sin dejarte un dineral: recomendado por Guía Repsol</t>
  </si>
  <si>
    <t>Abierto en 1987, es uno de los establecimientos más apreciados por los locales, con arroces desde 18 euros. Más información: Cómo hacer una paella.</t>
  </si>
  <si>
    <t>The best restaurant in Castellón to eat good rice without breaking the bank: recommended by the Repsol Guide</t>
  </si>
  <si>
    <t>Opened in 1987, it is one of the establishments most appreciated by locals, with rice dishes from 18 euros. More information: How to make a paella.</t>
  </si>
  <si>
    <r>
      <rPr>
        <rFont val="Arial, sans-serif"/>
        <color rgb="FF1155CC"/>
        <sz val="9.0"/>
        <u/>
      </rPr>
      <t>Box Repsol</t>
    </r>
    <r>
      <rPr>
        <rFont val="Arial, sans-serif"/>
        <color rgb="FF1155CC"/>
        <sz val="15.0"/>
        <u/>
      </rPr>
      <t>¿Qué es el efecto giroscópico en moto?</t>
    </r>
    <r>
      <rPr>
        <rFont val="Arial, sans-serif"/>
        <color rgb="FF1155CC"/>
        <sz val="11.0"/>
        <u/>
      </rPr>
      <t>En el desplazamiento de una moto colaboran tres factores: la gravedad, la fuerza centrífuga y el efecto giroscópico. Este último es el que consigue...</t>
    </r>
    <r>
      <rPr>
        <rFont val="Arial, sans-serif"/>
        <color rgb="FF1155CC"/>
        <sz val="12.0"/>
        <u/>
      </rPr>
      <t>.</t>
    </r>
    <r>
      <rPr>
        <rFont val="Arial, sans-serif"/>
        <color rgb="FF1155CC"/>
        <sz val="11.0"/>
        <u/>
      </rPr>
      <t>22 oct 2024</t>
    </r>
  </si>
  <si>
    <t>¿Qué es el efecto giroscópico en moto?</t>
  </si>
  <si>
    <t>En el desplazamiento de una moto colaboran tres factores: la gravedad, la fuerza centrífuga y el efecto giroscópico. Este último es el que consigue....</t>
  </si>
  <si>
    <t>What is the gyroscopic effect on a motorcycle?</t>
  </si>
  <si>
    <t>Three factors collaborate in the movement of a motorcycle: gravity, centrifugal force and the gyroscopic effect. The latter is the one that gets...</t>
  </si>
  <si>
    <r>
      <rPr>
        <rFont val="Arial, sans-serif"/>
        <color rgb="FF1155CC"/>
        <sz val="9.0"/>
        <u/>
      </rPr>
      <t>Crónica Global</t>
    </r>
    <r>
      <rPr>
        <rFont val="Arial, sans-serif"/>
        <color rgb="FF1155CC"/>
        <sz val="15.0"/>
        <u/>
      </rPr>
      <t>El sector liberal de Junts aprieta para tumbar el "impuestazo" del Gobierno a las energéticas</t>
    </r>
    <r>
      <rPr>
        <rFont val="Arial, sans-serif"/>
        <color rgb="FF1155CC"/>
        <sz val="11.0"/>
        <u/>
      </rPr>
      <t>El grupo de Carles Puigdemont deberá decidir si se posiciona con el Gobierno y sus socios, y condena al polo petroquímico de Tarragona, o se coloca con el...</t>
    </r>
    <r>
      <rPr>
        <rFont val="Arial, sans-serif"/>
        <color rgb="FF1155CC"/>
        <sz val="12.0"/>
        <u/>
      </rPr>
      <t>.</t>
    </r>
    <r>
      <rPr>
        <rFont val="Arial, sans-serif"/>
        <color rgb="FF1155CC"/>
        <sz val="11.0"/>
        <u/>
      </rPr>
      <t>22 oct 2024</t>
    </r>
  </si>
  <si>
    <t>El sector liberal de Junts aprieta para tumbar el "impuestazo" del Gobierno a las energéticas</t>
  </si>
  <si>
    <t>El grupo de Carles Puigdemont deberá decidir si se posiciona con el Gobierno y sus socios, y condena al polo petroquímico de Tarragona, o se coloca con el....</t>
  </si>
  <si>
    <t>The liberal sector of Junts pushes to overthrow the Government's "tax" on energy companies</t>
  </si>
  <si>
    <t>Carles Puigdemont's group will have to decide whether to stand with the Government and its partners, and condemn the petrochemical hub of Tarragona, or stand with it....</t>
  </si>
  <si>
    <t>overthrow tax, protect investment</t>
  </si>
  <si>
    <t>derrocar el impuesto, proteger la inversión</t>
  </si>
  <si>
    <t>Negative as it highlights political uncertainty affecting Repsol’s operations.</t>
  </si>
  <si>
    <t>Indirect benefit for Repsol if tax is blocked.</t>
  </si>
  <si>
    <t>Beneficio indirecto para Repsol si se bloquea el impuesto.</t>
  </si>
  <si>
    <r>
      <rPr>
        <rFont val="Arial, sans-serif"/>
        <color rgb="FF1155CC"/>
        <sz val="9.0"/>
        <u/>
      </rPr>
      <t>Gestión</t>
    </r>
    <r>
      <rPr>
        <rFont val="Arial, sans-serif"/>
        <color rgb="FF1155CC"/>
        <sz val="15.0"/>
        <u/>
      </rPr>
      <t>La Pampilla invertirá en tecnología eléctrica en 2025: sus estrategias en uso de renovables</t>
    </r>
    <r>
      <rPr>
        <rFont val="Arial, sans-serif"/>
        <color rgb="FF1155CC"/>
        <sz val="11.0"/>
        <u/>
      </rPr>
      <t>Luis Vásquez, director de Comunicación y Relaciones Institucionales de Repsol, adelantó a Gestión que reemplazará la turbina más grande de La Pampilla por...</t>
    </r>
    <r>
      <rPr>
        <rFont val="Arial, sans-serif"/>
        <color rgb="FF1155CC"/>
        <sz val="12.0"/>
        <u/>
      </rPr>
      <t>.</t>
    </r>
    <r>
      <rPr>
        <rFont val="Arial, sans-serif"/>
        <color rgb="FF1155CC"/>
        <sz val="11.0"/>
        <u/>
      </rPr>
      <t>22 oct 2024</t>
    </r>
  </si>
  <si>
    <t>La Pampilla invertirá en tecnología eléctrica en 2025: sus estrategias en uso de renovables</t>
  </si>
  <si>
    <t>Repsol reemplazará la turbina más grande de La Pampilla por tecnología eléctrica avanzada en su estrategia de uso de renovables.</t>
  </si>
  <si>
    <t>La Pampilla will invest in electrical technology in 2025: its strategies for the use of renewables</t>
  </si>
  <si>
    <t>Repsol will replace the largest turbine in La Pampilla with advanced electrical technology in its strategy for the use of renewables.</t>
  </si>
  <si>
    <t>electrical technology, renewables strategy</t>
  </si>
  <si>
    <t>tecnología eléctrica, estrategia de energías renovables</t>
  </si>
  <si>
    <t>Positive as it highlights Repsol’s investment in sustainability.</t>
  </si>
  <si>
    <t>invertirá, "renovables"</t>
  </si>
  <si>
    <t>Positive focus on renewable energy investments.</t>
  </si>
  <si>
    <t>Enfoque positivo en las inversiones en energías renovables.</t>
  </si>
  <si>
    <r>
      <rPr>
        <rFont val="Arial, sans-serif"/>
        <color rgb="FF1155CC"/>
        <sz val="9.0"/>
        <u/>
      </rPr>
      <t>Climática</t>
    </r>
    <r>
      <rPr>
        <rFont val="Arial, sans-serif"/>
        <color rgb="FF1155CC"/>
        <sz val="15.0"/>
        <u/>
      </rPr>
      <t>Repsol presiona para que el Gobierno no haga permanente el impuesto extraordinario a las energéticas</t>
    </r>
    <r>
      <rPr>
        <rFont val="Arial, sans-serif"/>
        <color rgb="FF1155CC"/>
        <sz val="11.0"/>
        <u/>
      </rPr>
      <t>El Gobierno de España quiere hacer permanente el impuesto extraordinario creado en 2022 para las energéticas y la banca que se estaban enriqueciendo en un...</t>
    </r>
    <r>
      <rPr>
        <rFont val="Arial, sans-serif"/>
        <color rgb="FF1155CC"/>
        <sz val="12.0"/>
        <u/>
      </rPr>
      <t>.</t>
    </r>
    <r>
      <rPr>
        <rFont val="Arial, sans-serif"/>
        <color rgb="FF1155CC"/>
        <sz val="11.0"/>
        <u/>
      </rPr>
      <t>23 oct 2024</t>
    </r>
  </si>
  <si>
    <t>Repsol presiona para que el Gobierno no haga permanente el impuesto extraordinario a las energéticas</t>
  </si>
  <si>
    <t>El Gobierno de España quiere hacer permanente el impuesto extraordinario creado en 2022 para lasenergéticas y la banca que se estaban enriqueciendo en un....</t>
  </si>
  <si>
    <t>Repsol pressures the Government not to make the extraordinary tax on energy companies permanent</t>
  </si>
  <si>
    <t>The Government of Spain wants to make permanent the extraordinary tax created in 2022 for energy companies and banks that were getting rich in a...</t>
  </si>
  <si>
    <t>pressures Government, tax permanence</t>
  </si>
  <si>
    <t>presiones al Gobierno, permanencia fiscal</t>
  </si>
  <si>
    <t>Negative as it reinforces tensions between Repsol and government policies.</t>
  </si>
  <si>
    <t>presiona</t>
  </si>
  <si>
    <t>Conflict with government frames Repsol defensively.</t>
  </si>
  <si>
    <t>El conflicto con el Gobierno enmarca a Repsol a la defensiva.</t>
  </si>
  <si>
    <r>
      <rPr>
        <rFont val="Arial, sans-serif"/>
        <color rgb="FF1155CC"/>
        <sz val="9.0"/>
        <u/>
      </rPr>
      <t>Ayuntamiento de Puertollano</t>
    </r>
    <r>
      <rPr>
        <rFont val="Arial, sans-serif"/>
        <color rgb="FF1155CC"/>
        <sz val="15.0"/>
        <u/>
      </rPr>
      <t>Repsol activará este miércoles sus alarmas durante el simulacro de emergencia en el Complejo Industrial</t>
    </r>
    <r>
      <rPr>
        <rFont val="Arial, sans-serif"/>
        <color rgb="FF1155CC"/>
        <sz val="11.0"/>
        <u/>
      </rPr>
      <t>El Complejo Industrial de Repsol activará este miércoles el Plan de Emergencia Interior (PEI) durante el simulacro de emergencia general que se realizará en...</t>
    </r>
    <r>
      <rPr>
        <rFont val="Arial, sans-serif"/>
        <color rgb="FF1155CC"/>
        <sz val="12.0"/>
        <u/>
      </rPr>
      <t>.</t>
    </r>
    <r>
      <rPr>
        <rFont val="Arial, sans-serif"/>
        <color rgb="FF1155CC"/>
        <sz val="11.0"/>
        <u/>
      </rPr>
      <t>23 oct 2024</t>
    </r>
  </si>
  <si>
    <t>Repsol activará este miércoles sus alarmas durante el simulacro de emergencia en el Complejo Industrial</t>
  </si>
  <si>
    <t>El Complejo Industrial de Repsol activará este miércoles el Plan de Emergencia Interior (PEI) durante el simulacro de emergencia general que se realizará en....</t>
  </si>
  <si>
    <t>Repsol will activate its alarms this Wednesday during the emergency drill at the Industrial Complex</t>
  </si>
  <si>
    <t>The Repsol Industrial Complex will activate the Interior Emergency Plan (PEI) this Wednesday during the general emergency drill that will be carried out in...</t>
  </si>
  <si>
    <t>Routine operational activity with no significant corporate impact.</t>
  </si>
  <si>
    <r>
      <rPr>
        <rFont val="Arial, sans-serif"/>
        <color rgb="FF1155CC"/>
        <sz val="9.0"/>
        <u/>
      </rPr>
      <t>Europa Press</t>
    </r>
    <r>
      <rPr>
        <rFont val="Arial, sans-serif"/>
        <color rgb="FF1155CC"/>
        <sz val="15.0"/>
        <u/>
      </rPr>
      <t>Repsol obtiene el documento que le permite optar a ayudas europeas para la ampliación de la central de Aguayo</t>
    </r>
    <r>
      <rPr>
        <rFont val="Arial, sans-serif"/>
        <color rgb="FF1155CC"/>
        <sz val="11.0"/>
        <u/>
      </rPr>
      <t>La multinacional Repsol, propietaria de la central hidroeléctrica de San Miguel de Aguayo ya cuente con el...</t>
    </r>
    <r>
      <rPr>
        <rFont val="Arial, sans-serif"/>
        <color rgb="FF1155CC"/>
        <sz val="12.0"/>
        <u/>
      </rPr>
      <t>.</t>
    </r>
    <r>
      <rPr>
        <rFont val="Arial, sans-serif"/>
        <color rgb="FF1155CC"/>
        <sz val="11.0"/>
        <u/>
      </rPr>
      <t>23 oct 2024</t>
    </r>
  </si>
  <si>
    <t>Repsol obtiene el documento que le permite optar a ayudas europeas para la ampliación de la central de Aguayo</t>
  </si>
  <si>
    <t>La multinacional Repsol, propietaria de la central hidroeléctrica de San Miguel de Aguayo ya cuenta con el....</t>
  </si>
  <si>
    <t>Repsol obtains the document that allows it to qualify for European aid for the expansion of the Aguayo plant</t>
  </si>
  <si>
    <t>The multinational Repsol, owner of the San Miguel de Aguayo hydroelectric plant, already has the...</t>
  </si>
  <si>
    <t>qualify for European aid, expansion</t>
  </si>
  <si>
    <t>calificar para la ayuda europea, expansión</t>
  </si>
  <si>
    <t>Positive as it supports Repsol’s growth and investment in energy infrastructure.</t>
  </si>
  <si>
    <t>obtiene, "ayudas"</t>
  </si>
  <si>
    <t>Positive regulatory and financial support.</t>
  </si>
  <si>
    <t>Apoyo regulatorio y financiero positivo.</t>
  </si>
  <si>
    <r>
      <rPr>
        <rFont val="Arial, sans-serif"/>
        <color rgb="FF1155CC"/>
        <sz val="9.0"/>
        <u/>
      </rPr>
      <t>Confilegal</t>
    </r>
    <r>
      <rPr>
        <rFont val="Arial, sans-serif"/>
        <color rgb="FF1155CC"/>
        <sz val="15.0"/>
        <u/>
      </rPr>
      <t>Josu Jon Imaz, consejero delegado de Repsol: "el área jurídica es parte integral de nuestra estrategia"</t>
    </r>
    <r>
      <rPr>
        <rFont val="Arial, sans-serif"/>
        <color rgb="FF1155CC"/>
        <sz val="11.0"/>
        <u/>
      </rPr>
      <t>En el marco del "Repsol Innovative Legal Minds", organizado en el Auditorio de la compañía en Madrid. Yolanda Rodríguez. |. 23/10/2024 16:25.</t>
    </r>
    <r>
      <rPr>
        <rFont val="Arial, sans-serif"/>
        <color rgb="FF1155CC"/>
        <sz val="12.0"/>
        <u/>
      </rPr>
      <t>.</t>
    </r>
    <r>
      <rPr>
        <rFont val="Arial, sans-serif"/>
        <color rgb="FF1155CC"/>
        <sz val="11.0"/>
        <u/>
      </rPr>
      <t>23 oct 2024</t>
    </r>
  </si>
  <si>
    <t>Josu Jon Imaz, consejero delegado de Repsol: "el área jurídica es parte integral de nuestra estrategia"</t>
  </si>
  <si>
    <t>"el área jurídica es parte integral de nuestra estrategia"</t>
  </si>
  <si>
    <t>Josu Jon Imaz, CEO of Repsol: "the legal area is an integral part of our strategy"</t>
  </si>
  <si>
    <t>"the legal area is an integral part of our strategy"</t>
  </si>
  <si>
    <t>General corporate statement with no direct impact on Repsol’s image.</t>
  </si>
  <si>
    <t>Neutral corporate statement.</t>
  </si>
  <si>
    <t>Declaración corporativa neutral.</t>
  </si>
  <si>
    <r>
      <rPr>
        <rFont val="Arial, sans-serif"/>
        <color rgb="FF1155CC"/>
        <sz val="9.0"/>
        <u/>
      </rPr>
      <t>El Salto</t>
    </r>
    <r>
      <rPr>
        <rFont val="Arial, sans-serif"/>
        <color rgb="FF1155CC"/>
        <sz val="15.0"/>
        <u/>
      </rPr>
      <t>Repsol tienta a Junts con 1.100 millones de euros para que deje caer el impuesto a las energéticas</t>
    </r>
    <r>
      <rPr>
        <rFont val="Arial, sans-serif"/>
        <color rgb="FF1155CC"/>
        <sz val="11.0"/>
        <u/>
      </rPr>
      <t>El partido de Carles Puigdemont y el PNV ceden a las presiones de las grandes empresas energéticas y bloquean la posibilidad de que el impuesto a los...</t>
    </r>
    <r>
      <rPr>
        <rFont val="Arial, sans-serif"/>
        <color rgb="FF1155CC"/>
        <sz val="12.0"/>
        <u/>
      </rPr>
      <t>.</t>
    </r>
    <r>
      <rPr>
        <rFont val="Arial, sans-serif"/>
        <color rgb="FF1155CC"/>
        <sz val="11.0"/>
        <u/>
      </rPr>
      <t>23 oct 2024</t>
    </r>
  </si>
  <si>
    <t>Repsol tienta a Junts con 1.100 millones de euros para que deje caer el impuesto a las energéticas</t>
  </si>
  <si>
    <t>El partido de Carles Puigdemont y el PNV ceden a las presiones de las grandes empresas energéticas y bloquean la posibilidad de que el impuesto a los....</t>
  </si>
  <si>
    <t>Repsol tempts Junts with 1.1 billion euros to drop the tax on energy companies</t>
  </si>
  <si>
    <t>Carles Puigdemont's party and the PNV give in to the pressures of the large energy companies and block the possibility of the tax on...</t>
  </si>
  <si>
    <t>tempts Junts, drop tax</t>
  </si>
  <si>
    <t>Tienta a Junts, baja impuestos</t>
  </si>
  <si>
    <t>Negative as it implies political maneuvering by Repsol to influence tax policies.</t>
  </si>
  <si>
    <t>tienta</t>
  </si>
  <si>
    <t>Suggests aggressive lobbying, which may harm public image.</t>
  </si>
  <si>
    <t>Sugiere un lobby agresivo, que puede dañar la imagen pública.</t>
  </si>
  <si>
    <r>
      <rPr>
        <rFont val="Arial, sans-serif"/>
        <color rgb="FF1155CC"/>
        <sz val="9.0"/>
        <u/>
      </rPr>
      <t>CapitalMadrid</t>
    </r>
    <r>
      <rPr>
        <rFont val="Arial, sans-serif"/>
        <color rgb="FF1155CC"/>
        <sz val="15.0"/>
        <u/>
      </rPr>
      <t>El Gobierno enfila a Repsol por suspender las inversiones en España por el ‘impuestazo’</t>
    </r>
    <r>
      <rPr>
        <rFont val="Arial, sans-serif"/>
        <color rgb="FF1155CC"/>
        <sz val="11.0"/>
        <u/>
      </rPr>
      <t>El pulso que mantiene Repsol con el Gobierno de coalición de Pedro Sánchez, a costa del impuesto especial a las energéticas, ha vuelto a subir el termómetro...</t>
    </r>
    <r>
      <rPr>
        <rFont val="Arial, sans-serif"/>
        <color rgb="FF1155CC"/>
        <sz val="12.0"/>
        <u/>
      </rPr>
      <t>.</t>
    </r>
    <r>
      <rPr>
        <rFont val="Arial, sans-serif"/>
        <color rgb="FF1155CC"/>
        <sz val="11.0"/>
        <u/>
      </rPr>
      <t>23 oct 2024</t>
    </r>
  </si>
  <si>
    <t>El Gobierno enfila a Repsol por suspender las inversiones en España por el ‘impuestazo’</t>
  </si>
  <si>
    <t>El pulso que mantiene Repsol con el Gobierno de coalición de Pedro Sánchez, a costa del impuesto especial a las energéticas, ha vuelto a subir el termómetro.</t>
  </si>
  <si>
    <t>The Government accuses Repsol of suspending investments in Spain due to the 'tax'</t>
  </si>
  <si>
    <t>The fight that Repsol maintains with the coalition government of Pedro Sánchez, at the expense of the special tax on energy companies, has raised the thermometer again.</t>
  </si>
  <si>
    <t>accuses, suspending investments</t>
  </si>
  <si>
    <t>acusa, suspendiendo inversiones</t>
  </si>
  <si>
    <t>Negative as it highlights ongoing conflict between Repsol and the government.</t>
  </si>
  <si>
    <t>suspender</t>
  </si>
  <si>
    <t>Negative framing of investment freeze.</t>
  </si>
  <si>
    <t>Encuadre negativo del congelamiento de inversiones.</t>
  </si>
  <si>
    <r>
      <rPr>
        <rFont val="Arial, sans-serif"/>
        <color rgb="FF1155CC"/>
        <sz val="9.0"/>
        <u/>
      </rPr>
      <t>EL PAÍS</t>
    </r>
    <r>
      <rPr>
        <rFont val="Arial, sans-serif"/>
        <color rgb="FF1155CC"/>
        <sz val="15.0"/>
        <u/>
      </rPr>
      <t>La inversión de 1.100 millones de Repsol que mantiene en vilo a Tarragona y podría irse a Portugal</t>
    </r>
    <r>
      <rPr>
        <rFont val="Arial, sans-serif"/>
        <color rgb="FF1155CC"/>
        <sz val="11.0"/>
        <u/>
      </rPr>
      <t>La compañía energética alarga la incertidumbre sobre un proyecto pionero para convertir residuos urbanos en combustible.</t>
    </r>
    <r>
      <rPr>
        <rFont val="Arial, sans-serif"/>
        <color rgb="FF1155CC"/>
        <sz val="12.0"/>
        <u/>
      </rPr>
      <t>.</t>
    </r>
    <r>
      <rPr>
        <rFont val="Arial, sans-serif"/>
        <color rgb="FF1155CC"/>
        <sz val="11.0"/>
        <u/>
      </rPr>
      <t>23 oct 2024</t>
    </r>
  </si>
  <si>
    <t>La inversión de 1.100 millones de Repsol que mantiene en vilo a Tarragona y podría irse a Portugal</t>
  </si>
  <si>
    <t>La compañía energética alarga la incertidumbre sobre un proyecto pionero para convertir residuos urbanos en combustible.</t>
  </si>
  <si>
    <t>The investment of 1,100 million from Repsol that keeps Tarragona in suspense and could go to Portugal</t>
  </si>
  <si>
    <t>The energy company extends the uncertainty about a pioneering project to convert urban waste into fuel.</t>
  </si>
  <si>
    <t>investment in suspense, Portugal</t>
  </si>
  <si>
    <t>Inversión en suspenso, Portugal</t>
  </si>
  <si>
    <t>Negative as it reinforces uncertainty about Repsol’s investment in Spain.</t>
  </si>
  <si>
    <t>irse</t>
  </si>
  <si>
    <t>Threat of divestment harms local perception.</t>
  </si>
  <si>
    <t>La amenaza de desinversión daña la percepción local.</t>
  </si>
  <si>
    <r>
      <rPr>
        <rFont val="Arial, sans-serif"/>
        <color rgb="FF1155CC"/>
        <sz val="9.0"/>
        <u/>
      </rPr>
      <t>Diari de Tarragona</t>
    </r>
    <r>
      <rPr>
        <rFont val="Arial, sans-serif"/>
        <color rgb="FF1155CC"/>
        <sz val="15.0"/>
        <u/>
      </rPr>
      <t>La UE financia un almacén de CO2 de Repsol frente a la costa de Tarragona</t>
    </r>
    <r>
      <rPr>
        <rFont val="Arial, sans-serif"/>
        <color rgb="FF1155CC"/>
        <sz val="11.0"/>
        <u/>
      </rPr>
      <t>El proyecto TarraCO2, un almacén de CO2 offshore frente a la costa de Tarragona (a unos 40 kilómetros en línea recta del polo petroquímico de Tarragon...</t>
    </r>
    <r>
      <rPr>
        <rFont val="Arial, sans-serif"/>
        <color rgb="FF1155CC"/>
        <sz val="12.0"/>
        <u/>
      </rPr>
      <t>.</t>
    </r>
    <r>
      <rPr>
        <rFont val="Arial, sans-serif"/>
        <color rgb="FF1155CC"/>
        <sz val="11.0"/>
        <u/>
      </rPr>
      <t>23 oct 2024</t>
    </r>
  </si>
  <si>
    <t>La UE financia un almacén de CO2 de Repsol frente a la costa de Tarragona</t>
  </si>
  <si>
    <t>El proyecto TarraCO2, un almacén de CO2 offshore frente a la costa de Tarragona (a unos 40 kilómetros en línea recta del polo petroquímico de Tarragona).</t>
  </si>
  <si>
    <t>The EU finances a Repsol CO2 warehouse off the coast of Tarragona</t>
  </si>
  <si>
    <t>The TarraCO2 project, an offshore CO2 warehouse off the coast of Tarragona (about 40 kilometers in a straight line from the Tarragona petrochemical hub).</t>
  </si>
  <si>
    <t>EU finances, CO2 warehouse</t>
  </si>
  <si>
    <t>Finanzas de la UE, Almacén de CO2</t>
  </si>
  <si>
    <t>Positive as it showcases Repsol’s participation in EU-funded environmental projects.</t>
  </si>
  <si>
    <t>financia</t>
  </si>
  <si>
    <t>Positive EU-backed environmental project.</t>
  </si>
  <si>
    <t>Proyecto medioambiental positivo respaldado por la UE.</t>
  </si>
  <si>
    <r>
      <rPr>
        <rFont val="Arial, sans-serif"/>
        <color rgb="FF1155CC"/>
        <sz val="9.0"/>
        <u/>
      </rPr>
      <t>Libre Mercado</t>
    </r>
    <r>
      <rPr>
        <rFont val="Arial, sans-serif"/>
        <color rgb="FF1155CC"/>
        <sz val="15.0"/>
        <u/>
      </rPr>
      <t>Duro mensaje de Imaz (Repsol) a PSOE y Yolanda Díaz mientras PNV y Junts atacan el impuestazo</t>
    </r>
    <r>
      <rPr>
        <rFont val="Arial, sans-serif"/>
        <color rgb="FF1155CC"/>
        <sz val="11.0"/>
        <u/>
      </rPr>
      <t>Junts y PNV se posicionan contra el impuesto a las energéticas por el impacto en sus territorios mientras Imaz lamenta el "populismo fiscal".</t>
    </r>
    <r>
      <rPr>
        <rFont val="Arial, sans-serif"/>
        <color rgb="FF1155CC"/>
        <sz val="12.0"/>
        <u/>
      </rPr>
      <t>.</t>
    </r>
    <r>
      <rPr>
        <rFont val="Arial, sans-serif"/>
        <color rgb="FF1155CC"/>
        <sz val="11.0"/>
        <u/>
      </rPr>
      <t>23 oct 2024</t>
    </r>
  </si>
  <si>
    <t>Duro mensaje de Imaz (Repsol) a PSOE y Yolanda Díaz mientras PNV y Junts atacan el impuestazo</t>
  </si>
  <si>
    <t>Junts y PNV se posicionan contra el impuesto a las energéticas por el impacto en sus territorios mientras Imaz lamenta el "populismo fiscal".</t>
  </si>
  <si>
    <t>Harsh message from Imaz (Repsol) to PSOE and Yolanda Díaz while PNV and Junts attack the imposition</t>
  </si>
  <si>
    <t>Junts and PNV position themselves against the tax on energy companies due to the impact on their territories while Imaz regrets "fiscal populism."</t>
  </si>
  <si>
    <t>harsh message, fiscal populism</t>
  </si>
  <si>
    <t>mensaje duro, populismo fiscal</t>
  </si>
  <si>
    <t>Negative as it emphasizes strong political tensions between Repsol and the government.</t>
  </si>
  <si>
    <t>duro</t>
  </si>
  <si>
    <t>Confrontational tone with government.</t>
  </si>
  <si>
    <t>Tono de confrontación con el gobierno.</t>
  </si>
  <si>
    <r>
      <rPr>
        <rFont val="Arial, sans-serif"/>
        <color rgb="FF1155CC"/>
        <sz val="9.0"/>
        <u/>
      </rPr>
      <t>diariodelanzarote.com</t>
    </r>
    <r>
      <rPr>
        <rFont val="Arial, sans-serif"/>
        <color rgb="FF1155CC"/>
        <sz val="15.0"/>
        <u/>
      </rPr>
      <t>El bar Tin Tan renueva el Solete de la Guía Repsol</t>
    </r>
    <r>
      <rPr>
        <rFont val="Arial, sans-serif"/>
        <color rgb="FF1155CC"/>
        <sz val="11.0"/>
        <u/>
      </rPr>
      <t>La Guía Repsol ha vuelto a reconocer al bar Tin Tan con un Solete. Al frente del establecimiento, con más de 50 años de servicio a la clientela de la...</t>
    </r>
    <r>
      <rPr>
        <rFont val="Arial, sans-serif"/>
        <color rgb="FF1155CC"/>
        <sz val="12.0"/>
        <u/>
      </rPr>
      <t>.</t>
    </r>
    <r>
      <rPr>
        <rFont val="Arial, sans-serif"/>
        <color rgb="FF1155CC"/>
        <sz val="11.0"/>
        <u/>
      </rPr>
      <t>23 oct 2024</t>
    </r>
  </si>
  <si>
    <t>diariodelanzarote.com</t>
  </si>
  <si>
    <t>El bar Tin Tan renueva el Solete de la Guía Repsol</t>
  </si>
  <si>
    <t>La Guía Repsol ha vuelto a reconocer al bar Tin Tan con un Solete. Al frente del establecimiento, con más de 50 años de servicio a la clientela de la....</t>
  </si>
  <si>
    <t>The Tin Tan bar renews the Repsol Guide's Solete</t>
  </si>
  <si>
    <t>The Repsol Guide has once again recognized the Tin Tan bar with a Solete. At the head of the establishment, with more than 50 years of service to the clientele of the...</t>
  </si>
  <si>
    <r>
      <rPr>
        <rFont val="Arial, sans-serif"/>
        <color rgb="FF1155CC"/>
        <sz val="9.0"/>
        <u/>
      </rPr>
      <t>El Periódico de la Energía</t>
    </r>
    <r>
      <rPr>
        <rFont val="Arial, sans-serif"/>
        <color rgb="FF1155CC"/>
        <sz val="15.0"/>
        <u/>
      </rPr>
      <t>ERC defiende el impuesto a las energéticas a Repsol porque emite el 62% del CO2 en el Ibex35</t>
    </r>
    <r>
      <rPr>
        <rFont val="Arial, sans-serif"/>
        <color rgb="FF1155CC"/>
        <sz val="11.0"/>
        <u/>
      </rPr>
      <t>El portavoz de ERC, Gabriel Rufián, ha defendido el impuesto a las energéticas, tras destacar que Repsol comporta el 62% de las emisiones de CO2 en el...</t>
    </r>
    <r>
      <rPr>
        <rFont val="Arial, sans-serif"/>
        <color rgb="FF1155CC"/>
        <sz val="12.0"/>
        <u/>
      </rPr>
      <t>.</t>
    </r>
    <r>
      <rPr>
        <rFont val="Arial, sans-serif"/>
        <color rgb="FF1155CC"/>
        <sz val="11.0"/>
        <u/>
      </rPr>
      <t>23 oct 2024</t>
    </r>
  </si>
  <si>
    <t>ERC defiende el impuesto a las energéticas a Repsol porque emite el 62% del CO2 en el Ibex35</t>
  </si>
  <si>
    <t>El portavoz de ERC, Gabriel Rufián, ha defendido el impuesto a las energéticas, tras destacar que Repsol comporta el 62% de las emisiones de CO2 en el....</t>
  </si>
  <si>
    <t>ERC defends the tax on energy companies against Repsol because it emits 62% of the CO2 in the Ibex35</t>
  </si>
  <si>
    <t>ERC spokesperson, Gabriel Rufián, has defended the tax on energy companies, after highlighting that Repsol accounts for 62% of CO2 emissions in the...</t>
  </si>
  <si>
    <t>defends tax, CO2 emissions</t>
  </si>
  <si>
    <t>defiende el impuesto, las emisiones de CO2</t>
  </si>
  <si>
    <t>Negative as it frames Repsol as a major polluter, justifying the tax.</t>
  </si>
  <si>
    <t>emite, "CO2"</t>
  </si>
  <si>
    <t>Highlights environmental criticism.</t>
  </si>
  <si>
    <t>Destaca la crítica medioambiental.</t>
  </si>
  <si>
    <r>
      <rPr>
        <rFont val="Arial, sans-serif"/>
        <color rgb="FF1155CC"/>
        <sz val="9.0"/>
        <u/>
      </rPr>
      <t>El Diario Montañés</t>
    </r>
    <r>
      <rPr>
        <rFont val="Arial, sans-serif"/>
        <color rgb="FF1155CC"/>
        <sz val="15.0"/>
        <u/>
      </rPr>
      <t>Repsol cuenta ya con el certificado del Ministerio para la ampliación de la central de Aguayo</t>
    </r>
    <r>
      <rPr>
        <rFont val="Arial, sans-serif"/>
        <color rgb="FF1155CC"/>
        <sz val="11.0"/>
        <u/>
      </rPr>
      <t>La multinacional Repsol, propietaria de la central de Aguayo tras la absorción de Viesgo, ya tiene el «certificado de madurez del procedimiento» solicitado...</t>
    </r>
    <r>
      <rPr>
        <rFont val="Arial, sans-serif"/>
        <color rgb="FF1155CC"/>
        <sz val="12.0"/>
        <u/>
      </rPr>
      <t>.</t>
    </r>
    <r>
      <rPr>
        <rFont val="Arial, sans-serif"/>
        <color rgb="FF1155CC"/>
        <sz val="11.0"/>
        <u/>
      </rPr>
      <t>23 oct 2024</t>
    </r>
  </si>
  <si>
    <t>Repsol cuenta ya con el certificado del Ministerio para la ampliación de la central de Aguayo</t>
  </si>
  <si>
    <t>La multinacional Repsol, propietaria de la central de Aguayo tras la absorción de Viesgo, ya tiene el «certificado de madurez del procedimiento» solicitado.</t>
  </si>
  <si>
    <t>Repsol now has the certificate from the Ministry for the expansion of the Aguayo plant</t>
  </si>
  <si>
    <t>The multinational Repsol, owner of the Aguayo plant after the absorption of Viesgo, already has the requested "certificate of maturity of the procedure."</t>
  </si>
  <si>
    <t>certificate, expansion</t>
  </si>
  <si>
    <t>certificado, expansión</t>
  </si>
  <si>
    <t>Positive as it confirms progress on a key energy project.</t>
  </si>
  <si>
    <t>certificado</t>
  </si>
  <si>
    <t>Regulatory approval is positive.</t>
  </si>
  <si>
    <t>La aprobación regulatoria es positiva.</t>
  </si>
  <si>
    <r>
      <rPr>
        <rFont val="Arial, sans-serif"/>
        <color rgb="FF1155CC"/>
        <sz val="9.0"/>
        <u/>
      </rPr>
      <t>La Gaceta de la Iberosfera</t>
    </r>
    <r>
      <rPr>
        <rFont val="Arial, sans-serif"/>
        <color rgb="FF1155CC"/>
        <sz val="15.0"/>
        <u/>
      </rPr>
      <t>Repsol advierte a Sánchez que el impuesto sobre los beneficios de las energéticas desviará "miles de...</t>
    </r>
    <r>
      <rPr>
        <rFont val="Arial, sans-serif"/>
        <color rgb="FF1155CC"/>
        <sz val="11.0"/>
        <u/>
      </rPr>
      <t>El consejero delegado de la compañía energética Repsol, Josu Jon Imaz, ha advertido al presidente del Gobierno, Pedro Sánchez, que al convertir en...</t>
    </r>
    <r>
      <rPr>
        <rFont val="Arial, sans-serif"/>
        <color rgb="FF1155CC"/>
        <sz val="12.0"/>
        <u/>
      </rPr>
      <t>.</t>
    </r>
    <r>
      <rPr>
        <rFont val="Arial, sans-serif"/>
        <color rgb="FF1155CC"/>
        <sz val="11.0"/>
        <u/>
      </rPr>
      <t>23 oct 2024</t>
    </r>
  </si>
  <si>
    <t>Repsol advierte a Sánchez que el impuesto sobre los beneficios de las energéticas desviará "miles de...</t>
  </si>
  <si>
    <t>Repsol warns Sánchez that the tax on energy company profits will divert "thousands of...</t>
  </si>
  <si>
    <t>warns, divert profits</t>
  </si>
  <si>
    <t>advierte, desvía ganancias</t>
  </si>
  <si>
    <t>Negative as it reinforces fears of capital flight due to government policy.</t>
  </si>
  <si>
    <t>advierte</t>
  </si>
  <si>
    <t>Threatens economic repercussions.</t>
  </si>
  <si>
    <t>Amenaza con repercusiones económicas.</t>
  </si>
  <si>
    <r>
      <rPr>
        <rFont val="Arial, sans-serif"/>
        <color rgb="FF1155CC"/>
        <sz val="9.0"/>
        <u/>
      </rPr>
      <t>Cadena SER</t>
    </r>
    <r>
      <rPr>
        <rFont val="Arial, sans-serif"/>
        <color rgb="FF1155CC"/>
        <sz val="15.0"/>
        <u/>
      </rPr>
      <t>Guerra sindical sin cuartel por la huelga de Repsol Lubricantes y Asfaltos Puertollano</t>
    </r>
    <r>
      <rPr>
        <rFont val="Arial, sans-serif"/>
        <color rgb="FF1155CC"/>
        <sz val="11.0"/>
        <u/>
      </rPr>
      <t>Cadena SER accede al acta de la Comisión de Garantías del Acuerdo Marco en la que los sindicatos mayoritarios en Repsol deslegitiman la protesta y la...</t>
    </r>
    <r>
      <rPr>
        <rFont val="Arial, sans-serif"/>
        <color rgb="FF1155CC"/>
        <sz val="12.0"/>
        <u/>
      </rPr>
      <t>.</t>
    </r>
    <r>
      <rPr>
        <rFont val="Arial, sans-serif"/>
        <color rgb="FF1155CC"/>
        <sz val="11.0"/>
        <u/>
      </rPr>
      <t>23 oct 2024</t>
    </r>
  </si>
  <si>
    <t>Guerra sindical sin cuartel por la huelga de Repsol Lubricantes y Asfaltos Puertollano</t>
  </si>
  <si>
    <t>Guerra sindical sin cuartel por la huelga de Repsol Lubricantes y Asfaltos PuertollanoCadena SER accede al acta de la Comisión de Garantías del Acuerdo Marco en la que los sindicatos mayoritarios en Repsol deslegitiman la protesta y la....</t>
  </si>
  <si>
    <t>All-out union war over the Repsol Lubricantes and Asfaltos Puertollano strike</t>
  </si>
  <si>
    <t>All-out union war over the strike at Repsol Lubricantes y Asfaltos PuertollanoCadena SER accesses the minutes of the Framework Agreement Guarantees Commission in which the majority unions at Repsol delegitimize the protest and the....</t>
  </si>
  <si>
    <t>union war, strike</t>
  </si>
  <si>
    <t>guerra sindical, huelga</t>
  </si>
  <si>
    <t>Negative as it signals internal labor conflicts that may damage Repsol’s reputation.</t>
  </si>
  <si>
    <t>Labor conflict harms reputation.</t>
  </si>
  <si>
    <t>Los conflictos laborales dañan la reputación.</t>
  </si>
  <si>
    <r>
      <rPr>
        <rFont val="Arial, sans-serif"/>
        <color rgb="FF1155CC"/>
        <sz val="9.0"/>
        <u/>
      </rPr>
      <t>El Periódico</t>
    </r>
    <r>
      <rPr>
        <rFont val="Arial, sans-serif"/>
        <color rgb="FF1155CC"/>
        <sz val="15.0"/>
        <u/>
      </rPr>
      <t>Repsol llevará a cabo la inversión prevista en Tarragona si el impuesto a las energéticas se suprime</t>
    </r>
    <r>
      <rPr>
        <rFont val="Arial, sans-serif"/>
        <color rgb="FF1155CC"/>
        <sz val="11.0"/>
        <u/>
      </rPr>
      <t>La inversión de 1.100 millones de euros de Repsol en la planta química de Tarragona sigue pendiente de un hilo. La posibilidad real de que el Gobierno...</t>
    </r>
    <r>
      <rPr>
        <rFont val="Arial, sans-serif"/>
        <color rgb="FF1155CC"/>
        <sz val="12.0"/>
        <u/>
      </rPr>
      <t>.</t>
    </r>
    <r>
      <rPr>
        <rFont val="Arial, sans-serif"/>
        <color rgb="FF1155CC"/>
        <sz val="11.0"/>
        <u/>
      </rPr>
      <t>23 oct 2024</t>
    </r>
  </si>
  <si>
    <t>Repsol llevará a cabo la inversión prevista en Tarragona si el impuesto a las energéticas se suprime</t>
  </si>
  <si>
    <t>La inversión de 1.100 millones de euros de Repsol en la planta química de Tarragona sigue pendiente de un hilo. La posibilidad real de que el Gobierno....</t>
  </si>
  <si>
    <t>Repsol will carry out the planned investment in Tarragona if the tax on energy companies is abolished</t>
  </si>
  <si>
    <t>Repsol's 1.1 billion euro investment in the Tarragona chemical plant remains hanging by a thread. The real possibility that the Government...</t>
  </si>
  <si>
    <t>investment, abolish tax</t>
  </si>
  <si>
    <t>inversión, abolir impuestos</t>
  </si>
  <si>
    <t>Negative as it highlights that investment is contingent on government policies.</t>
  </si>
  <si>
    <t>Conditional positive, but highlights tension.</t>
  </si>
  <si>
    <t>Positivo condicional, pero resalta la tensión.</t>
  </si>
  <si>
    <r>
      <rPr>
        <rFont val="Arial, sans-serif"/>
        <color rgb="FF1155CC"/>
        <sz val="9.0"/>
        <u/>
      </rPr>
      <t>ECOticias.com</t>
    </r>
    <r>
      <rPr>
        <rFont val="Arial, sans-serif"/>
        <color rgb="FF1155CC"/>
        <sz val="15.0"/>
        <u/>
      </rPr>
      <t>¿Debería la contaminante Repsol devolver las subvenciones recibidas si deslocaliza sus inversiones?</t>
    </r>
    <r>
      <rPr>
        <rFont val="Arial, sans-serif"/>
        <color rgb="FF1155CC"/>
        <sz val="11.0"/>
        <u/>
      </rPr>
      <t>El partido Alianza Verde ha registrado, junto a Podemos en el Congreso, una batería de preguntas relacionadas con el anuncio de la empresa petrolera Repsol,...</t>
    </r>
    <r>
      <rPr>
        <rFont val="Arial, sans-serif"/>
        <color rgb="FF1155CC"/>
        <sz val="12.0"/>
        <u/>
      </rPr>
      <t>.</t>
    </r>
    <r>
      <rPr>
        <rFont val="Arial, sans-serif"/>
        <color rgb="FF1155CC"/>
        <sz val="11.0"/>
        <u/>
      </rPr>
      <t>23 oct 2024</t>
    </r>
  </si>
  <si>
    <t>¿Debería la contaminante Repsol devolver las subvenciones recibidas si deslocaliza sus inversiones?</t>
  </si>
  <si>
    <t>El partido Alianza Verde ha registrado, junto a Podemos en el Congreso, una batería de preguntas relacionadas con el anuncio de la empresa petrolera Repsol,....</t>
  </si>
  <si>
    <t>Should the polluter Repsol return the subsidies received if it relocates its investments?</t>
  </si>
  <si>
    <t>The Green Alliance party has registered, together with Podemos in Congress, a battery of questions related to the announcement by the oil company Repsol,...</t>
  </si>
  <si>
    <t>polluter, return subsidies</t>
  </si>
  <si>
    <t>contaminador, subsidios de retorno</t>
  </si>
  <si>
    <t>Highly negative as it labels Repsol a polluter and questions its use of subsidies.</t>
  </si>
  <si>
    <t>contaminante, "deslocaliza"</t>
  </si>
  <si>
    <t>Highly negative environmental + fiscal framing.</t>
  </si>
  <si>
    <t>Encuadre medioambiental y fiscal muy negativo.</t>
  </si>
  <si>
    <r>
      <rPr>
        <rFont val="Arial, sans-serif"/>
        <color rgb="FF1155CC"/>
        <sz val="9.0"/>
        <u/>
      </rPr>
      <t>El Confidencial</t>
    </r>
    <r>
      <rPr>
        <rFont val="Arial, sans-serif"/>
        <color rgb="FF1155CC"/>
        <sz val="15.0"/>
        <u/>
      </rPr>
      <t>Esto apenas acaba de empezar: Repsol es solo uno de los conflictos que afrontará el Gobierno</t>
    </r>
    <r>
      <rPr>
        <rFont val="Arial, sans-serif"/>
        <color rgb="FF1155CC"/>
        <sz val="11.0"/>
        <u/>
      </rPr>
      <t>El ataque de Josu Jon Imaz, consejero delegado de la empresa energética, al gobierno español tiene varias derivadas y plantea muchas preguntas importantes...</t>
    </r>
    <r>
      <rPr>
        <rFont val="Arial, sans-serif"/>
        <color rgb="FF1155CC"/>
        <sz val="12.0"/>
        <u/>
      </rPr>
      <t>.</t>
    </r>
    <r>
      <rPr>
        <rFont val="Arial, sans-serif"/>
        <color rgb="FF1155CC"/>
        <sz val="11.0"/>
        <u/>
      </rPr>
      <t>23 oct 2024</t>
    </r>
  </si>
  <si>
    <t>Esto apenas acaba de empezar: Repsol es solo uno de los conflictos que afrontará el Gobierno</t>
  </si>
  <si>
    <t>El ataque de Josu Jon Imaz, consejero delegado de la empresa energética, al gobierno español tiene varias derivadas y plantea muchas preguntas importantes....</t>
  </si>
  <si>
    <t>This has just begun: Repsol is just one of the conflicts that the Government will face</t>
  </si>
  <si>
    <t>The attack by Josu Jon Imaz, CEO of the energy company, on the Spanish government has several derivatives and raises many important questions...</t>
  </si>
  <si>
    <t>conflict, government vs Repsol</t>
  </si>
  <si>
    <t>Conflicto, Gobierno vs Repsol</t>
  </si>
  <si>
    <t>Negative as it portrays Repsol as a key player in political disputes.</t>
  </si>
  <si>
    <t>conflictos</t>
  </si>
  <si>
    <t>Prolonged disputes harm stability.</t>
  </si>
  <si>
    <t>Las disputas prolongadas perjudican la estabilidad.</t>
  </si>
  <si>
    <r>
      <rPr>
        <rFont val="Arial, sans-serif"/>
        <color rgb="FF1155CC"/>
        <sz val="9.0"/>
        <u/>
      </rPr>
      <t>Bolsamania</t>
    </r>
    <r>
      <rPr>
        <rFont val="Arial, sans-serif"/>
        <color rgb="FF1155CC"/>
        <sz val="15.0"/>
        <u/>
      </rPr>
      <t>Consultorio de análisis técnico: Repsol, OHLA, Ence, Fluidra, Amadeus, Ferrovial, ACS...</t>
    </r>
    <r>
      <rPr>
        <rFont val="Arial, sans-serif"/>
        <color rgb="FF1155CC"/>
        <sz val="11.0"/>
        <u/>
      </rPr>
      <t>A continuación, damos respuesta a los valores por los que más han preguntado este martes a César Nuez, analista técnico de 'Bolsamanía', que pone bajo la...</t>
    </r>
    <r>
      <rPr>
        <rFont val="Arial, sans-serif"/>
        <color rgb="FF1155CC"/>
        <sz val="12.0"/>
        <u/>
      </rPr>
      <t>.</t>
    </r>
    <r>
      <rPr>
        <rFont val="Arial, sans-serif"/>
        <color rgb="FF1155CC"/>
        <sz val="11.0"/>
        <u/>
      </rPr>
      <t>23 oct 2024</t>
    </r>
  </si>
  <si>
    <t>Consultorio de análisis técnico: Repsol, OHLA, Ence, Fluidra, Amadeus, Ferrovial, ACS...</t>
  </si>
  <si>
    <t>Technical analysis consultancy: Repsol, OHLA, Ence, Fluidra, Amadeus, Ferrovial, ACS...</t>
  </si>
  <si>
    <t>Market analysis does not directly impact Repsol’s corporate image.</t>
  </si>
  <si>
    <t>Financial analysis, neutral.</t>
  </si>
  <si>
    <t>Análisis financiero, neutral.</t>
  </si>
  <si>
    <r>
      <rPr>
        <rFont val="Arial, sans-serif"/>
        <color rgb="FF1155CC"/>
        <sz val="9.0"/>
        <u/>
      </rPr>
      <t>El Periódico de la Energía</t>
    </r>
    <r>
      <rPr>
        <rFont val="Arial, sans-serif"/>
        <color rgb="FF1155CC"/>
        <sz val="15.0"/>
        <u/>
      </rPr>
      <t>El Miteco certifica la madurez del proyecto para la ampliación de la central hidroeléctrica de Aguayo</t>
    </r>
    <r>
      <rPr>
        <rFont val="Arial, sans-serif"/>
        <color rgb="FF1155CC"/>
        <sz val="11.0"/>
        <u/>
      </rPr>
      <t>La concesión permite a Repsol avanzar hacia la concesión de los fondos europeos que se repartirán entre proyectos considerados de interés común.</t>
    </r>
    <r>
      <rPr>
        <rFont val="Arial, sans-serif"/>
        <color rgb="FF1155CC"/>
        <sz val="12.0"/>
        <u/>
      </rPr>
      <t>.</t>
    </r>
    <r>
      <rPr>
        <rFont val="Arial, sans-serif"/>
        <color rgb="FF1155CC"/>
        <sz val="11.0"/>
        <u/>
      </rPr>
      <t>23 oct 2024</t>
    </r>
  </si>
  <si>
    <t>El Miteco certifica la madurez del proyecto para la ampliación de la central hidroeléctrica de Aguayo</t>
  </si>
  <si>
    <t>La concesión permite a Repsol avanzar hacia la concesión de los fondos europeos que se repartirán entre proyectos considerados de interés común.</t>
  </si>
  <si>
    <t>Miteco certifies the maturity of the project for the expansion of the Aguayo hydroelectric plant</t>
  </si>
  <si>
    <t>The concession allows Repsol to move forward towards the granting of European funds that will be distributed among projects considered of common interest.</t>
  </si>
  <si>
    <t>certifies, expansion, European funds</t>
  </si>
  <si>
    <t>certifica, expansión, fondos europeos</t>
  </si>
  <si>
    <t>Positive as it confirms Repsol’s eligibility for EU investment support.</t>
  </si>
  <si>
    <t>certifica</t>
  </si>
  <si>
    <t>Positive regulatory milestone.</t>
  </si>
  <si>
    <t>Hito regulatorio positivo.</t>
  </si>
  <si>
    <r>
      <rPr>
        <rFont val="Arial, sans-serif"/>
        <color rgb="FF1155CC"/>
        <sz val="9.0"/>
        <u/>
      </rPr>
      <t>20Minutos</t>
    </r>
    <r>
      <rPr>
        <rFont val="Arial, sans-serif"/>
        <color rgb="FF1155CC"/>
        <sz val="15.0"/>
        <u/>
      </rPr>
      <t>Cuerpo llama a la "tranquilidad" y pide a Repsol que deje de especular con el impuesto a las energéticas</t>
    </r>
    <r>
      <rPr>
        <rFont val="Arial, sans-serif"/>
        <color rgb="FF1155CC"/>
        <sz val="11.0"/>
        <u/>
      </rPr>
      <t>El ministro de Economía se ha pronunciado de esta manera al ser preguntado por el anuncio de que la petrolera paralizaba dos proyectos en Tarragona debido a...</t>
    </r>
    <r>
      <rPr>
        <rFont val="Arial, sans-serif"/>
        <color rgb="FF1155CC"/>
        <sz val="12.0"/>
        <u/>
      </rPr>
      <t>.</t>
    </r>
    <r>
      <rPr>
        <rFont val="Arial, sans-serif"/>
        <color rgb="FF1155CC"/>
        <sz val="11.0"/>
        <u/>
      </rPr>
      <t>23 oct 2024</t>
    </r>
  </si>
  <si>
    <t>Cuerpo llama a la "tranquilidad" y pide a Repsol que deje de especular con el impuesto a las energéticas</t>
  </si>
  <si>
    <t>Cuerpo llama a la "tranquilidad" y pide a Repsol que deje de especular con el impuesto a las energéticas.</t>
  </si>
  <si>
    <t>Body calls for "tranquility" and asks Repsol to stop speculating with the tax on energy companies</t>
  </si>
  <si>
    <t>Body calls for "tranquility" and asks Repsol to stop speculating with the tax on energy companies.</t>
  </si>
  <si>
    <t>stop speculating, tax</t>
  </si>
  <si>
    <t>dejar de especular, imponer impuestos</t>
  </si>
  <si>
    <t>Negative as it frames Repsol as being in a political dispute rather than focusing on business.</t>
  </si>
  <si>
    <t>especular</t>
  </si>
  <si>
    <t>Implies Repsol is exacerbating uncertainty.</t>
  </si>
  <si>
    <t>Implica que Repsol está exacerbando la incertidumbre.</t>
  </si>
  <si>
    <r>
      <rPr>
        <rFont val="Arial, sans-serif"/>
        <color rgb="FF1155CC"/>
        <sz val="9.0"/>
        <u/>
      </rPr>
      <t>heraldo.es</t>
    </r>
    <r>
      <rPr>
        <rFont val="Arial, sans-serif"/>
        <color rgb="FF1155CC"/>
        <sz val="15.0"/>
        <u/>
      </rPr>
      <t>La cafetería con un solete Repsol que abre un nuevo local en el centro de Zaragoza</t>
    </r>
    <r>
      <rPr>
        <rFont val="Arial, sans-serif"/>
        <color rgb="FF1155CC"/>
        <sz val="11.0"/>
        <u/>
      </rPr>
      <t>El nuevo establecimiento se encuentra entre el paseo de Sagasta y la Gran Vía de la capital aragonesa.</t>
    </r>
    <r>
      <rPr>
        <rFont val="Arial, sans-serif"/>
        <color rgb="FF1155CC"/>
        <sz val="12.0"/>
        <u/>
      </rPr>
      <t>.</t>
    </r>
    <r>
      <rPr>
        <rFont val="Arial, sans-serif"/>
        <color rgb="FF1155CC"/>
        <sz val="11.0"/>
        <u/>
      </rPr>
      <t>23 oct 2024</t>
    </r>
  </si>
  <si>
    <t>La cafetería con un solete Repsol que abre un nuevo local en el centro de Zaragoza</t>
  </si>
  <si>
    <t>El nuevo establecimiento se encuentra entre el paseo de Sagasta y la Gran Vía de la capital aragonesa.</t>
  </si>
  <si>
    <t>The cafeteria with a Repsol sole that opens a new location in the center of Zaragoza</t>
  </si>
  <si>
    <t>The new establishment is located between Paseo de Sagasta and Gran Vía in the Aragonese capital.</t>
  </si>
  <si>
    <r>
      <rPr>
        <rFont val="Arial, sans-serif"/>
        <color rgb="FF1155CC"/>
        <sz val="9.0"/>
        <u/>
      </rPr>
      <t>Economía Digital</t>
    </r>
    <r>
      <rPr>
        <rFont val="Arial, sans-serif"/>
        <color rgb="FF1155CC"/>
        <sz val="15.0"/>
        <u/>
      </rPr>
      <t>Megasa, Repsol y Xeal desbancan a Alcoa y se quedan las mayores ayudas por CO2 en Galicia</t>
    </r>
    <r>
      <rPr>
        <rFont val="Arial, sans-serif"/>
        <color rgb="FF1155CC"/>
        <sz val="11.0"/>
        <u/>
      </rPr>
      <t>El grupo de la familia Freire recibirá 7,8 millones, convirtiéndose en la empresa gallega más beneficiada, aunque solo 3,1 millones serán para la planta de.</t>
    </r>
    <r>
      <rPr>
        <rFont val="Arial, sans-serif"/>
        <color rgb="FF1155CC"/>
        <sz val="12.0"/>
        <u/>
      </rPr>
      <t>.</t>
    </r>
    <r>
      <rPr>
        <rFont val="Arial, sans-serif"/>
        <color rgb="FF1155CC"/>
        <sz val="11.0"/>
        <u/>
      </rPr>
      <t>23 oct 2024</t>
    </r>
  </si>
  <si>
    <t>Megasa, Repsol y Xeal desbancan a Alcoa y se quedan las mayores ayudas por CO2 en Galicia</t>
  </si>
  <si>
    <t>El grupo de la familia Freire recibirá 7,8 millones, convirtiéndose en la empresa gallega más beneficiada, aunque solo 3,1 millones serán para la planta de..</t>
  </si>
  <si>
    <t>Megasa, Repsol and Xeal overthrow Alcoa and keep the largest CO2 aid in Galicia</t>
  </si>
  <si>
    <t>The Freire family group will receive 7.8 million, becoming the Galician company that benefits the most, although only 3.1 million will go to the plant.</t>
  </si>
  <si>
    <t>CO2 aid, Galicia</t>
  </si>
  <si>
    <t>Ayuda CO2, Galicia</t>
  </si>
  <si>
    <t>Slightly positive as it positions Repsol among the top beneficiaries of state incentives.</t>
  </si>
  <si>
    <t>ayudas</t>
  </si>
  <si>
    <t>Benefits from subsidies.</t>
  </si>
  <si>
    <t>Beneficios de las subvenciones.</t>
  </si>
  <si>
    <r>
      <rPr>
        <rFont val="Arial, sans-serif"/>
        <color rgb="FF1155CC"/>
        <sz val="9.0"/>
        <u/>
      </rPr>
      <t>Cinco Días</t>
    </r>
    <r>
      <rPr>
        <rFont val="Arial, sans-serif"/>
        <color rgb="FF1155CC"/>
        <sz val="15.0"/>
        <u/>
      </rPr>
      <t>El pulso del PNV por el impuesto a energéticas y banca abre paso al ‘dumping’ fiscal en el Ibex</t>
    </r>
    <r>
      <rPr>
        <rFont val="Arial, sans-serif"/>
        <color rgb="FF1155CC"/>
        <sz val="11.0"/>
        <u/>
      </rPr>
      <t>La gestión del tributo por los nacionalistas, y la fijación de deducciones propias, daría ventajas a compañías como BBVA, en plena opa hostil al Sabadell.</t>
    </r>
    <r>
      <rPr>
        <rFont val="Arial, sans-serif"/>
        <color rgb="FF1155CC"/>
        <sz val="12.0"/>
        <u/>
      </rPr>
      <t>.</t>
    </r>
    <r>
      <rPr>
        <rFont val="Arial, sans-serif"/>
        <color rgb="FF1155CC"/>
        <sz val="11.0"/>
        <u/>
      </rPr>
      <t>23 oct 2024</t>
    </r>
  </si>
  <si>
    <t>El pulso del PNV por el impuesto a energéticas y banca abre paso al ‘dumping’ fiscal en el Ibex</t>
  </si>
  <si>
    <t>La gestión del tributo por los nacionalistas, y la fijación de deducciones propias, daría ventajas a compañías como BBVA, en plena opa hostil al Sabadell.</t>
  </si>
  <si>
    <t>The PNV's push for the energy and banking tax opens the way to fiscal dumping in the Ibex</t>
  </si>
  <si>
    <t>The management of the tax by the nationalists, and the establishment of their own deductions, would give advantages to companies like BBVA, in the middle of a hostile takeover bid against Sabadell.</t>
  </si>
  <si>
    <t>No direct impact on Repsol’s corporate image.</t>
  </si>
  <si>
    <t>Political context, neutral.</t>
  </si>
  <si>
    <t>Contexto político, neutral.</t>
  </si>
  <si>
    <r>
      <rPr>
        <rFont val="Arial, sans-serif"/>
        <color rgb="FF1155CC"/>
        <sz val="9.0"/>
        <u/>
      </rPr>
      <t>Diari de Tarragona</t>
    </r>
    <r>
      <rPr>
        <rFont val="Arial, sans-serif"/>
        <color rgb="FF1155CC"/>
        <sz val="15.0"/>
        <u/>
      </rPr>
      <t>El STR inicia consultas con los partidos políticos para defender la inversión de Repsol en Tarragona</t>
    </r>
    <r>
      <rPr>
        <rFont val="Arial, sans-serif"/>
        <color rgb="FF1155CC"/>
        <sz val="11.0"/>
        <u/>
      </rPr>
      <t>El Sindicato de Trabajadores (STR) inició ayer una ronda de consultas con los principales partidos políticos para tratar temas clave que afectan tanto...</t>
    </r>
    <r>
      <rPr>
        <rFont val="Arial, sans-serif"/>
        <color rgb="FF1155CC"/>
        <sz val="12.0"/>
        <u/>
      </rPr>
      <t>.</t>
    </r>
    <r>
      <rPr>
        <rFont val="Arial, sans-serif"/>
        <color rgb="FF1155CC"/>
        <sz val="11.0"/>
        <u/>
      </rPr>
      <t>23 oct 2024</t>
    </r>
  </si>
  <si>
    <t>El STR inicia consultas con los partidos políticos para defender la inversión de Repsol en Tarragona</t>
  </si>
  <si>
    <t>El Sindicato de Trabajadores (STR) inició ayer una ronda de consultas con los principales partidos políticos para tratar temas clave que afectan tanto....</t>
  </si>
  <si>
    <t>The STR begins consultations with political parties to defend Repsol's investment in Tarragona</t>
  </si>
  <si>
    <t>The Workers' Union (STR) yesterday began a round of consultations with the main political parties to discuss key issues that affect both...</t>
  </si>
  <si>
    <t>defend investment, consultations</t>
  </si>
  <si>
    <t>defender la inversión, consultas</t>
  </si>
  <si>
    <t>Negative due to continued uncertainty over Repsol’s Tarragona investment.</t>
  </si>
  <si>
    <t>defender</t>
  </si>
  <si>
    <t>Support for investment is positive.</t>
  </si>
  <si>
    <t>El apoyo a la inversión es positivo.</t>
  </si>
  <si>
    <r>
      <rPr>
        <rFont val="Arial, sans-serif"/>
        <color rgb="FF1155CC"/>
        <sz val="9.0"/>
        <u/>
      </rPr>
      <t>El Periódico de la Energía</t>
    </r>
    <r>
      <rPr>
        <rFont val="Arial, sans-serif"/>
        <color rgb="FF1155CC"/>
        <sz val="15.0"/>
        <u/>
      </rPr>
      <t>Las energéticas aguardan, entre críticas y cautela, a que el Gobierno decida sobre el impuesto</t>
    </r>
    <r>
      <rPr>
        <rFont val="Arial, sans-serif"/>
        <color rgb="FF1155CC"/>
        <sz val="11.0"/>
        <u/>
      </rPr>
      <t>"Discriminatorio e injustificado" fueron los adjetivos con los que Aelec describió por entonces al popularmente conocido como 'impuesto energético'</t>
    </r>
    <r>
      <rPr>
        <rFont val="Arial, sans-serif"/>
        <color rgb="FF1155CC"/>
        <sz val="12.0"/>
        <u/>
      </rPr>
      <t>.</t>
    </r>
    <r>
      <rPr>
        <rFont val="Arial, sans-serif"/>
        <color rgb="FF1155CC"/>
        <sz val="11.0"/>
        <u/>
      </rPr>
      <t>23 oct 2024</t>
    </r>
  </si>
  <si>
    <t>Las energéticas aguardan, entre críticas y cautela, a que el Gobierno decida sobre el impuesto</t>
  </si>
  <si>
    <t>"Discriminatorio e injustificado" fueron los adjetivos con los que Aelec describió por entonces al popularmente conocido como 'impuesto energético'.</t>
  </si>
  <si>
    <t>Energy companies wait, between criticism and caution, for the Government to decide on the tax</t>
  </si>
  <si>
    <t>"Discriminatory and unjustified" were the adjectives with which Aelec described at that time the popularly known as 'energy tax'.</t>
  </si>
  <si>
    <t>criticism, energy tax</t>
  </si>
  <si>
    <t>crítica, impuesto a la energía</t>
  </si>
  <si>
    <t>Negative as it highlights uncertainty and opposition to the tax from the energy sector.</t>
  </si>
  <si>
    <t>Sector-wide issue, neutral.</t>
  </si>
  <si>
    <t>Cuestión sectorial, neutral.</t>
  </si>
  <si>
    <r>
      <rPr>
        <rFont val="Arial, sans-serif"/>
        <color rgb="FF1155CC"/>
        <sz val="9.0"/>
        <u/>
      </rPr>
      <t>Diari de Tarragona</t>
    </r>
    <r>
      <rPr>
        <rFont val="Arial, sans-serif"/>
        <color rgb="FF1155CC"/>
        <sz val="15.0"/>
        <u/>
      </rPr>
      <t>ERC ve compatible defender el ‘impuestazo’ y exigir inversiones a las multinacionales en Tarragona</t>
    </r>
    <r>
      <rPr>
        <rFont val="Arial, sans-serif"/>
        <color rgb="FF1155CC"/>
        <sz val="11.0"/>
        <u/>
      </rPr>
      <t>Esquerra Republicana apoya la propuesta del presidente del gobierno y líder del PSOE, Pedro Sánchez, para convertir en pemanente el impuesto hasta aho...</t>
    </r>
    <r>
      <rPr>
        <rFont val="Arial, sans-serif"/>
        <color rgb="FF1155CC"/>
        <sz val="12.0"/>
        <u/>
      </rPr>
      <t>.</t>
    </r>
    <r>
      <rPr>
        <rFont val="Arial, sans-serif"/>
        <color rgb="FF1155CC"/>
        <sz val="11.0"/>
        <u/>
      </rPr>
      <t>23 oct 2024</t>
    </r>
  </si>
  <si>
    <t>ERC ve compatible defender el ‘impuestazo’ y exigir inversiones a las multinacionales en Tarragona</t>
  </si>
  <si>
    <t>Esquerra Republicana apoya la propuesta del presidente del gobierno y líder del PSOE, Pedro Sánchez, para convertir en pemanente el impuesto hasta aho....</t>
  </si>
  <si>
    <t>ERC sees it as compatible to defend the 'tax' and demand investments from multinationals in Tarragona</t>
  </si>
  <si>
    <t>Esquerra Republicana supports the proposal of the president of the government and leader of the PSOE, Pedro Sánchez, to make the tax permanent until now....</t>
  </si>
  <si>
    <t>defend tax, demand investments</t>
  </si>
  <si>
    <t>defender el impuesto, exigir inversiones</t>
  </si>
  <si>
    <t>Negative as it implies ongoing fiscal pressure on energy companies.</t>
  </si>
  <si>
    <t>Political stance, neutral.</t>
  </si>
  <si>
    <t>Postura política, neutral.</t>
  </si>
  <si>
    <r>
      <rPr>
        <rFont val="Arial, sans-serif"/>
        <color rgb="FF1155CC"/>
        <sz val="9.0"/>
        <u/>
      </rPr>
      <t>Expansión</t>
    </r>
    <r>
      <rPr>
        <rFont val="Arial, sans-serif"/>
        <color rgb="FF1155CC"/>
        <sz val="15.0"/>
        <u/>
      </rPr>
      <t>El Gobierno plantea un impuesto al beneficio de todas las energéticas</t>
    </r>
    <r>
      <rPr>
        <rFont val="Arial, sans-serif"/>
        <color rgb="FF1155CC"/>
        <sz val="11.0"/>
        <u/>
      </rPr>
      <t>En lugar de aplicar el impuestazo sólo a las ventas de Repsol, Cepsa, Endesa, Iberdrola y Naturgy, el Ejecutivo baraja repercutirlo al beneficio operativo...</t>
    </r>
    <r>
      <rPr>
        <rFont val="Arial, sans-serif"/>
        <color rgb="FF1155CC"/>
        <sz val="12.0"/>
        <u/>
      </rPr>
      <t>.</t>
    </r>
    <r>
      <rPr>
        <rFont val="Arial, sans-serif"/>
        <color rgb="FF1155CC"/>
        <sz val="11.0"/>
        <u/>
      </rPr>
      <t>23 oct 2024</t>
    </r>
  </si>
  <si>
    <t>El Gobierno plantea un impuesto al beneficio de todas las energéticas</t>
  </si>
  <si>
    <t>En lugar de aplicar el impuestazo sólo a las ventas de Repsol, Cepsa, Endesa, Iberdrola y Naturgy, el Ejecutivo baraja repercutirlo al beneficio operativo.</t>
  </si>
  <si>
    <t>The Government proposes a tax on the profits of all energy companies</t>
  </si>
  <si>
    <t>Instead of applying the tax only to the sales of Repsol, Cepsa, Endesa, Iberdrola and Naturgy, the Executive is considering passing it on to operating profit.</t>
  </si>
  <si>
    <t>proposes tax, energy companies</t>
  </si>
  <si>
    <t>propone impuesto, empresas energéticas</t>
  </si>
  <si>
    <t>Negative as it suggests broader taxation that may impact Repsol.</t>
  </si>
  <si>
    <t>Indirect negative for Repsol.</t>
  </si>
  <si>
    <t>Negativa indirecta para Repsol.</t>
  </si>
  <si>
    <r>
      <rPr>
        <rFont val="Arial, sans-serif"/>
        <color rgb="FF1155CC"/>
        <sz val="9.0"/>
        <u/>
      </rPr>
      <t>Crónica Global</t>
    </r>
    <r>
      <rPr>
        <rFont val="Arial, sans-serif"/>
        <color rgb="FF1155CC"/>
        <sz val="15.0"/>
        <u/>
      </rPr>
      <t>Míriam Nogueras confirma el veto de Junts al 'impuestazo' a las energéticas: "No pondremos en riesgo las inversiones en Cataluña"</t>
    </r>
    <r>
      <rPr>
        <rFont val="Arial, sans-serif"/>
        <color rgb="FF1155CC"/>
        <sz val="11.0"/>
        <u/>
      </rPr>
      <t>La portavoz de los neoconvergentes en el Congreso señala que si el Gobierno impulsa alguna medida "que haga peligrar las inversiones en Tarragona,...</t>
    </r>
    <r>
      <rPr>
        <rFont val="Arial, sans-serif"/>
        <color rgb="FF1155CC"/>
        <sz val="12.0"/>
        <u/>
      </rPr>
      <t>.</t>
    </r>
    <r>
      <rPr>
        <rFont val="Arial, sans-serif"/>
        <color rgb="FF1155CC"/>
        <sz val="11.0"/>
        <u/>
      </rPr>
      <t>23 oct 2024</t>
    </r>
  </si>
  <si>
    <t>Míriam Nogueras confirma el veto de Junts al 'impuestazo' a las energéticas: "No pondremos en riesgo las inversiones en Cataluña"</t>
  </si>
  <si>
    <t>La portavoz de los neoconvergentes en el Congreso señala que si el Gobierno impulsa alguna medida "que haga peligrar las inversiones en Tarragona,....</t>
  </si>
  <si>
    <t>Míriam Nogueras confirms Junts' veto of the 'tax' on energy companies: "We will not put investments in Catalonia at risk"</t>
  </si>
  <si>
    <t>The spokesperson for the neoconvergents in Congress points out that if the Government promotes any measure "that endangers investments in Tarragona,...</t>
  </si>
  <si>
    <t>veto tax, protect investments</t>
  </si>
  <si>
    <t>impuesto de veto, proteger las inversiones</t>
  </si>
  <si>
    <t>Negative due to continued political uncertainty surrounding energy investments.</t>
  </si>
  <si>
    <t>veto</t>
  </si>
  <si>
    <t>Political support against tax is positive.</t>
  </si>
  <si>
    <t>El apoyo político contra los impuestos es positivo.</t>
  </si>
  <si>
    <r>
      <rPr>
        <rFont val="Arial, sans-serif"/>
        <color rgb="FF1155CC"/>
        <sz val="9.0"/>
        <u/>
      </rPr>
      <t>El Español</t>
    </r>
    <r>
      <rPr>
        <rFont val="Arial, sans-serif"/>
        <color rgb="FF1155CC"/>
        <sz val="15.0"/>
        <u/>
      </rPr>
      <t>Galán (Iberdrola), respecto al 'impuestazo' energético: "Hay mucho apetito inversor en otros países"</t>
    </r>
    <r>
      <rPr>
        <rFont val="Arial, sans-serif"/>
        <color rgb="FF1155CC"/>
        <sz val="11.0"/>
        <u/>
      </rPr>
      <t>Además, cree que el debate sobre el impuesto a energéticas es "ruido", ya que no hay nada concreto. Más información: Iberdrola dispara un 50% su beneficio,...</t>
    </r>
    <r>
      <rPr>
        <rFont val="Arial, sans-serif"/>
        <color rgb="FF1155CC"/>
        <sz val="12.0"/>
        <u/>
      </rPr>
      <t>.</t>
    </r>
    <r>
      <rPr>
        <rFont val="Arial, sans-serif"/>
        <color rgb="FF1155CC"/>
        <sz val="11.0"/>
        <u/>
      </rPr>
      <t>23 oct 2024</t>
    </r>
  </si>
  <si>
    <t>Galán (Iberdrola), respecto al 'impuestazo' energético: "Hay mucho apetito inversor en otros países"</t>
  </si>
  <si>
    <t>"Hay mucho apetito inversor en otros países" además cree que el debate sobre el impuesto a energéticas es "ruido", ya que no hay nada concreto.</t>
  </si>
  <si>
    <t>Galán (Iberdrola), regarding the energy 'tax': "There is a lot of investment appetite in other countries"</t>
  </si>
  <si>
    <t>"There is a lot of investment appetite in other countries" and he believes that the debate on the energy tax is "noise", since there is nothing concrete.</t>
  </si>
  <si>
    <t>investment appetite, tax debate</t>
  </si>
  <si>
    <t>apetito inversor, debate fiscal</t>
  </si>
  <si>
    <t>Negative as it reinforces the perception of capital flight due to government policy.</t>
  </si>
  <si>
    <t>Suggests investment flight risk.</t>
  </si>
  <si>
    <t>Sugiere riesgo de fuga de inversiones.</t>
  </si>
  <si>
    <r>
      <rPr>
        <rFont val="Arial, sans-serif"/>
        <color rgb="FF1155CC"/>
        <sz val="9.0"/>
        <u/>
      </rPr>
      <t>La Razón</t>
    </r>
    <r>
      <rPr>
        <rFont val="Arial, sans-serif"/>
        <color rgb="FF1155CC"/>
        <sz val="15.0"/>
        <u/>
      </rPr>
      <t>Al Gobierno se le complica su intención de hacer permanente el impuesto a las energéticas</t>
    </r>
    <r>
      <rPr>
        <rFont val="Arial, sans-serif"/>
        <color rgb="FF1155CC"/>
        <sz val="11.0"/>
        <u/>
      </rPr>
      <t>Junts advierte de que no apoyará ninguna medida que ponga en riesgo inversiones en Cataluña.</t>
    </r>
    <r>
      <rPr>
        <rFont val="Arial, sans-serif"/>
        <color rgb="FF1155CC"/>
        <sz val="12.0"/>
        <u/>
      </rPr>
      <t>.</t>
    </r>
    <r>
      <rPr>
        <rFont val="Arial, sans-serif"/>
        <color rgb="FF1155CC"/>
        <sz val="11.0"/>
        <u/>
      </rPr>
      <t>23 oct 2024</t>
    </r>
  </si>
  <si>
    <t>Al Gobierno se le complica su intención de hacer permanente el impuesto a las energéticas</t>
  </si>
  <si>
    <t>Al Gobierno se le complica su intención de hacer permanente el impuesto a las energéticas. Junts advierte de que no apoyará ninguna medida que ponga en riesgo inversiones en Cataluña.</t>
  </si>
  <si>
    <t>The Government is having trouble with its intention to make the tax on energy companies permanent</t>
  </si>
  <si>
    <t>The Government's intention to make the energy tax permanent is complicated. Junts warns that it will not support any measure that puts investments in Catalonia at risk.</t>
  </si>
  <si>
    <t>trouble, permanent tax</t>
  </si>
  <si>
    <t>problema, impuesto permanente</t>
  </si>
  <si>
    <t>Negative as it signals ongoing uncertainty about the tax’s future.</t>
  </si>
  <si>
    <t>Potential relief for Repsol.</t>
  </si>
  <si>
    <t>Potencial alivio para Repsol.</t>
  </si>
  <si>
    <r>
      <rPr>
        <rFont val="Arial, sans-serif"/>
        <color rgb="FF1155CC"/>
        <sz val="9.0"/>
        <u/>
      </rPr>
      <t>El Comercio Perú</t>
    </r>
    <r>
      <rPr>
        <rFont val="Arial, sans-serif"/>
        <color rgb="FF1155CC"/>
        <sz val="15.0"/>
        <u/>
      </rPr>
      <t>Semillero Repsol Fútbol Femenino, primera edición: cómo y dónde inscribirse</t>
    </r>
    <r>
      <rPr>
        <color rgb="FF1155CC"/>
        <sz val="11.0"/>
        <u/>
      </rPr>
      <t>Cada vez falta menos para el inicio del Semillero Repsol Fútbol Femenino, primera edición, que está programado del 26 de octubre al 24 de noviembre, en el...</t>
    </r>
    <r>
      <rPr>
        <color rgb="FF1155CC"/>
        <u/>
      </rPr>
      <t>.</t>
    </r>
    <r>
      <rPr>
        <color rgb="FF1155CC"/>
        <sz val="11.0"/>
        <u/>
      </rPr>
      <t>23 oct 2024</t>
    </r>
  </si>
  <si>
    <t>Semillero Repsol Fútbol Femenino, primera edición: cómo y dónde inscribirse</t>
  </si>
  <si>
    <t>Cada vez falta menos para el inicio del Semillero Repsol Fútbol Femenino, primera edición, que está programado del 26 de octubre al 24 de noviembre, en el....</t>
  </si>
  <si>
    <t>Repsol Women's Soccer Seedbed, first edition: how and where to register</t>
  </si>
  <si>
    <t>There is less and less time until the start of the Repsol Women's Soccer Seedbed, first edition, which is scheduled from October 26 to November 24, in the....</t>
  </si>
  <si>
    <r>
      <rPr>
        <rFont val="Arial, sans-serif"/>
        <color rgb="FF1155CC"/>
        <sz val="9.0"/>
        <u/>
      </rPr>
      <t>El Periódico</t>
    </r>
    <r>
      <rPr>
        <rFont val="Arial, sans-serif"/>
        <color rgb="FF1155CC"/>
        <sz val="15.0"/>
        <u/>
      </rPr>
      <t>Repsol, Cepsa, Galp y BP amenazan con frenar inversiones de hasta 16.000 millones si se mantiene el impuesto a las energéticas</t>
    </r>
    <r>
      <rPr>
        <rFont val="Arial, sans-serif"/>
        <color rgb="FF1155CC"/>
        <sz val="11.0"/>
        <u/>
      </rPr>
      <t>La patronal de las grandes petroleras afirma que un nuevo gravamen 'dificultará' la adaptación de las refinerías a la transición energética y 'frenará el...</t>
    </r>
    <r>
      <rPr>
        <rFont val="Arial, sans-serif"/>
        <color rgb="FF1155CC"/>
        <sz val="12.0"/>
        <u/>
      </rPr>
      <t>.</t>
    </r>
    <r>
      <rPr>
        <rFont val="Arial, sans-serif"/>
        <color rgb="FF1155CC"/>
        <sz val="11.0"/>
        <u/>
      </rPr>
      <t>24 oct 2024</t>
    </r>
  </si>
  <si>
    <t>Repsol, Cepsa, Galp y BP amenazan con frenar inversiones de hasta 16.000 millones si se mantiene el impuesto a las energéticas</t>
  </si>
  <si>
    <t>La patronal de las grandes petroleras afirma que un nuevo gravamen 'dificultará' la adaptación de las refinerías a la transición energética y 'frenará el....</t>
  </si>
  <si>
    <t>Repsol, Cepsa, Galp and BP threaten to stop investments of up to 16 billion if the tax on energy companies is maintained</t>
  </si>
  <si>
    <t>The employers' association of the big oil companies affirms that a new tax will 'make it difficult' for refineries to adapt to the energy transition and 'will slow down...'</t>
  </si>
  <si>
    <t>threaten to stop investments, tax</t>
  </si>
  <si>
    <t>amenazan con detener las inversiones, impuestos</t>
  </si>
  <si>
    <t>Negative as it indicates large-scale capital flight and policy conflict.</t>
  </si>
  <si>
    <t>amenazan, "frenar"</t>
  </si>
  <si>
    <t>Collective threat harms sector image.</t>
  </si>
  <si>
    <t>Amenaza colectiva daña la imagen del sector.</t>
  </si>
  <si>
    <r>
      <rPr>
        <rFont val="Arial, sans-serif"/>
        <color rgb="FF1155CC"/>
        <sz val="9.0"/>
        <u/>
      </rPr>
      <t>Simply Wall Street</t>
    </r>
    <r>
      <rPr>
        <rFont val="Arial, sans-serif"/>
        <color rgb="FF1155CC"/>
        <sz val="15.0"/>
        <u/>
      </rPr>
      <t>El negocio y las acciones de Repsol, S.A. (BME:REP) siguen por detrás del mercado</t>
    </r>
    <r>
      <rPr>
        <rFont val="Arial, sans-serif"/>
        <color rgb="FF1155CC"/>
        <sz val="11.0"/>
        <u/>
      </rPr>
      <t>Cuando cerca de la mitad de las empresas españolas tienen ratios precio/beneficio (o "PER") superiores a 19x, es posible que considere Repsol, S.A.(BME:REP)...</t>
    </r>
    <r>
      <rPr>
        <rFont val="Arial, sans-serif"/>
        <color rgb="FF1155CC"/>
        <sz val="12.0"/>
        <u/>
      </rPr>
      <t>.</t>
    </r>
    <r>
      <rPr>
        <rFont val="Arial, sans-serif"/>
        <color rgb="FF1155CC"/>
        <sz val="11.0"/>
        <u/>
      </rPr>
      <t>24 oct 2024</t>
    </r>
  </si>
  <si>
    <t>El negocio y las acciones de Repsol, S.A. (BME:REP) siguen por detrás del mercado</t>
  </si>
  <si>
    <t>El negocio y las acciones de Repsol, S.A. (BME:REP) siguen por detrás del mercado. Cuando cerca de la mitad de las empresas españolas tienen ratios precio/beneficio (o "PER") superiores a 19x, es posible que considere Repsol, S.A.(BME:REP)....</t>
  </si>
  <si>
    <t>The business and actions of Repsol, S.A. (BME:REP) continue to lag the market</t>
  </si>
  <si>
    <t>The business and actions of Repsol, S.A. (BME:REP) continue to lag the market. When around half of Spanish companies have price/earnings (or "PER") ratios above 19x, you might consider Repsol, S.A.(BME:REP)....</t>
  </si>
  <si>
    <t>lag the market, PER ratio</t>
  </si>
  <si>
    <t>retraso del mercado, relación PER</t>
  </si>
  <si>
    <t>Negative as it suggests underperformance compared to market peers.</t>
  </si>
  <si>
    <t>por detrás</t>
  </si>
  <si>
    <t>Underperformance criticism.</t>
  </si>
  <si>
    <t>Crítica de bajo desempeño.</t>
  </si>
  <si>
    <r>
      <rPr>
        <rFont val="Arial, sans-serif"/>
        <color rgb="FF1155CC"/>
        <sz val="9.0"/>
        <u/>
      </rPr>
      <t>Ideal</t>
    </r>
    <r>
      <rPr>
        <rFont val="Arial, sans-serif"/>
        <color rgb="FF1155CC"/>
        <sz val="15.0"/>
        <u/>
      </rPr>
      <t>Repsol desvela los dos tipo de diésel de sus gasolineras</t>
    </r>
    <r>
      <rPr>
        <rFont val="Arial, sans-serif"/>
        <color rgb="FF1155CC"/>
        <sz val="11.0"/>
        <u/>
      </rPr>
      <t>La firma Repsol nutre diariamente a millones de coches en España. Es una de las principales empresas de repostaje de combustible de todo el país y comparte...</t>
    </r>
    <r>
      <rPr>
        <rFont val="Arial, sans-serif"/>
        <color rgb="FF1155CC"/>
        <sz val="12.0"/>
        <u/>
      </rPr>
      <t>.</t>
    </r>
    <r>
      <rPr>
        <rFont val="Arial, sans-serif"/>
        <color rgb="FF1155CC"/>
        <sz val="11.0"/>
        <u/>
      </rPr>
      <t>24 oct 2024</t>
    </r>
  </si>
  <si>
    <t>Repsol desvela los dos tipo de diésel de sus gasolineras</t>
  </si>
  <si>
    <t>La firma Repsol nutre diariamente a millones de coches en España. Es una de las principales empresas de repostaje de combustible de todo el país y comparte....</t>
  </si>
  <si>
    <t>Repsol reveals the two types of diesel at its gas stations</t>
  </si>
  <si>
    <t>The Repsol firm supplies millions of cars in Spain every day. It is one of the main fuel refueling companies in the entire country and shares....</t>
  </si>
  <si>
    <t>Not relevant to Repsol’s corporate image.</t>
  </si>
  <si>
    <t>Neutral product update.</t>
  </si>
  <si>
    <t>Actualización de producto neutral.</t>
  </si>
  <si>
    <r>
      <rPr>
        <rFont val="Arial, sans-serif"/>
        <color rgb="FF1155CC"/>
        <sz val="9.0"/>
        <u/>
      </rPr>
      <t>Radio Intereconomía</t>
    </r>
    <r>
      <rPr>
        <rFont val="Arial, sans-serif"/>
        <color rgb="FF1155CC"/>
        <sz val="15.0"/>
        <u/>
      </rPr>
      <t>Cuerpo, preocupado por la amenaza de Repsol de frenar inversiones, pide ‘tranquilidad’ y que no se ‘especule’</t>
    </r>
    <r>
      <rPr>
        <rFont val="Arial, sans-serif"/>
        <color rgb="FF1155CC"/>
        <sz val="11.0"/>
        <u/>
      </rPr>
      <t>El ministro de Economía de España, Carlos Cuerpo, pidió este miércoles «tranquilidad» a las energéticas, incluida la petrolera Repsol, y que se deje de...</t>
    </r>
    <r>
      <rPr>
        <rFont val="Arial, sans-serif"/>
        <color rgb="FF1155CC"/>
        <sz val="12.0"/>
        <u/>
      </rPr>
      <t>.</t>
    </r>
    <r>
      <rPr>
        <rFont val="Arial, sans-serif"/>
        <color rgb="FF1155CC"/>
        <sz val="11.0"/>
        <u/>
      </rPr>
      <t>24 oct 2024</t>
    </r>
  </si>
  <si>
    <t>Cuerpo, preocupado por la amenaza de Repsol de frenar inversiones, pide ‘tranquilidad’ y que no se ‘especule’</t>
  </si>
  <si>
    <t>El ministro de Economía de España, Carlos Cuerpo, pidió este miércoles «tranquilidad» a las energéticas, incluida la petrolera Repsol, y que se deje de....</t>
  </si>
  <si>
    <t>Body, concerned about Repsol's threat to stop investments, asks for 'tranquility' and for no 'speculation'</t>
  </si>
  <si>
    <t>The Minister of Economy of Spain, Carlos Body, asked this Wednesday for "tranquility" from the energy companies, including the oil company Repsol, and for them to stop...</t>
  </si>
  <si>
    <t>concern, stop investments</t>
  </si>
  <si>
    <t>preocupación, detener las inversiones</t>
  </si>
  <si>
    <t>Negative as it underscores concerns about investment stability.</t>
  </si>
  <si>
    <t>amenaza</t>
  </si>
  <si>
    <t>Reinforces negative investment narrative.</t>
  </si>
  <si>
    <t>Refuerza la narrativa de inversión negativa.</t>
  </si>
  <si>
    <r>
      <rPr>
        <rFont val="Arial, sans-serif"/>
        <color rgb="FF1155CC"/>
        <sz val="9.0"/>
        <u/>
      </rPr>
      <t>Marketing Directo</t>
    </r>
    <r>
      <rPr>
        <rFont val="Arial, sans-serif"/>
        <color rgb="FF1155CC"/>
        <sz val="15.0"/>
        <u/>
      </rPr>
      <t>Cómo conseguir que un festival sea una «ciudad» sostenible: el caso de éxito de REPSOL</t>
    </r>
    <r>
      <rPr>
        <rFont val="Arial, sans-serif"/>
        <color rgb="FF1155CC"/>
        <sz val="11.0"/>
        <u/>
      </rPr>
      <t>Hablamos con la directora de Publicidad, Patrocinio y Relaciones Públicas de Repsol, sobre su acuerdo con las grandes promotoras musicales.</t>
    </r>
    <r>
      <rPr>
        <rFont val="Arial, sans-serif"/>
        <color rgb="FF1155CC"/>
        <sz val="12.0"/>
        <u/>
      </rPr>
      <t>.</t>
    </r>
    <r>
      <rPr>
        <rFont val="Arial, sans-serif"/>
        <color rgb="FF1155CC"/>
        <sz val="11.0"/>
        <u/>
      </rPr>
      <t>24 oct 2024</t>
    </r>
  </si>
  <si>
    <t>Cómo conseguir que un festival sea una «ciudad» sostenible: el caso de éxito de REPSOL</t>
  </si>
  <si>
    <t>Hablamos con la directora de Publicidad, Patrocinio y Relaciones Públicas de Repsol, sobre su acuerdo con las grandes promotoras musicales.</t>
  </si>
  <si>
    <t>How to make a festival a sustainable “city”: the REPSOL success story</t>
  </si>
  <si>
    <t>We spoke with the Director of Advertising, Sponsorship and Public Relations at Repsol about her agreement with the major music promoters.</t>
  </si>
  <si>
    <r>
      <rPr>
        <rFont val="Arial, sans-serif"/>
        <color rgb="FF1155CC"/>
        <sz val="9.0"/>
        <u/>
      </rPr>
      <t>Confilegal</t>
    </r>
    <r>
      <rPr>
        <rFont val="Arial, sans-serif"/>
        <color rgb="FF1155CC"/>
        <sz val="15.0"/>
        <u/>
      </rPr>
      <t>Pablo Blanco (Repsol): "El abogado que utilice inteligencia artificial acabará con el abogado que no la...</t>
    </r>
    <r>
      <rPr>
        <rFont val="Arial, sans-serif"/>
        <color rgb="FF1155CC"/>
        <sz val="11.0"/>
        <u/>
      </rPr>
      <t>Pablo Blanco, secretario del Consejo de Administración y director general de Asuntos Legales de Repsol, defendió su modelo de gestión basado en los...</t>
    </r>
    <r>
      <rPr>
        <rFont val="Arial, sans-serif"/>
        <color rgb="FF1155CC"/>
        <sz val="12.0"/>
        <u/>
      </rPr>
      <t>.</t>
    </r>
    <r>
      <rPr>
        <rFont val="Arial, sans-serif"/>
        <color rgb="FF1155CC"/>
        <sz val="11.0"/>
        <u/>
      </rPr>
      <t>24 oct 2024</t>
    </r>
  </si>
  <si>
    <t>El abogado que utilice inteligencia artificial acabará con el abogado que no la...</t>
  </si>
  <si>
    <t>"El abogado que utilice inteligencia artificial acabará con el abogado que no la utilice."</t>
  </si>
  <si>
    <t>The lawyer who uses artificial intelligence will destroy the lawyer who does not...</t>
  </si>
  <si>
    <t>"The lawyer who uses artificial intelligence will destroy the lawyer who does not use it."</t>
  </si>
  <si>
    <r>
      <rPr>
        <rFont val="Arial, sans-serif"/>
        <color rgb="FF1155CC"/>
        <sz val="9.0"/>
        <u/>
      </rPr>
      <t>Xataka</t>
    </r>
    <r>
      <rPr>
        <rFont val="Arial, sans-serif"/>
        <color rgb="FF1155CC"/>
        <sz val="15.0"/>
        <u/>
      </rPr>
      <t>Ante el impuesto permanente del Gobierno, Repsol ha tomado una decisión: paralizar sus proyectos de...</t>
    </r>
    <r>
      <rPr>
        <rFont val="Arial, sans-serif"/>
        <color rgb="FF1155CC"/>
        <sz val="11.0"/>
        <u/>
      </rPr>
      <t>El Gobierno tiene más problemas, no solo la oposición de Repsol, sino también la oposición de PNV y Junts. Refinería de Musques.</t>
    </r>
    <r>
      <rPr>
        <rFont val="Arial, sans-serif"/>
        <color rgb="FF1155CC"/>
        <sz val="12.0"/>
        <u/>
      </rPr>
      <t>.</t>
    </r>
    <r>
      <rPr>
        <rFont val="Arial, sans-serif"/>
        <color rgb="FF1155CC"/>
        <sz val="11.0"/>
        <u/>
      </rPr>
      <t>24 oct 2024</t>
    </r>
  </si>
  <si>
    <t>Repsol paraliza sus proyectos ante el impuesto permanente del Gobierno</t>
  </si>
  <si>
    <t>El Gobierno tiene más problemas, no solo la oposición de Repsol, sino también la oposición de PNV y Junts. Refinería de Musques.</t>
  </si>
  <si>
    <t>Repsol paralyzes its projects due to the Government's permanent tax</t>
  </si>
  <si>
    <t>The Government has more problems, not only the opposition of Repsol, but also the opposition of PNV and Junts. Musques Refinery.</t>
  </si>
  <si>
    <t>paralyzes projects, permanent tax</t>
  </si>
  <si>
    <t>paraliza proyectos, impuesto permanente</t>
  </si>
  <si>
    <t>Negative due to halted projects and growing political tensions.</t>
  </si>
  <si>
    <t>Direct action against policy harms image.</t>
  </si>
  <si>
    <t>La acción directa contra la política daña la imagen.</t>
  </si>
  <si>
    <r>
      <rPr>
        <rFont val="Arial, sans-serif"/>
        <color rgb="FF1155CC"/>
        <sz val="9.0"/>
        <u/>
      </rPr>
      <t>Cinco Días</t>
    </r>
    <r>
      <rPr>
        <rFont val="Arial, sans-serif"/>
        <color rgb="FF1155CC"/>
        <sz val="15.0"/>
        <u/>
      </rPr>
      <t>Ortiz (Bankinter) se separa de la polémica con Repsol: “No hay ninguna amenaza de llevarnos nada a ningún sitio”</t>
    </r>
    <r>
      <rPr>
        <rFont val="Arial, sans-serif"/>
        <color rgb="FF1155CC"/>
        <sz val="11.0"/>
        <u/>
      </rPr>
      <t>La consejera delegada de Bankinter reclama al Ejecutivo que corrija los “defectos técnicos” de la tasa.</t>
    </r>
    <r>
      <rPr>
        <rFont val="Arial, sans-serif"/>
        <color rgb="FF1155CC"/>
        <sz val="12.0"/>
        <u/>
      </rPr>
      <t>.</t>
    </r>
    <r>
      <rPr>
        <rFont val="Arial, sans-serif"/>
        <color rgb="FF1155CC"/>
        <sz val="11.0"/>
        <u/>
      </rPr>
      <t>24 oct 2024</t>
    </r>
  </si>
  <si>
    <t>Ortiz (Bankinter) se separa de la polémica con Repsol: “No hay ninguna amenaza de llevarnos nada a ningún sitio”</t>
  </si>
  <si>
    <t>"La consejera delegada de Bankinter reclama al Ejecutivo que corrija los 'defectos técnicos' de la tasa."</t>
  </si>
  <si>
    <t>Ortiz (Bankinter) separates himself from the controversy with Repsol: “There is no threat of taking us anywhere”</t>
  </si>
  <si>
    <t>"The CEO of Bankinter demands that the Executive correct the 'technical defects' of the rate."</t>
  </si>
  <si>
    <r>
      <rPr>
        <rFont val="Arial, sans-serif"/>
        <color rgb="FF1155CC"/>
        <sz val="9.0"/>
        <u/>
      </rPr>
      <t>Economía Digital</t>
    </r>
    <r>
      <rPr>
        <rFont val="Arial, sans-serif"/>
        <color rgb="FF1155CC"/>
        <sz val="15.0"/>
        <u/>
      </rPr>
      <t>Iberdrola se desmarca de la estrategia de Repsol y resta importancia al impuesto permanente del Gobierno</t>
    </r>
    <r>
      <rPr>
        <rFont val="Arial, sans-serif"/>
        <color rgb="FF1155CC"/>
        <sz val="11.0"/>
        <u/>
      </rPr>
      <t>Iberdrola y Repsol han tomado caminos diferentes a la hora de mostrar su rechazo a la decisión del Gobierno de hacer permanente el impuesto a los beneficios...</t>
    </r>
    <r>
      <rPr>
        <rFont val="Arial, sans-serif"/>
        <color rgb="FF1155CC"/>
        <sz val="12.0"/>
        <u/>
      </rPr>
      <t>.</t>
    </r>
    <r>
      <rPr>
        <rFont val="Arial, sans-serif"/>
        <color rgb="FF1155CC"/>
        <sz val="11.0"/>
        <u/>
      </rPr>
      <t>24 oct 2024</t>
    </r>
  </si>
  <si>
    <t>Iberdrola se desmarca de la estrategia de Repsol y resta importancia al impuesto permanente del Gobierno</t>
  </si>
  <si>
    <t>Iberdrola y Repsol han tomado caminos diferentes a la hora de mostrar su rechazo a la decisión del Gobierno de hacer permanente el impuesto a los beneficios.</t>
  </si>
  <si>
    <t>Iberdrola distances itself from Repsol's strategy and downplays the importance of the Government's permanent tax</t>
  </si>
  <si>
    <t>Iberdrola and Repsol have taken different paths when it comes to showing their rejection of the Government's decision to make the profit tax permanent.</t>
  </si>
  <si>
    <t>distances, downplays tax</t>
  </si>
  <si>
    <t>distancias, restan importancia al impuesto</t>
  </si>
  <si>
    <t>Negative as it suggests division among energy companies on tax opposition.</t>
  </si>
  <si>
    <t>desmarca</t>
  </si>
  <si>
    <t>Isolates Repsol’s aggressive stance.</t>
  </si>
  <si>
    <t>Aísla la postura agresiva de Repsol.</t>
  </si>
  <si>
    <r>
      <rPr>
        <rFont val="Arial, sans-serif"/>
        <color rgb="FF1155CC"/>
        <sz val="9.0"/>
        <u/>
      </rPr>
      <t>Diari de Tarragona</t>
    </r>
    <r>
      <rPr>
        <rFont val="Arial, sans-serif"/>
        <color rgb="FF1155CC"/>
        <sz val="15.0"/>
        <u/>
      </rPr>
      <t>La marcha de Repsol: un jaque mate al empleo y la industria</t>
    </r>
    <r>
      <rPr>
        <rFont val="Arial, sans-serif"/>
        <color rgb="FF1155CC"/>
        <sz val="11.0"/>
        <u/>
      </rPr>
      <t>El anuncio de Repsol de llevarse a Portugal sus inversiones previstas en Tarragona –el electrolizador más grande de España y una ecoplanta para conver...</t>
    </r>
    <r>
      <rPr>
        <rFont val="Arial, sans-serif"/>
        <color rgb="FF1155CC"/>
        <sz val="12.0"/>
        <u/>
      </rPr>
      <t>.</t>
    </r>
    <r>
      <rPr>
        <rFont val="Arial, sans-serif"/>
        <color rgb="FF1155CC"/>
        <sz val="11.0"/>
        <u/>
      </rPr>
      <t>24 oct 2024</t>
    </r>
  </si>
  <si>
    <t>La marcha de Repsol: un jaque mate al empleo y la industria</t>
  </si>
  <si>
    <t>El anuncio de Repsol de llevarse a Portugal sus inversiones previstas en Tarragona –el electrolizador más grande de España y una ecoplanta para conver....</t>
  </si>
  <si>
    <t>The departure of Repsol: a checkmate for employment and the industry</t>
  </si>
  <si>
    <t>Repsol's announcement to take its planned investments in Tarragona to Portugal – the largest electrolyzer in Spain and an eco-plant to convert...</t>
  </si>
  <si>
    <t>departure, checkmate for employment</t>
  </si>
  <si>
    <t>salida, jaque mate al empleo</t>
  </si>
  <si>
    <t>Negative as it frames Repsol’s investment shift as a major loss for Spain.</t>
  </si>
  <si>
    <t>jaque mate</t>
  </si>
  <si>
    <t>Dramatic job/industry threat framing.</t>
  </si>
  <si>
    <t>Encuadre dramático de amenazas al trabajo/industria.</t>
  </si>
  <si>
    <r>
      <rPr>
        <rFont val="Arial, sans-serif"/>
        <color rgb="FF1155CC"/>
        <sz val="9.0"/>
        <u/>
      </rPr>
      <t>El Mundo</t>
    </r>
    <r>
      <rPr>
        <rFont val="Arial, sans-serif"/>
        <color rgb="FF1155CC"/>
        <sz val="15.0"/>
        <u/>
      </rPr>
      <t>El PSOE vasco acusa al PNV de querer perdonar impuestos al CEO de Repsol y "compañero de partido" Josu Jon Imaz</t>
    </r>
    <r>
      <rPr>
        <rFont val="Arial, sans-serif"/>
        <color rgb="FF1155CC"/>
        <sz val="11.0"/>
        <u/>
      </rPr>
      <t>El líder del PSOE vasco Eneko Andueza ha decidido ir al "cuerpo a cuerpo" contra el PNV por las críticas de los socialistas a convertir en permanente el...</t>
    </r>
    <r>
      <rPr>
        <rFont val="Arial, sans-serif"/>
        <color rgb="FF1155CC"/>
        <sz val="12.0"/>
        <u/>
      </rPr>
      <t>.</t>
    </r>
    <r>
      <rPr>
        <rFont val="Arial, sans-serif"/>
        <color rgb="FF1155CC"/>
        <sz val="11.0"/>
        <u/>
      </rPr>
      <t>24 oct 2024</t>
    </r>
  </si>
  <si>
    <t>El PSOE vasco acusa al PNV de querer perdonar impuestos al CEO de Repsol y "compañero de partido" Josu Jon Imaz</t>
  </si>
  <si>
    <t>El líder del PSOE vasco Eneko Andueza ha decidido ir al "cuerpo a cuerpo" contra el PNV por las críticas de los socialistas a convertir en permanente el....</t>
  </si>
  <si>
    <t>The Basque PSOE accuses the PNV of wanting to forgive taxes to the CEO of Repsol and "party colleague" Josu Jon Imaz</t>
  </si>
  <si>
    <t>The leader of the Basque PSOE Eneko Andueza has decided to go to "melee" against the PNV due to the socialists' criticism of making the... permanent.</t>
  </si>
  <si>
    <t>accuses, forgive taxes</t>
  </si>
  <si>
    <t>acusa, perdona impuestos</t>
  </si>
  <si>
    <t>Negative as it suggests political tensions involving Repsol’s leadership.</t>
  </si>
  <si>
    <t>acusa</t>
  </si>
  <si>
    <t>Political conflict linked to Repsol.</t>
  </si>
  <si>
    <t>Conflicto político vinculado a Repsol.</t>
  </si>
  <si>
    <r>
      <rPr>
        <rFont val="Arial, sans-serif"/>
        <color rgb="FF1155CC"/>
        <sz val="9.0"/>
        <u/>
      </rPr>
      <t>Guía Repsol</t>
    </r>
    <r>
      <rPr>
        <rFont val="Arial, sans-serif"/>
        <color rgb="FF1155CC"/>
        <sz val="15.0"/>
        <u/>
      </rPr>
      <t>Casas rurales para alojarse en el puente de diciembre... ¡y desconectar de todo!</t>
    </r>
    <r>
      <rPr>
        <rFont val="Arial, sans-serif"/>
        <color rgb="FF1155CC"/>
        <sz val="11.0"/>
        <u/>
      </rPr>
      <t>Buscas un lugar tranquilo para descansar en el puente de diciembre? Descubre las mejores casas rurales y disfruta de la naturaleza. ¡Reserva ya!</t>
    </r>
    <r>
      <rPr>
        <rFont val="Arial, sans-serif"/>
        <color rgb="FF1155CC"/>
        <sz val="12.0"/>
        <u/>
      </rPr>
      <t>.</t>
    </r>
    <r>
      <rPr>
        <rFont val="Arial, sans-serif"/>
        <color rgb="FF1155CC"/>
        <sz val="11.0"/>
        <u/>
      </rPr>
      <t>24 oct 2024</t>
    </r>
  </si>
  <si>
    <t>Casas rurales para alojarse en el puente de diciembre... ¡y desconectar de todo!</t>
  </si>
  <si>
    <t>Buscas un lugar tranquilo para descansar en el puente de diciembre? Descubre las mejores casas rurales y disfruta de la naturaleza. ¡Reserva ya!</t>
  </si>
  <si>
    <t>Rural houses to stay over the December long weekend... and disconnect from everything!</t>
  </si>
  <si>
    <t>Are you looking for a quiet place to rest on the December long weekend? Discover the best rural houses and enjoy nature. Book now!</t>
  </si>
  <si>
    <r>
      <rPr>
        <rFont val="Arial, sans-serif"/>
        <color rgb="FF1155CC"/>
        <sz val="9.0"/>
        <u/>
      </rPr>
      <t>La Opinión A Coruña</t>
    </r>
    <r>
      <rPr>
        <rFont val="Arial, sans-serif"/>
        <color rgb="FF1155CC"/>
        <sz val="15.0"/>
        <u/>
      </rPr>
      <t>Repsol amenaza con frenar su inversión en la refinería de A Coruña por el impuesto energético</t>
    </r>
    <r>
      <rPr>
        <rFont val="Arial, sans-serif"/>
        <color rgb="FF1155CC"/>
        <sz val="11.0"/>
        <u/>
      </rPr>
      <t>La refinería que Repsol tiene en A Coruña está entre las cinco instalaciones que ven peligrar sus inversiones para descarbonizarse tras la posibilidad de...</t>
    </r>
    <r>
      <rPr>
        <rFont val="Arial, sans-serif"/>
        <color rgb="FF1155CC"/>
        <sz val="12.0"/>
        <u/>
      </rPr>
      <t>.</t>
    </r>
    <r>
      <rPr>
        <rFont val="Arial, sans-serif"/>
        <color rgb="FF1155CC"/>
        <sz val="11.0"/>
        <u/>
      </rPr>
      <t>24 oct 2024</t>
    </r>
  </si>
  <si>
    <t>Repsol amenaza con frenar su inversión en la refinería de A Coruña por el impuesto energético</t>
  </si>
  <si>
    <t>La refinería que Repsol tiene en A Coruña está entre las cinco instalaciones que ven peligrar sus inversiones para descarbonizarse tras la posibilidad de....</t>
  </si>
  <si>
    <t>Repsol threatens to stop its investment in the A Coruña refinery due to the energy tax</t>
  </si>
  <si>
    <t>Repsol's refinery in A Coruña is among the five facilities that see their investments in decarbonization jeopardized after the possibility of...</t>
  </si>
  <si>
    <t>threatens, stop investment, refinery</t>
  </si>
  <si>
    <t>amenaza, detiene la inversión, refinería</t>
  </si>
  <si>
    <t>Negative as it highlights threats of capital withdrawal due to taxation.</t>
  </si>
  <si>
    <t>amenaza, "frenar"</t>
  </si>
  <si>
    <t>Reiterates negative investment climate.</t>
  </si>
  <si>
    <t>Reitera clima de inversión negativo.</t>
  </si>
  <si>
    <r>
      <rPr>
        <rFont val="Arial, sans-serif"/>
        <color rgb="FF1155CC"/>
        <sz val="9.0"/>
        <u/>
      </rPr>
      <t>DonDiario</t>
    </r>
    <r>
      <rPr>
        <rFont val="Arial, sans-serif"/>
        <color rgb="FF1155CC"/>
        <sz val="15.0"/>
        <u/>
      </rPr>
      <t>Los días de noviembre y diciembre que se dejará de repartir butano a domicilio</t>
    </r>
    <r>
      <rPr>
        <rFont val="Arial, sans-serif"/>
        <color rgb="FF1155CC"/>
        <sz val="11.0"/>
        <u/>
      </rPr>
      <t>La Federación Española de Distribuidores de Gases Licuados del Petróleo (Fedglp) ha acordado este lunes suspender el servicio de reparto a domicilio del...</t>
    </r>
    <r>
      <rPr>
        <rFont val="Arial, sans-serif"/>
        <color rgb="FF1155CC"/>
        <sz val="12.0"/>
        <u/>
      </rPr>
      <t>.</t>
    </r>
    <r>
      <rPr>
        <rFont val="Arial, sans-serif"/>
        <color rgb="FF1155CC"/>
        <sz val="11.0"/>
        <u/>
      </rPr>
      <t>24 oct 2024</t>
    </r>
  </si>
  <si>
    <t>DonDiario</t>
  </si>
  <si>
    <t>Los días de noviembre y diciembre que se dejará de repartir butano a domicilio</t>
  </si>
  <si>
    <t>La Federación Española de Distribuidores de Gases Licuados del Petróleo (Fedglp) ha acordado este lunes suspender el servicio de reparto a domicilio del....</t>
  </si>
  <si>
    <t>On the days of November and December when butane will no longer be delivered at home</t>
  </si>
  <si>
    <t>The Spanish Federation of Liquefied Petroleum Gas Distributors (Fedglp) has agreed this Monday to suspend the home delivery service of....</t>
  </si>
  <si>
    <r>
      <rPr>
        <rFont val="Arial, sans-serif"/>
        <color rgb="FF1155CC"/>
        <sz val="9.0"/>
        <u/>
      </rPr>
      <t>La Tribuna de Ciudad Real</t>
    </r>
    <r>
      <rPr>
        <rFont val="Arial, sans-serif"/>
        <color rgb="FF1155CC"/>
        <sz val="15.0"/>
        <u/>
      </rPr>
      <t>Puertollano: Incidentes en el inicio de la huelga indefinida de Navec</t>
    </r>
    <r>
      <rPr>
        <rFont val="Arial, sans-serif"/>
        <color rgb="FF1155CC"/>
        <sz val="11.0"/>
        <u/>
      </rPr>
      <t>Este jueves 24 de octubre comenzará la huelga indefinida convocada por los 130 trabajadores de Navec, la principal contratista de Repsol en Puertollano,...</t>
    </r>
    <r>
      <rPr>
        <rFont val="Arial, sans-serif"/>
        <color rgb="FF1155CC"/>
        <sz val="12.0"/>
        <u/>
      </rPr>
      <t>.</t>
    </r>
    <r>
      <rPr>
        <rFont val="Arial, sans-serif"/>
        <color rgb="FF1155CC"/>
        <sz val="11.0"/>
        <u/>
      </rPr>
      <t>24 oct 2024</t>
    </r>
  </si>
  <si>
    <t>Incidentes en el inicio de la huelga indefinida de Navec</t>
  </si>
  <si>
    <t>Este jueves 24 de octubre comenzará la huelga indefinida convocada por los 130 trabajadores de Navec, la principal contratista de Repsol en Puertollano,....</t>
  </si>
  <si>
    <t>Incidents at the start of the Navec indefinite strike</t>
  </si>
  <si>
    <t>This Thursday, October 24, the indefinite strike called by the 130 workers of Navec, Repsol's main contractor in Puertollano, will begin....</t>
  </si>
  <si>
    <t>strike, incidents, Navec</t>
  </si>
  <si>
    <t>huelga, incidentes, Navec</t>
  </si>
  <si>
    <t>Negative as it links Repsol to labor unrest and potential disruptions.</t>
  </si>
  <si>
    <t>Labor unrest at contractor.</t>
  </si>
  <si>
    <t>Malestar laboral en el contratista.</t>
  </si>
  <si>
    <r>
      <rPr>
        <rFont val="Arial, sans-serif"/>
        <color rgb="FF1155CC"/>
        <sz val="9.0"/>
        <u/>
      </rPr>
      <t>Castilla-La Mancha Media</t>
    </r>
    <r>
      <rPr>
        <rFont val="Arial, sans-serif"/>
        <color rgb="FF1155CC"/>
        <sz val="15.0"/>
        <u/>
      </rPr>
      <t>Trabajadores de Navec, en huelga indefinida, se concentran a las puertas de Repsol-Químicas en Puertollano</t>
    </r>
    <r>
      <rPr>
        <rFont val="Arial, sans-serif"/>
        <color rgb="FF1155CC"/>
        <sz val="11.0"/>
        <u/>
      </rPr>
      <t>La compañía, la mayor contrata de Repsol en el municipio, está en concurso de acreedores, un ERE que afecta a sus 1.200 trabajadores en España.</t>
    </r>
    <r>
      <rPr>
        <rFont val="Arial, sans-serif"/>
        <color rgb="FF1155CC"/>
        <sz val="12.0"/>
        <u/>
      </rPr>
      <t>.</t>
    </r>
    <r>
      <rPr>
        <rFont val="Arial, sans-serif"/>
        <color rgb="FF1155CC"/>
        <sz val="11.0"/>
        <u/>
      </rPr>
      <t>24 oct 2024</t>
    </r>
  </si>
  <si>
    <t>Trabajadores de Navec, en huelga indefinida, se concentran a las puertas de Repsol-Químicas en Puertollano</t>
  </si>
  <si>
    <t>Trabajadores de Navec, en huelga indefinida, se concentran a las puertas de Repsol-Químicas en Puertollano. La compañía, la mayor contrata de Repsol en el municipio, está en concurso de acreedores, un ERE que afecta a sus 1.200 trabajadores en España.</t>
  </si>
  <si>
    <t>Navec workers, on indefinite strike, gather at the doors of Repsol-Químicas in Puertollano</t>
  </si>
  <si>
    <t>Navec workers, on indefinite strike, gather at the doors of Repsol-Químicas in Puertollano. The company, Repsol's largest contract in the municipality, is in bankruptcy, an ERE that affects its 1,200 workers in Spain.</t>
  </si>
  <si>
    <t>strike, bankruptcy, ERE</t>
  </si>
  <si>
    <t>huelga, quiebra, ERE</t>
  </si>
  <si>
    <t>Negative as it suggests financial struggles and labor disputes affecting Repsol’s reputation.</t>
  </si>
  <si>
    <t>Direct labor conflict visibility.</t>
  </si>
  <si>
    <t>Visibilidad directa de conflictos laborales.</t>
  </si>
  <si>
    <r>
      <rPr>
        <rFont val="Arial, sans-serif"/>
        <color rgb="FF1155CC"/>
        <sz val="9.0"/>
        <u/>
      </rPr>
      <t>Cadena SER</t>
    </r>
    <r>
      <rPr>
        <rFont val="Arial, sans-serif"/>
        <color rgb="FF1155CC"/>
        <sz val="15.0"/>
        <u/>
      </rPr>
      <t>Seguimiento total e incidentes leves en el primer huelga indefinida de los trabajadores de Navec en Puertollano</t>
    </r>
    <r>
      <rPr>
        <rFont val="Arial, sans-serif"/>
        <color rgb="FF1155CC"/>
        <sz val="11.0"/>
        <u/>
      </rPr>
      <t>Los representantes sindicales piden a la principal de las contratas de Repsol que saque del ERE a los trabajadores que deben ser subrogados por ley y a la...</t>
    </r>
    <r>
      <rPr>
        <rFont val="Arial, sans-serif"/>
        <color rgb="FF1155CC"/>
        <sz val="12.0"/>
        <u/>
      </rPr>
      <t>.</t>
    </r>
    <r>
      <rPr>
        <rFont val="Arial, sans-serif"/>
        <color rgb="FF1155CC"/>
        <sz val="11.0"/>
        <u/>
      </rPr>
      <t>24 oct 2024</t>
    </r>
  </si>
  <si>
    <t>Primer huelga indefinida de los trabajadores de Navec en Puertollano</t>
  </si>
  <si>
    <t>Seguimiento total e incidentes leves en el primer huelga indefinida de los trabajadores de Navec en Puertollano. Los representantes sindicales piden a la principal de las contratas de Repsol que saque del ERE a los trabajadores que deben ser subrogados por ley y a la....</t>
  </si>
  <si>
    <t>First indefinite strike of Navec workers in Puertollano</t>
  </si>
  <si>
    <t>Total monitoring and minor incidents in the first indefinite strike of Navec workers in Puertollano. The union representatives ask the main Repsol contractor to remove from the ERE the workers who must be subrogated by law and the...</t>
  </si>
  <si>
    <t>indefinite strike, ERE</t>
  </si>
  <si>
    <t>huelga indefinida, ERE</t>
  </si>
  <si>
    <t>Negative as it highlights prolonged labor tensions connected to Repsol.</t>
  </si>
  <si>
    <t>Continued labor issues.</t>
  </si>
  <si>
    <t>Problemas laborales continuos.</t>
  </si>
  <si>
    <r>
      <rPr>
        <rFont val="Arial, sans-serif"/>
        <color rgb="FF1155CC"/>
        <sz val="9.0"/>
        <u/>
      </rPr>
      <t>La Comarca de Puertollano</t>
    </r>
    <r>
      <rPr>
        <rFont val="Arial, sans-serif"/>
        <color rgb="FF1155CC"/>
        <sz val="15.0"/>
        <u/>
      </rPr>
      <t>Puertollano: Tensión, gran presencia policial y proclamas contra la empresa en el inicio de la huelga indefinida en ‘Navec’</t>
    </r>
    <r>
      <rPr>
        <rFont val="Arial, sans-serif"/>
        <color rgb="FF1155CC"/>
        <sz val="11.0"/>
        <u/>
      </rPr>
      <t>Los trabajadores de la mayor contrata de Repsol en el Complejo Petroquímico de la ciudad se han concentrado desde las siete de la mañana a la entrada de Qu.</t>
    </r>
    <r>
      <rPr>
        <rFont val="Arial, sans-serif"/>
        <color rgb="FF1155CC"/>
        <sz val="12.0"/>
        <u/>
      </rPr>
      <t>.</t>
    </r>
    <r>
      <rPr>
        <rFont val="Arial, sans-serif"/>
        <color rgb="FF1155CC"/>
        <sz val="11.0"/>
        <u/>
      </rPr>
      <t>24 oct 2024</t>
    </r>
  </si>
  <si>
    <t>Puertollano: Tensión, gran presencia policial y proclamas contra la empresa en el inicio de la huelga indefinida en ‘Navec’</t>
  </si>
  <si>
    <t>Los trabajadores de la mayor contrata de Repsol en el Complejo Petroquímico de la ciudad se han concentrado desde las siete de la mañana a la entrada de Qu..</t>
  </si>
  <si>
    <t>Puertollano: Tension, large police presence and proclamations against the company at the start of the indefinite strike in 'Navec'</t>
  </si>
  <si>
    <t>The workers of Repsol's largest contract in the city's Petrochemical Complex have gathered since seven in the morning at the entrance to Qu...</t>
  </si>
  <si>
    <t>tension, police presence, strike</t>
  </si>
  <si>
    <t>tensión, presencia policial, huelga</t>
  </si>
  <si>
    <t>Negative as it emphasizes labor unrest and heightened tensions at Repsol's facilities.</t>
  </si>
  <si>
    <t>tensión, "huelga"</t>
  </si>
  <si>
    <t>Escalation of conflict.</t>
  </si>
  <si>
    <t>Escalada del conflicto.</t>
  </si>
  <si>
    <r>
      <rPr>
        <rFont val="Arial, sans-serif"/>
        <color rgb="FF1155CC"/>
        <sz val="9.0"/>
        <u/>
      </rPr>
      <t>El Mundo</t>
    </r>
    <r>
      <rPr>
        <rFont val="Arial, sans-serif"/>
        <color rgb="FF1155CC"/>
        <sz val="15.0"/>
        <u/>
      </rPr>
      <t>Repsol, Cepsa, Galp y BP cierran filas y calculan hasta 16.000 millones de inversión conjunta en España "en importante riesgo" por el 'impuestazo' energético</t>
    </r>
    <r>
      <rPr>
        <rFont val="Arial, sans-serif"/>
        <color rgb="FF1155CC"/>
        <sz val="11.0"/>
        <u/>
      </rPr>
      <t>No es sólo Repsol. Hay un cierre de filas entre los grandes grupos del sector nacionales y extranjeros. La Asociación Española de Operadores de Productos...</t>
    </r>
    <r>
      <rPr>
        <rFont val="Arial, sans-serif"/>
        <color rgb="FF1155CC"/>
        <sz val="12.0"/>
        <u/>
      </rPr>
      <t>.</t>
    </r>
    <r>
      <rPr>
        <rFont val="Arial, sans-serif"/>
        <color rgb="FF1155CC"/>
        <sz val="11.0"/>
        <u/>
      </rPr>
      <t>24 oct 2024</t>
    </r>
  </si>
  <si>
    <t>Repsol, Cepsa, Galp y BP cierran filas y calculan hasta 16.000 millones de inversión conjunta en España "en importante riesgo" por el 'impuestazo' energético</t>
  </si>
  <si>
    <t>No es sólo Repsol. Hay un cierre de filas entre los grandes grupos del sector nacionales y extranjeros. La Asociación Española de Operadores de Productos....</t>
  </si>
  <si>
    <t>Repsol, Cepsa, Galp and BP close ranks and estimate up to 16 billion in joint investment in Spain "at significant risk" due to the energy 'tax'</t>
  </si>
  <si>
    <t>It's not just Repsol. There is a closing of ranks between the large national and foreign groups in the sector. The Spanish Association of Product Operators....</t>
  </si>
  <si>
    <t>investment risk, energy tax</t>
  </si>
  <si>
    <t>riesgo de inversión, impuesto a la energía</t>
  </si>
  <si>
    <t>Negative as it signals large-scale financial uncertainty and policy conflicts.</t>
  </si>
  <si>
    <t>Unified sector threat.</t>
  </si>
  <si>
    <t>Amenaza del sector unificado.</t>
  </si>
  <si>
    <r>
      <rPr>
        <rFont val="Arial, sans-serif"/>
        <color rgb="FF1155CC"/>
        <sz val="9.0"/>
        <u/>
      </rPr>
      <t>Diari de Tarragona</t>
    </r>
    <r>
      <rPr>
        <rFont val="Arial, sans-serif"/>
        <color rgb="FF1155CC"/>
        <sz val="15.0"/>
        <u/>
      </rPr>
      <t>La petroquímica de Tarragona celebra el apoyo de la UE al almacén de CO2 de Repsol</t>
    </r>
    <r>
      <rPr>
        <rFont val="Arial, sans-serif"/>
        <color rgb="FF1155CC"/>
        <sz val="11.0"/>
        <u/>
      </rPr>
      <t>La Associació Empresarial Química de Tarragona (AEQT) mostró su satisfacción por la obtención de un nuevo apoyo de la Comisión Europea (CE) a su estra...</t>
    </r>
    <r>
      <rPr>
        <rFont val="Arial, sans-serif"/>
        <color rgb="FF1155CC"/>
        <sz val="12.0"/>
        <u/>
      </rPr>
      <t>.</t>
    </r>
    <r>
      <rPr>
        <rFont val="Arial, sans-serif"/>
        <color rgb="FF1155CC"/>
        <sz val="11.0"/>
        <u/>
      </rPr>
      <t>24 oct 2024</t>
    </r>
  </si>
  <si>
    <t>La petroquímica de Tarragona celebra el apoyo de la UE al almacén de CO2 de Repsol</t>
  </si>
  <si>
    <t>La Associació Empresarial Química de Tarragona (AEQT) mostró su satisfacción por la obtención de un nuevo apoyo de la Comisión Europea (CE) a su estra....</t>
  </si>
  <si>
    <t>The Tarragona petrochemical company celebrates the EU's support for Repsol's CO2 warehouse</t>
  </si>
  <si>
    <t>The Chemical Business Association of Tarragona (AEQT) showed its satisfaction for obtaining new support from the European Commission (EC) for its strategy....</t>
  </si>
  <si>
    <t>EU support, CO2 warehouse</t>
  </si>
  <si>
    <t>Apoyo de la UE, almacén de CO2</t>
  </si>
  <si>
    <t>Positive as it reinforces Repsol’s environmental efforts with EU backing.</t>
  </si>
  <si>
    <t>celebra, "apoyo"</t>
  </si>
  <si>
    <t>Positive EU collaboration.</t>
  </si>
  <si>
    <t>Colaboración positiva de la UE.</t>
  </si>
  <si>
    <r>
      <rPr>
        <rFont val="Arial, sans-serif"/>
        <color rgb="FF1155CC"/>
        <sz val="9.0"/>
        <u/>
      </rPr>
      <t>Estrategias de Inversión</t>
    </r>
    <r>
      <rPr>
        <rFont val="Arial, sans-serif"/>
        <color rgb="FF1155CC"/>
        <sz val="15.0"/>
        <u/>
      </rPr>
      <t>El Ibex 35 busca de nuevo los 11.900 puntos de la mano de ArcelorMittal y la petrolera Repsol</t>
    </r>
    <r>
      <rPr>
        <rFont val="Arial, sans-serif"/>
        <color rgb="FF1155CC"/>
        <sz val="11.0"/>
        <u/>
      </rPr>
      <t>Ibex 35. Subidas para el índice, que busca los 11.900 puntos tras las caídas iniciales. Valores alcistas: Repsol y ArcelorMittal.</t>
    </r>
    <r>
      <rPr>
        <rFont val="Arial, sans-serif"/>
        <color rgb="FF1155CC"/>
        <sz val="12.0"/>
        <u/>
      </rPr>
      <t>.</t>
    </r>
    <r>
      <rPr>
        <rFont val="Arial, sans-serif"/>
        <color rgb="FF1155CC"/>
        <sz val="11.0"/>
        <u/>
      </rPr>
      <t>24 oct 2024</t>
    </r>
  </si>
  <si>
    <t>El Ibex 35 busca de nuevo los 11.900 puntos de la mano de ArcelorMittal y la petrolera Repsol</t>
  </si>
  <si>
    <t>Subidas para el índice, que busca los 11.900 puntos tras las caídas iniciales. Valores alcistas: Repsol y ArcelorMittal.</t>
  </si>
  <si>
    <t>The Ibex 35 seeks 11,900 points again thanks to ArcelorMittal and the oil company Repsol</t>
  </si>
  <si>
    <t>Increases for the index, which seeks 11,900 points after the initial falls. Bullish values: Repsol and ArcelorMittal.</t>
  </si>
  <si>
    <t>Stock market fluctuations do not directly impact Repsol’s corporate image.</t>
  </si>
  <si>
    <t>Market data, neutral.</t>
  </si>
  <si>
    <t>Datos de mercado, neutrales.</t>
  </si>
  <si>
    <r>
      <rPr>
        <rFont val="Arial, sans-serif"/>
        <color rgb="FF1155CC"/>
        <sz val="9.0"/>
        <u/>
      </rPr>
      <t>Europa Press</t>
    </r>
    <r>
      <rPr>
        <rFont val="Arial, sans-serif"/>
        <color rgb="FF1155CC"/>
        <sz val="15.0"/>
        <u/>
      </rPr>
      <t>La totalidad de la plantilla de Navec en Puertollano secunda la huelga indefinida contra el ERE</t>
    </r>
    <r>
      <rPr>
        <rFont val="Arial, sans-serif"/>
        <color rgb="FF1155CC"/>
        <sz val="11.0"/>
        <u/>
      </rPr>
      <t>La totalidad de la plantilla de Navec en Puertollano (Ciudad Real), principal contratista en el complejo petroquímico de Repsol de la ciudad industrial,...</t>
    </r>
    <r>
      <rPr>
        <rFont val="Arial, sans-serif"/>
        <color rgb="FF1155CC"/>
        <sz val="12.0"/>
        <u/>
      </rPr>
      <t>.</t>
    </r>
    <r>
      <rPr>
        <rFont val="Arial, sans-serif"/>
        <color rgb="FF1155CC"/>
        <sz val="11.0"/>
        <u/>
      </rPr>
      <t>24 oct 2024</t>
    </r>
  </si>
  <si>
    <t>La totalidad de la plantilla de Navec en Puertollano secunda la huelga indefinida contra el ERE</t>
  </si>
  <si>
    <t>La totalidad de la plantilla de Navec en Puertollano secunda la huelga indefinida contra el ERE.</t>
  </si>
  <si>
    <t>The entire Navec workforce in Puertollano supports the indefinite strike against the ERE</t>
  </si>
  <si>
    <t>The entire Navec workforce in Puertollano supports the indefinite strike against the ERE.</t>
  </si>
  <si>
    <t>Negative as it highlights labor instability affecting Repsol’s supply chain.</t>
  </si>
  <si>
    <t>Full labor force opposition.</t>
  </si>
  <si>
    <t>Oposición total de la fuerza laboral.</t>
  </si>
  <si>
    <r>
      <rPr>
        <rFont val="Arial, sans-serif"/>
        <color rgb="FF1155CC"/>
        <sz val="9.0"/>
        <u/>
      </rPr>
      <t>elconfidencial.com</t>
    </r>
    <r>
      <rPr>
        <rFont val="Arial, sans-serif"/>
        <color rgb="FF1155CC"/>
        <sz val="15.0"/>
        <u/>
      </rPr>
      <t>Un señor del Ibex (por fin) levanta la voz al Gobierno</t>
    </r>
    <r>
      <rPr>
        <rFont val="Arial, sans-serif"/>
        <color rgb="FF1155CC"/>
        <sz val="11.0"/>
        <u/>
      </rPr>
      <t>Josu Jon Imaz, consejero delegado de Repsol, se ha enfrentado con solidez argumental a las políticas fiscales demagógicas del Gobierno en un ejercicio de...</t>
    </r>
    <r>
      <rPr>
        <rFont val="Arial, sans-serif"/>
        <color rgb="FF1155CC"/>
        <sz val="12.0"/>
        <u/>
      </rPr>
      <t>.</t>
    </r>
    <r>
      <rPr>
        <rFont val="Arial, sans-serif"/>
        <color rgb="FF1155CC"/>
        <sz val="11.0"/>
        <u/>
      </rPr>
      <t>24 oct 2024</t>
    </r>
  </si>
  <si>
    <t>Un señor del Ibex (por fin) levanta la voz al Gobierno</t>
  </si>
  <si>
    <t>Josu Jon Imaz, consejero delegado de Repsol, se ha enfrentado con solidez argumental a las políticas fiscales demagógicas del Gobierno en un ejercicio de....</t>
  </si>
  <si>
    <t>A man from the Ibex (finally) raises his voice to the Government</t>
  </si>
  <si>
    <t>Josu Jon Imaz, CEO of Repsol, has challenged the Government's demagogic fiscal policies with solid arguments in an exercise of...</t>
  </si>
  <si>
    <t>challenges Government, demagogic policies</t>
  </si>
  <si>
    <t>Desafíos al Gobierno, políticas demagógicas</t>
  </si>
  <si>
    <t>Negative as it highlights strong political tensions between Repsol and the government.</t>
  </si>
  <si>
    <t>Opinion, neutral.</t>
  </si>
  <si>
    <t>Opinión, neutral.</t>
  </si>
  <si>
    <r>
      <rPr>
        <rFont val="Arial, sans-serif"/>
        <color rgb="FF1155CC"/>
        <sz val="9.0"/>
        <u/>
      </rPr>
      <t>El Periódico de la Energía</t>
    </r>
    <r>
      <rPr>
        <rFont val="Arial, sans-serif"/>
        <color rgb="FF1155CC"/>
        <sz val="15.0"/>
        <u/>
      </rPr>
      <t>Montero admite que sin apoyo suficiente en el Congreso, el impuesto a energéticas y banca no podrá continuar</t>
    </r>
    <r>
      <rPr>
        <rFont val="Arial, sans-serif"/>
        <color rgb="FF1155CC"/>
        <sz val="11.0"/>
        <u/>
      </rPr>
      <t>Montero ha traslado la "vocación" del Gobierno de dar continuidad a los impuestos a las energéticas y a la banca, pero ha reconocido que no cuenta con apoyo...</t>
    </r>
    <r>
      <rPr>
        <rFont val="Arial, sans-serif"/>
        <color rgb="FF1155CC"/>
        <sz val="12.0"/>
        <u/>
      </rPr>
      <t>.</t>
    </r>
    <r>
      <rPr>
        <rFont val="Arial, sans-serif"/>
        <color rgb="FF1155CC"/>
        <sz val="11.0"/>
        <u/>
      </rPr>
      <t>24 oct 2024</t>
    </r>
  </si>
  <si>
    <t>Montero admite que sin apoyo suficiente en el Congreso, el impuesto a energéticas y banca no podrá continuar</t>
  </si>
  <si>
    <t>Montero ha traslado la "vocación" del Gobierno de dar continuidad a los impuestos a las energéticas y a la banca, pero ha reconocido que no cuenta con apoyo....</t>
  </si>
  <si>
    <t>Montero admits that without sufficient support in Congress, the energy and banking tax will not be able to continue</t>
  </si>
  <si>
    <t>Montero has conveyed the Government's "vocation" to continue taxes on energy companies and banks, but has acknowledged that it does not have support....</t>
  </si>
  <si>
    <t>tax continuation, Congress support</t>
  </si>
  <si>
    <t>continuación fiscal, apoyo al Congreso</t>
  </si>
  <si>
    <t>Slightly negative as it creates continued uncertainty about the tax’s impact on Repsol.</t>
  </si>
  <si>
    <t>Potential policy win for Repsol.</t>
  </si>
  <si>
    <t>Posible victoria política para Repsol.</t>
  </si>
  <si>
    <r>
      <rPr>
        <rFont val="Arial, sans-serif"/>
        <color rgb="FF1155CC"/>
        <sz val="9.0"/>
        <u/>
      </rPr>
      <t>EL PAÍS</t>
    </r>
    <r>
      <rPr>
        <rFont val="Arial, sans-serif"/>
        <color rgb="FF1155CC"/>
        <sz val="15.0"/>
        <u/>
      </rPr>
      <t>Hacienda busca blindar el impuesto a banca y energéticas con un nuevo diseño para evitar litigios</t>
    </r>
    <r>
      <rPr>
        <rFont val="Arial, sans-serif"/>
        <color rgb="FF1155CC"/>
        <sz val="11.0"/>
        <u/>
      </rPr>
      <t>El ministerio quiere que las empresas puedan minorar parte de la cuota con el impuesto de sociedades y así evitar la doble imposición.</t>
    </r>
    <r>
      <rPr>
        <rFont val="Arial, sans-serif"/>
        <color rgb="FF1155CC"/>
        <sz val="12.0"/>
        <u/>
      </rPr>
      <t>.</t>
    </r>
    <r>
      <rPr>
        <rFont val="Arial, sans-serif"/>
        <color rgb="FF1155CC"/>
        <sz val="11.0"/>
        <u/>
      </rPr>
      <t>24 oct 2024</t>
    </r>
  </si>
  <si>
    <t>Hacienda busca blindar el impuesto a banca y energéticas con un nuevo diseño para evitar litigios</t>
  </si>
  <si>
    <t>El ministerio quiere que las empresas puedan minorar parte de la cuota con el impuesto de sociedades y así evitar la doble imposición.</t>
  </si>
  <si>
    <t>The Treasury seeks to shield the banking and energy tax with a new design to avoid litigation</t>
  </si>
  <si>
    <t>The ministry wants companies to be able to reduce part of the corporate tax quota and thus avoid double taxation.</t>
  </si>
  <si>
    <t>shield tax, avoid litigation</t>
  </si>
  <si>
    <t>impuesto de escudo, evitar litigios</t>
  </si>
  <si>
    <t>Slightly negative as it suggests legal uncertainty around the tax affecting Repsol.</t>
  </si>
  <si>
    <t>Policy persistence negative.</t>
  </si>
  <si>
    <t>La persistencia de la política es negativa.</t>
  </si>
  <si>
    <r>
      <rPr>
        <rFont val="Arial, sans-serif"/>
        <color rgb="FF1155CC"/>
        <sz val="9.0"/>
        <u/>
      </rPr>
      <t>Energía A Debate</t>
    </r>
    <r>
      <rPr>
        <rFont val="Arial, sans-serif"/>
        <color rgb="FF1155CC"/>
        <sz val="15.0"/>
        <u/>
      </rPr>
      <t>Renuncia Repsol a parte de bloque en aguas profundas</t>
    </r>
    <r>
      <rPr>
        <rFont val="Arial, sans-serif"/>
        <color rgb="FF1155CC"/>
        <sz val="11.0"/>
        <u/>
      </rPr>
      <t>La empresa de origen español Repsol renunció a 47 por ciento del área contractual que posee en aguas profundas frente a las costas de Veracruz y Tabasco.</t>
    </r>
    <r>
      <rPr>
        <rFont val="Arial, sans-serif"/>
        <color rgb="FF1155CC"/>
        <sz val="12.0"/>
        <u/>
      </rPr>
      <t>.</t>
    </r>
    <r>
      <rPr>
        <rFont val="Arial, sans-serif"/>
        <color rgb="FF1155CC"/>
        <sz val="11.0"/>
        <u/>
      </rPr>
      <t>24 oct 2024</t>
    </r>
  </si>
  <si>
    <t>Energía A Debate</t>
  </si>
  <si>
    <t>Renuncia Repsol a parte de bloque en aguas profundas</t>
  </si>
  <si>
    <t>La empresa de origen español Repsol renunció a 47 por ciento del área contractual que posee en aguas profundas frente a las costas de Veracruz y Tabasco.</t>
  </si>
  <si>
    <t>Repsol renounces part of deepwater block</t>
  </si>
  <si>
    <t>The Spanish company Repsol gave up 47 percent of the contractual area it owns in deep waters off the coasts of Veracruz and Tabasco.</t>
  </si>
  <si>
    <t>renounces block, deepwater</t>
  </si>
  <si>
    <t>renuncia al bloque, aguas profundas</t>
  </si>
  <si>
    <t>Negative as it suggests reduced exploration efforts by Repsol.</t>
  </si>
  <si>
    <t>renuncia</t>
  </si>
  <si>
    <t>Strategic withdrawal.</t>
  </si>
  <si>
    <t>Retirada estratégica.</t>
  </si>
  <si>
    <r>
      <rPr>
        <rFont val="Arial, sans-serif"/>
        <color rgb="FF1155CC"/>
        <sz val="9.0"/>
        <u/>
      </rPr>
      <t>El Economista</t>
    </r>
    <r>
      <rPr>
        <rFont val="Arial, sans-serif"/>
        <color rgb="FF1155CC"/>
        <sz val="15.0"/>
        <u/>
      </rPr>
      <t>Repsol se alía con Sr. Mendrugo para la fabricación de cerveza</t>
    </r>
    <r>
      <rPr>
        <rFont val="Arial, sans-serif"/>
        <color rgb="FF1155CC"/>
        <sz val="11.0"/>
        <u/>
      </rPr>
      <t>Repsol acaba de firmar una alianza para avanzar en las medidas que la compañía está tomando para reforzar su compromiso con la economía ...</t>
    </r>
    <r>
      <rPr>
        <rFont val="Arial, sans-serif"/>
        <color rgb="FF1155CC"/>
        <sz val="12.0"/>
        <u/>
      </rPr>
      <t>.</t>
    </r>
    <r>
      <rPr>
        <rFont val="Arial, sans-serif"/>
        <color rgb="FF1155CC"/>
        <sz val="11.0"/>
        <u/>
      </rPr>
      <t>25 oct 2024</t>
    </r>
  </si>
  <si>
    <t>Repsol se alía con Sr. Mendrugo para la fabricación de cerveza</t>
  </si>
  <si>
    <t>Repsol acaba de firmar una alianza para avanzar en las medidas que la compañía está tomando para reforzar su compromiso con la economía ....</t>
  </si>
  <si>
    <t>Repsol partners with Mr. Mendrugo for the production of beer</t>
  </si>
  <si>
    <t>Repsol has just signed an alliance to advance the measures that the company is taking to reinforce its commitment to the economy....</t>
  </si>
  <si>
    <r>
      <rPr>
        <rFont val="Arial, sans-serif"/>
        <color rgb="FF1155CC"/>
        <sz val="9.0"/>
        <u/>
      </rPr>
      <t>El Confidencial</t>
    </r>
    <r>
      <rPr>
        <rFont val="Arial, sans-serif"/>
        <color rgb="FF1155CC"/>
        <sz val="15.0"/>
        <u/>
      </rPr>
      <t>Cepsa se une a Repsol: deja en 'stand by' sus inversiones en España por el 'impuestazo' y da prioridad a otros países</t>
    </r>
    <r>
      <rPr>
        <rFont val="Arial, sans-serif"/>
        <color rgb="FF1155CC"/>
        <sz val="11.0"/>
        <u/>
      </rPr>
      <t>Cepsa se une a Repsol en la presión al Gobierno para no convertir en permanente el 'impuestazo'. El consejo de la energética que controla Mubadala ha...</t>
    </r>
    <r>
      <rPr>
        <rFont val="Arial, sans-serif"/>
        <color rgb="FF1155CC"/>
        <sz val="12.0"/>
        <u/>
      </rPr>
      <t>.</t>
    </r>
    <r>
      <rPr>
        <rFont val="Arial, sans-serif"/>
        <color rgb="FF1155CC"/>
        <sz val="11.0"/>
        <u/>
      </rPr>
      <t>25 oct 2024</t>
    </r>
  </si>
  <si>
    <t>Cepsa se une a Repsol: deja en 'stand by' sus inversiones en España por el 'impuestazo' y da prioridad a otros países</t>
  </si>
  <si>
    <t>Cepsa se une a Repsol en la presión al Gobierno para no convertir en permanente el 'impuestazo'. El consejo de la energética que controla Mubadala ha....</t>
  </si>
  <si>
    <t>Cepsa joins Repsol: leaves its investments in Spain on standby due to the 'tax' and gives priority to other countries</t>
  </si>
  <si>
    <t>Cepsa joins Repsol in putting pressure on the Government not to make the 'tax' permanent. The board of the energy company that controls Mubadala has....</t>
  </si>
  <si>
    <t>leaves investments, standby due to tax</t>
  </si>
  <si>
    <t>deja inversiones, standby por impuestos</t>
  </si>
  <si>
    <t>Negative as it reinforces concerns of capital flight from Spain.</t>
  </si>
  <si>
    <t>Reinforces investment freeze narrative.</t>
  </si>
  <si>
    <t>Refuerza la narrativa del congelamiento de la inversión.</t>
  </si>
  <si>
    <r>
      <rPr>
        <rFont val="Arial, sans-serif"/>
        <color rgb="FF1155CC"/>
        <sz val="9.0"/>
        <u/>
      </rPr>
      <t>Cinco Días</t>
    </r>
    <r>
      <rPr>
        <rFont val="Arial, sans-serif"/>
        <color rgb="FF1155CC"/>
        <sz val="15.0"/>
        <u/>
      </rPr>
      <t>¿Son falsas las amenazas de Repsol y Cepsa contra el impuesto energético?</t>
    </r>
    <r>
      <rPr>
        <rFont val="Arial, sans-serif"/>
        <color rgb="FF1155CC"/>
        <sz val="11.0"/>
        <u/>
      </rPr>
      <t>Las petroleras exacerban su intención de frenar las inversiones verdes, pese a contar con el apoyo del PNV y Junts para evitar que se consolide el tributo.</t>
    </r>
    <r>
      <rPr>
        <rFont val="Arial, sans-serif"/>
        <color rgb="FF1155CC"/>
        <sz val="12.0"/>
        <u/>
      </rPr>
      <t>.</t>
    </r>
    <r>
      <rPr>
        <rFont val="Arial, sans-serif"/>
        <color rgb="FF1155CC"/>
        <sz val="11.0"/>
        <u/>
      </rPr>
      <t>25 oct 2024</t>
    </r>
  </si>
  <si>
    <t>¿Son falsas las amenazas de Repsol y Cepsa contra el impuesto energético?</t>
  </si>
  <si>
    <t>Las petroleras exacerban su intención de frenar las inversiones verdes, pese a contar con el apoyo del PNV y Junts para evitar que se consolide el tributo.</t>
  </si>
  <si>
    <t>Are Repsol and Cepsa's threats against the energy tax false?</t>
  </si>
  <si>
    <t>The oil companies exacerbate their intention to stop green investments, despite having the support of the PNV and Junts to prevent the tax from being consolidated.</t>
  </si>
  <si>
    <t>threats, stop green investments</t>
  </si>
  <si>
    <t>amenazas, detener las inversiones verdes</t>
  </si>
  <si>
    <t>Negative as it questions Repsol’s commitment to green projects amid tax disputes.</t>
  </si>
  <si>
    <t>amenazas</t>
  </si>
  <si>
    <t>Questions credibility.</t>
  </si>
  <si>
    <t>Cuestiona la credibilidad.</t>
  </si>
  <si>
    <r>
      <rPr>
        <rFont val="Arial, sans-serif"/>
        <color rgb="FF1155CC"/>
        <sz val="9.0"/>
        <u/>
      </rPr>
      <t>LaSexta</t>
    </r>
    <r>
      <rPr>
        <rFont val="Arial, sans-serif"/>
        <color rgb="FF1155CC"/>
        <sz val="15.0"/>
        <u/>
      </rPr>
      <t>Cepsa se une a Repsol y amenaza con retirar sus inversiones en España si se mantiene el impuesto a las energét</t>
    </r>
    <r>
      <rPr>
        <rFont val="Arial, sans-serif"/>
        <color rgb="FF1155CC"/>
        <sz val="11.0"/>
        <u/>
      </rPr>
      <t>La empresa energética se ha unido a la presión que ya ejerce Repsol y amenaza al Gobierno con retirar la inversión que tiene en España si se convierte en...</t>
    </r>
    <r>
      <rPr>
        <rFont val="Arial, sans-serif"/>
        <color rgb="FF1155CC"/>
        <sz val="12.0"/>
        <u/>
      </rPr>
      <t>.</t>
    </r>
    <r>
      <rPr>
        <rFont val="Arial, sans-serif"/>
        <color rgb="FF1155CC"/>
        <sz val="11.0"/>
        <u/>
      </rPr>
      <t>25 oct 2024</t>
    </r>
  </si>
  <si>
    <t>Cepsa se une a Repsol y amenaza con retirar sus inversiones en España si se mantiene el impuesto a las energét</t>
  </si>
  <si>
    <t>La empresa energética se ha unido a la presión que ya ejerce Repsol y amenaza al Gobierno con retirar la inversión que tiene en España si se convierte en....</t>
  </si>
  <si>
    <t>Cepsa joins Repsol and threatens to withdraw its investments in Spain if the energy tax is maintained</t>
  </si>
  <si>
    <t>The energy company has joined the pressure already exerted by Repsol and threatens the Government with withdrawing the investment it has in Spain if it becomes...</t>
  </si>
  <si>
    <t>threatens, withdraw investments</t>
  </si>
  <si>
    <t>amenaza, retirar inversiones</t>
  </si>
  <si>
    <t>Negative as it emphasizes large-scale investment risk due to taxation.</t>
  </si>
  <si>
    <t>Echoes negative stance.</t>
  </si>
  <si>
    <t>Se hace eco de una postura negativa.</t>
  </si>
  <si>
    <r>
      <rPr>
        <rFont val="Arial, sans-serif"/>
        <color rgb="FF1155CC"/>
        <sz val="9.0"/>
        <u/>
      </rPr>
      <t>OkDiario</t>
    </r>
    <r>
      <rPr>
        <rFont val="Arial, sans-serif"/>
        <color rgb="FF1155CC"/>
        <sz val="15.0"/>
        <u/>
      </rPr>
      <t>Cepsa sigue a Repsol: Amenaza con sacar de España las inversiones ante el impuesto extraordinario</t>
    </r>
    <r>
      <rPr>
        <rFont val="Arial, sans-serif"/>
        <color rgb="FF1155CC"/>
        <sz val="11.0"/>
        <u/>
      </rPr>
      <t>Cepsa ha decidido poner en stand-by sus inversiones en nuevos proyectos de hidrógeno en España debido a la incertidumbre regulatoria y fiscal.</t>
    </r>
    <r>
      <rPr>
        <rFont val="Arial, sans-serif"/>
        <color rgb="FF1155CC"/>
        <sz val="12.0"/>
        <u/>
      </rPr>
      <t>.</t>
    </r>
    <r>
      <rPr>
        <rFont val="Arial, sans-serif"/>
        <color rgb="FF1155CC"/>
        <sz val="11.0"/>
        <u/>
      </rPr>
      <t>25 oct 2024</t>
    </r>
  </si>
  <si>
    <t>Cepsa sigue a Repsol: Amenaza con sacar de España las inversiones ante el impuesto extraordinario</t>
  </si>
  <si>
    <t>Cepsa ha decidido poner en stand-by sus inversiones en nuevos proyectos de hidrógeno en España debido a la incertidumbre regulatoria y fiscal.</t>
  </si>
  <si>
    <t>Cepsa follows Repsol: It threatens to remove investments from Spain due to the extraordinary tax</t>
  </si>
  <si>
    <t>Cepsa has decided to put its investments in new hydrogen projects in Spain on stand-by due to regulatory and fiscal uncertainty.</t>
  </si>
  <si>
    <t>threatens, remove investments</t>
  </si>
  <si>
    <t>amenaza, quita inversiones</t>
  </si>
  <si>
    <t>Negative as it indicates further weakening of investment confidence.</t>
  </si>
  <si>
    <t>Repeats threat.</t>
  </si>
  <si>
    <t>Se repite amenaza.</t>
  </si>
  <si>
    <r>
      <rPr>
        <rFont val="Arial, sans-serif"/>
        <color rgb="FF1155CC"/>
        <sz val="9.0"/>
        <u/>
      </rPr>
      <t>El Nacional.cat</t>
    </r>
    <r>
      <rPr>
        <rFont val="Arial, sans-serif"/>
        <color rgb="FF1155CC"/>
        <sz val="15.0"/>
        <u/>
      </rPr>
      <t>Cepsa se suma a Repsol y congela inversiones por el “impuestazo”</t>
    </r>
    <r>
      <rPr>
        <rFont val="Arial, sans-serif"/>
        <color rgb="FF1155CC"/>
        <sz val="11.0"/>
        <u/>
      </rPr>
      <t>Cepsa se suma a Repsol y acuerda congelar una inversión por valor de 3.000 millones de euros ligada a la energía verde en España, hasta que el gobierno...</t>
    </r>
    <r>
      <rPr>
        <rFont val="Arial, sans-serif"/>
        <color rgb="FF1155CC"/>
        <sz val="12.0"/>
        <u/>
      </rPr>
      <t>.</t>
    </r>
    <r>
      <rPr>
        <rFont val="Arial, sans-serif"/>
        <color rgb="FF1155CC"/>
        <sz val="11.0"/>
        <u/>
      </rPr>
      <t>25 oct 2024</t>
    </r>
  </si>
  <si>
    <t>Cepsa se suma a Repsol y congela inversiones por el “impuestazo”</t>
  </si>
  <si>
    <t>Cepsa se suma a Repsol y acuerda congelar una inversión por valor de 3.000 millones de euros ligada a la energía verde en España, hasta que el gobierno....</t>
  </si>
  <si>
    <t>Cepsa joins Repsol and freezes investments due to the “tax”</t>
  </si>
  <si>
    <t>Cepsa joins Repsol and agrees to freeze an investment worth 3 billion euros linked to green energy in Spain, until the government...</t>
  </si>
  <si>
    <t>freezes investments, green energy</t>
  </si>
  <si>
    <t>congela inversiones, energía verde</t>
  </si>
  <si>
    <t>Negative as it suggests potential stagnation of green projects due to tax disputes.</t>
  </si>
  <si>
    <t>congela</t>
  </si>
  <si>
    <t>Unified sector action.</t>
  </si>
  <si>
    <t>Acción sectorial unificada.</t>
  </si>
  <si>
    <r>
      <rPr>
        <rFont val="Arial, sans-serif"/>
        <color rgb="FF1155CC"/>
        <sz val="9.0"/>
        <u/>
      </rPr>
      <t>Consenso del Mercado</t>
    </r>
    <r>
      <rPr>
        <rFont val="Arial, sans-serif"/>
        <color rgb="FF1155CC"/>
        <sz val="15.0"/>
        <u/>
      </rPr>
      <t>Noticias Ibex 35 La AOP, de la que forma parte Repsol, contra el Gobierno y su intención de mantener el impuesto a las compañías energéticas</t>
    </r>
    <r>
      <rPr>
        <rFont val="Arial, sans-serif"/>
        <color rgb="FF1155CC"/>
        <sz val="11.0"/>
        <u/>
      </rPr>
      <t>Link Securities | La Asociación de Operadores Petrolíferos (AOP), patronal que engloba a las mayores petroleras de España (Repsol (REP); Cepsa, BP, Galp,...</t>
    </r>
    <r>
      <rPr>
        <rFont val="Arial, sans-serif"/>
        <color rgb="FF1155CC"/>
        <sz val="12.0"/>
        <u/>
      </rPr>
      <t>.</t>
    </r>
    <r>
      <rPr>
        <rFont val="Arial, sans-serif"/>
        <color rgb="FF1155CC"/>
        <sz val="11.0"/>
        <u/>
      </rPr>
      <t>25 oct 2024</t>
    </r>
  </si>
  <si>
    <t>Link Securities</t>
  </si>
  <si>
    <t>La AOP, de la que forma parte Repsol, contra el Gobierno y su intención de mantener el impuesto a las compañías energéticas</t>
  </si>
  <si>
    <t>La Asociación de Operadores Petrolíferos (AOP), patronal que engloba a las mayores petroleras de España (Repsol (REP); Cepsa, BP, Galp,....</t>
  </si>
  <si>
    <t>The AOP, of which Repsol is a part, against the Government and its intention to maintain the tax on energy companies</t>
  </si>
  <si>
    <t>The Association of Petroleum Operators (AOP), an association that includes the largest oil companies in Spain (Repsol (REP); Cepsa, BP, Galp,....</t>
  </si>
  <si>
    <t>against tax, AOP opposition</t>
  </si>
  <si>
    <t>contra los impuestos, oposición AOP</t>
  </si>
  <si>
    <t>Negative as it highlights industry-wide resistance to the government’s tax plan.</t>
  </si>
  <si>
    <t>contra</t>
  </si>
  <si>
    <t>Industry-wide opposition.</t>
  </si>
  <si>
    <t>Oposición de toda la industria.</t>
  </si>
  <si>
    <r>
      <rPr>
        <rFont val="Arial, sans-serif"/>
        <color rgb="FF1155CC"/>
        <sz val="9.0"/>
        <u/>
      </rPr>
      <t>MiCiudadReal.es</t>
    </r>
    <r>
      <rPr>
        <rFont val="Arial, sans-serif"/>
        <color rgb="FF1155CC"/>
        <sz val="15.0"/>
        <u/>
      </rPr>
      <t>El juzgado respalda la huelga indefinida de los trabajadores de Repsol Lubricantes y Asfaltos en Puertollano y las partes se aprestan para mediación</t>
    </r>
    <r>
      <rPr>
        <rFont val="Arial, sans-serif"/>
        <color rgb="FF1155CC"/>
        <sz val="11.0"/>
        <u/>
      </rPr>
      <t>El Juzgado de lo Social número 3 de Ciudad Real ha desestimado la petición de adopción de medidas cautelares solicitada por Repsol contra la convocatoria de...</t>
    </r>
    <r>
      <rPr>
        <rFont val="Arial, sans-serif"/>
        <color rgb="FF1155CC"/>
        <sz val="12.0"/>
        <u/>
      </rPr>
      <t>.</t>
    </r>
    <r>
      <rPr>
        <rFont val="Arial, sans-serif"/>
        <color rgb="FF1155CC"/>
        <sz val="11.0"/>
        <u/>
      </rPr>
      <t>25 oct 2024</t>
    </r>
  </si>
  <si>
    <t>El juzgado respalda la huelga indefinida de los trabajadores de Repsol Lubricantes y Asfaltos en Puertollano y las partes se aprestan para mediación</t>
  </si>
  <si>
    <t>El Juzgado de lo Social número 3 de Ciudad Real ha desestimado la petición de adopción de medidas cautelares solicitada por Repsol contra la convocatoria de....</t>
  </si>
  <si>
    <t>The court supports the indefinite strike of Repsol Lubricantes y Asfaltos workers in Puertollano and the parties are preparing for mediation</t>
  </si>
  <si>
    <t>The Social Court number 3 of Ciudad Real has rejected the request for the adoption of precautionary measures requested by Repsol against the call for...</t>
  </si>
  <si>
    <t>strike, court supports, mediation</t>
  </si>
  <si>
    <t>huelga, apoyos judiciales, mediación</t>
  </si>
  <si>
    <t>Negative as it highlights legal and labor disputes affecting Repsol.</t>
  </si>
  <si>
    <t>Legal support for labor unrest.</t>
  </si>
  <si>
    <t>Apoyo jurídico al malestar laboral.</t>
  </si>
  <si>
    <r>
      <rPr>
        <rFont val="Arial, sans-serif"/>
        <color rgb="FF1155CC"/>
        <sz val="9.0"/>
        <u/>
      </rPr>
      <t>Cadena SER</t>
    </r>
    <r>
      <rPr>
        <rFont val="Arial, sans-serif"/>
        <color rgb="FF1155CC"/>
        <sz val="15.0"/>
        <u/>
      </rPr>
      <t>La juez no dicta medidas cautelares y sigue adelante la huelga en RLESA Puertollano</t>
    </r>
    <r>
      <rPr>
        <rFont val="Arial, sans-serif"/>
        <color rgb="FF1155CC"/>
        <sz val="11.0"/>
        <u/>
      </rPr>
      <t>Puertollano. La huelga indefinida que los trabajadores de Repsol Lubricantes y Asfaltos de Puertollano, la mayor planta de producción de lubricantes Repsol...</t>
    </r>
    <r>
      <rPr>
        <rFont val="Arial, sans-serif"/>
        <color rgb="FF1155CC"/>
        <sz val="12.0"/>
        <u/>
      </rPr>
      <t>.</t>
    </r>
    <r>
      <rPr>
        <rFont val="Arial, sans-serif"/>
        <color rgb="FF1155CC"/>
        <sz val="11.0"/>
        <u/>
      </rPr>
      <t>25 oct 2024</t>
    </r>
  </si>
  <si>
    <t>La juez no dicta medidas cautelares y sigue adelante la huelga en RLESA Puertollano</t>
  </si>
  <si>
    <t>La huelga indefinida que los trabajadores de Repsol Lubricantes y Asfaltos de Puertollano, la mayor planta de producción de lubricantes Repsol....</t>
  </si>
  <si>
    <t>The judge does not issue precautionary measures and the strike at RLESA Puertollano continues</t>
  </si>
  <si>
    <t>The indefinite strike that the workers of Repsol Lubricantes y Asfaltos de Puertollano, the largest production plant for Repsol lubricants...</t>
  </si>
  <si>
    <t>strike, judge decision</t>
  </si>
  <si>
    <t>huelga, decisión del juez</t>
  </si>
  <si>
    <t>Negative due to ongoing labor unrest disrupting Repsol’s operations.</t>
  </si>
  <si>
    <t>Labor conflict continues.</t>
  </si>
  <si>
    <t>El conflicto laboral continúa.</t>
  </si>
  <si>
    <r>
      <rPr>
        <rFont val="Arial, sans-serif"/>
        <color rgb="FF1155CC"/>
        <sz val="9.0"/>
        <u/>
      </rPr>
      <t>infoSocuéllamos</t>
    </r>
    <r>
      <rPr>
        <rFont val="Arial, sans-serif"/>
        <color rgb="FF1155CC"/>
        <sz val="15.0"/>
        <u/>
      </rPr>
      <t>EL YUGO UD SOCUÉLLAMOS FIRMA UN CONVENIO CON LA EMPRESA 'REPSOL DTBO'</t>
    </r>
    <r>
      <rPr>
        <rFont val="Arial, sans-serif"/>
        <color rgb="FF1155CC"/>
        <sz val="11.0"/>
        <u/>
      </rPr>
      <t>El Yugo UD Socuéllamos firma un convenio de patrimonio con Repsol DTBO La mañana del jueves 24 de octubre se ha llevado a cabo la firma del convenio de...</t>
    </r>
    <r>
      <rPr>
        <rFont val="Arial, sans-serif"/>
        <color rgb="FF1155CC"/>
        <sz val="12.0"/>
        <u/>
      </rPr>
      <t>.</t>
    </r>
    <r>
      <rPr>
        <rFont val="Arial, sans-serif"/>
        <color rgb="FF1155CC"/>
        <sz val="11.0"/>
        <u/>
      </rPr>
      <t>25 oct 2024</t>
    </r>
  </si>
  <si>
    <t>EL YUGO UD SOCUÉLLAMOS</t>
  </si>
  <si>
    <t>EL YUGO UD SOCUÉLLAMOS FIRMA UN CONVENIO CON LA EMPRESA 'REPSOL DTBO'</t>
  </si>
  <si>
    <t>El Yugo UD Socuéllamos firma un convenio de patrimonio con Repsol DTBO. La mañana del jueves 24 de octubre se ha llevado a cabo la firma del convenio de....</t>
  </si>
  <si>
    <t>EL YUGO UD SOCUÉLLAMOS SIGNS AN AGREEMENT WITH THE COMPANY 'REPSOL DTBO'</t>
  </si>
  <si>
    <t>Yugo UD Socuéllamos signs a heritage agreement with Repsol DTBO. On the morning of Thursday, October 24, the signing of the agreement of...</t>
  </si>
  <si>
    <r>
      <rPr>
        <rFont val="Arial, sans-serif"/>
        <color rgb="FF1155CC"/>
        <sz val="9.0"/>
        <u/>
      </rPr>
      <t>Guía Repsol</t>
    </r>
    <r>
      <rPr>
        <rFont val="Arial, sans-serif"/>
        <color rgb="FF1155CC"/>
        <sz val="15.0"/>
        <u/>
      </rPr>
      <t>¿Cómo aprende un niño a identificar setas?</t>
    </r>
    <r>
      <rPr>
        <rFont val="Arial, sans-serif"/>
        <color rgb="FF1155CC"/>
        <sz val="11.0"/>
        <u/>
      </rPr>
      <t>Los más pequeños se convertirán en expertos en setas! Taller infantil de micología en Soria para aprender a identificarlas de forma segura.</t>
    </r>
    <r>
      <rPr>
        <rFont val="Arial, sans-serif"/>
        <color rgb="FF1155CC"/>
        <sz val="12.0"/>
        <u/>
      </rPr>
      <t>.</t>
    </r>
    <r>
      <rPr>
        <rFont val="Arial, sans-serif"/>
        <color rgb="FF1155CC"/>
        <sz val="11.0"/>
        <u/>
      </rPr>
      <t>25 oct 2024</t>
    </r>
  </si>
  <si>
    <t>¿Cómo aprende un niño a identificar setas?</t>
  </si>
  <si>
    <t>Los más pequeños se convertirán en expertos en setas! Taller infantil de micología en Soria para aprender a identificarlas de forma segura.</t>
  </si>
  <si>
    <t>How does a child learn to identify mushrooms?</t>
  </si>
  <si>
    <t>The little ones will become mushroom experts! Children's mycology workshop in Soria to learn to identify them safely.</t>
  </si>
  <si>
    <r>
      <rPr>
        <rFont val="Arial, sans-serif"/>
        <color rgb="FF1155CC"/>
        <sz val="9.0"/>
        <u/>
      </rPr>
      <t>heraldo.es</t>
    </r>
    <r>
      <rPr>
        <rFont val="Arial, sans-serif"/>
        <color rgb="FF1155CC"/>
        <sz val="15.0"/>
        <u/>
      </rPr>
      <t>El restaurante de carretera en Zaragoza con premio Repsol para comer de lujo en mitad del viaje</t>
    </r>
    <r>
      <rPr>
        <rFont val="Arial, sans-serif"/>
        <color rgb="FF1155CC"/>
        <sz val="11.0"/>
        <u/>
      </rPr>
      <t>En la provincia zaragozana hay muy buenas opciones gastronómicas para que los viajeros se detengan a descansar en mitad de la ruta y que además son motivo...</t>
    </r>
    <r>
      <rPr>
        <rFont val="Arial, sans-serif"/>
        <color rgb="FF1155CC"/>
        <sz val="12.0"/>
        <u/>
      </rPr>
      <t>.</t>
    </r>
    <r>
      <rPr>
        <rFont val="Arial, sans-serif"/>
        <color rgb="FF1155CC"/>
        <sz val="11.0"/>
        <u/>
      </rPr>
      <t>25 oct 2024</t>
    </r>
  </si>
  <si>
    <t>El restaurante de carretera en Zaragoza con premio Repsol para comer de lujo en mitad del viaje</t>
  </si>
  <si>
    <t>En la provincia zaragozana hay muy buenas opciones gastronómicas para que los viajeros se detengan a descansar en mitad de la ruta y que además son motivo....</t>
  </si>
  <si>
    <t>The roadside restaurant in Zaragoza with a Repsol award for luxurious dining in the middle of the trip</t>
  </si>
  <si>
    <t>In the province of Zaragoza there are very good gastronomic options for travelers to stop to rest in the middle of the route and which are also a reason...</t>
  </si>
  <si>
    <r>
      <rPr>
        <rFont val="Arial, sans-serif"/>
        <color rgb="FF1155CC"/>
        <sz val="9.0"/>
        <u/>
      </rPr>
      <t>Bolsamania</t>
    </r>
    <r>
      <rPr>
        <rFont val="Arial, sans-serif"/>
        <color rgb="FF1155CC"/>
        <sz val="15.0"/>
        <u/>
      </rPr>
      <t>Consultorio de análisis técnico: Bankinter, Rovi, BBVA, Acerinox, Repsol, CaixaBank, Nvidia...</t>
    </r>
    <r>
      <rPr>
        <rFont val="Arial, sans-serif"/>
        <color rgb="FF1155CC"/>
        <sz val="11.0"/>
        <u/>
      </rPr>
      <t>A continuación, damos respuesta a los valores por los que más han preguntado este jueves a César Nuez, analista técnico de 'Bolsamanía', que pone bajo la...</t>
    </r>
    <r>
      <rPr>
        <rFont val="Arial, sans-serif"/>
        <color rgb="FF1155CC"/>
        <sz val="12.0"/>
        <u/>
      </rPr>
      <t>.</t>
    </r>
    <r>
      <rPr>
        <rFont val="Arial, sans-serif"/>
        <color rgb="FF1155CC"/>
        <sz val="11.0"/>
        <u/>
      </rPr>
      <t>25 oct 2024</t>
    </r>
  </si>
  <si>
    <t>Consultorio de análisis técnico: Bankinter, Rovi, BBVA, Acerinox, Repsol, CaixaBank, Nvidia...</t>
  </si>
  <si>
    <t>A continuación, damos respuesta a los valores por los que más han preguntado este jueves a César Nuez, analista técnico de 'Bolsamanía', que pone bajo la....</t>
  </si>
  <si>
    <t>Technical analysis consultancy: Bankinter, Rovi, BBVA, Acerinox, Repsol, CaixaBank, Nvidia...</t>
  </si>
  <si>
    <t>Below, we answer the values ​​that César Nuez, technical analyst at 'Bolsamanía', was asked about most this Thursday, which he puts under the...</t>
  </si>
  <si>
    <t>Stock market analysis does not directly impact Repsol’s corporate image.</t>
  </si>
  <si>
    <t>Financial analysis.</t>
  </si>
  <si>
    <t>Análisis financiero.</t>
  </si>
  <si>
    <r>
      <rPr>
        <rFont val="Arial, sans-serif"/>
        <color rgb="FF1155CC"/>
        <sz val="9.0"/>
        <u/>
      </rPr>
      <t>El Cronista</t>
    </r>
    <r>
      <rPr>
        <rFont val="Arial, sans-serif"/>
        <color rgb="FF1155CC"/>
        <sz val="15.0"/>
        <u/>
      </rPr>
      <t>Repsol: así abre la cotización hoy viernes 25 de octubre, ¿cuánto rinden los dividendos?</t>
    </r>
    <r>
      <rPr>
        <rFont val="Arial, sans-serif"/>
        <color rgb="FF1155CC"/>
        <sz val="11.0"/>
        <u/>
      </rPr>
      <t>En la apertura de mercados de este viernes, 25 de octubre de 2024, en España, las acciones de la compañía de petróleo, gas y combustibles consumibles Repsol...</t>
    </r>
    <r>
      <rPr>
        <rFont val="Arial, sans-serif"/>
        <color rgb="FF1155CC"/>
        <sz val="12.0"/>
        <u/>
      </rPr>
      <t>.</t>
    </r>
    <r>
      <rPr>
        <rFont val="Arial, sans-serif"/>
        <color rgb="FF1155CC"/>
        <sz val="11.0"/>
        <u/>
      </rPr>
      <t>25 oct 2024</t>
    </r>
  </si>
  <si>
    <t>Repsol: así abre la cotización hoy viernes 25 de octubre, ¿cuánto rinden los dividendos?</t>
  </si>
  <si>
    <t>En la apertura de mercados de este viernes, 25 de octubre de 2024, en España, las acciones de la compañía de petróleo, gas y combustibles consumibles Repsol....</t>
  </si>
  <si>
    <t>Repsol: this is how the price opens today, Friday, October 25, how much do the dividends yield?</t>
  </si>
  <si>
    <t>At the market opening this Friday, October 25, 2024, in Spain, the shares of the oil, gas and consumable fuels company Repsol...</t>
  </si>
  <si>
    <t>Market data.</t>
  </si>
  <si>
    <t>Datos de mercado.</t>
  </si>
  <si>
    <r>
      <rPr>
        <rFont val="Arial, sans-serif"/>
        <color rgb="FF1155CC"/>
        <sz val="9.0"/>
        <u/>
      </rPr>
      <t>Box Repsol</t>
    </r>
    <r>
      <rPr>
        <rFont val="Arial, sans-serif"/>
        <color rgb="FF1155CC"/>
        <sz val="15.0"/>
        <u/>
      </rPr>
      <t>Resultados de los entrenamientos del GP de Tailandia de MotoGP</t>
    </r>
    <r>
      <rPr>
        <rFont val="Arial, sans-serif"/>
        <color rgb="FF1155CC"/>
        <sz val="11.0"/>
        <u/>
      </rPr>
      <t>Mejor tiempo para Marc Márquez en la Practice, con Jorge Martín, Enea Bastianini y 'Pecco' Bagnaia tras su estela. Luca Marini, viernes, Tailandia (móvil)...</t>
    </r>
    <r>
      <rPr>
        <rFont val="Arial, sans-serif"/>
        <color rgb="FF1155CC"/>
        <sz val="12.0"/>
        <u/>
      </rPr>
      <t>.</t>
    </r>
    <r>
      <rPr>
        <rFont val="Arial, sans-serif"/>
        <color rgb="FF1155CC"/>
        <sz val="11.0"/>
        <u/>
      </rPr>
      <t>25 oct 2024</t>
    </r>
  </si>
  <si>
    <t>Resultados de los entrenamientos del GP de Tailandia de MotoGP</t>
  </si>
  <si>
    <t>Mejor tiempo para Marc Márquez en la Practice, con Jorge Martín, Enea Bastianini y 'Pecco' Bagnaia tras su estela.</t>
  </si>
  <si>
    <t>MotoGP Thai GP practice results</t>
  </si>
  <si>
    <t>Best time for Marc Márquez in Practice, with Jorge Martín, Enea Bastianini and 'Pecco' Bagnaia in his wake.</t>
  </si>
  <si>
    <r>
      <rPr>
        <rFont val="Arial, sans-serif"/>
        <color rgb="FF1155CC"/>
        <sz val="9.0"/>
        <u/>
      </rPr>
      <t>Forbes España</t>
    </r>
    <r>
      <rPr>
        <rFont val="Arial, sans-serif"/>
        <color rgb="FF1155CC"/>
        <sz val="15.0"/>
        <u/>
      </rPr>
      <t>Lucía Gutiérrez, la mejor chef más joven de España: propietaria, visionaria y líder destacada en la Guía Repsol</t>
    </r>
    <r>
      <rPr>
        <rFont val="Arial, sans-serif"/>
        <color rgb="FF1155CC"/>
        <sz val="11.0"/>
        <u/>
      </rPr>
      <t>Lucía Gutiérrez tiene 22 años y es la mejor chef más joven de España. Propietaria del restaurante Lur, hablamos con ella sobre su iniciativa y su...</t>
    </r>
    <r>
      <rPr>
        <rFont val="Arial, sans-serif"/>
        <color rgb="FF1155CC"/>
        <sz val="12.0"/>
        <u/>
      </rPr>
      <t>.</t>
    </r>
    <r>
      <rPr>
        <rFont val="Arial, sans-serif"/>
        <color rgb="FF1155CC"/>
        <sz val="11.0"/>
        <u/>
      </rPr>
      <t>25 oct 2024</t>
    </r>
  </si>
  <si>
    <t>Lucía Gutiérrez, la mejor chef más joven de España: propietaria, visionaria y líder destacada en la Guía Repsol</t>
  </si>
  <si>
    <t>Lucía Gutiérrez tiene 22 años y es la mejor chef más joven de España. Propietaria del restaurante Lur, hablamos con ella sobre su iniciativa y su....</t>
  </si>
  <si>
    <t>Lucía Gutiérrez, the youngest best chef in Spain: owner, visionary and notable leader in the Repsol Guide</t>
  </si>
  <si>
    <t>Lucía Gutiérrez is 22 years old and is the youngest best chef in Spain. Owner of the Lur restaurant, we spoke with her about her initiative and her....</t>
  </si>
  <si>
    <r>
      <rPr>
        <rFont val="Arial, sans-serif"/>
        <color rgb="FF1155CC"/>
        <sz val="9.0"/>
        <u/>
      </rPr>
      <t>Guía Repsol</t>
    </r>
    <r>
      <rPr>
        <rFont val="Arial, sans-serif"/>
        <color rgb="FF1155CC"/>
        <sz val="15.0"/>
        <u/>
      </rPr>
      <t>Desayunos de autor en Plaza de Abastos en Santiago de Compostela</t>
    </r>
    <r>
      <rPr>
        <rFont val="Arial, sans-serif"/>
        <color rgb="FF1155CC"/>
        <sz val="11.0"/>
        <u/>
      </rPr>
      <t>Son un canto a Galicia, mirando a la iglesia de San Fiz y junto al mercado más emblemático. En 'A Café' compran el grano de café en verde, colaboran con...</t>
    </r>
    <r>
      <rPr>
        <rFont val="Arial, sans-serif"/>
        <color rgb="FF1155CC"/>
        <sz val="12.0"/>
        <u/>
      </rPr>
      <t>.</t>
    </r>
    <r>
      <rPr>
        <rFont val="Arial, sans-serif"/>
        <color rgb="FF1155CC"/>
        <sz val="11.0"/>
        <u/>
      </rPr>
      <t>25 oct 2024</t>
    </r>
  </si>
  <si>
    <t>Desayunos de autor en Plaza de Abastos en Santiago de Compostela</t>
  </si>
  <si>
    <t>Son un canto a Galicia, mirando a la iglesia de San Fiz y junto al mercado más emblemático. En 'A Café' compran el grano de café en verde, colaboran con....</t>
  </si>
  <si>
    <t>Signature breakfasts at Plaza de Abastos in Santiago de Compostela</t>
  </si>
  <si>
    <t>They are a hymn to Galicia, looking at the church of San Fiz and next to the most emblematic market. At 'A Café' they buy green coffee beans, they collaborate with...</t>
  </si>
  <si>
    <r>
      <rPr>
        <rFont val="Arial, sans-serif"/>
        <color rgb="FF1155CC"/>
        <sz val="9.0"/>
        <u/>
      </rPr>
      <t>El Comercio Perú</t>
    </r>
    <r>
      <rPr>
        <rFont val="Arial, sans-serif"/>
        <color rgb="FF1155CC"/>
        <sz val="15.0"/>
        <u/>
      </rPr>
      <t>Semillero Repsol Fútbol Femenino: Con doce equipos Sub 13, conoce todos los detalles del torneo que empieza este sábado</t>
    </r>
    <r>
      <rPr>
        <rFont val="Arial, sans-serif"/>
        <color rgb="FF1155CC"/>
        <sz val="11.0"/>
        <u/>
      </rPr>
      <t>El Comercio e Igma Sports con patrocinio de Repsol organizan el Semillero de Fútbol Femenino. Sé parte de este importante evento donde las chicas serán las...</t>
    </r>
    <r>
      <rPr>
        <rFont val="Arial, sans-serif"/>
        <color rgb="FF1155CC"/>
        <sz val="12.0"/>
        <u/>
      </rPr>
      <t>.</t>
    </r>
    <r>
      <rPr>
        <rFont val="Arial, sans-serif"/>
        <color rgb="FF1155CC"/>
        <sz val="11.0"/>
        <u/>
      </rPr>
      <t>25 oct 2024</t>
    </r>
  </si>
  <si>
    <t>Semillero Repsol Fútbol Femenino: Con doce equipos Sub 13, conoce todos los detalles del torneo que empieza este sábado</t>
  </si>
  <si>
    <t>El Comercio e Igma Sports con patrocinio de Repsol organizan el Semillero de Fútbol Femenino. Sé parte de este importante evento donde las chicas serán las....</t>
  </si>
  <si>
    <t>Repsol Women's Soccer Hotbed: With twelve Under 13 teams, know all the details of the tournament that begins this Saturday</t>
  </si>
  <si>
    <t>El Comercio and Igma Sports, sponsored by Repsol, organize the Women's Soccer Hotbed. Be part of this important event where the girls will be the...</t>
  </si>
  <si>
    <r>
      <rPr>
        <rFont val="Arial, sans-serif"/>
        <color rgb="FF1155CC"/>
        <sz val="9.0"/>
        <u/>
      </rPr>
      <t>Universidad Juárez Autónoma de Tabasco</t>
    </r>
    <r>
      <rPr>
        <rFont val="Arial, sans-serif"/>
        <color rgb="FF1155CC"/>
        <sz val="15.0"/>
        <u/>
      </rPr>
      <t>Apuestan UJAT, SLB y REPSOL a la educación ambiental para el cuidado de la Reserva de la Biosfera de Wanha ´</t>
    </r>
    <r>
      <rPr>
        <rFont val="Arial, sans-serif"/>
        <color rgb="FF1155CC"/>
        <sz val="11.0"/>
        <u/>
      </rPr>
      <t>En beneficio de más de seiscientos alumnos de 13 escuelas del nivel básico del municipio de Balancán, la Universidad Juárez Autónoma de Tabasco (UJAT),...</t>
    </r>
    <r>
      <rPr>
        <rFont val="Arial, sans-serif"/>
        <color rgb="FF1155CC"/>
        <sz val="12.0"/>
        <u/>
      </rPr>
      <t>.</t>
    </r>
    <r>
      <rPr>
        <rFont val="Arial, sans-serif"/>
        <color rgb="FF1155CC"/>
        <sz val="11.0"/>
        <u/>
      </rPr>
      <t>25 oct 2024</t>
    </r>
  </si>
  <si>
    <t>Apuestan UJAT, SLB y REPSOL a la educación ambiental para el cuidado de la Reserva de la Biosfera de Wanha</t>
  </si>
  <si>
    <t>En beneficio de más de seiscientos alumnos de 13 escuelas del nivel básico del municipio de Balancán, la Universidad Juárez Autónoma de Tabasco (UJAT),....</t>
  </si>
  <si>
    <t>UJAT, SLB and REPSOL bet on environmental education to care for the Wanha Biosphere Reserve</t>
  </si>
  <si>
    <t>For the benefit of more than six hundred students from 13 basic level schools in the municipality of Balancán, the Juárez Autonomous University of Tabasco (UJAT),...</t>
  </si>
  <si>
    <r>
      <rPr>
        <rFont val="Arial, sans-serif"/>
        <color rgb="FF1155CC"/>
        <sz val="9.0"/>
        <u/>
      </rPr>
      <t>El Comercio Perú</t>
    </r>
    <r>
      <rPr>
        <rFont val="Arial, sans-serif"/>
        <color rgb="FF1155CC"/>
        <sz val="15.0"/>
        <u/>
      </rPr>
      <t>Los semilleros de El Comercio: una historia con más de 30 años de vida</t>
    </r>
    <r>
      <rPr>
        <rFont val="Arial, sans-serif"/>
        <color rgb="FF1155CC"/>
        <sz val="11.0"/>
        <u/>
      </rPr>
      <t>Este 2024 bajo la dirección de Juan Aurelio Arévalo Miró Quesada volvieron los semilleros de El Comercio. En febrero pasado se disputó la Copa Juvenil...</t>
    </r>
    <r>
      <rPr>
        <rFont val="Arial, sans-serif"/>
        <color rgb="FF1155CC"/>
        <sz val="12.0"/>
        <u/>
      </rPr>
      <t>.</t>
    </r>
    <r>
      <rPr>
        <rFont val="Arial, sans-serif"/>
        <color rgb="FF1155CC"/>
        <sz val="11.0"/>
        <u/>
      </rPr>
      <t>25 oct 2024</t>
    </r>
  </si>
  <si>
    <t>Los semilleros de El Comercio: una historia con más de 30 años de vida</t>
  </si>
  <si>
    <t>Este 2024 bajo la dirección de Juan Aurelio Arévalo Miró Quesada volvieron los semilleros de El Comercio. En febrero pasado se disputó la Copa Juvenil....</t>
  </si>
  <si>
    <t>The seedbeds of El Comercio: a history with more than 30 years of life</t>
  </si>
  <si>
    <t>This 2024, under the direction of Juan Aurelio Arévalo Miró Quesada, the El Comercio seedbeds returned. Last February the Youth Cup was played....</t>
  </si>
  <si>
    <r>
      <rPr>
        <rFont val="Arial, sans-serif"/>
        <color rgb="FF1155CC"/>
        <sz val="9.0"/>
        <u/>
      </rPr>
      <t>Bolsamania</t>
    </r>
    <r>
      <rPr>
        <rFont val="Arial, sans-serif"/>
        <color rgb="FF1155CC"/>
        <sz val="15.0"/>
        <u/>
      </rPr>
      <t>Grifols y Repsol lideran una nueva semana de consolidación alcista en el Ibex 35</t>
    </r>
    <r>
      <rPr>
        <rFont val="Arial, sans-serif"/>
        <color rgb="FF1155CC"/>
        <sz val="11.0"/>
        <u/>
      </rPr>
      <t>Nueva semana de consolidación alcista en el Ibex 35 (-0,95%), que se mantiene cotizando en las inmediaciones de la resistencia de los 12.037 puntos a la...</t>
    </r>
    <r>
      <rPr>
        <rFont val="Arial, sans-serif"/>
        <color rgb="FF1155CC"/>
        <sz val="12.0"/>
        <u/>
      </rPr>
      <t>.</t>
    </r>
    <r>
      <rPr>
        <rFont val="Arial, sans-serif"/>
        <color rgb="FF1155CC"/>
        <sz val="11.0"/>
        <u/>
      </rPr>
      <t>26 oct 2024</t>
    </r>
  </si>
  <si>
    <t>Grifols y Repsol lideran una nueva semana de consolidación alcista en el Ibex 35</t>
  </si>
  <si>
    <t>Nueva semana de consolidación alcista en el Ibex 35 (-0,95%), que se mantiene cotizando en las inmediaciones de la resistencia de los 12.037 puntos a la....</t>
  </si>
  <si>
    <t>Grifols and Repsol lead a new week of bullish consolidation in the Ibex 35</t>
  </si>
  <si>
    <t>New week of bullish consolidation in the Ibex 35 (-0.95%), which continues to trade in the vicinity of the resistance of 12,037 points at the...</t>
  </si>
  <si>
    <t>Market movements do not directly impact Repsol’s corporate image.</t>
  </si>
  <si>
    <r>
      <rPr>
        <rFont val="Arial, sans-serif"/>
        <color rgb="FF1155CC"/>
        <sz val="9.0"/>
        <u/>
      </rPr>
      <t>Salamancahoy</t>
    </r>
    <r>
      <rPr>
        <rFont val="Arial, sans-serif"/>
        <color rgb="FF1155CC"/>
        <sz val="15.0"/>
        <u/>
      </rPr>
      <t>El bar vegano en el barrio más bohemio de Salamanca que tiene un solete Repsol</t>
    </r>
    <r>
      <rPr>
        <rFont val="Arial, sans-serif"/>
        <color rgb="FF1155CC"/>
        <sz val="11.0"/>
        <u/>
      </rPr>
      <t>Con poco menos de dos años desde su apertura, 'La Vegatería' se ha ganado la confianza de los clientes con la filosofía respetuosa que les define.</t>
    </r>
    <r>
      <rPr>
        <rFont val="Arial, sans-serif"/>
        <color rgb="FF1155CC"/>
        <sz val="12.0"/>
        <u/>
      </rPr>
      <t>.</t>
    </r>
    <r>
      <rPr>
        <rFont val="Arial, sans-serif"/>
        <color rgb="FF1155CC"/>
        <sz val="11.0"/>
        <u/>
      </rPr>
      <t>26 oct 2024</t>
    </r>
  </si>
  <si>
    <t>El bar vegano en el barrio más bohemio de Salamanca que tiene un solete Repsol</t>
  </si>
  <si>
    <t>Con poco menos de dos años desde su apertura, 'La Vegatería' se ha ganado la confianza de los clientes con la filosofía respetuosa que les define.</t>
  </si>
  <si>
    <t>The vegan bar in the most bohemian neighborhood of Salamanca that has a Repsol solete</t>
  </si>
  <si>
    <t>With just under two years since its opening, 'La Vegatería' has earned the trust of customers with the respectful philosophy that defines them.</t>
  </si>
  <si>
    <r>
      <rPr>
        <rFont val="Arial, sans-serif"/>
        <color rgb="FF1155CC"/>
        <sz val="9.0"/>
        <u/>
      </rPr>
      <t>El Español</t>
    </r>
    <r>
      <rPr>
        <rFont val="Arial, sans-serif"/>
        <color rgb="FF1155CC"/>
        <sz val="15.0"/>
        <u/>
      </rPr>
      <t>Iberdrola, Cox y Repsol apuestan por el mercado de almacenamiento de energía, que crecerá un 21%</t>
    </r>
    <r>
      <rPr>
        <rFont val="Arial, sans-serif"/>
        <color rgb="FF1155CC"/>
        <sz val="11.0"/>
        <u/>
      </rPr>
      <t>Las multinacionales españolas están apostando por invertir en este tipo de inversiones vinculadas a la lucha contra el cambio climático.</t>
    </r>
    <r>
      <rPr>
        <rFont val="Arial, sans-serif"/>
        <color rgb="FF1155CC"/>
        <sz val="12.0"/>
        <u/>
      </rPr>
      <t>.</t>
    </r>
    <r>
      <rPr>
        <rFont val="Arial, sans-serif"/>
        <color rgb="FF1155CC"/>
        <sz val="11.0"/>
        <u/>
      </rPr>
      <t>26 oct 2024</t>
    </r>
  </si>
  <si>
    <t>Iberdrola, Cox y Repsol apuestan por el mercado de almacenamiento de energía, que crecerá un 21%</t>
  </si>
  <si>
    <t>Las multinacionales españolas están apostando por invertir en este tipo de inversiones vinculadas a la lucha contra el cambio climático.</t>
  </si>
  <si>
    <t>Iberdrola, Cox and Repsol are betting on the energy storage market, which will grow by 21%</t>
  </si>
  <si>
    <t>Spanish multinationals are betting on investing in this type of investment linked to the fight against climate change.</t>
  </si>
  <si>
    <t>energy storage, investment</t>
  </si>
  <si>
    <t>almacenamiento de energía, inversión</t>
  </si>
  <si>
    <t>Positive as it highlights Repsol’s involvement in the growing energy storage sector.</t>
  </si>
  <si>
    <t>apuestan</t>
  </si>
  <si>
    <t>Positive sector innovation.</t>
  </si>
  <si>
    <t>Innovación positiva del sector.</t>
  </si>
  <si>
    <r>
      <rPr>
        <rFont val="Arial, sans-serif"/>
        <color rgb="FF1155CC"/>
        <sz val="9.0"/>
        <u/>
      </rPr>
      <t>El Día de Valladolid</t>
    </r>
    <r>
      <rPr>
        <rFont val="Arial, sans-serif"/>
        <color rgb="FF1155CC"/>
        <sz val="15.0"/>
        <u/>
      </rPr>
      <t>Una bodega de toda la vida con Solete Repsol</t>
    </r>
    <r>
      <rPr>
        <rFont val="Arial, sans-serif"/>
        <color rgb="FF1155CC"/>
        <sz val="11.0"/>
        <u/>
      </rPr>
      <t>Begoña Franco nos abre las puertas de la Bodega Valle Esgueva, que cumple 20 años en Castronuevo de Esgueva.</t>
    </r>
    <r>
      <rPr>
        <rFont val="Arial, sans-serif"/>
        <color rgb="FF1155CC"/>
        <sz val="12.0"/>
        <u/>
      </rPr>
      <t>.</t>
    </r>
    <r>
      <rPr>
        <rFont val="Arial, sans-serif"/>
        <color rgb="FF1155CC"/>
        <sz val="11.0"/>
        <u/>
      </rPr>
      <t>26 oct 2024</t>
    </r>
  </si>
  <si>
    <t>Una bodega de toda la vida con Solete Repsol</t>
  </si>
  <si>
    <t>Begoña Franco nos abre las puertas de la Bodega Valle Esgueva, que cumple 20 años en Castronuevo de Esgueva.</t>
  </si>
  <si>
    <t>A lifelong winery with Solete Repsol</t>
  </si>
  <si>
    <t>Begoña Franco opens the doors of the Valle Esgueva Winery, which celebrates 20 years in Castronuevo de Esgueva.</t>
  </si>
  <si>
    <r>
      <rPr>
        <rFont val="Arial, sans-serif"/>
        <color rgb="FF1155CC"/>
        <sz val="9.0"/>
        <u/>
      </rPr>
      <t>Box Repsol</t>
    </r>
    <r>
      <rPr>
        <rFont val="Arial, sans-serif"/>
        <color rgb="FF1155CC"/>
        <sz val="15.0"/>
        <u/>
      </rPr>
      <t>Resultados y resumen del X-Trial de Tallinn 2024</t>
    </r>
    <r>
      <rPr>
        <rFont val="Arial, sans-serif"/>
        <color rgb="FF1155CC"/>
        <sz val="11.0"/>
        <u/>
      </rPr>
      <t>Consulta aquí los resultados y el resumen de la carrera del X-Trial de Tallinn 2024, donde Gabri Marcelli ha sumado una nueva plata y Toni Bou ha sido...</t>
    </r>
    <r>
      <rPr>
        <rFont val="Arial, sans-serif"/>
        <color rgb="FF1155CC"/>
        <sz val="12.0"/>
        <u/>
      </rPr>
      <t>.</t>
    </r>
    <r>
      <rPr>
        <rFont val="Arial, sans-serif"/>
        <color rgb="FF1155CC"/>
        <sz val="11.0"/>
        <u/>
      </rPr>
      <t>26 oct 2024</t>
    </r>
  </si>
  <si>
    <t>Resultados y resumen del X-Trial de Tallinn 2024</t>
  </si>
  <si>
    <t>Consulta aquí los resultados y el resumen de la carrera del X-Trial de Tallinn 2024, donde Gabri Marcelli ha sumado una nueva plata y Toni Bou ha sido....</t>
  </si>
  <si>
    <t>Results and summary of the Tallinn X-Trial 2024</t>
  </si>
  <si>
    <t>Check here the results and race summary of the Tallinn X-Trial 2024, where Gabri Marcelli has added a new silver and Toni Bou has been....</t>
  </si>
  <si>
    <r>
      <rPr>
        <rFont val="Arial, sans-serif"/>
        <color rgb="FF1155CC"/>
        <sz val="9.0"/>
        <u/>
      </rPr>
      <t>El Comercio Perú</t>
    </r>
    <r>
      <rPr>
        <rFont val="Arial, sans-serif"/>
        <color rgb="FF1155CC"/>
        <sz val="15.0"/>
        <u/>
      </rPr>
      <t>Se inauguró el Semillero Repsol Fútbol Femenino: niñas y adolescentes empezaron a vivir el torneo</t>
    </r>
    <r>
      <rPr>
        <rFont val="Arial, sans-serif"/>
        <color rgb="FF1155CC"/>
        <sz val="11.0"/>
        <u/>
      </rPr>
      <t>Este sábado se dio inicio a la primera edición del Semillero Repsol Fútbol Femenino, evento organizado por El Comercio e Igma Sports que se celebra del 26...</t>
    </r>
    <r>
      <rPr>
        <rFont val="Arial, sans-serif"/>
        <color rgb="FF1155CC"/>
        <sz val="12.0"/>
        <u/>
      </rPr>
      <t>.</t>
    </r>
    <r>
      <rPr>
        <rFont val="Arial, sans-serif"/>
        <color rgb="FF1155CC"/>
        <sz val="11.0"/>
        <u/>
      </rPr>
      <t>26 oct 2024</t>
    </r>
  </si>
  <si>
    <t>Se inauguró el Semillero Repsol Fútbol Femenino: niñas y adolescentes empezaron a vivir el torneo</t>
  </si>
  <si>
    <t>Niñas y adolescentes empezaron a vivir el torneo.</t>
  </si>
  <si>
    <t>The Repsol Women's Soccer Seedbed was inaugurated: girls and adolescents began to experience the tournament</t>
  </si>
  <si>
    <t>Girls and teenagers began to experience the tournament.</t>
  </si>
  <si>
    <r>
      <rPr>
        <rFont val="Arial, sans-serif"/>
        <color rgb="FF1155CC"/>
        <sz val="9.0"/>
        <u/>
      </rPr>
      <t>Crónica Vasca</t>
    </r>
    <r>
      <rPr>
        <rFont val="Arial, sans-serif"/>
        <color rgb="FF1155CC"/>
        <sz val="15.0"/>
        <u/>
      </rPr>
      <t>Josu Jon Imaz y el impuesto a las energéticas</t>
    </r>
    <r>
      <rPr>
        <rFont val="Arial, sans-serif"/>
        <color rgb="FF1155CC"/>
        <sz val="11.0"/>
        <u/>
      </rPr>
      <t>Es lógico que el CEO de Repsol, Josu Jon Imaz, defienda los intereses de las empresas energéticas ante la posibilidad de que el Gobierno central apruebe más...</t>
    </r>
    <r>
      <rPr>
        <rFont val="Arial, sans-serif"/>
        <color rgb="FF1155CC"/>
        <sz val="12.0"/>
        <u/>
      </rPr>
      <t>.</t>
    </r>
    <r>
      <rPr>
        <rFont val="Arial, sans-serif"/>
        <color rgb="FF1155CC"/>
        <sz val="11.0"/>
        <u/>
      </rPr>
      <t>26 oct 2024</t>
    </r>
  </si>
  <si>
    <t>Josu Jon Imaz y el impuesto a las energéticas</t>
  </si>
  <si>
    <t>Es lógico que el CEO de Repsol, Josu Jon Imaz, defienda los intereses de las empresas energéticas ante la posibilidad de que el Gobierno central apruebe más....</t>
  </si>
  <si>
    <t>Josu Jon Imaz and the tax on energy companies</t>
  </si>
  <si>
    <t>It is logical that the CEO of Repsol, Josu Jon Imaz, defends the interests of energy companies given the possibility that the central government approves more....</t>
  </si>
  <si>
    <t>defends interests, tax on energy</t>
  </si>
  <si>
    <t>defiende intereses, impuesto a la energía</t>
  </si>
  <si>
    <t>Negative as it reinforces political tensions surrounding taxation and Repsol’s position.</t>
  </si>
  <si>
    <t>Repeats tax conflict.</t>
  </si>
  <si>
    <t>Se repite conflicto fiscal.</t>
  </si>
  <si>
    <r>
      <rPr>
        <rFont val="Arial, sans-serif"/>
        <color rgb="FF1155CC"/>
        <sz val="9.0"/>
        <u/>
      </rPr>
      <t>Box Repsol</t>
    </r>
    <r>
      <rPr>
        <rFont val="Arial, sans-serif"/>
        <color rgb="FF1155CC"/>
        <sz val="15.0"/>
        <u/>
      </rPr>
      <t>Resultados de la clasificación del GP de Tailandia de MotoGP</t>
    </r>
    <r>
      <rPr>
        <rFont val="Arial, sans-serif"/>
        <color rgb="FF1155CC"/>
        <sz val="11.0"/>
        <u/>
      </rPr>
      <t>Pole Position con récord absoluto para 'Pecco' Bagnaia, que gana la primera batalla del fin de semana a Jorge Martín, tercero. Enea Bastianini saldrá entre...</t>
    </r>
    <r>
      <rPr>
        <rFont val="Arial, sans-serif"/>
        <color rgb="FF1155CC"/>
        <sz val="12.0"/>
        <u/>
      </rPr>
      <t>.</t>
    </r>
    <r>
      <rPr>
        <rFont val="Arial, sans-serif"/>
        <color rgb="FF1155CC"/>
        <sz val="11.0"/>
        <u/>
      </rPr>
      <t>26 oct 2024</t>
    </r>
  </si>
  <si>
    <t>Pole Position con récord absoluto para 'Pecco' Bagnaia, que gana la primera batalla del fin de semana a Jorge Martín, tercero. Enea Bastianini saldrá entre....</t>
  </si>
  <si>
    <t>Pole Position with an absolute record for 'Pecco' Bagnaia, who wins the first battle of the weekend against Jorge Martín, third. Enea Bastianini will leave between....</t>
  </si>
  <si>
    <r>
      <rPr>
        <rFont val="Arial, sans-serif"/>
        <color rgb="FF1155CC"/>
        <sz val="9.0"/>
        <u/>
      </rPr>
      <t>El Comercio Perú</t>
    </r>
    <r>
      <rPr>
        <rFont val="Arial, sans-serif"/>
        <color rgb="FF1155CC"/>
        <sz val="15.0"/>
        <u/>
      </rPr>
      <t>Leonas del Sur y Balón Rosa igualaron por el Semillero Repsol Fútbol Femenino</t>
    </r>
    <r>
      <rPr>
        <rFont val="Arial, sans-serif"/>
        <color rgb="FF1155CC"/>
        <sz val="11.0"/>
        <u/>
      </rPr>
      <t>Sigue la transmisión del partido entre Leonas del Sur y Club Balón Rosa en vivo por la fecha 1 del Semillero Repsol Fútbol Femenino.</t>
    </r>
    <r>
      <rPr>
        <rFont val="Arial, sans-serif"/>
        <color rgb="FF1155CC"/>
        <sz val="12.0"/>
        <u/>
      </rPr>
      <t>.</t>
    </r>
    <r>
      <rPr>
        <rFont val="Arial, sans-serif"/>
        <color rgb="FF1155CC"/>
        <sz val="11.0"/>
        <u/>
      </rPr>
      <t>26 oct 2024</t>
    </r>
  </si>
  <si>
    <t>Leonas del Sur y Balón Rosa igualaron por el Semillero Repsol Fútbol Femenino</t>
  </si>
  <si>
    <t>Sigue la transmisión del partido entre Leonas del Sur y Club Balón Rosa en vivo por la fecha 1 del Semillero Repsol Fútbol Femenino.</t>
  </si>
  <si>
    <t>Leonas del Sur and Balón Rosa tied for the Repsol Women's Soccer Seedbed</t>
  </si>
  <si>
    <t>Follow the broadcast of the match between Leonas del Sur and Club Balón Rosa live on date 1 of the Repsol Fútbol Femenino Seedbed.</t>
  </si>
  <si>
    <r>
      <rPr>
        <rFont val="Arial, sans-serif"/>
        <color rgb="FF1155CC"/>
        <sz val="9.0"/>
        <u/>
      </rPr>
      <t>El Comercio Perú</t>
    </r>
    <r>
      <rPr>
        <rFont val="Arial, sans-serif"/>
        <color rgb="FF1155CC"/>
        <sz val="15.0"/>
        <u/>
      </rPr>
      <t>Juan Aurelio Arévalo sobre el Semillero Repsol Fútbol Femenino: “En este último tiempo hemos tratado de retomar los programas emblemáticos para El Comercio”</t>
    </r>
    <r>
      <rPr>
        <rFont val="Arial, sans-serif"/>
        <color rgb="FF1155CC"/>
        <sz val="11.0"/>
        <u/>
      </rPr>
      <t>El Complejo Municipal Magdalena Costa Verde fue testigo este sábado 26 de octubre de la primera edición del Semillero Repsol Fútbol Femenino, organizado por...</t>
    </r>
    <r>
      <rPr>
        <rFont val="Arial, sans-serif"/>
        <color rgb="FF1155CC"/>
        <sz val="12.0"/>
        <u/>
      </rPr>
      <t>.</t>
    </r>
    <r>
      <rPr>
        <rFont val="Arial, sans-serif"/>
        <color rgb="FF1155CC"/>
        <sz val="11.0"/>
        <u/>
      </rPr>
      <t>26 oct 2024</t>
    </r>
  </si>
  <si>
    <t>Juan Aurelio Arévalo sobre el Semillero Repsol Fútbol Femenino: “En este último tiempo hemos tratado de retomar los programas emblemáticos para El Comercio”</t>
  </si>
  <si>
    <t>El Complejo Municipal Magdalena Costa Verde fue testigo este sábado 26 de octubre de la primera edición del Semillero Repsol Fútbol Femenino, organizado por....</t>
  </si>
  <si>
    <t>Juan Aurelio Arévalo on the Repsol Women's Football Seedbed: “In recent times we have tried to resume the emblematic programs for El Comercio”</t>
  </si>
  <si>
    <t>The Magdalena Costa Verde Municipal Complex witnessed this Saturday, October 26, the first edition of the Repsol Women's Soccer Hotbed, organized by....</t>
  </si>
  <si>
    <r>
      <rPr>
        <rFont val="Arial, sans-serif"/>
        <color rgb="FF1155CC"/>
        <sz val="9.0"/>
        <u/>
      </rPr>
      <t>Libre Mercado</t>
    </r>
    <r>
      <rPr>
        <rFont val="Arial, sans-serif"/>
        <color rgb="FF1155CC"/>
        <sz val="15.0"/>
        <u/>
      </rPr>
      <t>Repsol hace muy bien llevándose sus inversiones a Portugal - Domingo Soriano</t>
    </r>
    <r>
      <rPr>
        <rFont val="Arial, sans-serif"/>
        <color rgb="FF1155CC"/>
        <sz val="11.0"/>
        <u/>
      </rPr>
      <t>La petrolera ha anunciado esta semana que varios proyectos en Cataluña, País Vasco y Cartagena están paralizados por la incertidumbre regulatoria.</t>
    </r>
    <r>
      <rPr>
        <rFont val="Arial, sans-serif"/>
        <color rgb="FF1155CC"/>
        <sz val="12.0"/>
        <u/>
      </rPr>
      <t>.</t>
    </r>
    <r>
      <rPr>
        <rFont val="Arial, sans-serif"/>
        <color rgb="FF1155CC"/>
        <sz val="11.0"/>
        <u/>
      </rPr>
      <t>27 oct 2024</t>
    </r>
  </si>
  <si>
    <t>Repsol hace muy bien llevándose sus inversiones a Portugal</t>
  </si>
  <si>
    <t>La petrolera ha anunciado esta semana que varios proyectos en Cataluña, País Vasco y Cartagena están paralizados por la incertidumbre regulatoria.</t>
  </si>
  <si>
    <t>Repsol is doing very well by taking its investments to Portugal</t>
  </si>
  <si>
    <t>The oil company announced this week that several projects in Catalonia, the Basque Country and Cartagena are paralyzed due to regulatory uncertainty.</t>
  </si>
  <si>
    <t>investments to Portugal, paralyzed projects</t>
  </si>
  <si>
    <t>inversiones a Portugal, proyectos paralizados</t>
  </si>
  <si>
    <t>Negative as it highlights the shift of investments away from Spain due to regulatory concerns.</t>
  </si>
  <si>
    <t>llevándose</t>
  </si>
  <si>
    <t>Explicit divestment criticism.</t>
  </si>
  <si>
    <t>Críticas explícitas a la desinversión.</t>
  </si>
  <si>
    <r>
      <rPr>
        <rFont val="Arial, sans-serif"/>
        <color rgb="FF1155CC"/>
        <sz val="9.0"/>
        <u/>
      </rPr>
      <t>elDiario.es</t>
    </r>
    <r>
      <rPr>
        <rFont val="Arial, sans-serif"/>
        <color rgb="FF1155CC"/>
        <sz val="15.0"/>
        <u/>
      </rPr>
      <t>Brufau celebra 20 años en la presidencia de Repsol con el impuesto a las energéticas en el aire</t>
    </r>
    <r>
      <rPr>
        <rFont val="Arial, sans-serif"/>
        <color rgb="FF1155CC"/>
        <sz val="11.0"/>
        <u/>
      </rPr>
      <t>20 años no es nada, decía el tango de Gardel. Antonio Brufau celebra este domingo su vigésimo aniversario como presidente de Repsol en un momento de alta...</t>
    </r>
    <r>
      <rPr>
        <rFont val="Arial, sans-serif"/>
        <color rgb="FF1155CC"/>
        <sz val="12.0"/>
        <u/>
      </rPr>
      <t>.</t>
    </r>
    <r>
      <rPr>
        <rFont val="Arial, sans-serif"/>
        <color rgb="FF1155CC"/>
        <sz val="11.0"/>
        <u/>
      </rPr>
      <t>27 oct 2024</t>
    </r>
  </si>
  <si>
    <t>Brufau celebra 20 años en la presidencia de Repsol con el impuesto a las energéticas en el aire</t>
  </si>
  <si>
    <t>20 años no es nada, decía el tango de Gardel. Antonio Brufau celebra este domingo su vigésimo aniversario como presidente de Repsol en un momento de alta....</t>
  </si>
  <si>
    <t>Brufau celebrates 20 years as president of Repsol with the tax on energy companies in the air</t>
  </si>
  <si>
    <t>20 years is nothing, said Gardel's tango. Antonio Brufau celebrates this Sunday his twentieth anniversary as president of Repsol at a time of high....</t>
  </si>
  <si>
    <t>tax on energy, uncertainty</t>
  </si>
  <si>
    <t>impuesto a la energía, incertidumbre</t>
  </si>
  <si>
    <t>Negative as it emphasizes ongoing fiscal uncertainty during Repsol's leadership milestone.</t>
  </si>
  <si>
    <t>celebra</t>
  </si>
  <si>
    <t>Neutral anniversary.</t>
  </si>
  <si>
    <t>Aniversario neutro.</t>
  </si>
  <si>
    <r>
      <rPr>
        <rFont val="Arial, sans-serif"/>
        <color rgb="FF1155CC"/>
        <sz val="9.0"/>
        <u/>
      </rPr>
      <t>OkDiario</t>
    </r>
    <r>
      <rPr>
        <rFont val="Arial, sans-serif"/>
        <color rgb="FF1155CC"/>
        <sz val="15.0"/>
        <u/>
      </rPr>
      <t>Naturgy y Repsol: ni contigo ni sin ti tienen mis penas remedio</t>
    </r>
    <r>
      <rPr>
        <rFont val="Arial, sans-serif"/>
        <color rgb="FF1155CC"/>
        <sz val="11.0"/>
        <u/>
      </rPr>
      <t>Lor probemas de Naturgy se enquistan: la opción de Repsol no arranca y tampoco se encuentra otra solución para dar salida a los fondos.</t>
    </r>
    <r>
      <rPr>
        <rFont val="Arial, sans-serif"/>
        <color rgb="FF1155CC"/>
        <sz val="12.0"/>
        <u/>
      </rPr>
      <t>.</t>
    </r>
    <r>
      <rPr>
        <rFont val="Arial, sans-serif"/>
        <color rgb="FF1155CC"/>
        <sz val="11.0"/>
        <u/>
      </rPr>
      <t>27 oct 2024</t>
    </r>
  </si>
  <si>
    <t>Naturgy y Repsol: ni contigo ni sin ti tienen mis penas remedio</t>
  </si>
  <si>
    <t>los probemas de Naturgy se enquistan: la opción de Repsol no arranca y tampoco se encuentra otra solución para dar salida a los fondos.</t>
  </si>
  <si>
    <t>Naturgy and Repsol: neither with nor without you can my sorrows be cured</t>
  </si>
  <si>
    <t>Naturgy's problems are entrenched: the Repsol option does not start and no other solution has been found to dispose of the funds.</t>
  </si>
  <si>
    <t>problems, Repsol option does not start</t>
  </si>
  <si>
    <t>problemas, La opción Repsol no arranca</t>
  </si>
  <si>
    <t>Negative as it portrays uncertainty in Repsol's business dealings with Naturgy.</t>
  </si>
  <si>
    <t>Negative partnership framing.</t>
  </si>
  <si>
    <t>Encuadre de asociación negativo.</t>
  </si>
  <si>
    <r>
      <rPr>
        <rFont val="Arial, sans-serif"/>
        <color rgb="FF1155CC"/>
        <sz val="9.0"/>
        <u/>
      </rPr>
      <t>Expansión</t>
    </r>
    <r>
      <rPr>
        <rFont val="Arial, sans-serif"/>
        <color rgb="FF1155CC"/>
        <sz val="15.0"/>
        <u/>
      </rPr>
      <t>Semana "caliente" para Iberdrola, Endesa, Naturgy, Repsol y Cepsa</t>
    </r>
    <r>
      <rPr>
        <rFont val="Arial, sans-serif"/>
        <color rgb="FF1155CC"/>
        <sz val="11.0"/>
        <u/>
      </rPr>
      <t>El Congreso tramita el miércoles una norma para prorrogar el impuestazo y otra ley para crear la nueva CNE. Mientras, Repsol y Naturgy tienen consejos clave...</t>
    </r>
    <r>
      <rPr>
        <rFont val="Arial, sans-serif"/>
        <color rgb="FF1155CC"/>
        <sz val="12.0"/>
        <u/>
      </rPr>
      <t>.</t>
    </r>
    <r>
      <rPr>
        <rFont val="Arial, sans-serif"/>
        <color rgb="FF1155CC"/>
        <sz val="11.0"/>
        <u/>
      </rPr>
      <t>27 oct 2024</t>
    </r>
  </si>
  <si>
    <t>"Caliente" para Iberdrola, Endesa, Naturgy, Repsol y Cepsa</t>
  </si>
  <si>
    <t>El Congreso tramita el miércoles una norma para prorrogar el impuestazo y otra ley para crear la nueva CNE. Mientras, Repsol y Naturgy tienen consejos clave.</t>
  </si>
  <si>
    <t>"Hot" for Iberdrola, Endesa, Naturgy, Repsol and Cepsa</t>
  </si>
  <si>
    <t>On Wednesday, Congress processes a rule to extend the tax and another law to create the new CNE. Meanwhile, Repsol and Naturgy have key advice.</t>
  </si>
  <si>
    <t>extend tax, key advice</t>
  </si>
  <si>
    <t>ampliar impuestos, consejos clave</t>
  </si>
  <si>
    <t>Negative as it reinforces the ongoing regulatory pressure on Repsol.</t>
  </si>
  <si>
    <t>Sector context.</t>
  </si>
  <si>
    <t>Contexto sectorial.</t>
  </si>
  <si>
    <r>
      <rPr>
        <rFont val="Arial, sans-serif"/>
        <color rgb="FF1155CC"/>
        <sz val="9.0"/>
        <u/>
      </rPr>
      <t>Diario Público</t>
    </r>
    <r>
      <rPr>
        <rFont val="Arial, sans-serif"/>
        <color rgb="FF1155CC"/>
        <sz val="15.0"/>
        <u/>
      </rPr>
      <t>No es populismo, es justicia social</t>
    </r>
    <r>
      <rPr>
        <rFont val="Arial, sans-serif"/>
        <color rgb="FF1155CC"/>
        <sz val="11.0"/>
        <u/>
      </rPr>
      <t>Si algo tiene de bueno el artículo que Josu Jon Imaz, consejero delegado de Repsol, publicó en La Vanguardia para cuestionar la continuidad de la tasa a los...</t>
    </r>
    <r>
      <rPr>
        <rFont val="Arial, sans-serif"/>
        <color rgb="FF1155CC"/>
        <sz val="12.0"/>
        <u/>
      </rPr>
      <t>.</t>
    </r>
    <r>
      <rPr>
        <rFont val="Arial, sans-serif"/>
        <color rgb="FF1155CC"/>
        <sz val="11.0"/>
        <u/>
      </rPr>
      <t>27 oct 2024</t>
    </r>
  </si>
  <si>
    <t>No es populismo, es justicia social</t>
  </si>
  <si>
    <t>Si algo tiene de bueno el artículo que Josu Jon Imaz, consejero delegado de Repsol, publicó en La Vanguardia para cuestionar la continuidad de la tasa a los....</t>
  </si>
  <si>
    <t>It's not populism, it's social justice</t>
  </si>
  <si>
    <t>If there is anything good about the article that Josu Jon Imaz, CEO of Repsol, published in La Vanguardia to question the continuity of the tax on...</t>
  </si>
  <si>
    <t>question tax, social justice</t>
  </si>
  <si>
    <t>cuestión de impuestos, justicia social</t>
  </si>
  <si>
    <t>Negative as it portrays Repsol’s resistance to taxation as a political debate.</t>
  </si>
  <si>
    <t>Criticizes Repsol’s stance.</t>
  </si>
  <si>
    <t>Critica la postura de Repsol.</t>
  </si>
  <si>
    <r>
      <rPr>
        <rFont val="Arial, sans-serif"/>
        <color rgb="FF1155CC"/>
        <sz val="9.0"/>
        <u/>
      </rPr>
      <t>El Mundo</t>
    </r>
    <r>
      <rPr>
        <rFont val="Arial, sans-serif"/>
        <color rgb="FF1155CC"/>
        <sz val="15.0"/>
        <u/>
      </rPr>
      <t>El ministro de Economía portugués envía a la UE un nuevo plan de rebaja fiscal, aplaude a Repsol y se lanza a por la inversión española: "Es particularmente interesante"</t>
    </r>
    <r>
      <rPr>
        <rFont val="Arial, sans-serif"/>
        <color rgb="FF1155CC"/>
        <sz val="11.0"/>
        <u/>
      </rPr>
      <t>En las primeras declaraciones oficiales tras la decisión de Repsol, de dar prioridad a Portugal en protesta por el llamado impuestazo energético,...</t>
    </r>
    <r>
      <rPr>
        <rFont val="Arial, sans-serif"/>
        <color rgb="FF1155CC"/>
        <sz val="12.0"/>
        <u/>
      </rPr>
      <t>.</t>
    </r>
    <r>
      <rPr>
        <rFont val="Arial, sans-serif"/>
        <color rgb="FF1155CC"/>
        <sz val="11.0"/>
        <u/>
      </rPr>
      <t>27 oct 2024</t>
    </r>
  </si>
  <si>
    <t>El ministro de Economía portugués envía a la UE un nuevo plan de rebaja fiscal, aplaude a Repsol y se lanza a por la inversión española: "Es particularmente interesante"</t>
  </si>
  <si>
    <t>En las primeras declaraciones oficiales tras la decisión de Repsol, de dar prioridad a Portugal en protesta por el llamado impuestazo energético,....</t>
  </si>
  <si>
    <t>The Portuguese Minister of Economy sends a new tax reduction plan to the EU, applauds Repsol and goes after Spanish investment: "It is particularly interesting"</t>
  </si>
  <si>
    <t>In the first official statements after Repsol's decision to give priority to Portugal in protest against the so-called energy tax,...</t>
  </si>
  <si>
    <t>Repsol priority Portugal, Spanish investment risk</t>
  </si>
  <si>
    <t>Repsol prioridad Portugal, Riesgo de la inversión española</t>
  </si>
  <si>
    <t>Negative as it highlights Portugal attracting investment away from Spain due to tax policies.</t>
  </si>
  <si>
    <t>aplaude</t>
  </si>
  <si>
    <t>Positive foreign support.</t>
  </si>
  <si>
    <t>Apoyo exterior positivo.</t>
  </si>
  <si>
    <r>
      <rPr>
        <rFont val="Arial, sans-serif"/>
        <color rgb="FF1155CC"/>
        <sz val="9.0"/>
        <u/>
      </rPr>
      <t>El Español</t>
    </r>
    <r>
      <rPr>
        <rFont val="Arial, sans-serif"/>
        <color rgb="FF1155CC"/>
        <sz val="15.0"/>
        <u/>
      </rPr>
      <t>El pueblo pesquero de Almería donde mejor se come: cocina recomendada por la Guía Repsol</t>
    </r>
    <r>
      <rPr>
        <rFont val="Arial, sans-serif"/>
        <color rgb="FF1155CC"/>
        <sz val="11.0"/>
        <u/>
      </rPr>
      <t>Es conocido por su puerto, uno de los más importantes de la provincia, y su amplia variedad gastronómica basada en el producto local.</t>
    </r>
    <r>
      <rPr>
        <rFont val="Arial, sans-serif"/>
        <color rgb="FF1155CC"/>
        <sz val="12.0"/>
        <u/>
      </rPr>
      <t>.</t>
    </r>
    <r>
      <rPr>
        <rFont val="Arial, sans-serif"/>
        <color rgb="FF1155CC"/>
        <sz val="11.0"/>
        <u/>
      </rPr>
      <t>27 oct 2024</t>
    </r>
  </si>
  <si>
    <t>El pueblo pesquero de Almería donde mejor se come: cocina recomendada por la Guía Repsol</t>
  </si>
  <si>
    <t>Es conocido por su puerto, uno de los más importantes de la provincia, y su amplia variedad gastronómica basada en el producto local.</t>
  </si>
  <si>
    <t>The fishing town of Almería where you eat the best: cuisine recommended by the Repsol Guide</t>
  </si>
  <si>
    <t>It is known for its port, one of the most important in the province, and its wide gastronomic variety based on local products.</t>
  </si>
  <si>
    <r>
      <rPr>
        <rFont val="Arial, sans-serif"/>
        <color rgb="FF1155CC"/>
        <sz val="9.0"/>
        <u/>
      </rPr>
      <t>Box Repsol</t>
    </r>
    <r>
      <rPr>
        <rFont val="Arial, sans-serif"/>
        <color rgb="FF1155CC"/>
        <sz val="15.0"/>
        <u/>
      </rPr>
      <t>Resultados del GP de Tailandia de MotoGP</t>
    </r>
    <r>
      <rPr>
        <rFont val="Arial, sans-serif"/>
        <color rgb="FF1155CC"/>
        <sz val="11.0"/>
        <u/>
      </rPr>
      <t>Crónica y resultados de la carrera del GP de Indonesia de MotoGP 2024, disputada en Buriram.</t>
    </r>
    <r>
      <rPr>
        <rFont val="Arial, sans-serif"/>
        <color rgb="FF1155CC"/>
        <sz val="12.0"/>
        <u/>
      </rPr>
      <t>.</t>
    </r>
    <r>
      <rPr>
        <rFont val="Arial, sans-serif"/>
        <color rgb="FF1155CC"/>
        <sz val="11.0"/>
        <u/>
      </rPr>
      <t>27 oct 2024</t>
    </r>
  </si>
  <si>
    <t>Resultados del GP de Tailandia de MotoGP</t>
  </si>
  <si>
    <t>Crónica y resultados de la carrera del GP de Indonesia de MotoGP 2024, disputada en Buriram.</t>
  </si>
  <si>
    <t>MotoGP Thai GP results</t>
  </si>
  <si>
    <t>Chronicle and results of the 2024 MotoGP Indonesian GP race, held in Buriram.</t>
  </si>
  <si>
    <r>
      <rPr>
        <rFont val="Arial, sans-serif"/>
        <color rgb="FF1155CC"/>
        <sz val="9.0"/>
        <u/>
      </rPr>
      <t>Eldía</t>
    </r>
    <r>
      <rPr>
        <rFont val="Arial, sans-serif"/>
        <color rgb="FF1155CC"/>
        <sz val="15.0"/>
        <u/>
      </rPr>
      <t>Adiós al butano: los repartidores anuncian una huelga que dejará a millones de españoles sin bombonas a partir de este día</t>
    </r>
    <r>
      <rPr>
        <rFont val="Arial, sans-serif"/>
        <color rgb="FF1155CC"/>
        <sz val="11.0"/>
        <u/>
      </rPr>
      <t>Las agencias de transporte del gas han anunciado un paro general que se iniciará en el próximo mes de noviembre.</t>
    </r>
    <r>
      <rPr>
        <rFont val="Arial, sans-serif"/>
        <color rgb="FF1155CC"/>
        <sz val="12.0"/>
        <u/>
      </rPr>
      <t>.</t>
    </r>
    <r>
      <rPr>
        <rFont val="Arial, sans-serif"/>
        <color rgb="FF1155CC"/>
        <sz val="11.0"/>
        <u/>
      </rPr>
      <t>27 oct 2024</t>
    </r>
  </si>
  <si>
    <t>Adiós al butano: los repartidores anuncian una huelga que dejará a millones de españoles sin bombonas a partir de este día</t>
  </si>
  <si>
    <t>Los repartidores anuncian una huelga que dejará a millones de españoles sin bombonas a partir de este día.</t>
  </si>
  <si>
    <t>Goodbye to butane: delivery drivers announce a strike that will leave millions of Spaniards without cylinders from this day</t>
  </si>
  <si>
    <t>The delivery drivers announce a strike that will leave millions of Spaniards without gas cylinders from this day onwards.</t>
  </si>
  <si>
    <t>Not directly related to Repsol’s image.</t>
  </si>
  <si>
    <t>Indirect impact; no direct link to Repsol.</t>
  </si>
  <si>
    <t>Impacto indirecto; ningún vínculo directo con Repsol.</t>
  </si>
  <si>
    <r>
      <rPr>
        <rFont val="Arial, sans-serif"/>
        <color rgb="FF1155CC"/>
        <sz val="9.0"/>
        <u/>
      </rPr>
      <t>The Objective</t>
    </r>
    <r>
      <rPr>
        <rFont val="Arial, sans-serif"/>
        <color rgb="FF1155CC"/>
        <sz val="15.0"/>
        <u/>
      </rPr>
      <t>El Ibex se aproxima al nacionalismo tras el repentino giro social del PP</t>
    </r>
    <r>
      <rPr>
        <rFont val="Arial, sans-serif"/>
        <color rgb="FF1155CC"/>
        <sz val="11.0"/>
        <u/>
      </rPr>
      <t>"Han sido siete días de infarto" confiesa un alto directivo del Ibex al ser preguntado por la reciente avalancha de movimientos políticos.</t>
    </r>
    <r>
      <rPr>
        <rFont val="Arial, sans-serif"/>
        <color rgb="FF1155CC"/>
        <sz val="12.0"/>
        <u/>
      </rPr>
      <t>.</t>
    </r>
    <r>
      <rPr>
        <rFont val="Arial, sans-serif"/>
        <color rgb="FF1155CC"/>
        <sz val="11.0"/>
        <u/>
      </rPr>
      <t>27 oct 2024</t>
    </r>
  </si>
  <si>
    <t>El Ibex</t>
  </si>
  <si>
    <t>El Ibex se aproxima al nacionalismo tras el repentino giro social del PP</t>
  </si>
  <si>
    <t>"Han sido siete días de infarto" confiesa un alto directivo del Ibex al ser preguntado por la reciente avalancha de movimientos políticos.</t>
  </si>
  <si>
    <t>The Ibex is approaching nationalism after the sudden social turn of the PP</t>
  </si>
  <si>
    <t>"It has been a heart-stopping seven days," confesses a senior Ibex manager when asked about the recent avalanche of political movements.</t>
  </si>
  <si>
    <t>General financial news, no Repsol focus.</t>
  </si>
  <si>
    <t>Noticias financieras generales, sin foco en Repsol.</t>
  </si>
  <si>
    <r>
      <rPr>
        <rFont val="Arial, sans-serif"/>
        <color rgb="FF1155CC"/>
        <sz val="9.0"/>
        <u/>
      </rPr>
      <t>Vozpópuli</t>
    </r>
    <r>
      <rPr>
        <rFont val="Arial, sans-serif"/>
        <color rgb="FF1155CC"/>
        <sz val="15.0"/>
        <u/>
      </rPr>
      <t>Imaz, el empresario rebelde del Ibex 35 que desafía a Sánchez</t>
    </r>
    <r>
      <rPr>
        <rFont val="Arial, sans-serif"/>
        <color rgb="FF1155CC"/>
        <sz val="11.0"/>
        <u/>
      </rPr>
      <t>El consejero delegado de Repsol lidera las críticas por el modelo energético y los impuestos a las grandes sociedades.</t>
    </r>
    <r>
      <rPr>
        <rFont val="Arial, sans-serif"/>
        <color rgb="FF1155CC"/>
        <sz val="12.0"/>
        <u/>
      </rPr>
      <t>.</t>
    </r>
    <r>
      <rPr>
        <rFont val="Arial, sans-serif"/>
        <color rgb="FF1155CC"/>
        <sz val="11.0"/>
        <u/>
      </rPr>
      <t>27 oct 2024</t>
    </r>
  </si>
  <si>
    <t>Imaz, el empresario rebelde del Ibex 35 que desafía a Sánchez</t>
  </si>
  <si>
    <t>El consejero delegado de Repsol lidera las críticas por el modelo energético y los impuestos a las grandes sociedades.</t>
  </si>
  <si>
    <t>Imaz, the rebellious Ibex 35 businessman who challenges Sánchez</t>
  </si>
  <si>
    <t>The CEO of Repsol leads the criticism of the energy model and taxes on large companies.</t>
  </si>
  <si>
    <r>
      <rPr>
        <rFont val="Arial, sans-serif"/>
        <color rgb="FF1155CC"/>
        <sz val="9.0"/>
        <u/>
      </rPr>
      <t>Diari de Tarragona</t>
    </r>
    <r>
      <rPr>
        <rFont val="Arial, sans-serif"/>
        <color rgb="FF1155CC"/>
        <sz val="15.0"/>
        <u/>
      </rPr>
      <t>Saül Garreta: «Si apretamos tanto con los impuestos, está en riesgo el 50% del negocio»</t>
    </r>
    <r>
      <rPr>
        <rFont val="Arial, sans-serif"/>
        <color rgb="FF1155CC"/>
        <sz val="11.0"/>
        <u/>
      </rPr>
      <t>En los próximos días Saül Garreta será cesado como presidente del Port de Tarragona, dejando el relevo al actual subdelegado del Gobierno, Santiago Ca...</t>
    </r>
    <r>
      <rPr>
        <rFont val="Arial, sans-serif"/>
        <color rgb="FF1155CC"/>
        <sz val="12.0"/>
        <u/>
      </rPr>
      <t>.</t>
    </r>
    <r>
      <rPr>
        <rFont val="Arial, sans-serif"/>
        <color rgb="FF1155CC"/>
        <sz val="11.0"/>
        <u/>
      </rPr>
      <t>27 oct 2024</t>
    </r>
  </si>
  <si>
    <t>Saül Garreta: «Si apretamos tanto con los impuestos, está en riesgo el 50% del negocio»</t>
  </si>
  <si>
    <t>En los próximos días Saül Garreta será cesado como presidente del Port de Tarragona, dejando el relevo al actual subdelegado del Gobierno, Santiago Ca....</t>
  </si>
  <si>
    <t>Saül Garreta: «If we push so hard with taxes, 50% of the business is at risk»</t>
  </si>
  <si>
    <t>In the coming days, Saül Garreta will be dismissed as president of the Port of Tarragona, leaving the reins to the current deputy delegate of the Government, Santiago Ca....</t>
  </si>
  <si>
    <r>
      <rPr>
        <rFont val="Arial, sans-serif"/>
        <color rgb="FF1155CC"/>
        <sz val="9.0"/>
        <u/>
      </rPr>
      <t>Turismo de Tenerife</t>
    </r>
    <r>
      <rPr>
        <rFont val="Arial, sans-serif"/>
        <color rgb="FF1155CC"/>
        <sz val="15.0"/>
        <u/>
      </rPr>
      <t>Tenerife acogerá la Gala de los Soles 2025 de la Guía Repsol</t>
    </r>
    <r>
      <rPr>
        <rFont val="Arial, sans-serif"/>
        <color rgb="FF1155CC"/>
        <sz val="11.0"/>
        <u/>
      </rPr>
      <t>Bajo el lema “Tenerife tiene más de un Sol”, los nuevos galardonados de la prestigiosa guía gastronómica se darán a conocer el próximo 17 de marzo en el...</t>
    </r>
    <r>
      <rPr>
        <rFont val="Arial, sans-serif"/>
        <color rgb="FF1155CC"/>
        <sz val="12.0"/>
        <u/>
      </rPr>
      <t>.</t>
    </r>
    <r>
      <rPr>
        <rFont val="Arial, sans-serif"/>
        <color rgb="FF1155CC"/>
        <sz val="11.0"/>
        <u/>
      </rPr>
      <t>28 oct 2024</t>
    </r>
  </si>
  <si>
    <t>Turismo de Tenerife</t>
  </si>
  <si>
    <t>Tenerife acogerá la Gala de los Soles 2025 de la Guía Repsol</t>
  </si>
  <si>
    <t>Bajo el lema “Tenerife tiene más de un Sol”, los nuevos galardonados de la prestigiosa guía gastronómica se darán a conocer el próximo 17 de marzo en el....</t>
  </si>
  <si>
    <t>Tenerife will host the Gala de los Soles 2025 of the Repsol Guide</t>
  </si>
  <si>
    <t>Under the motto “Tenerife has more than one Sun”, the new winners of the prestigious gastronomic guide will be announced on March 17 at the...</t>
  </si>
  <si>
    <r>
      <rPr>
        <rFont val="Arial, sans-serif"/>
        <color rgb="FF1155CC"/>
        <sz val="9.0"/>
        <u/>
      </rPr>
      <t>Energías Renovables, el periodismo de las energías limpias.</t>
    </r>
    <r>
      <rPr>
        <rFont val="Arial, sans-serif"/>
        <color rgb="FF1155CC"/>
        <sz val="15.0"/>
        <u/>
      </rPr>
      <t>STR Cepsa se une a Repsol en su oposición al impuesto sobre las grandes energéticas</t>
    </r>
    <r>
      <rPr>
        <rFont val="Arial, sans-serif"/>
        <color rgb="FF1155CC"/>
        <sz val="11.0"/>
        <u/>
      </rPr>
      <t>El sindicato STR de Cepsa insta a la derogación del impuesto a las grandes energéticas tras el anuncio de Repsol y Cepsa de retirar sus inversiones de...</t>
    </r>
    <r>
      <rPr>
        <rFont val="Arial, sans-serif"/>
        <color rgb="FF1155CC"/>
        <sz val="12.0"/>
        <u/>
      </rPr>
      <t>.</t>
    </r>
    <r>
      <rPr>
        <rFont val="Arial, sans-serif"/>
        <color rgb="FF1155CC"/>
        <sz val="11.0"/>
        <u/>
      </rPr>
      <t>28 oct 2024</t>
    </r>
  </si>
  <si>
    <t>Cepsa se une a Repsol en su oposición al impuesto sobre las grandes energéticas</t>
  </si>
  <si>
    <t>El sindicato STR de Cepsa insta a la derogación del impuesto a las grandes energéticas tras el anuncio de Repsol y Cepsa de retirar sus inversiones de....</t>
  </si>
  <si>
    <t>Cepsa joins Repsol in its opposition to the tax on large energy companies</t>
  </si>
  <si>
    <t>Cepsa's STR union urges the repeal of the tax on large energy companies following the announcement by Repsol and Cepsa to withdraw their investments from...</t>
  </si>
  <si>
    <t>opposition tax, withdraw investments</t>
  </si>
  <si>
    <t>impuesto de oposición, retirar inversiones</t>
  </si>
  <si>
    <t>Negative as it emphasizes the energy sector's pushback against taxation.</t>
  </si>
  <si>
    <t>oposición, "impuesto"</t>
  </si>
  <si>
    <t>Negative due to tax conflict.</t>
  </si>
  <si>
    <r>
      <rPr>
        <rFont val="Arial, sans-serif"/>
        <color rgb="FF1155CC"/>
        <sz val="9.0"/>
        <u/>
      </rPr>
      <t>Hule y Mantel</t>
    </r>
    <r>
      <rPr>
        <rFont val="Arial, sans-serif"/>
        <color rgb="FF1155CC"/>
        <sz val="15.0"/>
        <u/>
      </rPr>
      <t>Lo que se sabe de la gala Soles Repsol 2025: ya tiene ubicación y fecha</t>
    </r>
    <r>
      <rPr>
        <rFont val="Arial, sans-serif"/>
        <color rgb="FF1155CC"/>
        <sz val="11.0"/>
        <u/>
      </rPr>
      <t>La última edición de la gala Soles Guía Repsol, celebrada en febrero de 2023 en Cartagena (Murcia), nos dejó buenas noticias: La Salita (Valencia) de la...</t>
    </r>
    <r>
      <rPr>
        <rFont val="Arial, sans-serif"/>
        <color rgb="FF1155CC"/>
        <sz val="12.0"/>
        <u/>
      </rPr>
      <t>.</t>
    </r>
    <r>
      <rPr>
        <rFont val="Arial, sans-serif"/>
        <color rgb="FF1155CC"/>
        <sz val="11.0"/>
        <u/>
      </rPr>
      <t>28 oct 2024</t>
    </r>
  </si>
  <si>
    <t>Lo que se sabe de la gala Soles Repsol 2025: ya tiene ubicación y fecha</t>
  </si>
  <si>
    <t>La última edición de la gala Soles Guía Repsol, celebrada en febrero de 2023 en Cartagena (Murcia), nos dejó buenas noticias: La Salita (Valencia) de la....</t>
  </si>
  <si>
    <t>What is known about the Soles Repsol 2025 gala: it already has a location and date</t>
  </si>
  <si>
    <t>The latest edition of the Repsol Guide Soles gala, held in February 2023 in Cartagena (Murcia), left us good news: La Salita (Valencia) of the....</t>
  </si>
  <si>
    <r>
      <rPr>
        <rFont val="Arial, sans-serif"/>
        <color rgb="FF1155CC"/>
        <sz val="9.0"/>
        <u/>
      </rPr>
      <t>Economía Digital</t>
    </r>
    <r>
      <rPr>
        <rFont val="Arial, sans-serif"/>
        <color rgb="FF1155CC"/>
        <sz val="15.0"/>
        <u/>
      </rPr>
      <t>Repsol y Cepsa congelan inversiones por el impuestazo entre dudas por el futuro real del hidrógeno</t>
    </r>
    <r>
      <rPr>
        <rFont val="Arial, sans-serif"/>
        <color rgb="FF1155CC"/>
        <sz val="11.0"/>
        <u/>
      </rPr>
      <t>Repsol y Cepsa han sido las petroleras españolas que han puesto nombre, apellidos y cantidad a las inversiones que congelarán en caso de que el Gobierno...</t>
    </r>
    <r>
      <rPr>
        <rFont val="Arial, sans-serif"/>
        <color rgb="FF1155CC"/>
        <sz val="12.0"/>
        <u/>
      </rPr>
      <t>.</t>
    </r>
    <r>
      <rPr>
        <rFont val="Arial, sans-serif"/>
        <color rgb="FF1155CC"/>
        <sz val="11.0"/>
        <u/>
      </rPr>
      <t>28 oct 2024</t>
    </r>
  </si>
  <si>
    <t>Repsol y Cepsa congelan inversiones por el impuestazo entre dudas por el futuro real del hidrógeno</t>
  </si>
  <si>
    <t>Repsol y Cepsa han sido las petroleras españolas que han puesto nombre, apellidos y cantidad a las inversiones que congelarán en caso de que el Gobierno....</t>
  </si>
  <si>
    <t>Repsol and Cepsa freeze investments due to the imposition amid doubts about the real future of hydrogen</t>
  </si>
  <si>
    <t>Repsol and Cepsa have been the Spanish oil companies that have given names, surnames and amounts to the investments that they will freeze in case the Government...</t>
  </si>
  <si>
    <t>freeze investments, doubts on hydrogen future</t>
  </si>
  <si>
    <t>congelar inversiones, dudas sobre el futuro del hidrógeno</t>
  </si>
  <si>
    <t>Negative as it suggests a slowdown in energy transition investments due to taxation.</t>
  </si>
  <si>
    <t>congelan, "impuestazo"</t>
  </si>
  <si>
    <t>Strong negative due to frozen investments.</t>
  </si>
  <si>
    <t>Fuerte negativo debido a las inversiones congeladas.</t>
  </si>
  <si>
    <r>
      <rPr>
        <rFont val="Arial, sans-serif"/>
        <color rgb="FF1155CC"/>
        <sz val="9.0"/>
        <u/>
      </rPr>
      <t>Libre Mercado</t>
    </r>
    <r>
      <rPr>
        <rFont val="Arial, sans-serif"/>
        <color rgb="FF1155CC"/>
        <sz val="15.0"/>
        <u/>
      </rPr>
      <t>Todos los proyectos de Repsol paralizados por el impuestazo de Sánchez</t>
    </r>
    <r>
      <rPr>
        <rFont val="Arial, sans-serif"/>
        <color rgb="FF1155CC"/>
        <sz val="11.0"/>
        <u/>
      </rPr>
      <t>Repasamos los proyectos que Repsol quería poner en marcha en Cataluña, País Vasco y Cartagena y que actualmente están bloqueados por el impuestazo.</t>
    </r>
    <r>
      <rPr>
        <rFont val="Arial, sans-serif"/>
        <color rgb="FF1155CC"/>
        <sz val="12.0"/>
        <u/>
      </rPr>
      <t>.</t>
    </r>
    <r>
      <rPr>
        <rFont val="Arial, sans-serif"/>
        <color rgb="FF1155CC"/>
        <sz val="11.0"/>
        <u/>
      </rPr>
      <t>28 oct 2024</t>
    </r>
  </si>
  <si>
    <t>Todos los proyectos de Repsol paralizados por el impuestazo de Sánchez</t>
  </si>
  <si>
    <t>Repasamos los proyectos que Repsol quería poner en marcha en Cataluña, País Vasco y Cartagena y que actualmente están bloqueados por el impuestazo.</t>
  </si>
  <si>
    <t>All Repsol projects paralyzed by Sánchez's imposition</t>
  </si>
  <si>
    <t>We review the projects that Repsol wanted to launch in Catalonia, the Basque Country and Cartagena and that are currently blocked by the tax.</t>
  </si>
  <si>
    <t>projects paralyzed, Sánchez's imposition</t>
  </si>
  <si>
    <t>Proyectos paralizados, La imposición de Sánchez</t>
  </si>
  <si>
    <t>Negative as it underscores stalled investments linked to government policies.</t>
  </si>
  <si>
    <t>paralizados, "bloqueados"</t>
  </si>
  <si>
    <t>Highly negative for halted projects.</t>
  </si>
  <si>
    <t>Altamente negativo para proyectos paralizados.</t>
  </si>
  <si>
    <r>
      <rPr>
        <rFont val="Arial, sans-serif"/>
        <color rgb="FF1155CC"/>
        <sz val="9.0"/>
        <u/>
      </rPr>
      <t>lamarea.com</t>
    </r>
    <r>
      <rPr>
        <rFont val="Arial, sans-serif"/>
        <color rgb="FF1155CC"/>
        <sz val="15.0"/>
        <u/>
      </rPr>
      <t>Semana clave para el impuesto a las eléctricas: Repsol y Cepsa redoblan la presión contra el Gobierno</t>
    </r>
    <r>
      <rPr>
        <rFont val="Arial, sans-serif"/>
        <color rgb="FF1155CC"/>
        <sz val="11.0"/>
        <u/>
      </rPr>
      <t>Mientras que Iberdrola, Endesa o Naturgy han optado por un discurso más moderado, Repsol y CEPSA han amenazado con retirar inversiones del país.</t>
    </r>
    <r>
      <rPr>
        <rFont val="Arial, sans-serif"/>
        <color rgb="FF1155CC"/>
        <sz val="12.0"/>
        <u/>
      </rPr>
      <t>.</t>
    </r>
    <r>
      <rPr>
        <rFont val="Arial, sans-serif"/>
        <color rgb="FF1155CC"/>
        <sz val="11.0"/>
        <u/>
      </rPr>
      <t>28 oct 2024</t>
    </r>
  </si>
  <si>
    <t>Semana clave para el impuesto a las eléctricas: Repsol y Cepsa redoblan la presión contra el Gobierno</t>
  </si>
  <si>
    <t>Mientras que Iberdrola, Endesa o Naturgy han optado por un discurso más moderado, Repsol y CEPSA han amenazado con retirar inversiones del país.</t>
  </si>
  <si>
    <t>Key week for the tax on electricity companies: Repsol and Cepsa redouble the pressure against the Government</t>
  </si>
  <si>
    <t>While Iberdrola, Endesa and Naturgy have opted for a more moderate discourse, Repsol and CEPSA have threatened to withdraw investments from the country.</t>
  </si>
  <si>
    <t>pressure against Government, withdraw investments</t>
  </si>
  <si>
    <t>presión contra el Gobierno, retirar inversiones</t>
  </si>
  <si>
    <t>Negative as it reinforces tensions between Repsol and the government over taxation.</t>
  </si>
  <si>
    <t>presión, "amenazan"</t>
  </si>
  <si>
    <t>Negative regulatory pressure.</t>
  </si>
  <si>
    <t>Presión regulatoria negativa.</t>
  </si>
  <si>
    <r>
      <rPr>
        <rFont val="Arial, sans-serif"/>
        <color rgb="FF1155CC"/>
        <sz val="9.0"/>
        <u/>
      </rPr>
      <t>www.fundacionrepsol.com</t>
    </r>
    <r>
      <rPr>
        <rFont val="Arial, sans-serif"/>
        <color rgb="FF1155CC"/>
        <sz val="15.0"/>
        <u/>
      </rPr>
      <t>Apoyamos la formación de jóvenes trabajadores de Hispaled para impulsar su empleabilidad</t>
    </r>
    <r>
      <rPr>
        <rFont val="Arial, sans-serif"/>
        <color rgb="FF1155CC"/>
        <sz val="11.0"/>
        <u/>
      </rPr>
      <t>Fundación Repsol y Fundación Santa María la Real han lanzado un innovador programa de formación en competencias transversales y digitales para el empleo en...</t>
    </r>
    <r>
      <rPr>
        <rFont val="Arial, sans-serif"/>
        <color rgb="FF1155CC"/>
        <sz val="12.0"/>
        <u/>
      </rPr>
      <t>.</t>
    </r>
    <r>
      <rPr>
        <rFont val="Arial, sans-serif"/>
        <color rgb="FF1155CC"/>
        <sz val="11.0"/>
        <u/>
      </rPr>
      <t>28 oct 2024</t>
    </r>
  </si>
  <si>
    <t>Apoyamos la formación de jóvenes trabajadores de Hispaled para impulsar su empleabilidad</t>
  </si>
  <si>
    <t>Apoyamos la formación de jóvenes trabajadores de Hispaled para impulsar su empleabilidad.</t>
  </si>
  <si>
    <t>We support the training of young Hispaled workers to boost their employability</t>
  </si>
  <si>
    <t>We support the training of young Hispaled workers to boost their employability.</t>
  </si>
  <si>
    <r>
      <rPr>
        <rFont val="Arial, sans-serif"/>
        <color rgb="FF1155CC"/>
        <sz val="9.0"/>
        <u/>
      </rPr>
      <t>Valencia Plaza</t>
    </r>
    <r>
      <rPr>
        <rFont val="Arial, sans-serif"/>
        <color rgb="FF1155CC"/>
        <sz val="15.0"/>
        <u/>
      </rPr>
      <t>Iberdrola, Cox y Repsol apuestan por el mercado de almacenamiento de energía, que crecerá un 21% anual hasta 2030</t>
    </r>
    <r>
      <rPr>
        <rFont val="Arial, sans-serif"/>
        <color rgb="FF1155CC"/>
        <sz val="11.0"/>
        <u/>
      </rPr>
      <t>VALÈNCIA (Servimedia). El mercado mundial del almacenamiento de energía crecerá a un ritmo anual del 21% hasta alcanzar los 137GW/442GWh en 2030,...</t>
    </r>
    <r>
      <rPr>
        <rFont val="Arial, sans-serif"/>
        <color rgb="FF1155CC"/>
        <sz val="12.0"/>
        <u/>
      </rPr>
      <t>.</t>
    </r>
    <r>
      <rPr>
        <rFont val="Arial, sans-serif"/>
        <color rgb="FF1155CC"/>
        <sz val="11.0"/>
        <u/>
      </rPr>
      <t>28 oct 2024</t>
    </r>
  </si>
  <si>
    <t>Iberdrola, Cox y Repsol apuestan por el mercado de almacenamiento de energía, que crecerá un 21% anual hasta 2030</t>
  </si>
  <si>
    <t>El mercado mundial del almacenamiento de energía crecerá a un ritmo anual del 21% hasta alcanzar los 137GW/442GWh en 2030,....</t>
  </si>
  <si>
    <t>Iberdrola, Cox and Repsol are betting on the energy storage market, which will grow 21% annually until 2030</t>
  </si>
  <si>
    <t>The global energy storage market will grow at an annual rate of 21% to reach 137GW/442GWh in 2030,...</t>
  </si>
  <si>
    <t>Positive as it highlights Repsol’s commitment to energy innovation.</t>
  </si>
  <si>
    <t>apuestan, "crecerá"</t>
  </si>
  <si>
    <t>Positive for strategic growth.</t>
  </si>
  <si>
    <t>Positivo para el crecimiento estratégico.</t>
  </si>
  <si>
    <r>
      <rPr>
        <rFont val="Arial, sans-serif"/>
        <color rgb="FF1155CC"/>
        <sz val="9.0"/>
        <u/>
      </rPr>
      <t>Guía Repsol</t>
    </r>
    <r>
      <rPr>
        <rFont val="Arial, sans-serif"/>
        <color rgb="FF1155CC"/>
        <sz val="15.0"/>
        <u/>
      </rPr>
      <t>El cuatro manos que une la Península Ibéric</t>
    </r>
    <r>
      <rPr>
        <rFont val="Arial, sans-serif"/>
        <color rgb="FF1155CC"/>
        <sz val="11.0"/>
        <u/>
      </rPr>
      <t>El cuatro manos ha sido un diálogo entre Pedro Sánchez del restaurante 'Bagá', de Jaén, y el reconocido cocinero portugués, Vasco Coelho.</t>
    </r>
    <r>
      <rPr>
        <rFont val="Arial, sans-serif"/>
        <color rgb="FF1155CC"/>
        <sz val="12.0"/>
        <u/>
      </rPr>
      <t>.</t>
    </r>
    <r>
      <rPr>
        <rFont val="Arial, sans-serif"/>
        <color rgb="FF1155CC"/>
        <sz val="11.0"/>
        <u/>
      </rPr>
      <t>28 oct 2024</t>
    </r>
  </si>
  <si>
    <t>El cuatro manos que une la Península Ibéric</t>
  </si>
  <si>
    <t>El cuatro manos ha sido un diálogo entre Pedro Sánchez del restaurante 'Bagá', de Jaén, y el reconocido cocinero portugués, Vasco Coelho.</t>
  </si>
  <si>
    <t>The four hands that unites the Iberian Peninsula</t>
  </si>
  <si>
    <t>The four hands has been a dialogue between Pedro Sánchez from the restaurant 'Bagá', in Jaén, and the renowned Portuguese chef, Vasco Coelho.</t>
  </si>
  <si>
    <r>
      <rPr>
        <rFont val="Arial, sans-serif"/>
        <color rgb="FF1155CC"/>
        <sz val="9.0"/>
        <u/>
      </rPr>
      <t>La Comarca de Puertollano</t>
    </r>
    <r>
      <rPr>
        <rFont val="Arial, sans-serif"/>
        <color rgb="FF1155CC"/>
        <sz val="15.0"/>
        <u/>
      </rPr>
      <t>Puertollano: Los sindicatos denuncian que Repsol está sustituyendo con otras empresas a los trabajadores de 'Navec' en huelga indefinida</t>
    </r>
    <r>
      <rPr>
        <rFont val="Arial, sans-serif"/>
        <color rgb="FF1155CC"/>
        <sz val="11.0"/>
        <u/>
      </rPr>
      <t>Aumenta la incertidumbre y el descontento antes de las movilizaciones de este jueves y de la reunión del próximo 4 de noviembre, en la que se constituirá .</t>
    </r>
    <r>
      <rPr>
        <rFont val="Arial, sans-serif"/>
        <color rgb="FF1155CC"/>
        <sz val="12.0"/>
        <u/>
      </rPr>
      <t>.</t>
    </r>
    <r>
      <rPr>
        <rFont val="Arial, sans-serif"/>
        <color rgb="FF1155CC"/>
        <sz val="11.0"/>
        <u/>
      </rPr>
      <t>28 oct 2024</t>
    </r>
  </si>
  <si>
    <t>Puertollano: Los sindicatos denuncian que Repsol está sustituyendo con otras empresas a los trabajadores de 'Navec' en huelga indefinida</t>
  </si>
  <si>
    <t>Aumenta la incertidumbre y el descontento antes de las movilizaciones de este jueves y de la reunión del próximo 4 de noviembre, en la que se constituirá ..</t>
  </si>
  <si>
    <t>Puertollano: Unions denounce that Repsol is replacing 'Navec' workers on indefinite strike with other companies</t>
  </si>
  <si>
    <t>Uncertainty and discontent increase before the mobilizations this Thursday and the meeting on November 4, in which...</t>
  </si>
  <si>
    <t>strike, replacing workers</t>
  </si>
  <si>
    <t>huelga, reemplazo de trabajadores</t>
  </si>
  <si>
    <t>Negative as it links Repsol to labor disputes and allegations of unfair labor practices.</t>
  </si>
  <si>
    <t>denuncian, "huelga"</t>
  </si>
  <si>
    <t>Very negative labor conflict.</t>
  </si>
  <si>
    <t>Conflictividad laboral muy negativa.</t>
  </si>
  <si>
    <r>
      <rPr>
        <rFont val="Arial, sans-serif"/>
        <color rgb="FF1155CC"/>
        <sz val="9.0"/>
        <u/>
      </rPr>
      <t>El Economista</t>
    </r>
    <r>
      <rPr>
        <rFont val="Arial, sans-serif"/>
        <color rgb="FF1155CC"/>
        <sz val="15.0"/>
        <u/>
      </rPr>
      <t>La solar de Repsol y Telefónica puja por los paneles de la sede de la CHJ en Valencia</t>
    </r>
    <r>
      <rPr>
        <rFont val="Arial, sans-serif"/>
        <color rgb="FF1155CC"/>
        <sz val="11.0"/>
        <u/>
      </rPr>
      <t>Solar360, la joint venture formada al 50% por Repsol y por Telefónica para desarrollar instalaciones de autoconsumo fotovoltaico, aspira ...</t>
    </r>
    <r>
      <rPr>
        <rFont val="Arial, sans-serif"/>
        <color rgb="FF1155CC"/>
        <sz val="12.0"/>
        <u/>
      </rPr>
      <t>.</t>
    </r>
    <r>
      <rPr>
        <rFont val="Arial, sans-serif"/>
        <color rgb="FF1155CC"/>
        <sz val="11.0"/>
        <u/>
      </rPr>
      <t>28 oct 2024</t>
    </r>
  </si>
  <si>
    <t>La solar de Repsol y Telefónica puja por los paneles de la sede de la CHJ en Valencia</t>
  </si>
  <si>
    <t>Solar360, la joint venture formada al 50% por Repsol y por Telefónica para desarrollar instalaciones de autoconsumo fotovoltaico, aspira ....</t>
  </si>
  <si>
    <t>The Repsol and Telefónica solar company bids for the panels of the CHJ headquarters in Valencia</t>
  </si>
  <si>
    <t>Solar360, the joint venture formed 50/50 by Repsol and Telefónica to develop photovoltaic self-consumption installations, aspires...</t>
  </si>
  <si>
    <t>solar energy, bids for panels</t>
  </si>
  <si>
    <t>energía solar, licitaciones de paneles</t>
  </si>
  <si>
    <t>Positive as it highlights Repsol’s expansion into renewable energy.</t>
  </si>
  <si>
    <t>solar, "autoconsumo"</t>
  </si>
  <si>
    <t>Positive for renewable energy efforts.</t>
  </si>
  <si>
    <t>Positivo para los esfuerzos de energía renovable.</t>
  </si>
  <si>
    <r>
      <rPr>
        <rFont val="Arial, sans-serif"/>
        <color rgb="FF1155CC"/>
        <sz val="9.0"/>
        <u/>
      </rPr>
      <t>Atlántico Hoy</t>
    </r>
    <r>
      <rPr>
        <rFont val="Arial, sans-serif"/>
        <color rgb="FF1155CC"/>
        <sz val="15.0"/>
        <u/>
      </rPr>
      <t>Tenerife se convierte en capital gastronómica: llegan los Soles Guía Repsol 2025</t>
    </r>
    <r>
      <rPr>
        <rFont val="Arial, sans-serif"/>
        <color rgb="FF1155CC"/>
        <sz val="11.0"/>
        <u/>
      </rPr>
      <t>Tenerife se prepara para acoger, por primera vez, la gala de entrega de los Soles Guía Repsol 2025, que se celebrará el próximo 17 de marzo en Santa Cruz.</t>
    </r>
    <r>
      <rPr>
        <rFont val="Arial, sans-serif"/>
        <color rgb="FF1155CC"/>
        <sz val="12.0"/>
        <u/>
      </rPr>
      <t>.</t>
    </r>
    <r>
      <rPr>
        <rFont val="Arial, sans-serif"/>
        <color rgb="FF1155CC"/>
        <sz val="11.0"/>
        <u/>
      </rPr>
      <t>28 oct 2024</t>
    </r>
  </si>
  <si>
    <t>Tenerife se convierte en capital gastronómica: llegan los Soles Guía Repsol 2025</t>
  </si>
  <si>
    <t>Tenerife se prepara para acoger, por primera vez, la gala de entrega de los Soles Guía Repsol 2025, que se celebrará el próximo 17 de marzo en Santa Cruz.</t>
  </si>
  <si>
    <t>Tenerife becomes the gastronomic capital: the Repsol Guide Suns 2025 arrive</t>
  </si>
  <si>
    <t>Tenerife is preparing to host, for the first time, the Repsol Guide Suns 2025 gala, which will be held on March 17 in Santa Cruz.</t>
  </si>
  <si>
    <r>
      <rPr>
        <rFont val="Arial, sans-serif"/>
        <color rgb="FF1155CC"/>
        <sz val="9.0"/>
        <u/>
      </rPr>
      <t>Repsol</t>
    </r>
    <r>
      <rPr>
        <rFont val="Arial, sans-serif"/>
        <color rgb="FF1155CC"/>
        <sz val="15.0"/>
        <u/>
      </rPr>
      <t>Los 5 mejores patinetes eléctricos del mercado</t>
    </r>
    <r>
      <rPr>
        <rFont val="Arial, sans-serif"/>
        <color rgb="FF1155CC"/>
        <sz val="11.0"/>
        <u/>
      </rPr>
      <t>Si estás pensando en comprar un patinete eléctrico y no sabes por dónde empezar, ¡estás en el lugar correcto! Este medio de transporte sostenible está...</t>
    </r>
    <r>
      <rPr>
        <rFont val="Arial, sans-serif"/>
        <color rgb="FF1155CC"/>
        <sz val="12.0"/>
        <u/>
      </rPr>
      <t>.</t>
    </r>
    <r>
      <rPr>
        <rFont val="Arial, sans-serif"/>
        <color rgb="FF1155CC"/>
        <sz val="11.0"/>
        <u/>
      </rPr>
      <t>28 oct 2024</t>
    </r>
  </si>
  <si>
    <t>Los 5 mejores patinetes eléctricos del mercado</t>
  </si>
  <si>
    <t>Si estás pensando en comprar un patinete eléctrico y no sabes por dónde empezar, ¡estás en el lugar correcto! Este medio de transporte sostenible está....</t>
  </si>
  <si>
    <t>The 5 best electric scooters on the market</t>
  </si>
  <si>
    <t>If you are thinking about buying an electric scooter and don't know where to start, you are in the right place! This sustainable means of transportation is...</t>
  </si>
  <si>
    <r>
      <rPr>
        <rFont val="Arial, sans-serif"/>
        <color rgb="FF1155CC"/>
        <sz val="9.0"/>
        <u/>
      </rPr>
      <t>Expansión</t>
    </r>
    <r>
      <rPr>
        <rFont val="Arial, sans-serif"/>
        <color rgb="FF1155CC"/>
        <sz val="15.0"/>
        <u/>
      </rPr>
      <t>El Ibex supera los 11.900 puntos con el desplome del petróleo</t>
    </r>
    <r>
      <rPr>
        <rFont val="Arial, sans-serif"/>
        <color rgb="FF1155CC"/>
        <sz val="11.0"/>
        <u/>
      </rPr>
      <t>La semana ha comenzado con dominio de las compras en las principales plazas europeas, animadas por las subidas postelectorales del Nikkei japonés y,...</t>
    </r>
    <r>
      <rPr>
        <rFont val="Arial, sans-serif"/>
        <color rgb="FF1155CC"/>
        <sz val="12.0"/>
        <u/>
      </rPr>
      <t>.</t>
    </r>
    <r>
      <rPr>
        <rFont val="Arial, sans-serif"/>
        <color rgb="FF1155CC"/>
        <sz val="11.0"/>
        <u/>
      </rPr>
      <t>28 oct 2024</t>
    </r>
  </si>
  <si>
    <t>El Ibex supera los 11.900 puntos con el desplome del petróleo</t>
  </si>
  <si>
    <t>La semana ha comenzado con dominio de las compras en las principales plazas europeas, animadas por las subidas postelectorales del Nikkei japonés y,....</t>
  </si>
  <si>
    <t>The Ibex exceeds 11,900 points with the collapse of oil</t>
  </si>
  <si>
    <t>The week began with a dominance of purchases in the main European markets, encouraged by the post-election increases in the Japanese Nikkei and....</t>
  </si>
  <si>
    <t>General market news.</t>
  </si>
  <si>
    <t>Noticias generales del mercado.</t>
  </si>
  <si>
    <r>
      <rPr>
        <rFont val="Arial, sans-serif"/>
        <color rgb="FF1155CC"/>
        <sz val="9.0"/>
        <u/>
      </rPr>
      <t>ENCLM</t>
    </r>
    <r>
      <rPr>
        <rFont val="Arial, sans-serif"/>
        <color rgb="FF1155CC"/>
        <sz val="15.0"/>
        <u/>
      </rPr>
      <t>Los trabajadores de Navec convocan una marcha motorizada contra el ERE en Puertollano</t>
    </r>
    <r>
      <rPr>
        <rFont val="Arial, sans-serif"/>
        <color rgb="FF1155CC"/>
        <sz val="11.0"/>
        <u/>
      </rPr>
      <t>Piden que Repsol se "defina" respecto a la cobertura de puestos de trabajadores en huelga recurriendo a una tercera empresa, "lo que no está contribuyendo...</t>
    </r>
    <r>
      <rPr>
        <rFont val="Arial, sans-serif"/>
        <color rgb="FF1155CC"/>
        <sz val="12.0"/>
        <u/>
      </rPr>
      <t>.</t>
    </r>
    <r>
      <rPr>
        <rFont val="Arial, sans-serif"/>
        <color rgb="FF1155CC"/>
        <sz val="11.0"/>
        <u/>
      </rPr>
      <t>28 oct 2024</t>
    </r>
  </si>
  <si>
    <t>Los trabajadores de Navec convocan una marcha motorizada contra el ERE en Puertollano</t>
  </si>
  <si>
    <t>Piden que Repsol se "defina" respecto a la cobertura de puestos de trabajadores en huelga recurriendo a una tercera empresa, "lo que no está contribuiendo....</t>
  </si>
  <si>
    <t>Navec workers call for a motorized march against the ERE in Puertollano</t>
  </si>
  <si>
    <t>They ask that Repsol "define itself" regarding the coverage of positions of striking workers by turning to a third company, "which is not contributing...</t>
  </si>
  <si>
    <t>strike, protest, ERE</t>
  </si>
  <si>
    <t>huelga, protesta, ERE</t>
  </si>
  <si>
    <t>Negative as it continues to highlight labor unrest involving Repsol.</t>
  </si>
  <si>
    <t>huelga, "descontento"</t>
  </si>
  <si>
    <r>
      <rPr>
        <rFont val="Arial, sans-serif"/>
        <color rgb="FF1155CC"/>
        <sz val="9.0"/>
        <u/>
      </rPr>
      <t>Faconauto</t>
    </r>
    <r>
      <rPr>
        <rFont val="Arial, sans-serif"/>
        <color rgb="FF1155CC"/>
        <sz val="15.0"/>
        <u/>
      </rPr>
      <t>El III Observatorio del Vehículo Industrial de Faconauto analizará los retos de la posventa y la atracción de talento</t>
    </r>
    <r>
      <rPr>
        <rFont val="Arial, sans-serif"/>
        <color rgb="FF1155CC"/>
        <sz val="11.0"/>
        <u/>
      </rPr>
      <t>Esta cita reunirá a destacados líderes y expertos del sector del transporte y la logística para debatir sobre los desafíos más relevantes.</t>
    </r>
    <r>
      <rPr>
        <rFont val="Arial, sans-serif"/>
        <color rgb="FF1155CC"/>
        <sz val="12.0"/>
        <u/>
      </rPr>
      <t>.</t>
    </r>
    <r>
      <rPr>
        <rFont val="Arial, sans-serif"/>
        <color rgb="FF1155CC"/>
        <sz val="11.0"/>
        <u/>
      </rPr>
      <t>28 oct 2024</t>
    </r>
  </si>
  <si>
    <t>El III Observatorio del Vehículo Industrial de Faconauto analizará los retos de la posventa y la atracción de talento</t>
  </si>
  <si>
    <t>Esta cita reunirá a destacados líderes y expertos del sector del transporte y la logística para debatir sobre los desafíos más relevantes.</t>
  </si>
  <si>
    <t>The III Faconauto Industrial Vehicle Observatory will analyze the challenges of after-sales and attracting talent</t>
  </si>
  <si>
    <t>This event will bring together prominent leaders and experts from the transportation and logistics sector to discuss the most relevant challenges.</t>
  </si>
  <si>
    <r>
      <rPr>
        <rFont val="Arial, sans-serif"/>
        <color rgb="FF1155CC"/>
        <sz val="9.0"/>
        <u/>
      </rPr>
      <t>Car and Driver</t>
    </r>
    <r>
      <rPr>
        <rFont val="Arial, sans-serif"/>
        <color rgb="FF1155CC"/>
        <sz val="15.0"/>
        <u/>
      </rPr>
      <t>El Range Rover Velar más brutal esconde un motor Lamborghini V10 y está listo para el Rally Dakar</t>
    </r>
    <r>
      <rPr>
        <rFont val="Arial, sans-serif"/>
        <color rgb="FF1155CC"/>
        <sz val="11.0"/>
        <u/>
      </rPr>
      <t>El Land Rover más bestia que hayas conocido está aquí y con esta configuración con el motor atrás se dice que alcanzará los 1.600 CV de potencia.</t>
    </r>
    <r>
      <rPr>
        <rFont val="Arial, sans-serif"/>
        <color rgb="FF1155CC"/>
        <sz val="12.0"/>
        <u/>
      </rPr>
      <t>.</t>
    </r>
    <r>
      <rPr>
        <rFont val="Arial, sans-serif"/>
        <color rgb="FF1155CC"/>
        <sz val="11.0"/>
        <u/>
      </rPr>
      <t>28 oct 2024</t>
    </r>
  </si>
  <si>
    <t>El Range Rover Velar más brutal esconde un motor Lamborghini V10 y está listo para el Rally Dakar</t>
  </si>
  <si>
    <t>El Land Rover más bestia que hayas conocido está aquí y con esta configuración con el motor atrás se dice que alcanzará los 1.600 CV de potencia.</t>
  </si>
  <si>
    <t>The most brutal Range Rover Velar hides a Lamborghini V10 engine and is ready for the Dakar Rally</t>
  </si>
  <si>
    <t>The most beastly Land Rover you have ever known is here and with this configuration with the engine at the back it is said that it will reach 1,600 HP of power.</t>
  </si>
  <si>
    <r>
      <rPr>
        <rFont val="Arial, sans-serif"/>
        <color rgb="FF1155CC"/>
        <sz val="9.0"/>
        <u/>
      </rPr>
      <t>El Confidencial</t>
    </r>
    <r>
      <rPr>
        <rFont val="Arial, sans-serif"/>
        <color rgb="FF1155CC"/>
        <sz val="15.0"/>
        <u/>
      </rPr>
      <t>El órdago de energéticas y banca con el 'impuestazo' acorrala al Gobierno en plena debilidad</t>
    </r>
    <r>
      <rPr>
        <rFont val="Arial, sans-serif"/>
        <color rgb="FF1155CC"/>
        <sz val="11.0"/>
        <u/>
      </rPr>
      <t>Los gigantes del Ibex aprovechan la preocupación, las prisas y la falta de apoyo que existe para sacar adelante el proyecto de ley que transpone la...</t>
    </r>
    <r>
      <rPr>
        <rFont val="Arial, sans-serif"/>
        <color rgb="FF1155CC"/>
        <sz val="12.0"/>
        <u/>
      </rPr>
      <t>.</t>
    </r>
    <r>
      <rPr>
        <rFont val="Arial, sans-serif"/>
        <color rgb="FF1155CC"/>
        <sz val="11.0"/>
        <u/>
      </rPr>
      <t>28 oct 2024</t>
    </r>
  </si>
  <si>
    <t>El órdago de energéticas y banca con el 'impuestazo' acorrala al Gobierno en plena debilidad</t>
  </si>
  <si>
    <t>Los gigantes del Ibex aprovechan la preocupación, las prisas y la falta de apoyo que existe para sacar adelante el proyecto de ley que transpone la....</t>
  </si>
  <si>
    <t>The ordeal of energy and banking with the 'tax' corners the Government in full weakness</t>
  </si>
  <si>
    <t>The Ibex giants take advantage of the concern, the rush and the lack of support that exists to carry out the bill that transposes the...</t>
  </si>
  <si>
    <t>ordeal, tax pressure</t>
  </si>
  <si>
    <t>sufrimiento, presión fiscal</t>
  </si>
  <si>
    <t>Negative as it highlights an ongoing struggle between energy firms and the government.</t>
  </si>
  <si>
    <t>Negative tax pressure.</t>
  </si>
  <si>
    <r>
      <rPr>
        <rFont val="Arial, sans-serif"/>
        <color rgb="FF1155CC"/>
        <sz val="9.0"/>
        <u/>
      </rPr>
      <t>zamora24horas</t>
    </r>
    <r>
      <rPr>
        <rFont val="Arial, sans-serif"/>
        <color rgb="FF1155CC"/>
        <sz val="15.0"/>
        <u/>
      </rPr>
      <t>Zamora acoge desde este próximo martes el I Concurso Regional de Pinchos y Tapas de Castilla y León</t>
    </r>
    <r>
      <rPr>
        <rFont val="Arial, sans-serif"/>
        <color rgb="FF1155CC"/>
        <sz val="11.0"/>
        <u/>
      </rPr>
      <t>El concurso cuenta con un jurado formado por expertos del sector y chefs que aglutinan nueve estrellas Michelin.</t>
    </r>
    <r>
      <rPr>
        <rFont val="Arial, sans-serif"/>
        <color rgb="FF1155CC"/>
        <sz val="12.0"/>
        <u/>
      </rPr>
      <t>.</t>
    </r>
    <r>
      <rPr>
        <rFont val="Arial, sans-serif"/>
        <color rgb="FF1155CC"/>
        <sz val="11.0"/>
        <u/>
      </rPr>
      <t>28 oct 2024</t>
    </r>
  </si>
  <si>
    <t>zamora24horas</t>
  </si>
  <si>
    <t>Zamora acoge desde este próximo martes el I Concurso Regional de Pinchos y Tapas de Castilla y León</t>
  </si>
  <si>
    <t>Zamora acoge desde este próximo martes el I Concurso Regional de Pinchos y Tapas de Castilla y León. El concurso cuenta con un jurado formado por expertos del sector y chefs que aglutinan nueve estrellas Michelin.</t>
  </si>
  <si>
    <t>Starting this coming Tuesday, Zamora will host the I Regional Pinchos and Tapas Contest of Castilla y León</t>
  </si>
  <si>
    <t>Starting this coming Tuesday, Zamora will host the 1st Regional Pinchos and Tapas Contest of Castilla y León. The competition has a jury made up of sector experts and chefs who have nine Michelin stars.</t>
  </si>
  <si>
    <r>
      <rPr>
        <rFont val="Arial, sans-serif"/>
        <color rgb="FF1155CC"/>
        <sz val="9.0"/>
        <u/>
      </rPr>
      <t>El Economista</t>
    </r>
    <r>
      <rPr>
        <rFont val="Arial, sans-serif"/>
        <color rgb="FF1155CC"/>
        <sz val="15.0"/>
        <u/>
      </rPr>
      <t>El freno de las petroleras al hidrógeno por el 'impuestazo' arriesga el 15% de los proyectos en España</t>
    </r>
    <r>
      <rPr>
        <rFont val="Arial, sans-serif"/>
        <color rgb="FF1155CC"/>
        <sz val="11.0"/>
        <u/>
      </rPr>
      <t>La posible prórroga al impuesto extraordinario a las energéticas amenaza el 15% de todos los proyectos anunciados en España a futuro. La ...</t>
    </r>
    <r>
      <rPr>
        <rFont val="Arial, sans-serif"/>
        <color rgb="FF1155CC"/>
        <sz val="12.0"/>
        <u/>
      </rPr>
      <t>.</t>
    </r>
    <r>
      <rPr>
        <rFont val="Arial, sans-serif"/>
        <color rgb="FF1155CC"/>
        <sz val="11.0"/>
        <u/>
      </rPr>
      <t>28 oct 2024</t>
    </r>
  </si>
  <si>
    <t>El freno de las petroleras al hidrógeno por el 'impuestazo' arriesga el 15% de los proyectos en España</t>
  </si>
  <si>
    <t>La posible prórroga al impuesto extraordinario a las energéticas amenaza el 15% de todos los proyectos anunciados en España a futuro. La ....</t>
  </si>
  <si>
    <t>The brake by oil companies on hydrogen due to the 'tax' risks 15% of the projects in Spain</t>
  </si>
  <si>
    <t>The possible extension of the extraordinary tax on energy companies threatens 15% of all projects announced in Spain in the future. The ....</t>
  </si>
  <si>
    <t>brake on hydrogen, tax risks</t>
  </si>
  <si>
    <t>freno al hidrógeno, riesgos fiscales</t>
  </si>
  <si>
    <t>Negative as it suggests the tax policy is obstructing clean energy initiatives.</t>
  </si>
  <si>
    <t>freno, "arriesga"</t>
  </si>
  <si>
    <t>Negative for project delays.</t>
  </si>
  <si>
    <t>Negativo por retrasos en el proyecto.</t>
  </si>
  <si>
    <r>
      <rPr>
        <rFont val="Arial, sans-serif"/>
        <color rgb="FF1155CC"/>
        <sz val="9.0"/>
        <u/>
      </rPr>
      <t>Box Repsol</t>
    </r>
    <r>
      <rPr>
        <rFont val="Arial, sans-serif"/>
        <color rgb="FF1155CC"/>
        <sz val="15.0"/>
        <u/>
      </rPr>
      <t>Horarios MotoGP Malasia 2024: fechas y cómo ver en TV y online el GP</t>
    </r>
    <r>
      <rPr>
        <rFont val="Arial, sans-serif"/>
        <color rgb="FF1155CC"/>
        <sz val="11.0"/>
        <u/>
      </rPr>
      <t>Horarios y transmisión en vivo de MotoGP en Malasia: No te pierdas ni un segundo de la acción en pista con nuestra guía completa.</t>
    </r>
    <r>
      <rPr>
        <rFont val="Arial, sans-serif"/>
        <color rgb="FF1155CC"/>
        <sz val="12.0"/>
        <u/>
      </rPr>
      <t>.</t>
    </r>
    <r>
      <rPr>
        <rFont val="Arial, sans-serif"/>
        <color rgb="FF1155CC"/>
        <sz val="11.0"/>
        <u/>
      </rPr>
      <t>28 oct 2024</t>
    </r>
  </si>
  <si>
    <t>Horarios MotoGP Malasia 2024: fechas y cómo ver en TV y online el GP</t>
  </si>
  <si>
    <t>No te pierdas ni un segundo de la acción en pista con nuestra guía completa.</t>
  </si>
  <si>
    <t>MotoGP Malaysia 2024 schedules: dates and how to watch the GP on TV and online</t>
  </si>
  <si>
    <t>Don't miss a second of the action on the track with our complete guide.</t>
  </si>
  <si>
    <r>
      <rPr>
        <rFont val="Arial, sans-serif"/>
        <color rgb="FF1155CC"/>
        <sz val="9.0"/>
        <u/>
      </rPr>
      <t>Actualidad Ambiental</t>
    </r>
    <r>
      <rPr>
        <rFont val="Arial, sans-serif"/>
        <color rgb="FF1155CC"/>
        <sz val="15.0"/>
        <u/>
      </rPr>
      <t>Derrame de Repsol y la incansable lucha por conseguir justicia</t>
    </r>
    <r>
      <rPr>
        <rFont val="Arial, sans-serif"/>
        <color rgb="FF1155CC"/>
        <sz val="11.0"/>
        <u/>
      </rPr>
      <t>Foto: Diego Pérez / SPDA “Historia de un derrame”, una iniciativa integral desarrollada por la SPDA, que aborda el impacto del derrame de petróleo en el mar...</t>
    </r>
    <r>
      <rPr>
        <rFont val="Arial, sans-serif"/>
        <color rgb="FF1155CC"/>
        <sz val="12.0"/>
        <u/>
      </rPr>
      <t>.</t>
    </r>
    <r>
      <rPr>
        <rFont val="Arial, sans-serif"/>
        <color rgb="FF1155CC"/>
        <sz val="11.0"/>
        <u/>
      </rPr>
      <t>28 oct 2024</t>
    </r>
  </si>
  <si>
    <t>Derrame de Repsol y la incansable lucha por conseguir justicia</t>
  </si>
  <si>
    <t>“Historia de un derrame”, una iniciativa integral desarrollada por la SPDA, que aborda el impacto del derrame de petróleo en el mar....</t>
  </si>
  <si>
    <t>Repsol spill and the tireless fight to achieve justice</t>
  </si>
  <si>
    <t>“Story of a Spill”, a comprehensive initiative developed by the SPDA, which addresses the impact of the oil spill on the sea....</t>
  </si>
  <si>
    <t>oil spill, justice fight</t>
  </si>
  <si>
    <t>derrame de petróleo, lucha por la justicia</t>
  </si>
  <si>
    <t>Highly negative as it focuses on an environmental disaster and potential legal consequences for Repsol.</t>
  </si>
  <si>
    <t>derrame, "impacto"</t>
  </si>
  <si>
    <t>Extremely negative environmental issue.</t>
  </si>
  <si>
    <t>Cuestión medioambiental extremadamente negativa.</t>
  </si>
  <si>
    <r>
      <rPr>
        <rFont val="Arial, sans-serif"/>
        <color rgb="FF1155CC"/>
        <sz val="9.0"/>
        <u/>
      </rPr>
      <t>Car and Driver</t>
    </r>
    <r>
      <rPr>
        <rFont val="Arial, sans-serif"/>
        <color rgb="FF1155CC"/>
        <sz val="15.0"/>
        <u/>
      </rPr>
      <t>Repsol ofrece un nuevo diésel en 580 gasolineras... con un descuento de 10 céntimos por litro</t>
    </r>
    <r>
      <rPr>
        <rFont val="Arial, sans-serif"/>
        <color rgb="FF1155CC"/>
        <sz val="11.0"/>
        <u/>
      </rPr>
      <t>Electricidad, combustibles renovables y el hidrógeno estas son las apuestas de Repsol para reducir las emisiones de gases de efecto invernadero.</t>
    </r>
    <r>
      <rPr>
        <rFont val="Arial, sans-serif"/>
        <color rgb="FF1155CC"/>
        <sz val="12.0"/>
        <u/>
      </rPr>
      <t>.</t>
    </r>
    <r>
      <rPr>
        <rFont val="Arial, sans-serif"/>
        <color rgb="FF1155CC"/>
        <sz val="11.0"/>
        <u/>
      </rPr>
      <t>29 oct 2024</t>
    </r>
  </si>
  <si>
    <t>Repsol ofrece un nuevo diésel en 580 gasolineras... con un descuento de 10 céntimos por litro</t>
  </si>
  <si>
    <t>Electricidad, combustibles renovables y el hidrógeno estas son las apuestas de Repsol para reducir las emisiones de gases de efecto invernadero.</t>
  </si>
  <si>
    <t>Repsol offers a new diesel at 580 gas stations... with a discount of 10 cents per liter</t>
  </si>
  <si>
    <t>Electricity, renewable fuels and hydrogen, these are Repsol's bets to reduce greenhouse gas emissions.</t>
  </si>
  <si>
    <t>renewable fuels, reduce emissions</t>
  </si>
  <si>
    <t>combustibles renovables, reducir emisiones</t>
  </si>
  <si>
    <t>Positive as it highlights Repsol’s steps toward sustainability.</t>
  </si>
  <si>
    <t>descuento, "renovable"</t>
  </si>
  <si>
    <t>Mildly positive for customer offer.</t>
  </si>
  <si>
    <t>Ligeramente positivo para la oferta al cliente.</t>
  </si>
  <si>
    <r>
      <rPr>
        <rFont val="Arial, sans-serif"/>
        <color rgb="FF1155CC"/>
        <sz val="9.0"/>
        <u/>
      </rPr>
      <t>Transporte 3</t>
    </r>
    <r>
      <rPr>
        <rFont val="Arial, sans-serif"/>
        <color rgb="FF1155CC"/>
        <sz val="15.0"/>
        <u/>
      </rPr>
      <t>Diésel Nexa: El combustible premium 100% renovable de Repsol</t>
    </r>
    <r>
      <rPr>
        <rFont val="Arial, sans-serif"/>
        <color rgb="FF1155CC"/>
        <sz val="11.0"/>
        <u/>
      </rPr>
      <t>El Diésel Nexa 100% renovable cuenta con una formulación exclusiva que optimiza las prestaciones y alarga la vida del motor de los vehículos de gasóleo.</t>
    </r>
    <r>
      <rPr>
        <rFont val="Arial, sans-serif"/>
        <color rgb="FF1155CC"/>
        <sz val="12.0"/>
        <u/>
      </rPr>
      <t>.</t>
    </r>
    <r>
      <rPr>
        <rFont val="Arial, sans-serif"/>
        <color rgb="FF1155CC"/>
        <sz val="11.0"/>
        <u/>
      </rPr>
      <t>29 oct 2024</t>
    </r>
  </si>
  <si>
    <t>Diésel Nexa: El combustible premium 100% renovable de Repsol</t>
  </si>
  <si>
    <t>El Diésel Nexa 100% renovable cuenta con una formulación exclusiva que optimiza las prestaciones y alarga la vida del motor de los vehículos de gasóleo.</t>
  </si>
  <si>
    <t>Nexa Diesel: Repsol's 100% renewable premium fuel</t>
  </si>
  <si>
    <t>The 100% renewable Nexa Diesel has an exclusive formulation that optimizes the performance and extends the life of the engine of diesel vehicles.</t>
  </si>
  <si>
    <t>100% renewable, premium fuel</t>
  </si>
  <si>
    <t>100% renovable, combustible premium</t>
  </si>
  <si>
    <t>Positive as it showcases Repsol’s innovation in sustainable fuels.</t>
  </si>
  <si>
    <t>renovable, "optimiza"</t>
  </si>
  <si>
    <r>
      <rPr>
        <rFont val="Arial, sans-serif"/>
        <color rgb="FF1155CC"/>
        <sz val="9.0"/>
        <u/>
      </rPr>
      <t>www.fundacionrepsol.com</t>
    </r>
    <r>
      <rPr>
        <rFont val="Arial, sans-serif"/>
        <color rgb="FF1155CC"/>
        <sz val="15.0"/>
        <u/>
      </rPr>
      <t>TravelClub y sus socios se suman al proyecto Motor Verde</t>
    </r>
    <r>
      <rPr>
        <rFont val="Arial, sans-serif"/>
        <color rgb="FF1155CC"/>
        <sz val="11.0"/>
        <u/>
      </rPr>
      <t>El proyecto de Repsol y Sylvestris contribuye a generar un efecto transformador en la naturaleza y la sociedad en la comarca de Las Hurdes.</t>
    </r>
    <r>
      <rPr>
        <rFont val="Arial, sans-serif"/>
        <color rgb="FF1155CC"/>
        <sz val="12.0"/>
        <u/>
      </rPr>
      <t>.</t>
    </r>
    <r>
      <rPr>
        <rFont val="Arial, sans-serif"/>
        <color rgb="FF1155CC"/>
        <sz val="11.0"/>
        <u/>
      </rPr>
      <t>29 oct 2024</t>
    </r>
  </si>
  <si>
    <t>TravelClub y sus socios se suman al proyecto Motor Verde</t>
  </si>
  <si>
    <t>El proyecto de Repsol y Sylvestris contribuye a generar un efecto transformador en la naturaleza y la sociedad en la comarca de Las Hurdes.</t>
  </si>
  <si>
    <t>TravelClub and its partners join the Motor Verde project</t>
  </si>
  <si>
    <t>The Repsol and Sylvestris project contributes to generating a transformative effect on nature and society in the Las Hurdes region.</t>
  </si>
  <si>
    <r>
      <rPr>
        <rFont val="Arial, sans-serif"/>
        <color rgb="FF1155CC"/>
        <sz val="9.0"/>
        <u/>
      </rPr>
      <t>El Cierre Digital</t>
    </r>
    <r>
      <rPr>
        <rFont val="Arial, sans-serif"/>
        <color rgb="FF1155CC"/>
        <sz val="15.0"/>
        <u/>
      </rPr>
      <t>Repsol se apoya en Junts per Catalunya y en el PNV para ganarle el 'pulso' a Sánchez</t>
    </r>
    <r>
      <rPr>
        <rFont val="Arial, sans-serif"/>
        <color rgb="FF1155CC"/>
        <sz val="11.0"/>
        <u/>
      </rPr>
      <t>Repsol ha amenazado al Gobierno de España con llevarse una inversión de 1.100 millones de euros desde Tarragona a Portugal si mantiene un impuesto.</t>
    </r>
    <r>
      <rPr>
        <rFont val="Arial, sans-serif"/>
        <color rgb="FF1155CC"/>
        <sz val="12.0"/>
        <u/>
      </rPr>
      <t>.</t>
    </r>
    <r>
      <rPr>
        <rFont val="Arial, sans-serif"/>
        <color rgb="FF1155CC"/>
        <sz val="11.0"/>
        <u/>
      </rPr>
      <t>29 oct 2024</t>
    </r>
  </si>
  <si>
    <t>Repsol se apoya en Junts per Catalunya y en el PNV para ganarle el 'pulso' a Sánchez</t>
  </si>
  <si>
    <t>Repsol ha amenazado al Gobierno de España con llevarse una inversión de 1.100 millones de euros desde Tarragona a Portugal si mantiene un impuesto.</t>
  </si>
  <si>
    <t>Repsol relies on Junts per Catalunya and the PNV to beat Sánchez</t>
  </si>
  <si>
    <t>Repsol has threatened the Government of Spain with taking an investment of 1.1 billion euros from Tarragona to Portugal if it maintains a tax.</t>
  </si>
  <si>
    <t>threatened government, investment to Portugal</t>
  </si>
  <si>
    <t>Gobierno amenazado, inversión en Portugal</t>
  </si>
  <si>
    <t>Negative as it emphasizes Repsol’s political maneuvering and investment relocation threats.</t>
  </si>
  <si>
    <t>amenazado, "inversión"</t>
  </si>
  <si>
    <t>Negative for political conflict.</t>
  </si>
  <si>
    <t>Negativo para el conflicto político.</t>
  </si>
  <si>
    <r>
      <rPr>
        <rFont val="Arial, sans-serif"/>
        <color rgb="FF1155CC"/>
        <sz val="9.0"/>
        <u/>
      </rPr>
      <t>20Minutos</t>
    </r>
    <r>
      <rPr>
        <rFont val="Arial, sans-serif"/>
        <color rgb="FF1155CC"/>
        <sz val="15.0"/>
        <u/>
      </rPr>
      <t>Naturgy pide "estabilidad fiscal" en plena ofensiva de Repsol y Cepsa contra el impuesto energético y el compás de espera de Iberdrola</t>
    </r>
    <r>
      <rPr>
        <rFont val="Arial, sans-serif"/>
        <color rgb="FF1155CC"/>
        <sz val="11.0"/>
        <u/>
      </rPr>
      <t>Cepsa y Repsol advierten de que paralizarán sus inversiones en España; Iberdrola confía en que no se apruebe.</t>
    </r>
    <r>
      <rPr>
        <rFont val="Arial, sans-serif"/>
        <color rgb="FF1155CC"/>
        <sz val="12.0"/>
        <u/>
      </rPr>
      <t>.</t>
    </r>
    <r>
      <rPr>
        <rFont val="Arial, sans-serif"/>
        <color rgb="FF1155CC"/>
        <sz val="11.0"/>
        <u/>
      </rPr>
      <t>29 oct 2024</t>
    </r>
  </si>
  <si>
    <t>Naturgy pide "estabilidad fiscal" en plena ofensiva de Repsol y Cepsa contra el impuesto energético y el compás de espera de Iberdrola</t>
  </si>
  <si>
    <t>Cepsa y Repsol advierten de que paralizarán sus inversiones en España; Iberdrola confía en que no se apruebe.</t>
  </si>
  <si>
    <t>Naturgy calls for "fiscal stability" in the midst of Repsol and Cepsa's offensive against the energy tax and Iberdrola's waiting period</t>
  </si>
  <si>
    <t>Cepsa and Repsol warn that they will paralyze their investments in Spain; Iberdrola is confident that it will not be approved.</t>
  </si>
  <si>
    <t>fiscal stability, offensive against tax</t>
  </si>
  <si>
    <t>estabilidad fiscal, ofensiva contra los impuestos</t>
  </si>
  <si>
    <t>Negative as it reinforces tensions over taxation in the energy sector.</t>
  </si>
  <si>
    <t>ofensiva, "paralizarán"</t>
  </si>
  <si>
    <r>
      <rPr>
        <rFont val="Arial, sans-serif"/>
        <color rgb="FF1155CC"/>
        <sz val="9.0"/>
        <u/>
      </rPr>
      <t>Murciadiario</t>
    </r>
    <r>
      <rPr>
        <rFont val="Arial, sans-serif"/>
        <color rgb="FF1155CC"/>
        <sz val="15.0"/>
        <u/>
      </rPr>
      <t>López Miras traslada su apoyo a Repsol y a sus inversiones en Cartagena</t>
    </r>
    <r>
      <rPr>
        <rFont val="Arial, sans-serif"/>
        <color rgb="FF1155CC"/>
        <sz val="11.0"/>
        <u/>
      </rPr>
      <t>El presidente de la Región de Murcia, Fernando López Miras, se reunió este martes con el presidente de Repsol, Antonio Brufau, a quien trasladó “todo el...</t>
    </r>
    <r>
      <rPr>
        <rFont val="Arial, sans-serif"/>
        <color rgb="FF1155CC"/>
        <sz val="12.0"/>
        <u/>
      </rPr>
      <t>.</t>
    </r>
    <r>
      <rPr>
        <rFont val="Arial, sans-serif"/>
        <color rgb="FF1155CC"/>
        <sz val="11.0"/>
        <u/>
      </rPr>
      <t>29 oct 2024</t>
    </r>
  </si>
  <si>
    <t>López Miras traslada su apoyo a Repsol y a sus inversiones en Cartagena</t>
  </si>
  <si>
    <t>El presidente de la Región de Murcia, Fernando López Miras, se reunió este martes con el presidente de Repsol, Antonio Brufau, a quien trasladó “todo el....</t>
  </si>
  <si>
    <t>López Miras transfers his support to Repsol and its investments in Cartagena</t>
  </si>
  <si>
    <t>The president of the Region of Murcia, Fernando López Miras, met this Tuesday with the president of Repsol, Antonio Brufau, to whom he conveyed “all the...</t>
  </si>
  <si>
    <t>support for Repsol, investment</t>
  </si>
  <si>
    <t>apoyo a Repsol, inversión</t>
  </si>
  <si>
    <t>Positive as it highlights political support for Repsol’s projects.</t>
  </si>
  <si>
    <t>apoyo, "inversiones"</t>
  </si>
  <si>
    <t>Positive political backing.</t>
  </si>
  <si>
    <t>Respaldo político positivo.</t>
  </si>
  <si>
    <r>
      <rPr>
        <rFont val="Arial, sans-serif"/>
        <color rgb="FF1155CC"/>
        <sz val="9.0"/>
        <u/>
      </rPr>
      <t>La Razón</t>
    </r>
    <r>
      <rPr>
        <rFont val="Arial, sans-serif"/>
        <color rgb="FF1155CC"/>
        <sz val="15.0"/>
        <u/>
      </rPr>
      <t>Repsol lanza en sus estaciones de servicio Diésel Nexa 100% renovable, la marca comercial de su combustible pr</t>
    </r>
    <r>
      <rPr>
        <rFont val="Arial, sans-serif"/>
        <color rgb="FF1155CC"/>
        <sz val="11.0"/>
        <u/>
      </rPr>
      <t>En su apuesta por los combustibles renovables,Repsol lanza el Diésel Nexa 100% renovable en sus estaciones de servicio. Se trata de un combustible de...</t>
    </r>
    <r>
      <rPr>
        <rFont val="Arial, sans-serif"/>
        <color rgb="FF1155CC"/>
        <sz val="12.0"/>
        <u/>
      </rPr>
      <t>.</t>
    </r>
    <r>
      <rPr>
        <rFont val="Arial, sans-serif"/>
        <color rgb="FF1155CC"/>
        <sz val="11.0"/>
        <u/>
      </rPr>
      <t>29 oct 2024</t>
    </r>
  </si>
  <si>
    <t>Repsol lanza en sus estaciones de servicio Diésel Nexa 100% renovable, la marca comercial de su combustible pr</t>
  </si>
  <si>
    <t>En su apuesta por los combustibles renovables, Repsol lanza el Diésel Nexa 100% renovable en sus estaciones de servicio. Se trata de un combustible de....</t>
  </si>
  <si>
    <t>Repsol launches 100% renewable Nexa Diesel at its service stations, the commercial brand of its pr fuel</t>
  </si>
  <si>
    <t>In its commitment to renewable fuels, Repsol launches 100% renewable Nexa Diesel at its service stations. It is a fuel of...</t>
  </si>
  <si>
    <t>100% renewable fuel, commitment to sustainability</t>
  </si>
  <si>
    <t>Combustible 100% renovable, compromiso con la sostenibilidad</t>
  </si>
  <si>
    <t>Positive as it highlights Repsol’s green energy initiatives.</t>
  </si>
  <si>
    <t>renovable, "premium"</t>
  </si>
  <si>
    <t>Positive product launch.</t>
  </si>
  <si>
    <t>Lanzamiento positivo del producto.</t>
  </si>
  <si>
    <r>
      <rPr>
        <rFont val="Arial, sans-serif"/>
        <color rgb="FF1155CC"/>
        <sz val="9.0"/>
        <u/>
      </rPr>
      <t>El Nacional.cat</t>
    </r>
    <r>
      <rPr>
        <rFont val="Arial, sans-serif"/>
        <color rgb="FF1155CC"/>
        <sz val="15.0"/>
        <u/>
      </rPr>
      <t>Repsol pone marca a su diésel 100% renovable: Diésel Nexa</t>
    </r>
    <r>
      <rPr>
        <rFont val="Arial, sans-serif"/>
        <color rgb="FF1155CC"/>
        <sz val="11.0"/>
        <u/>
      </rPr>
      <t>Diésel Nexa 100% renovable es el nuevo combustible de Repsol, que ha lanzado esta marca comercial para identificar a un producto proveniente de residuos...</t>
    </r>
    <r>
      <rPr>
        <rFont val="Arial, sans-serif"/>
        <color rgb="FF1155CC"/>
        <sz val="12.0"/>
        <u/>
      </rPr>
      <t>.</t>
    </r>
    <r>
      <rPr>
        <rFont val="Arial, sans-serif"/>
        <color rgb="FF1155CC"/>
        <sz val="11.0"/>
        <u/>
      </rPr>
      <t>29 oct 2024</t>
    </r>
  </si>
  <si>
    <t>Repsol pone marca a su diésel 100% renovable: Diésel Nexa</t>
  </si>
  <si>
    <t>Diésel Nexa 100% renovable es el nuevo combustible de Repsol, que ha lanzado esta marca comercial para identificar a un producto proveniente de residuos.</t>
  </si>
  <si>
    <t>Repsol brands its 100% renewable diesel: Nexa Diesel</t>
  </si>
  <si>
    <t>100% renewable Nexa diesel is the new fuel from Repsol, which has launched this commercial brand to identify a product from waste.</t>
  </si>
  <si>
    <t>100% renewable, sustainable fuel</t>
  </si>
  <si>
    <t>100% renovable, combustible sostenible</t>
  </si>
  <si>
    <t>Positive as it reinforces Repsol’s investment in renewable energy.</t>
  </si>
  <si>
    <t>renovable, "residuos"</t>
  </si>
  <si>
    <t>Positive eco-friendly move.</t>
  </si>
  <si>
    <t>Movimiento positivo y ecológico.</t>
  </si>
  <si>
    <r>
      <rPr>
        <rFont val="Arial, sans-serif"/>
        <color rgb="FF1155CC"/>
        <sz val="9.0"/>
        <u/>
      </rPr>
      <t>ABC</t>
    </r>
    <r>
      <rPr>
        <rFont val="Arial, sans-serif"/>
        <color rgb="FF1155CC"/>
        <sz val="15.0"/>
        <u/>
      </rPr>
      <t>Repsol y Cepsa aguardan la decisión sobre el impuestazo con el negocio del hidrógeno en mínimos</t>
    </r>
    <r>
      <rPr>
        <rFont val="Arial, sans-serif"/>
        <color rgb="FF1155CC"/>
        <sz val="11.0"/>
        <u/>
      </rPr>
      <t>Financial Times publica un duro artículo donde cuestiona el futuro de esta tecnología.</t>
    </r>
    <r>
      <rPr>
        <rFont val="Arial, sans-serif"/>
        <color rgb="FF1155CC"/>
        <sz val="12.0"/>
        <u/>
      </rPr>
      <t>.</t>
    </r>
    <r>
      <rPr>
        <rFont val="Arial, sans-serif"/>
        <color rgb="FF1155CC"/>
        <sz val="11.0"/>
        <u/>
      </rPr>
      <t>29 oct 2024</t>
    </r>
  </si>
  <si>
    <t>Repsol y Cepsa aguardan la decisión sobre el impuestazo con el negocio del hidrógeno en mínimos</t>
  </si>
  <si>
    <t>Financial Times publica un duro artículo donde cuestiona el futuro de esta tecnología.</t>
  </si>
  <si>
    <t>Repsol and Cepsa await the decision on the tax with the hydrogen business at a minimum</t>
  </si>
  <si>
    <t>Financial Times publishes a harsh article questioning the future of this technology.</t>
  </si>
  <si>
    <t>tax uncertainty, hydrogen business at risk</t>
  </si>
  <si>
    <t>incertidumbre fiscal, negocio del hidrógeno en riesgo</t>
  </si>
  <si>
    <t>Negative as it suggests concerns about the viability of Repsol’s hydrogen projects.</t>
  </si>
  <si>
    <t>impuestazo, "riesgo"</t>
  </si>
  <si>
    <r>
      <rPr>
        <rFont val="Arial, sans-serif"/>
        <color rgb="FF1155CC"/>
        <sz val="9.0"/>
        <u/>
      </rPr>
      <t>Guía Repsol</t>
    </r>
    <r>
      <rPr>
        <rFont val="Arial, sans-serif"/>
        <color rgb="FF1155CC"/>
        <sz val="15.0"/>
        <u/>
      </rPr>
      <t>¿Qué tiene la molleja para estar en todas las cartas?</t>
    </r>
    <r>
      <rPr>
        <rFont val="Arial, sans-serif"/>
        <color rgb="FF1155CC"/>
        <sz val="11.0"/>
        <u/>
      </rPr>
      <t>"La molleja es una pieza única, bien trabajada lo tiene todo, sabor, textura...", dice Pedro Sánchez, de 'Bagá'. Él es uno de los cocineros rendidos a esta...</t>
    </r>
    <r>
      <rPr>
        <rFont val="Arial, sans-serif"/>
        <color rgb="FF1155CC"/>
        <sz val="12.0"/>
        <u/>
      </rPr>
      <t>.</t>
    </r>
    <r>
      <rPr>
        <rFont val="Arial, sans-serif"/>
        <color rgb="FF1155CC"/>
        <sz val="11.0"/>
        <u/>
      </rPr>
      <t>29 oct 2024</t>
    </r>
  </si>
  <si>
    <t>¿Qué tiene la molleja para estar en todas las cartas?</t>
  </si>
  <si>
    <t>"La molleja es una pieza única, bien trabajada lo tiene todo, sabor, textura...", dice Pedro Sánchez, de 'Bagá'. Él es uno de los cocineros rendidos a esta....</t>
  </si>
  <si>
    <t>What does the gizzard have to be on all the cards?</t>
  </si>
  <si>
    <t>"The gizzard is a unique piece, well worked it has everything, flavor, texture...", says Pedro Sánchez, from 'Bagá'. He is one of the chefs surrendered to this....</t>
  </si>
  <si>
    <r>
      <rPr>
        <rFont val="Arial, sans-serif"/>
        <color rgb="FF1155CC"/>
        <sz val="9.0"/>
        <u/>
      </rPr>
      <t>Almeria Noticias</t>
    </r>
    <r>
      <rPr>
        <rFont val="Arial, sans-serif"/>
        <color rgb="FF1155CC"/>
        <sz val="15.0"/>
        <u/>
      </rPr>
      <t>Repsol lanza la marca comercial de su combustible premium Diésel Nexa 100% renovable</t>
    </r>
    <r>
      <rPr>
        <rFont val="Arial, sans-serif"/>
        <color rgb="FF1155CC"/>
        <sz val="11.0"/>
        <u/>
      </rPr>
      <t>Repsol continúa con su apuesta por los combustibles renovables y ha establecido un nombre comercial para su diésel 100% verde de más alta gama en el mercado...</t>
    </r>
    <r>
      <rPr>
        <rFont val="Arial, sans-serif"/>
        <color rgb="FF1155CC"/>
        <sz val="12.0"/>
        <u/>
      </rPr>
      <t>.</t>
    </r>
    <r>
      <rPr>
        <rFont val="Arial, sans-serif"/>
        <color rgb="FF1155CC"/>
        <sz val="11.0"/>
        <u/>
      </rPr>
      <t>29 oct 2024</t>
    </r>
  </si>
  <si>
    <t>Almeria Noticias</t>
  </si>
  <si>
    <t>Repsol lanza la marca comercial de su combustible premium Diésel Nexa 100% renovable</t>
  </si>
  <si>
    <t>Repsol continúa con su apuesta por los combustibles renovables y ha establecido un nombre comercial para su diésel 100% verde de más alta gama en el mercado....</t>
  </si>
  <si>
    <t>Repsol launches the commercial brand of its 100% renewable Nexa Diesel premium fuel</t>
  </si>
  <si>
    <t>Repsol continues with its commitment to renewable fuels and has established a commercial name for its highest-end 100% green diesel on the market....</t>
  </si>
  <si>
    <t>Positive as it promotes Repsol’s sustainable product line.</t>
  </si>
  <si>
    <t>Positive innovation.</t>
  </si>
  <si>
    <t>Innovación positiva.</t>
  </si>
  <si>
    <r>
      <rPr>
        <rFont val="Arial, sans-serif"/>
        <color rgb="FF1155CC"/>
        <sz val="9.0"/>
        <u/>
      </rPr>
      <t>Investing.com España</t>
    </r>
    <r>
      <rPr>
        <rFont val="Arial, sans-serif"/>
        <color rgb="FF1155CC"/>
        <sz val="15.0"/>
        <u/>
      </rPr>
      <t>Análisis técnico de Banco Santander, Repsol y Grifols</t>
    </r>
    <r>
      <rPr>
        <rFont val="Arial, sans-serif"/>
        <color rgb="FF1155CC"/>
        <sz val="11.0"/>
        <u/>
      </rPr>
      <t>Análisis de Acciones por Juan Manuel Benito cubriendo: Grifols S.A., Repsol S.A., Banco Santander S.A.. Lea los Análisis de Acciones de Juan Manuel Benito...</t>
    </r>
    <r>
      <rPr>
        <rFont val="Arial, sans-serif"/>
        <color rgb="FF1155CC"/>
        <sz val="12.0"/>
        <u/>
      </rPr>
      <t>.</t>
    </r>
    <r>
      <rPr>
        <rFont val="Arial, sans-serif"/>
        <color rgb="FF1155CC"/>
        <sz val="11.0"/>
        <u/>
      </rPr>
      <t>29 oct 2024</t>
    </r>
  </si>
  <si>
    <t>Análisis técnico de Banco Santander, Repsol y Grifols</t>
  </si>
  <si>
    <t>Análisis de Acciones por Juan Manuel Benito cubriendo: Grifols S.A., Repsol S.A., Banco Santander S.A.. Lea los Análisis de Acciones de Juan Manuel Benito.</t>
  </si>
  <si>
    <t>Technical analysis of Banco Santander, Repsol and Grifols</t>
  </si>
  <si>
    <t>Stock Analysis by Juan Manuel Benito covering: Grifols S.A., Repsol S.A., Banco Santander S.A.. Read Stock Analysis by Juan Manuel Benito.</t>
  </si>
  <si>
    <t>Stock analysis does not directly impact Repsol’s corporate image.</t>
  </si>
  <si>
    <r>
      <rPr>
        <rFont val="Arial, sans-serif"/>
        <color rgb="FF1155CC"/>
        <sz val="9.0"/>
        <u/>
      </rPr>
      <t>El Español</t>
    </r>
    <r>
      <rPr>
        <rFont val="Arial, sans-serif"/>
        <color rgb="FF1155CC"/>
        <sz val="15.0"/>
        <u/>
      </rPr>
      <t>Iberdrola gana la subasta de eólica marina del Golfo de Maine, en la que Repsol, Total y EDP estaban calificadas</t>
    </r>
    <r>
      <rPr>
        <rFont val="Arial, sans-serif"/>
        <color rgb="FF1155CC"/>
        <sz val="11.0"/>
        <u/>
      </rPr>
      <t>Se hace con dos contratos de arrendamiento con potencial para 3 GW. La estadounidense Invenergy se convierte en la otra adjudicataria.</t>
    </r>
    <r>
      <rPr>
        <rFont val="Arial, sans-serif"/>
        <color rgb="FF1155CC"/>
        <sz val="12.0"/>
        <u/>
      </rPr>
      <t>.</t>
    </r>
    <r>
      <rPr>
        <rFont val="Arial, sans-serif"/>
        <color rgb="FF1155CC"/>
        <sz val="11.0"/>
        <u/>
      </rPr>
      <t>29 oct 2024</t>
    </r>
  </si>
  <si>
    <t>Iberdrola gana la subasta de eólica marina del Golfo de Maine, en la que Repsol, Total y EDP estaban calificadas</t>
  </si>
  <si>
    <t>Iberdrola gana la subasta de eólica marina del Golfo de Maine, en la que Repsol, Total y EDP estaban calificadas. Se hace con dos contratos de arrendamiento con potencial para 3 GW. La estadounidense Invenergy se convierte en la otra adjudicataria.</t>
  </si>
  <si>
    <t>Iberdrola wins the offshore wind auction in the Gulf of Maine, in which Repsol, Total and EDP were qualified</t>
  </si>
  <si>
    <t>Iberdrola wins the offshore wind auction in the Gulf of Maine, in which Repsol, Total and EDP were qualified. It is done with two lease contracts with potential for 3 GW. The American Invenergy becomes the other successful bidder.</t>
  </si>
  <si>
    <t>Not directly relevant to Repsol’s image as it focuses on Iberdrola’s success.</t>
  </si>
  <si>
    <t>Repsol not the focus.</t>
  </si>
  <si>
    <t>Repsol no es el foco.</t>
  </si>
  <si>
    <r>
      <rPr>
        <rFont val="Arial, sans-serif"/>
        <color rgb="FF1155CC"/>
        <sz val="9.0"/>
        <u/>
      </rPr>
      <t>La Tribuna de Ciudad Real</t>
    </r>
    <r>
      <rPr>
        <rFont val="Arial, sans-serif"/>
        <color rgb="FF1155CC"/>
        <sz val="15.0"/>
        <u/>
      </rPr>
      <t>Trabajadores de RLESA cumplen 20 días de huelga sin esperanza</t>
    </r>
    <r>
      <rPr>
        <rFont val="Arial, sans-serif"/>
        <color rgb="FF1155CC"/>
        <sz val="11.0"/>
        <u/>
      </rPr>
      <t>Demandan un acuerdo de equiparación de derechos con el resto de centros del territorio nacional con la mirada puesta en el día 5 de noviembre.</t>
    </r>
    <r>
      <rPr>
        <rFont val="Arial, sans-serif"/>
        <color rgb="FF1155CC"/>
        <sz val="12.0"/>
        <u/>
      </rPr>
      <t>.</t>
    </r>
    <r>
      <rPr>
        <rFont val="Arial, sans-serif"/>
        <color rgb="FF1155CC"/>
        <sz val="11.0"/>
        <u/>
      </rPr>
      <t>29 oct 2024</t>
    </r>
  </si>
  <si>
    <t>Trabajadores de RLESA cumplen 20 días de huelga sin esperanza</t>
  </si>
  <si>
    <t>Demandan un acuerdo de equiparación de derechos con el resto de centros del territorio nacional con la mirada puesta en el día 5 de noviembre.</t>
  </si>
  <si>
    <t>RLESA workers complete 20 days of hopeless strike</t>
  </si>
  <si>
    <t>They demand an agreement to equalize rights with the rest of the centers in the national territory with an eye toward November 5.</t>
  </si>
  <si>
    <r>
      <rPr>
        <rFont val="Arial, sans-serif"/>
        <color rgb="FF1155CC"/>
        <sz val="9.0"/>
        <u/>
      </rPr>
      <t>El Periódico de la Energía</t>
    </r>
    <r>
      <rPr>
        <rFont val="Arial, sans-serif"/>
        <color rgb="FF1155CC"/>
        <sz val="15.0"/>
        <u/>
      </rPr>
      <t>El PSOE y sus socios no tiran la toalla y negocian hacer permanente el impuesto a las energéticas por otra vía</t>
    </r>
    <r>
      <rPr>
        <rFont val="Arial, sans-serif"/>
        <color rgb="FF1155CC"/>
        <sz val="11.0"/>
        <u/>
      </rPr>
      <t>El PSOE ultima sus enmiendas al proyecto de ley que establece un impuesto mínimo global para los grupos multinacionales, una norma que también determinará...</t>
    </r>
    <r>
      <rPr>
        <rFont val="Arial, sans-serif"/>
        <color rgb="FF1155CC"/>
        <sz val="12.0"/>
        <u/>
      </rPr>
      <t>.</t>
    </r>
    <r>
      <rPr>
        <rFont val="Arial, sans-serif"/>
        <color rgb="FF1155CC"/>
        <sz val="11.0"/>
        <u/>
      </rPr>
      <t>29 oct 2024</t>
    </r>
  </si>
  <si>
    <t>El PSOE y sus socios no tiran la toalla y negocian hacer permanente el impuesto a las energéticas por otra vía</t>
  </si>
  <si>
    <t>El PSOE ultima sus enmiendas al proyecto de ley que establece un impuesto mínimo global para los grupos multinacionales, una norma que también determinará....</t>
  </si>
  <si>
    <t>The PSOE and its partners do not throw in the towel and negotiate to make the tax on energy companies permanent through another means</t>
  </si>
  <si>
    <t>The PSOE finalizes its amendments to the bill that establishes a global minimum tax for multinational groups, a rule that will also determine...</t>
  </si>
  <si>
    <t>make tax permanent, negotiations</t>
  </si>
  <si>
    <t>hacer permanente el impuesto, negociaciones</t>
  </si>
  <si>
    <t>Negative as it suggests ongoing political uncertainty around taxation.</t>
  </si>
  <si>
    <t>impuesto, "permanente"</t>
  </si>
  <si>
    <t>Negative tax threat.</t>
  </si>
  <si>
    <t>Amenaza fiscal negativa.</t>
  </si>
  <si>
    <r>
      <rPr>
        <rFont val="Arial, sans-serif"/>
        <color rgb="FF1155CC"/>
        <sz val="9.0"/>
        <u/>
      </rPr>
      <t>Expansión</t>
    </r>
    <r>
      <rPr>
        <rFont val="Arial, sans-serif"/>
        <color rgb="FF1155CC"/>
        <sz val="15.0"/>
        <u/>
      </rPr>
      <t>Cepsa cambia su nombre a Moeve y golpea a Repsol en la puja de la transición ecológica</t>
    </r>
    <r>
      <rPr>
        <rFont val="Arial, sans-serif"/>
        <color rgb="FF1155CC"/>
        <sz val="11.0"/>
        <u/>
      </rPr>
      <t>Cepsa, la petrolera privada más antigua de España, ha anunciado que su nueva marca a partir de ahora será Moeve. El grupo, que es la segunda petrolera en...</t>
    </r>
    <r>
      <rPr>
        <rFont val="Arial, sans-serif"/>
        <color rgb="FF1155CC"/>
        <sz val="12.0"/>
        <u/>
      </rPr>
      <t>.</t>
    </r>
    <r>
      <rPr>
        <rFont val="Arial, sans-serif"/>
        <color rgb="FF1155CC"/>
        <sz val="11.0"/>
        <u/>
      </rPr>
      <t>30 oct 2024</t>
    </r>
  </si>
  <si>
    <t>Cepsa cambia su nombre a Moeve y golpea a Repsol en la puja de la transición ecológica</t>
  </si>
  <si>
    <t>Cepsa, la petrolera privada más antigua de España, ha anunciado que su nueva marca a partir de ahora será Moeve. El grupo, que es la segunda petrolera en....</t>
  </si>
  <si>
    <t>Cepsa changes its name to Moeve and hits Repsol in the bid for the ecological transition</t>
  </si>
  <si>
    <t>Cepsa, Spain's oldest private oil company, has announced that its new brand from now on will be Moeve. The group, which is the second oil company in...</t>
  </si>
  <si>
    <t>Cepsa competes, ecological transition</t>
  </si>
  <si>
    <t>Cepsa compite, transición ecológica</t>
  </si>
  <si>
    <t>Slightly negative as it suggests Repsol faces increasing competition in green energy.</t>
  </si>
  <si>
    <t>golpea, "competencia"</t>
  </si>
  <si>
    <t>Negative competitive move.</t>
  </si>
  <si>
    <t>Movimiento competitivo negativo.</t>
  </si>
  <si>
    <r>
      <rPr>
        <rFont val="Arial, sans-serif"/>
        <color rgb="FF1155CC"/>
        <sz val="9.0"/>
        <u/>
      </rPr>
      <t>Montilla Digital</t>
    </r>
    <r>
      <rPr>
        <rFont val="Arial, sans-serif"/>
        <color rgb="FF1155CC"/>
        <sz val="15.0"/>
        <u/>
      </rPr>
      <t>Jordi Margalef | La marcha de Repsol</t>
    </r>
    <r>
      <rPr>
        <rFont val="Arial, sans-serif"/>
        <color rgb="FF1155CC"/>
        <sz val="11.0"/>
        <u/>
      </rPr>
      <t>El anuncio de Repsol de llevarse a Portugal sus inversiones previstas en Tarragona –el electrolizador más grande de España y una ecoplanta para convertir...</t>
    </r>
    <r>
      <rPr>
        <rFont val="Arial, sans-serif"/>
        <color rgb="FF1155CC"/>
        <sz val="12.0"/>
        <u/>
      </rPr>
      <t>.</t>
    </r>
    <r>
      <rPr>
        <rFont val="Arial, sans-serif"/>
        <color rgb="FF1155CC"/>
        <sz val="11.0"/>
        <u/>
      </rPr>
      <t>30 oct 2024</t>
    </r>
  </si>
  <si>
    <t>Montilla Digital</t>
  </si>
  <si>
    <t>La marcha de Repsol</t>
  </si>
  <si>
    <t>El anuncio de Repsol de llevarse a Portugal sus inversiones previstas en Tarragona –el electrolizador más grande de España y una ecoplanta para convertir....</t>
  </si>
  <si>
    <t>Repsol's departure</t>
  </si>
  <si>
    <t>departure, investment shift</t>
  </si>
  <si>
    <t>salida, cambio de inversión</t>
  </si>
  <si>
    <t>Negative as it emphasizes Repsol shifting investment away from Spain.</t>
  </si>
  <si>
    <t>inversiones, "Portugal"</t>
  </si>
  <si>
    <t>Negative for potential relocation.</t>
  </si>
  <si>
    <t>Negativo para posible reubicación.</t>
  </si>
  <si>
    <r>
      <rPr>
        <rFont val="Arial, sans-serif"/>
        <color rgb="FF1155CC"/>
        <sz val="9.0"/>
        <u/>
      </rPr>
      <t>Inout Viajes</t>
    </r>
    <r>
      <rPr>
        <rFont val="Arial, sans-serif"/>
        <color rgb="FF1155CC"/>
        <sz val="15.0"/>
        <u/>
      </rPr>
      <t>La gala de los Soles 2025 de la Guía Repsol se celebrará en Tenerife</t>
    </r>
    <r>
      <rPr>
        <rFont val="Arial, sans-serif"/>
        <color rgb="FF1155CC"/>
        <sz val="11.0"/>
        <u/>
      </rPr>
      <t>El Cabildo de Tenerife, Turismo de Tenerife y Guía Repsol han anunciado que la isla será, por primera vez, sede de la entrega de los Soles Guía Repsol,...</t>
    </r>
    <r>
      <rPr>
        <rFont val="Arial, sans-serif"/>
        <color rgb="FF1155CC"/>
        <sz val="12.0"/>
        <u/>
      </rPr>
      <t>.</t>
    </r>
    <r>
      <rPr>
        <rFont val="Arial, sans-serif"/>
        <color rgb="FF1155CC"/>
        <sz val="11.0"/>
        <u/>
      </rPr>
      <t>30 oct 2024</t>
    </r>
  </si>
  <si>
    <t>La gala de los Soles 2025 de la Guía Repsol se celebrará en Tenerife</t>
  </si>
  <si>
    <t>El Cabildo de Tenerife, Turismo de Tenerife y Guía Repsol han anunciado que la isla será, por primera vez, sede de la entrega de los Soles Guía Repsol,....</t>
  </si>
  <si>
    <t>The Repsol Guide's Soles 2025 gala will be held in Tenerife</t>
  </si>
  <si>
    <t>The Cabildo of Tenerife, Tenerife Tourism and the Repsol Guide have announced that the island will, for the first time, host the delivery of the Repsol Guide Suns....</t>
  </si>
  <si>
    <r>
      <rPr>
        <rFont val="Arial, sans-serif"/>
        <color rgb="FF1155CC"/>
        <sz val="9.0"/>
        <u/>
      </rPr>
      <t>Economía Digital</t>
    </r>
    <r>
      <rPr>
        <rFont val="Arial, sans-serif"/>
        <color rgb="FF1155CC"/>
        <sz val="15.0"/>
        <u/>
      </rPr>
      <t>Galp acelera con los cargadores eléctricos y deja atrás a Repsol en España y Portugal con 5.500 puntos</t>
    </r>
    <r>
      <rPr>
        <rFont val="Arial, sans-serif"/>
        <color rgb="FF1155CC"/>
        <sz val="11.0"/>
        <u/>
      </rPr>
      <t>La energética portuguesa aumenta un 40% sus puntos de recarga eléctricos en lo que va de año.</t>
    </r>
    <r>
      <rPr>
        <rFont val="Arial, sans-serif"/>
        <color rgb="FF1155CC"/>
        <sz val="12.0"/>
        <u/>
      </rPr>
      <t>.</t>
    </r>
    <r>
      <rPr>
        <rFont val="Arial, sans-serif"/>
        <color rgb="FF1155CC"/>
        <sz val="11.0"/>
        <u/>
      </rPr>
      <t>30 oct 2024</t>
    </r>
  </si>
  <si>
    <t>Galp acelera con los cargadores eléctricos y deja atrás a Repsol en España y Portugal con 5.500 puntos</t>
  </si>
  <si>
    <t>La energética portuguesa aumenta un 40% sus puntos de recarga eléctricos en lo que va de año.</t>
  </si>
  <si>
    <t>Galp accelerates with electric chargers and leaves Repsol behind in Spain and Portugal with 5,500 points</t>
  </si>
  <si>
    <t>The Portuguese energy company increases its electric charging points by 40% so far this year.</t>
  </si>
  <si>
    <t>Galp leads, Repsol behind</t>
  </si>
  <si>
    <t>Galp lidera, Repsol detrás</t>
  </si>
  <si>
    <t>Slightly negative as it suggests Repsol is lagging in electric mobility.</t>
  </si>
  <si>
    <t>deja atrás</t>
  </si>
  <si>
    <t>Mildly negative for competition.</t>
  </si>
  <si>
    <t>Ligeramente negativo para la competencia.</t>
  </si>
  <si>
    <r>
      <rPr>
        <rFont val="Arial, sans-serif"/>
        <color rgb="FF1155CC"/>
        <sz val="9.0"/>
        <u/>
      </rPr>
      <t>Estrategias de Inversión</t>
    </r>
    <r>
      <rPr>
        <rFont val="Arial, sans-serif"/>
        <color rgb="FF1155CC"/>
        <sz val="15.0"/>
        <u/>
      </rPr>
      <t>Respondemos a las preguntas sobre Ence, Acciona, Técnicas Reunidas, Repsol o San José</t>
    </r>
    <r>
      <rPr>
        <rFont val="Arial, sans-serif"/>
        <color rgb="FF1155CC"/>
        <sz val="11.0"/>
        <u/>
      </rPr>
      <t>Ángel Cotera, de BBVA Trader analiza técnicamente Ence, Acciona, Técnicas Reunida, Berkshire Hathaway, Porsche, Mercedes o San José.</t>
    </r>
    <r>
      <rPr>
        <rFont val="Arial, sans-serif"/>
        <color rgb="FF1155CC"/>
        <sz val="12.0"/>
        <u/>
      </rPr>
      <t>.</t>
    </r>
    <r>
      <rPr>
        <rFont val="Arial, sans-serif"/>
        <color rgb="FF1155CC"/>
        <sz val="11.0"/>
        <u/>
      </rPr>
      <t>30 oct 2024</t>
    </r>
  </si>
  <si>
    <t>Respondemos a las preguntas sobre Ence, Acciona, Técnicas Reunidas, Repsol o San José</t>
  </si>
  <si>
    <t>Ángel Cotera, de BBVA Trader analiza técnicamente Ence, Acciona, Técnicas Reunida, Berkshire Hathaway, Porsche, Mercedes o San José</t>
  </si>
  <si>
    <t>We answer questions about Ence, Acciona, Técnicas Reunidas, Repsol or San José</t>
  </si>
  <si>
    <t>Ángel Cotera, from BBVA Trader, technically analyzes Ence, Acciona, Técnicas Reunida, Berkshire Hathaway, Porsche, Mercedes and San José</t>
  </si>
  <si>
    <r>
      <rPr>
        <rFont val="Arial, sans-serif"/>
        <color rgb="FF1155CC"/>
        <sz val="9.0"/>
        <u/>
      </rPr>
      <t>Guía Repsol</t>
    </r>
    <r>
      <rPr>
        <rFont val="Arial, sans-serif"/>
        <color rgb="FF1155CC"/>
        <sz val="15.0"/>
        <u/>
      </rPr>
      <t>Una red en femenino de cocineras y productoras contra la despoblación</t>
    </r>
    <r>
      <rPr>
        <rFont val="Arial, sans-serif"/>
        <color rgb="FF1155CC"/>
        <sz val="11.0"/>
        <u/>
      </rPr>
      <t>En Asturias, tierra de guisanderas, queseras y conserveras, el congreso FéminAs 2024 ha vuelto a encender los fogones para dar voz a mujeres que, en toda E.</t>
    </r>
    <r>
      <rPr>
        <rFont val="Arial, sans-serif"/>
        <color rgb="FF1155CC"/>
        <sz val="12.0"/>
        <u/>
      </rPr>
      <t>.</t>
    </r>
    <r>
      <rPr>
        <rFont val="Arial, sans-serif"/>
        <color rgb="FF1155CC"/>
        <sz val="11.0"/>
        <u/>
      </rPr>
      <t>30 oct 2024</t>
    </r>
  </si>
  <si>
    <t>Una red en femenino de cocineras y productoras contra la despoblación</t>
  </si>
  <si>
    <t>En Asturias, tierra de guisanderas, queseras y conserveras, el congreso FéminAs 2024 ha vuelto a encender los fogones para dar voz a mujeres que, en toda E.</t>
  </si>
  <si>
    <t>A female network of cooks and producers against depopulation</t>
  </si>
  <si>
    <t>In Asturias, land of guisanderas, cheesemakers and canneries, the FéminAs 2024 congress has once again lit the stove to give a voice to women who, throughout E.</t>
  </si>
  <si>
    <r>
      <rPr>
        <rFont val="Arial, sans-serif"/>
        <color rgb="FF1155CC"/>
        <sz val="9.0"/>
        <u/>
      </rPr>
      <t>El Boletín</t>
    </r>
    <r>
      <rPr>
        <rFont val="Arial, sans-serif"/>
        <color rgb="FF1155CC"/>
        <sz val="15.0"/>
        <u/>
      </rPr>
      <t>El jueves, atentos a… El IPC de la eurozona y los resultados de Sabadell, CaixaBank y BBVA</t>
    </r>
    <r>
      <rPr>
        <rFont val="Arial, sans-serif"/>
        <color rgb="FF1155CC"/>
        <sz val="11.0"/>
        <u/>
      </rPr>
      <t>Continúa la cascada de resultados empresariales con las cuentas de Banco Sabadell, Caixabank, BBVA, Repsol, Apple, Intel y Amazon, entre otras.</t>
    </r>
    <r>
      <rPr>
        <rFont val="Arial, sans-serif"/>
        <color rgb="FF1155CC"/>
        <sz val="12.0"/>
        <u/>
      </rPr>
      <t>.</t>
    </r>
    <r>
      <rPr>
        <rFont val="Arial, sans-serif"/>
        <color rgb="FF1155CC"/>
        <sz val="11.0"/>
        <u/>
      </rPr>
      <t>30 oct 2024</t>
    </r>
  </si>
  <si>
    <t>El Boletín</t>
  </si>
  <si>
    <t>El IPC de la eurozona y los resultados de Sabadell, CaixaBank y BBVA</t>
  </si>
  <si>
    <t>Continúa la cascada de resultados empresariales con las cuentas de Banco Sabadell, Caixabank, BBVA, Repsol, Apple, Intel y Amazon, entre otras.</t>
  </si>
  <si>
    <t>The CPI of the eurozone and the results of Sabadell, CaixaBank and BBVA</t>
  </si>
  <si>
    <t>The cascade of business results continues with the accounts of Banco Sabadell, Caixabank, BBVA, Repsol, Apple, Intel and Amazon, among others.</t>
  </si>
  <si>
    <t>Not directly relevant to Repsol’s corporate image.</t>
  </si>
  <si>
    <t>General finance.</t>
  </si>
  <si>
    <t>Finanzas generales.</t>
  </si>
  <si>
    <r>
      <rPr>
        <rFont val="Arial, sans-serif"/>
        <color rgb="FF1155CC"/>
        <sz val="9.0"/>
        <u/>
      </rPr>
      <t>SoyMotero</t>
    </r>
    <r>
      <rPr>
        <rFont val="Arial, sans-serif"/>
        <color rgb="FF1155CC"/>
        <sz val="15.0"/>
        <u/>
      </rPr>
      <t>HRC y Castrol unirán sus fuerzas en MotoGP para 2025</t>
    </r>
    <r>
      <rPr>
        <rFont val="Arial, sans-serif"/>
        <color rgb="FF1155CC"/>
        <sz val="11.0"/>
        <u/>
      </rPr>
      <t>Castrol y Honda vuelven a unir sus caminos una vez más y esta vez lo harán en MotoGP. Después de hacerse oficial que la colaboración de casi 30 años entre...</t>
    </r>
    <r>
      <rPr>
        <rFont val="Arial, sans-serif"/>
        <color rgb="FF1155CC"/>
        <sz val="12.0"/>
        <u/>
      </rPr>
      <t>.</t>
    </r>
    <r>
      <rPr>
        <rFont val="Arial, sans-serif"/>
        <color rgb="FF1155CC"/>
        <sz val="11.0"/>
        <u/>
      </rPr>
      <t>30 oct 2024</t>
    </r>
  </si>
  <si>
    <t>SoyMoteroHRC</t>
  </si>
  <si>
    <t>SoyMoteroHRC y Castrol unirán sus fuerzas en MotoGP para 2025</t>
  </si>
  <si>
    <t>Castrol y Honda vuelven a unir sus caminos una vez más y esta vez lo harán en MotoGP. Después de hacerse oficial que la colaboración de casi 30 años entre....</t>
  </si>
  <si>
    <t>SoyMoteroHRC and Castrol will join forces in MotoGP by 2025</t>
  </si>
  <si>
    <t>Castrol and Honda join their paths once again and this time they will do so in MotoGP. After it became official that the collaboration of almost 30 years between....</t>
  </si>
  <si>
    <r>
      <rPr>
        <rFont val="Arial, sans-serif"/>
        <color rgb="FF1155CC"/>
        <sz val="9.0"/>
        <u/>
      </rPr>
      <t>Diario de Valladolid</t>
    </r>
    <r>
      <rPr>
        <rFont val="Arial, sans-serif"/>
        <color rgb="FF1155CC"/>
        <sz val="15.0"/>
        <u/>
      </rPr>
      <t>El mejor pincho de Castilla y León es de Valladolid y sabe a lechazo</t>
    </r>
    <r>
      <rPr>
        <rFont val="Arial, sans-serif"/>
        <color rgb="FF1155CC"/>
        <sz val="11.0"/>
        <u/>
      </rPr>
      <t>El chef Juan Carlos Jiménez el restaurante vallisoletano Azul Mediterráneo logra el primer premio con el pincho 'Lechazus Deliciosus'</t>
    </r>
    <r>
      <rPr>
        <rFont val="Arial, sans-serif"/>
        <color rgb="FF1155CC"/>
        <sz val="12.0"/>
        <u/>
      </rPr>
      <t>.</t>
    </r>
    <r>
      <rPr>
        <rFont val="Arial, sans-serif"/>
        <color rgb="FF1155CC"/>
        <sz val="11.0"/>
        <u/>
      </rPr>
      <t>30 oct 2024</t>
    </r>
  </si>
  <si>
    <t>El mejor pincho de Castilla y León es de Valladolid y sabe a lechazo</t>
  </si>
  <si>
    <t>El chef Juan Carlos Jiménez el restaurante vallisoletano Azul Mediterráneo logra el primer premio con el pincho 'Lechazus Deliciosus'.</t>
  </si>
  <si>
    <t>The best pincho in Castilla y León is from Valladolid and tastes like lamb</t>
  </si>
  <si>
    <t>Chef Juan Carlos Jiménez of the Valladolid restaurant Azul Mediterráneo wins first prize with the 'Lechazus Deliciosus' skewer.</t>
  </si>
  <si>
    <r>
      <rPr>
        <rFont val="Arial, sans-serif"/>
        <color rgb="FF1155CC"/>
        <sz val="9.0"/>
        <u/>
      </rPr>
      <t>Diari de Tarragona</t>
    </r>
    <r>
      <rPr>
        <rFont val="Arial, sans-serif"/>
        <color rgb="FF1155CC"/>
        <sz val="15.0"/>
        <u/>
      </rPr>
      <t>Fin al ‘impuestazo’ energético que amenazaba inversiones en Tarragona: caerá a finales de año</t>
    </r>
    <r>
      <rPr>
        <rFont val="Arial, sans-serif"/>
        <color rgb="FF1155CC"/>
        <sz val="11.0"/>
        <u/>
      </rPr>
      <t>El impuesto extraordinario a las energéticas no continuará más allá de este año debido a que el Gobierno de España no ha podido encontrar apoyos para ...</t>
    </r>
    <r>
      <rPr>
        <rFont val="Arial, sans-serif"/>
        <color rgb="FF1155CC"/>
        <sz val="12.0"/>
        <u/>
      </rPr>
      <t>.</t>
    </r>
    <r>
      <rPr>
        <rFont val="Arial, sans-serif"/>
        <color rgb="FF1155CC"/>
        <sz val="11.0"/>
        <u/>
      </rPr>
      <t>30 oct 2024</t>
    </r>
  </si>
  <si>
    <t>Fin al ‘impuestazo’ energético que amenazaba inversiones en Tarragona: caerá a finales de año</t>
  </si>
  <si>
    <t>El impuesto extraordinario a las energéticas no continuará más allá de este año debido a que el Gobierno de España no ha podido encontrar apoyos para ....</t>
  </si>
  <si>
    <t>End to the energy 'tax' that threatened investments in Tarragona: it will fall at the end of the year</t>
  </si>
  <si>
    <t>The extraordinary tax on energy companies will not continue beyond this year because the Government of Spain has not been able to find support for....</t>
  </si>
  <si>
    <t>end of tax, investments secured</t>
  </si>
  <si>
    <t>fin del impuesto, inversiones aseguradas</t>
  </si>
  <si>
    <t>Positive as it removes a major investment risk for Repsol.</t>
  </si>
  <si>
    <t>Fin al impuestazo</t>
  </si>
  <si>
    <t>Positive resolution.</t>
  </si>
  <si>
    <t>Resolución positiva.</t>
  </si>
  <si>
    <r>
      <rPr>
        <rFont val="Arial, sans-serif"/>
        <color rgb="FF1155CC"/>
        <sz val="9.0"/>
        <u/>
      </rPr>
      <t>Málaga Hoy</t>
    </r>
    <r>
      <rPr>
        <rFont val="Arial, sans-serif"/>
        <color rgb="FF1155CC"/>
        <sz val="15.0"/>
        <u/>
      </rPr>
      <t>Lo afirman los expertos: estos son los mejores bares de la provincia Málaga para comer y beber</t>
    </r>
    <r>
      <rPr>
        <rFont val="Arial, sans-serif"/>
        <color rgb="FF1155CC"/>
        <sz val="11.0"/>
        <u/>
      </rPr>
      <t>Los 24 Soletes de la Guía Repsol de Málaga en su categoría de 'bares' son una excelente guía del buen comer y beber de la provincia.</t>
    </r>
    <r>
      <rPr>
        <rFont val="Arial, sans-serif"/>
        <color rgb="FF1155CC"/>
        <sz val="12.0"/>
        <u/>
      </rPr>
      <t>.</t>
    </r>
    <r>
      <rPr>
        <rFont val="Arial, sans-serif"/>
        <color rgb="FF1155CC"/>
        <sz val="11.0"/>
        <u/>
      </rPr>
      <t>30 oct 2024</t>
    </r>
  </si>
  <si>
    <t>Lo afirman los expertos: estos son los mejores bares de la provincia Málaga para comer y beber</t>
  </si>
  <si>
    <t>Los 24 Soletes de la Guía Repsol de Málaga en su categoría de 'bares' son una excelente guía del buen comer y beber de la provincia.</t>
  </si>
  <si>
    <t>Experts say: these are the best bars in the province of Malaga to eat and drink</t>
  </si>
  <si>
    <t>The 24 Soletes of the Repsol Guide to Malaga in its 'bars' category are an excellent guide to good eating and drinking in the province.</t>
  </si>
  <si>
    <r>
      <rPr>
        <rFont val="Arial, sans-serif"/>
        <color rgb="FF1155CC"/>
        <sz val="9.0"/>
        <u/>
      </rPr>
      <t>El Comercio Perú</t>
    </r>
    <r>
      <rPr>
        <rFont val="Arial, sans-serif"/>
        <color rgb="FF1155CC"/>
        <sz val="15.0"/>
        <u/>
      </rPr>
      <t>“Viajar 12 horas es un gran esfuerzo” y “hemos venido a ganar”: AS Tingo, el equipo de Tingo María y por qué decidió cruzar los Andes para jugar en el Semillero Repsol Fútbol Femenino</t>
    </r>
    <r>
      <rPr>
        <rFont val="Arial, sans-serif"/>
        <color rgb="FF1155CC"/>
        <sz val="11.0"/>
        <u/>
      </rPr>
      <t>El Semillero Repsol Fútbol Femenino cuenta con la participación de un equipo de Tingo María, que en su debut ganó y quiere convertirse en finalista.</t>
    </r>
    <r>
      <rPr>
        <rFont val="Arial, sans-serif"/>
        <color rgb="FF1155CC"/>
        <sz val="12.0"/>
        <u/>
      </rPr>
      <t>.</t>
    </r>
    <r>
      <rPr>
        <rFont val="Arial, sans-serif"/>
        <color rgb="FF1155CC"/>
        <sz val="11.0"/>
        <u/>
      </rPr>
      <t>30 oct 2024</t>
    </r>
  </si>
  <si>
    <t>“Viajar 12 horas es un gran esfuerzo” y “hemos venido a ganar”: AS Tingo, el equipo de Tingo María y por qué decidió cruzar los Andes para jugar en el Semillero Repsol Fútbol Femenino</t>
  </si>
  <si>
    <t>"Viajar 12 horas es un gran esfuerzo” y “hemos venido a ganar”: AS Tingo, el equipo de Tingo María y por qué decidió cruzar los Andes para jugar en el Semillero Repsol Fútbol Femenino. El Semillero Repsol Fútbol Femenino cuenta con la participación de un equipo de Tingo María, que en su debut ganó y quiere convertirse en finalista.</t>
  </si>
  <si>
    <t>“Traveling 12 hours is a great effort” and “we have come to win”: AS Tingo, Tingo María's team and why they decided to cross the Andes to play in the Repsol Women's Football Seedbed</t>
  </si>
  <si>
    <t>"Traveling 12 hours is a great effort" and "we have come to win": AS Tingo, the Tingo María team and why it decided to cross the Andes to play in the Repsol Fútbol Femenino Semillero. The Repsol Fútbol Femenino Semillero has the participation of a team from Tingo María, which won in its debut and wants to become a finalist.</t>
  </si>
  <si>
    <r>
      <rPr>
        <rFont val="Arial, sans-serif"/>
        <color rgb="FF1155CC"/>
        <sz val="9.0"/>
        <u/>
      </rPr>
      <t>Diari ARA</t>
    </r>
    <r>
      <rPr>
        <rFont val="Arial, sans-serif"/>
        <color rgb="FF1155CC"/>
        <sz val="15.0"/>
        <u/>
      </rPr>
      <t>Repsol reactiva inversiones tras la caída del impuesto energético: "El problema ha terminado"</t>
    </r>
    <r>
      <rPr>
        <rFont val="Arial, sans-serif"/>
        <color rgb="FF1155CC"/>
        <sz val="11.0"/>
        <u/>
      </rPr>
      <t>Barcelona"El problema ha terminado". Así se ha pronunciado este jueves el consejero delegado de Repsol, Josu Jon Imaz, sobre el impuesto a las compañías...</t>
    </r>
    <r>
      <rPr>
        <rFont val="Arial, sans-serif"/>
        <color rgb="FF1155CC"/>
        <sz val="12.0"/>
        <u/>
      </rPr>
      <t>.</t>
    </r>
    <r>
      <rPr>
        <rFont val="Arial, sans-serif"/>
        <color rgb="FF1155CC"/>
        <sz val="11.0"/>
        <u/>
      </rPr>
      <t>31 oct 2024</t>
    </r>
  </si>
  <si>
    <t>"El problema ha terminado"</t>
  </si>
  <si>
    <t>"El problema ha terminado". Así se ha pronunciado este jueves el consejero delegado de Repsol, Josu Jon Imaz, sobre el impuesto a las compañías....</t>
  </si>
  <si>
    <t>"The problem is over"</t>
  </si>
  <si>
    <t>"The problem is over." This is how the CEO of Repsol, Josu Jon Imaz, spoke this Thursday about the company tax....</t>
  </si>
  <si>
    <t>problem is over, tax resolved</t>
  </si>
  <si>
    <t>Se acabó el problema, impuestos resueltos</t>
  </si>
  <si>
    <t>Positive as it signals a resolution of tax issues affecting Repsol.</t>
  </si>
  <si>
    <t>problema ha terminado</t>
  </si>
  <si>
    <t>Positive resolution of tax issue.</t>
  </si>
  <si>
    <t>Resolución positiva de la cuestión fiscal.</t>
  </si>
  <si>
    <r>
      <rPr>
        <rFont val="Arial, sans-serif"/>
        <color rgb="FF1155CC"/>
        <sz val="9.0"/>
        <u/>
      </rPr>
      <t>El Periódico de la Energía</t>
    </r>
    <r>
      <rPr>
        <rFont val="Arial, sans-serif"/>
        <color rgb="FF1155CC"/>
        <sz val="15.0"/>
        <u/>
      </rPr>
      <t>Imaz garantiza un dividendo "mínimo" de 0,975 euros para los accionistas de Repsol en 2025</t>
    </r>
    <r>
      <rPr>
        <rFont val="Arial, sans-serif"/>
        <color rgb="FF1155CC"/>
        <sz val="11.0"/>
        <u/>
      </rPr>
      <t>El CEO de Repsol ha garantizado una retribución de al menos 0975 euros por título para sus accionistas en 2025, lo que representará un incremento mínimo del...</t>
    </r>
    <r>
      <rPr>
        <rFont val="Arial, sans-serif"/>
        <color rgb="FF1155CC"/>
        <sz val="12.0"/>
        <u/>
      </rPr>
      <t>.</t>
    </r>
    <r>
      <rPr>
        <rFont val="Arial, sans-serif"/>
        <color rgb="FF1155CC"/>
        <sz val="11.0"/>
        <u/>
      </rPr>
      <t>31 oct 2024</t>
    </r>
  </si>
  <si>
    <t>Imaz garantiza un dividendo "mínimo" de 0,975 euros para los accionistas de Repsol en 2025</t>
  </si>
  <si>
    <t>El CEO de Repsol ha garantizado una retribución de al menos 0,975 euros por título para sus accionistas en 2025, lo que representará un incremento mínimo del....</t>
  </si>
  <si>
    <t>Imaz guarantees a "minimum" dividend of 0.975 euros for Repsol shareholders in 2025</t>
  </si>
  <si>
    <t>The CEO of Repsol has guaranteed a remuneration of at least 0.975 euros per share for its shareholders in 2025, which will represent a minimum increase of...</t>
  </si>
  <si>
    <t>guaranteed dividend, increase in returns</t>
  </si>
  <si>
    <t>dividendo garantizado, aumento de la rentabilidad</t>
  </si>
  <si>
    <t>Positive as it reassures investors about Repsol’s financial stability.</t>
  </si>
  <si>
    <t>dividendo, "incremento"</t>
  </si>
  <si>
    <t>Positive for shareholders.</t>
  </si>
  <si>
    <t>Positivo para los accionistas.</t>
  </si>
  <si>
    <r>
      <rPr>
        <rFont val="Arial, sans-serif"/>
        <color rgb="FF1155CC"/>
        <sz val="9.0"/>
        <u/>
      </rPr>
      <t>Repsol</t>
    </r>
    <r>
      <rPr>
        <rFont val="Arial, sans-serif"/>
        <color rgb="FF1155CC"/>
        <sz val="15.0"/>
        <u/>
      </rPr>
      <t>CES: El primer certificado que acredita la restauración sostenible</t>
    </r>
    <r>
      <rPr>
        <rFont val="Arial, sans-serif"/>
        <color rgb="FF1155CC"/>
        <sz val="11.0"/>
        <u/>
      </rPr>
      <t>Repsol, en colaboración con Guía Repsol, ha creado el Certificado de Cocina Eficiente y Sostenible (CES), una iniciativa pionera en el sector de la...</t>
    </r>
    <r>
      <rPr>
        <rFont val="Arial, sans-serif"/>
        <color rgb="FF1155CC"/>
        <sz val="12.0"/>
        <u/>
      </rPr>
      <t>.</t>
    </r>
    <r>
      <rPr>
        <rFont val="Arial, sans-serif"/>
        <color rgb="FF1155CC"/>
        <sz val="11.0"/>
        <u/>
      </rPr>
      <t>31 oct 2024</t>
    </r>
  </si>
  <si>
    <t>El primer certificado que acredita la restauración sostenible</t>
  </si>
  <si>
    <t>El primer certificado que acredita la restauración sostenible.</t>
  </si>
  <si>
    <t>The first certificate that accredits sustainable restoration</t>
  </si>
  <si>
    <t>The first certificate that accredits sustainable restoration.</t>
  </si>
  <si>
    <r>
      <rPr>
        <rFont val="Arial, sans-serif"/>
        <color rgb="FF1155CC"/>
        <sz val="9.0"/>
        <u/>
      </rPr>
      <t>El Economista</t>
    </r>
    <r>
      <rPr>
        <rFont val="Arial, sans-serif"/>
        <color rgb="FF1155CC"/>
        <sz val="15.0"/>
        <u/>
      </rPr>
      <t>Repsol gana 1.792 millones, un 36% menos por la caída de su margen de refino</t>
    </r>
    <r>
      <rPr>
        <rFont val="Arial, sans-serif"/>
        <color rgb="FF1155CC"/>
        <sz val="11.0"/>
        <u/>
      </rPr>
      <t>Repsol ha registrado en los nueve primeros meses del año un beneficio neto de 1.792 millones de euros, lo que supone un retroceso del 36 ...</t>
    </r>
    <r>
      <rPr>
        <rFont val="Arial, sans-serif"/>
        <color rgb="FF1155CC"/>
        <sz val="12.0"/>
        <u/>
      </rPr>
      <t>.</t>
    </r>
    <r>
      <rPr>
        <rFont val="Arial, sans-serif"/>
        <color rgb="FF1155CC"/>
        <sz val="11.0"/>
        <u/>
      </rPr>
      <t>31 oct 2024</t>
    </r>
  </si>
  <si>
    <t>Repsol gana 1.792 millones, un 36% menos por la caída de su margen de refino</t>
  </si>
  <si>
    <t>Repsol ha registrado en los nueve primeros meses del año un beneficio neto de 1.792 millones de euros, lo que supone un retroceso del 36.</t>
  </si>
  <si>
    <t>Repsol earns 1,792 million, 36% less due to the fall in its refining margin</t>
  </si>
  <si>
    <t>Repsol has registered a net profit of 1,792 million euros in the first nine months of the year, which represents a decline of 36.</t>
  </si>
  <si>
    <t>profit decline, refining margin drop</t>
  </si>
  <si>
    <t>disminución de beneficios, caída del margen de refinación</t>
  </si>
  <si>
    <t>Slightly negative as it highlights a significant drop in profits.</t>
  </si>
  <si>
    <t>gana, "36% menos"</t>
  </si>
  <si>
    <t>Mixed; profit but significant drop.</t>
  </si>
  <si>
    <t>Mezclado; beneficio pero caída significativa.</t>
  </si>
  <si>
    <r>
      <rPr>
        <rFont val="Arial, sans-serif"/>
        <color rgb="FF1155CC"/>
        <sz val="9.0"/>
        <u/>
      </rPr>
      <t>Transporte Profesional</t>
    </r>
    <r>
      <rPr>
        <rFont val="Arial, sans-serif"/>
        <color rgb="FF1155CC"/>
        <sz val="15.0"/>
        <u/>
      </rPr>
      <t>Repsol lanza el combustible premium Diésel Nexa 100% renovable</t>
    </r>
    <r>
      <rPr>
        <rFont val="Arial, sans-serif"/>
        <color rgb="FF1155CC"/>
        <sz val="11.0"/>
        <u/>
      </rPr>
      <t>Repsol lanza en sus estaciones de servicio el nombre comercial de su diésel 100% renovable: Diésel Nexa 100% renovable, un combustible premium diseñado para...</t>
    </r>
    <r>
      <rPr>
        <rFont val="Arial, sans-serif"/>
        <color rgb="FF1155CC"/>
        <sz val="12.0"/>
        <u/>
      </rPr>
      <t>.</t>
    </r>
    <r>
      <rPr>
        <rFont val="Arial, sans-serif"/>
        <color rgb="FF1155CC"/>
        <sz val="11.0"/>
        <u/>
      </rPr>
      <t>31 oct 2024</t>
    </r>
  </si>
  <si>
    <t>Transporte Profesional</t>
  </si>
  <si>
    <t>Repsol lanza el combustible premium Diésel Nexa 100% renovable</t>
  </si>
  <si>
    <t>Repsol lanza en sus estaciones de servicio el nombre comercial de su diésel 100% renovable: Diésel Nexa 100% renovable, un combustible premium diseñado para....</t>
  </si>
  <si>
    <t>Repsol launches the 100% renewable Nexa Diesel premium fuel</t>
  </si>
  <si>
    <t>Repsol launches the commercial name of its 100% renewable diesel at its service stations: Diesel Nexa 100% renewable, a premium fuel designed for...</t>
  </si>
  <si>
    <t>Positive as it emphasizes Repsol’s push toward sustainable fuels.</t>
  </si>
  <si>
    <r>
      <rPr>
        <rFont val="Arial, sans-serif"/>
        <color rgb="FF1155CC"/>
        <sz val="9.0"/>
        <u/>
      </rPr>
      <t>EITB</t>
    </r>
    <r>
      <rPr>
        <rFont val="Arial, sans-serif"/>
        <color rgb="FF1155CC"/>
        <sz val="15.0"/>
        <u/>
      </rPr>
      <t>Repsol gana 1792 millones de euros hasta septiembre, un 36 % menos, por el bajo precio del gas y del petróleo</t>
    </r>
    <r>
      <rPr>
        <rFont val="Arial, sans-serif"/>
        <color rgb="FF1155CC"/>
        <sz val="11.0"/>
        <u/>
      </rPr>
      <t>Repsol gana 1792 millones de euros hasta septiembre, un 36 % menos, por el bajo precio del gas y del crudo. La deuda neta del grupo al cierre del trimestre...</t>
    </r>
    <r>
      <rPr>
        <rFont val="Arial, sans-serif"/>
        <color rgb="FF1155CC"/>
        <sz val="12.0"/>
        <u/>
      </rPr>
      <t>.</t>
    </r>
    <r>
      <rPr>
        <rFont val="Arial, sans-serif"/>
        <color rgb="FF1155CC"/>
        <sz val="11.0"/>
        <u/>
      </rPr>
      <t>31 oct 2024</t>
    </r>
  </si>
  <si>
    <t>Repsol gana 1792 millones de euros hasta septiembre, un 36 % menos, por el bajo precio del gas y del crudo.</t>
  </si>
  <si>
    <t>Repsol gana 1792 millones de euros hasta septiembre, un 36 % menos, por el bajo precio del gas y del crudo. La deuda neta del grupo al cierre del trimestre....</t>
  </si>
  <si>
    <t>Repsol earns 1,792 million euros until September, 36% less, due to the low price of gas and crude oil.</t>
  </si>
  <si>
    <t>Repsol earns 1,792 million euros until September, 36% less, due to the low price of gas and crude oil. The group's net debt at the end of the quarter....</t>
  </si>
  <si>
    <t>profit down, low crude oil price</t>
  </si>
  <si>
    <t>ganancias a la baja, bajo precio del petróleo crudo</t>
  </si>
  <si>
    <t>Slightly negative as it highlights financial struggles due to external market conditions.</t>
  </si>
  <si>
    <t>Mixed financial results.</t>
  </si>
  <si>
    <t>Resultados financieros mixtos.</t>
  </si>
  <si>
    <r>
      <rPr>
        <rFont val="Arial, sans-serif"/>
        <color rgb="FF1155CC"/>
        <sz val="9.0"/>
        <u/>
      </rPr>
      <t>elDiario.es</t>
    </r>
    <r>
      <rPr>
        <rFont val="Arial, sans-serif"/>
        <color rgb="FF1155CC"/>
        <sz val="15.0"/>
        <u/>
      </rPr>
      <t>Repsol celebra el fin del impuesto a las energéticas: “Afortunadamente el problema se ha acabado”</t>
    </r>
    <r>
      <rPr>
        <rFont val="Arial, sans-serif"/>
        <color rgb="FF1155CC"/>
        <sz val="11.0"/>
        <u/>
      </rPr>
      <t>El consejero delegado de Repsol, Josu Jon Imaz, ha celebrado este jueves el final del impuesto extraordinario a las energéticas, que decayó este miércoles...</t>
    </r>
    <r>
      <rPr>
        <rFont val="Arial, sans-serif"/>
        <color rgb="FF1155CC"/>
        <sz val="12.0"/>
        <u/>
      </rPr>
      <t>.</t>
    </r>
    <r>
      <rPr>
        <rFont val="Arial, sans-serif"/>
        <color rgb="FF1155CC"/>
        <sz val="11.0"/>
        <u/>
      </rPr>
      <t>31 oct 2024</t>
    </r>
  </si>
  <si>
    <t>Repsol celebra el fin del impuesto a las energéticas: “Afortunadamente el problema se ha acabado”</t>
  </si>
  <si>
    <t>“Afortunadamente el problema se ha acabado” El consejero delegado de Repsol, Josu Jon Imaz, ha celebrado este jueves el final del impuesto extraordinario a las energéticas, que decayó este miércoles.</t>
  </si>
  <si>
    <t>Repsol celebrates the end of the tax on energy companies: “Fortunately the problem is over”</t>
  </si>
  <si>
    <t>“Fortunately the problem is over” The CEO of Repsol, Josu Jon Imaz, celebrated this Thursday the end of the extraordinary tax on energy companies, which declined this Wednesday.</t>
  </si>
  <si>
    <t>tax end, celebrates resolution</t>
  </si>
  <si>
    <t>fin de impuestos, celebra resolución</t>
  </si>
  <si>
    <t>Positive as it signals an improved investment climate for Repsol.</t>
  </si>
  <si>
    <t>celebra, "problema acabado"</t>
  </si>
  <si>
    <t>Strong positive resolution.</t>
  </si>
  <si>
    <t>Fuerte resolución positiva.</t>
  </si>
  <si>
    <r>
      <rPr>
        <rFont val="Arial, sans-serif"/>
        <color rgb="FF1155CC"/>
        <sz val="9.0"/>
        <u/>
      </rPr>
      <t>Diario de Sevilla</t>
    </r>
    <r>
      <rPr>
        <rFont val="Arial, sans-serif"/>
        <color rgb="FF1155CC"/>
        <sz val="15.0"/>
        <u/>
      </rPr>
      <t>Repsol reactiva sus inversiones en España tras decaer el impuesto a las energéticas</t>
    </r>
    <r>
      <rPr>
        <rFont val="Arial, sans-serif"/>
        <color rgb="FF1155CC"/>
        <sz val="11.0"/>
        <u/>
      </rPr>
      <t>El consejero delegado de Repsol, Josu Jon Imaz, ha considerado este jueves que con la caída del impuesto extraordinario a las energéticas, que vencía el...</t>
    </r>
    <r>
      <rPr>
        <rFont val="Arial, sans-serif"/>
        <color rgb="FF1155CC"/>
        <sz val="12.0"/>
        <u/>
      </rPr>
      <t>.</t>
    </r>
    <r>
      <rPr>
        <rFont val="Arial, sans-serif"/>
        <color rgb="FF1155CC"/>
        <sz val="11.0"/>
        <u/>
      </rPr>
      <t>31 oct 2024</t>
    </r>
  </si>
  <si>
    <t>Repsol reactiva sus inversiones en España tras decaer el impuesto a las energéticas</t>
  </si>
  <si>
    <t>El consejero delegado de Repsol, Josu Jon Imaz, ha considerado este jueves que con la caída del impuesto extraordinario a las energéticas, que vencía el....</t>
  </si>
  <si>
    <t>Repsol reactivates its investments in Spain after declining the tax on energy companies</t>
  </si>
  <si>
    <t>The CEO of Repsol, Josu Jon Imaz, considered this Thursday that with the fall of the extraordinary tax on energy companies, which expired on...</t>
  </si>
  <si>
    <t>reactivates investments, fall of tax</t>
  </si>
  <si>
    <t>reactiva inversiones, caída de impuestos</t>
  </si>
  <si>
    <t>Positive as it highlights renewed investments following tax relief.</t>
  </si>
  <si>
    <t>reactiva, "inversiones"</t>
  </si>
  <si>
    <t>Positive for investment.</t>
  </si>
  <si>
    <t>Positivo para la inversión.</t>
  </si>
  <si>
    <r>
      <rPr>
        <rFont val="Arial, sans-serif"/>
        <color rgb="FF1155CC"/>
        <sz val="9.0"/>
        <u/>
      </rPr>
      <t>Radio Intereconomía</t>
    </r>
    <r>
      <rPr>
        <rFont val="Arial, sans-serif"/>
        <color rgb="FF1155CC"/>
        <sz val="15.0"/>
        <u/>
      </rPr>
      <t>Cae un 36% el beneficio de Repsol</t>
    </r>
    <r>
      <rPr>
        <rFont val="Arial, sans-serif"/>
        <color rgb="FF1155CC"/>
        <sz val="11.0"/>
        <u/>
      </rPr>
      <t>Repsol ha alcanzado un resultado neto de 1.792 millones de euros en los primeros nueve meses de 2024, un 36% menos que el año anterior.</t>
    </r>
    <r>
      <rPr>
        <rFont val="Arial, sans-serif"/>
        <color rgb="FF1155CC"/>
        <sz val="12.0"/>
        <u/>
      </rPr>
      <t>.</t>
    </r>
    <r>
      <rPr>
        <rFont val="Arial, sans-serif"/>
        <color rgb="FF1155CC"/>
        <sz val="11.0"/>
        <u/>
      </rPr>
      <t>31 oct 2024</t>
    </r>
  </si>
  <si>
    <t>Cae un 36% el beneficio de Repsol</t>
  </si>
  <si>
    <t>Repsol ha alcanzado un resultado neto de 1.792 millones de euros en los primeros nueve meses de 2024, un 36% menos que el año anterior.</t>
  </si>
  <si>
    <t>Repsol's profit falls by 36%</t>
  </si>
  <si>
    <t>Repsol has achieved a net result of 1,792 million euros in the first nine months of 2024, 36% less than the previous year.</t>
  </si>
  <si>
    <t>profit falls, 36% decline</t>
  </si>
  <si>
    <t>Las ganancias caen, caída del 36%</t>
  </si>
  <si>
    <t>Slightly negative as it emphasizes financial underperformance.</t>
  </si>
  <si>
    <t>36% menos</t>
  </si>
  <si>
    <t>Negative profit drop.</t>
  </si>
  <si>
    <t>Caída negativa de beneficios.</t>
  </si>
  <si>
    <r>
      <rPr>
        <rFont val="Arial, sans-serif"/>
        <color rgb="FF1155CC"/>
        <sz val="9.0"/>
        <u/>
      </rPr>
      <t>Estrategias de Inversión</t>
    </r>
    <r>
      <rPr>
        <rFont val="Arial, sans-serif"/>
        <color rgb="FF1155CC"/>
        <sz val="15.0"/>
        <u/>
      </rPr>
      <t>La petrolera Repsol reduce su beneficio un 36% pero intensifica su dividendo</t>
    </r>
    <r>
      <rPr>
        <rFont val="Arial, sans-serif"/>
        <color rgb="FF1155CC"/>
        <sz val="11.0"/>
        <u/>
      </rPr>
      <t>Repsol ha alcanzado un resultado neto de 1.792 millones de euros en los primeros nueve meses de 2024, un 36% menos que el año anterior, en un periodo...</t>
    </r>
    <r>
      <rPr>
        <rFont val="Arial, sans-serif"/>
        <color rgb="FF1155CC"/>
        <sz val="12.0"/>
        <u/>
      </rPr>
      <t>.</t>
    </r>
    <r>
      <rPr>
        <rFont val="Arial, sans-serif"/>
        <color rgb="FF1155CC"/>
        <sz val="11.0"/>
        <u/>
      </rPr>
      <t>31 oct 2024</t>
    </r>
  </si>
  <si>
    <t>La petrolera Repsol reduce su beneficio un 36% pero intensifica su dividendo</t>
  </si>
  <si>
    <t>Repsol ha alcanzado un resultado neto de 1.792 millones de euros en los primeros nueve meses de 2024, un 36% menos que el año anterior, en un periodo....</t>
  </si>
  <si>
    <t>The oil company Repsol reduces its profit by 36% but intensifies its dividend</t>
  </si>
  <si>
    <t>Repsol has achieved a net result of 1,792 million euros in the first nine months of 2024, 36% less than the previous year, in a period...</t>
  </si>
  <si>
    <t>profit down, intensifies dividend</t>
  </si>
  <si>
    <t>Caen beneficios, intensifica dividendo</t>
  </si>
  <si>
    <t>Mixed impact as profits are down but dividend payouts are increasing.</t>
  </si>
  <si>
    <t>reduce beneficio, "intensifica dividendo"</t>
  </si>
  <si>
    <t>Mixed; negative profit but shareholder positive.</t>
  </si>
  <si>
    <t>Mezclado; beneficio negativo pero positivo para los accionistas.</t>
  </si>
  <si>
    <r>
      <rPr>
        <rFont val="Arial, sans-serif"/>
        <color rgb="FF1155CC"/>
        <sz val="9.0"/>
        <u/>
      </rPr>
      <t>El Español</t>
    </r>
    <r>
      <rPr>
        <rFont val="Arial, sans-serif"/>
        <color rgb="FF1155CC"/>
        <sz val="15.0"/>
        <u/>
      </rPr>
      <t>Repsol reduce un 36% su beneficio hasta septiembre, a 1.792 millones de euros, por la caída del margen del refino</t>
    </r>
    <r>
      <rPr>
        <rFont val="Arial, sans-serif"/>
        <color rgb="FF1155CC"/>
        <sz val="11.0"/>
        <u/>
      </rPr>
      <t>La petrolera anuncia que repartirá un dividendo de 0475 euros brutos por acción en enero de 2025. Más información: Repsol invertirá hasta 19.000 millones en...</t>
    </r>
    <r>
      <rPr>
        <rFont val="Arial, sans-serif"/>
        <color rgb="FF1155CC"/>
        <sz val="12.0"/>
        <u/>
      </rPr>
      <t>.</t>
    </r>
    <r>
      <rPr>
        <rFont val="Arial, sans-serif"/>
        <color rgb="FF1155CC"/>
        <sz val="11.0"/>
        <u/>
      </rPr>
      <t>31 oct 2024</t>
    </r>
  </si>
  <si>
    <t>Repsol reduce un 36% su beneficio hasta septiembre, a 1.792 millones de euros, por la caída del margen del refino</t>
  </si>
  <si>
    <t>Repsol reduce un 36% su beneficio hasta septiembre, a 1.792 millones de euros, por la caída del margen del refino. La petrolera anuncia que repartirá un dividendo de 0.475 euros brutos por acción en enero de 2025. Más información: Repsol invertirá hasta 19.000 millones en....</t>
  </si>
  <si>
    <t>Repsol reduces its profit until September by 36%, to 1,792 million euros, due to the fall in the refining margin</t>
  </si>
  <si>
    <t>Repsol reduces its profit until September by 36%, to 1,792 million euros, due to the drop in the refining margin. The oil company announces that it will distribute a dividend of 0.475 gross euros per share in January 2025. More information: Repsol will invest up to 19,000 million in...</t>
  </si>
  <si>
    <t>profit drop, refining margin decrease</t>
  </si>
  <si>
    <t>caída de beneficios, disminución del margen de refinación</t>
  </si>
  <si>
    <t>Slightly negative as it emphasizes financial difficulties.</t>
  </si>
  <si>
    <t>Negative earnings.</t>
  </si>
  <si>
    <t>Ganancias negativas.</t>
  </si>
  <si>
    <r>
      <rPr>
        <rFont val="Arial, sans-serif"/>
        <color rgb="FF1155CC"/>
        <sz val="9.0"/>
        <u/>
      </rPr>
      <t>Europa Press</t>
    </r>
    <r>
      <rPr>
        <rFont val="Arial, sans-serif"/>
        <color rgb="FF1155CC"/>
        <sz val="15.0"/>
        <u/>
      </rPr>
      <t>Repsol recorta un 36% sus ganancias a septiembre, hasta 1.792 millones, y sigue impulsando su dividendo</t>
    </r>
    <r>
      <rPr>
        <rFont val="Arial, sans-serif"/>
        <color rgb="FF1155CC"/>
        <sz val="11.0"/>
        <u/>
      </rPr>
      <t>Repsol obtuvo un beneficio neto de 1.792 millones de euros en los nueve primeros meses del año, lo que...</t>
    </r>
    <r>
      <rPr>
        <rFont val="Arial, sans-serif"/>
        <color rgb="FF1155CC"/>
        <sz val="12.0"/>
        <u/>
      </rPr>
      <t>.</t>
    </r>
    <r>
      <rPr>
        <rFont val="Arial, sans-serif"/>
        <color rgb="FF1155CC"/>
        <sz val="11.0"/>
        <u/>
      </rPr>
      <t>31 oct 2024</t>
    </r>
  </si>
  <si>
    <t>Repsol recorta un 36% sus ganancias a septiembre, hasta 1.792 millones, y sigue impulsando su dividendo</t>
  </si>
  <si>
    <t>Repsol obtuvo un beneficio neto de 1.792 millones de euros en los nueve primeros meses del año, lo que....</t>
  </si>
  <si>
    <t>Repsol cuts its profits as of September by 36%, to 1,792 million, and continues to boost its dividend</t>
  </si>
  <si>
    <t>Repsol obtained a net profit of 1,792 million euros in the first nine months of the year, which...</t>
  </si>
  <si>
    <t>profit cut, boosts dividend</t>
  </si>
  <si>
    <t>recorte de beneficios, aumenta el dividendo</t>
  </si>
  <si>
    <t>Mixed impact, as profits are declining but dividend increases could reassure investors.</t>
  </si>
  <si>
    <t>36% menos, "impulsando dividendo"</t>
  </si>
  <si>
    <t>Mixed results.</t>
  </si>
  <si>
    <t>Resultados mixtos.</t>
  </si>
  <si>
    <r>
      <rPr>
        <rFont val="Arial, sans-serif"/>
        <color rgb="FF1155CC"/>
        <sz val="9.0"/>
        <u/>
      </rPr>
      <t>Cinco Días</t>
    </r>
    <r>
      <rPr>
        <rFont val="Arial, sans-serif"/>
        <color rgb="FF1155CC"/>
        <sz val="15.0"/>
        <u/>
      </rPr>
      <t>Repsol ganó 1.792 millones hasta septiembre, un 36% menos</t>
    </r>
    <r>
      <rPr>
        <rFont val="Arial, sans-serif"/>
        <color rgb="FF1155CC"/>
        <sz val="11.0"/>
        <u/>
      </rPr>
      <t>El consejero delegado de Repsol, Josu Jon Imaz, mostró este jueves su satisfacción por el acuerdo del PSOE con Junts y PNV para no prorrogar el impuesto...</t>
    </r>
    <r>
      <rPr>
        <rFont val="Arial, sans-serif"/>
        <color rgb="FF1155CC"/>
        <sz val="12.0"/>
        <u/>
      </rPr>
      <t>.</t>
    </r>
    <r>
      <rPr>
        <rFont val="Arial, sans-serif"/>
        <color rgb="FF1155CC"/>
        <sz val="11.0"/>
        <u/>
      </rPr>
      <t>31 oct 2024</t>
    </r>
  </si>
  <si>
    <t>Repsol ganó 1.792 millones hasta septiembre, un 36% menos</t>
  </si>
  <si>
    <t>El consejero delegado de Repsol, Josu Jon Imaz, mostró este jueves su satisfacción por el acuerdo del PSOE con Junts y PNV para no prorrogar el impuesto....</t>
  </si>
  <si>
    <t>Repsol earned 1,792 million until September, 36% less</t>
  </si>
  <si>
    <t>The CEO of Repsol, Josu Jon Imaz, showed this Thursday his satisfaction with the agreement of the PSOE with Junts and PNV not to extend the tax....</t>
  </si>
  <si>
    <t>profit down, satisfaction with tax end</t>
  </si>
  <si>
    <t>caída de beneficios, satisfacción con el fin de los impuestos</t>
  </si>
  <si>
    <t>Slightly negative as it highlights financial decline, but tax resolution is a positive factor.</t>
  </si>
  <si>
    <r>
      <rPr>
        <rFont val="Arial, sans-serif"/>
        <color rgb="FF1155CC"/>
        <sz val="9.0"/>
        <u/>
      </rPr>
      <t>El Periódico</t>
    </r>
    <r>
      <rPr>
        <rFont val="Arial, sans-serif"/>
        <color rgb="FF1155CC"/>
        <sz val="15.0"/>
        <u/>
      </rPr>
      <t>Repsol afirma que reactivará sus inversiones en España tras decaer el impuesto a las energéticas</t>
    </r>
    <r>
      <rPr>
        <rFont val="Arial, sans-serif"/>
        <color rgb="FF1155CC"/>
        <sz val="11.0"/>
        <u/>
      </rPr>
      <t>La principal petrolera española registra un beneficio neto de 1.792 millones de euros en los primeros nueve meses del año.</t>
    </r>
    <r>
      <rPr>
        <rFont val="Arial, sans-serif"/>
        <color rgb="FF1155CC"/>
        <sz val="12.0"/>
        <u/>
      </rPr>
      <t>.</t>
    </r>
    <r>
      <rPr>
        <rFont val="Arial, sans-serif"/>
        <color rgb="FF1155CC"/>
        <sz val="11.0"/>
        <u/>
      </rPr>
      <t>31 oct 2024</t>
    </r>
  </si>
  <si>
    <t>Repsol afirma que reactivará sus inversiones en España tras decaer el impuesto a las energéticas</t>
  </si>
  <si>
    <t>La principal petrolera española registra un beneficio neto de 1.792 millones de euros en los primeros nueve meses del año.</t>
  </si>
  <si>
    <t>Repsol affirms that it will reactivate its investments in Spain after declining the tax on energy companies</t>
  </si>
  <si>
    <t>The main Spanish oil company registers a net profit of 1,792 million euros in the first nine months of the year.</t>
  </si>
  <si>
    <t>Positive as it signals an improved investment outlook.</t>
  </si>
  <si>
    <t>reactivará, "inversiones"</t>
  </si>
  <si>
    <t>Positive for growth.</t>
  </si>
  <si>
    <t>Positivo para el crecimiento.</t>
  </si>
  <si>
    <r>
      <rPr>
        <rFont val="Arial, sans-serif"/>
        <color rgb="FF1155CC"/>
        <sz val="9.0"/>
        <u/>
      </rPr>
      <t>CapitalMadrid</t>
    </r>
    <r>
      <rPr>
        <rFont val="Arial, sans-serif"/>
        <color rgb="FF1155CC"/>
        <sz val="15.0"/>
        <u/>
      </rPr>
      <t>Claves de los Resultados 3 T 2024 de Repsol</t>
    </r>
    <r>
      <rPr>
        <rFont val="Arial, sans-serif"/>
        <color rgb="FF1155CC"/>
        <sz val="11.0"/>
        <u/>
      </rPr>
      <t>Repsol ha obtenido un resultado neto de 1.792 millones de euros en los nueve primeros meses de 2024, lo que supone un descenso del 36% respecto al mismo...</t>
    </r>
    <r>
      <rPr>
        <rFont val="Arial, sans-serif"/>
        <color rgb="FF1155CC"/>
        <sz val="12.0"/>
        <u/>
      </rPr>
      <t>.</t>
    </r>
    <r>
      <rPr>
        <rFont val="Arial, sans-serif"/>
        <color rgb="FF1155CC"/>
        <sz val="11.0"/>
        <u/>
      </rPr>
      <t>31 oct 2024</t>
    </r>
  </si>
  <si>
    <t>Claves de los Resultados 3 T 2024 de Repsol</t>
  </si>
  <si>
    <t>Repsol ha obtenido un resultado neto de 1.792 millones de euros en los nueve primeros meses de 2024, lo que supone un descenso del 36% respecto al mismo....</t>
  </si>
  <si>
    <t>Keys to Repsol's Q3 2024 Results</t>
  </si>
  <si>
    <t>Repsol has obtained a net result of 1,792 million euros in the first nine months of 2024, which represents a decrease of 36% compared to the same...</t>
  </si>
  <si>
    <t>Q3 results, profit decline</t>
  </si>
  <si>
    <t>Resultados del tercer trimestre, disminución de beneficios</t>
  </si>
  <si>
    <t>Slightly negative as it confirms lower financial performance.</t>
  </si>
  <si>
    <r>
      <rPr>
        <rFont val="Arial, sans-serif"/>
        <color rgb="FF1155CC"/>
        <sz val="9.0"/>
        <u/>
      </rPr>
      <t>Bolsamania</t>
    </r>
    <r>
      <rPr>
        <rFont val="Arial, sans-serif"/>
        <color rgb="FF1155CC"/>
        <sz val="15.0"/>
        <u/>
      </rPr>
      <t>Repsol obtiene un resultado neto de 1.792 millones de enero a septiembre, un 36% menos</t>
    </r>
    <r>
      <rPr>
        <rFont val="Arial, sans-serif"/>
        <color rgb="FF1155CC"/>
        <sz val="11.0"/>
        <u/>
      </rPr>
      <t>Repsol ha obtenido un resultado neto de 1.792 millones de euros en los nueve primeros meses de 2024, lo que supone un descenso del 36% respecto al mismo...</t>
    </r>
    <r>
      <rPr>
        <rFont val="Arial, sans-serif"/>
        <color rgb="FF1155CC"/>
        <sz val="12.0"/>
        <u/>
      </rPr>
      <t>.</t>
    </r>
    <r>
      <rPr>
        <rFont val="Arial, sans-serif"/>
        <color rgb="FF1155CC"/>
        <sz val="11.0"/>
        <u/>
      </rPr>
      <t>31 oct 2024</t>
    </r>
  </si>
  <si>
    <t>Repsol obtiene un resultado neto de 1.792 millones de enero a septiembre, un 36% menos</t>
  </si>
  <si>
    <t>Repsol obtains a net result of 1,792 million from January to September, 36% less</t>
  </si>
  <si>
    <t>profit down, financial decline</t>
  </si>
  <si>
    <t>caída de beneficios, declive financiero</t>
  </si>
  <si>
    <t>Slightly negative as it reinforces concerns about financial performance.</t>
  </si>
  <si>
    <r>
      <rPr>
        <rFont val="Arial, sans-serif"/>
        <color rgb="FF1155CC"/>
        <sz val="9.0"/>
        <u/>
      </rPr>
      <t>El Confidencial</t>
    </r>
    <r>
      <rPr>
        <rFont val="Arial, sans-serif"/>
        <color rgb="FF1155CC"/>
        <sz val="15.0"/>
        <u/>
      </rPr>
      <t>Repsol acusa el bajo precio del petróleo y su beneficio cae un 36%, hasta los 1.792 millones</t>
    </r>
    <r>
      <rPr>
        <rFont val="Arial, sans-serif"/>
        <color rgb="FF1155CC"/>
        <sz val="11.0"/>
        <u/>
      </rPr>
      <t>Repsol ha presentado resultados este jueves. La compañía energética presidida por Antonio Brufau obtuvo un beneficio neto de 1.792 millones de euros en los...</t>
    </r>
    <r>
      <rPr>
        <rFont val="Arial, sans-serif"/>
        <color rgb="FF1155CC"/>
        <sz val="12.0"/>
        <u/>
      </rPr>
      <t>.</t>
    </r>
    <r>
      <rPr>
        <rFont val="Arial, sans-serif"/>
        <color rgb="FF1155CC"/>
        <sz val="11.0"/>
        <u/>
      </rPr>
      <t>31 oct 2024</t>
    </r>
  </si>
  <si>
    <t>Repsol acusa el bajo precio del petróleo y su beneficio cae un 36%, hasta los 1.792 millones</t>
  </si>
  <si>
    <t>Repsol ha presentado resultados este jueves. La compañía energética presidida por Antonio Brufau obtuvo un beneficio neto de 1.792 millones de euros en los....</t>
  </si>
  <si>
    <t>Repsol blames the low price of oil and its profit falls by 36%, to 1,792 million</t>
  </si>
  <si>
    <t>Repsol presented results this Thursday. The energy company chaired by Antonio Brufau obtained a net profit of 1,792 million euros in the...</t>
  </si>
  <si>
    <t>profit falls, low price of oil</t>
  </si>
  <si>
    <t>Las ganancias caen, bajo precio del petróleo</t>
  </si>
  <si>
    <t>Slightly negative as it highlights a financial decline.</t>
  </si>
  <si>
    <t>cae un 36%</t>
  </si>
  <si>
    <r>
      <rPr>
        <rFont val="Arial, sans-serif"/>
        <color rgb="FF1155CC"/>
        <sz val="9.0"/>
        <u/>
      </rPr>
      <t>El Economista</t>
    </r>
    <r>
      <rPr>
        <rFont val="Arial, sans-serif"/>
        <color rgb="FF1155CC"/>
        <sz val="15.0"/>
        <u/>
      </rPr>
      <t>Repsol prepara ventas de renovables en España y EEUU por 1.500 millones</t>
    </r>
    <r>
      <rPr>
        <rFont val="Arial, sans-serif"/>
        <color rgb="FF1155CC"/>
        <sz val="11.0"/>
        <u/>
      </rPr>
      <t>El consejero delegado de Repsol, Josu Jon Imaz, ha anunciado que espera llevar a cabo desinversiones de activos renovables entre finales ...</t>
    </r>
    <r>
      <rPr>
        <rFont val="Arial, sans-serif"/>
        <color rgb="FF1155CC"/>
        <sz val="12.0"/>
        <u/>
      </rPr>
      <t>.</t>
    </r>
    <r>
      <rPr>
        <rFont val="Arial, sans-serif"/>
        <color rgb="FF1155CC"/>
        <sz val="11.0"/>
        <u/>
      </rPr>
      <t>31 oct 2024</t>
    </r>
  </si>
  <si>
    <t>Repsol prepara ventas de renovables en España y EEUU por 1.500 millones</t>
  </si>
  <si>
    <t>El consejero delegado de Repsol, Josu Jon Imaz, ha anunciado que espera llevar a cabo desinversiones de activos renovables entre finales ....</t>
  </si>
  <si>
    <t>Repsol prepares renewable sales in Spain and the US for 1.5 billion</t>
  </si>
  <si>
    <t>The CEO of Repsol, Josu Jon Imaz, has announced that he expects to carry out divestments of renewable assets between the end....</t>
  </si>
  <si>
    <t>renewable sales, 1.5 billion divestments</t>
  </si>
  <si>
    <t>Ventas de renovables, 1.500 millones de desinversiones</t>
  </si>
  <si>
    <t>Slightly negative as it suggests a reduction in renewable investments.</t>
  </si>
  <si>
    <t>ventas, "renovables"</t>
  </si>
  <si>
    <t>Mildly positive for strategy.</t>
  </si>
  <si>
    <t>Ligeramente positivo para la estrategia.</t>
  </si>
  <si>
    <r>
      <rPr>
        <rFont val="Arial, sans-serif"/>
        <color rgb="FF1155CC"/>
        <sz val="9.0"/>
        <u/>
      </rPr>
      <t>El Periódico de la Energía</t>
    </r>
    <r>
      <rPr>
        <rFont val="Arial, sans-serif"/>
        <color rgb="FF1155CC"/>
        <sz val="15.0"/>
        <u/>
      </rPr>
      <t>Repsol afirma que con la caída del impuesto "el problema ha terminado" y reactiva sus inversiones en España</t>
    </r>
    <r>
      <rPr>
        <rFont val="Arial, sans-serif"/>
        <color rgb="FF1155CC"/>
        <sz val="11.0"/>
        <u/>
      </rPr>
      <t>El CEO de Repsol ha considerado que con la caída del impuesto a las energéticas "el problema se ha terminado" y ha dado por reactivado el compromiso con las...</t>
    </r>
    <r>
      <rPr>
        <rFont val="Arial, sans-serif"/>
        <color rgb="FF1155CC"/>
        <sz val="12.0"/>
        <u/>
      </rPr>
      <t>.</t>
    </r>
    <r>
      <rPr>
        <rFont val="Arial, sans-serif"/>
        <color rgb="FF1155CC"/>
        <sz val="11.0"/>
        <u/>
      </rPr>
      <t>31 oct 2024</t>
    </r>
  </si>
  <si>
    <t>Repsol afirma que con la caída del impuesto "el problema ha terminado" y reactiva sus inversiones en España</t>
  </si>
  <si>
    <t>El CEO de Repsol ha considerado que con la caída del impuesto a las energéticas "el problema se ha terminado" y ha dado por reactivado el compromiso con las....</t>
  </si>
  <si>
    <t>Repsol affirms that with the fall of the tax "the problem is over" and reactivates its investments in Spain</t>
  </si>
  <si>
    <t>The CEO of Repsol has considered that with the fall of the tax on energy companies "the problem is over" and has reactivated the commitment to the...</t>
  </si>
  <si>
    <t>problem is over, reactivates investments</t>
  </si>
  <si>
    <t>Se acabó el problema, reactiva inversiones</t>
  </si>
  <si>
    <t>Positive as it signals renewed investment and stability.</t>
  </si>
  <si>
    <t>problema terminado, "reactiva inversiones"</t>
  </si>
  <si>
    <r>
      <rPr>
        <rFont val="Arial, sans-serif"/>
        <color rgb="FF1155CC"/>
        <sz val="9.0"/>
        <u/>
      </rPr>
      <t>Libre Mercado</t>
    </r>
    <r>
      <rPr>
        <rFont val="Arial, sans-serif"/>
        <color rgb="FF1155CC"/>
        <sz val="15.0"/>
        <u/>
      </rPr>
      <t>Repsol reactiva las inversiones en España tras ganar el pulso del impuestazo</t>
    </r>
    <r>
      <rPr>
        <rFont val="Arial, sans-serif"/>
        <color rgb="FF1155CC"/>
        <sz val="11.0"/>
        <u/>
      </rPr>
      <t>Repsol afirma que con la caída del impuesto "el problema ha terminado" y reactiva inversiones en España.</t>
    </r>
    <r>
      <rPr>
        <rFont val="Arial, sans-serif"/>
        <color rgb="FF1155CC"/>
        <sz val="12.0"/>
        <u/>
      </rPr>
      <t>.</t>
    </r>
    <r>
      <rPr>
        <rFont val="Arial, sans-serif"/>
        <color rgb="FF1155CC"/>
        <sz val="11.0"/>
        <u/>
      </rPr>
      <t>31 oct 2024</t>
    </r>
  </si>
  <si>
    <t>Repsol reactiva las inversiones en España tras ganar el pulso del impuestazo</t>
  </si>
  <si>
    <t>Repsol afirma que con la caída del impuesto "el problema ha terminado" y reactiva inversiones en España.</t>
  </si>
  <si>
    <t>Repsol reactivates investments in Spain after winning the fight against the tax</t>
  </si>
  <si>
    <t>Repsol affirms that with the fall of the tax "the problem is over" and reactivates investments in Spain.</t>
  </si>
  <si>
    <t>winning the fight, reactivates investments</t>
  </si>
  <si>
    <t>ganar la pelea, reactiva inversiones</t>
  </si>
  <si>
    <t>Positive as it reinforces a favorable investment environment.</t>
  </si>
  <si>
    <t>reactiva inversiones</t>
  </si>
  <si>
    <t>Positive for business.</t>
  </si>
  <si>
    <t>Positivo para los negocios.</t>
  </si>
  <si>
    <r>
      <rPr>
        <rFont val="Arial, sans-serif"/>
        <color rgb="FF1155CC"/>
        <sz val="9.0"/>
        <u/>
      </rPr>
      <t>EFE - Agencia de noticias</t>
    </r>
    <r>
      <rPr>
        <rFont val="Arial, sans-serif"/>
        <color rgb="FF1155CC"/>
        <sz val="15.0"/>
        <u/>
      </rPr>
      <t>Repsol gana 1.792 millones hasta septiembre, un 36 % menos, por el bajo precio del crudo y el gas</t>
    </r>
    <r>
      <rPr>
        <rFont val="Arial, sans-serif"/>
        <color rgb="FF1155CC"/>
        <sz val="11.0"/>
        <u/>
      </rPr>
      <t>Repsol obtuvo un beneficio neto de 1.792 millones de euros hasta septiembre, cerca de un 36 % menos que en los nueve primeros meses del ejercicio anterior.</t>
    </r>
    <r>
      <rPr>
        <rFont val="Arial, sans-serif"/>
        <color rgb="FF1155CC"/>
        <sz val="12.0"/>
        <u/>
      </rPr>
      <t>.</t>
    </r>
    <r>
      <rPr>
        <rFont val="Arial, sans-serif"/>
        <color rgb="FF1155CC"/>
        <sz val="11.0"/>
        <u/>
      </rPr>
      <t>31 oct 2024</t>
    </r>
  </si>
  <si>
    <t>Repsol gana 1.792 millones hasta septiembre, un 36 % menos, por el bajo precio del crudo y el gas</t>
  </si>
  <si>
    <t>Repsol obtuvo un beneficio neto de 1.792 millones de euros hasta septiembre, cerca de un 36 % menos que en los nueve primeros meses del ejercicio anterior.</t>
  </si>
  <si>
    <t>Repsol earns 1,792 million until September, 36% less, due to the low price of crude oil and gas</t>
  </si>
  <si>
    <t>Repsol obtained a net profit of 1,792 million euros until September, around 36% less than in the first nine months of the previous year.</t>
  </si>
  <si>
    <r>
      <rPr>
        <rFont val="Arial, sans-serif"/>
        <color rgb="FF1155CC"/>
        <sz val="9.0"/>
        <u/>
      </rPr>
      <t>20Minutos</t>
    </r>
    <r>
      <rPr>
        <rFont val="Arial, sans-serif"/>
        <color rgb="FF1155CC"/>
        <sz val="15.0"/>
        <u/>
      </rPr>
      <t>Repsol reactiva sus inversiones en España tras la caída del impuesto: "El problema ha terminado"</t>
    </r>
    <r>
      <rPr>
        <rFont val="Arial, sans-serif"/>
        <color rgb="FF1155CC"/>
        <sz val="11.0"/>
        <u/>
      </rPr>
      <t>El grupo tenía congeladas inversiones por importe de entre 2.000 y 3.000 millones y el consejero delegado, Josu Jon Imaz, asegura que las primeras...</t>
    </r>
    <r>
      <rPr>
        <rFont val="Arial, sans-serif"/>
        <color rgb="FF1155CC"/>
        <sz val="12.0"/>
        <u/>
      </rPr>
      <t>.</t>
    </r>
    <r>
      <rPr>
        <rFont val="Arial, sans-serif"/>
        <color rgb="FF1155CC"/>
        <sz val="11.0"/>
        <u/>
      </rPr>
      <t>31 oct 2024</t>
    </r>
  </si>
  <si>
    <t>Repsol reactiva sus inversiones en España tras la caída del impuesto: "El problema ha terminado"</t>
  </si>
  <si>
    <t>"El problema ha terminado" El grupo tenía congeladas inversiones por importe de entre 2.000 y 3.000 millones y el consejero delegado, Josu Jon Imaz, asegura que las primeras....</t>
  </si>
  <si>
    <t>Repsol reactivates its investments in Spain after the tax drop: "The problem is over"</t>
  </si>
  <si>
    <t>"The problem is over" The group had frozen investments amounting to between 2,000 and 3,000 million and the CEO, Josu Jon Imaz, assures that the first...</t>
  </si>
  <si>
    <t>tax drop, reactivates investments</t>
  </si>
  <si>
    <t>baja de impuestos, reactiva inversiones</t>
  </si>
  <si>
    <t>Positive as it emphasizes the return of investments.</t>
  </si>
  <si>
    <t>reactiva, "problema terminado"</t>
  </si>
  <si>
    <r>
      <rPr>
        <rFont val="Arial, sans-serif"/>
        <color rgb="FF1155CC"/>
        <sz val="9.0"/>
        <u/>
      </rPr>
      <t>El Mundo</t>
    </r>
    <r>
      <rPr>
        <rFont val="Arial, sans-serif"/>
        <color rgb="FF1155CC"/>
        <sz val="15.0"/>
        <u/>
      </rPr>
      <t>El derrumbe de los márgenes de refino hunde un 36% el beneficio de Repsol, pero la compañía dispara un 19% el dividendo</t>
    </r>
    <r>
      <rPr>
        <rFont val="Arial, sans-serif"/>
        <color rgb="FF1155CC"/>
        <sz val="11.0"/>
        <u/>
      </rPr>
      <t>Repsol mantiene objetivos y eleva el dividendo pese a sufrir las consecuencias de un trimestre complicado, marcado por el derrumbe de los márgenes de refino...</t>
    </r>
    <r>
      <rPr>
        <rFont val="Arial, sans-serif"/>
        <color rgb="FF1155CC"/>
        <sz val="12.0"/>
        <u/>
      </rPr>
      <t>.</t>
    </r>
    <r>
      <rPr>
        <rFont val="Arial, sans-serif"/>
        <color rgb="FF1155CC"/>
        <sz val="11.0"/>
        <u/>
      </rPr>
      <t>31 oct 2024</t>
    </r>
  </si>
  <si>
    <t>El derrumbe de los márgenes de refino hunde un 36% el beneficio de Repsol, pero la compañía dispara un 19% el dividendo</t>
  </si>
  <si>
    <t>Repsol mantiene objetivos y eleva el dividendo pese a sufrir las consecuencias de un trimestre complicado, marcado por el derrumbe de los márgenes de refino.</t>
  </si>
  <si>
    <t>The collapse of refining margins sinks Repsol's profit by 36%, but the company shoots up its dividend by 19%</t>
  </si>
  <si>
    <t>Repsol maintains objectives and raises the dividend despite suffering the consequences of a difficult quarter, marked by the collapse of refining margins.</t>
  </si>
  <si>
    <t>profit sinks, dividend increase</t>
  </si>
  <si>
    <t>hundimientos de beneficios, aumento de dividendos</t>
  </si>
  <si>
    <t>Mixed impact, as profits drop but dividends rise.</t>
  </si>
  <si>
    <t>hunde 36%, "dispara dividendo"</t>
  </si>
  <si>
    <t>Mixed financials.</t>
  </si>
  <si>
    <t>Finanzas mixtas.</t>
  </si>
  <si>
    <r>
      <rPr>
        <rFont val="Arial, sans-serif"/>
        <color rgb="FF1155CC"/>
        <sz val="9.0"/>
        <u/>
      </rPr>
      <t>Business Insider España</t>
    </r>
    <r>
      <rPr>
        <rFont val="Arial, sans-serif"/>
        <color rgb="FF1155CC"/>
        <sz val="15.0"/>
        <u/>
      </rPr>
      <t>Repsol gana 1.792 millones de euros hasta septiembre, un 36% menos</t>
    </r>
    <r>
      <rPr>
        <rFont val="Arial, sans-serif"/>
        <color rgb="FF1155CC"/>
        <sz val="11.0"/>
        <u/>
      </rPr>
      <t>La cotización media del gas Henry Hub ha bajado un 22%, lo que ha afectado significativamente a los ingresos de Repsol. Los accionistas recibirán un...</t>
    </r>
    <r>
      <rPr>
        <rFont val="Arial, sans-serif"/>
        <color rgb="FF1155CC"/>
        <sz val="12.0"/>
        <u/>
      </rPr>
      <t>.</t>
    </r>
    <r>
      <rPr>
        <rFont val="Arial, sans-serif"/>
        <color rgb="FF1155CC"/>
        <sz val="11.0"/>
        <u/>
      </rPr>
      <t>31 oct 2024</t>
    </r>
  </si>
  <si>
    <t>Repsol gana 1.792 millones de euros hasta septiembre, un 36% menos</t>
  </si>
  <si>
    <t>La cotización media del gas Henry Hub ha bajado un 22%, lo que ha afectado significativamente a los ingresos de Repsol. Los accionistas recibirán un....</t>
  </si>
  <si>
    <t>Repsol earns 1,792 million euros until September, 36% less</t>
  </si>
  <si>
    <t>The average price of Henry Hub gas has fallen by 22%, which has significantly affected Repsol's income. Shareholders will receive a...</t>
  </si>
  <si>
    <t>profit down, gas prices fall</t>
  </si>
  <si>
    <t>Las ganancias bajan, los precios del gas caen</t>
  </si>
  <si>
    <t>Slightly negative as it highlights financial difficulties.</t>
  </si>
  <si>
    <r>
      <rPr>
        <rFont val="Arial, sans-serif"/>
        <color rgb="FF1155CC"/>
        <sz val="9.0"/>
        <u/>
      </rPr>
      <t>La Gaceta de la Iberosfera</t>
    </r>
    <r>
      <rPr>
        <rFont val="Arial, sans-serif"/>
        <color rgb="FF1155CC"/>
        <sz val="15.0"/>
        <u/>
      </rPr>
      <t>Estos son los proyectos que Repsol ha paralizado en España por el nuevo impuesto del Gobierno</t>
    </r>
    <r>
      <rPr>
        <rFont val="Arial, sans-serif"/>
        <color rgb="FF1155CC"/>
        <sz val="11.0"/>
        <u/>
      </rPr>
      <t>Repsol ha decidido trasladar fuera de España varios de sus proyectos inicialmente previstos para el país, debido al entorno fiscal.</t>
    </r>
    <r>
      <rPr>
        <rFont val="Arial, sans-serif"/>
        <color rgb="FF1155CC"/>
        <sz val="12.0"/>
        <u/>
      </rPr>
      <t>.</t>
    </r>
    <r>
      <rPr>
        <rFont val="Arial, sans-serif"/>
        <color rgb="FF1155CC"/>
        <sz val="11.0"/>
        <u/>
      </rPr>
      <t>31 oct 2024</t>
    </r>
  </si>
  <si>
    <t>Estos son los proyectos que Repsol ha paralizado en España por el nuevo impuesto del Gobierno</t>
  </si>
  <si>
    <t>Repsol ha decidido trasladar fuera de España varios de sus proyectos inicialmente previstos para el país, debido al entorno fiscal.</t>
  </si>
  <si>
    <t>These are the projects that Repsol has paralyzed in Spain due to the new Government tax</t>
  </si>
  <si>
    <t>Repsol has decided to move several of its projects initially planned for the country outside of Spain, due to the fiscal environment.</t>
  </si>
  <si>
    <t>projects paralyzed, tax impact</t>
  </si>
  <si>
    <t>Proyectos paralizados, impacto fiscal</t>
  </si>
  <si>
    <t>Negative as it emphasizes halted investments due to taxation.</t>
  </si>
  <si>
    <t>paralizado, "impuesto"</t>
  </si>
  <si>
    <t>Negative for halted projects.</t>
  </si>
  <si>
    <t>Negativo para proyectos detenidos.</t>
  </si>
  <si>
    <r>
      <rPr>
        <rFont val="Arial, sans-serif"/>
        <color rgb="FF1155CC"/>
        <sz val="9.0"/>
        <u/>
      </rPr>
      <t>CapitalMadrid</t>
    </r>
    <r>
      <rPr>
        <rFont val="Arial, sans-serif"/>
        <color rgb="FF1155CC"/>
        <sz val="15.0"/>
        <u/>
      </rPr>
      <t>Repsol ganó un 35,7% menos a septiembre por caída del crudo y peor margen del refino</t>
    </r>
    <r>
      <rPr>
        <rFont val="Arial, sans-serif"/>
        <color rgb="FF1155CC"/>
        <sz val="11.0"/>
        <u/>
      </rPr>
      <t>Repsol registró un beneficio neto de 1.792 millones de euros hasta septiembre de 2024, lo que supone una caída del 35,7% respecto al mismo periodo del año...</t>
    </r>
    <r>
      <rPr>
        <rFont val="Arial, sans-serif"/>
        <color rgb="FF1155CC"/>
        <sz val="12.0"/>
        <u/>
      </rPr>
      <t>.</t>
    </r>
    <r>
      <rPr>
        <rFont val="Arial, sans-serif"/>
        <color rgb="FF1155CC"/>
        <sz val="11.0"/>
        <u/>
      </rPr>
      <t>31 oct 2024</t>
    </r>
  </si>
  <si>
    <t>Repsol ganó un 35,7% menos a septiembre por caída del crudo y peor margen del refino</t>
  </si>
  <si>
    <t>Repsol registró un beneficio neto de 1.792 millones de euros hasta septiembre de 2024, lo que supone una caída del 35,7% respecto al mismo periodo del año.</t>
  </si>
  <si>
    <t>Repsol earned 35.7% less as of September due to a drop in crude oil and a worse refining margin</t>
  </si>
  <si>
    <t>Repsol recorded a net profit of 1,792 million euros until September 2024, which represents a drop of 35.7% compared to the same period of the year.</t>
  </si>
  <si>
    <t>profit drop, crude oil decline</t>
  </si>
  <si>
    <t>caída de beneficios, caída del petróleo crudo</t>
  </si>
  <si>
    <t>Slightly negative as it highlights financial struggles.</t>
  </si>
  <si>
    <t>35,7% menos</t>
  </si>
  <si>
    <r>
      <rPr>
        <rFont val="Arial, sans-serif"/>
        <color rgb="FF1155CC"/>
        <sz val="9.0"/>
        <u/>
      </rPr>
      <t>La Vanguardia</t>
    </r>
    <r>
      <rPr>
        <rFont val="Arial, sans-serif"/>
        <color rgb="FF1155CC"/>
        <sz val="15.0"/>
        <u/>
      </rPr>
      <t>Repsol da por liquidado el impuesto extraordinario: “It is over”, dice Imaz</t>
    </r>
    <r>
      <rPr>
        <rFont val="Arial, sans-serif"/>
        <color rgb="FF1155CC"/>
        <sz val="11.0"/>
        <u/>
      </rPr>
      <t>The tax is over”. Así de contundente ha contestado este jueves Josu Jon Imaz, consejero delegado de Repsol, a las dudas de los analistas que le han...</t>
    </r>
    <r>
      <rPr>
        <rFont val="Arial, sans-serif"/>
        <color rgb="FF1155CC"/>
        <sz val="12.0"/>
        <u/>
      </rPr>
      <t>.</t>
    </r>
    <r>
      <rPr>
        <rFont val="Arial, sans-serif"/>
        <color rgb="FF1155CC"/>
        <sz val="11.0"/>
        <u/>
      </rPr>
      <t>31 oct 2024</t>
    </r>
  </si>
  <si>
    <t>Repsol da por liquidado el impuesto extraordinario: “It is over”, dice Imaz</t>
  </si>
  <si>
    <t>“The tax is over”. Así de contundente ha contestado este jueves Josu Jon Imaz, consejero delegado de Repsol, a las dudas de los analistas que le han....</t>
  </si>
  <si>
    <t>Repsol considers the extraordinary tax settled: “It is over,” says Imaz</t>
  </si>
  <si>
    <t>“The tax is over.” This is how forceful this Thursday Josu Jon Imaz, CEO of Repsol, responded to the doubts of the analysts who asked him...</t>
  </si>
  <si>
    <t>tax settled, investment certainty</t>
  </si>
  <si>
    <t>impuesto liquidado, certeza de inversión</t>
  </si>
  <si>
    <t>Positive as it signals resolution of taxation issues.</t>
  </si>
  <si>
    <t>liquidado, "impuesto"</t>
  </si>
  <si>
    <r>
      <rPr>
        <rFont val="Arial, sans-serif"/>
        <color rgb="FF1155CC"/>
        <sz val="9.0"/>
        <u/>
      </rPr>
      <t>Mobility Plaza</t>
    </r>
    <r>
      <rPr>
        <rFont val="Arial, sans-serif"/>
        <color rgb="FF1155CC"/>
        <sz val="15.0"/>
        <u/>
      </rPr>
      <t>Repsol lanza combustible premium renovable Diésel Nexa 100%</t>
    </r>
    <r>
      <rPr>
        <rFont val="Arial, sans-serif"/>
        <color rgb="FF1155CC"/>
        <sz val="11.0"/>
        <u/>
      </rPr>
      <t>Repsol lanza combustible premium renovable Diésel Nexa 100%. La compañía cuenta con más de 580 estaciones que suministran el combustible y el objetivo es...</t>
    </r>
    <r>
      <rPr>
        <rFont val="Arial, sans-serif"/>
        <color rgb="FF1155CC"/>
        <sz val="12.0"/>
        <u/>
      </rPr>
      <t>.</t>
    </r>
    <r>
      <rPr>
        <rFont val="Arial, sans-serif"/>
        <color rgb="FF1155CC"/>
        <sz val="11.0"/>
        <u/>
      </rPr>
      <t>31 oct 2024</t>
    </r>
  </si>
  <si>
    <t>Repsol lanza combustible premium renovable Diésel Nexa 100%</t>
  </si>
  <si>
    <t>Repsol lanza combustible premium renovable Diésel Nexa 100%. La compañía cuenta con más de 580 estaciones que suministran el combustible y el objetivo es....</t>
  </si>
  <si>
    <t>Repsol launches 100% renewable premium fuel Nexa Diesel</t>
  </si>
  <si>
    <t>Repsol launches 100% Nexa Diesel premium renewable fuel. The company has more than 580 stations that supply fuel and the objective is....</t>
  </si>
  <si>
    <r>
      <rPr>
        <rFont val="Arial, sans-serif"/>
        <color rgb="FF1155CC"/>
        <sz val="9.0"/>
        <u/>
      </rPr>
      <t>Expansión</t>
    </r>
    <r>
      <rPr>
        <rFont val="Arial, sans-serif"/>
        <color rgb="FF1155CC"/>
        <sz val="15.0"/>
        <u/>
      </rPr>
      <t>Repsol hunde su beneficio un 36% pero dispara dividendos</t>
    </r>
    <r>
      <rPr>
        <rFont val="Arial, sans-serif"/>
        <color rgb="FF1155CC"/>
        <sz val="11.0"/>
        <u/>
      </rPr>
      <t>Repsol, la primera petrolera en España, ha alcanzado un beneficio neto de 1.792 millones de euros en los nueve primeros meses del año, lo que supone una...</t>
    </r>
    <r>
      <rPr>
        <rFont val="Arial, sans-serif"/>
        <color rgb="FF1155CC"/>
        <sz val="12.0"/>
        <u/>
      </rPr>
      <t>.</t>
    </r>
    <r>
      <rPr>
        <rFont val="Arial, sans-serif"/>
        <color rgb="FF1155CC"/>
        <sz val="11.0"/>
        <u/>
      </rPr>
      <t>31 oct 2024</t>
    </r>
  </si>
  <si>
    <t>Repsol hunde su beneficio un 36% pero dispara dividendos</t>
  </si>
  <si>
    <t>Repsol, la primera petrolera en España, ha alcanzado un beneficio neto de 1.792 millones de euros en los nueve primeros meses del año, lo que supone una....</t>
  </si>
  <si>
    <t>Repsol sinks its profit by 36% but boosts dividends</t>
  </si>
  <si>
    <t>Repsol, the leading oil company in Spain, has achieved a net profit of 1,792 million euros in the first nine months of the year, which represents...</t>
  </si>
  <si>
    <t>profit sinks, boosts dividends</t>
  </si>
  <si>
    <t>Las ganancias se hunden, aumentan los dividendos</t>
  </si>
  <si>
    <t>Mixed impact, as profit drops but dividend increases could reassure investors.</t>
  </si>
  <si>
    <t>hunde 36%, "dispara dividendos"</t>
  </si>
  <si>
    <r>
      <rPr>
        <rFont val="Arial, sans-serif"/>
        <color rgb="FF1155CC"/>
        <sz val="9.0"/>
        <u/>
      </rPr>
      <t>La Vanguardia</t>
    </r>
    <r>
      <rPr>
        <rFont val="Arial, sans-serif"/>
        <color rgb="FF1155CC"/>
        <sz val="15.0"/>
        <u/>
      </rPr>
      <t>El descenso de los precios del crudo y del gas reduce las ganancias de Repsol</t>
    </r>
    <r>
      <rPr>
        <rFont val="Arial, sans-serif"/>
        <color rgb="FF1155CC"/>
        <sz val="11.0"/>
        <u/>
      </rPr>
      <t>El impuesto extraordinario a las energéticas en España, el significativo descenso de los precios del crudo y del gas natural. la menor actividad económica...</t>
    </r>
    <r>
      <rPr>
        <rFont val="Arial, sans-serif"/>
        <color rgb="FF1155CC"/>
        <sz val="12.0"/>
        <u/>
      </rPr>
      <t>.</t>
    </r>
    <r>
      <rPr>
        <rFont val="Arial, sans-serif"/>
        <color rgb="FF1155CC"/>
        <sz val="11.0"/>
        <u/>
      </rPr>
      <t>31 oct 2024</t>
    </r>
  </si>
  <si>
    <t>El descenso de los precios del crudo y del gas reduce las ganancias de Repsol</t>
  </si>
  <si>
    <t>El impuesto extraordinario a las energéticas en España, el significativo descenso de los precios del crudo y del gas natural, la menor actividad económica....</t>
  </si>
  <si>
    <t>The decline in crude oil and gas prices reduces Repsol's profits</t>
  </si>
  <si>
    <t>The extraordinary tax on energy companies in Spain, the significant decrease in the prices of crude oil and natural gas, the lower economic activity...</t>
  </si>
  <si>
    <t>decline in crude oil, reduces profits</t>
  </si>
  <si>
    <t>caída del petróleo crudo, reduce beneficios</t>
  </si>
  <si>
    <t>Slightly negative as it highlights declining revenue.</t>
  </si>
  <si>
    <t>reduce ganancias</t>
  </si>
  <si>
    <r>
      <rPr>
        <rFont val="Arial, sans-serif"/>
        <color rgb="FF1155CC"/>
        <sz val="9.0"/>
        <u/>
      </rPr>
      <t>Consenso del Mercado</t>
    </r>
    <r>
      <rPr>
        <rFont val="Arial, sans-serif"/>
        <color rgb="FF1155CC"/>
        <sz val="15.0"/>
        <u/>
      </rPr>
      <t>Noticias Ibex 35 El beneficio de Repsol queda ligeramente por debajo del consenso (558 M€) por los mayores costes del área financiera</t>
    </r>
    <r>
      <rPr>
        <rFont val="Arial, sans-serif"/>
        <color rgb="FF1155CC"/>
        <sz val="11.0"/>
        <u/>
      </rPr>
      <t>Norbolsa | Repsol (REP): resultados 3T con un beneficio ajustado ligeramente por debajo del consenso, 558 millones de euros vs 567 millones esperado (-1,6%)...</t>
    </r>
    <r>
      <rPr>
        <rFont val="Arial, sans-serif"/>
        <color rgb="FF1155CC"/>
        <sz val="12.0"/>
        <u/>
      </rPr>
      <t>.</t>
    </r>
    <r>
      <rPr>
        <rFont val="Arial, sans-serif"/>
        <color rgb="FF1155CC"/>
        <sz val="11.0"/>
        <u/>
      </rPr>
      <t>31 oct 2024</t>
    </r>
  </si>
  <si>
    <t>El beneficio de Repsol queda ligeramente por debajo del consenso (558 M€) por los mayores costes del área financiera</t>
  </si>
  <si>
    <t>El beneficio de Repsol queda ligeramente por debajo del consenso (558 M€) por los mayores costes del área financiera.</t>
  </si>
  <si>
    <t>Repsol's profit is slightly below consensus (€558 M) due to higher costs in the financial area</t>
  </si>
  <si>
    <t>Repsol's profit is slightly below consensus (€558 million) due to higher costs in the financial area.</t>
  </si>
  <si>
    <t>profit below consensus, higher costs</t>
  </si>
  <si>
    <t>beneficio por debajo del consenso, costes más altos</t>
  </si>
  <si>
    <t>Slightly negative as it indicates higher financial pressures.</t>
  </si>
  <si>
    <t>por debajo</t>
  </si>
  <si>
    <r>
      <rPr>
        <rFont val="Arial, sans-serif"/>
        <color rgb="FF1155CC"/>
        <sz val="9.0"/>
        <u/>
      </rPr>
      <t>El Independiente</t>
    </r>
    <r>
      <rPr>
        <rFont val="Arial, sans-serif"/>
        <color rgb="FF1155CC"/>
        <sz val="15.0"/>
        <u/>
      </rPr>
      <t>Repsol gana 1.792 millones, un 36% menos por el precio de los hidrocarburos</t>
    </r>
    <r>
      <rPr>
        <rFont val="Arial, sans-serif"/>
        <color rgb="FF1155CC"/>
        <sz val="11.0"/>
        <u/>
      </rPr>
      <t>Repsol ganó hasta septiembre 1.792 millones de euros, lo que representa una caída del beneficio del 35,7% con respecto al mismo periodo del ejercicio.</t>
    </r>
    <r>
      <rPr>
        <rFont val="Arial, sans-serif"/>
        <color rgb="FF1155CC"/>
        <sz val="12.0"/>
        <u/>
      </rPr>
      <t>.</t>
    </r>
    <r>
      <rPr>
        <rFont val="Arial, sans-serif"/>
        <color rgb="FF1155CC"/>
        <sz val="11.0"/>
        <u/>
      </rPr>
      <t>31 oct 2024</t>
    </r>
  </si>
  <si>
    <t>Repsol gana 1.792 millones, un 36% menos por el precio de los hidrocarburos</t>
  </si>
  <si>
    <t>Repsol ganó hasta septiembre 1.792 millones de euros, lo que representa una caída del beneficio del 35,7% con respecto al mismo periodo del ejercicio.</t>
  </si>
  <si>
    <t>Repsol earns 1,792 million, 36% less due to the price of hydrocarbons</t>
  </si>
  <si>
    <t>Repsol earned 1,792 million euros until September, which represents a 35.7% drop in profit compared to the same period of the year.</t>
  </si>
  <si>
    <t>profit drop, hydrocarbon prices</t>
  </si>
  <si>
    <t>caída de beneficios, precios de los hidrocarburos</t>
  </si>
  <si>
    <r>
      <rPr>
        <rFont val="Arial, sans-serif"/>
        <color rgb="FF1155CC"/>
        <sz val="9.0"/>
        <u/>
      </rPr>
      <t>Hispanidad</t>
    </r>
    <r>
      <rPr>
        <rFont val="Arial, sans-serif"/>
        <color rgb="FF1155CC"/>
        <sz val="15.0"/>
        <u/>
      </rPr>
      <t>Repsol reactiva inversiones en España tras caer el impuestazo, y tumba el argumento capcioso de PSOE y Sumar: gana un 36% menos</t>
    </r>
    <r>
      <rPr>
        <rFont val="Arial, sans-serif"/>
        <color rgb="FF1155CC"/>
        <sz val="11.0"/>
        <u/>
      </rPr>
      <t>Repsol reactiva inversiones en España, tras caer el impuestazo energético… Y al mismo tiempo, ha tumbado el argumento del Gobierno y Sumar de que...</t>
    </r>
    <r>
      <rPr>
        <rFont val="Arial, sans-serif"/>
        <color rgb="FF1155CC"/>
        <sz val="12.0"/>
        <u/>
      </rPr>
      <t>.</t>
    </r>
    <r>
      <rPr>
        <rFont val="Arial, sans-serif"/>
        <color rgb="FF1155CC"/>
        <sz val="11.0"/>
        <u/>
      </rPr>
      <t>31 oct 2024</t>
    </r>
  </si>
  <si>
    <t>Repsol reactiva inversiones en España tras caer el impuestazo, y tumba el argumento capcioso de PSOE y Sumar: gana un 36% menos</t>
  </si>
  <si>
    <t>Repsol reactiva inversiones en España, tras caer el impuestazo energético… Y al mismo tiempo, ha tumbado el argumento del Gobierno y Sumar de que....</t>
  </si>
  <si>
    <t>Repsol reactivates investments in Spain after falling the tax, and overturns the misleading argument of PSOE and Sumar: it earns 36% less</t>
  </si>
  <si>
    <t>Repsol reactivates investments in Spain, after the fall of the energy tax… And at the same time, it has overturned the argument of the Government and Sumar that….</t>
  </si>
  <si>
    <t>Positive as it emphasizes investment revival.</t>
  </si>
  <si>
    <t>reactiva, "36% menos"</t>
  </si>
  <si>
    <t>Mixed; positive for investments but negative earnings.</t>
  </si>
  <si>
    <t>Mezclado; positivo para las inversiones pero negativo para los beneficios.</t>
  </si>
  <si>
    <r>
      <rPr>
        <rFont val="Arial, sans-serif"/>
        <color rgb="FF1155CC"/>
        <sz val="9.0"/>
        <u/>
      </rPr>
      <t>El Correo</t>
    </r>
    <r>
      <rPr>
        <rFont val="Arial, sans-serif"/>
        <color rgb="FF1155CC"/>
        <sz val="15.0"/>
        <u/>
      </rPr>
      <t>Repsol retoma 1.500 millones de inversión tras el final del 'impuestazo' energético</t>
    </r>
    <r>
      <rPr>
        <rFont val="Arial, sans-serif"/>
        <color rgb="FF1155CC"/>
        <sz val="11.0"/>
        <u/>
      </rPr>
      <t>Josu Jon Imaz asegura que «el problema se ha terminado» y Petronor reactiva proyectos en Euskadi por 220 millones.</t>
    </r>
    <r>
      <rPr>
        <rFont val="Arial, sans-serif"/>
        <color rgb="FF1155CC"/>
        <sz val="12.0"/>
        <u/>
      </rPr>
      <t>.</t>
    </r>
    <r>
      <rPr>
        <rFont val="Arial, sans-serif"/>
        <color rgb="FF1155CC"/>
        <sz val="11.0"/>
        <u/>
      </rPr>
      <t>31 oct 2024</t>
    </r>
  </si>
  <si>
    <t>Repsol retoma 1.500 millones de inversión tras el final del 'impuestazo' energético</t>
  </si>
  <si>
    <t>Josu Jon Imaz asegura que «el problema se ha terminado» y Petronor reactiva proyectos en Euskadi por 220 millones.</t>
  </si>
  <si>
    <t>Repsol resumes 1,500 million investment after the end of the energy 'tax'</t>
  </si>
  <si>
    <t>Josu Jon Imaz assures that "the problem is over" and Petronor reactivates projects in Euskadi for 220 million.</t>
  </si>
  <si>
    <t>resumes investment, tax end</t>
  </si>
  <si>
    <t>reanuda la inversión, fin de impuestos</t>
  </si>
  <si>
    <t>Positive as it signals renewed growth in Spain.</t>
  </si>
  <si>
    <t>retoma inversión</t>
  </si>
  <si>
    <r>
      <rPr>
        <rFont val="Arial, sans-serif"/>
        <color rgb="FF1155CC"/>
        <sz val="9.0"/>
        <u/>
      </rPr>
      <t>Estrategias de Inversión</t>
    </r>
    <r>
      <rPr>
        <rFont val="Arial, sans-serif"/>
        <color rgb="FF1155CC"/>
        <sz val="15.0"/>
        <u/>
      </rPr>
      <t>Repsol e Indra lideran las caídas de un Ibex 35 que intenta mantener los 11.700 puntos</t>
    </r>
    <r>
      <rPr>
        <rFont val="Arial, sans-serif"/>
        <color rgb="FF1155CC"/>
        <sz val="11.0"/>
        <u/>
      </rPr>
      <t>Ibex 35: caídas para el índice, que intenta aguantar los 11.700 en otro día de resultados trimestrales. Valores más bajistas: Repsol e Indra.</t>
    </r>
    <r>
      <rPr>
        <rFont val="Arial, sans-serif"/>
        <color rgb="FF1155CC"/>
        <sz val="12.0"/>
        <u/>
      </rPr>
      <t>.</t>
    </r>
    <r>
      <rPr>
        <rFont val="Arial, sans-serif"/>
        <color rgb="FF1155CC"/>
        <sz val="11.0"/>
        <u/>
      </rPr>
      <t>31 oct 2024</t>
    </r>
  </si>
  <si>
    <t>Repsol e Indra lideran las caídas de un Ibex 35 que intenta mantener los 11.700 puntos</t>
  </si>
  <si>
    <t>caídas para el índice, que intenta aguantar los 11.700 en otro día de resultados trimestrales. Valores más bajistas: Repsol e Indra.</t>
  </si>
  <si>
    <t>Repsol and Indra lead the falls of an Ibex 35 that tries to maintain 11,700 points</t>
  </si>
  <si>
    <t>falls for the index, which tries to hold on to 11,700 on another day of quarterly results. Most bearish values: Repsol and Indra.</t>
  </si>
  <si>
    <t>Ibex falls, Repsol bearish</t>
  </si>
  <si>
    <t>Ibex cae, Repsol bajista</t>
  </si>
  <si>
    <t>Slightly negative as it highlights Repsol's weak stock performance.</t>
  </si>
  <si>
    <t>Negative stock performance.</t>
  </si>
  <si>
    <t>Comportamiento negativo de las acciones.</t>
  </si>
  <si>
    <r>
      <rPr>
        <rFont val="Arial, sans-serif"/>
        <color rgb="FF1155CC"/>
        <sz val="9.0"/>
        <u/>
      </rPr>
      <t>La Comarca de Puertollano</t>
    </r>
    <r>
      <rPr>
        <rFont val="Arial, sans-serif"/>
        <color rgb="FF1155CC"/>
        <sz val="15.0"/>
        <u/>
      </rPr>
      <t>Puertollano: Desconvocada la huelga indefinida en ‘Navec’ tras el acuerdo entre Repsol y una nueva empresa</t>
    </r>
    <r>
      <rPr>
        <rFont val="Arial, sans-serif"/>
        <color rgb="FF1155CC"/>
        <sz val="11.0"/>
        <u/>
      </rPr>
      <t>El comité de empresa de 'Navec', integrado por los sindicatos CCOO, USO y UGT, ha desconvocado la huelga indefinida en Puertollano tras el acuerdo alcanzado...</t>
    </r>
    <r>
      <rPr>
        <rFont val="Arial, sans-serif"/>
        <color rgb="FF1155CC"/>
        <sz val="12.0"/>
        <u/>
      </rPr>
      <t>.</t>
    </r>
    <r>
      <rPr>
        <rFont val="Arial, sans-serif"/>
        <color rgb="FF1155CC"/>
        <sz val="11.0"/>
        <u/>
      </rPr>
      <t>31 oct 2024</t>
    </r>
  </si>
  <si>
    <t>Desconvocada la huelga indefinida en ‘Navec’ tras el acuerdo entre Repsol y una nueva empresa</t>
  </si>
  <si>
    <t>El comité de empresa de 'Navec', integrado por los sindicatos CCOO, USO y UGT, ha desconvocado la huelga indefinida en Puertollano tras el acuerdo alcanzado.</t>
  </si>
  <si>
    <t>The indefinite strike at 'Navec' is called off after the agreement between Repsol and a new company</t>
  </si>
  <si>
    <t>The 'Navec' works council, made up of the CCOO, USO and UGT unions, has called off the indefinite strike in Puertollano after the agreement reached.</t>
  </si>
  <si>
    <t>strike called off, agreement reached</t>
  </si>
  <si>
    <t>huelga desconvocada, acuerdo alcanzado</t>
  </si>
  <si>
    <t>Positive as it indicates resolution of labor disputes.</t>
  </si>
  <si>
    <t>desconvocada, "acuerdo"</t>
  </si>
  <si>
    <t>Positive resolution of labor conflict.</t>
  </si>
  <si>
    <t>Resolución positiva de conflictos laborales.</t>
  </si>
  <si>
    <r>
      <rPr>
        <rFont val="Arial, sans-serif"/>
        <color rgb="FF1155CC"/>
        <sz val="9.0"/>
        <u/>
      </rPr>
      <t>Canal Sur</t>
    </r>
    <r>
      <rPr>
        <rFont val="Arial, sans-serif"/>
        <color rgb="FF1155CC"/>
        <sz val="15.0"/>
        <u/>
      </rPr>
      <t>Depósitos de Repsol de Málaga</t>
    </r>
    <r>
      <rPr>
        <rFont val="Arial, sans-serif"/>
        <color rgb="FF1155CC"/>
        <sz val="11.0"/>
        <u/>
      </rPr>
      <t>1991: 31 de octubre. Se firma un Protocolo de intenciones para la demolición y el desmantelamiento de las construcciones e instalaciones de Repsol ubicadas...</t>
    </r>
    <r>
      <rPr>
        <rFont val="Arial, sans-serif"/>
        <color rgb="FF1155CC"/>
        <sz val="12.0"/>
        <u/>
      </rPr>
      <t>.</t>
    </r>
    <r>
      <rPr>
        <rFont val="Arial, sans-serif"/>
        <color rgb="FF1155CC"/>
        <sz val="11.0"/>
        <u/>
      </rPr>
      <t>31 oct 2024</t>
    </r>
  </si>
  <si>
    <t>Canal Sur</t>
  </si>
  <si>
    <t>Depósitos de Repsol de Málaga</t>
  </si>
  <si>
    <t>Se firma un Protocolo de intenciones para la demolición y el desmantelamiento de las construcciones e instalaciones de Repsol ubicadas....</t>
  </si>
  <si>
    <t>Repsol warehouses in Malaga</t>
  </si>
  <si>
    <t>A Protocol of intentions is signed for the demolition and dismantling of Repsol buildings and facilities located...</t>
  </si>
  <si>
    <t>demolition, dismantling</t>
  </si>
  <si>
    <t>demolición, desmantelamiento</t>
  </si>
  <si>
    <t>Slightly negative as it signals asset reductions.</t>
  </si>
  <si>
    <t>Neutral infrastructure news.</t>
  </si>
  <si>
    <t>Noticias de infraestructura neutral.</t>
  </si>
  <si>
    <r>
      <rPr>
        <rFont val="Arial, sans-serif"/>
        <color rgb="FF1155CC"/>
        <sz val="9.0"/>
        <u/>
      </rPr>
      <t>Faconauto</t>
    </r>
    <r>
      <rPr>
        <rFont val="Arial, sans-serif"/>
        <color rgb="FF1155CC"/>
        <sz val="15.0"/>
        <u/>
      </rPr>
      <t>El Observatorio del Vehículo Industrial reunirá a los mejores expertos del sector</t>
    </r>
    <r>
      <rPr>
        <rFont val="Arial, sans-serif"/>
        <color rgb="FF1155CC"/>
        <sz val="11.0"/>
        <u/>
      </rPr>
      <t>La tercera edición de este encuentro tendrá lugar en el Auditorio Campus Repsol el próximo jueves, 7 de noviembre, a partir de las 9:30 h.</t>
    </r>
    <r>
      <rPr>
        <rFont val="Arial, sans-serif"/>
        <color rgb="FF1155CC"/>
        <sz val="12.0"/>
        <u/>
      </rPr>
      <t>.</t>
    </r>
    <r>
      <rPr>
        <rFont val="Arial, sans-serif"/>
        <color rgb="FF1155CC"/>
        <sz val="11.0"/>
        <u/>
      </rPr>
      <t>31 oct 2024</t>
    </r>
  </si>
  <si>
    <t>El Observatorio del Vehículo Industrial</t>
  </si>
  <si>
    <t>El Observatorio del Vehículo Industrial reunirá a los mejores expertos del sector</t>
  </si>
  <si>
    <t>La tercera edición de este encuentro tendrá lugar en el Auditorio Campus Repsol el próximo jueves, 7 de noviembre, a partir de las 9:30 h.</t>
  </si>
  <si>
    <t>The Industrial Vehicle Observatory will bring together the best experts in the sector</t>
  </si>
  <si>
    <t>The third edition of this meeting will take place at the Campus Repsol Auditorium next Thursday, November 7, starting at 9:30 a.m.</t>
  </si>
  <si>
    <r>
      <rPr>
        <rFont val="Arial, sans-serif"/>
        <color rgb="FF1155CC"/>
        <sz val="9.0"/>
        <u/>
      </rPr>
      <t>Diari de Tarragona</t>
    </r>
    <r>
      <rPr>
        <rFont val="Arial, sans-serif"/>
        <color rgb="FF1155CC"/>
        <sz val="15.0"/>
        <u/>
      </rPr>
      <t>Repsol reactivará las inversiones en Tarragona si se retira el impuesto a las energéticas</t>
    </r>
    <r>
      <rPr>
        <rFont val="Arial, sans-serif"/>
        <color rgb="FF1155CC"/>
        <sz val="11.0"/>
        <u/>
      </rPr>
      <t>«El problema se ha terminado», ha expresado esta mañana el consejero delegado de Repsol, Josu Jon Imaz, en relación con el pacto al que el PSOE ha lle...</t>
    </r>
    <r>
      <rPr>
        <rFont val="Arial, sans-serif"/>
        <color rgb="FF1155CC"/>
        <sz val="12.0"/>
        <u/>
      </rPr>
      <t>.</t>
    </r>
    <r>
      <rPr>
        <rFont val="Arial, sans-serif"/>
        <color rgb="FF1155CC"/>
        <sz val="11.0"/>
        <u/>
      </rPr>
      <t>31 oct 2024</t>
    </r>
  </si>
  <si>
    <t>Repsol reactivará las inversiones en Tarragona si se retira el impuesto a las energéticas</t>
  </si>
  <si>
    <t>«El problema se ha terminado», ha expresado esta mañana el consejero delegado de Repsol, Josu Jon Imaz, en relación con el pacto al que el PSOE ha lle....</t>
  </si>
  <si>
    <t>Repsol will reactivate investments in Tarragona if the tax on energy companies is withdrawn</t>
  </si>
  <si>
    <t>"The problem is over," the CEO of Repsol, Josu Jon Imaz, said this morning in relation to the pact that the PSOE has reached....</t>
  </si>
  <si>
    <t>reactivate investments, tax withdrawn</t>
  </si>
  <si>
    <t>reactivar inversiones, retirada de impuestos</t>
  </si>
  <si>
    <t>Positive as it signals business expansion.</t>
  </si>
  <si>
    <t>Positive for regional growth.</t>
  </si>
  <si>
    <t>Positivo para el crecimiento regional.</t>
  </si>
  <si>
    <r>
      <rPr>
        <rFont val="Arial, sans-serif"/>
        <color rgb="FF1155CC"/>
        <sz val="9.0"/>
        <u/>
      </rPr>
      <t>Crónica Vasca</t>
    </r>
    <r>
      <rPr>
        <rFont val="Arial, sans-serif"/>
        <color rgb="FF1155CC"/>
        <sz val="15.0"/>
        <u/>
      </rPr>
      <t>Imaz se compromete a invertir en España y despeja el camino al plan de hidrógeno de Petronor</t>
    </r>
    <r>
      <rPr>
        <rFont val="Arial, sans-serif"/>
        <color rgb="FF1155CC"/>
        <sz val="11.0"/>
        <u/>
      </rPr>
      <t>El CEO de Repsol valora positivamente el acuerdo para poner fin al impuesto a las energéticas y dice que las dudas sobre las inversiones en España "quedan...</t>
    </r>
    <r>
      <rPr>
        <rFont val="Arial, sans-serif"/>
        <color rgb="FF1155CC"/>
        <sz val="12.0"/>
        <u/>
      </rPr>
      <t>.</t>
    </r>
    <r>
      <rPr>
        <rFont val="Arial, sans-serif"/>
        <color rgb="FF1155CC"/>
        <sz val="11.0"/>
        <u/>
      </rPr>
      <t>31 oct 2024</t>
    </r>
  </si>
  <si>
    <t>Imaz se compromete a invertir en España y despeja el camino al plan de hidrógeno de Petronor</t>
  </si>
  <si>
    <t>El CEO de Repsol valora positivamente el acuerdo para poner fin al impuesto a las energéticas y dice que las dudas sobre las inversiones en España "quedan....</t>
  </si>
  <si>
    <t>Imaz commits to investing in Spain and clears the way for Petronor's hydrogen plan</t>
  </si>
  <si>
    <t>The CEO of Repsol positively values ​​the agreement to end the tax on energy companies and says that doubts about investments in Spain "remain...</t>
  </si>
  <si>
    <t>investing in Spain, hydrogen plan</t>
  </si>
  <si>
    <t>invertir en España, plan hidrógeno</t>
  </si>
  <si>
    <t>Positive as it highlights investment certainty.</t>
  </si>
  <si>
    <t>invertir, "despeja"</t>
  </si>
  <si>
    <t>Positive for future projects.</t>
  </si>
  <si>
    <t>Positivo para futuros proyectos.</t>
  </si>
  <si>
    <r>
      <rPr>
        <rFont val="Arial, sans-serif"/>
        <color rgb="FF1155CC"/>
        <sz val="9.0"/>
        <u/>
      </rPr>
      <t>Libre Mercado</t>
    </r>
    <r>
      <rPr>
        <rFont val="Arial, sans-serif"/>
        <color rgb="FF1155CC"/>
        <sz val="15.0"/>
        <u/>
      </rPr>
      <t>El Gobierno renuncia a hacer permanente el impuesto a energéticas pero mantiene el de la banca</t>
    </r>
    <r>
      <rPr>
        <rFont val="Arial, sans-serif"/>
        <color rgb="FF1155CC"/>
        <sz val="11.0"/>
        <u/>
      </rPr>
      <t>Así lo ha decidido el ministerio de Hacienda después de que PNV y Junts se negaran a apoyar el tributo extraordinario a energéticas.</t>
    </r>
    <r>
      <rPr>
        <rFont val="Arial, sans-serif"/>
        <color rgb="FF1155CC"/>
        <sz val="12.0"/>
        <u/>
      </rPr>
      <t>.</t>
    </r>
    <r>
      <rPr>
        <rFont val="Arial, sans-serif"/>
        <color rgb="FF1155CC"/>
        <sz val="11.0"/>
        <u/>
      </rPr>
      <t>31 oct 2024</t>
    </r>
  </si>
  <si>
    <t>El Gobierno renuncia a hacer permanente el impuesto a energéticas pero mantiene el de la banca</t>
  </si>
  <si>
    <t>Así lo ha decidido el ministerio de Hacienda después de que PNV y Junts se negaran a apoyar el tributo extraordinario a energéticas.</t>
  </si>
  <si>
    <t>The Government renounces making the energy tax permanent but maintains the banking tax</t>
  </si>
  <si>
    <t>This has been decided by the Ministry of Finance after PNV and Junts refused to support the extraordinary tax on energy companies.</t>
  </si>
  <si>
    <t>tax renounced, energy companies</t>
  </si>
  <si>
    <t>impuestos renunciados, empresas energéticas</t>
  </si>
  <si>
    <t>Positive as it signals a more favorable tax environment.</t>
  </si>
  <si>
    <t>renuncia, "impuesto"</t>
  </si>
  <si>
    <t>Positive policy change.</t>
  </si>
  <si>
    <t>Cambio de política positivo.</t>
  </si>
  <si>
    <r>
      <rPr>
        <rFont val="Arial, sans-serif"/>
        <color rgb="FF1155CC"/>
        <sz val="9.0"/>
        <u/>
      </rPr>
      <t>El Periódico</t>
    </r>
    <r>
      <rPr>
        <rFont val="Arial, sans-serif"/>
        <color rgb="FF1155CC"/>
        <sz val="15.0"/>
        <u/>
      </rPr>
      <t>Alivio en Tarragona por la reactivación de los 1.100 millones de inversión de Repsol tras caer el impuesto a las energéticas</t>
    </r>
    <r>
      <rPr>
        <rFont val="Arial, sans-serif"/>
        <color rgb="FF1155CC"/>
        <sz val="11.0"/>
        <u/>
      </rPr>
      <t>La multinacional construirá una ecoplanta para producir metanol y bimetanol y el mayor electrolizador de España para hidrógeno verde.</t>
    </r>
    <r>
      <rPr>
        <rFont val="Arial, sans-serif"/>
        <color rgb="FF1155CC"/>
        <sz val="12.0"/>
        <u/>
      </rPr>
      <t>.</t>
    </r>
    <r>
      <rPr>
        <rFont val="Arial, sans-serif"/>
        <color rgb="FF1155CC"/>
        <sz val="11.0"/>
        <u/>
      </rPr>
      <t>31 oct 2024</t>
    </r>
  </si>
  <si>
    <t>Alivio en Tarragona por la reactivación de los 1.100 millones de inversión de Repsol tras caer el impuesto a las energéticas.</t>
  </si>
  <si>
    <t>Alivio en Tarragona por la reactivación de los 1.100 millones de inversión de Repsol tras caer el impuesto a las energéticas. La multinacional construirá una ecoplanta para producir metanol y bimetanol y el mayor electrolizador de España para hidrógeno verde.</t>
  </si>
  <si>
    <t>Relief in Tarragona due to the reactivation of Repsol's 1.1 billion investment after the tax on energy companies fell.</t>
  </si>
  <si>
    <t>Relief in Tarragona due to the reactivation of Repsol's 1.1 billion investment after the tax on energy companies fell. The multinational will build an eco-plant to produce methanol and bimethanol and the largest electrolyzer in Spain for green hydrogen.</t>
  </si>
  <si>
    <t>reactivation, 1.1 billion investment</t>
  </si>
  <si>
    <t>reactivación, inversión de 1.100 millones</t>
  </si>
  <si>
    <t>Strongly positive due to renewed major investment.</t>
  </si>
  <si>
    <t>alivio, "reactivación"</t>
  </si>
  <si>
    <t>Strong positive for local economy.</t>
  </si>
  <si>
    <t>Fuertemente positivo para la economía local.</t>
  </si>
  <si>
    <r>
      <rPr>
        <rFont val="Arial, sans-serif"/>
        <color rgb="FF1155CC"/>
        <sz val="9.0"/>
        <u/>
      </rPr>
      <t>EITB</t>
    </r>
    <r>
      <rPr>
        <rFont val="Arial, sans-serif"/>
        <color rgb="FF1155CC"/>
        <sz val="15.0"/>
        <u/>
      </rPr>
      <t>Vídeo: Josu Jon Imaz está satisfecho con el decaimiento del impuesto a las energéticas</t>
    </r>
    <r>
      <rPr>
        <rFont val="Arial, sans-serif"/>
        <color rgb="FF1155CC"/>
        <sz val="11.0"/>
        <u/>
      </rPr>
      <t>El consejero delegado de Repsol celebra que desaparezca el impuesto especial por ingresos "caídos del cielo". Previamente, había asegurado que,...</t>
    </r>
    <r>
      <rPr>
        <rFont val="Arial, sans-serif"/>
        <color rgb="FF1155CC"/>
        <sz val="12.0"/>
        <u/>
      </rPr>
      <t>.</t>
    </r>
    <r>
      <rPr>
        <rFont val="Arial, sans-serif"/>
        <color rgb="FF1155CC"/>
        <sz val="11.0"/>
        <u/>
      </rPr>
      <t>31 oct 2024</t>
    </r>
  </si>
  <si>
    <t>Josu Jon Imaz está satisfecho con el decaimiento del impuesto a las energéticas</t>
  </si>
  <si>
    <t>El consejero delegado de Repsol celebra que desaparezca el impuesto especial por ingresos "caídos del cielo". Previamente, había asegurado que,...</t>
  </si>
  <si>
    <t>Josu Jon Imaz is satisfied with the decline of the tax on energy companies</t>
  </si>
  <si>
    <t>The CEO of Repsol celebrates the disappearance of the special tax on income "fallen from the sky." Previously, he had assured that...</t>
  </si>
  <si>
    <t>satisfied, decline of tax</t>
  </si>
  <si>
    <t>satisfecho, disminución del impuesto</t>
  </si>
  <si>
    <t>Positive as it signals relief for the company.</t>
  </si>
  <si>
    <t>satisfecho, "decaimiento"</t>
  </si>
  <si>
    <r>
      <rPr>
        <rFont val="Arial, sans-serif"/>
        <color rgb="FF1155CC"/>
        <sz val="9.0"/>
        <u/>
      </rPr>
      <t>lamarea.com</t>
    </r>
    <r>
      <rPr>
        <rFont val="Arial, sans-serif"/>
        <color rgb="FF1155CC"/>
        <sz val="15.0"/>
        <u/>
      </rPr>
      <t>Y vencieron las eléctricas: se acabó el impuesto</t>
    </r>
    <r>
      <rPr>
        <rFont val="Arial, sans-serif"/>
        <color rgb="FF1155CC"/>
        <sz val="11.0"/>
        <u/>
      </rPr>
      <t>Repsol, una de las empresas más beligerantes contra el gravamen, celebra la decisión: “The tax is over”, asegura su consejero delegado.</t>
    </r>
    <r>
      <rPr>
        <rFont val="Arial, sans-serif"/>
        <color rgb="FF1155CC"/>
        <sz val="12.0"/>
        <u/>
      </rPr>
      <t>.</t>
    </r>
    <r>
      <rPr>
        <rFont val="Arial, sans-serif"/>
        <color rgb="FF1155CC"/>
        <sz val="11.0"/>
        <u/>
      </rPr>
      <t>31 oct 2024</t>
    </r>
  </si>
  <si>
    <t>Y vencieron las eléctricas: se acabó el impuesto</t>
  </si>
  <si>
    <t>"Repsol, una de las empresas más beligerantes contra el gravamen, celebra la decisión: 'The tax is over', asegura su consejero delegado."</t>
  </si>
  <si>
    <t>And the electricity companies won: the tax is over</t>
  </si>
  <si>
    <t>"Repsol, one of the most belligerent companies against the tax, celebrates the decision: 'The tax is over,' says its CEO."</t>
  </si>
  <si>
    <t>tax is over, celebrates</t>
  </si>
  <si>
    <t>se acabó el impuesto, celebra</t>
  </si>
  <si>
    <t>Positive as it confirms tax relief.</t>
  </si>
  <si>
    <t>vencieron, "se acabó"</t>
  </si>
  <si>
    <t>Positive outcome.</t>
  </si>
  <si>
    <t>Resultado positivo.</t>
  </si>
  <si>
    <r>
      <rPr>
        <rFont val="Arial, sans-serif"/>
        <color rgb="FF1155CC"/>
        <sz val="9.0"/>
        <u/>
      </rPr>
      <t>Box Repsol</t>
    </r>
    <r>
      <rPr>
        <rFont val="Arial, sans-serif"/>
        <color rgb="FF1155CC"/>
        <sz val="15.0"/>
        <u/>
      </rPr>
      <t>Motauros 2025: Celebra su 25º aniversario</t>
    </r>
    <r>
      <rPr>
        <rFont val="Arial, sans-serif"/>
        <color rgb="FF1155CC"/>
        <sz val="11.0"/>
        <u/>
      </rPr>
      <t>El mototurismo invernal en España tiene su centro de operaciones en la meseta castellana, y la Concentración Motauros es uno de los eventos fundamentales en...</t>
    </r>
    <r>
      <rPr>
        <rFont val="Arial, sans-serif"/>
        <color rgb="FF1155CC"/>
        <sz val="12.0"/>
        <u/>
      </rPr>
      <t>.</t>
    </r>
    <r>
      <rPr>
        <rFont val="Arial, sans-serif"/>
        <color rgb="FF1155CC"/>
        <sz val="11.0"/>
        <u/>
      </rPr>
      <t>31 oct 2024</t>
    </r>
  </si>
  <si>
    <t>Motauros 2025: Celebra su 25º aniversario</t>
  </si>
  <si>
    <t>El mototurismo invernal en España tiene su centro de operaciones en la meseta castellana, y la Concentración Motauros es uno de los eventos fundamentales en....</t>
  </si>
  <si>
    <t>Motauros 2025: Celebrates its 25th anniversary</t>
  </si>
  <si>
    <t>Winter motorcycling in Spain has its operations center on the Castilian plateau, and the Motauros Concentration is one of the fundamental events in...</t>
  </si>
  <si>
    <r>
      <rPr>
        <rFont val="Arial, sans-serif"/>
        <color rgb="FF1155CC"/>
        <sz val="9.0"/>
        <u/>
      </rPr>
      <t>20Minutos</t>
    </r>
    <r>
      <rPr>
        <rFont val="Arial, sans-serif"/>
        <color rgb="FF1155CC"/>
        <sz val="15.0"/>
        <u/>
      </rPr>
      <t>El Ibex 35 pierde los 11.700 y cierra octubre en rojo (-1,72%) lastrado por los resultados</t>
    </r>
    <r>
      <rPr>
        <rFont val="Arial, sans-serif"/>
        <color rgb="FF1155CC"/>
        <sz val="11.0"/>
        <u/>
      </rPr>
      <t>Los mercados europeos cierran con caídas la última sesión de mes afectados por la tensión previa a las elecciones de EEUU, la reunión de la Fed y las caídas...</t>
    </r>
    <r>
      <rPr>
        <rFont val="Arial, sans-serif"/>
        <color rgb="FF1155CC"/>
        <sz val="12.0"/>
        <u/>
      </rPr>
      <t>.</t>
    </r>
    <r>
      <rPr>
        <rFont val="Arial, sans-serif"/>
        <color rgb="FF1155CC"/>
        <sz val="11.0"/>
        <u/>
      </rPr>
      <t>31 oct 2024</t>
    </r>
  </si>
  <si>
    <t>El Ibex 35 pierde los 11.700 y cierra octubre en rojo (-1,72%) lastrado por los resultados</t>
  </si>
  <si>
    <t>Los mercados europeos cierran con caídas la última sesión de mes afectados por la tensión previa a las elecciones de EEUU, la reunión de la Fed y las caídas....</t>
  </si>
  <si>
    <t>The Ibex 35 loses 11,700 and closes October in red (-1.72%) weighed down by the results</t>
  </si>
  <si>
    <t>European markets close the last session of the month with falls affected by the tension prior to the US elections, the Fed meeting and the falls....</t>
  </si>
  <si>
    <t>Stock market</t>
  </si>
  <si>
    <t>Ibex 35 loses, market falls</t>
  </si>
  <si>
    <t>El Ibex 35 pierde, el mercado cae</t>
  </si>
  <si>
    <t>Slightly negative as it highlights financial downturn.</t>
  </si>
  <si>
    <r>
      <rPr>
        <rFont val="Arial, sans-serif"/>
        <color rgb="FF1155CC"/>
        <sz val="9.0"/>
        <u/>
      </rPr>
      <t>Diario de Burgos</t>
    </r>
    <r>
      <rPr>
        <rFont val="Arial, sans-serif"/>
        <color rgb="FF1155CC"/>
        <sz val="15.0"/>
        <u/>
      </rPr>
      <t>Castilla y León ya tiene su mejor tapa</t>
    </r>
    <r>
      <rPr>
        <rFont val="Arial, sans-serif"/>
        <color rgb="FF1155CC"/>
        <sz val="11.0"/>
        <u/>
      </rPr>
      <t>'Lechazus Deliciosus', del restaurante vallisoletano Azul Mediterráneo obtiene el primer premio del I Concurso Oficial de Pinchos y Tapas celebrado en la...</t>
    </r>
    <r>
      <rPr>
        <rFont val="Arial, sans-serif"/>
        <color rgb="FF1155CC"/>
        <sz val="12.0"/>
        <u/>
      </rPr>
      <t>.</t>
    </r>
    <r>
      <rPr>
        <rFont val="Arial, sans-serif"/>
        <color rgb="FF1155CC"/>
        <sz val="11.0"/>
        <u/>
      </rPr>
      <t>31 oct 2024</t>
    </r>
  </si>
  <si>
    <t>Castilla y León ya tiene su mejor tapa</t>
  </si>
  <si>
    <t>'Lechazus Deliciosus', del restaurante vallisoletano Azul Mediterráneo obtiene el primer premio del I Concurso Oficial de Pinchos y Tapas celebrado en la....</t>
  </si>
  <si>
    <t>Castilla y León already has its best tapa</t>
  </si>
  <si>
    <t>'Lechazus Deliciosus', from the Valladolid restaurant Azul Mediterráneo, wins first prize in the First Official Pinchos and Tapas Contest held at the...</t>
  </si>
  <si>
    <r>
      <rPr>
        <rFont val="Arial, sans-serif"/>
        <color rgb="FF1155CC"/>
        <sz val="9.0"/>
        <u/>
      </rPr>
      <t>Climática</t>
    </r>
    <r>
      <rPr>
        <rFont val="Arial, sans-serif"/>
        <color rgb="FF1155CC"/>
        <sz val="15.0"/>
        <u/>
      </rPr>
      <t>Cuando Repsol decide los presupuestos del Estado</t>
    </r>
    <r>
      <rPr>
        <rFont val="Arial, sans-serif"/>
        <color rgb="FF1155CC"/>
        <sz val="11.0"/>
        <u/>
      </rPr>
      <t>No pensábamos que el impuesto a los beneficios extraordinarios de las energéticas y los bancos iba a tener tanta trascendencia, pero resulta que en la...</t>
    </r>
    <r>
      <rPr>
        <rFont val="Arial, sans-serif"/>
        <color rgb="FF1155CC"/>
        <sz val="12.0"/>
        <u/>
      </rPr>
      <t>.</t>
    </r>
    <r>
      <rPr>
        <rFont val="Arial, sans-serif"/>
        <color rgb="FF1155CC"/>
        <sz val="11.0"/>
        <u/>
      </rPr>
      <t>1 nov 2024</t>
    </r>
  </si>
  <si>
    <t>No pensábamos que el impuesto a los beneficios extraordinarios de las energéticas y los bancos iba a tener tanta trascendencia, pero resulta que en la....</t>
  </si>
  <si>
    <t>We did not think that the tax on extraordinary profits of energy companies and banks was going to have such significance, but it turns out that in...</t>
  </si>
  <si>
    <t>tax, extraordinary profits</t>
  </si>
  <si>
    <t>impuesto, beneficios extraordinarios</t>
  </si>
  <si>
    <t>Slightly negative as it discusses the financial burden on energy companies.</t>
  </si>
  <si>
    <t>Indirect impact on Repsol’s tax conflict.</t>
  </si>
  <si>
    <t>Impacto indirecto en el conflicto fiscal de Repsol.</t>
  </si>
  <si>
    <r>
      <rPr>
        <rFont val="Arial, sans-serif"/>
        <color rgb="FF1155CC"/>
        <sz val="9.0"/>
        <u/>
      </rPr>
      <t>El Economista</t>
    </r>
    <r>
      <rPr>
        <rFont val="Arial, sans-serif"/>
        <color rgb="FF1155CC"/>
        <sz val="15.0"/>
        <u/>
      </rPr>
      <t>Repsol reactiva sus inversiones en España tras tumbar el 'impuestazo' del Gobierno</t>
    </r>
    <r>
      <rPr>
        <rFont val="Arial, sans-serif"/>
        <color rgb="FF1155CC"/>
        <sz val="11.0"/>
        <u/>
      </rPr>
      <t>Repsol ha logrado doblegar la mano del Gobierno. La petrolera, que amenazó con llevarse sus inversiones en hidrógeno en España, ha ...</t>
    </r>
    <r>
      <rPr>
        <rFont val="Arial, sans-serif"/>
        <color rgb="FF1155CC"/>
        <sz val="12.0"/>
        <u/>
      </rPr>
      <t>.</t>
    </r>
    <r>
      <rPr>
        <rFont val="Arial, sans-serif"/>
        <color rgb="FF1155CC"/>
        <sz val="11.0"/>
        <u/>
      </rPr>
      <t>1 nov 2024</t>
    </r>
  </si>
  <si>
    <t>Repsol reactiva sus inversiones en España tras tumbar el 'impuestazo' del Gobierno</t>
  </si>
  <si>
    <t>Repsol ha logrado doblegar la mano del Gobierno. La petrolera, que amenazó con llevarse sus inversiones en hidrógeno en España, ha ....</t>
  </si>
  <si>
    <t>Repsol reactivates its investments in Spain after overturning the Government's 'tax'</t>
  </si>
  <si>
    <t>Repsol has managed to bend the hand of the Government. The oil company, which threatened to take away its hydrogen investments in Spain, has....</t>
  </si>
  <si>
    <t>reactivates investments, overturns tax</t>
  </si>
  <si>
    <t>reactiva inversiones, anula impuesto</t>
  </si>
  <si>
    <t>Positive as it highlights Repsol’s regained investment momentum.</t>
  </si>
  <si>
    <t>reactiva</t>
  </si>
  <si>
    <t>Positive resolution of tax dispute.</t>
  </si>
  <si>
    <t>Resolución positiva de disputa tributaria.</t>
  </si>
  <si>
    <r>
      <rPr>
        <rFont val="Arial, sans-serif"/>
        <color rgb="FF1155CC"/>
        <sz val="9.0"/>
        <u/>
      </rPr>
      <t>El Periódico de la Energía</t>
    </r>
    <r>
      <rPr>
        <rFont val="Arial, sans-serif"/>
        <color rgb="FF1155CC"/>
        <sz val="15.0"/>
        <u/>
      </rPr>
      <t>Repsol facilita al Centro Coordinador de Emergencia de España todos los recursos para ayudar ante la DANA</t>
    </r>
    <r>
      <rPr>
        <rFont val="Arial, sans-serif"/>
        <color rgb="FF1155CC"/>
        <sz val="11.0"/>
        <u/>
      </rPr>
      <t>El grupo Repsol ha puesto recursos a disposición de las autoridades, desde los complejos industriales de Cartagena, Tarragona y Puertollano.</t>
    </r>
    <r>
      <rPr>
        <rFont val="Arial, sans-serif"/>
        <color rgb="FF1155CC"/>
        <sz val="12.0"/>
        <u/>
      </rPr>
      <t>.</t>
    </r>
    <r>
      <rPr>
        <rFont val="Arial, sans-serif"/>
        <color rgb="FF1155CC"/>
        <sz val="11.0"/>
        <u/>
      </rPr>
      <t>1 nov 2024</t>
    </r>
  </si>
  <si>
    <t>Repsol facilita al Centro Coordinador de Emergencia de España todos los recursos para ayudar ante la DANA</t>
  </si>
  <si>
    <t>El grupo Repsol ha puesto recursos a disposición de las autoridades, desde los complejos industriales de Cartagena, Tarragona y Puertollano.</t>
  </si>
  <si>
    <t>Repsol provides the Spanish Emergency Coordination Center with all the resources to help with DANA</t>
  </si>
  <si>
    <t>The Repsol group has made resources available to the authorities, from the industrial complexes of Cartagena, Tarragona and Puertollano.</t>
  </si>
  <si>
    <t>Corporate social responsibility</t>
  </si>
  <si>
    <t>provides resources, emergency help</t>
  </si>
  <si>
    <t>proporciona recursos, ayuda de emergencia</t>
  </si>
  <si>
    <t>Strongly positive as it reinforces a good corporate image.</t>
  </si>
  <si>
    <t>facilita, "ayudar"</t>
  </si>
  <si>
    <t>Strong positive CSR action.</t>
  </si>
  <si>
    <t>Fuerte acción positiva en materia de RSC.</t>
  </si>
  <si>
    <r>
      <rPr>
        <rFont val="Arial, sans-serif"/>
        <color rgb="FF1155CC"/>
        <sz val="9.0"/>
        <u/>
      </rPr>
      <t>EL PAÍS</t>
    </r>
    <r>
      <rPr>
        <rFont val="Arial, sans-serif"/>
        <color rgb="FF1155CC"/>
        <sz val="15.0"/>
        <u/>
      </rPr>
      <t>La retirada del impuesto energético asegura la inversión de Repsol de 1.100 millones en Tarragona</t>
    </r>
    <r>
      <rPr>
        <rFont val="Arial, sans-serif"/>
        <color rgb="FF1155CC"/>
        <sz val="11.0"/>
        <u/>
      </rPr>
      <t>Luz verde para la inversión de 1.100 millones de Repsol en Tarragona tras la caída del impuesto extraordinario previsto por el Gobierno que afectaba a las...</t>
    </r>
    <r>
      <rPr>
        <rFont val="Arial, sans-serif"/>
        <color rgb="FF1155CC"/>
        <sz val="12.0"/>
        <u/>
      </rPr>
      <t>.</t>
    </r>
    <r>
      <rPr>
        <rFont val="Arial, sans-serif"/>
        <color rgb="FF1155CC"/>
        <sz val="11.0"/>
        <u/>
      </rPr>
      <t>1 nov 2024</t>
    </r>
  </si>
  <si>
    <t>Luz verde para la inversión de 1.100 millones de Repsol en Tarragona tras la caída del impuesto extraordinario previsto por el Gobierno que afectaba a las....</t>
  </si>
  <si>
    <t>Green light for the investment of 1,100 million Repsol in Tarragona after the fall of the extraordinary tax planned by the Government that affected...</t>
  </si>
  <si>
    <t>green light, 1.1 billion investment</t>
  </si>
  <si>
    <t>luz verde, inversión de 1.100 millones</t>
  </si>
  <si>
    <t>Strongly positive as it signals a major investment approval.</t>
  </si>
  <si>
    <t>luz verde, "inversión"</t>
  </si>
  <si>
    <t>Major positive investment news.</t>
  </si>
  <si>
    <t>Importantes noticias positivas sobre inversiones.</t>
  </si>
  <si>
    <r>
      <rPr>
        <rFont val="Arial, sans-serif"/>
        <color rgb="FF1155CC"/>
        <sz val="9.0"/>
        <u/>
      </rPr>
      <t>Radio Intereconomía</t>
    </r>
    <r>
      <rPr>
        <rFont val="Arial, sans-serif"/>
        <color rgb="FF1155CC"/>
        <sz val="15.0"/>
        <u/>
      </rPr>
      <t>Repsol, de más a menos en Bolsa tras decir Díaz que tiene pactado con Sánchez mantener el impuesto a las energéticas</t>
    </r>
    <r>
      <rPr>
        <rFont val="Arial, sans-serif"/>
        <color rgb="FF1155CC"/>
        <sz val="11.0"/>
        <u/>
      </rPr>
      <t>La petrolera española Repsol, que ayer sufrió una caída superior al 2% tras presentar resultados, ha recuperado este viernes solo un 1,27% y eso que empezó...</t>
    </r>
    <r>
      <rPr>
        <rFont val="Arial, sans-serif"/>
        <color rgb="FF1155CC"/>
        <sz val="12.0"/>
        <u/>
      </rPr>
      <t>.</t>
    </r>
    <r>
      <rPr>
        <rFont val="Arial, sans-serif"/>
        <color rgb="FF1155CC"/>
        <sz val="11.0"/>
        <u/>
      </rPr>
      <t>1 nov 2024</t>
    </r>
  </si>
  <si>
    <t>Repsol, de más a menos en Bolsa tras decir Díaz que tiene pactado con Sánchez mantener el impuesto a las energéticas</t>
  </si>
  <si>
    <t>La petrolera española Repsol, que ayer sufrió una caída superior al 2% tras presentar resultados, ha recuperado este viernes solo un 1,27% y eso que empezó....</t>
  </si>
  <si>
    <t>Repsol, from more to less in the Stock Market after Díaz said that he has agreed with Sánchez to maintain the tax on energy companies</t>
  </si>
  <si>
    <t>The Spanish oil company Repsol, which yesterday suffered a drop of more than 2% after presenting results, has recovered only 1.27% this Friday and that started...</t>
  </si>
  <si>
    <t>stock market drop, maintain tax</t>
  </si>
  <si>
    <t>caída del mercado de valores, mantener impuestos</t>
  </si>
  <si>
    <t>Slightly negative as it highlights stock volatility and taxation issues.</t>
  </si>
  <si>
    <t>mantener impuesto</t>
  </si>
  <si>
    <t>Negative market reaction.</t>
  </si>
  <si>
    <t>Reacción negativa del mercado.</t>
  </si>
  <si>
    <r>
      <rPr>
        <rFont val="Arial, sans-serif"/>
        <color rgb="FF1155CC"/>
        <sz val="9.0"/>
        <u/>
      </rPr>
      <t>La Vanguardia</t>
    </r>
    <r>
      <rPr>
        <rFont val="Arial, sans-serif"/>
        <color rgb="FF1155CC"/>
        <sz val="15.0"/>
        <u/>
      </rPr>
      <t>Repsol, Santander, 'in Spain we call it órdago'</t>
    </r>
    <r>
      <rPr>
        <rFont val="Arial, sans-serif"/>
        <color rgb="FF1155CC"/>
        <sz val="11.0"/>
        <u/>
      </rPr>
      <t>Este texto pertenece a 'Dinero', la newsletter con las claves que mueven el mundo empresarial (y sus derivadas políticas, tecnológicas y sociales).</t>
    </r>
    <r>
      <rPr>
        <rFont val="Arial, sans-serif"/>
        <color rgb="FF1155CC"/>
        <sz val="12.0"/>
        <u/>
      </rPr>
      <t>.</t>
    </r>
    <r>
      <rPr>
        <rFont val="Arial, sans-serif"/>
        <color rgb="FF1155CC"/>
        <sz val="11.0"/>
        <u/>
      </rPr>
      <t>1 nov 2024</t>
    </r>
  </si>
  <si>
    <t>Repsol, Santander, 'in Spain we call it órdago'</t>
  </si>
  <si>
    <t>Este texto pertenece a 'Dinero', la newsletter con las claves que mueven el mundo empresarial (y sus derivadas políticas, tecnológicas y sociales).</t>
  </si>
  <si>
    <t>This text belongs to 'Dinero', the newsletter with the keys that move the business world (and its political, technological and social derivatives).</t>
  </si>
  <si>
    <r>
      <rPr>
        <rFont val="Arial, sans-serif"/>
        <color rgb="FF1155CC"/>
        <sz val="9.0"/>
        <u/>
      </rPr>
      <t>MurciaEconomía.com</t>
    </r>
    <r>
      <rPr>
        <rFont val="Arial, sans-serif"/>
        <color rgb="FF1155CC"/>
        <sz val="15.0"/>
        <u/>
      </rPr>
      <t>Repsol retoma sus inversiones en Cartagena tras el fin del impuesto energético</t>
    </r>
    <r>
      <rPr>
        <rFont val="Arial, sans-serif"/>
        <color rgb="FF1155CC"/>
        <sz val="11.0"/>
        <u/>
      </rPr>
      <t>Repsol ha anunciado la reactivación de sus inversiones en España, incluyendo los proyectos de hidrógeno verde en sus centros industriales, como el de...</t>
    </r>
    <r>
      <rPr>
        <rFont val="Arial, sans-serif"/>
        <color rgb="FF1155CC"/>
        <sz val="12.0"/>
        <u/>
      </rPr>
      <t>.</t>
    </r>
    <r>
      <rPr>
        <rFont val="Arial, sans-serif"/>
        <color rgb="FF1155CC"/>
        <sz val="11.0"/>
        <u/>
      </rPr>
      <t>1 nov 2024</t>
    </r>
  </si>
  <si>
    <t>Repsol retoma sus inversiones en Cartagena tras el fin del impuesto energético</t>
  </si>
  <si>
    <t>Repsol ha anunciado la reactivación de sus inversiones en España, incluyendo los proyectos de hidrógeno verde en sus centros industriales, como el de....</t>
  </si>
  <si>
    <t>Repsol resumes its investments in Cartagena after the end of the energy tax</t>
  </si>
  <si>
    <t>Repsol has announced the reactivation of its investments in Spain, including green hydrogen projects in its industrial centers, such as...</t>
  </si>
  <si>
    <t>resumes investments, Cartagena</t>
  </si>
  <si>
    <t>reanuda inversiones, Cartagena</t>
  </si>
  <si>
    <t>retoma, "inversiones"</t>
  </si>
  <si>
    <t>Positive post-tax resolution.</t>
  </si>
  <si>
    <t>Resolución positiva después de impuestos.</t>
  </si>
  <si>
    <r>
      <rPr>
        <rFont val="Arial, sans-serif"/>
        <color rgb="FF1155CC"/>
        <sz val="9.0"/>
        <u/>
      </rPr>
      <t>Diario Público</t>
    </r>
    <r>
      <rPr>
        <rFont val="Arial, sans-serif"/>
        <color rgb="FF1155CC"/>
        <sz val="15.0"/>
        <u/>
      </rPr>
      <t>Repsol gana 1.792 millones hasta septiembre, un 36 % menos, por bajo precio de crudo y gas</t>
    </r>
    <r>
      <rPr>
        <rFont val="Arial, sans-serif"/>
        <color rgb="FF1155CC"/>
        <sz val="11.0"/>
        <u/>
      </rPr>
      <t>Imaz garantiza un dividendo "mínimo" de 0975 euros para los accionistas de Repsol en 2025 Proseguirá la rotación de activos renovables en lo que resta de...</t>
    </r>
    <r>
      <rPr>
        <rFont val="Arial, sans-serif"/>
        <color rgb="FF1155CC"/>
        <sz val="12.0"/>
        <u/>
      </rPr>
      <t>.</t>
    </r>
    <r>
      <rPr>
        <rFont val="Arial, sans-serif"/>
        <color rgb="FF1155CC"/>
        <sz val="11.0"/>
        <u/>
      </rPr>
      <t>1 nov 2024</t>
    </r>
  </si>
  <si>
    <t>Repsol gana 1.792 millones hasta septiembre, un 36 % menos, por bajo precio de crudo y gas</t>
  </si>
  <si>
    <t>Imaz garantiza un dividendo "mínimo" de 0.975 euros para los accionistas de Repsol en 2025. Proseguirá la rotación de activos renovables en lo que resta de....</t>
  </si>
  <si>
    <t>Repsol earns 1,792 million until September, 36% less, due to low prices of crude oil and gas</t>
  </si>
  <si>
    <t>Imaz guarantees a "minimum" dividend of 0.975 euros for Repsol shareholders in 2025. The rotation of renewable assets will continue in the remainder of...</t>
  </si>
  <si>
    <t>profit falls, dividends</t>
  </si>
  <si>
    <t>caídas de beneficios, dividendos</t>
  </si>
  <si>
    <t>Slightly negative due to profit decline but mitigated by dividends.</t>
  </si>
  <si>
    <t>Mixed: profits but significant decline.</t>
  </si>
  <si>
    <t>Mixto: beneficios pero descenso significativo.</t>
  </si>
  <si>
    <r>
      <rPr>
        <rFont val="Arial, sans-serif"/>
        <color rgb="FF1155CC"/>
        <sz val="9.0"/>
        <u/>
      </rPr>
      <t>Bolsamania</t>
    </r>
    <r>
      <rPr>
        <rFont val="Arial, sans-serif"/>
        <color rgb="FF1155CC"/>
        <sz val="15.0"/>
        <u/>
      </rPr>
      <t>Bankinter reitera 'vender' Repsol y fija un precio objetivo de 11,90 euros por acción</t>
    </r>
    <r>
      <rPr>
        <rFont val="Arial, sans-serif"/>
        <color rgb="FF1155CC"/>
        <sz val="11.0"/>
        <u/>
      </rPr>
      <t>Los expertos de Bankinter han reiterado su consejo de 'vender' sobre Repsol y han fijado un precio objetivo de 11,90 euros por acción, después de haber...</t>
    </r>
    <r>
      <rPr>
        <rFont val="Arial, sans-serif"/>
        <color rgb="FF1155CC"/>
        <sz val="12.0"/>
        <u/>
      </rPr>
      <t>.</t>
    </r>
    <r>
      <rPr>
        <rFont val="Arial, sans-serif"/>
        <color rgb="FF1155CC"/>
        <sz val="11.0"/>
        <u/>
      </rPr>
      <t>1 nov 2024</t>
    </r>
  </si>
  <si>
    <t>Bankinter reitera 'vender' Repsol y fija un precio objetivo de 11,90 euros por acción</t>
  </si>
  <si>
    <t>Los expertos de Bankinter han reiterado su consejo de 'vender' sobre Repsol y han fijado un precio objetivo de 11,90 euros por acción, después de haber....</t>
  </si>
  <si>
    <t>Bankinter reiterates 'sell' Repsol and sets a target price of 11.90 euros per share</t>
  </si>
  <si>
    <t>Bankinter experts have reiterated their 'sell' advice on Repsol and have set a target price of 11.90 euros per share, after having...</t>
  </si>
  <si>
    <t>sell advice, target price drop</t>
  </si>
  <si>
    <t>consejos de venta, bajada de precio objetivo</t>
  </si>
  <si>
    <t>Slightly negative as it reflects a bearish market sentiment on Repsol.</t>
  </si>
  <si>
    <t>vender</t>
  </si>
  <si>
    <r>
      <rPr>
        <rFont val="Arial, sans-serif"/>
        <color rgb="FF1155CC"/>
        <sz val="9.0"/>
        <u/>
      </rPr>
      <t>El Nacional.cat</t>
    </r>
    <r>
      <rPr>
        <rFont val="Arial, sans-serif"/>
        <color rgb="FF1155CC"/>
        <sz val="15.0"/>
        <u/>
      </rPr>
      <t>Imaz asegura la inversión de Repsol en Tarragona: "El problema se ha acabado"</t>
    </r>
    <r>
      <rPr>
        <rFont val="Arial, sans-serif"/>
        <color rgb="FF1155CC"/>
        <sz val="11.0"/>
        <u/>
      </rPr>
      <t>El consejero delegado de Repsol, Josu Jon Imaz, ha puesto punto y final a las dudas sobre las futuras inversiones en España de la petrolera en combustibles...</t>
    </r>
    <r>
      <rPr>
        <rFont val="Arial, sans-serif"/>
        <color rgb="FF1155CC"/>
        <sz val="12.0"/>
        <u/>
      </rPr>
      <t>.</t>
    </r>
    <r>
      <rPr>
        <rFont val="Arial, sans-serif"/>
        <color rgb="FF1155CC"/>
        <sz val="11.0"/>
        <u/>
      </rPr>
      <t>1 nov 2024</t>
    </r>
  </si>
  <si>
    <t>Imaz asegura la inversión de Repsol en Tarragona: "El problema se ha acabado"</t>
  </si>
  <si>
    <t>El consejero delegado de Repsol, Josu Jon Imaz, ha puesto punto y final a las dudas sobre las futuras inversiones en España de la petrolera en combustibles....</t>
  </si>
  <si>
    <t>Imaz secures Repsol's investment in Tarragona: "The problem is over"</t>
  </si>
  <si>
    <t>The CEO of Repsol, Josu Jon Imaz, has put an end to doubts about the oil company's future investments in fuels in Spain....</t>
  </si>
  <si>
    <t>investment secured, problem is over</t>
  </si>
  <si>
    <t>inversión asegurada, el problema se acabó</t>
  </si>
  <si>
    <t>Positive as it confirms investment commitment.</t>
  </si>
  <si>
    <t>asegura, "problema acabado"</t>
  </si>
  <si>
    <t>Positive resolution of uncertainty.</t>
  </si>
  <si>
    <t>Resolución positiva de la incertidumbre.</t>
  </si>
  <si>
    <r>
      <rPr>
        <rFont val="Arial, sans-serif"/>
        <color rgb="FF1155CC"/>
        <sz val="9.0"/>
        <u/>
      </rPr>
      <t>El Cronista</t>
    </r>
    <r>
      <rPr>
        <rFont val="Arial, sans-serif"/>
        <color rgb="FF1155CC"/>
        <sz val="15.0"/>
        <u/>
      </rPr>
      <t>Repsol: así abre la cotización hoy viernes 01 de noviembre, ¿cuánto rinden los dividendos?</t>
    </r>
    <r>
      <rPr>
        <rFont val="Arial, sans-serif"/>
        <color rgb="FF1155CC"/>
        <sz val="11.0"/>
        <u/>
      </rPr>
      <t>La cotización de las activos de la compañía de petróleo, gas y combustibles consumibles Repsol (REP) en la apertura de mercados en España este viernes, 1 de...</t>
    </r>
    <r>
      <rPr>
        <rFont val="Arial, sans-serif"/>
        <color rgb="FF1155CC"/>
        <sz val="12.0"/>
        <u/>
      </rPr>
      <t>.</t>
    </r>
    <r>
      <rPr>
        <rFont val="Arial, sans-serif"/>
        <color rgb="FF1155CC"/>
        <sz val="11.0"/>
        <u/>
      </rPr>
      <t>1 nov 2024</t>
    </r>
  </si>
  <si>
    <t>Repsol: así abre la cotización hoy viernes 01 de noviembre, ¿cuánto rinden los dividendos?</t>
  </si>
  <si>
    <t>La cotización de las activos de la compañía de petróleo, gas y combustibles Repsol (REP) en la apertura de mercados en España este viernes, 1 de....</t>
  </si>
  <si>
    <t>Repsol: this is how trading opens today, Friday, November 1, how much do the dividends yield?</t>
  </si>
  <si>
    <t>The price of the assets of the oil, gas and fuel company Repsol (REP) at the opening of markets in Spain this Friday, 1...</t>
  </si>
  <si>
    <r>
      <rPr>
        <rFont val="Arial, sans-serif"/>
        <color rgb="FF1155CC"/>
        <sz val="9.0"/>
        <u/>
      </rPr>
      <t>Infobae</t>
    </r>
    <r>
      <rPr>
        <rFont val="Arial, sans-serif"/>
        <color rgb="FF1155CC"/>
        <sz val="15.0"/>
        <u/>
      </rPr>
      <t>López Miras, "muy preocupado" por los efectos del impuesto extraordinario en los planes de futuro de Repsol en Murcia</t>
    </r>
    <r>
      <rPr>
        <rFont val="Arial, sans-serif"/>
        <color rgb="FF1155CC"/>
        <sz val="11.0"/>
        <u/>
      </rPr>
      <t>López Miras expresa su preocupación por las posibles repercusiones del impuesto extraordinario en la inversión y futuro de Repsol en Cartagena,...</t>
    </r>
    <r>
      <rPr>
        <rFont val="Arial, sans-serif"/>
        <color rgb="FF1155CC"/>
        <sz val="12.0"/>
        <u/>
      </rPr>
      <t>.</t>
    </r>
    <r>
      <rPr>
        <rFont val="Arial, sans-serif"/>
        <color rgb="FF1155CC"/>
        <sz val="11.0"/>
        <u/>
      </rPr>
      <t>1 nov 2024</t>
    </r>
  </si>
  <si>
    <t>López Miras, "muy preocupado" por los efectos del impuesto extraordinario en los planes de futuro de Repsol en Murcia</t>
  </si>
  <si>
    <t>López Miras expresa su preocupación por las posibles repercusiones del impuesto extraordinario en la inversión y futuro de Repsol en Cartagena.</t>
  </si>
  <si>
    <t>López Miras, "very concerned" about the effects of the extraordinary tax on Repsol's future plans in Murcia</t>
  </si>
  <si>
    <t>López Miras expresses his concern about the possible repercussions of the extraordinary tax on Repsol's investment and future in Cartagena.</t>
  </si>
  <si>
    <t>concerned, tax effects</t>
  </si>
  <si>
    <t>preocupados, efectos fiscales</t>
  </si>
  <si>
    <t>Slightly negative as it highlights investment risks.</t>
  </si>
  <si>
    <t>preocupado</t>
  </si>
  <si>
    <t>Political concern over Repsol’s plans.</t>
  </si>
  <si>
    <t>Preocupación política por los planes de Repsol.</t>
  </si>
  <si>
    <r>
      <rPr>
        <rFont val="Arial, sans-serif"/>
        <color rgb="FF1155CC"/>
        <sz val="9.0"/>
        <u/>
      </rPr>
      <t>Cinco Días</t>
    </r>
    <r>
      <rPr>
        <rFont val="Arial, sans-serif"/>
        <color rgb="FF1155CC"/>
        <sz val="15.0"/>
        <u/>
      </rPr>
      <t>Apple, Repsol o Inditex: ¿qué están haciendo las empresas para ayudar ante los efectos de la dana?</t>
    </r>
    <r>
      <rPr>
        <rFont val="Arial, sans-serif"/>
        <color rgb="FF1155CC"/>
        <sz val="11.0"/>
        <u/>
      </rPr>
      <t>Compañías de prácticamente todos los sectores han realizado donaciones, redoblado esfuerzos y aprobado iniciativas para ayudar en la crisis.</t>
    </r>
    <r>
      <rPr>
        <rFont val="Arial, sans-serif"/>
        <color rgb="FF1155CC"/>
        <sz val="12.0"/>
        <u/>
      </rPr>
      <t>.</t>
    </r>
    <r>
      <rPr>
        <rFont val="Arial, sans-serif"/>
        <color rgb="FF1155CC"/>
        <sz val="11.0"/>
        <u/>
      </rPr>
      <t>1 nov 2024</t>
    </r>
  </si>
  <si>
    <t>Apple, Repsol o Inditex: ¿qué están haciendo las empresas para ayudar ante los efectos de la dana?</t>
  </si>
  <si>
    <t>Compañías de prácticamente todos los sectores han realizado donaciones, redoblado esfuerzos y aprobado iniciativas para ayudar en la crisis.</t>
  </si>
  <si>
    <t>Apple, Repsol or Inditex: what are companies doing to help with the effects of dana?</t>
  </si>
  <si>
    <t>Companies from practically all sectors have made donations, redoubled efforts and approved initiatives to help in the crisis.</t>
  </si>
  <si>
    <r>
      <rPr>
        <rFont val="Arial, sans-serif"/>
        <color rgb="FF1155CC"/>
        <sz val="9.0"/>
        <u/>
      </rPr>
      <t>La Vanguardia</t>
    </r>
    <r>
      <rPr>
        <rFont val="Arial, sans-serif"/>
        <color rgb="FF1155CC"/>
        <sz val="15.0"/>
        <u/>
      </rPr>
      <t>La banca carga contra el nuevo impuesto mientras Repsol desbloquea inversiones</t>
    </r>
    <r>
      <rPr>
        <rFont val="Arial, sans-serif"/>
        <color rgb="FF1155CC"/>
        <sz val="11.0"/>
        <u/>
      </rPr>
      <t>Repsol mueve ficha tras confirmar que el impuesto a las energéticas decaerá a final de año. El consejero delegado de la multinacional, Josu Jon Imaz,...</t>
    </r>
    <r>
      <rPr>
        <rFont val="Arial, sans-serif"/>
        <color rgb="FF1155CC"/>
        <sz val="12.0"/>
        <u/>
      </rPr>
      <t>.</t>
    </r>
    <r>
      <rPr>
        <rFont val="Arial, sans-serif"/>
        <color rgb="FF1155CC"/>
        <sz val="11.0"/>
        <u/>
      </rPr>
      <t>1 nov 2024</t>
    </r>
  </si>
  <si>
    <t>La banca carga contra el nuevo impuesto mientras Repsol desbloquea inversiones</t>
  </si>
  <si>
    <t>Repsol mueve ficha tras confirmar que el impuesto a las energéticas decaerá a final de año. El consejero delegado de la multinacional, Josu Jon Imaz,...</t>
  </si>
  <si>
    <t>The banks charge against the new tax while Repsol unlocks investments</t>
  </si>
  <si>
    <t>Repsol makes a move after confirming that the tax on energy companies will decline at the end of the year. The CEO of the multinational, Josu Jon Imaz,...</t>
  </si>
  <si>
    <t>unlocks investments, tax decline</t>
  </si>
  <si>
    <t>desbloquea inversiones, disminución de impuestos</t>
  </si>
  <si>
    <t>Positive as it signals investment resumption.</t>
  </si>
  <si>
    <t>desbloquea</t>
  </si>
  <si>
    <r>
      <rPr>
        <rFont val="Arial, sans-serif"/>
        <color rgb="FF1155CC"/>
        <sz val="9.0"/>
        <u/>
      </rPr>
      <t>El Periódico de la Energía</t>
    </r>
    <r>
      <rPr>
        <rFont val="Arial, sans-serif"/>
        <color rgb="FF1155CC"/>
        <sz val="15.0"/>
        <u/>
      </rPr>
      <t>Repsol sube un 2% en bolsa tras compromiso a invertir en España y anunciar desinversiones</t>
    </r>
    <r>
      <rPr>
        <rFont val="Arial, sans-serif"/>
        <color rgb="FF1155CC"/>
        <sz val="11.0"/>
        <u/>
      </rPr>
      <t>A las 13:30 horas, los títulos de Repsol son los que más suben del selectivo español, IBEX 35, un 2,01% y se sitúan en 11,68 euros.</t>
    </r>
    <r>
      <rPr>
        <rFont val="Arial, sans-serif"/>
        <color rgb="FF1155CC"/>
        <sz val="12.0"/>
        <u/>
      </rPr>
      <t>.</t>
    </r>
    <r>
      <rPr>
        <rFont val="Arial, sans-serif"/>
        <color rgb="FF1155CC"/>
        <sz val="11.0"/>
        <u/>
      </rPr>
      <t>1 nov 2024</t>
    </r>
  </si>
  <si>
    <t>Repsol sube un 2% en bolsa tras compromiso a invertir en España y anunciar desinversiones</t>
  </si>
  <si>
    <t>A las 13:30 horas, los títulos de Repsol son los que más suben del selectivo español, IBEX 35, un 2,01% y se sitúan en 11,68 euros.</t>
  </si>
  <si>
    <t>Repsol rises 2% in the stock market after committing to invest in Spain and announcing divestments</t>
  </si>
  <si>
    <t>At 1:30 p.m., Repsol shares are the ones that have risen the most on the Spanish selective, IBEX 35, by 2.01% and stand at 11.68 euros.</t>
  </si>
  <si>
    <t>stock rise, investment</t>
  </si>
  <si>
    <t>aumento de acciones, inversión</t>
  </si>
  <si>
    <t>Positive as it indicates market confidence.</t>
  </si>
  <si>
    <t>sube, "invertir"</t>
  </si>
  <si>
    <t>Positive market response.</t>
  </si>
  <si>
    <t>Respuesta positiva del mercado.</t>
  </si>
  <si>
    <r>
      <rPr>
        <rFont val="Arial, sans-serif"/>
        <color rgb="FF1155CC"/>
        <sz val="9.0"/>
        <u/>
      </rPr>
      <t>Diario Público</t>
    </r>
    <r>
      <rPr>
        <rFont val="Arial, sans-serif"/>
        <color rgb="FF1155CC"/>
        <sz val="15.0"/>
        <u/>
      </rPr>
      <t>Repsol afirma que con la caída del impuesto "el problema ha terminado" y reactiva sus inversiones en España</t>
    </r>
    <r>
      <rPr>
        <rFont val="Arial, sans-serif"/>
        <color rgb="FF1155CC"/>
        <sz val="11.0"/>
        <u/>
      </rPr>
      <t>El consejero delegado de Repsol, Josu Jon Imaz, ha considerado que con la caída del impuesto extraordinario a las energéticas, que vencía el próximo 31 de...</t>
    </r>
    <r>
      <rPr>
        <rFont val="Arial, sans-serif"/>
        <color rgb="FF1155CC"/>
        <sz val="12.0"/>
        <u/>
      </rPr>
      <t>.</t>
    </r>
    <r>
      <rPr>
        <rFont val="Arial, sans-serif"/>
        <color rgb="FF1155CC"/>
        <sz val="11.0"/>
        <u/>
      </rPr>
      <t>1 nov 2024</t>
    </r>
  </si>
  <si>
    <t>El consejero delegado de Repsol, Josu Jon Imaz, ha considerado que con la caída del impuesto extraordinario a las energéticas, que vencía el próximo 31 de....</t>
  </si>
  <si>
    <t>The CEO of Repsol, Josu Jon Imaz, has considered that with the fall of the extraordinary tax on energy companies, which expired on the 31st of...</t>
  </si>
  <si>
    <t>fall of tax, reactivates investments</t>
  </si>
  <si>
    <t>caída de impuestos, reactiva inversiones</t>
  </si>
  <si>
    <t>Positive as it highlights renewed business activity.</t>
  </si>
  <si>
    <t>problema terminado, "reactiva"</t>
  </si>
  <si>
    <r>
      <rPr>
        <rFont val="Arial, sans-serif"/>
        <color rgb="FF1155CC"/>
        <sz val="9.0"/>
        <u/>
      </rPr>
      <t>Cinco Días</t>
    </r>
    <r>
      <rPr>
        <rFont val="Arial, sans-serif"/>
        <color rgb="FF1155CC"/>
        <sz val="15.0"/>
        <u/>
      </rPr>
      <t>Repsol, Enagás o Total tendrán que salir de los fondos que quieran retener el sello de ‘sostenible’</t>
    </r>
    <r>
      <rPr>
        <rFont val="Arial, sans-serif"/>
        <color rgb="FF1155CC"/>
        <sz val="11.0"/>
        <u/>
      </rPr>
      <t>Las nuevas directrices del regulador europeo de los mercados han estrechado las condiciones para acceder a la categoría de producto verde y veta las...</t>
    </r>
    <r>
      <rPr>
        <rFont val="Arial, sans-serif"/>
        <color rgb="FF1155CC"/>
        <sz val="12.0"/>
        <u/>
      </rPr>
      <t>.</t>
    </r>
    <r>
      <rPr>
        <rFont val="Arial, sans-serif"/>
        <color rgb="FF1155CC"/>
        <sz val="11.0"/>
        <u/>
      </rPr>
      <t>1 nov 2024</t>
    </r>
  </si>
  <si>
    <t>Repsol, Enagás o Total tendrán que salir de los fondos que quieran retener el sello de ‘sostenible’</t>
  </si>
  <si>
    <t>Las nuevas directrices del regulador europeo de los mercados han estrechado las condiciones para acceder a la categoría de producto verde y veta las....</t>
  </si>
  <si>
    <t>Repsol, Enagás or Total will have to withdraw from the funds that want to retain the 'sustainable' seal</t>
  </si>
  <si>
    <t>The new guidelines from the European markets regulator have narrowed the conditions for accessing the green product category and vetoed...</t>
  </si>
  <si>
    <t>withdraw from funds, sustainable seal</t>
  </si>
  <si>
    <t>retirar fondos, sello sostenible</t>
  </si>
  <si>
    <t>Slightly negative as it limits Repsol’s sustainability classification.</t>
  </si>
  <si>
    <t>Negative ESG implications.</t>
  </si>
  <si>
    <t>Implicaciones ESG negativas.</t>
  </si>
  <si>
    <r>
      <rPr>
        <rFont val="Arial, sans-serif"/>
        <color rgb="FF1155CC"/>
        <sz val="9.0"/>
        <u/>
      </rPr>
      <t>Cinco Días</t>
    </r>
    <r>
      <rPr>
        <rFont val="Arial, sans-serif"/>
        <color rgb="FF1155CC"/>
        <sz val="15.0"/>
        <u/>
      </rPr>
      <t>Así doblegaron las energéticas al Gobierno o cómo se consiguió eliminar el impuesto energético</t>
    </r>
    <r>
      <rPr>
        <rFont val="Arial, sans-serif"/>
        <color rgb="FF1155CC"/>
        <sz val="11.0"/>
        <u/>
      </rPr>
      <t>La presión de empresas como Repsol y Cepsa y de los partidos Junts y PNV lograron cambiar el plan inicial del Ejecutivo.</t>
    </r>
    <r>
      <rPr>
        <rFont val="Arial, sans-serif"/>
        <color rgb="FF1155CC"/>
        <sz val="12.0"/>
        <u/>
      </rPr>
      <t>.</t>
    </r>
    <r>
      <rPr>
        <rFont val="Arial, sans-serif"/>
        <color rgb="FF1155CC"/>
        <sz val="11.0"/>
        <u/>
      </rPr>
      <t>1 nov 2024</t>
    </r>
  </si>
  <si>
    <t>Así doblegaron las energéticas al Gobierno o cómo se consiguió eliminar el impuesto energético</t>
  </si>
  <si>
    <t>La presión de empresas como Repsol y Cepsa y de los partidos Junts y PNV lograron cambiar el plan inicial del Ejecutivo.</t>
  </si>
  <si>
    <t>This is how the energy companies bent the Government or how the energy tax was eliminated</t>
  </si>
  <si>
    <t>Pressure from companies such as Repsol and Cepsa and from the Junts and PNV parties managed to change the Executive's initial plan.</t>
  </si>
  <si>
    <t>eliminated tax, pressure</t>
  </si>
  <si>
    <t>impuesto eliminado, presión</t>
  </si>
  <si>
    <t>Positive as it confirms a business-favorable policy shift.</t>
  </si>
  <si>
    <t>doblegaron, "eliminar"</t>
  </si>
  <si>
    <t>Positive outcome for sector.</t>
  </si>
  <si>
    <t>Resultado positivo para el sector.</t>
  </si>
  <si>
    <r>
      <rPr>
        <rFont val="Arial, sans-serif"/>
        <color rgb="FF1155CC"/>
        <sz val="9.0"/>
        <u/>
      </rPr>
      <t>Info Bierzo</t>
    </r>
    <r>
      <rPr>
        <rFont val="Arial, sans-serif"/>
        <color rgb="FF1155CC"/>
        <sz val="15.0"/>
        <u/>
      </rPr>
      <t>Tres heridos, entre ellos un menor, trasladados al Hospital del Bierzo por un accidente entre un camión y u...</t>
    </r>
    <r>
      <rPr>
        <rFont val="Arial, sans-serif"/>
        <color rgb="FF1155CC"/>
        <sz val="11.0"/>
        <u/>
      </rPr>
      <t>Tres personas han necesitado asistencia sanitaria esta mañana después de verse involucrados en un accidente en la A-6 a la altura de la gasolinera Repsol e.</t>
    </r>
    <r>
      <rPr>
        <rFont val="Arial, sans-serif"/>
        <color rgb="FF1155CC"/>
        <sz val="12.0"/>
        <u/>
      </rPr>
      <t>.</t>
    </r>
    <r>
      <rPr>
        <rFont val="Arial, sans-serif"/>
        <color rgb="FF1155CC"/>
        <sz val="11.0"/>
        <u/>
      </rPr>
      <t>1 nov 2024</t>
    </r>
  </si>
  <si>
    <t>Tres heridos, entre ellos un menor, trasladados al Hospital del Bierzo por un accidente entre un camión y un...</t>
  </si>
  <si>
    <t>Tres personas han necesitado asistencia sanitaria esta mañana después de verse involucrados en un accidente en la A-6 a la altura de la gasolinera Repsol.</t>
  </si>
  <si>
    <t>Three injured, including a minor, taken to the Bierzo Hospital due to an accident between a truck and a...</t>
  </si>
  <si>
    <t>Three people needed medical assistance this morning after being involved in an accident on the A-6 near the Repsol gas station.</t>
  </si>
  <si>
    <r>
      <rPr>
        <rFont val="Arial, sans-serif"/>
        <color rgb="FF1155CC"/>
        <sz val="9.0"/>
        <u/>
      </rPr>
      <t>El Periódico de la Energía</t>
    </r>
    <r>
      <rPr>
        <rFont val="Arial, sans-serif"/>
        <color rgb="FF1155CC"/>
        <sz val="15.0"/>
        <u/>
      </rPr>
      <t>Las grandes energéticas ganan 10.247 millones en plena polémica por el impuesto</t>
    </r>
    <r>
      <rPr>
        <rFont val="Arial, sans-serif"/>
        <color rgb="FF1155CC"/>
        <sz val="11.0"/>
        <u/>
      </rPr>
      <t>El beneficio neto conjunto de Iberdrola, Endesa y Repsol repuntó un 16%, hasta los 8.667 millones de euro. Redacción. 11/01/2024. Compartir. Comentar.</t>
    </r>
    <r>
      <rPr>
        <rFont val="Arial, sans-serif"/>
        <color rgb="FF1155CC"/>
        <sz val="12.0"/>
        <u/>
      </rPr>
      <t>.</t>
    </r>
    <r>
      <rPr>
        <rFont val="Arial, sans-serif"/>
        <color rgb="FF1155CC"/>
        <sz val="11.0"/>
        <u/>
      </rPr>
      <t>1 nov 2024</t>
    </r>
  </si>
  <si>
    <t>Las grandes energéticas ganan 10.247 millones en plena polémica por el impuesto</t>
  </si>
  <si>
    <t>El beneficio neto conjunto de Iberdrola, Endesa y Repsol repuntó un 16%, hasta los 8.667 millones de euro.</t>
  </si>
  <si>
    <t>The large energy companies earn 10,247 million in the midst of controversy over the tax</t>
  </si>
  <si>
    <t>The joint net profit of Iberdrola, Endesa and Repsol rose by 16%, to 8,667 million euros.</t>
  </si>
  <si>
    <t>controversy, profit rise</t>
  </si>
  <si>
    <t>controversia, aumento de beneficios</t>
  </si>
  <si>
    <t>Slightly positive as it highlights profits but within a controversial context.</t>
  </si>
  <si>
    <t>ganan</t>
  </si>
  <si>
    <t>Profits amid controversy.</t>
  </si>
  <si>
    <t>Ganancias en medio de la polémica.</t>
  </si>
  <si>
    <r>
      <rPr>
        <rFont val="Arial, sans-serif"/>
        <color rgb="FF1155CC"/>
        <sz val="9.0"/>
        <u/>
      </rPr>
      <t>Forbes España</t>
    </r>
    <r>
      <rPr>
        <rFont val="Arial, sans-serif"/>
        <color rgb="FF1155CC"/>
        <sz val="15.0"/>
        <u/>
      </rPr>
      <t>Estas son las empresas y particulares que han donado o aportado ayudas a la devastadora DANA</t>
    </r>
    <r>
      <rPr>
        <rFont val="Arial, sans-serif"/>
        <color rgb="FF1155CC"/>
        <sz val="11.0"/>
        <u/>
      </rPr>
      <t>Inditex (Amancio Ortega), el Real Madrid (Florentino Pérez), Repsol, Caixabank...todos muy distintos entre sí, pero todos unidos en una causa: ayudar a las...</t>
    </r>
    <r>
      <rPr>
        <rFont val="Arial, sans-serif"/>
        <color rgb="FF1155CC"/>
        <sz val="12.0"/>
        <u/>
      </rPr>
      <t>.</t>
    </r>
    <r>
      <rPr>
        <rFont val="Arial, sans-serif"/>
        <color rgb="FF1155CC"/>
        <sz val="11.0"/>
        <u/>
      </rPr>
      <t>1 nov 2024</t>
    </r>
  </si>
  <si>
    <t>Estas son las empresas y particulares que han donado o aportado ayudas a la devastadora DANA</t>
  </si>
  <si>
    <t>Inditex (Amancio Ortega), el Real Madrid (Florentino Pérez), Repsol, Caixabank...todos muy distintos entre sí, pero todos unidos en una causa: ayudar a las....</t>
  </si>
  <si>
    <t>These are the companies and individuals that have donated or provided aid to the devastating DANA</t>
  </si>
  <si>
    <t>Inditex (Amancio Ortega), Real Madrid (Florentino Pérez), Repsol, Caixabank...all very different from each other, but all united in one cause: helping the...</t>
  </si>
  <si>
    <r>
      <rPr>
        <rFont val="Arial, sans-serif"/>
        <color rgb="FF1155CC"/>
        <sz val="9.0"/>
        <u/>
      </rPr>
      <t>El Mundo</t>
    </r>
    <r>
      <rPr>
        <rFont val="Arial, sans-serif"/>
        <color rgb="FF1155CC"/>
        <sz val="15.0"/>
        <u/>
      </rPr>
      <t>Las petroleras encajan con reservas el paso atrás de Moncloa con el 'impuestazo': "Están en riesgo más de 16.000 millones de inversión"</t>
    </r>
    <r>
      <rPr>
        <rFont val="Arial, sans-serif"/>
        <color rgb="FF1155CC"/>
        <sz val="11.0"/>
        <u/>
      </rPr>
      <t>Las grandes petroleras han encajado de forma desigual la decisión del PSOE de renunciar a su plan de perpetuar el gravamen temporal a las energéticas...</t>
    </r>
    <r>
      <rPr>
        <rFont val="Arial, sans-serif"/>
        <color rgb="FF1155CC"/>
        <sz val="12.0"/>
        <u/>
      </rPr>
      <t>.</t>
    </r>
    <r>
      <rPr>
        <rFont val="Arial, sans-serif"/>
        <color rgb="FF1155CC"/>
        <sz val="11.0"/>
        <u/>
      </rPr>
      <t>1 nov 2024</t>
    </r>
  </si>
  <si>
    <t>Las petroleras encajan con reservas el paso atrás de Moncloa con el 'impuestazo': "Están en riesgo más de 16.000 millones de inversión"</t>
  </si>
  <si>
    <t>"Las grandes petroleras han encajado de forma desigual la decisión del PSOE de renunciar a su plan de perpetuar el gravamen temporal a las energéticas...."</t>
  </si>
  <si>
    <t>The oil companies accept Moncloa's step back with the 'tax' with reservations: "More than 16 billion investments are at risk"</t>
  </si>
  <si>
    <t>"The big oil companies have unevenly accommodated the PSOE's decision to renounce its plan to perpetuate the temporary tax on energy companies...."</t>
  </si>
  <si>
    <t>16 billion investments, risk</t>
  </si>
  <si>
    <t>16 mil millones de inversiones, riesgo</t>
  </si>
  <si>
    <t>Slightly negative as it signals lingering uncertainty.</t>
  </si>
  <si>
    <t>reservas</t>
  </si>
  <si>
    <t>Cautious relief.</t>
  </si>
  <si>
    <t>Alivio cauteloso.</t>
  </si>
  <si>
    <r>
      <rPr>
        <rFont val="Arial, sans-serif"/>
        <color rgb="FF1155CC"/>
        <sz val="9.0"/>
        <u/>
      </rPr>
      <t>Box Repsol</t>
    </r>
    <r>
      <rPr>
        <rFont val="Arial, sans-serif"/>
        <color rgb="FF1155CC"/>
        <sz val="15.0"/>
        <u/>
      </rPr>
      <t>Resultados de los entrenamientos del GP de Malasia de MotoGP</t>
    </r>
    <r>
      <rPr>
        <rFont val="Arial, sans-serif"/>
        <color rgb="FF1155CC"/>
        <sz val="11.0"/>
        <u/>
      </rPr>
      <t>Crónica y resultados de los entrenamientos del GP de Malasia de MotoGP, disputado en el Circuito de Sepang.</t>
    </r>
    <r>
      <rPr>
        <rFont val="Arial, sans-serif"/>
        <color rgb="FF1155CC"/>
        <sz val="12.0"/>
        <u/>
      </rPr>
      <t>.</t>
    </r>
    <r>
      <rPr>
        <rFont val="Arial, sans-serif"/>
        <color rgb="FF1155CC"/>
        <sz val="11.0"/>
        <u/>
      </rPr>
      <t>1 nov 2024</t>
    </r>
  </si>
  <si>
    <t>Resultados de los entrenamientos del GP de Malasia de MotoGP</t>
  </si>
  <si>
    <t>Crónica y resultados de los entrenamientos del GP de Malasia de MotoGP, disputado en el Circuito de Sepang.</t>
  </si>
  <si>
    <t>MotoGP Malaysian GP practice results</t>
  </si>
  <si>
    <t>Chronicle and results of the practice sessions of the Malaysian MotoGP GP, held at the Sepang Circuit.</t>
  </si>
  <si>
    <r>
      <rPr>
        <rFont val="Arial, sans-serif"/>
        <color rgb="FF1155CC"/>
        <sz val="9.0"/>
        <u/>
      </rPr>
      <t>Infobae</t>
    </r>
    <r>
      <rPr>
        <rFont val="Arial, sans-serif"/>
        <color rgb="FF1155CC"/>
        <sz val="15.0"/>
        <u/>
      </rPr>
      <t>Las grandes energéticas en España superan los 10.200 millones en beneficios mientras el Gobierno deja caer el impuesto</t>
    </r>
    <r>
      <rPr>
        <rFont val="Arial, sans-serif"/>
        <color rgb="FF1155CC"/>
        <sz val="11.0"/>
        <u/>
      </rPr>
      <t>Este crecimiento coincide con la decisión del Gobierno de dejar que expire el gravamen extraordinario aplicado a estas compañías en los últimos dos años.</t>
    </r>
    <r>
      <rPr>
        <rFont val="Arial, sans-serif"/>
        <color rgb="FF1155CC"/>
        <sz val="12.0"/>
        <u/>
      </rPr>
      <t>.</t>
    </r>
    <r>
      <rPr>
        <rFont val="Arial, sans-serif"/>
        <color rgb="FF1155CC"/>
        <sz val="11.0"/>
        <u/>
      </rPr>
      <t>1 nov 2024</t>
    </r>
  </si>
  <si>
    <t>Las grandes energéticas en España superan los 10.200 millones en beneficios mientras el Gobierno deja caer el impuesto</t>
  </si>
  <si>
    <t>Las grandes energéticas en España superan los 10.200 millones en beneficios mientras el Gobierno deja caer el impuesto. Este crecimiento coincide con la decisión del Gobierno de dejar que expire el gravamen extraordinario aplicado a estas compañías en los últimos dos años.</t>
  </si>
  <si>
    <t>Large energy companies in Spain exceed 10.2 billion in profits while the Government drops the tax</t>
  </si>
  <si>
    <t>Large energy companies in Spain exceed 10.2 billion in profits while the Government drops the tax. This growth coincides with the Government's decision to let the extraordinary tax applied to these companies in the last two years expire.</t>
  </si>
  <si>
    <t>profits, tax drop</t>
  </si>
  <si>
    <t>beneficios, bajada de impuestos</t>
  </si>
  <si>
    <t>Positive as it highlights financial success and regulatory relief.</t>
  </si>
  <si>
    <t>superan beneficios</t>
  </si>
  <si>
    <t>Positive financials.</t>
  </si>
  <si>
    <t>Finanzas positivas.</t>
  </si>
  <si>
    <r>
      <rPr>
        <rFont val="Arial, sans-serif"/>
        <color rgb="FF1155CC"/>
        <sz val="9.0"/>
        <u/>
      </rPr>
      <t>expreso.ec</t>
    </r>
    <r>
      <rPr>
        <rFont val="Arial, sans-serif"/>
        <color rgb="FF1155CC"/>
        <sz val="15.0"/>
        <u/>
      </rPr>
      <t>Repsol gana 1.792 millones hasta septiembre, un 36 % menos</t>
    </r>
    <r>
      <rPr>
        <rFont val="Arial, sans-serif"/>
        <color rgb="FF1155CC"/>
        <sz val="11.0"/>
        <u/>
      </rPr>
      <t>La energética española Repsol obtuvo un beneficio neto de 1.792 millones de euros hasta septiembre, cerca de un 36 % menos que en los nueve primeros meses...</t>
    </r>
    <r>
      <rPr>
        <rFont val="Arial, sans-serif"/>
        <color rgb="FF1155CC"/>
        <sz val="12.0"/>
        <u/>
      </rPr>
      <t>.</t>
    </r>
    <r>
      <rPr>
        <rFont val="Arial, sans-serif"/>
        <color rgb="FF1155CC"/>
        <sz val="11.0"/>
        <u/>
      </rPr>
      <t>1 nov 2024</t>
    </r>
  </si>
  <si>
    <t>expreso.ec</t>
  </si>
  <si>
    <t>Repsol gana 1.792 millones hasta septiembre, un 36 % menos</t>
  </si>
  <si>
    <t>La energética española Repsol obtuvo un beneficio neto de 1.792 millones de euros hasta septiembre, cerca de un 36 % menos que en los nueve primeros meses.</t>
  </si>
  <si>
    <t>Repsol earns 1,792 million until September, 36% less</t>
  </si>
  <si>
    <t>The Spanish energy company Repsol obtained a net profit of 1,792 million euros until September, about 36% less than in the first nine months.</t>
  </si>
  <si>
    <t>profit drop, 36% less</t>
  </si>
  <si>
    <t>caída de beneficios, 36% menos</t>
  </si>
  <si>
    <t>Slightly negative as it highlights a profit decline.</t>
  </si>
  <si>
    <r>
      <rPr>
        <rFont val="Arial, sans-serif"/>
        <color rgb="FF1155CC"/>
        <sz val="9.0"/>
        <u/>
      </rPr>
      <t>El Periódico de España</t>
    </r>
    <r>
      <rPr>
        <rFont val="Arial, sans-serif"/>
        <color rgb="FF1155CC"/>
        <sz val="15.0"/>
        <u/>
      </rPr>
      <t>Inditex, Repsol, Caixabank, BBVA, Apple... las ayudas de las empresas a los afectados por la dana</t>
    </r>
    <r>
      <rPr>
        <rFont val="Arial, sans-serif"/>
        <color rgb="FF1155CC"/>
        <sz val="11.0"/>
        <u/>
      </rPr>
      <t>Las multinacionales españoles se vuelcan en solidaridad con las víctimas de las inundaciones.</t>
    </r>
    <r>
      <rPr>
        <rFont val="Arial, sans-serif"/>
        <color rgb="FF1155CC"/>
        <sz val="12.0"/>
        <u/>
      </rPr>
      <t>.</t>
    </r>
    <r>
      <rPr>
        <rFont val="Arial, sans-serif"/>
        <color rgb="FF1155CC"/>
        <sz val="11.0"/>
        <u/>
      </rPr>
      <t>2 nov 2024</t>
    </r>
  </si>
  <si>
    <t>Inditex, Repsol, Caixabank, BBVA, Apple... las ayudas de las empresas a los afectados por la dana</t>
  </si>
  <si>
    <t>Las multinacionales españoles se vuelcan en solidaridad con las víctimas de las inundaciones.</t>
  </si>
  <si>
    <t>Inditex, Repsol, Caixabank, BBVA, Apple... the aid from companies to those affected by the damage</t>
  </si>
  <si>
    <t>Spanish multinationals show solidarity with the victims of the floods.</t>
  </si>
  <si>
    <r>
      <rPr>
        <rFont val="Arial, sans-serif"/>
        <color rgb="FF1155CC"/>
        <sz val="9.0"/>
        <u/>
      </rPr>
      <t>Vozpópuli</t>
    </r>
    <r>
      <rPr>
        <rFont val="Arial, sans-serif"/>
        <color rgb="FF1155CC"/>
        <sz val="15.0"/>
        <u/>
      </rPr>
      <t>El Gobierno proyecta un hachazo de 86.000 millones a Repsol, Moeve y Naturgy tras la caída del impuestazo</t>
    </r>
    <r>
      <rPr>
        <rFont val="Arial, sans-serif"/>
        <color rgb="FF1155CC"/>
        <sz val="11.0"/>
        <u/>
      </rPr>
      <t>Los ingresos de las grandes compañías se verán reducidas por el PNIEC.</t>
    </r>
    <r>
      <rPr>
        <rFont val="Arial, sans-serif"/>
        <color rgb="FF1155CC"/>
        <sz val="12.0"/>
        <u/>
      </rPr>
      <t>.</t>
    </r>
    <r>
      <rPr>
        <rFont val="Arial, sans-serif"/>
        <color rgb="FF1155CC"/>
        <sz val="11.0"/>
        <u/>
      </rPr>
      <t>2 nov 2024</t>
    </r>
  </si>
  <si>
    <t>El Gobierno proyecta un hachazo de 86.000 millones a Repsol, Moeve y Naturgy tras la caída del impuestazo</t>
  </si>
  <si>
    <t>Los ingresos de las grandes compañías se verán reducidas por el PNIEC.</t>
  </si>
  <si>
    <t>The Government plans a blow of 86,000 million to Repsol, Moeve and Naturgy after the fall of the tax</t>
  </si>
  <si>
    <t>The income of large companies will be reduced by the PNIEC.</t>
  </si>
  <si>
    <t>blow, income reduced</t>
  </si>
  <si>
    <t>golpe, ingresos reducidos</t>
  </si>
  <si>
    <t>Negative as it indicates financial impact despite tax relief.</t>
  </si>
  <si>
    <t>hachazo</t>
  </si>
  <si>
    <t>Negative fiscal impact.</t>
  </si>
  <si>
    <r>
      <rPr>
        <rFont val="Arial, sans-serif"/>
        <color rgb="FF1155CC"/>
        <sz val="9.0"/>
        <u/>
      </rPr>
      <t>La Vanguardia</t>
    </r>
    <r>
      <rPr>
        <rFont val="Arial, sans-serif"/>
        <color rgb="FF1155CC"/>
        <sz val="15.0"/>
        <u/>
      </rPr>
      <t>La oferta de mejor trato a las eléctricas acabó frenando el impuesto energético</t>
    </r>
    <r>
      <rPr>
        <rFont val="Arial, sans-serif"/>
        <color rgb="FF1155CC"/>
        <sz val="11.0"/>
        <u/>
      </rPr>
      <t>Si nada cambia, el impuesto extraordinario a las energéticas decaerá el 31 de diciembre tras una intensa negociación a tres bandas del Gobierno con Junts y...</t>
    </r>
    <r>
      <rPr>
        <rFont val="Arial, sans-serif"/>
        <color rgb="FF1155CC"/>
        <sz val="12.0"/>
        <u/>
      </rPr>
      <t>.</t>
    </r>
    <r>
      <rPr>
        <rFont val="Arial, sans-serif"/>
        <color rgb="FF1155CC"/>
        <sz val="11.0"/>
        <u/>
      </rPr>
      <t>2 nov 2024</t>
    </r>
  </si>
  <si>
    <t>La oferta de mejor trato a las eléctricas acabó frenando el impuesto energético</t>
  </si>
  <si>
    <t>La oferta de mejor trato a las eléctricas acabó frenando el impuesto energético. Si nada cambia, el impuesto extraordinario a las energéticas decaerá el 31 de diciembre tras una intensa negociación a tres bandas del Gobierno con Junts y....</t>
  </si>
  <si>
    <t>The offer of better treatment to electricity companies ended up stopping the energy tax</t>
  </si>
  <si>
    <t>The offer of better treatment to electricity companies ended up stopping the energy tax. If nothing changes, the extraordinary tax on energy companies will decline on December 31 after an intense three-way negotiation between the Government and Junts and...</t>
  </si>
  <si>
    <t>better treatment, tax decline</t>
  </si>
  <si>
    <t>mejor trato, reducción de impuestos</t>
  </si>
  <si>
    <t>Positive as it confirms regulatory relief.</t>
  </si>
  <si>
    <t>mejor trato</t>
  </si>
  <si>
    <t>Positive sector outcome.</t>
  </si>
  <si>
    <t>Resultado positivo del sector.</t>
  </si>
  <si>
    <r>
      <rPr>
        <rFont val="Arial, sans-serif"/>
        <color rgb="FF1155CC"/>
        <sz val="9.0"/>
        <u/>
      </rPr>
      <t>El Debate</t>
    </r>
    <r>
      <rPr>
        <rFont val="Arial, sans-serif"/>
        <color rgb="FF1155CC"/>
        <sz val="15.0"/>
        <u/>
      </rPr>
      <t>La guerra de la eólica marina en Galicia: 11 empresas compiten con 19 megaproyectos</t>
    </r>
    <r>
      <rPr>
        <rFont val="Arial, sans-serif"/>
        <color rgb="FF1155CC"/>
        <sz val="11.0"/>
        <u/>
      </rPr>
      <t>Repsol es la que más propuestas ha presentado, con cuatro.</t>
    </r>
    <r>
      <rPr>
        <rFont val="Arial, sans-serif"/>
        <color rgb="FF1155CC"/>
        <sz val="12.0"/>
        <u/>
      </rPr>
      <t>.</t>
    </r>
    <r>
      <rPr>
        <rFont val="Arial, sans-serif"/>
        <color rgb="FF1155CC"/>
        <sz val="11.0"/>
        <u/>
      </rPr>
      <t>2 nov 2024</t>
    </r>
  </si>
  <si>
    <t>La guerra de la eólica marina en Galicia: 11 empresas compiten con 19 megaproyectos</t>
  </si>
  <si>
    <t>Repsol es la que más propuestas ha presentado, con cuatro.</t>
  </si>
  <si>
    <t>The offshore wind war in Galicia: 11 companies compete with 19 megaprojects</t>
  </si>
  <si>
    <t>Repsol is the one that has presented the most proposals, with four.</t>
  </si>
  <si>
    <t>Renewable energy</t>
  </si>
  <si>
    <r>
      <rPr>
        <rFont val="Arial, sans-serif"/>
        <color rgb="FF1155CC"/>
        <sz val="9.0"/>
        <u/>
      </rPr>
      <t>motors-addict</t>
    </r>
    <r>
      <rPr>
        <rFont val="Arial, sans-serif"/>
        <color rgb="FF1155CC"/>
        <sz val="15.0"/>
        <u/>
      </rPr>
      <t>Resultados la carrera sprint del GP de Malasia de MotoGP...</t>
    </r>
    <r>
      <rPr>
        <rFont val="Arial, sans-serif"/>
        <color rgb="FF1155CC"/>
        <sz val="11.0"/>
        <u/>
      </rPr>
      <t>Nuevo paso adelante del líder del Mundial de MotoGP para conseguir su primer título en la categoría reina. El español Jorge Martín ha logrado la victoria en...</t>
    </r>
    <r>
      <rPr>
        <rFont val="Arial, sans-serif"/>
        <color rgb="FF1155CC"/>
        <sz val="12.0"/>
        <u/>
      </rPr>
      <t>.</t>
    </r>
    <r>
      <rPr>
        <rFont val="Arial, sans-serif"/>
        <color rgb="FF1155CC"/>
        <sz val="11.0"/>
        <u/>
      </rPr>
      <t>2 nov 2024</t>
    </r>
  </si>
  <si>
    <t>motors-addict</t>
  </si>
  <si>
    <t>Resultados la carrera sprint del GP de Malasia de MotoGP</t>
  </si>
  <si>
    <t>Nuevo paso adelante del líder del Mundial de MotoGP para conseguir su primer título en la categoría reina. El español Jorge Martín ha logrado la victoria en....</t>
  </si>
  <si>
    <t>Results of the MotoGP Malaysian GP sprint race</t>
  </si>
  <si>
    <t>New step forward for the MotoGP World Championship leader to achieve his first title in the premier class. The Spanish Jorge Martín has achieved victory in....</t>
  </si>
  <si>
    <r>
      <rPr>
        <rFont val="Arial, sans-serif"/>
        <color rgb="FF1155CC"/>
        <sz val="9.0"/>
        <u/>
      </rPr>
      <t>El Comercio Perú</t>
    </r>
    <r>
      <rPr>
        <rFont val="Arial, sans-serif"/>
        <color rgb="FF1155CC"/>
        <sz val="15.0"/>
        <u/>
      </rPr>
      <t>Balón Rosa ganó por la mínima a ED Kairos por el Semillero Repsol Fútbol Femenino</t>
    </r>
    <r>
      <rPr>
        <rFont val="Arial, sans-serif"/>
        <color rgb="FF1155CC"/>
        <sz val="11.0"/>
        <u/>
      </rPr>
      <t>Un gol de Marifé Vasquez le dio la victoria a Balón Rosa de San Juan de Miraflores por la fecha 2 del Semillero Repsol Fútbol Femenino.</t>
    </r>
    <r>
      <rPr>
        <rFont val="Arial, sans-serif"/>
        <color rgb="FF1155CC"/>
        <sz val="12.0"/>
        <u/>
      </rPr>
      <t>.</t>
    </r>
    <r>
      <rPr>
        <rFont val="Arial, sans-serif"/>
        <color rgb="FF1155CC"/>
        <sz val="11.0"/>
        <u/>
      </rPr>
      <t>2 nov 2024</t>
    </r>
  </si>
  <si>
    <t>Balón Rosa ganó por la mínima a ED Kairos por el Semillero Repsol Fútbol Femenino</t>
  </si>
  <si>
    <t>Un gol de Marifé Vasquez le dio la victoria a Balón Rosa de San Juan de Miraflores por la fecha 2 del Semillero Repsol Fútbol Femenino.</t>
  </si>
  <si>
    <t>Balón Rosa narrowly beat ED Kairos for the Repsol Women's Soccer Seedbed</t>
  </si>
  <si>
    <t>A goal from Marifé Vasquez gave the victory to Balón Rosa de San Juan de Miraflores for date 2 of the Repsol Women's Soccer Seedbed.</t>
  </si>
  <si>
    <t>Sports sponsorship</t>
  </si>
  <si>
    <r>
      <rPr>
        <rFont val="Arial, sans-serif"/>
        <color rgb="FF1155CC"/>
        <sz val="9.0"/>
        <u/>
      </rPr>
      <t>El Comercio Perú</t>
    </r>
    <r>
      <rPr>
        <rFont val="Arial, sans-serif"/>
        <color rgb="FF1155CC"/>
        <sz val="15.0"/>
        <u/>
      </rPr>
      <t>Cruzeiro EC y ADDITED igualaron por la fecha 2 del Semillero Repsol Fútbol Femenino</t>
    </r>
    <r>
      <rPr>
        <rFont val="Arial, sans-serif"/>
        <color rgb="FF1155CC"/>
        <sz val="11.0"/>
        <u/>
      </rPr>
      <t>Génesis Chavarria y Amy Pozo anotaron por partida doble para el empate entre Cruzeiro EC y ADDITED por la fecha 2 del Semillero Repsol Fútbol Femenino.</t>
    </r>
    <r>
      <rPr>
        <rFont val="Arial, sans-serif"/>
        <color rgb="FF1155CC"/>
        <sz val="12.0"/>
        <u/>
      </rPr>
      <t>.</t>
    </r>
    <r>
      <rPr>
        <rFont val="Arial, sans-serif"/>
        <color rgb="FF1155CC"/>
        <sz val="11.0"/>
        <u/>
      </rPr>
      <t>2 nov 2024</t>
    </r>
  </si>
  <si>
    <t>Cruzeiro EC y ADDITED igualaron por la fecha 2 del Semillero Repsol Fútbol Femenino</t>
  </si>
  <si>
    <t>Génesis Chavarria y Amy Pozo anotaron por partida doble para el empate entre Cruzeiro EC y ADDITED por la fecha 2 del Semillero Repsol Fútbol Femenino.</t>
  </si>
  <si>
    <t>Cruzeiro EC and ADDITED tied for date 2 of the Repsol Women's Soccer Seedbed</t>
  </si>
  <si>
    <t>Génesis Chavarria and Amy Pozo scored twice for the tie between Cruzeiro EC and ADDITED for date 2 of the Repsol Women's Soccer Seedbed.</t>
  </si>
  <si>
    <r>
      <rPr>
        <rFont val="Arial, sans-serif"/>
        <color rgb="FF1155CC"/>
        <sz val="9.0"/>
        <u/>
      </rPr>
      <t>El Comercio Perú</t>
    </r>
    <r>
      <rPr>
        <rFont val="Arial, sans-serif"/>
        <color rgb="FF1155CC"/>
        <sz val="15.0"/>
        <u/>
      </rPr>
      <t>Ciclista Lima venció 1-0 a Sport Neciosup por Semillero Repsol Fútbol Femenino</t>
    </r>
    <r>
      <rPr>
        <rFont val="Arial, sans-serif"/>
        <color rgb="FF1155CC"/>
        <sz val="11.0"/>
        <u/>
      </rPr>
      <t>Alexia Campos le dio la victoria a Ciclista Lima FC frente a Sport Neciosup por la fecha 2 del Semillero Repsol Fútbol Femenino.</t>
    </r>
    <r>
      <rPr>
        <rFont val="Arial, sans-serif"/>
        <color rgb="FF1155CC"/>
        <sz val="12.0"/>
        <u/>
      </rPr>
      <t>.</t>
    </r>
    <r>
      <rPr>
        <rFont val="Arial, sans-serif"/>
        <color rgb="FF1155CC"/>
        <sz val="11.0"/>
        <u/>
      </rPr>
      <t>2 nov 2024</t>
    </r>
  </si>
  <si>
    <t>Ciclista Lima venció 1-0 a Sport Neciosup por Semillero Repsol Fútbol Femenino</t>
  </si>
  <si>
    <t>Alexia Campos le dio la victoria a Ciclista Lima FC frente a Sport Neciosup por la fecha 2 del Semillero Repsol Fútbol Femenino.</t>
  </si>
  <si>
    <t>Ciclista Lima defeated Sport Neciosup 1-0 for Semillero Repsol Women's Soccer</t>
  </si>
  <si>
    <t>Alexia Campos gave Ciclista Lima FC the victory against Sport Neciosup for date 2 of the Repsol Women's Soccer Seedbed.</t>
  </si>
  <si>
    <r>
      <rPr>
        <rFont val="Arial, sans-serif"/>
        <color rgb="FF1155CC"/>
        <sz val="9.0"/>
        <u/>
      </rPr>
      <t>El Comercio Perú</t>
    </r>
    <r>
      <rPr>
        <rFont val="Arial, sans-serif"/>
        <color rgb="FF1155CC"/>
        <sz val="15.0"/>
        <u/>
      </rPr>
      <t>Se van definiendo las clasificadas: así se vivió Semillero Repsol Fútbol Femenino</t>
    </r>
    <r>
      <rPr>
        <rFont val="Arial, sans-serif"/>
        <color rgb="FF1155CC"/>
        <sz val="11.0"/>
        <u/>
      </rPr>
      <t>Este sábado 02 de noviembre del 2024 se llevó a cabo la segunda fecha del Semillero Repsol Fútbol Femenino.</t>
    </r>
    <r>
      <rPr>
        <rFont val="Arial, sans-serif"/>
        <color rgb="FF1155CC"/>
        <sz val="12.0"/>
        <u/>
      </rPr>
      <t>.</t>
    </r>
    <r>
      <rPr>
        <rFont val="Arial, sans-serif"/>
        <color rgb="FF1155CC"/>
        <sz val="11.0"/>
        <u/>
      </rPr>
      <t>2 nov 2024</t>
    </r>
  </si>
  <si>
    <t>Se van definiendo las clasificadas: así se vivió Semillero Repsol Fútbol Femenino</t>
  </si>
  <si>
    <t>Este sábado 02 de noviembre del 2024 se llevó a cabo la segunda fecha del Semillero Repsol Fútbol Femenino.</t>
  </si>
  <si>
    <t>The classified ones are being defined: this is how the Repsol Women's Football Seedbed was experienced</t>
  </si>
  <si>
    <t>This Saturday, November 2, 2024, the second date of the Repsol Women's Soccer Seedbed took place.</t>
  </si>
  <si>
    <r>
      <rPr>
        <rFont val="Arial, sans-serif"/>
        <color rgb="FF1155CC"/>
        <sz val="9.0"/>
        <u/>
      </rPr>
      <t>Guía Repsol</t>
    </r>
    <r>
      <rPr>
        <rFont val="Arial, sans-serif"/>
        <color rgb="FF1155CC"/>
        <sz val="15.0"/>
        <u/>
      </rPr>
      <t>Dónde comer rico en León según los chefs de ‘Cocinandos’</t>
    </r>
    <r>
      <rPr>
        <rFont val="Arial, sans-serif"/>
        <color rgb="FF1155CC"/>
        <sz val="11.0"/>
        <u/>
      </rPr>
      <t>Dos de los referentes gastronómicos de León, el matrimonio formado por Yolanda León y Juanjo Pérez ('Cocinandos', Dos Soles Guía Repsol), comparten sus...</t>
    </r>
    <r>
      <rPr>
        <rFont val="Arial, sans-serif"/>
        <color rgb="FF1155CC"/>
        <sz val="12.0"/>
        <u/>
      </rPr>
      <t>.</t>
    </r>
    <r>
      <rPr>
        <rFont val="Arial, sans-serif"/>
        <color rgb="FF1155CC"/>
        <sz val="11.0"/>
        <u/>
      </rPr>
      <t>3 nov 2024</t>
    </r>
  </si>
  <si>
    <t>Dónde comer rico en León según los chefs de ‘Cocinandos’</t>
  </si>
  <si>
    <t>Dos de los referentes gastronómicos de León, el matrimonio formado por Yolanda León y Juanjo Pérez ('Cocinandos', Dos Soles Guía Repsol), comparten sus....</t>
  </si>
  <si>
    <t>Where to eat delicious food in León according to the chefs of 'Cocinandos'</t>
  </si>
  <si>
    <t>Two of León's gastronomic references, the couple formed by Yolanda León and Juanjo Pérez ('Cocinandos', Dos Soles Guía Repsol), share their...</t>
  </si>
  <si>
    <r>
      <rPr>
        <rFont val="Arial, sans-serif"/>
        <color rgb="FF1155CC"/>
        <sz val="9.0"/>
        <u/>
      </rPr>
      <t>Motor16</t>
    </r>
    <r>
      <rPr>
        <rFont val="Arial, sans-serif"/>
        <color rgb="FF1155CC"/>
        <sz val="15.0"/>
        <u/>
      </rPr>
      <t>Ni Repsol, ni BP, ni Cepsa… Ballenoil te da la clave para saber si una gasolinera es de fiar</t>
    </r>
    <r>
      <rPr>
        <rFont val="Arial, sans-serif"/>
        <color rgb="FF1155CC"/>
        <sz val="11.0"/>
        <u/>
      </rPr>
      <t>Durante años, los usuarios han desconfiado de las gasolineras. En décadas pasadas, algunas estaciones de servicio se vieron involucradas en prácticas.</t>
    </r>
    <r>
      <rPr>
        <rFont val="Arial, sans-serif"/>
        <color rgb="FF1155CC"/>
        <sz val="12.0"/>
        <u/>
      </rPr>
      <t>.</t>
    </r>
    <r>
      <rPr>
        <rFont val="Arial, sans-serif"/>
        <color rgb="FF1155CC"/>
        <sz val="11.0"/>
        <u/>
      </rPr>
      <t>3 nov 2024</t>
    </r>
  </si>
  <si>
    <t>Ballenoil te da la clave para saber si una gasolinera es de fiar</t>
  </si>
  <si>
    <t>Durante años, los usuarios han desconfiado de las gasolineras. En décadas pasadas, algunas estaciones de servicio se vieron involucradas en prácticas.</t>
  </si>
  <si>
    <t>Ballenoil gives you the key to know if a gas station is trustworthy</t>
  </si>
  <si>
    <t>For years, users have distrusted gas stations. In past decades, some gas stations were involved in practices.</t>
  </si>
  <si>
    <r>
      <rPr>
        <rFont val="Arial, sans-serif"/>
        <color rgb="FF1155CC"/>
        <sz val="9.0"/>
        <u/>
      </rPr>
      <t>Box Repsol</t>
    </r>
    <r>
      <rPr>
        <rFont val="Arial, sans-serif"/>
        <color rgb="FF1155CC"/>
        <sz val="15.0"/>
        <u/>
      </rPr>
      <t>Resultados del GP de Malasia de MotoGP</t>
    </r>
    <r>
      <rPr>
        <rFont val="Arial, sans-serif"/>
        <color rgb="FF1155CC"/>
        <sz val="11.0"/>
        <u/>
      </rPr>
      <t>El Gran Premio de Malasia, penúltima carrera de la temporada 2024, ha vivido un tremendo espectáculo en las primeras vueltas. Tras una primera salida que se...</t>
    </r>
    <r>
      <rPr>
        <rFont val="Arial, sans-serif"/>
        <color rgb="FF1155CC"/>
        <sz val="12.0"/>
        <u/>
      </rPr>
      <t>.</t>
    </r>
    <r>
      <rPr>
        <rFont val="Arial, sans-serif"/>
        <color rgb="FF1155CC"/>
        <sz val="11.0"/>
        <u/>
      </rPr>
      <t>3 nov 2024</t>
    </r>
  </si>
  <si>
    <t>Resultados del GP de Malasia de MotoGP</t>
  </si>
  <si>
    <t>El Gran Premio de Malasia, penúltima carrera de la temporada 2024, ha vivido un tremendo espectáculo en las primeras vueltas. Tras una primera salida que se....</t>
  </si>
  <si>
    <t>MotoGP Malaysian GP results</t>
  </si>
  <si>
    <t>The Malaysian Grand Prix, the penultimate race of the 2024 season, experienced a tremendous spectacle in the first laps. After a first outing that...</t>
  </si>
  <si>
    <r>
      <rPr>
        <rFont val="Arial, sans-serif"/>
        <color rgb="FF1155CC"/>
        <sz val="9.0"/>
        <u/>
      </rPr>
      <t>El Periódico de la Energía</t>
    </r>
    <r>
      <rPr>
        <rFont val="Arial, sans-serif"/>
        <color rgb="FF1155CC"/>
        <sz val="15.0"/>
        <u/>
      </rPr>
      <t>El PNV niega presiones de empresas o de Junts para hacer caer el impuesto extraordinario a energéticas</t>
    </r>
    <r>
      <rPr>
        <rFont val="Arial, sans-serif"/>
        <color rgb="FF1155CC"/>
        <sz val="11.0"/>
        <u/>
      </rPr>
      <t>La portavoz económica del PNV ha negado que presiones de empresas o de Junts hayan pesado en la decisión del Gobierno de hacer decaer el impuesto a las...</t>
    </r>
    <r>
      <rPr>
        <rFont val="Arial, sans-serif"/>
        <color rgb="FF1155CC"/>
        <sz val="12.0"/>
        <u/>
      </rPr>
      <t>.</t>
    </r>
    <r>
      <rPr>
        <rFont val="Arial, sans-serif"/>
        <color rgb="FF1155CC"/>
        <sz val="11.0"/>
        <u/>
      </rPr>
      <t>3 nov 2024</t>
    </r>
  </si>
  <si>
    <t>El PNV niega presiones de empresas o de Junts para hacer caer el impuesto extraordinario a energéticas</t>
  </si>
  <si>
    <t>La portavoz económica del PNV ha negado que presiones de empresas o de Junts hayan pesado en la decisión del Gobierno de hacer decaer el impuesto a las....</t>
  </si>
  <si>
    <t>The PNV denies pressure from companies or Junts to drop the extraordinary tax on energy</t>
  </si>
  <si>
    <t>The PNV's economic spokesperson has denied that pressure from companies or Junts has influenced the Government's decision to reduce the tax on...</t>
  </si>
  <si>
    <t>Neutral as it presents conflicting viewpoints.</t>
  </si>
  <si>
    <t>Political context.</t>
  </si>
  <si>
    <t>Contexto político.</t>
  </si>
  <si>
    <r>
      <rPr>
        <rFont val="Arial, sans-serif"/>
        <color rgb="FF1155CC"/>
        <sz val="9.0"/>
        <u/>
      </rPr>
      <t>Guía Repsol</t>
    </r>
    <r>
      <rPr>
        <rFont val="Arial, sans-serif"/>
        <color rgb="FF1155CC"/>
        <sz val="15.0"/>
        <u/>
      </rPr>
      <t>Borja Insa y sus cócteles que asombran al mundo</t>
    </r>
    <r>
      <rPr>
        <rFont val="Arial, sans-serif"/>
        <color rgb="FF1155CC"/>
        <sz val="11.0"/>
        <u/>
      </rPr>
      <t>El cuarto mejro coctelero del mundo está en Zaragoza y es Borja Insa. Su coctelería 'Moonlight' de Zaragoza (Solete Guía Repsol) ya juega en la liga más...</t>
    </r>
    <r>
      <rPr>
        <rFont val="Arial, sans-serif"/>
        <color rgb="FF1155CC"/>
        <sz val="12.0"/>
        <u/>
      </rPr>
      <t>.</t>
    </r>
    <r>
      <rPr>
        <rFont val="Arial, sans-serif"/>
        <color rgb="FF1155CC"/>
        <sz val="11.0"/>
        <u/>
      </rPr>
      <t>3 nov 2024</t>
    </r>
  </si>
  <si>
    <t>Borja Insa y sus cócteles que asombran al mundo</t>
  </si>
  <si>
    <t>El cuarto mejro coctelero del mundo está en Zaragoza y es Borja Insa. Su coctelería 'Moonlight' de Zaragoza (Solete Guía Repsol) ya juega en la liga más....</t>
  </si>
  <si>
    <t>Borja Insa and his cocktails that amaze the world</t>
  </si>
  <si>
    <t>The fourth best mixologist in the world is in Zaragoza and is Borja Insa. His cocktail bar 'Moonlight' in Zaragoza (Solete Guía Repsol) is already playing in the top league....</t>
  </si>
  <si>
    <r>
      <rPr>
        <rFont val="Arial, sans-serif"/>
        <color rgb="FF1155CC"/>
        <sz val="9.0"/>
        <u/>
      </rPr>
      <t>Mundo Deportivo</t>
    </r>
    <r>
      <rPr>
        <rFont val="Arial, sans-serif"/>
        <color rgb="FF1155CC"/>
        <sz val="15.0"/>
        <u/>
      </rPr>
      <t>Así queda la clasificación tras el GP de Malasia de MotoGP: Martín lo tiene a tiro y presionan a Márquez</t>
    </r>
    <r>
      <rPr>
        <rFont val="Arial, sans-serif"/>
        <color rgb="FF1155CC"/>
        <sz val="11.0"/>
        <u/>
      </rPr>
      <t>La carrera de este domingo en Sepang prometía emociones fuertes y no ha decepcionado. El duelo entre Bagnaia y Jorge Martín fue de órdago y logró poner los...</t>
    </r>
    <r>
      <rPr>
        <rFont val="Arial, sans-serif"/>
        <color rgb="FF1155CC"/>
        <sz val="12.0"/>
        <u/>
      </rPr>
      <t>.</t>
    </r>
    <r>
      <rPr>
        <rFont val="Arial, sans-serif"/>
        <color rgb="FF1155CC"/>
        <sz val="11.0"/>
        <u/>
      </rPr>
      <t>3 nov 2024</t>
    </r>
  </si>
  <si>
    <t>Así queda la clasificación tras el GP de Malasia de MotoGP: Martín lo tiene a tiro y presionan a Márquez</t>
  </si>
  <si>
    <t>La carrera de este domingo en Sepang prometía emociones fuertes y no ha decepcionado. El duelo entre Bagnaia y Jorge Martín fue de órdago y logró poner los....</t>
  </si>
  <si>
    <t>This is how the classification looks after the Malaysian MotoGP GP: Martín has it within reach and they put pressure on Márquez</t>
  </si>
  <si>
    <t>This Sunday's race in Sepang promised strong emotions and it did not disappoint. The duel between Bagnaia and Jorge Martín was incredible and he managed to put the...</t>
  </si>
  <si>
    <r>
      <rPr>
        <rFont val="Arial, sans-serif"/>
        <color rgb="FF1155CC"/>
        <sz val="9.0"/>
        <u/>
      </rPr>
      <t>El Correo</t>
    </r>
    <r>
      <rPr>
        <rFont val="Arial, sans-serif"/>
        <color rgb="FF1155CC"/>
        <sz val="15.0"/>
        <u/>
      </rPr>
      <t>«La única solución para Gaza es la de dos Estados viviendo en la mayor armonía posible»</t>
    </r>
    <r>
      <rPr>
        <rFont val="Arial, sans-serif"/>
        <color rgb="FF1155CC"/>
        <sz val="11.0"/>
        <u/>
      </rPr>
      <t>Dialogar con Ana Palacio (Madrid, 1948) sobre los diferentes conflictos internacionales es disfrutar de un máster condensado en una charla de 45 minutos.</t>
    </r>
    <r>
      <rPr>
        <rFont val="Arial, sans-serif"/>
        <color rgb="FF1155CC"/>
        <sz val="12.0"/>
        <u/>
      </rPr>
      <t>.</t>
    </r>
    <r>
      <rPr>
        <rFont val="Arial, sans-serif"/>
        <color rgb="FF1155CC"/>
        <sz val="11.0"/>
        <u/>
      </rPr>
      <t>3 nov 2024</t>
    </r>
  </si>
  <si>
    <t>«La única solución para Gaza es la de dos Estados viviendo en la mayor armonía posible»</t>
  </si>
  <si>
    <t>"The only solution for Gaza is two states living in the greatest possible harmony"</t>
  </si>
  <si>
    <r>
      <rPr>
        <rFont val="Arial, sans-serif"/>
        <color rgb="FF1155CC"/>
        <sz val="9.0"/>
        <u/>
      </rPr>
      <t>Cinco Días</t>
    </r>
    <r>
      <rPr>
        <rFont val="Arial, sans-serif"/>
        <color rgb="FF1155CC"/>
        <sz val="15.0"/>
        <u/>
      </rPr>
      <t>Los analistas recortan el precio objetivo de Repsol tras la presentación de resultados</t>
    </r>
    <r>
      <rPr>
        <rFont val="Arial, sans-serif"/>
        <color rgb="FF1155CC"/>
        <sz val="11.0"/>
        <u/>
      </rPr>
      <t>Repsol se enfrenta a un escenario complejo y paradójico. Varios analistas han revisado a la baja el precio objetivo que conceden a las acciones de la...</t>
    </r>
    <r>
      <rPr>
        <rFont val="Arial, sans-serif"/>
        <color rgb="FF1155CC"/>
        <sz val="12.0"/>
        <u/>
      </rPr>
      <t>.</t>
    </r>
    <r>
      <rPr>
        <rFont val="Arial, sans-serif"/>
        <color rgb="FF1155CC"/>
        <sz val="11.0"/>
        <u/>
      </rPr>
      <t>4 nov 2024</t>
    </r>
  </si>
  <si>
    <t>Los analistas recortan el precio objetivo de Repsol tras la presentación de resultados</t>
  </si>
  <si>
    <t>Repsol se enfrenta a un escenario complejo y paradójico. Varios analistas han revisado a la baja el precio objetivo que conceden a las acciones de la....</t>
  </si>
  <si>
    <t>Analysts cut Repsol's price target after the presentation of results</t>
  </si>
  <si>
    <t>Repsol faces a complex and paradoxical scenario. Several analysts have revised downwards the target price they give to the company's shares....</t>
  </si>
  <si>
    <t>price target, cut</t>
  </si>
  <si>
    <t>precio objetivo, recorte</t>
  </si>
  <si>
    <t>Slightly negative as it suggests investor caution.</t>
  </si>
  <si>
    <t>recortan</t>
  </si>
  <si>
    <r>
      <rPr>
        <rFont val="Arial, sans-serif"/>
        <color rgb="FF1155CC"/>
        <sz val="9.0"/>
        <u/>
      </rPr>
      <t>Estrategias de Inversión</t>
    </r>
    <r>
      <rPr>
        <rFont val="Arial, sans-serif"/>
        <color rgb="FF1155CC"/>
        <sz val="15.0"/>
        <u/>
      </rPr>
      <t>Petrolera Repsol: Recortes de Morgan Stanley y Berenberg; así dejan su potencial</t>
    </r>
    <r>
      <rPr>
        <rFont val="Arial, sans-serif"/>
        <color rgb="FF1155CC"/>
        <sz val="11.0"/>
        <u/>
      </rPr>
      <t>Los analistas de Morgan Stanley recortan el precio objetivo de Repsol hasta los 13,50 euros, y los de Berenberg lo dejan en 12 euros.</t>
    </r>
    <r>
      <rPr>
        <rFont val="Arial, sans-serif"/>
        <color rgb="FF1155CC"/>
        <sz val="12.0"/>
        <u/>
      </rPr>
      <t>.</t>
    </r>
    <r>
      <rPr>
        <rFont val="Arial, sans-serif"/>
        <color rgb="FF1155CC"/>
        <sz val="11.0"/>
        <u/>
      </rPr>
      <t>4 nov 2024</t>
    </r>
  </si>
  <si>
    <t>Repsol: Recortes de Morgan Stanley y Berenberg; así dejan su potencial</t>
  </si>
  <si>
    <t>Los analistas de Morgan Stanley recortan el precio objetivo de Repsol hasta los 13,50 euros, y los de Berenberg lo dejan en 12 euros.</t>
  </si>
  <si>
    <t>Repsol: Cuts by Morgan Stanley and Berenberg; This is how they leave their potential</t>
  </si>
  <si>
    <t>Morgan Stanley analysts cut Repsol's target price to 13.50 euros, and Berenberg analysts leave it at 12 euros.</t>
  </si>
  <si>
    <t>price cut, Morgan Stanley</t>
  </si>
  <si>
    <t>reducción de precios, Morgan Stanley</t>
  </si>
  <si>
    <t>Slightly negative as it signals declining investor confidence.</t>
  </si>
  <si>
    <t>recortes</t>
  </si>
  <si>
    <t>Analyst downgrades.</t>
  </si>
  <si>
    <t>Rebajas de analistas.</t>
  </si>
  <si>
    <r>
      <rPr>
        <rFont val="Arial, sans-serif"/>
        <color rgb="FF1155CC"/>
        <sz val="9.0"/>
        <u/>
      </rPr>
      <t>Bolsamania</t>
    </r>
    <r>
      <rPr>
        <rFont val="Arial, sans-serif"/>
        <color rgb="FF1155CC"/>
        <sz val="15.0"/>
        <u/>
      </rPr>
      <t>Berenberg reduce el precio de Repsol a 12 euros y ve "incertidumbre" en su mix de negocio</t>
    </r>
    <r>
      <rPr>
        <rFont val="Arial, sans-serif"/>
        <color rgb="FF1155CC"/>
        <sz val="11.0"/>
        <u/>
      </rPr>
      <t>Los expertos de Berenberg han reiterado este lunes su consejo de 'mantener' sobre Repsol, pero han recortado la valoración de sus acciones hasta 12 euros...</t>
    </r>
    <r>
      <rPr>
        <rFont val="Arial, sans-serif"/>
        <color rgb="FF1155CC"/>
        <sz val="12.0"/>
        <u/>
      </rPr>
      <t>.</t>
    </r>
    <r>
      <rPr>
        <rFont val="Arial, sans-serif"/>
        <color rgb="FF1155CC"/>
        <sz val="11.0"/>
        <u/>
      </rPr>
      <t>4 nov 2024</t>
    </r>
  </si>
  <si>
    <t>Berenberg reduce el precio de Repsol a 12 euros y ve "incertidumbre" en su mix de negocio</t>
  </si>
  <si>
    <t>Los expertos de Berenberg han reiterado este lunes su consejo de 'mantener' sobre Repsol, pero han recortado la valoración de sus acciones hasta 12 euros.</t>
  </si>
  <si>
    <t>Berenberg reduces Repsol's price to 12 euros and sees "uncertainty" in its business mix</t>
  </si>
  <si>
    <t>Berenberg experts have reiterated this Monday their 'hold' advice on Repsol, but have cut the valuation of its shares to 12 euros.</t>
  </si>
  <si>
    <t>price reduction, uncertainty</t>
  </si>
  <si>
    <t>reducción de precios, incertidumbre</t>
  </si>
  <si>
    <t>Negative as it implies business instability.</t>
  </si>
  <si>
    <t>reduce, "incertidumbre"</t>
  </si>
  <si>
    <t>Negative analyst view.</t>
  </si>
  <si>
    <t>Opinión negativa del analista.</t>
  </si>
  <si>
    <r>
      <rPr>
        <rFont val="Arial, sans-serif"/>
        <color rgb="FF1155CC"/>
        <sz val="9.0"/>
        <u/>
      </rPr>
      <t>Expansión</t>
    </r>
    <r>
      <rPr>
        <rFont val="Arial, sans-serif"/>
        <color rgb="FF1155CC"/>
        <sz val="15.0"/>
        <u/>
      </rPr>
      <t>Los analistas amplían la oleada de rebajas a Repsol</t>
    </r>
    <r>
      <rPr>
        <rFont val="Arial, sans-serif"/>
        <color rgb="FF1155CC"/>
        <sz val="11.0"/>
        <u/>
      </rPr>
      <t>Desde el inicio del verano cada cambio de precio objetivo de los analistas sobre Repsol se ha saldado con una revisión a la baja de sus perspectivas...</t>
    </r>
    <r>
      <rPr>
        <rFont val="Arial, sans-serif"/>
        <color rgb="FF1155CC"/>
        <sz val="12.0"/>
        <u/>
      </rPr>
      <t>.</t>
    </r>
    <r>
      <rPr>
        <rFont val="Arial, sans-serif"/>
        <color rgb="FF1155CC"/>
        <sz val="11.0"/>
        <u/>
      </rPr>
      <t>4 nov 2024</t>
    </r>
  </si>
  <si>
    <t>Los analistas amplían la oleada de rebajas a Repsol</t>
  </si>
  <si>
    <t>Desde el inicio del verano cada cambio de precio objetivo de los analistas sobre Repsol se ha saldado con una revisión a la baja de sus perspectivas....</t>
  </si>
  <si>
    <t>Analysts extend the wave of reductions to Repsol</t>
  </si>
  <si>
    <t>Since the beginning of summer, each change in the analysts' target price on Repsol has resulted in a downward revision of its prospects...</t>
  </si>
  <si>
    <t>analysts, price reductions</t>
  </si>
  <si>
    <t>analistas, reducciones de precios</t>
  </si>
  <si>
    <t>Negative as it signals persistent skepticism among investors.</t>
  </si>
  <si>
    <t>rebajas</t>
  </si>
  <si>
    <t>Continued negative outlook.</t>
  </si>
  <si>
    <t>Perspectiva negativa continua.</t>
  </si>
  <si>
    <r>
      <rPr>
        <rFont val="Arial, sans-serif"/>
        <color rgb="FF1155CC"/>
        <sz val="9.0"/>
        <u/>
      </rPr>
      <t>Economía Digital</t>
    </r>
    <r>
      <rPr>
        <rFont val="Arial, sans-serif"/>
        <color rgb="FF1155CC"/>
        <sz val="15.0"/>
        <u/>
      </rPr>
      <t>Trump vs Harris: lo que se juegan Iberdrola, Repsol y Naturgy en las elecciones de EEUU</t>
    </r>
    <r>
      <rPr>
        <rFont val="Arial, sans-serif"/>
        <color rgb="FF1155CC"/>
        <sz val="11.0"/>
        <u/>
      </rPr>
      <t>Las energéticas españolas cuentan con importantes inversiones en renovables, redes eléctricas o relacionadas con el petróleo y el gas.</t>
    </r>
    <r>
      <rPr>
        <rFont val="Arial, sans-serif"/>
        <color rgb="FF1155CC"/>
        <sz val="12.0"/>
        <u/>
      </rPr>
      <t>.</t>
    </r>
    <r>
      <rPr>
        <rFont val="Arial, sans-serif"/>
        <color rgb="FF1155CC"/>
        <sz val="11.0"/>
        <u/>
      </rPr>
      <t>4 nov 2024</t>
    </r>
  </si>
  <si>
    <t>Trump vs Harris: lo que se juegan Iberdrola, Repsol y Naturgy en las elecciones de EE.UU.</t>
  </si>
  <si>
    <t>Las energéticas españolas cuentan con importantes inversiones en renovables, redes eléctricas o relacionadas con el petróleo y el gas.</t>
  </si>
  <si>
    <t>Trump vs Harris: what Iberdrola, Repsol and Naturgy are at stake in the US elections</t>
  </si>
  <si>
    <t>Spanish energy companies have significant investments in renewables, electrical networks or related to oil and gas.</t>
  </si>
  <si>
    <t>Politics and business</t>
  </si>
  <si>
    <t>Neutral as it assesses potential election impacts.</t>
  </si>
  <si>
    <t>Political risk.</t>
  </si>
  <si>
    <t>Riesgo político.</t>
  </si>
  <si>
    <r>
      <rPr>
        <rFont val="Arial, sans-serif"/>
        <color rgb="FF1155CC"/>
        <sz val="9.0"/>
        <u/>
      </rPr>
      <t>Consenso del Mercado</t>
    </r>
    <r>
      <rPr>
        <rFont val="Arial, sans-serif"/>
        <color rgb="FF1155CC"/>
        <sz val="15.0"/>
        <u/>
      </rPr>
      <t>Se reitera el EW en Repsol, que sigue dependiendo fuertemente de la evolución de los márgenes de refino</t>
    </r>
    <r>
      <rPr>
        <rFont val="Arial, sans-serif"/>
        <color rgb="FF1155CC"/>
        <sz val="11.0"/>
        <u/>
      </rPr>
      <t>Morgan Stanley | Martijn Rats repasa los resultados del sector. Las cinco majors han generado 16 Bn$ en el 3T, ligeramente por encima de una cifra de...</t>
    </r>
    <r>
      <rPr>
        <rFont val="Arial, sans-serif"/>
        <color rgb="FF1155CC"/>
        <sz val="12.0"/>
        <u/>
      </rPr>
      <t>.</t>
    </r>
    <r>
      <rPr>
        <rFont val="Arial, sans-serif"/>
        <color rgb="FF1155CC"/>
        <sz val="11.0"/>
        <u/>
      </rPr>
      <t>4 nov 2024</t>
    </r>
  </si>
  <si>
    <t>Se reitera el EW en Repsol, que sigue dependiendo fuertemente de la evolución de los márgenes de refino.</t>
  </si>
  <si>
    <t>The EW is reiterated at Repsol, which continues to depend heavily on the evolution of refining margins.</t>
  </si>
  <si>
    <t>refining margins, dependence</t>
  </si>
  <si>
    <t>márgenes de refinación, dependencia</t>
  </si>
  <si>
    <t>Slightly negative as it suggests operational vulnerability.</t>
  </si>
  <si>
    <t>Neutral financial note.</t>
  </si>
  <si>
    <t>Nota financiera neutral.</t>
  </si>
  <si>
    <r>
      <rPr>
        <rFont val="Arial, sans-serif"/>
        <color rgb="FF1155CC"/>
        <sz val="9.0"/>
        <u/>
      </rPr>
      <t>Guía Repsol</t>
    </r>
    <r>
      <rPr>
        <rFont val="Arial, sans-serif"/>
        <color rgb="FF1155CC"/>
        <sz val="15.0"/>
        <u/>
      </rPr>
      <t>Vive una romántica desconexión arropados por el Teide</t>
    </r>
    <r>
      <rPr>
        <rFont val="Arial, sans-serif"/>
        <color rgb="FF1155CC"/>
        <sz val="11.0"/>
        <u/>
      </rPr>
      <t>Rodeado de frondosos pinares, que se extienden como un mar boscoso en uno de los pocos municipios de Tenerife sin litoral costero, el hotel 'Villalba' (en...</t>
    </r>
    <r>
      <rPr>
        <rFont val="Arial, sans-serif"/>
        <color rgb="FF1155CC"/>
        <sz val="12.0"/>
        <u/>
      </rPr>
      <t>.</t>
    </r>
    <r>
      <rPr>
        <rFont val="Arial, sans-serif"/>
        <color rgb="FF1155CC"/>
        <sz val="11.0"/>
        <u/>
      </rPr>
      <t>4 nov 2024</t>
    </r>
  </si>
  <si>
    <t>Vive una romántica desconexión arropados por el Teide</t>
  </si>
  <si>
    <t>Rodeado de frondosos pinares, que se extienden como un mar boscoso en uno de los pocos municipios de Tenerife sin litoral costero, el hotel 'Villalba' (en....</t>
  </si>
  <si>
    <t>Live a romantic disconnection surrounded by Mount Teide</t>
  </si>
  <si>
    <t>Surrounded by lush pine forests, which extend like a wooded sea in one of the few municipalities of Tenerife without a coastal coast, the 'Villalba' hotel (in...</t>
  </si>
  <si>
    <r>
      <rPr>
        <rFont val="Arial, sans-serif"/>
        <color rgb="FF1155CC"/>
        <sz val="9.0"/>
        <u/>
      </rPr>
      <t>heraldo.es</t>
    </r>
    <r>
      <rPr>
        <rFont val="Arial, sans-serif"/>
        <color rgb="FF1155CC"/>
        <sz val="15.0"/>
        <u/>
      </rPr>
      <t>La Rebotica, el restaurante de Cariñena con un solete Repsol que sabe a hogar</t>
    </r>
    <r>
      <rPr>
        <rFont val="Arial, sans-serif"/>
        <color rgb="FF1155CC"/>
        <sz val="11.0"/>
        <u/>
      </rPr>
      <t>Cariñena es tierra de vinos y también de sensibilidad por la cocina, como demuestran en este restaurante.</t>
    </r>
    <r>
      <rPr>
        <rFont val="Arial, sans-serif"/>
        <color rgb="FF1155CC"/>
        <sz val="12.0"/>
        <u/>
      </rPr>
      <t>.</t>
    </r>
    <r>
      <rPr>
        <rFont val="Arial, sans-serif"/>
        <color rgb="FF1155CC"/>
        <sz val="11.0"/>
        <u/>
      </rPr>
      <t>4 nov 2024</t>
    </r>
  </si>
  <si>
    <t>La Rebotica, el restaurante de Cariñena con un solete Repsol que sabe a hogar</t>
  </si>
  <si>
    <t>Cariñena es tierra de vinos y también de sensibilidad por la cocina, como demuestran en este restaurante.</t>
  </si>
  <si>
    <t>La Rebotica, the Cariñena restaurant with a Repsol solete that tastes like home</t>
  </si>
  <si>
    <t>Cariñena is a land of wines and also of sensitivity to cuisine, as demonstrated in this restaurant.</t>
  </si>
  <si>
    <r>
      <rPr>
        <rFont val="Arial, sans-serif"/>
        <color rgb="FF1155CC"/>
        <sz val="9.0"/>
        <u/>
      </rPr>
      <t>El Cronista</t>
    </r>
    <r>
      <rPr>
        <rFont val="Arial, sans-serif"/>
        <color rgb="FF1155CC"/>
        <sz val="15.0"/>
        <u/>
      </rPr>
      <t>Repsol: así abre la cotización hoy lunes 04 de noviembre, ¿cuánto rinden los dividendos?</t>
    </r>
    <r>
      <rPr>
        <rFont val="Arial, sans-serif"/>
        <color rgb="FF1155CC"/>
        <sz val="11.0"/>
        <u/>
      </rPr>
      <t>En la apertura de mercados de este lunes, 4 de noviembre de 2024, en España, las acciones de la compañía de petróleo, gas y combustibles consumibles Repsol...</t>
    </r>
    <r>
      <rPr>
        <rFont val="Arial, sans-serif"/>
        <color rgb="FF1155CC"/>
        <sz val="12.0"/>
        <u/>
      </rPr>
      <t>.</t>
    </r>
    <r>
      <rPr>
        <rFont val="Arial, sans-serif"/>
        <color rgb="FF1155CC"/>
        <sz val="11.0"/>
        <u/>
      </rPr>
      <t>4 nov 2024</t>
    </r>
  </si>
  <si>
    <t>Repsol: así abre la cotización hoy lunes 04 de noviembre, ¿cuánto rinden los dividendos?</t>
  </si>
  <si>
    <t>En la apertura de mercados de este lunes, 4 de noviembre de 2024, en España, las acciones de la compañía de petróleo, gas y combustibles consumibles Repsol....</t>
  </si>
  <si>
    <t>Repsol: this is how trading opens today, Monday, November 4, how much do the dividends yield?</t>
  </si>
  <si>
    <t>At the market opening this Monday, November 4, 2024, in Spain, the shares of the oil, gas and consumable fuels company Repsol...</t>
  </si>
  <si>
    <t>Neutral as it reports market opening prices.</t>
  </si>
  <si>
    <r>
      <rPr>
        <rFont val="Arial, sans-serif"/>
        <color rgb="FF1155CC"/>
        <sz val="9.0"/>
        <u/>
      </rPr>
      <t>El Debate</t>
    </r>
    <r>
      <rPr>
        <rFont val="Arial, sans-serif"/>
        <color rgb="FF1155CC"/>
        <sz val="15.0"/>
        <u/>
      </rPr>
      <t>Llega a las gasolineras un nuevo combustible que promete salvar los coches diésel</t>
    </r>
    <r>
      <rPr>
        <rFont val="Arial, sans-serif"/>
        <color rgb="FF1155CC"/>
        <sz val="11.0"/>
        <u/>
      </rPr>
      <t>En la fabricación de esta familia de carburantes no interviene el petróleo, sino que se parte de residuos orgánicos para llegar hasta la misma molé...</t>
    </r>
    <r>
      <rPr>
        <rFont val="Arial, sans-serif"/>
        <color rgb="FF1155CC"/>
        <sz val="12.0"/>
        <u/>
      </rPr>
      <t>.</t>
    </r>
    <r>
      <rPr>
        <rFont val="Arial, sans-serif"/>
        <color rgb="FF1155CC"/>
        <sz val="11.0"/>
        <u/>
      </rPr>
      <t>4 nov 2024</t>
    </r>
  </si>
  <si>
    <t>Llega a las gasolineras un nuevo combustible que promete salvar los coches diésel</t>
  </si>
  <si>
    <t>En la fabricación de esta familia de carburantes no interviene el petróleo, sino que se parte de residuos orgánicos para llegar hasta la misma molé....</t>
  </si>
  <si>
    <t>A new fuel arrives at gas stations that promises to save diesel cars</t>
  </si>
  <si>
    <t>Petroleum is not involved in the manufacture of this family of fuels, but rather organic waste is used to reach the molecule itself...</t>
  </si>
  <si>
    <t>sustainable fuel, diesel cars</t>
  </si>
  <si>
    <t>combustible sostenible, coches diésel</t>
  </si>
  <si>
    <t>Positive as it highlights Repsol’s innovation in sustainability.</t>
  </si>
  <si>
    <t>Positive product innovation.</t>
  </si>
  <si>
    <t>Innovación positiva de productos.</t>
  </si>
  <si>
    <r>
      <rPr>
        <rFont val="Arial, sans-serif"/>
        <color rgb="FF1155CC"/>
        <sz val="9.0"/>
        <u/>
      </rPr>
      <t>Libre Mercado</t>
    </r>
    <r>
      <rPr>
        <rFont val="Arial, sans-serif"/>
        <color rgb="FF1155CC"/>
        <sz val="15.0"/>
        <u/>
      </rPr>
      <t>Estas son las empresas que más están ayudando por la DANA</t>
    </r>
    <r>
      <rPr>
        <rFont val="Arial, sans-serif"/>
        <color rgb="FF1155CC"/>
        <sz val="11.0"/>
        <u/>
      </rPr>
      <t>Debido a las consecuencias que ha provocado el temporal de la DANA, multitud de empresas se han volcado con la causa. Mercadona, Inditex o Repsol se...</t>
    </r>
    <r>
      <rPr>
        <rFont val="Arial, sans-serif"/>
        <color rgb="FF1155CC"/>
        <sz val="12.0"/>
        <u/>
      </rPr>
      <t>.</t>
    </r>
    <r>
      <rPr>
        <rFont val="Arial, sans-serif"/>
        <color rgb="FF1155CC"/>
        <sz val="11.0"/>
        <u/>
      </rPr>
      <t>4 nov 2024</t>
    </r>
  </si>
  <si>
    <t>Estas son las empresas que más están ayudando por la DANA</t>
  </si>
  <si>
    <t>Debido a las consecuencias que ha provocado el temporal de la DANA, multitud de empresas se han volcado con la causa. Mercadona, Inditex o Repsol se....</t>
  </si>
  <si>
    <t>These are the companies that are helping the most for DANA</t>
  </si>
  <si>
    <t>Due to the consequences caused by the DANA storm, many companies have dedicated themselves to the cause. Mercadona, Inditex or Repsol...</t>
  </si>
  <si>
    <t>CSR</t>
  </si>
  <si>
    <r>
      <rPr>
        <rFont val="Arial, sans-serif"/>
        <color rgb="FF1155CC"/>
        <sz val="9.0"/>
        <u/>
      </rPr>
      <t>El Español</t>
    </r>
    <r>
      <rPr>
        <rFont val="Arial, sans-serif"/>
        <color rgb="FF1155CC"/>
        <sz val="15.0"/>
        <u/>
      </rPr>
      <t>La batalla comercial de luz y gas arrebata a Iberdrola y Endesa 440.000 clientes en 2024</t>
    </r>
    <r>
      <rPr>
        <rFont val="Arial, sans-serif"/>
        <color rgb="FF1155CC"/>
        <sz val="11.0"/>
        <u/>
      </rPr>
      <t>Repsol incrementa un 11% sus usuarios en los nueve primeros meses del año, frente a las pérdidas del 1,2% y 2,7% de las líderes eléctricas.</t>
    </r>
    <r>
      <rPr>
        <rFont val="Arial, sans-serif"/>
        <color rgb="FF1155CC"/>
        <sz val="12.0"/>
        <u/>
      </rPr>
      <t>.</t>
    </r>
    <r>
      <rPr>
        <rFont val="Arial, sans-serif"/>
        <color rgb="FF1155CC"/>
        <sz val="11.0"/>
        <u/>
      </rPr>
      <t>4 nov 2024</t>
    </r>
  </si>
  <si>
    <t>La batalla comercial de luz y gas arrebata a Iberdrola y Endesa 440.000 clientes en 2024</t>
  </si>
  <si>
    <t>Repsol incrementa un 11% sus usuarios en los nueve primeros meses del año, frente a las pérdidas del 1,2% y 2,7% de las líderes eléctricas.</t>
  </si>
  <si>
    <t>The commercial battle for electricity and gas snatches 440,000 customers from Iberdrola and Endesa in 2024</t>
  </si>
  <si>
    <t>Repsol increases its users by 11% in the first nine months of the year, compared to losses of 1.2% and 2.7% for the electricity leaders.</t>
  </si>
  <si>
    <t>Market competition</t>
  </si>
  <si>
    <t>energy market, Repsol growth</t>
  </si>
  <si>
    <t>mercado energético, crecimiento de Repsol</t>
  </si>
  <si>
    <t>Positive as it reflects Repsol's market expansion.</t>
  </si>
  <si>
    <t>Mildly positive for Repsol’s market share.</t>
  </si>
  <si>
    <t>Ligeramente positivo para la cuota de mercado de Repsol.</t>
  </si>
  <si>
    <r>
      <rPr>
        <rFont val="Arial, sans-serif"/>
        <color rgb="FF1155CC"/>
        <sz val="9.0"/>
        <u/>
      </rPr>
      <t>Diari de Tarragona</t>
    </r>
    <r>
      <rPr>
        <rFont val="Arial, sans-serif"/>
        <color rgb="FF1155CC"/>
        <sz val="15.0"/>
        <u/>
      </rPr>
      <t>La petroquímica de Tarragona recupera la normalidad tras una noche intensa</t>
    </r>
    <r>
      <rPr>
        <rFont val="Arial, sans-serif"/>
        <color rgb="FF1155CC"/>
        <sz val="11.0"/>
        <u/>
      </rPr>
      <t>El polo petroquímico de Tarragona recupera su rutina esta tarde, que espera que sea completa a partir de mañana. Siguiendo las recomendaciones de Prot...</t>
    </r>
    <r>
      <rPr>
        <rFont val="Arial, sans-serif"/>
        <color rgb="FF1155CC"/>
        <sz val="12.0"/>
        <u/>
      </rPr>
      <t>.</t>
    </r>
    <r>
      <rPr>
        <rFont val="Arial, sans-serif"/>
        <color rgb="FF1155CC"/>
        <sz val="11.0"/>
        <u/>
      </rPr>
      <t>4 nov 2024</t>
    </r>
  </si>
  <si>
    <t>La petroquímica de Tarragona recupera la normalidad tras una noche intensa</t>
  </si>
  <si>
    <t>El polo petroquímico de Tarragona recupera su rutina esta tarde, que espera que sea completa a partir de mañana. Siguiendo las recomendaciones de Prot....</t>
  </si>
  <si>
    <t>The Tarragona petrochemical plant recovers normality after an intense night</t>
  </si>
  <si>
    <t>The petrochemical hub of Tarragona recovers its routine this afternoon, which it hopes will be complete starting tomorrow. Following the recommendations of Prot....</t>
  </si>
  <si>
    <t>Neutral as it reports industrial operations.</t>
  </si>
  <si>
    <r>
      <rPr>
        <rFont val="Arial, sans-serif"/>
        <color rgb="FF1155CC"/>
        <sz val="9.0"/>
        <u/>
      </rPr>
      <t>INFOREGION</t>
    </r>
    <r>
      <rPr>
        <rFont val="Arial, sans-serif"/>
        <color rgb="FF1155CC"/>
        <sz val="15.0"/>
        <u/>
      </rPr>
      <t>Equipo de Tingo María destaca en torneo de fútbol femenino sub 13</t>
    </r>
    <r>
      <rPr>
        <rFont val="Arial, sans-serif"/>
        <color rgb="FF1155CC"/>
        <sz val="11.0"/>
        <u/>
      </rPr>
      <t>El equipo AS Tingo María, liderado por el entrenador Jorge Huayanay, está participando en el Torneo Semillero Repsol de Fútbol Femenino Sub 13,...</t>
    </r>
    <r>
      <rPr>
        <rFont val="Arial, sans-serif"/>
        <color rgb="FF1155CC"/>
        <sz val="12.0"/>
        <u/>
      </rPr>
      <t>.</t>
    </r>
    <r>
      <rPr>
        <rFont val="Arial, sans-serif"/>
        <color rgb="FF1155CC"/>
        <sz val="11.0"/>
        <u/>
      </rPr>
      <t>4 nov 2024</t>
    </r>
  </si>
  <si>
    <t>Equipo de Tingo María destaca en torneo de fútbol femenino sub 13</t>
  </si>
  <si>
    <t>El equipo AS Tingo María, liderado por el entrenador Jorge Huayanay, está participando en el Torneo Semillero Repsol de Fútbol Femenino Sub 13,....</t>
  </si>
  <si>
    <t>Tingo María team stands out in under 13 women's soccer tournament</t>
  </si>
  <si>
    <t>The AS Tingo María team, led by coach Jorge Huayanay, is participating in the Repsol Under 13 Women's Soccer Tournament....</t>
  </si>
  <si>
    <r>
      <rPr>
        <rFont val="Arial, sans-serif"/>
        <color rgb="FF1155CC"/>
        <sz val="9.0"/>
        <u/>
      </rPr>
      <t>Reason Why</t>
    </r>
    <r>
      <rPr>
        <rFont val="Arial, sans-serif"/>
        <color rgb="FF1155CC"/>
        <sz val="15.0"/>
        <u/>
      </rPr>
      <t>Repsol facilita recursos materiales y humanos a Emergencias para ayudar ante la dana</t>
    </r>
    <r>
      <rPr>
        <rFont val="Arial, sans-serif"/>
        <color rgb="FF1155CC"/>
        <sz val="11.0"/>
        <u/>
      </rPr>
      <t>Repsol está colaborando desde la semana pasada con el Centro Coordinador de Emergencias de España aportando todos los medios disponibles que puedan servir...</t>
    </r>
    <r>
      <rPr>
        <rFont val="Arial, sans-serif"/>
        <color rgb="FF1155CC"/>
        <sz val="12.0"/>
        <u/>
      </rPr>
      <t>.</t>
    </r>
    <r>
      <rPr>
        <rFont val="Arial, sans-serif"/>
        <color rgb="FF1155CC"/>
        <sz val="11.0"/>
        <u/>
      </rPr>
      <t>5 nov 2024</t>
    </r>
  </si>
  <si>
    <t>Repsol facilita recursos materiales y humanos a Emergencias para ayudar ante la dana</t>
  </si>
  <si>
    <t>Repsol está colaborando desde la semana pasada con el Centro Coordinador de Emergencias de España aportando todos los medios disponibles que puedan servir.</t>
  </si>
  <si>
    <t>Repsol provides material and human resources to Emergencies to help with the damage</t>
  </si>
  <si>
    <t>Since last week, Repsol has been collaborating with the Spanish Emergency Coordination Center, providing all available means that may be useful.</t>
  </si>
  <si>
    <t>Repsol, disaster relief</t>
  </si>
  <si>
    <t>Repsol, ayuda en catástrofes</t>
  </si>
  <si>
    <t>Positive as it shows Repsol’s social contribution.</t>
  </si>
  <si>
    <t>Strong positive CSR.</t>
  </si>
  <si>
    <t>Fuerte RSC positiva.</t>
  </si>
  <si>
    <r>
      <rPr>
        <rFont val="Arial, sans-serif"/>
        <color rgb="FF1155CC"/>
        <sz val="9.0"/>
        <u/>
      </rPr>
      <t>Ideal</t>
    </r>
    <r>
      <rPr>
        <rFont val="Arial, sans-serif"/>
        <color rgb="FF1155CC"/>
        <sz val="15.0"/>
        <u/>
      </rPr>
      <t>Aviso de Repsol a conductores de coches diésel por un descuento en 580 gasolineras</t>
    </r>
    <r>
      <rPr>
        <rFont val="Arial, sans-serif"/>
        <color rgb="FF1155CC"/>
        <sz val="11.0"/>
        <u/>
      </rPr>
      <t>La cadena de gasolineras Repsol ha puesto a disposición de sus clientes un nuevo combustible. Se trata de un diésel renovable que ya está disponible en...</t>
    </r>
    <r>
      <rPr>
        <rFont val="Arial, sans-serif"/>
        <color rgb="FF1155CC"/>
        <sz val="12.0"/>
        <u/>
      </rPr>
      <t>.</t>
    </r>
    <r>
      <rPr>
        <rFont val="Arial, sans-serif"/>
        <color rgb="FF1155CC"/>
        <sz val="11.0"/>
        <u/>
      </rPr>
      <t>5 nov 2024</t>
    </r>
  </si>
  <si>
    <t>Aviso de Repsol a conductores de coches diésel por un descuento en 580 gasolineras</t>
  </si>
  <si>
    <t>La cadena de gasolineras Repsol ha puesto a disposición de sus clientes un nuevo combustible. Se trata de un diésel renovable que ya está disponible en....</t>
  </si>
  <si>
    <t>Repsol notice to drivers of diesel cars for a discount at 580 gas stations</t>
  </si>
  <si>
    <t>The Repsol gas station chain has made a new fuel available to its customers. It is a renewable diesel that is now available in....</t>
  </si>
  <si>
    <t>Customer incentives</t>
  </si>
  <si>
    <t>Repsol, diesel discount</t>
  </si>
  <si>
    <t>Repsol, descuento diésel</t>
  </si>
  <si>
    <t>Positive as it promotes customer benefits.</t>
  </si>
  <si>
    <t>Positive customer offer.</t>
  </si>
  <si>
    <t>Oferta positiva al cliente.</t>
  </si>
  <si>
    <r>
      <rPr>
        <rFont val="Arial, sans-serif"/>
        <color rgb="FF1155CC"/>
        <sz val="9.0"/>
        <u/>
      </rPr>
      <t>ABC</t>
    </r>
    <r>
      <rPr>
        <rFont val="Arial, sans-serif"/>
        <color rgb="FF1155CC"/>
        <sz val="15.0"/>
        <u/>
      </rPr>
      <t>Córdoba acogerá la entrega de los Soletes de la Guía Repsol de Otoño e Invierno</t>
    </r>
    <r>
      <rPr>
        <rFont val="Arial, sans-serif"/>
        <color rgb="FF1155CC"/>
        <sz val="11.0"/>
        <u/>
      </rPr>
      <t>La gala de la distinción más joven de esta guía, que ha premiado a 58 establecimientos en Córdoba, será el lunes 11 de noviembre.</t>
    </r>
    <r>
      <rPr>
        <rFont val="Arial, sans-serif"/>
        <color rgb="FF1155CC"/>
        <sz val="12.0"/>
        <u/>
      </rPr>
      <t>.</t>
    </r>
    <r>
      <rPr>
        <rFont val="Arial, sans-serif"/>
        <color rgb="FF1155CC"/>
        <sz val="11.0"/>
        <u/>
      </rPr>
      <t>5 nov 2024</t>
    </r>
  </si>
  <si>
    <t>Córdoba acogerá la entrega de los Soletes de la Guía Repsol de Otoño e Invierno</t>
  </si>
  <si>
    <t>La gala de la distinción más joven de esta guía, que ha premiado a 58 establecimientos en Córdoba, será el lunes 11 de noviembre.</t>
  </si>
  <si>
    <t>Córdoba will host the delivery of the Autumn and Winter Repsol Guide Soletes</t>
  </si>
  <si>
    <t>The gala for the youngest distinction in this guide, which has awarded 58 establishments in Córdoba, will be on Monday, November 11.</t>
  </si>
  <si>
    <r>
      <rPr>
        <rFont val="Arial, sans-serif"/>
        <color rgb="FF1155CC"/>
        <sz val="9.0"/>
        <u/>
      </rPr>
      <t>LaSexta</t>
    </r>
    <r>
      <rPr>
        <rFont val="Arial, sans-serif"/>
        <color rgb="FF1155CC"/>
        <sz val="15.0"/>
        <u/>
      </rPr>
      <t>Llega un nuevo combustible a las gasolineras que podría salvar al diésel</t>
    </r>
    <r>
      <rPr>
        <rFont val="Arial, sans-serif"/>
        <color rgb="FF1155CC"/>
        <sz val="11.0"/>
        <u/>
      </rPr>
      <t>Repsol ha creado un nuevo combustible sostenible que puede conseguir el mantenimiento del diésel más allá del 2035.</t>
    </r>
    <r>
      <rPr>
        <rFont val="Arial, sans-serif"/>
        <color rgb="FF1155CC"/>
        <sz val="12.0"/>
        <u/>
      </rPr>
      <t>.</t>
    </r>
    <r>
      <rPr>
        <rFont val="Arial, sans-serif"/>
        <color rgb="FF1155CC"/>
        <sz val="11.0"/>
        <u/>
      </rPr>
      <t>5 nov 2024</t>
    </r>
  </si>
  <si>
    <t>Llega un nuevo combustible a las gasolineras que podría salvar al diésel</t>
  </si>
  <si>
    <t>Repsol ha creado un nuevo combustible sostenible que puede conseguir el mantenimiento del diésel más allá del 2035.</t>
  </si>
  <si>
    <t>A new fuel arrives at gas stations that could save diesel</t>
  </si>
  <si>
    <t>Repsol has created a new sustainable fuel that can maintain diesel fuel beyond 2035.</t>
  </si>
  <si>
    <t>Repsol, sustainable fuel</t>
  </si>
  <si>
    <t>Repsol, combustible sostenible</t>
  </si>
  <si>
    <t>Positive as it highlights Repsol’s innovation in green energy.</t>
  </si>
  <si>
    <r>
      <rPr>
        <rFont val="Arial, sans-serif"/>
        <color rgb="FF1155CC"/>
        <sz val="9.0"/>
        <u/>
      </rPr>
      <t>Energías Renovables, el periodismo de las energías limpias.</t>
    </r>
    <r>
      <rPr>
        <rFont val="Arial, sans-serif"/>
        <color rgb="FF1155CC"/>
        <sz val="15.0"/>
        <u/>
      </rPr>
      <t>Estas son las compañías energéticas que han declarado 25.000 millones de euros de beneficio y no van a pagar el impuesto del 1,2%</t>
    </r>
    <r>
      <rPr>
        <rFont val="Arial, sans-serif"/>
        <color rgb="FF1155CC"/>
        <sz val="11.0"/>
        <u/>
      </rPr>
      <t>PNV y Junts alinean posiciones para derogar el impuesto a las energéticas tras las amenazas de deslocalización de de Repsol y Cepsa.</t>
    </r>
    <r>
      <rPr>
        <rFont val="Arial, sans-serif"/>
        <color rgb="FF1155CC"/>
        <sz val="12.0"/>
        <u/>
      </rPr>
      <t>.</t>
    </r>
    <r>
      <rPr>
        <rFont val="Arial, sans-serif"/>
        <color rgb="FF1155CC"/>
        <sz val="11.0"/>
        <u/>
      </rPr>
      <t>5 nov 2024</t>
    </r>
  </si>
  <si>
    <t>Estas son las compañías energéticas que han declarado 25.000 millones de euros de beneficio y no van a pagar el impuesto del 1,2%</t>
  </si>
  <si>
    <t>Estas son las compañías energéticas que han declarado 25.000 millones de euros de beneficio y no van a pagar el impuesto del 1,2%.</t>
  </si>
  <si>
    <t>These are the energy companies that have declared 25,000 million euros of profit and are not going to pay the 1.2% tax</t>
  </si>
  <si>
    <t>These are the energy companies that have declared 25,000 million euros of profit and are not going to pay the 1.2% tax.</t>
  </si>
  <si>
    <t>Taxation</t>
  </si>
  <si>
    <t>Repsol, tax</t>
  </si>
  <si>
    <t>Repsol, impuesto</t>
  </si>
  <si>
    <t>Slightly negative as it highlights tax-related controversy.</t>
  </si>
  <si>
    <r>
      <rPr>
        <rFont val="Arial, sans-serif"/>
        <color rgb="FF1155CC"/>
        <sz val="9.0"/>
        <u/>
      </rPr>
      <t>Transporte 3</t>
    </r>
    <r>
      <rPr>
        <rFont val="Arial, sans-serif"/>
        <color rgb="FF1155CC"/>
        <sz val="15.0"/>
        <u/>
      </rPr>
      <t>«Mi Solred ha evolucionado mucho este año»</t>
    </r>
    <r>
      <rPr>
        <rFont val="Arial, sans-serif"/>
        <color rgb="FF1155CC"/>
        <sz val="11.0"/>
        <u/>
      </rPr>
      <t>Entrevista con José Luis García Montes-Jovellar, Gerente SR Flotas B2B Movilidad de Repsol: "No hay mejor oferta que la de ofrecer...</t>
    </r>
    <r>
      <rPr>
        <rFont val="Arial, sans-serif"/>
        <color rgb="FF1155CC"/>
        <sz val="12.0"/>
        <u/>
      </rPr>
      <t>.</t>
    </r>
    <r>
      <rPr>
        <rFont val="Arial, sans-serif"/>
        <color rgb="FF1155CC"/>
        <sz val="11.0"/>
        <u/>
      </rPr>
      <t>5 nov 2024</t>
    </r>
  </si>
  <si>
    <t>«Mi Solred ha evolucionado mucho este año»</t>
  </si>
  <si>
    <t>Entrevista con José Luis García Montes-Jovellar, Gerente SR Flotas B2B Movilidad de Repsol: "No hay mejor oferta que la de ofrecer....</t>
  </si>
  <si>
    <t>«My Solred has evolved a lot this year»</t>
  </si>
  <si>
    <t>Interview with José Luis García Montes-Jovellar, SR Fleet Manager B2B Mobility at Repsol: "There is no better offer than to offer...</t>
  </si>
  <si>
    <t>Business operations</t>
  </si>
  <si>
    <r>
      <rPr>
        <rFont val="Arial, sans-serif"/>
        <color rgb="FF1155CC"/>
        <sz val="9.0"/>
        <u/>
      </rPr>
      <t>elDiario.es</t>
    </r>
    <r>
      <rPr>
        <rFont val="Arial, sans-serif"/>
        <color rgb="FF1155CC"/>
        <sz val="15.0"/>
        <u/>
      </rPr>
      <t>La Puerta del Puente de Córdoba acogerá la gala de entrega de los Soletes Repsol</t>
    </r>
    <r>
      <rPr>
        <rFont val="Arial, sans-serif"/>
        <color rgb="FF1155CC"/>
        <sz val="11.0"/>
        <u/>
      </rPr>
      <t>Por primera vez, Córdoba acogerá la gala de entrega de los Soletes Repsol. Será el próximo lunes 11 de noviembre en la Puerta del Puente, siendo esta gala,...</t>
    </r>
    <r>
      <rPr>
        <rFont val="Arial, sans-serif"/>
        <color rgb="FF1155CC"/>
        <sz val="12.0"/>
        <u/>
      </rPr>
      <t>.</t>
    </r>
    <r>
      <rPr>
        <rFont val="Arial, sans-serif"/>
        <color rgb="FF1155CC"/>
        <sz val="11.0"/>
        <u/>
      </rPr>
      <t>5 nov 2024</t>
    </r>
  </si>
  <si>
    <t>La Puerta del Puente de Córdoba acogerá la gala de entrega de los Soletes Repsol</t>
  </si>
  <si>
    <t>Por primera vez, Córdoba acogerá la gala de entrega de los Soletes Repsol. Será el próximo lunes 11 de noviembre en la Puerta del Puente, siendo esta gala,....</t>
  </si>
  <si>
    <t>The Puerta del Puente de Córdoba will host the Repsol Soletes award ceremony</t>
  </si>
  <si>
    <t>For the first time, Córdoba will host the Repsol Soletes award ceremony. It will be next Monday, November 11 at Puerta del Puente, this gala being....</t>
  </si>
  <si>
    <r>
      <rPr>
        <rFont val="Arial, sans-serif"/>
        <color rgb="FF1155CC"/>
        <sz val="9.0"/>
        <u/>
      </rPr>
      <t>20Minutos</t>
    </r>
    <r>
      <rPr>
        <rFont val="Arial, sans-serif"/>
        <color rgb="FF1155CC"/>
        <sz val="15.0"/>
        <u/>
      </rPr>
      <t>El restaurante con un Solete en la Guía Repsol que estrena kebab de cordero halal</t>
    </r>
    <r>
      <rPr>
        <rFont val="Arial, sans-serif"/>
        <color rgb="FF1155CC"/>
        <sz val="11.0"/>
        <u/>
      </rPr>
      <t>Además de sus colaboraciones habituales con grandes chefs del panorama local, Mómö ha añadido a su carta fija una nueva versión de su 'kebab not kebab': el...</t>
    </r>
    <r>
      <rPr>
        <rFont val="Arial, sans-serif"/>
        <color rgb="FF1155CC"/>
        <sz val="12.0"/>
        <u/>
      </rPr>
      <t>.</t>
    </r>
    <r>
      <rPr>
        <rFont val="Arial, sans-serif"/>
        <color rgb="FF1155CC"/>
        <sz val="11.0"/>
        <u/>
      </rPr>
      <t>5 nov 2024</t>
    </r>
  </si>
  <si>
    <t>El restaurante con un Solete en la Guía Repsol que estrena kebab de cordero halal</t>
  </si>
  <si>
    <t>Además de sus colaboraciones habituales con grandes chefs del panorama local, Mómö ha añadido a su carta fija una nueva versión de su 'kebab not kebab': el....</t>
  </si>
  <si>
    <t>The restaurant with a Solete in the Repsol Guide that debuts halal lamb kebab</t>
  </si>
  <si>
    <t>In addition to its usual collaborations with great chefs on the local scene, Mómö has added a new version of its 'kebab not kebab' to its fixed menu: the....</t>
  </si>
  <si>
    <r>
      <rPr>
        <rFont val="Arial, sans-serif"/>
        <color rgb="FF1155CC"/>
        <sz val="9.0"/>
        <u/>
      </rPr>
      <t>Merca2.es</t>
    </r>
    <r>
      <rPr>
        <rFont val="Arial, sans-serif"/>
        <color rgb="FF1155CC"/>
        <sz val="15.0"/>
        <u/>
      </rPr>
      <t>Repsol ya hace más productivos a sus empleados con la IA generativa</t>
    </r>
    <r>
      <rPr>
        <rFont val="Arial, sans-serif"/>
        <color rgb="FF1155CC"/>
        <sz val="11.0"/>
        <u/>
      </rPr>
      <t>Repsol decidió medir cuánto tiempo y trabajo se ahorraban sus empleados con la implantación de la IA generativa Copilot de Microsoft en sus centros de.</t>
    </r>
    <r>
      <rPr>
        <rFont val="Arial, sans-serif"/>
        <color rgb="FF1155CC"/>
        <sz val="12.0"/>
        <u/>
      </rPr>
      <t>.</t>
    </r>
    <r>
      <rPr>
        <rFont val="Arial, sans-serif"/>
        <color rgb="FF1155CC"/>
        <sz val="11.0"/>
        <u/>
      </rPr>
      <t>5 nov 2024</t>
    </r>
  </si>
  <si>
    <t>Repsol ya hace más productivos a sus empleados con la IA generativa</t>
  </si>
  <si>
    <t>Repsol decidió medir cuánto tiempo y trabajo se ahorraban sus empleados con la implantación de la IA generativa Copilot de Microsoft en sus centros de..</t>
  </si>
  <si>
    <t>Repsol already makes its employees more productive with generative AI</t>
  </si>
  <si>
    <t>Repsol decided to measure how much time and work its employees saved with the implementation of Microsoft's Copilot generative AI in its centers.</t>
  </si>
  <si>
    <t>Technology &amp; Innovation</t>
  </si>
  <si>
    <t>Repsol, AI productivity</t>
  </si>
  <si>
    <t>Repsol, Productividad en IA</t>
  </si>
  <si>
    <t>Positive as it highlights digital transformation.</t>
  </si>
  <si>
    <t>productivos</t>
  </si>
  <si>
    <t>Positive operational efficiency.</t>
  </si>
  <si>
    <t>Eficiencia operativa positiva.</t>
  </si>
  <si>
    <r>
      <rPr>
        <rFont val="Arial, sans-serif"/>
        <color rgb="FF1155CC"/>
        <sz val="9.0"/>
        <u/>
      </rPr>
      <t>La Razón</t>
    </r>
    <r>
      <rPr>
        <rFont val="Arial, sans-serif"/>
        <color rgb="FF1155CC"/>
        <sz val="15.0"/>
        <u/>
      </rPr>
      <t>Este es el nuevo combustible que llega a las gasolineras con la promesa de revitalizar los motores diésel</t>
    </r>
    <r>
      <rPr>
        <rFont val="Arial, sans-serif"/>
        <color rgb="FF1155CC"/>
        <sz val="11.0"/>
        <u/>
      </rPr>
      <t>El combustible se elabora a partir de materiales orgánicos, como aceites reutilizados, restos de cosechas y otros residuos vegetales.</t>
    </r>
    <r>
      <rPr>
        <rFont val="Arial, sans-serif"/>
        <color rgb="FF1155CC"/>
        <sz val="12.0"/>
        <u/>
      </rPr>
      <t>.</t>
    </r>
    <r>
      <rPr>
        <rFont val="Arial, sans-serif"/>
        <color rgb="FF1155CC"/>
        <sz val="11.0"/>
        <u/>
      </rPr>
      <t>5 nov 2024</t>
    </r>
  </si>
  <si>
    <t>Este es el nuevo combustible que llega a las gasolineras con la promesa de revitalizar los motores diésel</t>
  </si>
  <si>
    <t>El combustible se elabora a partir de materiales orgánicos, como aceites reutilizados, restos de cosechas y otros residuos vegetales.</t>
  </si>
  <si>
    <t>This is the new fuel that reaches gas stations with the promise of revitalizing diesel engines</t>
  </si>
  <si>
    <t>The fuel is made from organic materials, such as reused oils, crop remains and other plant residues.</t>
  </si>
  <si>
    <t>Repsol, biofuel</t>
  </si>
  <si>
    <t>Repsol, biocombustible</t>
  </si>
  <si>
    <r>
      <rPr>
        <rFont val="Arial, sans-serif"/>
        <color rgb="FF1155CC"/>
        <sz val="9.0"/>
        <u/>
      </rPr>
      <t>Estrategias de Inversión</t>
    </r>
    <r>
      <rPr>
        <rFont val="Arial, sans-serif"/>
        <color rgb="FF1155CC"/>
        <sz val="15.0"/>
        <u/>
      </rPr>
      <t>El Ibex 35 sube y aguanta los 11.800 puntos liderado por la petrolera Repsol y Bankinter</t>
    </r>
    <r>
      <rPr>
        <rFont val="Arial, sans-serif"/>
        <color rgb="FF1155CC"/>
        <sz val="11.0"/>
        <u/>
      </rPr>
      <t>Media sesión del Ibex 35. Avances, por encima de los 11.800 antes de las elecciones en EEUU. Más alcistas: Bankinter y Repsol.</t>
    </r>
    <r>
      <rPr>
        <rFont val="Arial, sans-serif"/>
        <color rgb="FF1155CC"/>
        <sz val="12.0"/>
        <u/>
      </rPr>
      <t>.</t>
    </r>
    <r>
      <rPr>
        <rFont val="Arial, sans-serif"/>
        <color rgb="FF1155CC"/>
        <sz val="11.0"/>
        <u/>
      </rPr>
      <t>5 nov 2024</t>
    </r>
  </si>
  <si>
    <t>El Ibex 35 sube y aguanta los 11.800 puntos liderado por la petrolera Repsol y Bankinter</t>
  </si>
  <si>
    <t>Avances, por encima de los 11.800 antes de las elecciones en EEUU. Más alcistas: Bankinter y Repsol.</t>
  </si>
  <si>
    <t>The Ibex 35 rises and holds 11,800 points led by the oil company Repsol and Bankinter</t>
  </si>
  <si>
    <t>Advances, above 11,800 before the US elections. More bullish: Bankinter and Repsol.</t>
  </si>
  <si>
    <t>Ibex 35, Repsol growth</t>
  </si>
  <si>
    <t>Ibex 35, Crecimiento de Repsol</t>
  </si>
  <si>
    <t>Positive as it indicates stock performance improvement.</t>
  </si>
  <si>
    <t>sube</t>
  </si>
  <si>
    <r>
      <rPr>
        <rFont val="Arial, sans-serif"/>
        <color rgb="FF1155CC"/>
        <sz val="9.0"/>
        <u/>
      </rPr>
      <t>El Cronista</t>
    </r>
    <r>
      <rPr>
        <rFont val="Arial, sans-serif"/>
        <color rgb="FF1155CC"/>
        <sz val="15.0"/>
        <u/>
      </rPr>
      <t>Dónde comer en ASTURIAS: la mejor FABADA de la región está en un restaurante que tiene una ESTRELLA MICHELIN y</t>
    </r>
    <r>
      <rPr>
        <rFont val="Arial, sans-serif"/>
        <color rgb="FF1155CC"/>
        <sz val="11.0"/>
        <u/>
      </rPr>
      <t>La popularidad de este local de Asturias se debe a la calidad de sus platillos, pero también a que es uno de los más antiguos de toda España.</t>
    </r>
    <r>
      <rPr>
        <rFont val="Arial, sans-serif"/>
        <color rgb="FF1155CC"/>
        <sz val="12.0"/>
        <u/>
      </rPr>
      <t>.</t>
    </r>
    <r>
      <rPr>
        <rFont val="Arial, sans-serif"/>
        <color rgb="FF1155CC"/>
        <sz val="11.0"/>
        <u/>
      </rPr>
      <t>5 nov 2024</t>
    </r>
  </si>
  <si>
    <t>Dónde comer en ASTURIAS: la mejor FABADA de la región está en un restaurante que tiene una ESTRELLA MICHELIN</t>
  </si>
  <si>
    <t>La popularidad de este local de Asturias se debe a la calidad de sus platillos, pero también a que es uno de los más antiguos de toda España.</t>
  </si>
  <si>
    <t>Where to eat in ASTURIAS: the best FABADA in the region is in a restaurant that has a MICHELIN STAR</t>
  </si>
  <si>
    <t>The popularity of this place in Asturias is due to the quality of its dishes, but also because it is one of the oldest in all of Spain.</t>
  </si>
  <si>
    <r>
      <rPr>
        <rFont val="Arial, sans-serif"/>
        <color rgb="FF1155CC"/>
        <sz val="9.0"/>
        <u/>
      </rPr>
      <t>Granada Hoy</t>
    </r>
    <r>
      <rPr>
        <rFont val="Arial, sans-serif"/>
        <color rgb="FF1155CC"/>
        <sz val="15.0"/>
        <u/>
      </rPr>
      <t>Lo afirman los expertos: estos son los mejores bares y tascas de Granada para comer y beber</t>
    </r>
    <r>
      <rPr>
        <rFont val="Arial, sans-serif"/>
        <color rgb="FF1155CC"/>
        <sz val="11.0"/>
        <u/>
      </rPr>
      <t>Los 19 bares y tabernas reconocidos con un Solete Repsol son una guía esencial de dónde tapear en la ciudad.</t>
    </r>
    <r>
      <rPr>
        <rFont val="Arial, sans-serif"/>
        <color rgb="FF1155CC"/>
        <sz val="12.0"/>
        <u/>
      </rPr>
      <t>.</t>
    </r>
    <r>
      <rPr>
        <rFont val="Arial, sans-serif"/>
        <color rgb="FF1155CC"/>
        <sz val="11.0"/>
        <u/>
      </rPr>
      <t>5 nov 2024</t>
    </r>
  </si>
  <si>
    <t>Lo afirman los expertos: estos son los mejores bares y tascas de Granada para comer y beber</t>
  </si>
  <si>
    <t>Los 19 bares y tabernas reconocidos con un Solete Repsol son una guía esencial de dónde tapear en la ciudad.</t>
  </si>
  <si>
    <t>Experts say: these are the best bars and taverns in Granada to eat and drink</t>
  </si>
  <si>
    <t>The 19 bars and taverns recognized with a Solete Repsol are an essential guide to where to have tapas in the city.</t>
  </si>
  <si>
    <r>
      <rPr>
        <rFont val="Arial, sans-serif"/>
        <color rgb="FF1155CC"/>
        <sz val="9.0"/>
        <u/>
      </rPr>
      <t>ABC</t>
    </r>
    <r>
      <rPr>
        <rFont val="Arial, sans-serif"/>
        <color rgb="FF1155CC"/>
        <sz val="15.0"/>
        <u/>
      </rPr>
      <t>Córdoba se convierte en la capital gastronómica con la entrega de los Soletes de Guía Repsol</t>
    </r>
    <r>
      <rPr>
        <rFont val="Arial, sans-serif"/>
        <color rgb="FF1155CC"/>
        <sz val="11.0"/>
        <u/>
      </rPr>
      <t>Una distinción que reconoce a los establecimientos -cafeterías, restaurantes, vinotecas, bares- que recomendarías a un amigo y a los que siempre quieres...</t>
    </r>
    <r>
      <rPr>
        <rFont val="Arial, sans-serif"/>
        <color rgb="FF1155CC"/>
        <sz val="12.0"/>
        <u/>
      </rPr>
      <t>.</t>
    </r>
    <r>
      <rPr>
        <rFont val="Arial, sans-serif"/>
        <color rgb="FF1155CC"/>
        <sz val="11.0"/>
        <u/>
      </rPr>
      <t>5 nov 2024</t>
    </r>
  </si>
  <si>
    <t>Córdoba se convierte en la capital gastronómica con la entrega de los Soletes de Guía Repsol</t>
  </si>
  <si>
    <t>Una distinción que reconoce a los establecimientos -cafeterías, restaurantes, vinotecas, bares- que recomendarías a un amigo y a los que siempre quieres.</t>
  </si>
  <si>
    <t>Córdoba becomes the gastronomic capital with the delivery of the Repsol Guide Soletes</t>
  </si>
  <si>
    <t>A distinction that recognizes establishments - cafes, restaurants, wine bars, bars - that you would recommend to a friend and those you always love.</t>
  </si>
  <si>
    <r>
      <rPr>
        <rFont val="Arial, sans-serif"/>
        <color rgb="FF1155CC"/>
        <sz val="9.0"/>
        <u/>
      </rPr>
      <t>20Minutos</t>
    </r>
    <r>
      <rPr>
        <rFont val="Arial, sans-serif"/>
        <color rgb="FF1155CC"/>
        <sz val="15.0"/>
        <u/>
      </rPr>
      <t>Los 'butaneros' que llevan las bombonas a seis millones de españoles están en huelga: qué piden a las petroleras... y al Gobierno</t>
    </r>
    <r>
      <rPr>
        <rFont val="Arial, sans-serif"/>
        <color rgb="FF1155CC"/>
        <sz val="11.0"/>
        <u/>
      </rPr>
      <t>Los butaneros están en huelga. Los encargados de llevar las pesadas bombonas de butano a los hogares han iniciado este martes una serie de paros con los que...</t>
    </r>
    <r>
      <rPr>
        <rFont val="Arial, sans-serif"/>
        <color rgb="FF1155CC"/>
        <sz val="12.0"/>
        <u/>
      </rPr>
      <t>.</t>
    </r>
    <r>
      <rPr>
        <rFont val="Arial, sans-serif"/>
        <color rgb="FF1155CC"/>
        <sz val="11.0"/>
        <u/>
      </rPr>
      <t>5 nov 2024</t>
    </r>
  </si>
  <si>
    <t>Los 'butaneros' que llevan las bombonas a seis millones de españoles están en huelga: qué piden a las petroleras... y al Gobierno</t>
  </si>
  <si>
    <t>Los butaneros están en huelga. Los encargados de llevar las pesadas bombonas de butano a los hogares han iniciado este martes una serie de paros con los que....</t>
  </si>
  <si>
    <t>The 'butaneros' who deliver cylinders to six million Spaniards are on strike: what do they ask of the oil companies... and the Government</t>
  </si>
  <si>
    <t>The butan workers are on strike. Those in charge of carrying the heavy butane cylinders to homes have started a series of strikes this Tuesday with which...</t>
  </si>
  <si>
    <t>Labor disputes</t>
  </si>
  <si>
    <t>Repsol, butane strike</t>
  </si>
  <si>
    <t>Repsol, huelga de butano</t>
  </si>
  <si>
    <t>Negative as it reflects tensions between workers and oil companies.</t>
  </si>
  <si>
    <t>Labor conflict.</t>
  </si>
  <si>
    <t>Conflicto laboral.</t>
  </si>
  <si>
    <r>
      <rPr>
        <rFont val="Arial, sans-serif"/>
        <color rgb="FF1155CC"/>
        <sz val="9.0"/>
        <u/>
      </rPr>
      <t>El Día de Córdoba</t>
    </r>
    <r>
      <rPr>
        <rFont val="Arial, sans-serif"/>
        <color rgb="FF1155CC"/>
        <sz val="15.0"/>
        <u/>
      </rPr>
      <t>La lista completa de Soles, Soletes y Recomendados por la Guía Repsol en Córdoba</t>
    </r>
    <r>
      <rPr>
        <rFont val="Arial, sans-serif"/>
        <color rgb="FF1155CC"/>
        <sz val="11.0"/>
        <u/>
      </rPr>
      <t>Los establecimientos de la capital y los pueblos que enarbolan la bandera del mejor patrimonio gastronómico.</t>
    </r>
    <r>
      <rPr>
        <rFont val="Arial, sans-serif"/>
        <color rgb="FF1155CC"/>
        <sz val="12.0"/>
        <u/>
      </rPr>
      <t>.</t>
    </r>
    <r>
      <rPr>
        <rFont val="Arial, sans-serif"/>
        <color rgb="FF1155CC"/>
        <sz val="11.0"/>
        <u/>
      </rPr>
      <t>6 nov 2024</t>
    </r>
  </si>
  <si>
    <t>La lista completa de Soles, Soletes y Recomendados por la Guía Repsol en Córdoba</t>
  </si>
  <si>
    <t>Los establecimientos de la capital y los pueblos que enarbolan la bandera del mejor patrimonio gastronómico.</t>
  </si>
  <si>
    <t>The complete list of Soles, Soletes and Recommended by the Repsol Guide in Córdoba</t>
  </si>
  <si>
    <t>The establishments of the capital and the towns that fly the flag of the best gastronomic heritage.</t>
  </si>
  <si>
    <r>
      <rPr>
        <rFont val="Arial, sans-serif"/>
        <color rgb="FF1155CC"/>
        <sz val="9.0"/>
        <u/>
      </rPr>
      <t>La Tribuna de Ciudad Real</t>
    </r>
    <r>
      <rPr>
        <rFont val="Arial, sans-serif"/>
        <color rgb="FF1155CC"/>
        <sz val="15.0"/>
        <u/>
      </rPr>
      <t>La plantilla de Repsol Lubricantes y Asfaltos prosigue la huelga indefinida en Puertollano</t>
    </r>
    <r>
      <rPr>
        <rFont val="Arial, sans-serif"/>
        <color rgb="FF1155CC"/>
        <sz val="11.0"/>
        <u/>
      </rPr>
      <t>Según informa el comité de empresa en una nota, Repsol ha "ratificado" su negativa a negociar con el comité de empresa, "bloqueando la negociación y...</t>
    </r>
    <r>
      <rPr>
        <rFont val="Arial, sans-serif"/>
        <color rgb="FF1155CC"/>
        <sz val="12.0"/>
        <u/>
      </rPr>
      <t>.</t>
    </r>
    <r>
      <rPr>
        <rFont val="Arial, sans-serif"/>
        <color rgb="FF1155CC"/>
        <sz val="11.0"/>
        <u/>
      </rPr>
      <t>6 nov 2024</t>
    </r>
  </si>
  <si>
    <t>La plantilla de Repsol Lubricantes y Asfaltos prosigue la huelga indefinida en Puertollano</t>
  </si>
  <si>
    <t>La plantilla de Repsol Lubricantes y Asfaltos prosigue la huelga indefinida en Puertollano. Según informa el comité de empresa en una nota, Repsol ha "ratificado" su negativa a negociar con el comité de empresa, "bloqueando la negociación y....</t>
  </si>
  <si>
    <t>The Repsol Lubricantes y Asfaltos staff continues the indefinite strike in Puertollano</t>
  </si>
  <si>
    <t>The Repsol Lubricantes y Asfaltos workforce continues the indefinite strike in Puertollano. As reported by the works council in a note, Repsol has "ratified" its refusal to negotiate with the works council, "blocking the negotiation and...</t>
  </si>
  <si>
    <t>Repsol, Puertollano strike</t>
  </si>
  <si>
    <t>Repsol, huelga de Puertollano</t>
  </si>
  <si>
    <t>Negative as it reports ongoing labor conflicts.</t>
  </si>
  <si>
    <t>Ongoing labor conflict.</t>
  </si>
  <si>
    <t>Conflicto laboral en curso.</t>
  </si>
  <si>
    <r>
      <rPr>
        <rFont val="Arial, sans-serif"/>
        <color rgb="FF1155CC"/>
        <sz val="9.0"/>
        <u/>
      </rPr>
      <t>Camión Actualidad</t>
    </r>
    <r>
      <rPr>
        <rFont val="Arial, sans-serif"/>
        <color rgb="FF1155CC"/>
        <sz val="15.0"/>
        <u/>
      </rPr>
      <t>Repsol presenta su nuevo diésel Nexa 100% renovable en sus estaciones de servicio</t>
    </r>
    <r>
      <rPr>
        <rFont val="Arial, sans-serif"/>
        <color rgb="FF1155CC"/>
        <sz val="11.0"/>
        <u/>
      </rPr>
      <t>Repsol ha lanzado Diésel Nexa 100% renovable, un combustible premium diseñado para motores diésel de todo tipo. Este nuevo producto de diésel renovable...</t>
    </r>
    <r>
      <rPr>
        <rFont val="Arial, sans-serif"/>
        <color rgb="FF1155CC"/>
        <sz val="12.0"/>
        <u/>
      </rPr>
      <t>.</t>
    </r>
    <r>
      <rPr>
        <rFont val="Arial, sans-serif"/>
        <color rgb="FF1155CC"/>
        <sz val="11.0"/>
        <u/>
      </rPr>
      <t>6 nov 2024</t>
    </r>
  </si>
  <si>
    <t>Camión Actualidad</t>
  </si>
  <si>
    <t>Repsol presenta su nuevo diésel Nexa 100% renovable en sus estaciones de servicio</t>
  </si>
  <si>
    <t>Repsol ha lanzado Diésel Nexa 100% renovable, un combustible premium diseñado para motores diésel de todo tipo. Este nuevo producto de diésel renovable....</t>
  </si>
  <si>
    <t>Repsol presents its new 100% renewable Nexa diesel at its service stations</t>
  </si>
  <si>
    <t>Repsol has launched 100% renewable Nexa Diesel, a premium fuel designed for diesel engines of all types. This new renewable diesel product...</t>
  </si>
  <si>
    <t>Repsol, renewable diesel</t>
  </si>
  <si>
    <t>Repsol, diésel renovable</t>
  </si>
  <si>
    <t>nuevo, "renovable"</t>
  </si>
  <si>
    <t>Strong positive innovation.</t>
  </si>
  <si>
    <t>Fuerte innovación positiva.</t>
  </si>
  <si>
    <r>
      <rPr>
        <rFont val="Arial, sans-serif"/>
        <color rgb="FF1155CC"/>
        <sz val="9.0"/>
        <u/>
      </rPr>
      <t>20Minutos</t>
    </r>
    <r>
      <rPr>
        <rFont val="Arial, sans-serif"/>
        <color rgb="FF1155CC"/>
        <sz val="15.0"/>
        <u/>
      </rPr>
      <t>Repsol presenta su revolucionario combustible, ¿qué características tiene?</t>
    </r>
    <r>
      <rPr>
        <rFont val="Arial, sans-serif"/>
        <color rgb="FF1155CC"/>
        <sz val="11.0"/>
        <u/>
      </rPr>
      <t>La petrolera ha anunciado que ya se puede repostar su nuevo carburante, el diésel Nexa 100%, que es renovable, en algunas de sus estaciones de servicio que...</t>
    </r>
    <r>
      <rPr>
        <rFont val="Arial, sans-serif"/>
        <color rgb="FF1155CC"/>
        <sz val="12.0"/>
        <u/>
      </rPr>
      <t>.</t>
    </r>
    <r>
      <rPr>
        <rFont val="Arial, sans-serif"/>
        <color rgb="FF1155CC"/>
        <sz val="11.0"/>
        <u/>
      </rPr>
      <t>6 nov 2024</t>
    </r>
  </si>
  <si>
    <t>Repsol presenta su revolucionario combustible, ¿qué características tiene?</t>
  </si>
  <si>
    <t>La petrolera ha anunciado que ya se puede repostar su nuevo carburante, el diésel Nexa 100%, que es renovable, en algunas de sus estaciones de servicio que....</t>
  </si>
  <si>
    <t>Repsol presents its revolutionary fuel, what characteristics does it have?</t>
  </si>
  <si>
    <t>The oil company has announced that its new fuel, 100% Nexa diesel, which is renewable, can now be refueled at some of its service stations that...</t>
  </si>
  <si>
    <t>Positive as it promotes green fuel technology.</t>
  </si>
  <si>
    <t>revolucionario</t>
  </si>
  <si>
    <r>
      <rPr>
        <rFont val="Arial, sans-serif"/>
        <color rgb="FF1155CC"/>
        <sz val="9.0"/>
        <u/>
      </rPr>
      <t>Lanza Digital</t>
    </r>
    <r>
      <rPr>
        <rFont val="Arial, sans-serif"/>
        <color rgb="FF1155CC"/>
        <sz val="15.0"/>
        <u/>
      </rPr>
      <t>Los equipos y la mano de obra del complejo industrial de Repsol Puertollano trabajan en Valencia</t>
    </r>
    <r>
      <rPr>
        <rFont val="Arial, sans-serif"/>
        <color rgb="FF1155CC"/>
        <sz val="11.0"/>
        <u/>
      </rPr>
      <t>Operarios de seguridad de SESEMA en el complejo de Puertollano se han desplazado, en sus descansos, hasta Valencia para colaborar en la zona cero de esta...</t>
    </r>
    <r>
      <rPr>
        <rFont val="Arial, sans-serif"/>
        <color rgb="FF1155CC"/>
        <sz val="12.0"/>
        <u/>
      </rPr>
      <t>.</t>
    </r>
    <r>
      <rPr>
        <rFont val="Arial, sans-serif"/>
        <color rgb="FF1155CC"/>
        <sz val="11.0"/>
        <u/>
      </rPr>
      <t>6 nov 2024</t>
    </r>
  </si>
  <si>
    <t>Los equipos y la mano de obra del complejo industrial de Repsol Puertollano trabajan en Valencia</t>
  </si>
  <si>
    <t>Operarios de seguridad de SESEMA en el complejo de Puertollano se han desplazado, en sus descansos, hasta Valencia para colaborar en la zona cero de esta....</t>
  </si>
  <si>
    <t>The equipment and labor of the Repsol Puertollano industrial complex work in Valencia</t>
  </si>
  <si>
    <t>SESEMA security operators in the Puertollano complex have traveled, during their breaks, to Valencia to collaborate at ground zero of this...</t>
  </si>
  <si>
    <t>Repsol, Valencia emergency</t>
  </si>
  <si>
    <t>Repsol, Emergencia Valencia</t>
  </si>
  <si>
    <t>Positive as it shows Repsol’s corporate social responsibility efforts.</t>
  </si>
  <si>
    <t>trabajan, "ayuda"</t>
  </si>
  <si>
    <t>Positive CSR during crisis.</t>
  </si>
  <si>
    <t>RSC positiva durante la crisis.</t>
  </si>
  <si>
    <r>
      <rPr>
        <rFont val="Arial, sans-serif"/>
        <color rgb="FF1155CC"/>
        <sz val="9.0"/>
        <u/>
      </rPr>
      <t>BioEconomia.info</t>
    </r>
    <r>
      <rPr>
        <rFont val="Arial, sans-serif"/>
        <color rgb="FF1155CC"/>
        <sz val="15.0"/>
        <u/>
      </rPr>
      <t>Un biocombustible ultrabajo en carbono de Repsol revoluciona las rutas de la Península Ibérica</t>
    </r>
    <r>
      <rPr>
        <rFont val="Arial, sans-serif"/>
        <color rgb="FF1155CC"/>
        <sz val="11.0"/>
        <u/>
      </rPr>
      <t>Repsol ha lanzado su combustible Diésel Nexa 100% renovable, una alternativa premium producida a partir de residuos orgánicos que reduce hasta en un 90% las...</t>
    </r>
    <r>
      <rPr>
        <rFont val="Arial, sans-serif"/>
        <color rgb="FF1155CC"/>
        <sz val="12.0"/>
        <u/>
      </rPr>
      <t>.</t>
    </r>
    <r>
      <rPr>
        <rFont val="Arial, sans-serif"/>
        <color rgb="FF1155CC"/>
        <sz val="11.0"/>
        <u/>
      </rPr>
      <t>6 nov 2024</t>
    </r>
  </si>
  <si>
    <t>Un biocombustible ultrabajo en carbono de Repsol revoluciona las rutas de la Península Ibérica</t>
  </si>
  <si>
    <t>Repsol ha lanzado su combustible Diésel Nexa 100% renovable, una alternativa premium producida a partir de residuos orgánicos que reduce hasta en un 90% las....</t>
  </si>
  <si>
    <t>An ultra-low carbon biofuel from Repsol revolutionizes the routes of the Iberian Peninsula</t>
  </si>
  <si>
    <t>Repsol has launched its 100% renewable Nexa Diesel fuel, a premium alternative produced from organic waste that reduces emissions by up to 90%....</t>
  </si>
  <si>
    <t>Repsol, low-carbon fuel</t>
  </si>
  <si>
    <t>Repsol, combustible bajo en carbono</t>
  </si>
  <si>
    <t>revoluciona</t>
  </si>
  <si>
    <t>Major sustainability innovation.</t>
  </si>
  <si>
    <t>Gran innovación en materia de sostenibilidad.</t>
  </si>
  <si>
    <r>
      <rPr>
        <rFont val="Arial, sans-serif"/>
        <color rgb="FF1155CC"/>
        <sz val="9.0"/>
        <u/>
      </rPr>
      <t>Andaluciainforma</t>
    </r>
    <r>
      <rPr>
        <rFont val="Arial, sans-serif"/>
        <color rgb="FF1155CC"/>
        <sz val="15.0"/>
        <u/>
      </rPr>
      <t>Comienza a comercializarse el nuevo combustible que salvará a los vehículos diésel</t>
    </r>
    <r>
      <rPr>
        <rFont val="Arial, sans-serif"/>
        <color rgb="FF1155CC"/>
        <sz val="11.0"/>
        <u/>
      </rPr>
      <t>Repsol presenta Diésel Nexa: un nuevo combustible 100 % renovable que dará una nueva vida a todos los vehículos diésel.</t>
    </r>
    <r>
      <rPr>
        <rFont val="Arial, sans-serif"/>
        <color rgb="FF1155CC"/>
        <sz val="12.0"/>
        <u/>
      </rPr>
      <t>.</t>
    </r>
    <r>
      <rPr>
        <rFont val="Arial, sans-serif"/>
        <color rgb="FF1155CC"/>
        <sz val="11.0"/>
        <u/>
      </rPr>
      <t>6 nov 2024</t>
    </r>
  </si>
  <si>
    <t>Andaluciainforma</t>
  </si>
  <si>
    <t>Comienza a comercializarse el nuevo combustible que salvará a los vehículos diésel</t>
  </si>
  <si>
    <t>Repsol presenta Diésel Nexa: un nuevo combustible 100 % renovable que dará una nueva vida a todos los vehículos diésel.</t>
  </si>
  <si>
    <t>The new fuel that will save diesel vehicles begins to be marketed</t>
  </si>
  <si>
    <t>Repsol presents Nexa Diesel: a new 100% renewable fuel that will give a new life to all diesel vehicles.</t>
  </si>
  <si>
    <t>Repsol, renewable fuel</t>
  </si>
  <si>
    <t>Repsol, combustible renovable</t>
  </si>
  <si>
    <t>Positive as it supports sustainable energy.</t>
  </si>
  <si>
    <t>nuevo, "salvará"</t>
  </si>
  <si>
    <t>Positive product impact.</t>
  </si>
  <si>
    <t>Impacto positivo del producto.</t>
  </si>
  <si>
    <r>
      <rPr>
        <rFont val="Arial, sans-serif"/>
        <color rgb="FF1155CC"/>
        <sz val="9.0"/>
        <u/>
      </rPr>
      <t>Motor16</t>
    </r>
    <r>
      <rPr>
        <rFont val="Arial, sans-serif"/>
        <color rgb="FF1155CC"/>
        <sz val="15.0"/>
        <u/>
      </rPr>
      <t>El nuevo diésel de Repsol que reduce el 90% de las emisiones y tiene 10 céntimos de descuento por litro</t>
    </r>
    <r>
      <rPr>
        <rFont val="Arial, sans-serif"/>
        <color rgb="FF1155CC"/>
        <sz val="11.0"/>
        <u/>
      </rPr>
      <t>Repsol acaba de anunciar el nuevo nombre comercial que recibe su combustible diésel 100% renovable, que cuenta con una formulación exclusiva para optimizar.</t>
    </r>
    <r>
      <rPr>
        <rFont val="Arial, sans-serif"/>
        <color rgb="FF1155CC"/>
        <sz val="12.0"/>
        <u/>
      </rPr>
      <t>.</t>
    </r>
    <r>
      <rPr>
        <rFont val="Arial, sans-serif"/>
        <color rgb="FF1155CC"/>
        <sz val="11.0"/>
        <u/>
      </rPr>
      <t>6 nov 2024</t>
    </r>
  </si>
  <si>
    <t>El nuevo diésel de Repsol que reduce el 90% de las emisiones y tiene 10 céntimos de descuento por litro</t>
  </si>
  <si>
    <t>Repsol acaba de anunciar el nuevo nombre comercial que recibe su combustible diésel 100% renovable, que cuenta con una formulación exclusiva para optimizar..</t>
  </si>
  <si>
    <t>The new Repsol diesel that reduces 90% of emissions and has a 10 cent discount per liter</t>
  </si>
  <si>
    <t>Repsol has just announced the new commercial name for its 100% renewable diesel fuel, which has an exclusive formulation to optimize...</t>
  </si>
  <si>
    <t>Positive as it promotes clean energy innovation.</t>
  </si>
  <si>
    <t>reduce, "descuento"</t>
  </si>
  <si>
    <t>Strong positive innovation and offer.</t>
  </si>
  <si>
    <t>Fuerte innovación y oferta positiva.</t>
  </si>
  <si>
    <r>
      <rPr>
        <rFont val="Arial, sans-serif"/>
        <color rgb="FF1155CC"/>
        <sz val="9.0"/>
        <u/>
      </rPr>
      <t>Diario Sur</t>
    </r>
    <r>
      <rPr>
        <rFont val="Arial, sans-serif"/>
        <color rgb="FF1155CC"/>
        <sz val="15.0"/>
        <u/>
      </rPr>
      <t>Restaurante Lacaliza de Rincón de la Victoria: Kilómetro 0 y buenas vistas</t>
    </r>
    <r>
      <rPr>
        <rFont val="Arial, sans-serif"/>
        <color rgb="FF1155CC"/>
        <sz val="11.0"/>
        <u/>
      </rPr>
      <t>En el local de Óscar Delgado y Conchi García se pueden degustar pescados de la lonja de Caleta de Vélez, verduras de la Axarquía, jamones exquisitos y...</t>
    </r>
    <r>
      <rPr>
        <rFont val="Arial, sans-serif"/>
        <color rgb="FF1155CC"/>
        <sz val="12.0"/>
        <u/>
      </rPr>
      <t>.</t>
    </r>
    <r>
      <rPr>
        <rFont val="Arial, sans-serif"/>
        <color rgb="FF1155CC"/>
        <sz val="11.0"/>
        <u/>
      </rPr>
      <t>6 nov 2024</t>
    </r>
  </si>
  <si>
    <t>Restaurante Lacaliza de Rincón de la Victoria: Kilómetro 0 y buenas vistas</t>
  </si>
  <si>
    <t>En el local de Óscar Delgado y Conchi García se pueden degustar pescados de la lonja de Caleta de Vélez, verduras de la Axarquía, jamones exquisitos y....</t>
  </si>
  <si>
    <t>Lacaliza Restaurant in Rincón de la Victoria: Kilometer 0 and good views</t>
  </si>
  <si>
    <t>At Óscar Delgado and Conchi García's place you can taste fish from the Caleta de Vélez fish market, vegetables from Axarquía, exquisite hams and...</t>
  </si>
  <si>
    <r>
      <rPr>
        <rFont val="Arial, sans-serif"/>
        <color rgb="FF1155CC"/>
        <sz val="9.0"/>
        <u/>
      </rPr>
      <t>Aragón Digital</t>
    </r>
    <r>
      <rPr>
        <rFont val="Arial, sans-serif"/>
        <color rgb="FF1155CC"/>
        <sz val="15.0"/>
        <u/>
      </rPr>
      <t>El restaurante de carretera de Huesca que triunfa entre los camioneros: se puede comer por menos de 15 euros y lo recomiendan en la Guía Repsol</t>
    </r>
    <r>
      <rPr>
        <rFont val="Arial, sans-serif"/>
        <color rgb="FF1155CC"/>
        <sz val="11.0"/>
        <u/>
      </rPr>
      <t>La Guía Repsol, conocida por su rigurosa selección de establecimientos gastronómicos, ha destacado El Cierzo por sus "buenas raciones de comida y, so...</t>
    </r>
    <r>
      <rPr>
        <rFont val="Arial, sans-serif"/>
        <color rgb="FF1155CC"/>
        <sz val="12.0"/>
        <u/>
      </rPr>
      <t>.</t>
    </r>
    <r>
      <rPr>
        <rFont val="Arial, sans-serif"/>
        <color rgb="FF1155CC"/>
        <sz val="11.0"/>
        <u/>
      </rPr>
      <t>6 nov 2024</t>
    </r>
  </si>
  <si>
    <t>El restaurante de carretera de Huesca que triunfa entre los camioneros: se puede comer por menos de 15 euros y lo recomiendan en la Guía Repsol</t>
  </si>
  <si>
    <t>El restaurante de carretera de Huesca que triunfa entre los camioneros: se puede comer por menos de 15 euros y lo recomiendan en la Guía Repsol. La Guía Repsol, conocida por su rigurosa selección de establecimientos gastronómicos, ha destacado El Cierzo por sus "buenas raciones de comida y, so....</t>
  </si>
  <si>
    <t>The roadside restaurant in Huesca that is a success among truck drivers: you can eat for less than 15 euros and it is recommended in the Repsol Guide</t>
  </si>
  <si>
    <t>The roadside restaurant in Huesca that is a hit among truck drivers: you can eat for less than 15 euros and it is recommended in the Repsol Guide. The Repsol Guide, known for its rigorous selection of gastronomic establishments, has highlighted El Cierzo for its "good portions of food and, so...</t>
  </si>
  <si>
    <r>
      <rPr>
        <rFont val="Arial, sans-serif"/>
        <color rgb="FF1155CC"/>
        <sz val="9.0"/>
        <u/>
      </rPr>
      <t>Expansión</t>
    </r>
    <r>
      <rPr>
        <rFont val="Arial, sans-serif"/>
        <color rgb="FF1155CC"/>
        <sz val="15.0"/>
        <u/>
      </rPr>
      <t>Los bajistas irrumpen en Repsol</t>
    </r>
    <r>
      <rPr>
        <rFont val="Arial, sans-serif"/>
        <color rgb="FF1155CC"/>
        <sz val="11.0"/>
        <u/>
      </rPr>
      <t>El casillero de posiciones cortas significativas en Repsol ha dejado de estar a cero coincidiendo con las elecciones en Estados Unidos.</t>
    </r>
    <r>
      <rPr>
        <rFont val="Arial, sans-serif"/>
        <color rgb="FF1155CC"/>
        <sz val="12.0"/>
        <u/>
      </rPr>
      <t>.</t>
    </r>
    <r>
      <rPr>
        <rFont val="Arial, sans-serif"/>
        <color rgb="FF1155CC"/>
        <sz val="11.0"/>
        <u/>
      </rPr>
      <t>7 nov 2024</t>
    </r>
  </si>
  <si>
    <t>Los bajistas irrumpen en Repsol</t>
  </si>
  <si>
    <t>El casillero de posiciones cortas significativas en Repsol ha dejado de estar a cero coincidiendo con las elecciones en Estados Unidos.</t>
  </si>
  <si>
    <t>The bears break into Repsol</t>
  </si>
  <si>
    <t>The box of significant short positions in Repsol has ceased to be at zero coinciding with the elections in the United States.</t>
  </si>
  <si>
    <t>Repsol, stock market</t>
  </si>
  <si>
    <t>Repsol, bolsa</t>
  </si>
  <si>
    <t>Slightly negative as it reflects increased short-selling activity.</t>
  </si>
  <si>
    <t>bajistas</t>
  </si>
  <si>
    <t>Negative market sentiment.</t>
  </si>
  <si>
    <t>Sentimiento negativo del mercado.</t>
  </si>
  <si>
    <r>
      <rPr>
        <rFont val="Arial, sans-serif"/>
        <color rgb="FF1155CC"/>
        <sz val="9.0"/>
        <u/>
      </rPr>
      <t>MiCiudadReal.es</t>
    </r>
    <r>
      <rPr>
        <rFont val="Arial, sans-serif"/>
        <color rgb="FF1155CC"/>
        <sz val="15.0"/>
        <u/>
      </rPr>
      <t>Los bomberos del complejo industrial de Repsol Puertollano achican la tragedia en Valencia entre la gratitud de los vecinos</t>
    </r>
    <r>
      <rPr>
        <rFont val="Arial, sans-serif"/>
        <color rgb="FF1155CC"/>
        <sz val="11.0"/>
        <u/>
      </rPr>
      <t>Los bomberos del servicio de emergencia SESEMA del complejo industrial de Repsol en Puertollano viven intensas jornadas en Valencia mientras afrontan un...</t>
    </r>
    <r>
      <rPr>
        <rFont val="Arial, sans-serif"/>
        <color rgb="FF1155CC"/>
        <sz val="12.0"/>
        <u/>
      </rPr>
      <t>.</t>
    </r>
    <r>
      <rPr>
        <rFont val="Arial, sans-serif"/>
        <color rgb="FF1155CC"/>
        <sz val="11.0"/>
        <u/>
      </rPr>
      <t>7 nov 2024</t>
    </r>
  </si>
  <si>
    <t>Los bomberos del complejo industrial de Repsol Puertollano achican la tragedia en Valencia entre la gratitud de los vecinos</t>
  </si>
  <si>
    <t>Los bomberos del servicio de emergencia SESEMA del complejo industrial de Repsol en Puertollano viven intensas jornadas en Valencia mientras afrontan un....</t>
  </si>
  <si>
    <t>The firefighters of the Repsol Puertollano industrial complex reduce the tragedy in Valencia amid the gratitude of the neighbors</t>
  </si>
  <si>
    <t>The firefighters of the SESEMA emergency service at the Repsol industrial complex in Puertollano live intense days in Valencia while facing a...</t>
  </si>
  <si>
    <t>Repsol, firefighters</t>
  </si>
  <si>
    <t>Repsol, bomberos</t>
  </si>
  <si>
    <t>Positive as it highlights Repsol's emergency response efforts.</t>
  </si>
  <si>
    <t>achican, "gratitud"</t>
  </si>
  <si>
    <r>
      <rPr>
        <rFont val="Arial, sans-serif"/>
        <color rgb="FF1155CC"/>
        <sz val="9.0"/>
        <u/>
      </rPr>
      <t>Autopista.es</t>
    </r>
    <r>
      <rPr>
        <rFont val="Arial, sans-serif"/>
        <color rgb="FF1155CC"/>
        <sz val="15.0"/>
        <u/>
      </rPr>
      <t>Ya puedes repostar tu coche diésel en España con un nuevo combustible que puede salvar su uso</t>
    </r>
    <r>
      <rPr>
        <rFont val="Arial, sans-serif"/>
        <color rgb="FF1155CC"/>
        <sz val="11.0"/>
        <u/>
      </rPr>
      <t>Compatible con todos los coches diésel que circulan hoy por España, Repsol lanza un nuevo y revolucionario combustible, denominado Nexa, 100% renovable.</t>
    </r>
    <r>
      <rPr>
        <rFont val="Arial, sans-serif"/>
        <color rgb="FF1155CC"/>
        <sz val="12.0"/>
        <u/>
      </rPr>
      <t>.</t>
    </r>
    <r>
      <rPr>
        <rFont val="Arial, sans-serif"/>
        <color rgb="FF1155CC"/>
        <sz val="11.0"/>
        <u/>
      </rPr>
      <t>7 nov 2024</t>
    </r>
  </si>
  <si>
    <t>Ya puedes repostar tu coche diésel en España con un nuevo combustible que puede salvar su uso</t>
  </si>
  <si>
    <t>Compatible con todos los coches diésel que circulan hoy por España, Repsol lanza un nuevo y revolucionario combustible, denominado Nexa, 100% renovable.</t>
  </si>
  <si>
    <t>You can now refuel your diesel car in Spain with a new fuel that can save its use</t>
  </si>
  <si>
    <t>Compatible with all diesel cars circulating in Spain today, Repsol launches a new and revolutionary fuel, called Nexa, 100% renewable.</t>
  </si>
  <si>
    <t>Positive as it promotes sustainability.</t>
  </si>
  <si>
    <t>nuevo, "salvar"</t>
  </si>
  <si>
    <r>
      <rPr>
        <rFont val="Arial, sans-serif"/>
        <color rgb="FF1155CC"/>
        <sz val="9.0"/>
        <u/>
      </rPr>
      <t>El Confidencial</t>
    </r>
    <r>
      <rPr>
        <rFont val="Arial, sans-serif"/>
        <color rgb="FF1155CC"/>
        <sz val="15.0"/>
        <u/>
      </rPr>
      <t>Trump amenaza los planes de Iberdrola y Repsol de invertir 17.000 millones en EEUU</t>
    </r>
    <r>
      <rPr>
        <rFont val="Arial, sans-serif"/>
        <color rgb="FF1155CC"/>
        <sz val="11.0"/>
        <u/>
      </rPr>
      <t>El nuevo inquilino de la Casa Blanca ha atacado durante la eterna campaña electoral a las energías limpias y anunciado la eliminación de gran parte de las...</t>
    </r>
    <r>
      <rPr>
        <rFont val="Arial, sans-serif"/>
        <color rgb="FF1155CC"/>
        <sz val="12.0"/>
        <u/>
      </rPr>
      <t>.</t>
    </r>
    <r>
      <rPr>
        <rFont val="Arial, sans-serif"/>
        <color rgb="FF1155CC"/>
        <sz val="11.0"/>
        <u/>
      </rPr>
      <t>7 nov 2024</t>
    </r>
  </si>
  <si>
    <t>Trump amenaza los planes de Iberdrola y Repsol de invertir 17.000 millones en EE.UU.</t>
  </si>
  <si>
    <t>El nuevo inquilino de la Casa Blanca ha atacado durante la eterna campaña electoral a las energías limpias y anunciado la eliminación de gran parte de las....</t>
  </si>
  <si>
    <t>Trump threatens Iberdrola and Repsol's plans to invest 17 billion in the US</t>
  </si>
  <si>
    <t>The new tenant of the White House has attacked clean energy during the eternal electoral campaign and announced the elimination of a large part of...</t>
  </si>
  <si>
    <t>Politics &amp; Energy</t>
  </si>
  <si>
    <t>Repsol, US energy policy</t>
  </si>
  <si>
    <t>Repsol, política energética de EE.UU.</t>
  </si>
  <si>
    <t>Negative as it highlights regulatory risks for Repsol.</t>
  </si>
  <si>
    <t>High political risk.</t>
  </si>
  <si>
    <t>Alto riesgo político.</t>
  </si>
  <si>
    <r>
      <rPr>
        <rFont val="Arial, sans-serif"/>
        <color rgb="FF1155CC"/>
        <sz val="9.0"/>
        <u/>
      </rPr>
      <t>Cadena SER</t>
    </r>
    <r>
      <rPr>
        <rFont val="Arial, sans-serif"/>
        <color rgb="FF1155CC"/>
        <sz val="15.0"/>
        <u/>
      </rPr>
      <t>Un mes de huelga y posturas más lejos que nunca en Rlesa Puertollano</t>
    </r>
    <r>
      <rPr>
        <rFont val="Arial, sans-serif"/>
        <color rgb="FF1155CC"/>
        <sz val="11.0"/>
        <u/>
      </rPr>
      <t>El siete de octubre comenzaba un paro indefinido en las plantas de Repsol Lubricantes y Asfaltos de Puertollano que no ha servido para que se produzca...</t>
    </r>
    <r>
      <rPr>
        <rFont val="Arial, sans-serif"/>
        <color rgb="FF1155CC"/>
        <sz val="12.0"/>
        <u/>
      </rPr>
      <t>.</t>
    </r>
    <r>
      <rPr>
        <rFont val="Arial, sans-serif"/>
        <color rgb="FF1155CC"/>
        <sz val="11.0"/>
        <u/>
      </rPr>
      <t>7 nov 2024</t>
    </r>
  </si>
  <si>
    <t>Un mes de huelga y posturas más lejos que nunca en Rlesa Puertollano</t>
  </si>
  <si>
    <t>El siete de octubre comenzaba un paro indefinido en las plantas de Repsol Lubricantes y Asfaltos de Puertollano que no ha servido para que se produzca....</t>
  </si>
  <si>
    <t>A month of strike and positions further than ever in Rlesa Puertollano</t>
  </si>
  <si>
    <t>On October 7, an indefinite strike began at the Repsol Lubricantes and Asfaltos plants in Puertollano that has not been able to take place...</t>
  </si>
  <si>
    <t>Negative as it shows labor tensions remain unresolved.</t>
  </si>
  <si>
    <t>Protracted labor conflict.</t>
  </si>
  <si>
    <r>
      <rPr>
        <rFont val="Arial, sans-serif"/>
        <color rgb="FF1155CC"/>
        <sz val="9.0"/>
        <u/>
      </rPr>
      <t>Estrategias de Inversión</t>
    </r>
    <r>
      <rPr>
        <rFont val="Arial, sans-serif"/>
        <color rgb="FF1155CC"/>
        <sz val="15.0"/>
        <u/>
      </rPr>
      <t>La petrolera Repsol eleva el interés de los inversores bajistas</t>
    </r>
    <r>
      <rPr>
        <rFont val="Arial, sans-serif"/>
        <color rgb="FF1155CC"/>
        <sz val="11.0"/>
        <u/>
      </rPr>
      <t>La rebaja de calificaciones de los analistas del mercado sobre la petrolera Repsol, una constante en las últimas semanas se ha visto reflejado con un efecto...</t>
    </r>
    <r>
      <rPr>
        <rFont val="Arial, sans-serif"/>
        <color rgb="FF1155CC"/>
        <sz val="12.0"/>
        <u/>
      </rPr>
      <t>.</t>
    </r>
    <r>
      <rPr>
        <rFont val="Arial, sans-serif"/>
        <color rgb="FF1155CC"/>
        <sz val="11.0"/>
        <u/>
      </rPr>
      <t>7 nov 2024</t>
    </r>
  </si>
  <si>
    <t>La petrolera Repsol eleva el interés de los inversores bajistas</t>
  </si>
  <si>
    <t>La rebaja de calificaciones de los analistas del mercado sobre la petrolera Repsol, una constante en las últimas semanas se ha visto reflejado con un efecto....</t>
  </si>
  <si>
    <t>The oil company Repsol increases the interest of bearish investors</t>
  </si>
  <si>
    <t>The downgrading of market analysts' ratings on the oil company Repsol, a constant in recent weeks, has been reflected with an effect...</t>
  </si>
  <si>
    <t>Repsol, market analysis</t>
  </si>
  <si>
    <t>Repsol, análisis de mercado</t>
  </si>
  <si>
    <t>Slightly negative as it signals concerns from investors.</t>
  </si>
  <si>
    <t>Negative market interest.</t>
  </si>
  <si>
    <t>Interés negativo del mercado.</t>
  </si>
  <si>
    <r>
      <rPr>
        <rFont val="Arial, sans-serif"/>
        <color rgb="FF1155CC"/>
        <sz val="9.0"/>
        <u/>
      </rPr>
      <t>El Debate</t>
    </r>
    <r>
      <rPr>
        <rFont val="Arial, sans-serif"/>
        <color rgb="FF1155CC"/>
        <sz val="15.0"/>
        <u/>
      </rPr>
      <t>Un alcalde del PP gallego contra todos: protestó con Rajoy y ahora carga contra Sánchez</t>
    </r>
    <r>
      <rPr>
        <rFont val="Arial, sans-serif"/>
        <color rgb="FF1155CC"/>
        <sz val="11.0"/>
        <u/>
      </rPr>
      <t>«Nunca nos ha recibido un ministro de Fomento». Esta es la denuncia pública que realizó el alcalde de Arteixo, Carlos Calvelo (PP), durante su disc...</t>
    </r>
    <r>
      <rPr>
        <rFont val="Arial, sans-serif"/>
        <color rgb="FF1155CC"/>
        <sz val="12.0"/>
        <u/>
      </rPr>
      <t>.</t>
    </r>
    <r>
      <rPr>
        <rFont val="Arial, sans-serif"/>
        <color rgb="FF1155CC"/>
        <sz val="11.0"/>
        <u/>
      </rPr>
      <t>7 nov 2024</t>
    </r>
  </si>
  <si>
    <t>Un alcalde del PP gallego contra todos: protestó con Rajoy y ahora carga contra Sánchez</t>
  </si>
  <si>
    <t>«Nunca nos ha recibido un ministro de Fomento». Esta es la denuncia pública que realizó el alcalde de Arteixo, Carlos Calvelo (PP), durante su disc....</t>
  </si>
  <si>
    <t>A mayor of the Galician PP against everyone: he protested with Rajoy and now charges against Sánchez</t>
  </si>
  <si>
    <t>"A Minister of Public Works has never received us." This is the public complaint made by the mayor of Arteixo, Carlos Calvelo (PP), during his speech....</t>
  </si>
  <si>
    <r>
      <rPr>
        <rFont val="Arial, sans-serif"/>
        <color rgb="FF1155CC"/>
        <sz val="9.0"/>
        <u/>
      </rPr>
      <t>El Correo Gallego</t>
    </r>
    <r>
      <rPr>
        <rFont val="Arial, sans-serif"/>
        <color rgb="FF1155CC"/>
        <sz val="15.0"/>
        <u/>
      </rPr>
      <t>Dos chefs compostelanos, entre los finalistas a Cocinero Revelación de Madrid Fusión 2025</t>
    </r>
    <r>
      <rPr>
        <rFont val="Arial, sans-serif"/>
        <color rgb="FF1155CC"/>
        <sz val="11.0"/>
        <u/>
      </rPr>
      <t>El ganador se hará con el Gran Premio Balfegó, que se entregará durante el congreso de Madrid Fusión el próximo 29 de enero.</t>
    </r>
    <r>
      <rPr>
        <rFont val="Arial, sans-serif"/>
        <color rgb="FF1155CC"/>
        <sz val="12.0"/>
        <u/>
      </rPr>
      <t>.</t>
    </r>
    <r>
      <rPr>
        <rFont val="Arial, sans-serif"/>
        <color rgb="FF1155CC"/>
        <sz val="11.0"/>
        <u/>
      </rPr>
      <t>7 nov 2024</t>
    </r>
  </si>
  <si>
    <t>Dos chefs compostelanos, entre los finalistas a Cocinero Revelación de Madrid Fusión 2025</t>
  </si>
  <si>
    <t>Dos chefs compostelanos, entre los finalistas a Cocinero Revelación de Madrid Fusión 2025. El ganador se hará con el Gran Premio Balfegó, que se entregará durante el congreso de Madrid Fusión el próximo 29 de enero.</t>
  </si>
  <si>
    <t>Two Compostela chefs, among the finalists for Revelation Chef of Madrid Fusión 2025</t>
  </si>
  <si>
    <t>Two Compostela chefs, among the finalists for Revelation Chef of Madrid Fusión 2025. The winner will win the Balfegó Grand Prize, which will be awarded during the Madrid Fusión congress on January 29.</t>
  </si>
  <si>
    <r>
      <rPr>
        <rFont val="Arial, sans-serif"/>
        <color rgb="FF1155CC"/>
        <sz val="9.0"/>
        <u/>
      </rPr>
      <t>El Español</t>
    </r>
    <r>
      <rPr>
        <rFont val="Arial, sans-serif"/>
        <color rgb="FF1155CC"/>
        <sz val="15.0"/>
        <u/>
      </rPr>
      <t>El negacionismo climático de Trump y su apuesta por el 'fracking' amenazan a las empresas líderes en renovables</t>
    </r>
    <r>
      <rPr>
        <rFont val="Arial, sans-serif"/>
        <color rgb="FF1155CC"/>
        <sz val="11.0"/>
        <u/>
      </rPr>
      <t>La elección del presidente norteamericano ha sacudido a las grandes cotizadas del sector, que han perdido 6.000 millones en capitalización.</t>
    </r>
    <r>
      <rPr>
        <rFont val="Arial, sans-serif"/>
        <color rgb="FF1155CC"/>
        <sz val="12.0"/>
        <u/>
      </rPr>
      <t>.</t>
    </r>
    <r>
      <rPr>
        <rFont val="Arial, sans-serif"/>
        <color rgb="FF1155CC"/>
        <sz val="11.0"/>
        <u/>
      </rPr>
      <t>7 nov 2024</t>
    </r>
  </si>
  <si>
    <t>El negacionismo climático de Trump y su apuesta por el 'fracking' amenazan a las empresas líderes en renovables</t>
  </si>
  <si>
    <t>La elección del presidente norteamericano ha sacudido a las grandes cotizadas del sector, que han perdido 6.000 millones en capitalización.</t>
  </si>
  <si>
    <t>Trump's climate denialism and his commitment to 'fracking' threaten leading renewable companies</t>
  </si>
  <si>
    <t>The election of the North American president has shaken the large listed companies in the sector, which have lost 6 billion in capitalization.</t>
  </si>
  <si>
    <t>Repsol, fracking, US elections</t>
  </si>
  <si>
    <t>Repsol, fracking, elecciones en EEUU</t>
  </si>
  <si>
    <t>Negative as it suggests policy risks for Repsol.</t>
  </si>
  <si>
    <t>amenazan</t>
  </si>
  <si>
    <t>High sector risk.</t>
  </si>
  <si>
    <t>Alto riesgo sectorial.</t>
  </si>
  <si>
    <r>
      <rPr>
        <rFont val="Arial, sans-serif"/>
        <color rgb="FF1155CC"/>
        <sz val="9.0"/>
        <u/>
      </rPr>
      <t>Cadena SER</t>
    </r>
    <r>
      <rPr>
        <rFont val="Arial, sans-serif"/>
        <color rgb="FF1155CC"/>
        <sz val="15.0"/>
        <u/>
      </rPr>
      <t>El Jamón Ibérico 100% bellota de la DO de Los Pedroches, las tabernas históricas y Soletes Repsol protagonizan el mes de noviembre</t>
    </r>
    <r>
      <rPr>
        <rFont val="Arial, sans-serif"/>
        <color rgb="FF1155CC"/>
        <sz val="11.0"/>
        <u/>
      </rPr>
      <t>Córdoba acoge la gala de entrega de los Soletes de la Guía Repsol el lunes 11 de noviembre en la Puerta del Puente.</t>
    </r>
    <r>
      <rPr>
        <rFont val="Arial, sans-serif"/>
        <color rgb="FF1155CC"/>
        <sz val="12.0"/>
        <u/>
      </rPr>
      <t>.</t>
    </r>
    <r>
      <rPr>
        <rFont val="Arial, sans-serif"/>
        <color rgb="FF1155CC"/>
        <sz val="11.0"/>
        <u/>
      </rPr>
      <t>7 nov 2024</t>
    </r>
  </si>
  <si>
    <t>El Jamón Ibérico 100% bellota de la DO de Los Pedroches, las tabernas históricas y Soletes Repsol protagonizan el mes de noviembre</t>
  </si>
  <si>
    <t>Córdoba acoge la gala de entrega de los Soletes de la Guía Repsol el lunes 11 de noviembre en la Puerta del Puente.</t>
  </si>
  <si>
    <t>The 100% acorn-fed Iberian Ham from the Los Pedroches DO, the historic taverns and Soletes Repsol star in the month of November</t>
  </si>
  <si>
    <t>Córdoba hosts the Repsol Guide Soletes presentation gala on Monday, November 11 at Puerta del Puente.</t>
  </si>
  <si>
    <r>
      <rPr>
        <rFont val="Arial, sans-serif"/>
        <color rgb="FF1155CC"/>
        <sz val="9.0"/>
        <u/>
      </rPr>
      <t>Finanzas.com</t>
    </r>
    <r>
      <rPr>
        <rFont val="Arial, sans-serif"/>
        <color rgb="FF1155CC"/>
        <sz val="15.0"/>
        <u/>
      </rPr>
      <t>Los bajistas ponen el foco en Repsol</t>
    </r>
    <r>
      <rPr>
        <rFont val="Arial, sans-serif"/>
        <color rgb="FF1155CC"/>
        <sz val="11.0"/>
        <u/>
      </rPr>
      <t>El hedge fund Point72 adopta posiciones cortas por el 0,5% de las acciones en circulación de Repsol, lo que se suma a una cascada de rebajas de la...</t>
    </r>
    <r>
      <rPr>
        <rFont val="Arial, sans-serif"/>
        <color rgb="FF1155CC"/>
        <sz val="12.0"/>
        <u/>
      </rPr>
      <t>.</t>
    </r>
    <r>
      <rPr>
        <rFont val="Arial, sans-serif"/>
        <color rgb="FF1155CC"/>
        <sz val="11.0"/>
        <u/>
      </rPr>
      <t>8 nov 2024</t>
    </r>
  </si>
  <si>
    <t>Los bajistas ponen el foco en Repsol</t>
  </si>
  <si>
    <t>El hedge fund Point72 adopta posiciones cortas por el 0,5% de las acciones en circulación de Repsol, lo que se suma a una cascada de rebajas de la....</t>
  </si>
  <si>
    <t>The bears focus on Repsol</t>
  </si>
  <si>
    <t>The hedge fund Point72 adopts short positions for 0.5% of Repsol's outstanding shares, adding to a cascade of reductions in the...</t>
  </si>
  <si>
    <t>Slightly negative as it signals market skepticism.</t>
  </si>
  <si>
    <t>Negative market focus.</t>
  </si>
  <si>
    <t>Enfoque negativo en el mercado.</t>
  </si>
  <si>
    <r>
      <rPr>
        <rFont val="Arial, sans-serif"/>
        <color rgb="FF1155CC"/>
        <sz val="9.0"/>
        <u/>
      </rPr>
      <t>Posventa de Automoción</t>
    </r>
    <r>
      <rPr>
        <rFont val="Arial, sans-serif"/>
        <color rgb="FF1155CC"/>
        <sz val="15.0"/>
        <u/>
      </rPr>
      <t>Calçada (Fundación Repsol): “Europa no debería ser un mero campo de juego entre Estados Unidos y China”</t>
    </r>
    <r>
      <rPr>
        <rFont val="Arial, sans-serif"/>
        <color rgb="FF1155CC"/>
        <sz val="11.0"/>
        <u/>
      </rPr>
      <t>El director general de Fundación Repsol, Antonio Calçada, aseguró que Europa no debería ser un mero campo de juego entre Estados Unidos y China,...</t>
    </r>
    <r>
      <rPr>
        <rFont val="Arial, sans-serif"/>
        <color rgb="FF1155CC"/>
        <sz val="12.0"/>
        <u/>
      </rPr>
      <t>.</t>
    </r>
    <r>
      <rPr>
        <rFont val="Arial, sans-serif"/>
        <color rgb="FF1155CC"/>
        <sz val="11.0"/>
        <u/>
      </rPr>
      <t>8 nov 2024</t>
    </r>
  </si>
  <si>
    <t>“Europa no debería ser un mero campo de juego entre Estados Unidos y China”</t>
  </si>
  <si>
    <t>Europa no debería ser un mero campo de juego entre Estados Unidos y China.</t>
  </si>
  <si>
    <t>“Europe should not be a mere playing field between the United States and China”</t>
  </si>
  <si>
    <t>Europe should not be a mere playing field between the United States and China.</t>
  </si>
  <si>
    <r>
      <rPr>
        <rFont val="Arial, sans-serif"/>
        <color rgb="FF1155CC"/>
        <sz val="9.0"/>
        <u/>
      </rPr>
      <t>Murcia Plaza</t>
    </r>
    <r>
      <rPr>
        <rFont val="Arial, sans-serif"/>
        <color rgb="FF1155CC"/>
        <sz val="15.0"/>
        <u/>
      </rPr>
      <t>Profesionales de Repsol Cartagena, al pie del cañón en las labores de recuperación tras la Dana</t>
    </r>
    <r>
      <rPr>
        <rFont val="Arial, sans-serif"/>
        <color rgb="FF1155CC"/>
        <sz val="11.0"/>
        <u/>
      </rPr>
      <t>CARTAGENA. "Nos levantamos temprano y nos dirigimos al Centro de Coordinación. Allí, cada día, nos dan indicaciones de hacia dónde dirigirnos y qué medios...</t>
    </r>
    <r>
      <rPr>
        <rFont val="Arial, sans-serif"/>
        <color rgb="FF1155CC"/>
        <sz val="12.0"/>
        <u/>
      </rPr>
      <t>.</t>
    </r>
    <r>
      <rPr>
        <rFont val="Arial, sans-serif"/>
        <color rgb="FF1155CC"/>
        <sz val="11.0"/>
        <u/>
      </rPr>
      <t>8 nov 2024</t>
    </r>
  </si>
  <si>
    <t>Profesionales de Repsol Cartagena, al pie del cañón en las labores de recuperación tras la Dana</t>
  </si>
  <si>
    <t>"Nos levantamos temprano y nos dirigimos al Centro de Coordinación. Allí, cada día, nos dan indicaciones de hacia dónde dirigirnos y qué medios...."</t>
  </si>
  <si>
    <t>Repsol Cartagena professionals, at the foot of the canyon in the recovery work after Dana</t>
  </si>
  <si>
    <t>"We get up early and go to the Coordination Center. There, every day, they give us instructions on where to go and what means...."</t>
  </si>
  <si>
    <t>Repsol, Dana recovery</t>
  </si>
  <si>
    <t>Repsol, Recuperación de Dana</t>
  </si>
  <si>
    <t>Positive as it highlights Repsol's social responsibility.</t>
  </si>
  <si>
    <t>al pie del cañón</t>
  </si>
  <si>
    <t>Positive CSR.</t>
  </si>
  <si>
    <t>RSC positiva.</t>
  </si>
  <si>
    <r>
      <rPr>
        <rFont val="Arial, sans-serif"/>
        <color rgb="FF1155CC"/>
        <sz val="9.0"/>
        <u/>
      </rPr>
      <t>Bolsamania</t>
    </r>
    <r>
      <rPr>
        <rFont val="Arial, sans-serif"/>
        <color rgb="FF1155CC"/>
        <sz val="15.0"/>
        <u/>
      </rPr>
      <t>Repsol cae por la bajada del petróleo ante la debilidad de China y el triunfo de Trump</t>
    </r>
    <r>
      <rPr>
        <rFont val="Arial, sans-serif"/>
        <color rgb="FF1155CC"/>
        <sz val="11.0"/>
        <u/>
      </rPr>
      <t>Repsol ha sido el peor valor del Ibex este viernes (-2,75%) presionado por la caída del precio del petróleo en medio de las preocupaciones por la debilidad...</t>
    </r>
    <r>
      <rPr>
        <rFont val="Arial, sans-serif"/>
        <color rgb="FF1155CC"/>
        <sz val="12.0"/>
        <u/>
      </rPr>
      <t>.</t>
    </r>
    <r>
      <rPr>
        <rFont val="Arial, sans-serif"/>
        <color rgb="FF1155CC"/>
        <sz val="11.0"/>
        <u/>
      </rPr>
      <t>8 nov 2024</t>
    </r>
  </si>
  <si>
    <t>Repsol cae por la bajada del petróleo ante la debilidad de China y el triunfo de Trump</t>
  </si>
  <si>
    <t>Repsol ha sido el peor valor del Ibex este viernes (-2,75%) presionado por la caída del precio del petróleo en medio de las preocupaciones por la debilidad....</t>
  </si>
  <si>
    <t>Repsol falls due to the drop in oil due to the weakness of China and Trump's victory</t>
  </si>
  <si>
    <t>Repsol has been the worst value on the Ibex this Friday (-2.75%) pressured by the fall in the price of oil amid concerns about weakness....</t>
  </si>
  <si>
    <t>Repsol, oil prices</t>
  </si>
  <si>
    <t>Repsol, precios del petróleo</t>
  </si>
  <si>
    <t>Negative as it reflects financial instability.</t>
  </si>
  <si>
    <r>
      <rPr>
        <rFont val="Arial, sans-serif"/>
        <color rgb="FF1155CC"/>
        <sz val="9.0"/>
        <u/>
      </rPr>
      <t>CapitalMadrid</t>
    </r>
    <r>
      <rPr>
        <rFont val="Arial, sans-serif"/>
        <color rgb="FF1155CC"/>
        <sz val="15.0"/>
        <u/>
      </rPr>
      <t>Los bajistas estrenan la ‘era Trump’ con más 'cortos' en Acciona, Solaria y Repsol</t>
    </r>
    <r>
      <rPr>
        <rFont val="Arial, sans-serif"/>
        <color rgb="FF1155CC"/>
        <sz val="11.0"/>
        <u/>
      </rPr>
      <t>Los inversores bajistas han dado su primera respuesta en suelo español a la vuelta de Donald Trump a la Casa Blanca con los primeros cambios en las...</t>
    </r>
    <r>
      <rPr>
        <rFont val="Arial, sans-serif"/>
        <color rgb="FF1155CC"/>
        <sz val="12.0"/>
        <u/>
      </rPr>
      <t>.</t>
    </r>
    <r>
      <rPr>
        <rFont val="Arial, sans-serif"/>
        <color rgb="FF1155CC"/>
        <sz val="11.0"/>
        <u/>
      </rPr>
      <t>8 nov 2024</t>
    </r>
  </si>
  <si>
    <t>Los bajistas estrenan la ‘era Trump’ con más 'cortos' en Acciona, Solaria y Repsol</t>
  </si>
  <si>
    <t>Los inversores bajistas han dado su primera respuesta en suelo español a la vuelta de Donald Trump a la Casa Blanca con los primeros cambios en las...</t>
  </si>
  <si>
    <t>The bassists launch the 'Trump era' with more 'shorts' in Acciona, Solaria and Repsol</t>
  </si>
  <si>
    <t>Bearish investors have given their first response on Spanish soil to the return of Donald Trump to the White House with the first changes in the...</t>
  </si>
  <si>
    <t>Negative as it signals investor concerns.</t>
  </si>
  <si>
    <t>bajistas, "cortos"</t>
  </si>
  <si>
    <r>
      <rPr>
        <rFont val="Arial, sans-serif"/>
        <color rgb="FF1155CC"/>
        <sz val="9.0"/>
        <u/>
      </rPr>
      <t>El Canal Marítimo y Logístico</t>
    </r>
    <r>
      <rPr>
        <rFont val="Arial, sans-serif"/>
        <color rgb="FF1155CC"/>
        <sz val="15.0"/>
        <u/>
      </rPr>
      <t>Agunsa coordina la operativa de una megaplataforma hasta Tarragona con escala innovadora en Algeciras</t>
    </r>
    <r>
      <rPr>
        <rFont val="Arial, sans-serif"/>
        <color rgb="FF1155CC"/>
        <sz val="11.0"/>
        <u/>
      </rPr>
      <t>Agunsa Europa está coordinando la logística para el desplazamiento de la plataforma Island Innovator hacia Tarragona, donde cerrará los pozos de la.</t>
    </r>
    <r>
      <rPr>
        <rFont val="Arial, sans-serif"/>
        <color rgb="FF1155CC"/>
        <sz val="12.0"/>
        <u/>
      </rPr>
      <t>.</t>
    </r>
    <r>
      <rPr>
        <rFont val="Arial, sans-serif"/>
        <color rgb="FF1155CC"/>
        <sz val="11.0"/>
        <u/>
      </rPr>
      <t>8 nov 2024</t>
    </r>
  </si>
  <si>
    <t>El Canal Marítimo y Logístico</t>
  </si>
  <si>
    <t>Agunsa coordina la operativa de una megaplataforma hasta Tarragona con escala innovadora en Algeciras</t>
  </si>
  <si>
    <t>Agunsa Europa está coordinando la logística para el desplazamiento de la plataforma Island Innovator hacia Tarragona, donde cerrará los pozos de la..</t>
  </si>
  <si>
    <t>Agunsa coordinates the operation of a mega platform to Tarragona with an innovative scale in Algeciras</t>
  </si>
  <si>
    <t>Agunsa Europa is coordinating the logistics for the movement of the Island Innovator platform to Tarragona, where it will close the wells of the...</t>
  </si>
  <si>
    <t>Repsol, Tarragona logistics</t>
  </si>
  <si>
    <t>Repsol, Logística Tarragona</t>
  </si>
  <si>
    <t>Slightly positive as it shows industrial coordination.</t>
  </si>
  <si>
    <r>
      <rPr>
        <rFont val="Arial, sans-serif"/>
        <color rgb="FF1155CC"/>
        <sz val="9.0"/>
        <u/>
      </rPr>
      <t>El Cronista</t>
    </r>
    <r>
      <rPr>
        <rFont val="Arial, sans-serif"/>
        <color rgb="FF1155CC"/>
        <sz val="15.0"/>
        <u/>
      </rPr>
      <t>Repsol: así abre la cotización hoy viernes 08 de noviembre, ¿cuánto rinden los dividendos?</t>
    </r>
    <r>
      <rPr>
        <rFont val="Arial, sans-serif"/>
        <color rgb="FF1155CC"/>
        <sz val="11.0"/>
        <u/>
      </rPr>
      <t>La cotización de las activos de la compañía de petróleo, gas y combustibles consumibles Repsol (REP) en la apertura de mercados en España este viernes,...</t>
    </r>
    <r>
      <rPr>
        <rFont val="Arial, sans-serif"/>
        <color rgb="FF1155CC"/>
        <sz val="12.0"/>
        <u/>
      </rPr>
      <t>.</t>
    </r>
    <r>
      <rPr>
        <rFont val="Arial, sans-serif"/>
        <color rgb="FF1155CC"/>
        <sz val="11.0"/>
        <u/>
      </rPr>
      <t>8 nov 2024</t>
    </r>
  </si>
  <si>
    <t>Repsol: así abre la cotización hoy viernes 08 de noviembre, ¿cuánto rinden los dividendos?</t>
  </si>
  <si>
    <t>La cotización de las activos de la compañía de petróleo, gas y combustibles Repsol (REP) en la apertura de mercados en España este viernes,....</t>
  </si>
  <si>
    <t>Repsol: this is how trading opens today, Friday, November 8, how much do the dividends yield?</t>
  </si>
  <si>
    <t>The price of the assets of the oil, gas and fuel company Repsol (REP) at the opening of markets in Spain this Friday,...</t>
  </si>
  <si>
    <t>Neutral as it simply reports market data.</t>
  </si>
  <si>
    <r>
      <rPr>
        <rFont val="Arial, sans-serif"/>
        <color rgb="FF1155CC"/>
        <sz val="9.0"/>
        <u/>
      </rPr>
      <t>El Español</t>
    </r>
    <r>
      <rPr>
        <rFont val="Arial, sans-serif"/>
        <color rgb="FF1155CC"/>
        <sz val="15.0"/>
        <u/>
      </rPr>
      <t>Si llenas el depósito de tu coche con este diésel ahorrarás dinero y, además, contaminarás menos: sacamos la calculadora</t>
    </r>
    <r>
      <rPr>
        <rFont val="Arial, sans-serif"/>
        <color rgb="FF1155CC"/>
        <sz val="11.0"/>
        <u/>
      </rPr>
      <t>Repsol lanza el diésel renovable Nexa que, pagando con Waylet, es un céntimo más barato por litro frente al gasóleo convencional. Más información.</t>
    </r>
    <r>
      <rPr>
        <rFont val="Arial, sans-serif"/>
        <color rgb="FF1155CC"/>
        <sz val="12.0"/>
        <u/>
      </rPr>
      <t>.</t>
    </r>
    <r>
      <rPr>
        <rFont val="Arial, sans-serif"/>
        <color rgb="FF1155CC"/>
        <sz val="11.0"/>
        <u/>
      </rPr>
      <t>8 nov 2024</t>
    </r>
  </si>
  <si>
    <t>Si llenas el depósito de tu coche con este diésel ahorrarás dinero y, además, contaminarás menos: sacamos la calculadora</t>
  </si>
  <si>
    <t>Repsol lanza el diésel renovable Nexa que, pagando con Waylet, es un céntimo más barato por litro frente al gasóleo convencional.</t>
  </si>
  <si>
    <t>If you fill your car's tank with this diesel you will save money and, in addition, you will pollute less: we take out the calculator</t>
  </si>
  <si>
    <t>Repsol launches the Nexa renewable diesel which, paying with Waylet, is one cent cheaper per liter compared to conventional diesel.</t>
  </si>
  <si>
    <t>Positive as it promotes sustainability and savings.</t>
  </si>
  <si>
    <t>ahorrarás, "contaminarás menos"</t>
  </si>
  <si>
    <t>Positive product benefits.</t>
  </si>
  <si>
    <t>Beneficios positivos del producto.</t>
  </si>
  <si>
    <r>
      <rPr>
        <rFont val="Arial, sans-serif"/>
        <color rgb="FF1155CC"/>
        <sz val="9.0"/>
        <u/>
      </rPr>
      <t>Diario Córdoba</t>
    </r>
    <r>
      <rPr>
        <rFont val="Arial, sans-serif"/>
        <color rgb="FF1155CC"/>
        <sz val="15.0"/>
        <u/>
      </rPr>
      <t>Hacemos Córdoba exige retirar de la Puerta del Puente la decoración para la gala de los Soletes Repsol</t>
    </r>
    <r>
      <rPr>
        <rFont val="Arial, sans-serif"/>
        <color rgb="FF1155CC"/>
        <sz val="11.0"/>
        <u/>
      </rPr>
      <t>Decoración de la gala de Repsol en la Puerta del Puente, que Hacemos Córdoba exige retirar al Ayuntamiento, en una imagen facilitada por la propia formación...</t>
    </r>
    <r>
      <rPr>
        <rFont val="Arial, sans-serif"/>
        <color rgb="FF1155CC"/>
        <sz val="12.0"/>
        <u/>
      </rPr>
      <t>.</t>
    </r>
    <r>
      <rPr>
        <rFont val="Arial, sans-serif"/>
        <color rgb="FF1155CC"/>
        <sz val="11.0"/>
        <u/>
      </rPr>
      <t>8 nov 2024</t>
    </r>
  </si>
  <si>
    <t>Hacemos Córdoba exige retirar de la Puerta del Puente la decoración para la gala de los Soletes Repsol</t>
  </si>
  <si>
    <t>Decoración de la gala de Repsol en la Puerta del Puente, que Hacemos Córdoba exige retirar al Ayuntamiento, en una imagen facilitada por la propia formación.</t>
  </si>
  <si>
    <t>We do Córdoba demands that the decoration for the Soletes Repsol gala be removed from the Puerta del Puente</t>
  </si>
  <si>
    <t>Decoration of the Repsol gala at the Puerta del Puente, which Hacemos Córdoba demands to remove from the City Council, in an image provided by the formation itself.</t>
  </si>
  <si>
    <t>Controversy</t>
  </si>
  <si>
    <r>
      <rPr>
        <rFont val="Arial, sans-serif"/>
        <color rgb="FF1155CC"/>
        <sz val="9.0"/>
        <u/>
      </rPr>
      <t>El Periódico de la Energía</t>
    </r>
    <r>
      <rPr>
        <rFont val="Arial, sans-serif"/>
        <color rgb="FF1155CC"/>
        <sz val="15.0"/>
        <u/>
      </rPr>
      <t>Adjudicadas las prospecciones geotérmicas en la mitad sur de La Palma</t>
    </r>
    <r>
      <rPr>
        <rFont val="Arial, sans-serif"/>
        <color rgb="FF1155CC"/>
        <sz val="11.0"/>
        <u/>
      </rPr>
      <t>Hernández Zapata ha recordado que Canarias ha recibido un total de 103 millones de euros para la investigación geotérmica.</t>
    </r>
    <r>
      <rPr>
        <rFont val="Arial, sans-serif"/>
        <color rgb="FF1155CC"/>
        <sz val="12.0"/>
        <u/>
      </rPr>
      <t>.</t>
    </r>
    <r>
      <rPr>
        <rFont val="Arial, sans-serif"/>
        <color rgb="FF1155CC"/>
        <sz val="11.0"/>
        <u/>
      </rPr>
      <t>8 nov 2024</t>
    </r>
  </si>
  <si>
    <t>Adjudicadas las prospecciones geotérmicas en la mitad sur de La Palma</t>
  </si>
  <si>
    <t>Canarias ha recibido un total de 103 millones de euros para la investigación geotérmica.</t>
  </si>
  <si>
    <t>Geothermal prospecting awarded in the southern half of La Palma</t>
  </si>
  <si>
    <t>The Canary Islands have received a total of 103 million euros for geothermal research.</t>
  </si>
  <si>
    <t>geothermal energy, La Palma</t>
  </si>
  <si>
    <t>energía geotérmica, La Palma</t>
  </si>
  <si>
    <t>Slightly positive as it promotes clean energy.</t>
  </si>
  <si>
    <t>Not related to Repsol's core business.</t>
  </si>
  <si>
    <t>No relacionado con el negocio principal de Repsol.</t>
  </si>
  <si>
    <r>
      <rPr>
        <rFont val="Arial, sans-serif"/>
        <color rgb="FF1155CC"/>
        <sz val="9.0"/>
        <u/>
      </rPr>
      <t>El Nacional.cat</t>
    </r>
    <r>
      <rPr>
        <rFont val="Arial, sans-serif"/>
        <color rgb="FF1155CC"/>
        <sz val="15.0"/>
        <u/>
      </rPr>
      <t>Brufau carga contra los “deseos aspiracionales” del Gobierno en coche eléctrico, hidrógeno y eólica</t>
    </r>
    <r>
      <rPr>
        <rFont val="Arial, sans-serif"/>
        <color rgb="FF1155CC"/>
        <sz val="11.0"/>
        <u/>
      </rPr>
      <t>El presidente de Repsol exige “consistencia” en los planes de los gobiernos de la UE en materia medioambiental.</t>
    </r>
    <r>
      <rPr>
        <rFont val="Arial, sans-serif"/>
        <color rgb="FF1155CC"/>
        <sz val="12.0"/>
        <u/>
      </rPr>
      <t>.</t>
    </r>
    <r>
      <rPr>
        <rFont val="Arial, sans-serif"/>
        <color rgb="FF1155CC"/>
        <sz val="11.0"/>
        <u/>
      </rPr>
      <t>8 nov 2024</t>
    </r>
  </si>
  <si>
    <t>Brufau carga contra los “deseos aspiracionales” del Gobierno en coche eléctrico, hidrógeno y eólica</t>
  </si>
  <si>
    <t>El presidente de Repsol exige “consistencia” en los planes de los gobiernos de la UE en materia medioambiental.</t>
  </si>
  <si>
    <t>Brufau charges against the Government's “aspirational desires” for electric cars, hydrogen and wind power</t>
  </si>
  <si>
    <t>The president of Repsol demands “consistency” in the plans of EU governments on environmental matters.</t>
  </si>
  <si>
    <t>Energy policy</t>
  </si>
  <si>
    <t>Repsol, energy policy</t>
  </si>
  <si>
    <t>Repsol, política energética</t>
  </si>
  <si>
    <t>Slightly negative as it shows friction with policymakers.</t>
  </si>
  <si>
    <t>carga contra</t>
  </si>
  <si>
    <t>Negative due to criticism of government policies.</t>
  </si>
  <si>
    <t>Negativo por críticas a las políticas gubernamentales.</t>
  </si>
  <si>
    <r>
      <rPr>
        <rFont val="Arial, sans-serif"/>
        <color rgb="FF1155CC"/>
        <sz val="9.0"/>
        <u/>
      </rPr>
      <t>El Comercio Perú</t>
    </r>
    <r>
      <rPr>
        <rFont val="Arial, sans-serif"/>
        <color rgb="FF1155CC"/>
        <sz val="15.0"/>
        <u/>
      </rPr>
      <t>“Acá nacerá la futura estrella del fútbol peruano”: la colorida barra que dijo presente en el Semillero Repsol Fútbol Femenino</t>
    </r>
    <r>
      <rPr>
        <rFont val="Arial, sans-serif"/>
        <color rgb="FF1155CC"/>
        <sz val="11.0"/>
        <u/>
      </rPr>
      <t>Del populoso distrito de San Juan de Miraflores, Balón Rosa es la sensación del Semillero Repsol Fútbol Femenino por su juego y por su famosa “Barra...</t>
    </r>
    <r>
      <rPr>
        <rFont val="Arial, sans-serif"/>
        <color rgb="FF1155CC"/>
        <sz val="12.0"/>
        <u/>
      </rPr>
      <t>.</t>
    </r>
    <r>
      <rPr>
        <rFont val="Arial, sans-serif"/>
        <color rgb="FF1155CC"/>
        <sz val="11.0"/>
        <u/>
      </rPr>
      <t>8 nov 2024</t>
    </r>
  </si>
  <si>
    <t>“Acá nacerá la futura estrella del fútbol peruano”: la colorida barra que dijo presente en el Semillero Repsol Fútbol Femenino</t>
  </si>
  <si>
    <t>Del populoso distrito de San Juan de Miraflores, Balón Rosa es la sensación del Semillero Repsol Fútbol Femenino por su juego y por su famosa “Barra....</t>
  </si>
  <si>
    <t>“The future star of Peruvian soccer will be born here”: the colorful bar that was present in the Repsol Women's Soccer Seedbed</t>
  </si>
  <si>
    <t>From the populous district of San Juan de Miraflores, Balón Rosa is the sensation of the Repsol Women's Football Seedbed for its game and its famous “Barra....</t>
  </si>
  <si>
    <t>CSR &amp; Sports</t>
  </si>
  <si>
    <r>
      <rPr>
        <rFont val="Arial, sans-serif"/>
        <color rgb="FF1155CC"/>
        <sz val="9.0"/>
        <u/>
      </rPr>
      <t>Emprendedores</t>
    </r>
    <r>
      <rPr>
        <rFont val="Arial, sans-serif"/>
        <color rgb="FF1155CC"/>
        <sz val="15.0"/>
        <u/>
      </rPr>
      <t>Repsol cierra el círculo: hará cerveza con pan duro</t>
    </r>
    <r>
      <rPr>
        <rFont val="Arial, sans-serif"/>
        <color rgb="FF1155CC"/>
        <sz val="11.0"/>
        <u/>
      </rPr>
      <t>Repsol apuesta por la economía circular a través de un acuerdo con Sr. Mendrugo, que fabricará cerveza a partir del pan que no se venda en sus gasolineras.</t>
    </r>
    <r>
      <rPr>
        <rFont val="Arial, sans-serif"/>
        <color rgb="FF1155CC"/>
        <sz val="12.0"/>
        <u/>
      </rPr>
      <t>.</t>
    </r>
    <r>
      <rPr>
        <rFont val="Arial, sans-serif"/>
        <color rgb="FF1155CC"/>
        <sz val="11.0"/>
        <u/>
      </rPr>
      <t>9 nov 2024</t>
    </r>
  </si>
  <si>
    <t>Repsol cierra el círculo: hará cerveza con pan duro</t>
  </si>
  <si>
    <t>Repsol apuesta por la economía circular a través de un acuerdo con Sr. Mendrugo, que fabricará cerveza a partir del pan que no se venda en sus gasolineras.</t>
  </si>
  <si>
    <t>Repsol closes the circle: it will make beer with stale bread</t>
  </si>
  <si>
    <t>Repsol is committed to the circular economy through an agreement with Mr. Mendrugo, which will make beer from bread that is not sold at its gas stations.</t>
  </si>
  <si>
    <t>Repsol, circular economy</t>
  </si>
  <si>
    <t>Repsol, economía circular</t>
  </si>
  <si>
    <t>Positive as it promotes waste reduction.</t>
  </si>
  <si>
    <t>economía circular</t>
  </si>
  <si>
    <t>Positive for sustainability effort.</t>
  </si>
  <si>
    <t>Positivo para el esfuerzo de sostenibilidad.</t>
  </si>
  <si>
    <r>
      <rPr>
        <rFont val="Arial, sans-serif"/>
        <color rgb="FF1155CC"/>
        <sz val="9.0"/>
        <u/>
      </rPr>
      <t>Diari de Tarragona</t>
    </r>
    <r>
      <rPr>
        <rFont val="Arial, sans-serif"/>
        <color rgb="FF1155CC"/>
        <sz val="15.0"/>
        <u/>
      </rPr>
      <t>«Nos invitaban a comer con lo poco que tenían»</t>
    </r>
    <r>
      <rPr>
        <rFont val="Arial, sans-serif"/>
        <color rgb="FF1155CC"/>
        <sz val="11.0"/>
        <u/>
      </rPr>
      <t>Había vivido otras emergencias como voluntario de Protecció Civil, en búsquedas y alguna inundación, pero nada como esta. Me ha dejado impactado». As...</t>
    </r>
    <r>
      <rPr>
        <rFont val="Arial, sans-serif"/>
        <color rgb="FF1155CC"/>
        <sz val="12.0"/>
        <u/>
      </rPr>
      <t>.</t>
    </r>
    <r>
      <rPr>
        <rFont val="Arial, sans-serif"/>
        <color rgb="FF1155CC"/>
        <sz val="11.0"/>
        <u/>
      </rPr>
      <t>9 nov 2024</t>
    </r>
  </si>
  <si>
    <t>«Nos invitaban a comer con lo poco que tenían»</t>
  </si>
  <si>
    <t>«Nos invitaban a comer con lo poco que tenían» Había vivido otras emergencias como voluntario de Protecció Civil, en búsquedas y alguna inundación, pero nada como esta. Me ha dejado impactado.</t>
  </si>
  <si>
    <t>"They invited us to eat with the little they had"</t>
  </si>
  <si>
    <t>"They invited us to eat with the little they had" He had experienced other emergencies as a Civil Protection volunteer, in searches and some floods, but nothing like this. It has left me shocked.</t>
  </si>
  <si>
    <t>Human interest</t>
  </si>
  <si>
    <r>
      <rPr>
        <rFont val="Arial, sans-serif"/>
        <color rgb="FF1155CC"/>
        <sz val="9.0"/>
        <u/>
      </rPr>
      <t>Las Provincias</t>
    </r>
    <r>
      <rPr>
        <rFont val="Arial, sans-serif"/>
        <color rgb="FF1155CC"/>
        <sz val="15.0"/>
        <u/>
      </rPr>
      <t>Los depósitos que albergan miles de coches embarrados a la espera de sus dueños</t>
    </r>
    <r>
      <rPr>
        <rFont val="Arial, sans-serif"/>
        <color rgb="FF1155CC"/>
        <sz val="11.0"/>
        <u/>
      </rPr>
      <t>Diversas empresas se unen para retirar de las calles los vehículos dañados por la DANA y habilitan zonas para su almacenamiento.</t>
    </r>
    <r>
      <rPr>
        <rFont val="Arial, sans-serif"/>
        <color rgb="FF1155CC"/>
        <sz val="12.0"/>
        <u/>
      </rPr>
      <t>.</t>
    </r>
    <r>
      <rPr>
        <rFont val="Arial, sans-serif"/>
        <color rgb="FF1155CC"/>
        <sz val="11.0"/>
        <u/>
      </rPr>
      <t>9 nov 2024</t>
    </r>
  </si>
  <si>
    <t>Los depósitos que albergan miles de coches embarrados a la espera de sus dueños</t>
  </si>
  <si>
    <t>Diversas empresas se unen para retirar de las calles los vehículos dañados por la DANA y habilitan zonas para su almacenamiento.</t>
  </si>
  <si>
    <t>The warehouses that house thousands of muddy cars waiting for their owners</t>
  </si>
  <si>
    <t>Various companies come together to remove vehicles damaged by DANA from the streets and set up areas for their storage.</t>
  </si>
  <si>
    <r>
      <rPr>
        <rFont val="Arial, sans-serif"/>
        <color rgb="FF1155CC"/>
        <sz val="9.0"/>
        <u/>
      </rPr>
      <t>El Televisero</t>
    </r>
    <r>
      <rPr>
        <rFont val="Arial, sans-serif"/>
        <color rgb="FF1155CC"/>
        <sz val="15.0"/>
        <u/>
      </rPr>
      <t>Isabel Rábago pasa de Telecinco a TVE con su salto a este inesperado programa con famosos</t>
    </r>
    <r>
      <rPr>
        <rFont val="Arial, sans-serif"/>
        <color rgb="FF1155CC"/>
        <sz val="11.0"/>
        <u/>
      </rPr>
      <t>Isabel Rábago dará el salto de Telecinco a TVE el próximo lunes como invitada de la nueva entrega de 'MasterChef Celebrity'.</t>
    </r>
    <r>
      <rPr>
        <rFont val="Arial, sans-serif"/>
        <color rgb="FF1155CC"/>
        <sz val="12.0"/>
        <u/>
      </rPr>
      <t>.</t>
    </r>
    <r>
      <rPr>
        <rFont val="Arial, sans-serif"/>
        <color rgb="FF1155CC"/>
        <sz val="11.0"/>
        <u/>
      </rPr>
      <t>9 nov 2024</t>
    </r>
  </si>
  <si>
    <t>Isabel Rábago pasa de Telecinco a TVE con su salto a este inesperado programa con famosos</t>
  </si>
  <si>
    <t>Isabel Rábago dará el salto de Telecinco a TVE el próximo lunes como invitada de la nueva entrega de 'MasterChef Celebrity'.</t>
  </si>
  <si>
    <t>Isabel Rábago moves from Telecinco to TVE with her jump to this unexpected program with celebrities</t>
  </si>
  <si>
    <t>Isabel Rábago will make the jump from Telecinco to TVE next Monday as a guest on the new installment of 'MasterChef Celebrity'.</t>
  </si>
  <si>
    <r>
      <rPr>
        <rFont val="Arial, sans-serif"/>
        <color rgb="FF1155CC"/>
        <sz val="9.0"/>
        <u/>
      </rPr>
      <t>Economía Digital</t>
    </r>
    <r>
      <rPr>
        <rFont val="Arial, sans-serif"/>
        <color rgb="FF1155CC"/>
        <sz val="15.0"/>
        <u/>
      </rPr>
      <t>Iberdrola, Repsol, Naturgy y Acciona Energía pierden 5.300 millones en bolsa en la semana del triunfo de Trump</t>
    </r>
    <r>
      <rPr>
        <rFont val="Arial, sans-serif"/>
        <color rgb="FF1155CC"/>
        <sz val="11.0"/>
        <u/>
      </rPr>
      <t>Las principales energéticas del país han cerrado la semana con fuertes pérdidas en el mercado. Iberdrola, Naturgy, Repsol o Acciona Energía no logran...</t>
    </r>
    <r>
      <rPr>
        <rFont val="Arial, sans-serif"/>
        <color rgb="FF1155CC"/>
        <sz val="12.0"/>
        <u/>
      </rPr>
      <t>.</t>
    </r>
    <r>
      <rPr>
        <rFont val="Arial, sans-serif"/>
        <color rgb="FF1155CC"/>
        <sz val="11.0"/>
        <u/>
      </rPr>
      <t>10 nov 2024</t>
    </r>
  </si>
  <si>
    <t>Iberdrola, Repsol, Naturgy y Acciona Energía pierden 5.300 millones en bolsa en la semana del triunfo de Trump</t>
  </si>
  <si>
    <t>Las principales energéticas del país han cerrado la semana con fuertes pérdidas en el mercado. Iberdrola, Naturgy, Repsol o Acciona Energía no logran....</t>
  </si>
  <si>
    <t>Iberdrola, Repsol, Naturgy and Acciona Energía lose 5.3 billion in the stock market in the week of Trump's victory</t>
  </si>
  <si>
    <t>The country's main energy companies have closed the week with heavy losses in the market. Iberdrola, Naturgy, Repsol or Acciona Energía fail to...</t>
  </si>
  <si>
    <t>Repsol, stock market losses</t>
  </si>
  <si>
    <t>Repsol, pérdidas bursátiles</t>
  </si>
  <si>
    <t>Negative as it shows financial impact due to political events.</t>
  </si>
  <si>
    <t>pierden</t>
  </si>
  <si>
    <r>
      <rPr>
        <rFont val="Arial, sans-serif"/>
        <color rgb="FF1155CC"/>
        <sz val="9.0"/>
        <u/>
      </rPr>
      <t>Aragón Digital</t>
    </r>
    <r>
      <rPr>
        <rFont val="Arial, sans-serif"/>
        <color rgb="FF1155CC"/>
        <sz val="15.0"/>
        <u/>
      </rPr>
      <t>Lo dice la Guía Repsol: estos son los mejores restaurantes de carretera de Aragón</t>
    </r>
    <r>
      <rPr>
        <rFont val="Arial, sans-serif"/>
        <color rgb="FF1155CC"/>
        <sz val="11.0"/>
        <u/>
      </rPr>
      <t>La Guía Repsol ha revelado su lista de “Soletes de carretera” para este año, que incluye tres restaurantes de Aragón.</t>
    </r>
    <r>
      <rPr>
        <rFont val="Arial, sans-serif"/>
        <color rgb="FF1155CC"/>
        <sz val="12.0"/>
        <u/>
      </rPr>
      <t>.</t>
    </r>
    <r>
      <rPr>
        <rFont val="Arial, sans-serif"/>
        <color rgb="FF1155CC"/>
        <sz val="11.0"/>
        <u/>
      </rPr>
      <t>10 nov 2024</t>
    </r>
  </si>
  <si>
    <t>Lo dice la Guía Repsol: estos son los mejores restaurantes de carretera de Aragón</t>
  </si>
  <si>
    <t>La Guía Repsol ha revelado su lista de “Soletes de carretera” para este año, que incluye tres restaurantes de Aragón.</t>
  </si>
  <si>
    <t>The Repsol Guide says it: these are the best roadside restaurants in Aragon</t>
  </si>
  <si>
    <t>The Repsol Guide has revealed its list of “Road Soletes” for this year, which includes three restaurants in Aragon.</t>
  </si>
  <si>
    <r>
      <rPr>
        <rFont val="Arial, sans-serif"/>
        <color rgb="FF1155CC"/>
        <sz val="9.0"/>
        <u/>
      </rPr>
      <t>El Correo Gallego</t>
    </r>
    <r>
      <rPr>
        <rFont val="Arial, sans-serif"/>
        <color rgb="FF1155CC"/>
        <sz val="15.0"/>
        <u/>
      </rPr>
      <t>Ingenieros industriales y la Xunta reúnen a todos los actores de la Seguridad Industrial</t>
    </r>
    <r>
      <rPr>
        <rFont val="Arial, sans-serif"/>
        <color rgb="FF1155CC"/>
        <sz val="11.0"/>
        <u/>
      </rPr>
      <t>El Colexio Oficial de Enxeñeiros Industriais de Galicia y la Xunta, han organizado durante dos días en la Fundación Laboral de la Construcción de Santiago,...</t>
    </r>
    <r>
      <rPr>
        <rFont val="Arial, sans-serif"/>
        <color rgb="FF1155CC"/>
        <sz val="12.0"/>
        <u/>
      </rPr>
      <t>.</t>
    </r>
    <r>
      <rPr>
        <rFont val="Arial, sans-serif"/>
        <color rgb="FF1155CC"/>
        <sz val="11.0"/>
        <u/>
      </rPr>
      <t>10 nov 2024</t>
    </r>
  </si>
  <si>
    <t>Ingenieros industriales y la Xunta reúnen a todos los actores de la Seguridad Industrial</t>
  </si>
  <si>
    <t>El Colexio Oficial de Enxeñeiros Industriais de Galicia y la Xunta, han organizado durante dos días en la Fundación Laboral de la Construcción de Santiago,...</t>
  </si>
  <si>
    <t>Industrial engineers and the Xunta bring together all Industrial Safety actors</t>
  </si>
  <si>
    <t>The Official Colexio de Enxeñeiros Industriais de Galicia and the Xunta, have organized for two days at the Santiago Construction Labor Foundation,...</t>
  </si>
  <si>
    <r>
      <rPr>
        <rFont val="Arial, sans-serif"/>
        <color rgb="FF1155CC"/>
        <sz val="9.0"/>
        <u/>
      </rPr>
      <t>El Confidencial</t>
    </r>
    <r>
      <rPr>
        <rFont val="Arial, sans-serif"/>
        <color rgb="FF1155CC"/>
        <sz val="15.0"/>
        <u/>
      </rPr>
      <t>"Si el cambio climático mata el turismo y nosotros, la industria, nos volveremos un museo"</t>
    </r>
    <r>
      <rPr>
        <rFont val="Arial, sans-serif"/>
        <color rgb="FF1155CC"/>
        <sz val="11.0"/>
        <u/>
      </rPr>
      <t>El experto en el sector energético critica duramente la ideologización de la transición ecológica y energética. Foto: Nemesio Fernández-Cuesta durante una...</t>
    </r>
    <r>
      <rPr>
        <rFont val="Arial, sans-serif"/>
        <color rgb="FF1155CC"/>
        <sz val="12.0"/>
        <u/>
      </rPr>
      <t>.</t>
    </r>
    <r>
      <rPr>
        <rFont val="Arial, sans-serif"/>
        <color rgb="FF1155CC"/>
        <sz val="11.0"/>
        <u/>
      </rPr>
      <t>10 nov 2024</t>
    </r>
  </si>
  <si>
    <t>"Si el cambio climático mata el turismo y nosotros, la industria, nos volveremos un museo"</t>
  </si>
  <si>
    <t>El experto en el sector energético critica duramente la ideologización de la transición ecológica y energética.</t>
  </si>
  <si>
    <t>"If climate change kills tourism and we, the industry, will become a museum"</t>
  </si>
  <si>
    <t>The expert in the energy sector harshly criticizes the ideologization of the ecological and energy transition.</t>
  </si>
  <si>
    <r>
      <rPr>
        <rFont val="Arial, sans-serif"/>
        <color rgb="FF1155CC"/>
        <sz val="9.0"/>
        <u/>
      </rPr>
      <t>Guía Repsol</t>
    </r>
    <r>
      <rPr>
        <rFont val="Arial, sans-serif"/>
        <color rgb="FF1155CC"/>
        <sz val="15.0"/>
        <u/>
      </rPr>
      <t>Más de 300 Soletes con Solera para celebrar las recetas de siempre</t>
    </r>
    <r>
      <rPr>
        <rFont val="Arial, sans-serif"/>
        <color rgb="FF1155CC"/>
        <sz val="11.0"/>
        <u/>
      </rPr>
      <t>Descubre el listado completo de los Soletes con Solera de Guía Repsol, que acogen un total de 300 nuevos locales premiados.</t>
    </r>
    <r>
      <rPr>
        <rFont val="Arial, sans-serif"/>
        <color rgb="FF1155CC"/>
        <sz val="12.0"/>
        <u/>
      </rPr>
      <t>.</t>
    </r>
    <r>
      <rPr>
        <rFont val="Arial, sans-serif"/>
        <color rgb="FF1155CC"/>
        <sz val="11.0"/>
        <u/>
      </rPr>
      <t>11 nov 2024</t>
    </r>
  </si>
  <si>
    <t>Más de 300 Soletes con Solera para celebrar las recetas de siempre</t>
  </si>
  <si>
    <t>Más de 300 Soletes con Solera para celebrar las recetas de siempre.</t>
  </si>
  <si>
    <t>More than 300 Soletes con Solera to celebrate traditional recipes</t>
  </si>
  <si>
    <t>More than 300 Soletes con Solera to celebrate traditional recipes.</t>
  </si>
  <si>
    <r>
      <rPr>
        <rFont val="Arial, sans-serif"/>
        <color rgb="FF1155CC"/>
        <sz val="9.0"/>
        <u/>
      </rPr>
      <t>El Comercio</t>
    </r>
    <r>
      <rPr>
        <rFont val="Arial, sans-serif"/>
        <color rgb="FF1155CC"/>
        <sz val="15.0"/>
        <u/>
      </rPr>
      <t>Ocho restaurantes de Asturias, nuevos Soletes con Solera de la Guía Repsol</t>
    </r>
    <r>
      <rPr>
        <rFont val="Arial, sans-serif"/>
        <color rgb="FF1155CC"/>
        <sz val="11.0"/>
        <u/>
      </rPr>
      <t>Con estas incorporaciones, el Principado suma ya 104 establecimientos gastronómicos que brillan por homenajear la tradición.</t>
    </r>
    <r>
      <rPr>
        <rFont val="Arial, sans-serif"/>
        <color rgb="FF1155CC"/>
        <sz val="12.0"/>
        <u/>
      </rPr>
      <t>.</t>
    </r>
    <r>
      <rPr>
        <rFont val="Arial, sans-serif"/>
        <color rgb="FF1155CC"/>
        <sz val="11.0"/>
        <u/>
      </rPr>
      <t>11 nov 2024</t>
    </r>
  </si>
  <si>
    <t>Ocho restaurantes de Asturias, nuevos Soletes con Solera de la Guía Repsol</t>
  </si>
  <si>
    <t>Con estas incorporaciones, el Principado suma ya 104 establecimientos gastronómicos que brillan por homenajear la tradición.</t>
  </si>
  <si>
    <t>Eight restaurants in Asturias, new Soletes con Solera from the Repsol Guide</t>
  </si>
  <si>
    <t>With these additions, the Principality now has 104 gastronomic establishments that shine for paying tribute to tradition.</t>
  </si>
  <si>
    <r>
      <rPr>
        <rFont val="Arial, sans-serif"/>
        <color rgb="FF1155CC"/>
        <sz val="9.0"/>
        <u/>
      </rPr>
      <t>Navarra Capital</t>
    </r>
    <r>
      <rPr>
        <rFont val="Arial, sans-serif"/>
        <color rgb="FF1155CC"/>
        <sz val="15.0"/>
        <u/>
      </rPr>
      <t>La Guía Repsol concede cinco nuevos Soletes a establecimientos hosteleros de Navarra</t>
    </r>
    <r>
      <rPr>
        <rFont val="Arial, sans-serif"/>
        <color rgb="FF1155CC"/>
        <sz val="11.0"/>
        <u/>
      </rPr>
      <t>Los nuevos Soletes de Navarra han recaído en los restaurantes Beola, Etxebertzeko Borda, La Fogoneta y Sarasate, así como en la panadería L'Atelier.</t>
    </r>
    <r>
      <rPr>
        <rFont val="Arial, sans-serif"/>
        <color rgb="FF1155CC"/>
        <sz val="12.0"/>
        <u/>
      </rPr>
      <t>.</t>
    </r>
    <r>
      <rPr>
        <rFont val="Arial, sans-serif"/>
        <color rgb="FF1155CC"/>
        <sz val="11.0"/>
        <u/>
      </rPr>
      <t>11 nov 2024</t>
    </r>
  </si>
  <si>
    <t>Navarra Capital</t>
  </si>
  <si>
    <t>La Guía Repsol concede cinco nuevos Soletes a establecimientos hosteleros de Navarra</t>
  </si>
  <si>
    <t>Los nuevos Soletes de Navarra han recaído en los restaurantes Beola, Etxebertzeko Borda, La Fogoneta y Sarasate, así como en la panadería L'Atelier.</t>
  </si>
  <si>
    <t>The Repsol Guide awards five new Soletes to hospitality establishments in Navarra</t>
  </si>
  <si>
    <t>The new Soletes de Navarra have gone to the Beola, Etxebertzeko Borda, La Fogoneta and Sarasate restaurants, as well as the L'Atelier bakery.</t>
  </si>
  <si>
    <r>
      <rPr>
        <rFont val="Arial, sans-serif"/>
        <color rgb="FF1155CC"/>
        <sz val="9.0"/>
        <u/>
      </rPr>
      <t>La Voz de Galicia</t>
    </r>
    <r>
      <rPr>
        <rFont val="Arial, sans-serif"/>
        <color rgb="FF1155CC"/>
        <sz val="15.0"/>
        <u/>
      </rPr>
      <t>La guía Repsol reconoce con nuevos Soletes la tradición de tres locales en Ourense</t>
    </r>
    <r>
      <rPr>
        <rFont val="Arial, sans-serif"/>
        <color rgb="FF1155CC"/>
        <sz val="11.0"/>
        <u/>
      </rPr>
      <t>El restaurante Catador, el bar Pepinillo y el mesón Italia de Verín se suman a la lista por su trayectoria y ligazón a la provincia.</t>
    </r>
    <r>
      <rPr>
        <rFont val="Arial, sans-serif"/>
        <color rgb="FF1155CC"/>
        <sz val="12.0"/>
        <u/>
      </rPr>
      <t>.</t>
    </r>
    <r>
      <rPr>
        <rFont val="Arial, sans-serif"/>
        <color rgb="FF1155CC"/>
        <sz val="11.0"/>
        <u/>
      </rPr>
      <t>11 nov 2024</t>
    </r>
  </si>
  <si>
    <t>La guía Repsol reconoce con nuevos Soletes la tradición de tres locales en Ourense</t>
  </si>
  <si>
    <t>El restaurante Catador, el bar Pepinillo y el mesón Italia de Verín se suman a la lista por su trayectoria y ligazón a la provincia.</t>
  </si>
  <si>
    <t>The Repsol guide recognizes the tradition of three stores in Ourense with new Soletes</t>
  </si>
  <si>
    <t>The Catador restaurant, the Pepinillo bar and the Italia de Verín inn join the list due to their history and ties to the province.</t>
  </si>
  <si>
    <r>
      <rPr>
        <rFont val="Arial, sans-serif"/>
        <color rgb="FF1155CC"/>
        <sz val="9.0"/>
        <u/>
      </rPr>
      <t>EL PAÍS</t>
    </r>
    <r>
      <rPr>
        <rFont val="Arial, sans-serif"/>
        <color rgb="FF1155CC"/>
        <sz val="15.0"/>
        <u/>
      </rPr>
      <t>330 nuevos ‘soletes’ Repsol: la vuelta a las casas de comidas y a los bares de antaño</t>
    </r>
    <r>
      <rPr>
        <rFont val="Arial, sans-serif"/>
        <color rgb="FF1155CC"/>
        <sz val="11.0"/>
        <u/>
      </rPr>
      <t>Locales con solera, una tendencia cada vez más en alza por las nuevas generaciones de cocineros y de emprendedores que desean rescatar sabores,...</t>
    </r>
    <r>
      <rPr>
        <rFont val="Arial, sans-serif"/>
        <color rgb="FF1155CC"/>
        <sz val="12.0"/>
        <u/>
      </rPr>
      <t>.</t>
    </r>
    <r>
      <rPr>
        <rFont val="Arial, sans-serif"/>
        <color rgb="FF1155CC"/>
        <sz val="11.0"/>
        <u/>
      </rPr>
      <t>11 nov 2024</t>
    </r>
  </si>
  <si>
    <t>330 nuevos ‘soletes’ Repsol: la vuelta a las casas de comidas y a los bares de antaño</t>
  </si>
  <si>
    <t>Locales con solera, una tendencia cada vez más en alza por las nuevas generaciones de cocineros y de emprendedores que desean rescatar sabores,....</t>
  </si>
  <si>
    <t>330 new Repsol 'soletes': a return to the restaurants and bars of yesteryear</t>
  </si>
  <si>
    <t>Premises with tradition, a trend that is increasingly on the rise due to new generations of chefs and entrepreneurs who want to rescue flavors,...</t>
  </si>
  <si>
    <r>
      <rPr>
        <rFont val="Arial, sans-serif"/>
        <color rgb="FF1155CC"/>
        <sz val="9.0"/>
        <u/>
      </rPr>
      <t>Atlántico Hoy</t>
    </r>
    <r>
      <rPr>
        <rFont val="Arial, sans-serif"/>
        <color rgb="FF1155CC"/>
        <sz val="15.0"/>
        <u/>
      </rPr>
      <t>Repsol pide renovar el uso su gasolinera del puerto de Santa Cruz, la tercera más cara de Tenerife</t>
    </r>
    <r>
      <rPr>
        <rFont val="Arial, sans-serif"/>
        <color rgb="FF1155CC"/>
        <sz val="11.0"/>
        <u/>
      </rPr>
      <t>Repsol ha pedido a la Autoridad Portuaria de Tenerife una prórroga de la concesión para explotar la gasolinera que tiene en la dársena pesquera de Santa...</t>
    </r>
    <r>
      <rPr>
        <rFont val="Arial, sans-serif"/>
        <color rgb="FF1155CC"/>
        <sz val="12.0"/>
        <u/>
      </rPr>
      <t>.</t>
    </r>
    <r>
      <rPr>
        <rFont val="Arial, sans-serif"/>
        <color rgb="FF1155CC"/>
        <sz val="11.0"/>
        <u/>
      </rPr>
      <t>11 nov 2024</t>
    </r>
  </si>
  <si>
    <t>Repsol pide renovar el uso su gasolinera del puerto de Santa Cruz, la tercera más cara de Tenerife</t>
  </si>
  <si>
    <t>Repsol ha pedido a la Autoridad Portuaria de Tenerife una prórroga de la concesión para explotar la gasolinera que tiene en la dársena pesquera de Santa....</t>
  </si>
  <si>
    <t>Repsol asks to renew the use of its gas station in the port of Santa Cruz, the third most expensive in Tenerife</t>
  </si>
  <si>
    <t>Repsol has asked the Tenerife Port Authority for an extension of the concession to operate the gas station it has in the Santa fishing dock....</t>
  </si>
  <si>
    <t>Neutral as it is a corporate request.</t>
  </si>
  <si>
    <t>renovar</t>
  </si>
  <si>
    <t>Neutral business activity.</t>
  </si>
  <si>
    <t>Actividad empresarial neutra.</t>
  </si>
  <si>
    <r>
      <rPr>
        <rFont val="Arial, sans-serif"/>
        <color rgb="FF1155CC"/>
        <sz val="9.0"/>
        <u/>
      </rPr>
      <t>El Confidencial</t>
    </r>
    <r>
      <rPr>
        <rFont val="Arial, sans-serif"/>
        <color rgb="FF1155CC"/>
        <sz val="15.0"/>
        <u/>
      </rPr>
      <t>Cantabria suma ocho nuevos 'Soletes con Solera' en la Guía Repsol, un tributo a su gastronomía tradicional</t>
    </r>
    <r>
      <rPr>
        <rFont val="Arial, sans-serif"/>
        <color rgb="FF1155CC"/>
        <sz val="11.0"/>
        <u/>
      </rPr>
      <t>Ocho lugares emblemáticos de Cantabria acaban de ser reconocidos con el distintivo de Solete con Solera de la Guía Repsol, una mención que valora la...</t>
    </r>
    <r>
      <rPr>
        <rFont val="Arial, sans-serif"/>
        <color rgb="FF1155CC"/>
        <sz val="12.0"/>
        <u/>
      </rPr>
      <t>.</t>
    </r>
    <r>
      <rPr>
        <rFont val="Arial, sans-serif"/>
        <color rgb="FF1155CC"/>
        <sz val="11.0"/>
        <u/>
      </rPr>
      <t>11 nov 2024</t>
    </r>
  </si>
  <si>
    <t>Cantabria suma ocho nuevos 'Soletes con Solera' en la Guía Repsol, un tributo a su gastronomía tradicional</t>
  </si>
  <si>
    <t>Ocho lugares emblemáticos de Cantabria acaban de ser reconocidos con el distintivo de Solete con Solera de la Guía Repsol, una mención que valora la....</t>
  </si>
  <si>
    <t>Cantabria adds eight new 'Soletes con Solera' in the Repsol Guide, a tribute to its traditional gastronomy</t>
  </si>
  <si>
    <t>Eight emblematic places in Cantabria have just been recognized with the distinction of Solete con Solera from the Repsol Guide, a mention that values ​​the...</t>
  </si>
  <si>
    <r>
      <rPr>
        <rFont val="Arial, sans-serif"/>
        <color rgb="FF1155CC"/>
        <sz val="9.0"/>
        <u/>
      </rPr>
      <t>Diario de Valladolid</t>
    </r>
    <r>
      <rPr>
        <rFont val="Arial, sans-serif"/>
        <color rgb="FF1155CC"/>
        <sz val="15.0"/>
        <u/>
      </rPr>
      <t>Valladolid suma siete nuevos 'Soletes con Solera' de Repsol: descúbrelos</t>
    </r>
    <r>
      <rPr>
        <rFont val="Arial, sans-serif"/>
        <color rgb="FF1155CC"/>
        <sz val="11.0"/>
        <u/>
      </rPr>
      <t>Guía Repsol presenta un nuevo listado con más de 300 Soletes con Solera repartidos por toda España. De ellos, siete establecimientos de Valladolid,...</t>
    </r>
    <r>
      <rPr>
        <rFont val="Arial, sans-serif"/>
        <color rgb="FF1155CC"/>
        <sz val="12.0"/>
        <u/>
      </rPr>
      <t>.</t>
    </r>
    <r>
      <rPr>
        <rFont val="Arial, sans-serif"/>
        <color rgb="FF1155CC"/>
        <sz val="11.0"/>
        <u/>
      </rPr>
      <t>11 nov 2024</t>
    </r>
  </si>
  <si>
    <t>Valladolid suma siete nuevos 'Soletes con Solera' de Repsol: descúbrelos</t>
  </si>
  <si>
    <t>Guía Repsol presenta un nuevo listado con más de 300 Soletes con Solera repartidos por toda España. De ellos, siete establecimientos de Valladolid,....</t>
  </si>
  <si>
    <t>Valladolid adds seven new 'Soletes con Solera' from Repsol: discover them</t>
  </si>
  <si>
    <t>Repsol Guide presents a new list with more than 300 Soletes con Solera spread throughout Spain. Of them, seven establishments in Valladolid,....</t>
  </si>
  <si>
    <r>
      <rPr>
        <rFont val="Arial, sans-serif"/>
        <color rgb="FF1155CC"/>
        <sz val="9.0"/>
        <u/>
      </rPr>
      <t>Diario de Almería</t>
    </r>
    <r>
      <rPr>
        <rFont val="Arial, sans-serif"/>
        <color rgb="FF1155CC"/>
        <sz val="15.0"/>
        <u/>
      </rPr>
      <t>Estos son los 'Soletes con Solera' de la Guía Repsol en Almería</t>
    </r>
    <r>
      <rPr>
        <rFont val="Arial, sans-serif"/>
        <color rgb="FF1155CC"/>
        <sz val="11.0"/>
        <u/>
      </rPr>
      <t>Seis restaurantes de Almería han sido nominados por la Guía Repsol como 'Soletes con Solera', un reconocimiento que se presenta este lunes en Córdoba y que...</t>
    </r>
    <r>
      <rPr>
        <rFont val="Arial, sans-serif"/>
        <color rgb="FF1155CC"/>
        <sz val="12.0"/>
        <u/>
      </rPr>
      <t>.</t>
    </r>
    <r>
      <rPr>
        <rFont val="Arial, sans-serif"/>
        <color rgb="FF1155CC"/>
        <sz val="11.0"/>
        <u/>
      </rPr>
      <t>11 nov 2024</t>
    </r>
  </si>
  <si>
    <t>Estos son los 'Soletes con Solera' de la Guía Repsol en Almería</t>
  </si>
  <si>
    <t>Seis restaurantes de Almería han sido nominados por la Guía Repsol como 'Soletes con Solera', un reconocimiento que se presenta este lunes en Córdoba y que....</t>
  </si>
  <si>
    <t>These are the 'Soletes con Solera' from the Repsol Guide in Almería</t>
  </si>
  <si>
    <t>Six restaurants in Almería have been nominated by the Repsol Guide as 'Soletes con Solera', a recognition that is presented this Monday in Córdoba and that...</t>
  </si>
  <si>
    <r>
      <rPr>
        <rFont val="Arial, sans-serif"/>
        <color rgb="FF1155CC"/>
        <sz val="9.0"/>
        <u/>
      </rPr>
      <t>El Español</t>
    </r>
    <r>
      <rPr>
        <rFont val="Arial, sans-serif"/>
        <color rgb="FF1155CC"/>
        <sz val="15.0"/>
        <u/>
      </rPr>
      <t>Estos son los nuevos establecimientos de Sevilla con un Solete de Repsol: una oda a la tradición y a la comida casera</t>
    </r>
    <r>
      <rPr>
        <rFont val="Arial, sans-serif"/>
        <color rgb="FF1155CC"/>
        <sz val="11.0"/>
        <u/>
      </rPr>
      <t>En total son nueve establecimientos repartidos por toda la provincia que llevan la tradición y el buen comer por bandera. Más información: El bar en pleno...</t>
    </r>
    <r>
      <rPr>
        <rFont val="Arial, sans-serif"/>
        <color rgb="FF1155CC"/>
        <sz val="12.0"/>
        <u/>
      </rPr>
      <t>.</t>
    </r>
    <r>
      <rPr>
        <rFont val="Arial, sans-serif"/>
        <color rgb="FF1155CC"/>
        <sz val="11.0"/>
        <u/>
      </rPr>
      <t>11 nov 2024</t>
    </r>
  </si>
  <si>
    <t>Estos son los nuevos establecimientos de Sevilla con un Solete de Repsol: una oda a la tradición y a la comida casera</t>
  </si>
  <si>
    <t>En total son nueve establecimientos repartidos por toda la provincia que llevan la tradición y el buen comer por bandera. Más información: El bar en pleno....</t>
  </si>
  <si>
    <t>These are the new establishments in Seville with a Repsol Solete: an ode to tradition and homemade food</t>
  </si>
  <si>
    <t>In total there are nine establishments spread throughout the province that carry tradition and good eating as their flag. More information: The bar in full....</t>
  </si>
  <si>
    <r>
      <rPr>
        <rFont val="Arial, sans-serif"/>
        <color rgb="FF1155CC"/>
        <sz val="9.0"/>
        <u/>
      </rPr>
      <t>El Diario Montañés</t>
    </r>
    <r>
      <rPr>
        <rFont val="Arial, sans-serif"/>
        <color rgb="FF1155CC"/>
        <sz val="15.0"/>
        <u/>
      </rPr>
      <t>Guía Repsol: ocho nuevos 'Soletes con Solera' para Cantabria</t>
    </r>
    <r>
      <rPr>
        <rFont val="Arial, sans-serif"/>
        <color rgb="FF1155CC"/>
        <sz val="11.0"/>
        <u/>
      </rPr>
      <t>El Rincón del Valle, La Coteruca, La Nuncia by Sergio Toca, La Solana, Melly, Mesón Madrileño, Confitería Milhojas y Pastelería Rego son los...</t>
    </r>
    <r>
      <rPr>
        <rFont val="Arial, sans-serif"/>
        <color rgb="FF1155CC"/>
        <sz val="12.0"/>
        <u/>
      </rPr>
      <t>.</t>
    </r>
    <r>
      <rPr>
        <rFont val="Arial, sans-serif"/>
        <color rgb="FF1155CC"/>
        <sz val="11.0"/>
        <u/>
      </rPr>
      <t>11 nov 2024</t>
    </r>
  </si>
  <si>
    <t>Guía Repsol: ocho nuevos 'Soletes con Solera' para Cantabria</t>
  </si>
  <si>
    <t>El Rincón del Valle, La Coteruca, La Nuncia by Sergio Toca, La Solana, Melly, Mesón Madrileño, Confitería Milhojas y Pastelería Rego son los....</t>
  </si>
  <si>
    <t>Repsol Guide: eight new 'Soletes con Solera' for Cantabria</t>
  </si>
  <si>
    <t>El Rincón del Valle, La Coteruca, La Nuncia by Sergio Toca, La Solana, Melly, Mesón Madrileño, Confitería Milhojas and Pastelería Rego are the....</t>
  </si>
  <si>
    <r>
      <rPr>
        <rFont val="Arial, sans-serif"/>
        <color rgb="FF1155CC"/>
        <sz val="9.0"/>
        <u/>
      </rPr>
      <t>El Día de Córdoba</t>
    </r>
    <r>
      <rPr>
        <rFont val="Arial, sans-serif"/>
        <color rgb="FF1155CC"/>
        <sz val="15.0"/>
        <u/>
      </rPr>
      <t>Córdoba suma diez nuevos Soletes Repsol</t>
    </r>
    <r>
      <rPr>
        <rFont val="Arial, sans-serif"/>
        <color rgb="FF1155CC"/>
        <sz val="11.0"/>
        <u/>
      </rPr>
      <t>La gastronomía cordobesa están de enhorabuena. Desde hoy suma diez nuevos Soletes Repsol a su palmarés. Los Soletes Repsol nacieron y mantienen la vocación...</t>
    </r>
    <r>
      <rPr>
        <rFont val="Arial, sans-serif"/>
        <color rgb="FF1155CC"/>
        <sz val="12.0"/>
        <u/>
      </rPr>
      <t>.</t>
    </r>
    <r>
      <rPr>
        <rFont val="Arial, sans-serif"/>
        <color rgb="FF1155CC"/>
        <sz val="11.0"/>
        <u/>
      </rPr>
      <t>11 nov 2024</t>
    </r>
  </si>
  <si>
    <t>Córdoba suma diez nuevos Soletes Repsol</t>
  </si>
  <si>
    <t>La gastronomía cordobesa están de enhorabuena. Desde hoy suma diez nuevos Soletes Repsol a su palmarés. Los Soletes Repsol nacieron y mantienen la vocación....</t>
  </si>
  <si>
    <t>Córdoba adds ten new Repsol Soletes</t>
  </si>
  <si>
    <t>The gastronomy of Cordoba is in luck. As of today, he adds ten new Repsol Soletes to his record. The Repsol Soletes were born and maintain the vocation....</t>
  </si>
  <si>
    <r>
      <rPr>
        <rFont val="Arial, sans-serif"/>
        <color rgb="FF1155CC"/>
        <sz val="9.0"/>
        <u/>
      </rPr>
      <t>ABC</t>
    </r>
    <r>
      <rPr>
        <rFont val="Arial, sans-serif"/>
        <color rgb="FF1155CC"/>
        <sz val="15.0"/>
        <u/>
      </rPr>
      <t>Diez nuevos 'soletes' de la Guía Repsol para Córdoba: descubre cuáles son</t>
    </r>
    <r>
      <rPr>
        <rFont val="Arial, sans-serif"/>
        <color rgb="FF1155CC"/>
        <sz val="11.0"/>
        <u/>
      </rPr>
      <t>'Soletes con Solera' es la categoría que se dará aconocer erste lunes en la gala que se celebra en Córdoba.</t>
    </r>
    <r>
      <rPr>
        <rFont val="Arial, sans-serif"/>
        <color rgb="FF1155CC"/>
        <sz val="12.0"/>
        <u/>
      </rPr>
      <t>.</t>
    </r>
    <r>
      <rPr>
        <rFont val="Arial, sans-serif"/>
        <color rgb="FF1155CC"/>
        <sz val="11.0"/>
        <u/>
      </rPr>
      <t>11 nov 2024</t>
    </r>
  </si>
  <si>
    <t>Diez nuevos 'soletes' de la Guía Repsol para Córdoba: descubre cuáles son</t>
  </si>
  <si>
    <t>'Soletes con Solera' es la categoría que se dará aconocer este lunes en la gala que se celebra en Córdoba.</t>
  </si>
  <si>
    <t>Ten new 'solets' from the Repsol Guide for Córdoba: discover what they are</t>
  </si>
  <si>
    <t>'Soletes con Solera' is the category that will be announced this Monday at the gala held in Córdoba.</t>
  </si>
  <si>
    <r>
      <rPr>
        <rFont val="Arial, sans-serif"/>
        <color rgb="FF1155CC"/>
        <sz val="9.0"/>
        <u/>
      </rPr>
      <t>El Periódico Mediterráneo</t>
    </r>
    <r>
      <rPr>
        <rFont val="Arial, sans-serif"/>
        <color rgb="FF1155CC"/>
        <sz val="15.0"/>
        <u/>
      </rPr>
      <t>La Guía Repsol nombra seis nuevos Soletes en Castellón</t>
    </r>
    <r>
      <rPr>
        <rFont val="Arial, sans-serif"/>
        <color rgb="FF1155CC"/>
        <sz val="11.0"/>
        <u/>
      </rPr>
      <t>La Guía Repsol ha dado a conocer esta mañana en Córdoba los establecimientos galardonados con un Solete con Solera, distinción que pretende ser un homenaje...</t>
    </r>
    <r>
      <rPr>
        <rFont val="Arial, sans-serif"/>
        <color rgb="FF1155CC"/>
        <sz val="12.0"/>
        <u/>
      </rPr>
      <t>.</t>
    </r>
    <r>
      <rPr>
        <rFont val="Arial, sans-serif"/>
        <color rgb="FF1155CC"/>
        <sz val="11.0"/>
        <u/>
      </rPr>
      <t>11 nov 2024</t>
    </r>
  </si>
  <si>
    <t>La Guía Repsol nombra seis nuevos Soletes en Castellón</t>
  </si>
  <si>
    <t>La Guía Repsol ha dado a conocer esta mañana en Córdoba los establecimientos galardonados con un Solete con Solera, distinción que pretende ser un homenaje....</t>
  </si>
  <si>
    <t>The Repsol Guide names six new Soletes in Castellón</t>
  </si>
  <si>
    <t>The Repsol Guide announced this morning in Córdoba the establishments awarded with a Solete con Solera, a distinction that is intended to be a tribute....</t>
  </si>
  <si>
    <r>
      <rPr>
        <rFont val="Arial, sans-serif"/>
        <color rgb="FF1155CC"/>
        <sz val="9.0"/>
        <u/>
      </rPr>
      <t>Canarias7</t>
    </r>
    <r>
      <rPr>
        <rFont val="Arial, sans-serif"/>
        <color rgb="FF1155CC"/>
        <sz val="15.0"/>
        <u/>
      </rPr>
      <t>Guía Repsol reconoce con sus 'Soletes con Solera' a 14 locales en Canarias por sus sabores de siempre</t>
    </r>
    <r>
      <rPr>
        <rFont val="Arial, sans-serif"/>
        <color rgb="FF1155CC"/>
        <sz val="11.0"/>
        <u/>
      </rPr>
      <t>Destacan la autenticidad de establecimientos gastronómicos repartidos por toda España, tanto negocios clásicos que han resistido el paso del tiempo como...</t>
    </r>
    <r>
      <rPr>
        <rFont val="Arial, sans-serif"/>
        <color rgb="FF1155CC"/>
        <sz val="12.0"/>
        <u/>
      </rPr>
      <t>.</t>
    </r>
    <r>
      <rPr>
        <rFont val="Arial, sans-serif"/>
        <color rgb="FF1155CC"/>
        <sz val="11.0"/>
        <u/>
      </rPr>
      <t>11 nov 2024</t>
    </r>
  </si>
  <si>
    <t>Guía Repsol reconoce con sus 'Soletes con Solera' a 14 locales en Canarias por sus sabores de siempre</t>
  </si>
  <si>
    <t>Destacan la autenticidad de establecimientos gastronómicos repartidos por toda España, tanto negocios clásicos que han resistido el paso del tiempo como....</t>
  </si>
  <si>
    <t>Repsol Guide recognizes 14 stores in the Canary Islands with its 'Soletes con Solera' for their traditional flavors</t>
  </si>
  <si>
    <t>They highlight the authenticity of gastronomic establishments spread throughout Spain, both classic businesses that have stood the test of time and....</t>
  </si>
  <si>
    <r>
      <rPr>
        <rFont val="Arial, sans-serif"/>
        <color rgb="FF1155CC"/>
        <sz val="9.0"/>
        <u/>
      </rPr>
      <t>La Vanguardia</t>
    </r>
    <r>
      <rPr>
        <rFont val="Arial, sans-serif"/>
        <color rgb="FF1155CC"/>
        <sz val="15.0"/>
        <u/>
      </rPr>
      <t>La Guía Repsol premia con sus nuevos Soletes a quienes rescatan los sabores de siempre</t>
    </r>
    <r>
      <rPr>
        <rFont val="Arial, sans-serif"/>
        <color rgb="FF1155CC"/>
        <sz val="11.0"/>
        <u/>
      </rPr>
      <t>Hay rincones en España donde la historia no se mide en años, sino en sabores. Y estos sabores, que hablan de recetas, de abuelas, de mesas de madera y de...</t>
    </r>
    <r>
      <rPr>
        <rFont val="Arial, sans-serif"/>
        <color rgb="FF1155CC"/>
        <sz val="12.0"/>
        <u/>
      </rPr>
      <t>.</t>
    </r>
    <r>
      <rPr>
        <rFont val="Arial, sans-serif"/>
        <color rgb="FF1155CC"/>
        <sz val="11.0"/>
        <u/>
      </rPr>
      <t>11 nov 2024</t>
    </r>
  </si>
  <si>
    <t>La Guía Repsol premia con sus nuevos Soletes a quienes rescatan los sabores de siempre</t>
  </si>
  <si>
    <t>Hay rincones en España donde la historia no se mide en años, sino en sabores. Y estos sabores, que hablan de recetas, de abuelas, de mesas de madera y de...</t>
  </si>
  <si>
    <t>The Repsol Guide rewards those who rescue the traditional flavors with its new Soletes</t>
  </si>
  <si>
    <t>There are corners in Spain where history is not measured in years, but in flavors. And these flavors, which talk about recipes, grandmothers, wooden tables and...</t>
  </si>
  <si>
    <r>
      <rPr>
        <rFont val="Arial, sans-serif"/>
        <color rgb="FF1155CC"/>
        <sz val="9.0"/>
        <u/>
      </rPr>
      <t>Expansión</t>
    </r>
    <r>
      <rPr>
        <rFont val="Arial, sans-serif"/>
        <color rgb="FF1155CC"/>
        <sz val="15.0"/>
        <u/>
      </rPr>
      <t>Repsol sigue jugando con fuego</t>
    </r>
    <r>
      <rPr>
        <rFont val="Arial, sans-serif"/>
        <color rgb="FF1155CC"/>
        <sz val="11.0"/>
        <u/>
      </rPr>
      <t>Los títulos de la petrolera, que marcaron máximos de todos los tiempos a principios de abril en los 15,67 euros (ajustada la serie histórica de precios a...</t>
    </r>
    <r>
      <rPr>
        <rFont val="Arial, sans-serif"/>
        <color rgb="FF1155CC"/>
        <sz val="12.0"/>
        <u/>
      </rPr>
      <t>.</t>
    </r>
    <r>
      <rPr>
        <rFont val="Arial, sans-serif"/>
        <color rgb="FF1155CC"/>
        <sz val="11.0"/>
        <u/>
      </rPr>
      <t>11 nov 2024</t>
    </r>
  </si>
  <si>
    <t>Repsol sigue jugando con fuego</t>
  </si>
  <si>
    <t>Los títulos de la petrolera, que marcaron máximos de todos los tiempos a principios de abril en los 15,67 euros (ajustada la serie histórica de precios a....</t>
  </si>
  <si>
    <t>Repsol continues playing with fire</t>
  </si>
  <si>
    <t>The oil company's securities, which set all-time highs at the beginning of April at 15.67 euros (the historical price series adjusted to....</t>
  </si>
  <si>
    <t>Slightly negative as it suggests financial risks.</t>
  </si>
  <si>
    <t>jugando con fuego</t>
  </si>
  <si>
    <t>Negative connotation.</t>
  </si>
  <si>
    <t>Connotación negativa.</t>
  </si>
  <si>
    <r>
      <rPr>
        <rFont val="Arial, sans-serif"/>
        <color rgb="FF1155CC"/>
        <sz val="9.0"/>
        <u/>
      </rPr>
      <t>ABC</t>
    </r>
    <r>
      <rPr>
        <rFont val="Arial, sans-serif"/>
        <color rgb="FF1155CC"/>
        <sz val="15.0"/>
        <u/>
      </rPr>
      <t>La Guía Repsol lanza sus Soletes con Solera: 52 de ellos están en Andalucía</t>
    </r>
    <r>
      <rPr>
        <rFont val="Arial, sans-serif"/>
        <color rgb="FF1155CC"/>
        <sz val="11.0"/>
        <u/>
      </rPr>
      <t>El distintivo homenajea el sabor clásico de los establecimientos de siempre al tiempo que ensalza a los nuevos hosteleros que apuestan por este concepto.</t>
    </r>
    <r>
      <rPr>
        <rFont val="Arial, sans-serif"/>
        <color rgb="FF1155CC"/>
        <sz val="12.0"/>
        <u/>
      </rPr>
      <t>.</t>
    </r>
    <r>
      <rPr>
        <rFont val="Arial, sans-serif"/>
        <color rgb="FF1155CC"/>
        <sz val="11.0"/>
        <u/>
      </rPr>
      <t>11 nov 2024</t>
    </r>
  </si>
  <si>
    <t>La Guía Repsol lanza sus Soletes con Solera: 52 de ellos están en Andalucía</t>
  </si>
  <si>
    <t>El distintivo homenajea el sabor clásico de los establecimientos de siempre al tiempo que ensalza a los nuevos hosteleros que apuestan por este concepto.</t>
  </si>
  <si>
    <t>The Repsol Guide launches its Soletes con Solera: 52 of them are in Andalusia</t>
  </si>
  <si>
    <t>The badge pays tribute to the classic flavor of traditional establishments while praising new hoteliers who are committed to this concept.</t>
  </si>
  <si>
    <r>
      <rPr>
        <rFont val="Arial, sans-serif"/>
        <color rgb="FF1155CC"/>
        <sz val="9.0"/>
        <u/>
      </rPr>
      <t>El Español</t>
    </r>
    <r>
      <rPr>
        <rFont val="Arial, sans-serif"/>
        <color rgb="FF1155CC"/>
        <sz val="15.0"/>
        <u/>
      </rPr>
      <t>Guía Repsol 2024: Estos son los 26 locales de Galicia reconocidos como 'Soletes con Solera'</t>
    </r>
    <r>
      <rPr>
        <rFont val="Arial, sans-serif"/>
        <color rgb="FF1155CC"/>
        <sz val="11.0"/>
        <u/>
      </rPr>
      <t>La Guía Repsol ha presentado esta semana un nuevo listado de más de 300 nuevos 'Soletes con Solera' repartidos por toda España, 26 de ellos en Galicia Te...</t>
    </r>
    <r>
      <rPr>
        <rFont val="Arial, sans-serif"/>
        <color rgb="FF1155CC"/>
        <sz val="12.0"/>
        <u/>
      </rPr>
      <t>.</t>
    </r>
    <r>
      <rPr>
        <rFont val="Arial, sans-serif"/>
        <color rgb="FF1155CC"/>
        <sz val="11.0"/>
        <u/>
      </rPr>
      <t>11 nov 2024</t>
    </r>
  </si>
  <si>
    <t>Guía Repsol 2024: Estos son los 26 locales de Galicia reconocidos como 'Soletes con Solera'</t>
  </si>
  <si>
    <t>La Guía Repsol ha presentado esta semana un nuevo listado de más de 300 nuevos 'Soletes con Solera' repartidos por toda España, 26 de ellos en Galicia.</t>
  </si>
  <si>
    <t>Repsol Guide 2024: These are the 26 stores in Galicia recognized as 'Soletes con Solera'</t>
  </si>
  <si>
    <t>The Repsol Guide has presented this week a new list of more than 300 new 'Soletes con Solera' spread throughout Spain, 26 of them in Galicia.</t>
  </si>
  <si>
    <r>
      <rPr>
        <rFont val="Arial, sans-serif"/>
        <color rgb="FF1155CC"/>
        <sz val="9.0"/>
        <u/>
      </rPr>
      <t>ABC</t>
    </r>
    <r>
      <rPr>
        <rFont val="Arial, sans-serif"/>
        <color rgb="FF1155CC"/>
        <sz val="15.0"/>
        <u/>
      </rPr>
      <t>Casa Moreno, Bodeguita Casablanca y Periqui Chico, nuevos Soletes Repsol son Solera en Sevilla</t>
    </r>
    <r>
      <rPr>
        <rFont val="Arial, sans-serif"/>
        <color rgb="FF1155CC"/>
        <sz val="11.0"/>
        <u/>
      </rPr>
      <t>Los sabores tradicionales de Sevilla han sido reconocidos en la décima edición de estos premios que celebran tanto a aquellos negocios clásicos que han...</t>
    </r>
    <r>
      <rPr>
        <rFont val="Arial, sans-serif"/>
        <color rgb="FF1155CC"/>
        <sz val="12.0"/>
        <u/>
      </rPr>
      <t>.</t>
    </r>
    <r>
      <rPr>
        <rFont val="Arial, sans-serif"/>
        <color rgb="FF1155CC"/>
        <sz val="11.0"/>
        <u/>
      </rPr>
      <t>11 nov 2024</t>
    </r>
  </si>
  <si>
    <t>Bodeguita Casablanca y Periqui Chico, nuevos Soletes Repsol son Solera en Sevilla</t>
  </si>
  <si>
    <t>Los sabores tradicionales de Sevilla han sido reconocidos en la décima edición de estos premios que celebran tanto a aquellos negocios clásicos que han....</t>
  </si>
  <si>
    <t>Bodeguita Casablanca and Periqui Chico, new Soletes Repsol are Solera in Seville</t>
  </si>
  <si>
    <t>The traditional flavors of Seville have been recognized in the tenth edition of these awards that celebrate those classic businesses that have...</t>
  </si>
  <si>
    <r>
      <rPr>
        <rFont val="Arial, sans-serif"/>
        <color rgb="FF1155CC"/>
        <sz val="9.0"/>
        <u/>
      </rPr>
      <t>El Día de Córdoba</t>
    </r>
    <r>
      <rPr>
        <rFont val="Arial, sans-serif"/>
        <color rgb="FF1155CC"/>
        <sz val="15.0"/>
        <u/>
      </rPr>
      <t>Córdoba ejerce de anfitriona y arrasa en la gala de los Soletes Repsol Otoño-Invierno 2024</t>
    </r>
    <r>
      <rPr>
        <rFont val="Arial, sans-serif"/>
        <color rgb="FF1155CC"/>
        <sz val="11.0"/>
        <u/>
      </rPr>
      <t>En la gran noche de la gastronomía ha sido la provincia andaluza que más distinciones ha conseguido con un total de diez.</t>
    </r>
    <r>
      <rPr>
        <rFont val="Arial, sans-serif"/>
        <color rgb="FF1155CC"/>
        <sz val="12.0"/>
        <u/>
      </rPr>
      <t>.</t>
    </r>
    <r>
      <rPr>
        <rFont val="Arial, sans-serif"/>
        <color rgb="FF1155CC"/>
        <sz val="11.0"/>
        <u/>
      </rPr>
      <t>11 nov 2024</t>
    </r>
  </si>
  <si>
    <t>Córdoba ejerce de anfitriona y arrasa en la gala de los Soletes Repsol Otoño-Invierno 2024</t>
  </si>
  <si>
    <t>En la gran noche de la gastronomía ha sido la provincia andaluza que más distinciones ha conseguido con un total de diez.</t>
  </si>
  <si>
    <t>Córdoba acts as host and sweeps the Soletes Repsol Fall-Winter 2024 gala</t>
  </si>
  <si>
    <t>On the big night of gastronomy, it was the Andalusian province that has achieved the most distinctions with a total of ten.</t>
  </si>
  <si>
    <r>
      <rPr>
        <rFont val="Arial, sans-serif"/>
        <color rgb="FF1155CC"/>
        <sz val="9.0"/>
        <u/>
      </rPr>
      <t>Deia</t>
    </r>
    <r>
      <rPr>
        <rFont val="Arial, sans-serif"/>
        <color rgb="FF1155CC"/>
        <sz val="15.0"/>
        <u/>
      </rPr>
      <t>Diez establecimientos de Bizkaia, Soletes con Solera de la Guía Repsol</t>
    </r>
    <r>
      <rPr>
        <rFont val="Arial, sans-serif"/>
        <color rgb="FF1155CC"/>
        <sz val="11.0"/>
        <u/>
      </rPr>
      <t>La Guía Repsol celebra este lunes en Córdoba la gala de entrega de los Soletes, una distinción que reconoce a establecimientos, ya sean cafeterías,...</t>
    </r>
    <r>
      <rPr>
        <rFont val="Arial, sans-serif"/>
        <color rgb="FF1155CC"/>
        <sz val="12.0"/>
        <u/>
      </rPr>
      <t>.</t>
    </r>
    <r>
      <rPr>
        <rFont val="Arial, sans-serif"/>
        <color rgb="FF1155CC"/>
        <sz val="11.0"/>
        <u/>
      </rPr>
      <t>11 nov 2024</t>
    </r>
  </si>
  <si>
    <t>Diez establecimientos de Bizkaia, Soletes con Solera de la Guía Repsol</t>
  </si>
  <si>
    <t>La Guía Repsol celebra este lunes en Córdoba la gala de entrega de los Soletes, una distinción que reconoce a establecimientos, ya sean cafeterías,....</t>
  </si>
  <si>
    <t>Ten establishments in Bizkaia, Soletes con Solera from the Repsol Guide</t>
  </si>
  <si>
    <t>The Repsol Guide celebrates this Monday in Córdoba the Soletes award ceremony, a distinction that recognizes establishments, be they cafes,...</t>
  </si>
  <si>
    <r>
      <rPr>
        <rFont val="Arial, sans-serif"/>
        <color rgb="FF1155CC"/>
        <sz val="9.0"/>
        <u/>
      </rPr>
      <t>Diario de Ávila</t>
    </r>
    <r>
      <rPr>
        <rFont val="Arial, sans-serif"/>
        <color rgb="FF1155CC"/>
        <sz val="15.0"/>
        <u/>
      </rPr>
      <t>Ávila suma seis nuevos Soletes con Solera en la Guía Repsol</t>
    </r>
    <r>
      <rPr>
        <rFont val="Arial, sans-serif"/>
        <color rgb="FF1155CC"/>
        <sz val="11.0"/>
        <u/>
      </rPr>
      <t>Los locales que ha sido reconocidos son 'La Barraqueña', en El Barraco; 'La Parada del Arriero', en Villarejo del Valle; 'Las Cubas de Arévalo', en Arévalo;...</t>
    </r>
    <r>
      <rPr>
        <rFont val="Arial, sans-serif"/>
        <color rgb="FF1155CC"/>
        <sz val="12.0"/>
        <u/>
      </rPr>
      <t>.</t>
    </r>
    <r>
      <rPr>
        <rFont val="Arial, sans-serif"/>
        <color rgb="FF1155CC"/>
        <sz val="11.0"/>
        <u/>
      </rPr>
      <t>11 nov 2024</t>
    </r>
  </si>
  <si>
    <t>Ávila suma seis nuevos Soletes con Solera en la Guía Repsol</t>
  </si>
  <si>
    <t>Los locales que ha sido reconocidos son 'La Barraqueña', en El Barraco; 'La Parada del Arriero', en Villarejo del Valle; 'Las Cubas de Arévalo', en Arévalo;....</t>
  </si>
  <si>
    <t>Ávila adds six new Soletes with Solera in the Repsol Guide</t>
  </si>
  <si>
    <t>The premises that have been recognized are 'La Barraqueña', in El Barraco; 'La Parada del Arriero', in Villarejo del Valle; 'Las Cubas de Arévalo', in Arévalo;....</t>
  </si>
  <si>
    <r>
      <rPr>
        <rFont val="Arial, sans-serif"/>
        <color rgb="FF1155CC"/>
        <sz val="9.0"/>
        <u/>
      </rPr>
      <t>Metropolitano.gal</t>
    </r>
    <r>
      <rPr>
        <rFont val="Arial, sans-serif"/>
        <color rgb="FF1155CC"/>
        <sz val="15.0"/>
        <u/>
      </rPr>
      <t>La Guía Repsol reconoce con sus "soletes" hasta siete locales de la provincia de Pontevedra</t>
    </r>
    <r>
      <rPr>
        <rFont val="Arial, sans-serif"/>
        <color rgb="FF1155CC"/>
        <sz val="11.0"/>
        <u/>
      </rPr>
      <t>Galicia es la cuarta comunidad con más "soletes" de la Guía Repsol. Consulta las recomendaciones de Vigo, Pontevedra, Ourense y tu zona.</t>
    </r>
    <r>
      <rPr>
        <rFont val="Arial, sans-serif"/>
        <color rgb="FF1155CC"/>
        <sz val="12.0"/>
        <u/>
      </rPr>
      <t>.</t>
    </r>
    <r>
      <rPr>
        <rFont val="Arial, sans-serif"/>
        <color rgb="FF1155CC"/>
        <sz val="11.0"/>
        <u/>
      </rPr>
      <t>11 nov 2024</t>
    </r>
  </si>
  <si>
    <t>La Guía Repsol reconoce con sus "soletes" hasta siete locales de la provincia de Pontevedra</t>
  </si>
  <si>
    <t>Galicia es la cuarta comunidad con más "soletes" de la Guía Repsol. Consulta las recomendaciones de Vigo, Pontevedra, Ourense y tu zona.</t>
  </si>
  <si>
    <t>The Repsol Guide recognizes up to seven locations in the province of Pontevedra with its "soletes"</t>
  </si>
  <si>
    <t>Galicia is the fourth community with the most "soletes" in the Repsol Guide. Check the recommendations for Vigo, Pontevedra, Ourense and your area.</t>
  </si>
  <si>
    <r>
      <rPr>
        <rFont val="Arial, sans-serif"/>
        <color rgb="FF1155CC"/>
        <sz val="9.0"/>
        <u/>
      </rPr>
      <t>El Mundo</t>
    </r>
    <r>
      <rPr>
        <rFont val="Arial, sans-serif"/>
        <color rgb="FF1155CC"/>
        <sz val="15.0"/>
        <u/>
      </rPr>
      <t>Estos son los nuevos soletes Repsol: más de 300 restaurantes y bares con solera y casas de comidas de jóvenes cocineros</t>
    </r>
    <r>
      <rPr>
        <rFont val="Arial, sans-serif"/>
        <color rgb="FF1155CC"/>
        <sz val="11.0"/>
        <u/>
      </rPr>
      <t>Córdoba ha sido la ciudad elegida para dar a conocer los nuevos soles de la Guía Repsol 2024 con los que, en esta ocasión, han puesto en valor la labor que...</t>
    </r>
    <r>
      <rPr>
        <rFont val="Arial, sans-serif"/>
        <color rgb="FF1155CC"/>
        <sz val="12.0"/>
        <u/>
      </rPr>
      <t>.</t>
    </r>
    <r>
      <rPr>
        <rFont val="Arial, sans-serif"/>
        <color rgb="FF1155CC"/>
        <sz val="11.0"/>
        <u/>
      </rPr>
      <t>11 nov 2024</t>
    </r>
  </si>
  <si>
    <t>Estos son los nuevos soletes Repsol: más de 300 restaurantes y bares con solera y casas de comidas de jóvenes cocineros</t>
  </si>
  <si>
    <t>Córdoba ha sido la ciudad elegida para dar a conocer los nuevos soles de la Guía Repsol 2024 con los que, en esta ocasión, han puesto en valor la labor que....</t>
  </si>
  <si>
    <t>These are the new Repsol soles: more than 300 restaurants and bars with tradition and food houses run by young chefs</t>
  </si>
  <si>
    <t>Córdoba has been the city chosen to present the new suns of the Repsol Guide 2024 with which, on this occasion, they have highlighted the work that...</t>
  </si>
  <si>
    <r>
      <rPr>
        <rFont val="Arial, sans-serif"/>
        <color rgb="FF1155CC"/>
        <sz val="9.0"/>
        <u/>
      </rPr>
      <t>El Correo</t>
    </r>
    <r>
      <rPr>
        <rFont val="Arial, sans-serif"/>
        <color rgb="FF1155CC"/>
        <sz val="15.0"/>
        <u/>
      </rPr>
      <t>Estos son los 10 nuevos restaurantes y panaderías de Bizkaia con 'soletes' de la Guía Repsol</t>
    </r>
    <r>
      <rPr>
        <rFont val="Arial, sans-serif"/>
        <color rgb="FF1155CC"/>
        <sz val="11.0"/>
        <u/>
      </rPr>
      <t>La Guía Repsol ha confirmado los nuevos 'soletes' de este año. En Bizkaia se han otorgado un total de 10 nuevos reconocimientos. Se trata de una distinción...</t>
    </r>
    <r>
      <rPr>
        <rFont val="Arial, sans-serif"/>
        <color rgb="FF1155CC"/>
        <sz val="12.0"/>
        <u/>
      </rPr>
      <t>.</t>
    </r>
    <r>
      <rPr>
        <rFont val="Arial, sans-serif"/>
        <color rgb="FF1155CC"/>
        <sz val="11.0"/>
        <u/>
      </rPr>
      <t>11 nov 2024</t>
    </r>
  </si>
  <si>
    <t>Estos son los 10 nuevos restaurantes y panaderías de Bizkaia con 'soletes' de la Guía Repsol</t>
  </si>
  <si>
    <t>La Guía Repsol ha confirmado los nuevos 'soletes' de este año. En Bizkaia se han otorgado un total de 10 nuevos reconocimientos. Se trata de una distinción....</t>
  </si>
  <si>
    <t>These are the 10 new restaurants and bakeries in Bizkaia with 'soletes' from the Repsol Guide</t>
  </si>
  <si>
    <t>The Repsol Guide has confirmed this year's new 'soletes'. In Bizkaia, a total of 10 new recognitions have been granted. It is a distinction....</t>
  </si>
  <si>
    <r>
      <rPr>
        <rFont val="Arial, sans-serif"/>
        <color rgb="FF1155CC"/>
        <sz val="9.0"/>
        <u/>
      </rPr>
      <t>La Voz de Asturias</t>
    </r>
    <r>
      <rPr>
        <rFont val="Arial, sans-serif"/>
        <color rgb="FF1155CC"/>
        <sz val="15.0"/>
        <u/>
      </rPr>
      <t>Estos son los «Soletes con Solera» de la Guía Repsol en Asturias</t>
    </r>
    <r>
      <rPr>
        <rFont val="Arial, sans-serif"/>
        <color rgb="FF1155CC"/>
        <sz val="11.0"/>
        <u/>
      </rPr>
      <t>La popular guía turística reconoce con esta nueva distinción a aquellos negocios clásicos que han conseguido resistir al paso del tiempo.</t>
    </r>
    <r>
      <rPr>
        <rFont val="Arial, sans-serif"/>
        <color rgb="FF1155CC"/>
        <sz val="12.0"/>
        <u/>
      </rPr>
      <t>.</t>
    </r>
    <r>
      <rPr>
        <rFont val="Arial, sans-serif"/>
        <color rgb="FF1155CC"/>
        <sz val="11.0"/>
        <u/>
      </rPr>
      <t>11 nov 2024</t>
    </r>
  </si>
  <si>
    <t>Estos son los «Soletes con Solera» de la Guía Repsol en Asturias</t>
  </si>
  <si>
    <t>La popular guía turística reconoce con esta nueva distinción a aquellos negocios clásicos que han conseguido resistir al paso del tiempo.</t>
  </si>
  <si>
    <t>These are the “Soletes con Solera” from the Repsol Guide in Asturias</t>
  </si>
  <si>
    <t>The popular tourist guide recognizes with this new distinction those classic businesses that have managed to stand the test of time.</t>
  </si>
  <si>
    <r>
      <rPr>
        <rFont val="Arial, sans-serif"/>
        <color rgb="FF1155CC"/>
        <sz val="9.0"/>
        <u/>
      </rPr>
      <t>Guía Repsol</t>
    </r>
    <r>
      <rPr>
        <rFont val="Arial, sans-serif"/>
        <color rgb="FF1155CC"/>
        <sz val="15.0"/>
        <u/>
      </rPr>
      <t>Todos los sabores que caben en un siglo</t>
    </r>
    <r>
      <rPr>
        <rFont val="Arial, sans-serif"/>
        <color rgb="FF1155CC"/>
        <sz val="11.0"/>
        <u/>
      </rPr>
      <t>Creer en una idea y defenderla día a día, renunciar a crecer a veces para no perder calidad, y saber cuándo aprovecharse de los avances. Trabajar así hasta.</t>
    </r>
    <r>
      <rPr>
        <rFont val="Arial, sans-serif"/>
        <color rgb="FF1155CC"/>
        <sz val="12.0"/>
        <u/>
      </rPr>
      <t>.</t>
    </r>
    <r>
      <rPr>
        <rFont val="Arial, sans-serif"/>
        <color rgb="FF1155CC"/>
        <sz val="11.0"/>
        <u/>
      </rPr>
      <t>11 nov 2024</t>
    </r>
  </si>
  <si>
    <t>Todos los sabores que caben en un siglo</t>
  </si>
  <si>
    <t>Creer en una idea y defenderla día a día, renunciar a crecer a veces para no perder calidad, y saber cuándo aprovecharse de los avances. Trabajar así hasta..</t>
  </si>
  <si>
    <t>All the flavors that fit in a century</t>
  </si>
  <si>
    <t>Believe in an idea and defend it day by day, give up growing sometimes so as not to lose quality, and know when to take advantage of advances. Work like this until...</t>
  </si>
  <si>
    <r>
      <rPr>
        <rFont val="Arial, sans-serif"/>
        <color rgb="FF1155CC"/>
        <sz val="9.0"/>
        <u/>
      </rPr>
      <t>La Voz de Lanzarote</t>
    </r>
    <r>
      <rPr>
        <rFont val="Arial, sans-serif"/>
        <color rgb="FF1155CC"/>
        <sz val="15.0"/>
        <u/>
      </rPr>
      <t>La Guía Repsol otorga dos nuevos "Soletes" en Lanzarote</t>
    </r>
    <r>
      <rPr>
        <rFont val="Arial, sans-serif"/>
        <color rgb="FF1155CC"/>
        <sz val="11.0"/>
        <u/>
      </rPr>
      <t>Además de los Soles Repsol para la alta cocina, existen más de 200 Soletes en Canarias, que destacan los locales más auténticos.</t>
    </r>
    <r>
      <rPr>
        <rFont val="Arial, sans-serif"/>
        <color rgb="FF1155CC"/>
        <sz val="12.0"/>
        <u/>
      </rPr>
      <t>.</t>
    </r>
    <r>
      <rPr>
        <rFont val="Arial, sans-serif"/>
        <color rgb="FF1155CC"/>
        <sz val="11.0"/>
        <u/>
      </rPr>
      <t>11 nov 2024</t>
    </r>
  </si>
  <si>
    <t>La Guía Repsol otorga dos nuevos "Soletes" en Lanzarote</t>
  </si>
  <si>
    <t>Además de los Soles Repsol para la alta cocina, existen más de 200 Soletes en Canarias, que destacan los locales más auténticos.</t>
  </si>
  <si>
    <t>The Repsol Guide awards two new "Soletes" in Lanzarote</t>
  </si>
  <si>
    <t>In addition to the Repsol Soles for haute cuisine, there are more than 200 Soletes in the Canary Islands, which highlight the most authentic establishments.</t>
  </si>
  <si>
    <r>
      <rPr>
        <rFont val="Arial, sans-serif"/>
        <color rgb="FF1155CC"/>
        <sz val="9.0"/>
        <u/>
      </rPr>
      <t>El Español</t>
    </r>
    <r>
      <rPr>
        <rFont val="Arial, sans-serif"/>
        <color rgb="FF1155CC"/>
        <sz val="15.0"/>
        <u/>
      </rPr>
      <t>La Guía Repsol premia la tradición y deja tres 'Soletes con Solera' en A Coruña: "Estamos felices"</t>
    </r>
    <r>
      <rPr>
        <rFont val="Arial, sans-serif"/>
        <color rgb="FF1155CC"/>
        <sz val="11.0"/>
        <u/>
      </rPr>
      <t>Casa Ponte, Jumbo H1 y Rodolfus han logrado colarse en el afamado ranking de la Guía Repsol que premia a los negocios.</t>
    </r>
    <r>
      <rPr>
        <rFont val="Arial, sans-serif"/>
        <color rgb="FF1155CC"/>
        <sz val="12.0"/>
        <u/>
      </rPr>
      <t>.</t>
    </r>
    <r>
      <rPr>
        <rFont val="Arial, sans-serif"/>
        <color rgb="FF1155CC"/>
        <sz val="11.0"/>
        <u/>
      </rPr>
      <t>11 nov 2024</t>
    </r>
  </si>
  <si>
    <t>La Guía Repsol premia la tradición y deja tres 'Soletes con Solera' en A Coruña: "Estamos felices"</t>
  </si>
  <si>
    <t>Casa Ponte, Jumbo H1 y Rodolfus han logrado colarse en el afamado ranking de la Guía Repsol que premia a los negocios.</t>
  </si>
  <si>
    <t>The Repsol Guide rewards tradition and leaves three 'Soletes con Solera' in A Coruña: "We are happy"</t>
  </si>
  <si>
    <t>Casa Ponte, Jumbo H1 and Rodolfus have managed to sneak into the famous Repsol Guide ranking that rewards businesses.</t>
  </si>
  <si>
    <r>
      <rPr>
        <rFont val="Arial, sans-serif"/>
        <color rgb="FF1155CC"/>
        <sz val="9.0"/>
        <u/>
      </rPr>
      <t>El Español</t>
    </r>
    <r>
      <rPr>
        <rFont val="Arial, sans-serif"/>
        <color rgb="FF1155CC"/>
        <sz val="15.0"/>
        <u/>
      </rPr>
      <t>Estos son los 51 establecimientos de Castilla y León que lucirán el sol de Repsol a partir de ahora</t>
    </r>
    <r>
      <rPr>
        <rFont val="Arial, sans-serif"/>
        <color rgb="FF1155CC"/>
        <sz val="11.0"/>
        <u/>
      </rPr>
      <t>Con este listado recuerdan los lugares más legendarios y muestran esos nuevos establecimientos que se remontan al origen. Otras noticias: Nueve soles Repsol...</t>
    </r>
    <r>
      <rPr>
        <rFont val="Arial, sans-serif"/>
        <color rgb="FF1155CC"/>
        <sz val="12.0"/>
        <u/>
      </rPr>
      <t>.</t>
    </r>
    <r>
      <rPr>
        <rFont val="Arial, sans-serif"/>
        <color rgb="FF1155CC"/>
        <sz val="11.0"/>
        <u/>
      </rPr>
      <t>11 nov 2024</t>
    </r>
  </si>
  <si>
    <t>Estos son los 51 establecimientos de Castilla y León que lucirán el sol de Repsol a partir de ahora</t>
  </si>
  <si>
    <t>Con este listado recuerdan los lugares más legendarios y muestran esos nuevos establecimientos que se remontan al origen. Otras noticias: Nueve soles Repsol.</t>
  </si>
  <si>
    <t>These are the 51 establishments in Castilla y León that will shine the Repsol sun from now on</t>
  </si>
  <si>
    <t>With this list they remember the most legendary places and show those new establishments that go back to their origin. Other news: Nine Repsol soles.</t>
  </si>
  <si>
    <r>
      <rPr>
        <rFont val="Arial, sans-serif"/>
        <color rgb="FF1155CC"/>
        <sz val="9.0"/>
        <u/>
      </rPr>
      <t>Jaén Hoy</t>
    </r>
    <r>
      <rPr>
        <rFont val="Arial, sans-serif"/>
        <color rgb="FF1155CC"/>
        <sz val="15.0"/>
        <u/>
      </rPr>
      <t>Estos son los nuevos Soletes con Solera de Repsol que alumbran Jaén</t>
    </r>
    <r>
      <rPr>
        <rFont val="Arial, sans-serif"/>
        <color rgb="FF1155CC"/>
        <sz val="11.0"/>
        <u/>
      </rPr>
      <t>Esta décima edición se celebra en Córdoba con la gala de entrega de estos distintivo a cinco establecimientos de la provincia jiennense.</t>
    </r>
    <r>
      <rPr>
        <rFont val="Arial, sans-serif"/>
        <color rgb="FF1155CC"/>
        <sz val="12.0"/>
        <u/>
      </rPr>
      <t>.</t>
    </r>
    <r>
      <rPr>
        <rFont val="Arial, sans-serif"/>
        <color rgb="FF1155CC"/>
        <sz val="11.0"/>
        <u/>
      </rPr>
      <t>11 nov 2024</t>
    </r>
  </si>
  <si>
    <t>Estos son los nuevos Soletes con Solera de Repsol que alumbran Jaén</t>
  </si>
  <si>
    <t>Esta décima edición se celebra en Córdoba con la gala de entrega de estos distintivo a cinco establecimientos de la provincia jiennense.</t>
  </si>
  <si>
    <t>These are the new Soletes con Solera from Repsol that illuminate Jaén</t>
  </si>
  <si>
    <t>This tenth edition is celebrated in Córdoba with the gala presentation of these badges to five establishments in the province of Jaén.</t>
  </si>
  <si>
    <r>
      <rPr>
        <rFont val="Arial, sans-serif"/>
        <color rgb="FF1155CC"/>
        <sz val="9.0"/>
        <u/>
      </rPr>
      <t>Noticias de Navarra</t>
    </r>
    <r>
      <rPr>
        <rFont val="Arial, sans-serif"/>
        <color rgb="FF1155CC"/>
        <sz val="15.0"/>
        <u/>
      </rPr>
      <t>Estos son los cinco nuevos 'Soletes con Solera' de la Guía Repsol en Navarra</t>
    </r>
    <r>
      <rPr>
        <rFont val="Arial, sans-serif"/>
        <color rgb="FF1155CC"/>
        <sz val="11.0"/>
        <u/>
      </rPr>
      <t>Cinco nuevos Soletes con Solera de la Guía Repsol en Navarra. Se trata de Beola y Etxebertzeko Borda, de Baztan; La Fogoneta, L 'atelier y Sarasate,...</t>
    </r>
    <r>
      <rPr>
        <rFont val="Arial, sans-serif"/>
        <color rgb="FF1155CC"/>
        <sz val="12.0"/>
        <u/>
      </rPr>
      <t>.</t>
    </r>
    <r>
      <rPr>
        <rFont val="Arial, sans-serif"/>
        <color rgb="FF1155CC"/>
        <sz val="11.0"/>
        <u/>
      </rPr>
      <t>11 nov 2024</t>
    </r>
  </si>
  <si>
    <t>Estos son los cinco nuevos 'Soletes con Solera' de la Guía Repsol en Navarra</t>
  </si>
  <si>
    <t>Cinco nuevos Soletes con Solera de la Guía Repsol en Navarra. Se trata de Beola y Etxebertzeko Borda, de Baztan; La Fogoneta, L 'atelier y Sarasate,....</t>
  </si>
  <si>
    <t>These are the five new 'Soletes con Solera' from the Repsol Guide in Navarra</t>
  </si>
  <si>
    <t>Five new Soletes con Solera from the Repsol Guide in Navarra. These are Beola and Etxebertzeko Borda, from Baztan; La Fogoneta, L'atelier and Sarasate,....</t>
  </si>
  <si>
    <r>
      <rPr>
        <rFont val="Arial, sans-serif"/>
        <color rgb="FF1155CC"/>
        <sz val="9.0"/>
        <u/>
      </rPr>
      <t>hoy aragón</t>
    </r>
    <r>
      <rPr>
        <rFont val="Arial, sans-serif"/>
        <color rgb="FF1155CC"/>
        <sz val="15.0"/>
        <u/>
      </rPr>
      <t>Aragón y sus 18 nuevos soletes Repsol: una bodega, pastelerías y un mesón</t>
    </r>
    <r>
      <rPr>
        <rFont val="Arial, sans-serif"/>
        <color rgb="FF1155CC"/>
        <sz val="11.0"/>
        <u/>
      </rPr>
      <t>La Guía Repsol distingue con soletes a 5 establecimientos de Teruel, 6 de Huesca y 7 de Zaragoza, tanto en las capitales como en otros municipios.</t>
    </r>
    <r>
      <rPr>
        <rFont val="Arial, sans-serif"/>
        <color rgb="FF1155CC"/>
        <sz val="12.0"/>
        <u/>
      </rPr>
      <t>.</t>
    </r>
    <r>
      <rPr>
        <rFont val="Arial, sans-serif"/>
        <color rgb="FF1155CC"/>
        <sz val="11.0"/>
        <u/>
      </rPr>
      <t>11 nov 2024</t>
    </r>
  </si>
  <si>
    <t>Aragón y sus 18 nuevos soletes</t>
  </si>
  <si>
    <t>La Guía Repsol distingue con soletes a 5 establecimientos de Teruel, 6 de Huesca y 7 de Zaragoza, tanto en las capitales como en otros municipios.</t>
  </si>
  <si>
    <t>Aragón and its 18 new suns</t>
  </si>
  <si>
    <t>The Repsol Guide distinguishes with soles 5 establishments in Teruel, 6 in Huesca and 7 in Zaragoza, both in the capitals and in other municipalities.</t>
  </si>
  <si>
    <r>
      <rPr>
        <rFont val="Arial, sans-serif"/>
        <color rgb="FF1155CC"/>
        <sz val="9.0"/>
        <u/>
      </rPr>
      <t>Hoy</t>
    </r>
    <r>
      <rPr>
        <rFont val="Arial, sans-serif"/>
        <color rgb="FF1155CC"/>
        <sz val="15.0"/>
        <u/>
      </rPr>
      <t>Extremadura suma doce nuevos Soletes con solera</t>
    </r>
    <r>
      <rPr>
        <rFont val="Arial, sans-serif"/>
        <color rgb="FF1155CC"/>
        <sz val="11.0"/>
        <u/>
      </rPr>
      <t>La región cuenta con un total de 125 bares premiados con este distintivo de la guía Repsol.</t>
    </r>
    <r>
      <rPr>
        <rFont val="Arial, sans-serif"/>
        <color rgb="FF1155CC"/>
        <sz val="12.0"/>
        <u/>
      </rPr>
      <t>.</t>
    </r>
    <r>
      <rPr>
        <rFont val="Arial, sans-serif"/>
        <color rgb="FF1155CC"/>
        <sz val="11.0"/>
        <u/>
      </rPr>
      <t>11 nov 2024</t>
    </r>
  </si>
  <si>
    <t>HoyExtremadura</t>
  </si>
  <si>
    <t>Extremadura suma doce nuevos Soletes con solera</t>
  </si>
  <si>
    <t>La región cuenta con un total de 125 bares premiados con este distintivo de la guía Repsol.</t>
  </si>
  <si>
    <t>Extremadura adds twelve new Soletes with solera</t>
  </si>
  <si>
    <t>The region has a total of 125 bars awarded with this distinction from the Repsol guide.</t>
  </si>
  <si>
    <r>
      <rPr>
        <rFont val="Arial, sans-serif"/>
        <color rgb="FF1155CC"/>
        <sz val="9.0"/>
        <u/>
      </rPr>
      <t>La Tribuna de Ciudad Real</t>
    </r>
    <r>
      <rPr>
        <rFont val="Arial, sans-serif"/>
        <color rgb="FF1155CC"/>
        <sz val="15.0"/>
        <u/>
      </rPr>
      <t>Ciudad Real suma tres nuevos soles Repsol a sus restaurantes</t>
    </r>
    <r>
      <rPr>
        <rFont val="Arial, sans-serif"/>
        <color rgb="FF1155CC"/>
        <sz val="11.0"/>
        <u/>
      </rPr>
      <t>Se trata de "La Viña E", en Alcázar de San Juan; "Pilar", en Valdepeñas; y "San Isidro", en Calzada de Calatrava. Ciudad Real suma tres nuevos soles Repsol...</t>
    </r>
    <r>
      <rPr>
        <rFont val="Arial, sans-serif"/>
        <color rgb="FF1155CC"/>
        <sz val="12.0"/>
        <u/>
      </rPr>
      <t>.</t>
    </r>
    <r>
      <rPr>
        <rFont val="Arial, sans-serif"/>
        <color rgb="FF1155CC"/>
        <sz val="11.0"/>
        <u/>
      </rPr>
      <t>11 nov 2024</t>
    </r>
  </si>
  <si>
    <t>Ciudad Real suma tres nuevos soles Repsol a sus restaurantes</t>
  </si>
  <si>
    <t>Se trata de "La Viña E", en Alcázar de San Juan; "Pilar", en Valdepeñas; y "San Isidro", en Calzada de Calatrava. Ciudad Real suma tres nuevos soles Repsol....</t>
  </si>
  <si>
    <t>Ciudad Real adds three new Repsol soles to its restaurants</t>
  </si>
  <si>
    <t>This is "La Viña E", in Alcázar de San Juan; "Pilar", in Valdepeñas; and "San Isidro", in Calzada de Calatrava. Ciudad Real adds three new Repsol soles....</t>
  </si>
  <si>
    <r>
      <rPr>
        <rFont val="Arial, sans-serif"/>
        <color rgb="FF1155CC"/>
        <sz val="9.0"/>
        <u/>
      </rPr>
      <t>Málaga Hoy</t>
    </r>
    <r>
      <rPr>
        <rFont val="Arial, sans-serif"/>
        <color rgb="FF1155CC"/>
        <sz val="15.0"/>
        <u/>
      </rPr>
      <t>Los seis nuevos Soletes "con Solera" que gana Málaga: los restaurantes recomendados por la Guía Repsol</t>
    </r>
    <r>
      <rPr>
        <rFont val="Arial, sans-serif"/>
        <color rgb="FF1155CC"/>
        <sz val="11.0"/>
        <u/>
      </rPr>
      <t>Diamante, El Refugio, Posada del Bandolero, Toral, Venta El Cordobés y Mesón Ibérico, reconocidos como Solete por su "solera" en Málaga.</t>
    </r>
    <r>
      <rPr>
        <rFont val="Arial, sans-serif"/>
        <color rgb="FF1155CC"/>
        <sz val="12.0"/>
        <u/>
      </rPr>
      <t>.</t>
    </r>
    <r>
      <rPr>
        <rFont val="Arial, sans-serif"/>
        <color rgb="FF1155CC"/>
        <sz val="11.0"/>
        <u/>
      </rPr>
      <t>11 nov 2024</t>
    </r>
  </si>
  <si>
    <t>Los seis nuevos Soletes "con Solera" que gana Málaga: los restaurantes recomendados por la Guía Repsol</t>
  </si>
  <si>
    <t>Diamante, El Refugio, Posada del Bandolero, Toral, Venta El Cordobés y Mesón Ibérico, reconocidos como Solete por su "solera" en Málaga.</t>
  </si>
  <si>
    <t>The six new Soletes "con Solera" that Málaga wins: the restaurants recommended by the Repsol Guide</t>
  </si>
  <si>
    <t>Diamante, El Refugio, Posada del Bandolero, Toral, Venta El Cordobés and Mesón Ibérico, recognized as Solete for its "solera" in Malaga.</t>
  </si>
  <si>
    <r>
      <rPr>
        <rFont val="Arial, sans-serif"/>
        <color rgb="FF1155CC"/>
        <sz val="9.0"/>
        <u/>
      </rPr>
      <t>Enfoque Diario de Zamora</t>
    </r>
    <r>
      <rPr>
        <rFont val="Arial, sans-serif"/>
        <color rgb="FF1155CC"/>
        <sz val="15.0"/>
        <u/>
      </rPr>
      <t>Zamora suma seis "Soletes" de Repsol para negocios que apuestan por recetas "de toda la vida"</t>
    </r>
    <r>
      <rPr>
        <rFont val="Arial, sans-serif"/>
        <color rgb="FF1155CC"/>
        <sz val="11.0"/>
        <u/>
      </rPr>
      <t>Los negocios que apuestan por las recetas «de siempre» reciben el reconocimiento de la Guía Repsol en la nueva entrega de los ya conocidos «Soletes»,...</t>
    </r>
    <r>
      <rPr>
        <rFont val="Arial, sans-serif"/>
        <color rgb="FF1155CC"/>
        <sz val="12.0"/>
        <u/>
      </rPr>
      <t>.</t>
    </r>
    <r>
      <rPr>
        <rFont val="Arial, sans-serif"/>
        <color rgb="FF1155CC"/>
        <sz val="11.0"/>
        <u/>
      </rPr>
      <t>11 nov 2024</t>
    </r>
  </si>
  <si>
    <t>Zamora suma seis "Soletes" de Repsol para negocios que apuestan por recetas "de toda la vida"</t>
  </si>
  <si>
    <t>Los negocios que apuestan por las recetas «de siempre» reciben el reconocimiento de la Guía Repsol en la nueva entrega de los ya conocidos «Soletes»,....</t>
  </si>
  <si>
    <t>Zamora adds six Repsol "Soletes" for businesses that rely on "old-fashioned" recipes</t>
  </si>
  <si>
    <t>Businesses that rely on "usual" recipes receive recognition from the Repsol Guide in the new installment of the already well-known "Soletes"....</t>
  </si>
  <si>
    <r>
      <rPr>
        <rFont val="Arial, sans-serif"/>
        <color rgb="FF1155CC"/>
        <sz val="9.0"/>
        <u/>
      </rPr>
      <t>El Español</t>
    </r>
    <r>
      <rPr>
        <rFont val="Arial, sans-serif"/>
        <color rgb="FF1155CC"/>
        <sz val="15.0"/>
        <u/>
      </rPr>
      <t>Los nuevos restaurantes de Castilla-La Mancha con un Solete Repsol: sitios con solera y con la comida "de siempre"</t>
    </r>
    <r>
      <rPr>
        <rFont val="Arial, sans-serif"/>
        <color rgb="FF1155CC"/>
        <sz val="11.0"/>
        <u/>
      </rPr>
      <t>La Guía Repsol ha entregado 20 Soletes con Solera a negocios de la región que se han mantenido fieles a los sabores de varias generaciones.</t>
    </r>
    <r>
      <rPr>
        <rFont val="Arial, sans-serif"/>
        <color rgb="FF1155CC"/>
        <sz val="12.0"/>
        <u/>
      </rPr>
      <t>.</t>
    </r>
    <r>
      <rPr>
        <rFont val="Arial, sans-serif"/>
        <color rgb="FF1155CC"/>
        <sz val="11.0"/>
        <u/>
      </rPr>
      <t>11 nov 2024</t>
    </r>
  </si>
  <si>
    <t>Los nuevos restaurantes de Castilla-La Mancha con un Solete Repsol: sitios con solera y con la comida "de siempre"</t>
  </si>
  <si>
    <t>La Guía Repsol ha entregado 20 Soletes con Solera a negocios de la región que se han mantenido fieles a los sabores de varias generaciones.</t>
  </si>
  <si>
    <t>The new restaurants in Castilla-La Mancha with a Solete Repsol: places with tradition and with the "usual" food</t>
  </si>
  <si>
    <t>The Repsol Guide has delivered 20 Soletes con Solera to businesses in the region that have remained faithful to the flavors of several generations.</t>
  </si>
  <si>
    <r>
      <rPr>
        <rFont val="Arial, sans-serif"/>
        <color rgb="FF1155CC"/>
        <sz val="9.0"/>
        <u/>
      </rPr>
      <t>ILEON</t>
    </r>
    <r>
      <rPr>
        <rFont val="Arial, sans-serif"/>
        <color rgb="FF1155CC"/>
        <sz val="15.0"/>
        <u/>
      </rPr>
      <t>León suma cinco Soletes Repsol 'con solera' para celebrar la tradición y los sabores de siempre</t>
    </r>
    <r>
      <rPr>
        <rFont val="Arial, sans-serif"/>
        <color rgb="FF1155CC"/>
        <sz val="11.0"/>
        <u/>
      </rPr>
      <t>Guía Repsol sabe que 'lo de siempre' resulta más atractivo que nunca. Por eso, en su décima edición han querido poner el foco en los Soletes 'con solera' y...</t>
    </r>
    <r>
      <rPr>
        <rFont val="Arial, sans-serif"/>
        <color rgb="FF1155CC"/>
        <sz val="12.0"/>
        <u/>
      </rPr>
      <t>.</t>
    </r>
    <r>
      <rPr>
        <rFont val="Arial, sans-serif"/>
        <color rgb="FF1155CC"/>
        <sz val="11.0"/>
        <u/>
      </rPr>
      <t>11 nov 2024</t>
    </r>
  </si>
  <si>
    <t>León suma cinco Soletes Repsol 'con solera' para celebrar la tradición y los sabores de siempre</t>
  </si>
  <si>
    <t>Guía Repsol sabe que 'lo de siempre' resulta más atractivo que nunca. Por eso, en su décima edición han querido poner el foco en los Soletes 'con solera' y....</t>
  </si>
  <si>
    <t>León adds five Repsol Soletes 'with tradition' to celebrate tradition and traditional flavors</t>
  </si>
  <si>
    <t>Repsol Guide knows that 'business as usual' is more attractive than ever. For this reason, in its tenth edition they wanted to focus on the Soletes 'with solera' and....</t>
  </si>
  <si>
    <r>
      <rPr>
        <rFont val="Arial, sans-serif"/>
        <color rgb="FF1155CC"/>
        <sz val="9.0"/>
        <u/>
      </rPr>
      <t>ILEON</t>
    </r>
    <r>
      <rPr>
        <rFont val="Arial, sans-serif"/>
        <color rgb="FF1155CC"/>
        <sz val="15.0"/>
        <u/>
      </rPr>
      <t>León suma cinco Soletes Repsol 'con solera' para celebrar la tradición y los sabores de siempre</t>
    </r>
    <r>
      <rPr>
        <rFont val="Arial, sans-serif"/>
        <color rgb="FF1155CC"/>
        <sz val="11.0"/>
        <u/>
      </rPr>
      <t>Guía Repsol sabe que 'lo de siempre' resulta más atractivo que nunca. Por eso, en su décima edición han querido poner el foco en los Soletes 'con solera' y...</t>
    </r>
    <r>
      <rPr>
        <rFont val="Arial, sans-serif"/>
        <color rgb="FF1155CC"/>
        <sz val="12.0"/>
        <u/>
      </rPr>
      <t>.</t>
    </r>
    <r>
      <rPr>
        <rFont val="Arial, sans-serif"/>
        <color rgb="FF1155CC"/>
        <sz val="11.0"/>
        <u/>
      </rPr>
      <t>11 nov 2024</t>
    </r>
  </si>
  <si>
    <r>
      <rPr>
        <rFont val="Arial, sans-serif"/>
        <color rgb="FF1155CC"/>
        <sz val="9.0"/>
        <u/>
      </rPr>
      <t>20Minutos</t>
    </r>
    <r>
      <rPr>
        <rFont val="Arial, sans-serif"/>
        <color rgb="FF1155CC"/>
        <sz val="15.0"/>
        <u/>
      </rPr>
      <t>'Soletes con Solera': la Guía Repsol premia a los locales más auténticos de toda la geografía española</t>
    </r>
    <r>
      <rPr>
        <rFont val="Arial, sans-serif"/>
        <color rgb="FF1155CC"/>
        <sz val="11.0"/>
        <u/>
      </rPr>
      <t>La guía gastronómica presenta este lunes 11 de noviembre su nueva categoría de 'Soletes', homenajeando a los locales que vuelven al origen de la cocina.</t>
    </r>
    <r>
      <rPr>
        <rFont val="Arial, sans-serif"/>
        <color rgb="FF1155CC"/>
        <sz val="12.0"/>
        <u/>
      </rPr>
      <t>.</t>
    </r>
    <r>
      <rPr>
        <rFont val="Arial, sans-serif"/>
        <color rgb="FF1155CC"/>
        <sz val="11.0"/>
        <u/>
      </rPr>
      <t>11 nov 2024</t>
    </r>
  </si>
  <si>
    <t>'Soletes con Solera': la Guía Repsol premia a los locales más auténticos de toda la geografía española</t>
  </si>
  <si>
    <t>La guía gastronómica presenta este lunes 11 de noviembre su nueva categoría de 'Soletes', homenajeando a los locales que vuelven al origen de la cocina.</t>
  </si>
  <si>
    <t>'Soletes con Solera': the Repsol Guide rewards the most authentic places in the entire Spanish geography</t>
  </si>
  <si>
    <t>This Monday, November 11, the gastronomic guide presents its new category of 'Soletes', honoring locals who return to the origins of cuisine.</t>
  </si>
  <si>
    <r>
      <rPr>
        <rFont val="Arial, sans-serif"/>
        <color rgb="FF1155CC"/>
        <sz val="9.0"/>
        <u/>
      </rPr>
      <t>La Voz de Galicia</t>
    </r>
    <r>
      <rPr>
        <rFont val="Arial, sans-serif"/>
        <color rgb="FF1155CC"/>
        <sz val="15.0"/>
        <u/>
      </rPr>
      <t>La hamburguesería Jumbo H-1 o Casa Ponte, nuevos Soletes con Solera de la guía Repsol en A Coruña</t>
    </r>
    <r>
      <rPr>
        <rFont val="Arial, sans-serif"/>
        <color rgb="FF1155CC"/>
        <sz val="11.0"/>
        <u/>
      </rPr>
      <t>Son unas nuevas insignias que premian a los establecimientos clásicos. Betanzos también ha conseguido uno por el restaurante Os Arcos.</t>
    </r>
    <r>
      <rPr>
        <rFont val="Arial, sans-serif"/>
        <color rgb="FF1155CC"/>
        <sz val="12.0"/>
        <u/>
      </rPr>
      <t>.</t>
    </r>
    <r>
      <rPr>
        <rFont val="Arial, sans-serif"/>
        <color rgb="FF1155CC"/>
        <sz val="11.0"/>
        <u/>
      </rPr>
      <t>11 nov 2024</t>
    </r>
  </si>
  <si>
    <t>La hamburguesería Jumbo H-1 o Casa Ponte, nuevos Soletes con Solera de la guía Repsol en A Coruña</t>
  </si>
  <si>
    <t>Son unas nuevas insignias que premian a los establecimientos clásicos. Betanzos también ha conseguido uno por el restaurante Os Arcos.</t>
  </si>
  <si>
    <t>The Jumbo H-1 or Casa Ponte burger restaurant, new Soletes con Solera from the Repsol guide in A Coruña</t>
  </si>
  <si>
    <t>They are new badges that reward classic establishments. Betanzos has also obtained one for the Os Arcos restaurant.</t>
  </si>
  <si>
    <r>
      <rPr>
        <rFont val="Arial, sans-serif"/>
        <color rgb="FF1155CC"/>
        <sz val="9.0"/>
        <u/>
      </rPr>
      <t>Noticias de Gipuzkoa</t>
    </r>
    <r>
      <rPr>
        <rFont val="Arial, sans-serif"/>
        <color rgb="FF1155CC"/>
        <sz val="15.0"/>
        <u/>
      </rPr>
      <t>Siete nuevos establecimientos premiados en Gipuzkoa con soletes de la Guía Repsol</t>
    </r>
    <r>
      <rPr>
        <rFont val="Arial, sans-serif"/>
        <color rgb="FF1155CC"/>
        <sz val="11.0"/>
        <u/>
      </rPr>
      <t>Galardonados siete establecimientos guipuzcoanos como "Soletes con Solera" de la Guía Repsol de la última edición. Entre los que se encuentran la cafetería...</t>
    </r>
    <r>
      <rPr>
        <rFont val="Arial, sans-serif"/>
        <color rgb="FF1155CC"/>
        <sz val="12.0"/>
        <u/>
      </rPr>
      <t>.</t>
    </r>
    <r>
      <rPr>
        <rFont val="Arial, sans-serif"/>
        <color rgb="FF1155CC"/>
        <sz val="11.0"/>
        <u/>
      </rPr>
      <t>11 nov 2024</t>
    </r>
  </si>
  <si>
    <t>Siete nuevos establecimientos premiados en Gipuzkoa con soletes de la Guía Repsol</t>
  </si>
  <si>
    <t>Galardonados siete establecimientos guipuzcoanos como "Soletes con Solera" de la Guía Repsol de la última edición. Entre los que se encuentran la cafetería....</t>
  </si>
  <si>
    <t>Seven new establishments awarded in Gipuzkoa with solelets from the Repsol Guide</t>
  </si>
  <si>
    <t>Seven Gipuzkoan establishments awarded as "Soletes con Solera" in the Repsol Guide of the latest edition. Among which are the cafeteria....</t>
  </si>
  <si>
    <r>
      <rPr>
        <rFont val="Arial, sans-serif"/>
        <color rgb="FF1155CC"/>
        <sz val="9.0"/>
        <u/>
      </rPr>
      <t>diariodelaltoaragon.es</t>
    </r>
    <r>
      <rPr>
        <rFont val="Arial, sans-serif"/>
        <color rgb="FF1155CC"/>
        <sz val="15.0"/>
        <u/>
      </rPr>
      <t>Estos son los cinco establecimientos de Huesca reconocidos con nuevos 'Soletes' Repsol</t>
    </r>
    <r>
      <rPr>
        <rFont val="Arial, sans-serif"/>
        <color rgb="FF1155CC"/>
        <sz val="11.0"/>
        <u/>
      </rPr>
      <t>Un solete es un distintivo que la guía gastrónómica ofrece a locales de comida que se diferencian por su esencia auténtica. La Guía Repsol ha reconocido a...</t>
    </r>
    <r>
      <rPr>
        <rFont val="Arial, sans-serif"/>
        <color rgb="FF1155CC"/>
        <sz val="12.0"/>
        <u/>
      </rPr>
      <t>.</t>
    </r>
    <r>
      <rPr>
        <rFont val="Arial, sans-serif"/>
        <color rgb="FF1155CC"/>
        <sz val="11.0"/>
        <u/>
      </rPr>
      <t>11 nov 2024</t>
    </r>
  </si>
  <si>
    <t>Estos son los cinco establecimientos de Huesca reconocidos con nuevos 'Soletes' Repsol</t>
  </si>
  <si>
    <t>Un solete es un distintivo que la guía gastrónómica ofrece a locales de comida que se diferencian por su esencia auténtica. La Guía Repsol ha reconocido a....</t>
  </si>
  <si>
    <t>These are the five establishments in Huesca recognized with new Repsol 'Soletes'</t>
  </si>
  <si>
    <t>A solete is a badge that the gastronomic guide offers to food establishments that are differentiated by their authentic essence. The Repsol Guide has recognized...</t>
  </si>
  <si>
    <r>
      <rPr>
        <rFont val="Arial, sans-serif"/>
        <color rgb="FF1155CC"/>
        <sz val="9.0"/>
        <u/>
      </rPr>
      <t>El Periódico Extremadura</t>
    </r>
    <r>
      <rPr>
        <rFont val="Arial, sans-serif"/>
        <color rgb="FF1155CC"/>
        <sz val="15.0"/>
        <u/>
      </rPr>
      <t>Estos son los locales 'con solera' reconocidos con los nuevos 'Soletes' Repsol en Extremadura</t>
    </r>
    <r>
      <rPr>
        <rFont val="Arial, sans-serif"/>
        <color rgb="FF1155CC"/>
        <sz val="11.0"/>
        <u/>
      </rPr>
      <t>Un total de doce negocios de la región han sido agraciados con esta distinción.</t>
    </r>
    <r>
      <rPr>
        <rFont val="Arial, sans-serif"/>
        <color rgb="FF1155CC"/>
        <sz val="12.0"/>
        <u/>
      </rPr>
      <t>.</t>
    </r>
    <r>
      <rPr>
        <rFont val="Arial, sans-serif"/>
        <color rgb="FF1155CC"/>
        <sz val="11.0"/>
        <u/>
      </rPr>
      <t>11 nov 2024</t>
    </r>
  </si>
  <si>
    <t>Estos son los locales 'con solera' reconocidos con los nuevos 'Soletes' Repsol en Extremadura</t>
  </si>
  <si>
    <t>Un total de doce negocios de la región han sido agraciados con esta distinción.</t>
  </si>
  <si>
    <t>These are the 'established' establishments recognized with the new Repsol 'Soletes' in Extremadura</t>
  </si>
  <si>
    <t>A total of twelve businesses in the region have been awarded this distinction.</t>
  </si>
  <si>
    <r>
      <rPr>
        <rFont val="Arial, sans-serif"/>
        <color rgb="FF1155CC"/>
        <sz val="9.0"/>
        <u/>
      </rPr>
      <t>Ideal</t>
    </r>
    <r>
      <rPr>
        <rFont val="Arial, sans-serif"/>
        <color rgb="FF1155CC"/>
        <sz val="15.0"/>
        <u/>
      </rPr>
      <t>Los seis nuevos Soletes con Solera de la Guía Repsol en Almería</t>
    </r>
    <r>
      <rPr>
        <rFont val="Arial, sans-serif"/>
        <color rgb="FF1155CC"/>
        <sz val="11.0"/>
        <u/>
      </rPr>
      <t>Homenajean la tradición y reivindican tanto los negocios clásicos que han resistido al paso del tiempo como el empuje de los más jóvenes que han decidido...</t>
    </r>
    <r>
      <rPr>
        <rFont val="Arial, sans-serif"/>
        <color rgb="FF1155CC"/>
        <sz val="12.0"/>
        <u/>
      </rPr>
      <t>.</t>
    </r>
    <r>
      <rPr>
        <rFont val="Arial, sans-serif"/>
        <color rgb="FF1155CC"/>
        <sz val="11.0"/>
        <u/>
      </rPr>
      <t>11 nov 2024</t>
    </r>
  </si>
  <si>
    <t>Los seis nuevos Soletes con Solera de la Guía Repsol en Almería</t>
  </si>
  <si>
    <t>Homenajean la tradición y reivindican tanto los negocios clásicos que han resistido al paso del tiempo como el empuje de los más jóvenes que han decidido....</t>
  </si>
  <si>
    <t>The six new Soletes con Solera from the Repsol Guide in Almería</t>
  </si>
  <si>
    <t>They pay tribute to tradition and defend both the classic businesses that have stood the test of time and the push of the younger ones who have decided...</t>
  </si>
  <si>
    <r>
      <rPr>
        <rFont val="Arial, sans-serif"/>
        <color rgb="FF1155CC"/>
        <sz val="9.0"/>
        <u/>
      </rPr>
      <t>Gentleman - El valor de la elegancia</t>
    </r>
    <r>
      <rPr>
        <rFont val="Arial, sans-serif"/>
        <color rgb="FF1155CC"/>
        <sz val="15.0"/>
        <u/>
      </rPr>
      <t>Los Soletes Repsol premian las casas de comidas "de siempre"</t>
    </r>
    <r>
      <rPr>
        <rFont val="Arial, sans-serif"/>
        <color rgb="FF1155CC"/>
        <sz val="11.0"/>
        <u/>
      </rPr>
      <t>Por mucho que la cocina de vanguardia y los locales modernos sigan en auge, los establecimientos tradicionales que ofrecen recetario clásico que ha ido.</t>
    </r>
    <r>
      <rPr>
        <rFont val="Arial, sans-serif"/>
        <color rgb="FF1155CC"/>
        <sz val="12.0"/>
        <u/>
      </rPr>
      <t>.</t>
    </r>
    <r>
      <rPr>
        <rFont val="Arial, sans-serif"/>
        <color rgb="FF1155CC"/>
        <sz val="11.0"/>
        <u/>
      </rPr>
      <t>11 nov 2024</t>
    </r>
  </si>
  <si>
    <t>Los Soletes Repsol premian las casas de comidas "de siempre"</t>
  </si>
  <si>
    <t>Por mucho que la cocina de vanguardia y los locales modernos sigan en auge, los establecimientos tradicionales que ofrecen recetario clásico que ha ido...</t>
  </si>
  <si>
    <t>The Repsol Soletes reward the "usual" restaurants</t>
  </si>
  <si>
    <t>As much as avant-garde cuisine and modern establishments continue to boom, traditional establishments that offer classic recipes that have gone...</t>
  </si>
  <si>
    <r>
      <rPr>
        <rFont val="Arial, sans-serif"/>
        <color rgb="FF1155CC"/>
        <sz val="9.0"/>
        <u/>
      </rPr>
      <t>Huelva Información</t>
    </r>
    <r>
      <rPr>
        <rFont val="Arial, sans-serif"/>
        <color rgb="FF1155CC"/>
        <sz val="15.0"/>
        <u/>
      </rPr>
      <t>Estos son los nuevos 'Soletes' de Otoño otorgados en Huelva por la Guía Repsol</t>
    </r>
    <r>
      <rPr>
        <rFont val="Arial, sans-serif"/>
        <color rgb="FF1155CC"/>
        <sz val="11.0"/>
        <u/>
      </rPr>
      <t>La prestigiosa Guía Repsol ha concedido los nuevos 'Soletes' en su edición de otoño a tres establecimientos onubenses: Dos restaurantes muy conocidos de...</t>
    </r>
    <r>
      <rPr>
        <rFont val="Arial, sans-serif"/>
        <color rgb="FF1155CC"/>
        <sz val="12.0"/>
        <u/>
      </rPr>
      <t>.</t>
    </r>
    <r>
      <rPr>
        <rFont val="Arial, sans-serif"/>
        <color rgb="FF1155CC"/>
        <sz val="11.0"/>
        <u/>
      </rPr>
      <t>11 nov 2024</t>
    </r>
  </si>
  <si>
    <t>Estos son los nuevos 'Soletes' de Otoño otorgados en Huelva por la Guía Repsol</t>
  </si>
  <si>
    <t>La prestigiosa Guía Repsol ha concedido los nuevos 'Soletes' en su edición de otoño a tres establecimientos onubenses: Dos restaurantes muy conocidos de....</t>
  </si>
  <si>
    <t>These are the new Autumn 'Soletes' awarded in Huelva by the Repsol Guide</t>
  </si>
  <si>
    <t>The prestigious Repsol Guide has awarded the new 'Soletes' in its autumn edition to three Huelva establishments: Two well-known restaurants in...</t>
  </si>
  <si>
    <r>
      <rPr>
        <rFont val="Arial, sans-serif"/>
        <color rgb="FF1155CC"/>
        <sz val="9.0"/>
        <u/>
      </rPr>
      <t>La Rioja</t>
    </r>
    <r>
      <rPr>
        <rFont val="Arial, sans-serif"/>
        <color rgb="FF1155CC"/>
        <sz val="15.0"/>
        <u/>
      </rPr>
      <t>La Rioja estrena seis nuevos Soletes con Solera</t>
    </r>
    <r>
      <rPr>
        <rFont val="Arial, sans-serif"/>
        <color rgb="FF1155CC"/>
        <sz val="11.0"/>
        <u/>
      </rPr>
      <t>La Guía Repsol distingue a los logroñeses Claret, Iturza, El Perchas, El Arca, además de El Pimiento, de Tirgo, y La Vega, de Rodezno.</t>
    </r>
    <r>
      <rPr>
        <rFont val="Arial, sans-serif"/>
        <color rgb="FF1155CC"/>
        <sz val="12.0"/>
        <u/>
      </rPr>
      <t>.</t>
    </r>
    <r>
      <rPr>
        <rFont val="Arial, sans-serif"/>
        <color rgb="FF1155CC"/>
        <sz val="11.0"/>
        <u/>
      </rPr>
      <t>11 nov 2024</t>
    </r>
  </si>
  <si>
    <t>La Guía Repsol distingue a los logroñeses Claret, Iturza, El Perchas, El Arca, además de El Pimiento, de Tirgo, y La Vega, de Rodezno.</t>
  </si>
  <si>
    <t>The Repsol Guide distinguishes the Logroño Claret, Iturza, El Perchas, El Arca, as well as El Pimiento, from Tirgo, and La Vega, from Rodezno.</t>
  </si>
  <si>
    <r>
      <rPr>
        <rFont val="Arial, sans-serif"/>
        <color rgb="FF1155CC"/>
        <sz val="9.0"/>
        <u/>
      </rPr>
      <t>Diario Córdoba</t>
    </r>
    <r>
      <rPr>
        <rFont val="Arial, sans-serif"/>
        <color rgb="FF1155CC"/>
        <sz val="15.0"/>
        <u/>
      </rPr>
      <t>Estos son los diez nuevos ‘Soletes con solera’ de la Guía Repsol en Córdoba</t>
    </r>
    <r>
      <rPr>
        <rFont val="Arial, sans-serif"/>
        <color rgb="FF1155CC"/>
        <sz val="11.0"/>
        <u/>
      </rPr>
      <t>En el vídeo: acto de entrega de los Soletes de la Guía Repsol. En la foto: interior del restaurante Misa de Doce, en Córdoba. Manuel Murillo.</t>
    </r>
    <r>
      <rPr>
        <rFont val="Arial, sans-serif"/>
        <color rgb="FF1155CC"/>
        <sz val="12.0"/>
        <u/>
      </rPr>
      <t>.</t>
    </r>
    <r>
      <rPr>
        <rFont val="Arial, sans-serif"/>
        <color rgb="FF1155CC"/>
        <sz val="11.0"/>
        <u/>
      </rPr>
      <t>11 nov 2024</t>
    </r>
  </si>
  <si>
    <t>Estos son los diez nuevos ‘Soletes con solera’ de la Guía Repsol en Córdoba</t>
  </si>
  <si>
    <t>En el vídeo: acto de entrega de los Soletes de la Guía Repsol. En la foto: interior del restaurante Misa de Doce, en Córdoba. Manuel Murillo.</t>
  </si>
  <si>
    <t>These are the ten new 'Soletes con solera' from the Repsol Guide in Córdoba</t>
  </si>
  <si>
    <t>In the video: ceremony for the presentation of the Repsol Guide Soletes. In the photo: interior of the Misa de Doce restaurant, in Córdoba. Manuel Murillo.</t>
  </si>
  <si>
    <r>
      <rPr>
        <rFont val="Arial, sans-serif"/>
        <color rgb="FF1155CC"/>
        <sz val="9.0"/>
        <u/>
      </rPr>
      <t>heraldo.es</t>
    </r>
    <r>
      <rPr>
        <rFont val="Arial, sans-serif"/>
        <color rgb="FF1155CC"/>
        <sz val="15.0"/>
        <u/>
      </rPr>
      <t>Estos son los nuevos Soletes con Solera de Aragón: de Ascaso a Casa Dominó</t>
    </r>
    <r>
      <rPr>
        <rFont val="Arial, sans-serif"/>
        <color rgb="FF1155CC"/>
        <sz val="11.0"/>
        <u/>
      </rPr>
      <t>Esta 10º edición de Soletes de la Guía Repsol otorga la distinción a 7 establecimientos en Zaragoza, 6 en Teruel y 5 en Huesca celebrando los sabores de...</t>
    </r>
    <r>
      <rPr>
        <rFont val="Arial, sans-serif"/>
        <color rgb="FF1155CC"/>
        <sz val="12.0"/>
        <u/>
      </rPr>
      <t>.</t>
    </r>
    <r>
      <rPr>
        <rFont val="Arial, sans-serif"/>
        <color rgb="FF1155CC"/>
        <sz val="11.0"/>
        <u/>
      </rPr>
      <t>11 nov 2024</t>
    </r>
  </si>
  <si>
    <t>Estos son los nuevos Soletes con Solera de Aragón: de Ascaso a Casa Dominó</t>
  </si>
  <si>
    <t>Estos son los nuevos Soletes con Solera de Aragón: de Ascaso a Casa Dominó. Esta 10º edición de Soletes de la Guía Repsol otorga la distinción a 7 establecimientos en Zaragoza, 6 en Teruel y 5 en Huesca celebrando los sabores de....</t>
  </si>
  <si>
    <t>These are the new Soletes con Solera de Aragón: from Ascaso to Casa Domído</t>
  </si>
  <si>
    <t>These are the new Soletes con Solera de Aragón: from Ascaso to Casa Domído. This 10th edition of Soletes from the Repsol Guide grants the distinction to 7 establishments in Zaragoza, 6 in Teruel and 5 in Huesca celebrating the flavors of....</t>
  </si>
  <si>
    <r>
      <rPr>
        <rFont val="Arial, sans-serif"/>
        <color rgb="FF1155CC"/>
        <sz val="9.0"/>
        <u/>
      </rPr>
      <t>La Voz de Galicia</t>
    </r>
    <r>
      <rPr>
        <rFont val="Arial, sans-serif"/>
        <color rgb="FF1155CC"/>
        <sz val="15.0"/>
        <u/>
      </rPr>
      <t>El Molino, O Con de Aldán y Besadío de Pazos, nuevos soletes Repsol para el área de Vigo</t>
    </r>
    <r>
      <rPr>
        <rFont val="Arial, sans-serif"/>
        <color rgb="FF1155CC"/>
        <sz val="11.0"/>
        <u/>
      </rPr>
      <t>Lugares con encanto, con una propuesta diferente o con un algo especial. Esos son los locales que seleccionan cada año desde la Guía Repsol para otorgarles...</t>
    </r>
    <r>
      <rPr>
        <rFont val="Arial, sans-serif"/>
        <color rgb="FF1155CC"/>
        <sz val="12.0"/>
        <u/>
      </rPr>
      <t>.</t>
    </r>
    <r>
      <rPr>
        <rFont val="Arial, sans-serif"/>
        <color rgb="FF1155CC"/>
        <sz val="11.0"/>
        <u/>
      </rPr>
      <t>11 nov 2024</t>
    </r>
  </si>
  <si>
    <t>El Molino, O Con de Aldán y Besadío de Pazos, nuevos soletes Repsol para el área de Vigo</t>
  </si>
  <si>
    <t>Lugares con encanto, con una propuesta diferente o con un algo especial. Esos son los locales que seleccionan cada año desde la Guía Repsol para otorgarles....</t>
  </si>
  <si>
    <t>El Molino, O Con de Aldán and Besadío de Pazos, new Repsol soles for the Vigo area</t>
  </si>
  <si>
    <t>Charming places, with a different proposal or with something special. These are the venues that the Repsol Guide selects each year to award...</t>
  </si>
  <si>
    <r>
      <rPr>
        <rFont val="Arial, sans-serif"/>
        <color rgb="FF1155CC"/>
        <sz val="9.0"/>
        <u/>
      </rPr>
      <t>Donostitik.com</t>
    </r>
    <r>
      <rPr>
        <rFont val="Arial, sans-serif"/>
        <color rgb="FF1155CC"/>
        <sz val="15.0"/>
        <u/>
      </rPr>
      <t>Siete nuevos Soletes de Repsol para Gipuzkoa</t>
    </r>
    <r>
      <rPr>
        <rFont val="Arial, sans-serif"/>
        <color rgb="FF1155CC"/>
        <sz val="11.0"/>
        <u/>
      </rPr>
      <t>Cafetería Otaegui y bar Tamboril de Donostia, entre los establecimientos reconocidos.</t>
    </r>
    <r>
      <rPr>
        <rFont val="Arial, sans-serif"/>
        <color rgb="FF1155CC"/>
        <sz val="12.0"/>
        <u/>
      </rPr>
      <t>.</t>
    </r>
    <r>
      <rPr>
        <rFont val="Arial, sans-serif"/>
        <color rgb="FF1155CC"/>
        <sz val="11.0"/>
        <u/>
      </rPr>
      <t>11 nov 2024</t>
    </r>
  </si>
  <si>
    <t>Donostitik.com</t>
  </si>
  <si>
    <t>Siete nuevos Soletes de Repsol para Gipuzkoa</t>
  </si>
  <si>
    <t>Cafetería Otaegui y bar Tamboril de Donostia, entre los establecimientos reconocidos.</t>
  </si>
  <si>
    <t>Seven new Repsol Solets for Gipuzkoa</t>
  </si>
  <si>
    <t>Otaegui Cafeteria and Tamboril de Donostia bar, among the recognized establishments.</t>
  </si>
  <si>
    <r>
      <rPr>
        <rFont val="Arial, sans-serif"/>
        <color rgb="FF1155CC"/>
        <sz val="9.0"/>
        <u/>
      </rPr>
      <t>Faro de Vigo</t>
    </r>
    <r>
      <rPr>
        <rFont val="Arial, sans-serif"/>
        <color rgb="FF1155CC"/>
        <sz val="15.0"/>
        <u/>
      </rPr>
      <t>Estos son los negocios gallegos que han obtenido los nuevos 'Soletes con Solera' de la Guía Repsol</t>
    </r>
    <r>
      <rPr>
        <rFont val="Arial, sans-serif"/>
        <color rgb="FF1155CC"/>
        <sz val="11.0"/>
        <u/>
      </rPr>
      <t>Estos son los negocios gallegos que han obtenido los nuevos 'Soletes con Solera' de la Guía Repsol. Hay un total de siete establecimientos, destacados por...</t>
    </r>
    <r>
      <rPr>
        <rFont val="Arial, sans-serif"/>
        <color rgb="FF1155CC"/>
        <sz val="12.0"/>
        <u/>
      </rPr>
      <t>.</t>
    </r>
    <r>
      <rPr>
        <rFont val="Arial, sans-serif"/>
        <color rgb="FF1155CC"/>
        <sz val="11.0"/>
        <u/>
      </rPr>
      <t>11 nov 2024</t>
    </r>
  </si>
  <si>
    <t>Estos son los negocios gallegos que han obtenido los nuevos 'Soletes con Solera' de la Guía Repsol.</t>
  </si>
  <si>
    <t>Estos son los negocios gallegos que han obtenido los nuevos 'Soletes con Solera' de la Guía Repsol. Hay un total de siete establecimientos, destacados por....</t>
  </si>
  <si>
    <t>These are the Galician businesses that have obtained the new 'Soletes con Solera' from the Repsol Guide.</t>
  </si>
  <si>
    <t>These are the Galician businesses that have obtained the new 'Soletes con Solera' from the Repsol Guide. There are a total of seven establishments, highlighted by...</t>
  </si>
  <si>
    <r>
      <rPr>
        <rFont val="Arial, sans-serif"/>
        <color rgb="FF1155CC"/>
        <sz val="9.0"/>
        <u/>
      </rPr>
      <t>La Verdad</t>
    </r>
    <r>
      <rPr>
        <rFont val="Arial, sans-serif"/>
        <color rgb="FF1155CC"/>
        <sz val="15.0"/>
        <u/>
      </rPr>
      <t>Estos son los seis nuevos bares de la Región de Murcia premiados con un Sol Repsol</t>
    </r>
    <r>
      <rPr>
        <rFont val="Arial, sans-serif"/>
        <color rgb="FF1155CC"/>
        <sz val="11.0"/>
        <u/>
      </rPr>
      <t>La guía gastronómica corona a media docena de restaurantes de la Comunidad por su tradición y su apuesta por lo auténtico.</t>
    </r>
    <r>
      <rPr>
        <rFont val="Arial, sans-serif"/>
        <color rgb="FF1155CC"/>
        <sz val="12.0"/>
        <u/>
      </rPr>
      <t>.</t>
    </r>
    <r>
      <rPr>
        <rFont val="Arial, sans-serif"/>
        <color rgb="FF1155CC"/>
        <sz val="11.0"/>
        <u/>
      </rPr>
      <t>11 nov 2024</t>
    </r>
  </si>
  <si>
    <t>Estos son los seis nuevos bares de la Región de Murcia premiados con un Sol Repsol</t>
  </si>
  <si>
    <t>La guía gastronómica corona a media docena de restaurantes de la Comunidad por su tradición y su apuesta por lo auténtico.</t>
  </si>
  <si>
    <t>These are the six new bars in the Region of Murcia awarded with a Sol Repsol</t>
  </si>
  <si>
    <t>The gastronomic guide crowns half a dozen restaurants in the Community for their tradition and their commitment to authenticity.</t>
  </si>
  <si>
    <r>
      <rPr>
        <rFont val="Arial, sans-serif"/>
        <color rgb="FF1155CC"/>
        <sz val="9.0"/>
        <u/>
      </rPr>
      <t>El Español</t>
    </r>
    <r>
      <rPr>
        <rFont val="Arial, sans-serif"/>
        <color rgb="FF1155CC"/>
        <sz val="15.0"/>
        <u/>
      </rPr>
      <t>Solete Repsol para este bar de un pequeño pueblo de Toledo: cocidos de escándalo y un menú por 11 euros</t>
    </r>
    <r>
      <rPr>
        <rFont val="Arial, sans-serif"/>
        <color rgb="FF1155CC"/>
        <sz val="11.0"/>
        <u/>
      </rPr>
      <t>El establecimiento, situado a una hora y cuarto de Madrid, fue visitado el pasado mes de septiembre por Roberto Brasero. Más información: Los nuevos...</t>
    </r>
    <r>
      <rPr>
        <rFont val="Arial, sans-serif"/>
        <color rgb="FF1155CC"/>
        <sz val="12.0"/>
        <u/>
      </rPr>
      <t>.</t>
    </r>
    <r>
      <rPr>
        <rFont val="Arial, sans-serif"/>
        <color rgb="FF1155CC"/>
        <sz val="11.0"/>
        <u/>
      </rPr>
      <t>11 nov 2024</t>
    </r>
  </si>
  <si>
    <t>Solete Repsol para este bar de un pequeño pueblo de Toledo: cocidos de escándalo y un menú por 11 euros</t>
  </si>
  <si>
    <t>Cocidos de escándalo y un menú por 11 euros.</t>
  </si>
  <si>
    <t>Solete Repsol for this bar in a small town in Toledo: outrageous stews and a menu for 11 euros</t>
  </si>
  <si>
    <t>Outstanding stews and a menu for 11 euros.</t>
  </si>
  <si>
    <r>
      <rPr>
        <rFont val="Arial, sans-serif"/>
        <color rgb="FF1155CC"/>
        <sz val="9.0"/>
        <u/>
      </rPr>
      <t>Levante-EMV</t>
    </r>
    <r>
      <rPr>
        <rFont val="Arial, sans-serif"/>
        <color rgb="FF1155CC"/>
        <sz val="15.0"/>
        <u/>
      </rPr>
      <t>Diecisiete locales valencianos aparecen en la Guía Repsol de Soletes con solera</t>
    </r>
    <r>
      <rPr>
        <rFont val="Arial, sans-serif"/>
        <color rgb="FF1155CC"/>
        <sz val="11.0"/>
        <u/>
      </rPr>
      <t>Distinciones Repsol en las categorías bares, barras y tascas, cafeterías y pastelerías, restaurantes y casas de comidas o vinotecas y coctelerías,</t>
    </r>
    <r>
      <rPr>
        <rFont val="Arial, sans-serif"/>
        <color rgb="FF1155CC"/>
        <sz val="12.0"/>
        <u/>
      </rPr>
      <t>.</t>
    </r>
    <r>
      <rPr>
        <rFont val="Arial, sans-serif"/>
        <color rgb="FF1155CC"/>
        <sz val="11.0"/>
        <u/>
      </rPr>
      <t>11 nov 2024</t>
    </r>
  </si>
  <si>
    <t>Diecisiete locales valencianos aparecen en la Guía Repsol de Soletes con solera</t>
  </si>
  <si>
    <t>Diecisiete locales valencianos aparecen en la Guía Repsol de Soletes con solera. Distinciones Repsol en las categorías bares, barras y tascas, cafeterías y pastelerías, restaurantes y casas de comidas o vinotecas y coctelerías.</t>
  </si>
  <si>
    <t>Seventeen Valencian establishments appear in the Repsol Guide to Soletes con solera</t>
  </si>
  <si>
    <t>Seventeen Valencian establishments appear in the Repsol Guide to Soletes con solera. Repsol distinctions in the categories bars, bars and taverns, cafes and pastry shops, restaurants and eateries or wine bars and cocktail bars.</t>
  </si>
  <si>
    <r>
      <rPr>
        <rFont val="Arial, sans-serif"/>
        <color rgb="FF1155CC"/>
        <sz val="9.0"/>
        <u/>
      </rPr>
      <t>Ideal</t>
    </r>
    <r>
      <rPr>
        <rFont val="Arial, sans-serif"/>
        <color rgb="FF1155CC"/>
        <sz val="15.0"/>
        <u/>
      </rPr>
      <t>Los nuevos Soletes con Solera de la Guía Repsol en Andalucía</t>
    </r>
    <r>
      <rPr>
        <rFont val="Arial, sans-serif"/>
        <color rgb="FF1155CC"/>
        <sz val="11.0"/>
        <u/>
      </rPr>
      <t>Los jóvenes cocineros abren nuevas casas de comidas tradicionales y se recuperan bares antiguos en el centro de las ciudades.</t>
    </r>
    <r>
      <rPr>
        <rFont val="Arial, sans-serif"/>
        <color rgb="FF1155CC"/>
        <sz val="12.0"/>
        <u/>
      </rPr>
      <t>.</t>
    </r>
    <r>
      <rPr>
        <rFont val="Arial, sans-serif"/>
        <color rgb="FF1155CC"/>
        <sz val="11.0"/>
        <u/>
      </rPr>
      <t>11 nov 2024</t>
    </r>
  </si>
  <si>
    <t>Los nuevos Soletes con Solera de la Guía Repsol en Andalucía</t>
  </si>
  <si>
    <t>Los jóvenes cocineros abren nuevas casas de comidas tradicionales y se recuperan bares antiguos en el centro de las ciudades.</t>
  </si>
  <si>
    <t>The new Soletes con Solera from the Repsol Guide in Andalusia</t>
  </si>
  <si>
    <t>Young chefs open new traditional restaurants and old bars are recovered in city centers.</t>
  </si>
  <si>
    <r>
      <rPr>
        <rFont val="Arial, sans-serif"/>
        <color rgb="FF1155CC"/>
        <sz val="9.0"/>
        <u/>
      </rPr>
      <t>Diario de Castilla y León</t>
    </r>
    <r>
      <rPr>
        <rFont val="Arial, sans-serif"/>
        <color rgb="FF1155CC"/>
        <sz val="15.0"/>
        <u/>
      </rPr>
      <t>Descubre los 51 nuevos 'Soletes con Solera' de Repsol en Castilla y León</t>
    </r>
    <r>
      <rPr>
        <rFont val="Arial, sans-serif"/>
        <color rgb="FF1155CC"/>
        <sz val="11.0"/>
        <u/>
      </rPr>
      <t>Los nuevos Soletes con Solera viajarán a locales de toda España de la mano de la Guía Repsol. De los 300 galardones repartidos, 51 irán a bares y...</t>
    </r>
    <r>
      <rPr>
        <rFont val="Arial, sans-serif"/>
        <color rgb="FF1155CC"/>
        <sz val="12.0"/>
        <u/>
      </rPr>
      <t>.</t>
    </r>
    <r>
      <rPr>
        <rFont val="Arial, sans-serif"/>
        <color rgb="FF1155CC"/>
        <sz val="11.0"/>
        <u/>
      </rPr>
      <t>11 nov 2024</t>
    </r>
  </si>
  <si>
    <t>Descubre los 51 nuevos 'Soletes con Solera' de Repsol en Castilla y León</t>
  </si>
  <si>
    <t>Los nuevos Soletes con Solera viajarán a locales de toda España de la mano de la Guía Repsol. De los 300 galardones repartidos, 51 irán a bares y....</t>
  </si>
  <si>
    <t>Discover the 51 new 'Soletes con Solera' from Repsol in Castilla y León</t>
  </si>
  <si>
    <t>The new Soletes con Solera will travel to venues throughout Spain with the help of the Repsol Guide. Of the 300 awards distributed, 51 will go to bars and....</t>
  </si>
  <si>
    <r>
      <rPr>
        <rFont val="Arial, sans-serif"/>
        <color rgb="FF1155CC"/>
        <sz val="9.0"/>
        <u/>
      </rPr>
      <t>Atlántico Hoy</t>
    </r>
    <r>
      <rPr>
        <rFont val="Arial, sans-serif"/>
        <color rgb="FF1155CC"/>
        <sz val="15.0"/>
        <u/>
      </rPr>
      <t>Estos son los 14 nuevos bares y restaurantes de Canarias distinguidos con Soletes de la Guía Repsol</t>
    </r>
    <r>
      <rPr>
        <rFont val="Arial, sans-serif"/>
        <color rgb="FF1155CC"/>
        <sz val="11.0"/>
        <u/>
      </rPr>
      <t>La Guía Repsol ha otorgado 14 nuevos Soletes con Solera a establecimientos en Canarias, un reconocimiento que celebra la autenticidad y la tradición de...</t>
    </r>
    <r>
      <rPr>
        <rFont val="Arial, sans-serif"/>
        <color rgb="FF1155CC"/>
        <sz val="12.0"/>
        <u/>
      </rPr>
      <t>.</t>
    </r>
    <r>
      <rPr>
        <rFont val="Arial, sans-serif"/>
        <color rgb="FF1155CC"/>
        <sz val="11.0"/>
        <u/>
      </rPr>
      <t>11 nov 2024</t>
    </r>
  </si>
  <si>
    <t>Estos son los 14 nuevos bares y restaurantes de Canarias distinguidos con Soletes de la Guía Repsol</t>
  </si>
  <si>
    <t>La Guía Repsol ha otorgado 14 nuevos Soletes con Solera a establecimientos en Canarias, un reconocimiento que celebra la autenticidad y la tradición de....</t>
  </si>
  <si>
    <t>These are the 14 new bars and restaurants in the Canary Islands distinguished with Soletes from the Repsol Guide</t>
  </si>
  <si>
    <t>The Repsol Guide has awarded 14 new Soletes con Solera to establishments in the Canary Islands, a recognition that celebrates the authenticity and tradition of...</t>
  </si>
  <si>
    <r>
      <rPr>
        <rFont val="Arial, sans-serif"/>
        <color rgb="FF1155CC"/>
        <sz val="9.0"/>
        <u/>
      </rPr>
      <t>Aragón Digital</t>
    </r>
    <r>
      <rPr>
        <rFont val="Arial, sans-serif"/>
        <color rgb="FF1155CC"/>
        <sz val="15.0"/>
        <u/>
      </rPr>
      <t>Aragón brilla bajo la luz de 18 nuevos Soletes con Solera Guía Repsol: listado completo de los restaurantes</t>
    </r>
    <r>
      <rPr>
        <rFont val="Arial, sans-serif"/>
        <color rgb="FF1155CC"/>
        <sz val="11.0"/>
        <u/>
      </rPr>
      <t>Desde restaurantes, pastelerías, bodegas o bares de toda la vida, estos son los nuevos restaurantes con la distinción Solete con Solera de la Guía Repsol en...</t>
    </r>
    <r>
      <rPr>
        <rFont val="Arial, sans-serif"/>
        <color rgb="FF1155CC"/>
        <sz val="12.0"/>
        <u/>
      </rPr>
      <t>.</t>
    </r>
    <r>
      <rPr>
        <rFont val="Arial, sans-serif"/>
        <color rgb="FF1155CC"/>
        <sz val="11.0"/>
        <u/>
      </rPr>
      <t>11 nov 2024</t>
    </r>
  </si>
  <si>
    <t>Aragón brilla bajo la luz de 18 nuevos Soletes con Solera</t>
  </si>
  <si>
    <t>Aragón brilla bajo la luz de 18 nuevos Soletes con Solera Guía Repsol: listado completo de los restaurantes.</t>
  </si>
  <si>
    <t>Aragón shines under the light of 18 new Soletes with Solera</t>
  </si>
  <si>
    <t>Aragon shines under the light of 18 new Soletes con Solera Repsol Guide: complete list of restaurants.</t>
  </si>
  <si>
    <r>
      <rPr>
        <rFont val="Arial, sans-serif"/>
        <color rgb="FF1155CC"/>
        <sz val="9.0"/>
        <u/>
      </rPr>
      <t>La Voz de Galicia</t>
    </r>
    <r>
      <rPr>
        <rFont val="Arial, sans-serif"/>
        <color rgb="FF1155CC"/>
        <sz val="15.0"/>
        <u/>
      </rPr>
      <t>La Guía Repsol ensalza el pincho diario del bar Campos de Vilagarcía, patria de los mejores callos</t>
    </r>
    <r>
      <rPr>
        <rFont val="Arial, sans-serif"/>
        <color rgb="FF1155CC"/>
        <sz val="11.0"/>
        <u/>
      </rPr>
      <t>La clásica taberna de la capital arousana y el restaurante de Meaño lucen un Solete con Solera, que distingue a los negocios que suman décadas al pie del...</t>
    </r>
    <r>
      <rPr>
        <rFont val="Arial, sans-serif"/>
        <color rgb="FF1155CC"/>
        <sz val="12.0"/>
        <u/>
      </rPr>
      <t>.</t>
    </r>
    <r>
      <rPr>
        <rFont val="Arial, sans-serif"/>
        <color rgb="FF1155CC"/>
        <sz val="11.0"/>
        <u/>
      </rPr>
      <t>11 nov 2024</t>
    </r>
  </si>
  <si>
    <t>La Guía Repsol ensalza el pincho diario del bar Campos de Vilagarcía, patria de los mejores callos</t>
  </si>
  <si>
    <t>La clásica taberna de la capital arousana y el restaurante de Meaño lucen un Solete con Solera, que distingue a los negocios que suman décadas al pie del....</t>
  </si>
  <si>
    <t>The Repsol Guide praises the daily pincho at the Campos de Vilagarcía bar, home of the best tripe</t>
  </si>
  <si>
    <t>The classic tavern of the Arousan capital and the Meaño restaurant show off a Solete con Solera, which distinguishes the businesses that have been at the foot of the... for decades.</t>
  </si>
  <si>
    <r>
      <rPr>
        <rFont val="Arial, sans-serif"/>
        <color rgb="FF1155CC"/>
        <sz val="9.0"/>
        <u/>
      </rPr>
      <t>La Crónica de Salamanca</t>
    </r>
    <r>
      <rPr>
        <rFont val="Arial, sans-serif"/>
        <color rgb="FF1155CC"/>
        <sz val="15.0"/>
        <u/>
      </rPr>
      <t>Seis ‘Soletes con solera’ Repsol en Salamanca</t>
    </r>
    <r>
      <rPr>
        <rFont val="Arial, sans-serif"/>
        <color rgb="FF1155CC"/>
        <sz val="11.0"/>
        <u/>
      </rPr>
      <t>La Guía Repsol ha presentado un nuevo listado de más de 300 nuevos 'Soletes con Solera' repartidos por toda España, de los que 51 corresponden a...</t>
    </r>
    <r>
      <rPr>
        <rFont val="Arial, sans-serif"/>
        <color rgb="FF1155CC"/>
        <sz val="12.0"/>
        <u/>
      </rPr>
      <t>.</t>
    </r>
    <r>
      <rPr>
        <rFont val="Arial, sans-serif"/>
        <color rgb="FF1155CC"/>
        <sz val="11.0"/>
        <u/>
      </rPr>
      <t>11 nov 2024</t>
    </r>
  </si>
  <si>
    <t>La Crónica de Salamanca</t>
  </si>
  <si>
    <t>Seis ‘Soletes con solera’ Repsol en Salamanca</t>
  </si>
  <si>
    <t>La Guía Repsol ha presentado un nuevo listado de más de 300 nuevos 'Soletes con Solera' repartidos por toda España, de los que 51 corresponden a....</t>
  </si>
  <si>
    <t>Six ‘Soletes con solera’ Repsol in Salamanca</t>
  </si>
  <si>
    <t>The Repsol Guide has presented a new list of more than 300 new 'Soletes con Solera' spread throughout Spain, of which 51 correspond to...</t>
  </si>
  <si>
    <r>
      <rPr>
        <rFont val="Arial, sans-serif"/>
        <color rgb="FF1155CC"/>
        <sz val="9.0"/>
        <u/>
      </rPr>
      <t>Granada Hoy</t>
    </r>
    <r>
      <rPr>
        <rFont val="Arial, sans-serif"/>
        <color rgb="FF1155CC"/>
        <sz val="15.0"/>
        <u/>
      </rPr>
      <t>Estas son las tabernas de Granada ganadoras de 'Soletes con Solera' de la Guía Repsol</t>
    </r>
    <r>
      <rPr>
        <rFont val="Arial, sans-serif"/>
        <color rgb="FF1155CC"/>
        <sz val="11.0"/>
        <u/>
      </rPr>
      <t>Desde una casa de postas de 1800, pasando por un bar de artistas o una cafetería icónica, estos son los cinco premiados de la famosa guía.</t>
    </r>
    <r>
      <rPr>
        <rFont val="Arial, sans-serif"/>
        <color rgb="FF1155CC"/>
        <sz val="12.0"/>
        <u/>
      </rPr>
      <t>.</t>
    </r>
    <r>
      <rPr>
        <rFont val="Arial, sans-serif"/>
        <color rgb="FF1155CC"/>
        <sz val="11.0"/>
        <u/>
      </rPr>
      <t>11 nov 2024</t>
    </r>
  </si>
  <si>
    <t>Estas son las tabernas de Granada ganadoras de 'Soletes con Solera' de la Guía Repsol</t>
  </si>
  <si>
    <t>Desde una casa de postas de 1800, pasando por un bar de artistas o una cafetería icónica, estos son los cinco premiados de la famosa guía.</t>
  </si>
  <si>
    <t>These are the taverns in Granada that won 'Soletes con Solera' from the Repsol Guide</t>
  </si>
  <si>
    <t>From a coaching house from the 1800s, to an artists' bar or an iconic cafe, these are the five winners of the famous guide.</t>
  </si>
  <si>
    <r>
      <rPr>
        <rFont val="Arial, sans-serif"/>
        <color rgb="FF1155CC"/>
        <sz val="9.0"/>
        <u/>
      </rPr>
      <t>Gasteiz Hoy</t>
    </r>
    <r>
      <rPr>
        <rFont val="Arial, sans-serif"/>
        <color rgb="FF1155CC"/>
        <sz val="15.0"/>
        <u/>
      </rPr>
      <t>Los 5 Soletes a los restaurantes y locales con más 'solera' de Álava</t>
    </r>
    <r>
      <rPr>
        <rFont val="Arial, sans-serif"/>
        <color rgb="FF1155CC"/>
        <sz val="11.0"/>
        <u/>
      </rPr>
      <t>La Guía Repsol añade un nueva categoría, y Álava vuelve a estar presente. 5 establecimientos alaveses han conseguido uno de los nuevos soletes que se han...</t>
    </r>
    <r>
      <rPr>
        <rFont val="Arial, sans-serif"/>
        <color rgb="FF1155CC"/>
        <sz val="12.0"/>
        <u/>
      </rPr>
      <t>.</t>
    </r>
    <r>
      <rPr>
        <rFont val="Arial, sans-serif"/>
        <color rgb="FF1155CC"/>
        <sz val="11.0"/>
        <u/>
      </rPr>
      <t>11 nov 2024</t>
    </r>
  </si>
  <si>
    <t>Los 5 Soletes a los restaurantes y locales con más 'solera' de Álava</t>
  </si>
  <si>
    <t>La Guía Repsol añade un nueva categoría, y Álava vuelve a estar presente. 5 establecimientos alaveses han conseguido uno de los nuevos soletes que se han....</t>
  </si>
  <si>
    <t>The 5 Soletes to the most traditional restaurants and establishments in Álava</t>
  </si>
  <si>
    <t>The Repsol Guide adds a new category, and Álava is once again present. 5 Alava establishments have obtained one of the new soles that have been....</t>
  </si>
  <si>
    <r>
      <rPr>
        <rFont val="Arial, sans-serif"/>
        <color rgb="FF1155CC"/>
        <sz val="9.0"/>
        <u/>
      </rPr>
      <t>Guía Repsol</t>
    </r>
    <r>
      <rPr>
        <rFont val="Arial, sans-serif"/>
        <color rgb="FF1155CC"/>
        <sz val="15.0"/>
        <u/>
      </rPr>
      <t>La cocina de siempre no tiene edad</t>
    </r>
    <r>
      <rPr>
        <rFont val="Arial, sans-serif"/>
        <color rgb="FF1155CC"/>
        <sz val="11.0"/>
        <u/>
      </rPr>
      <t>El recuerdo de la cocina de las madres y abuelas se hace presente en muchos proyectos de reciente apertura. La apuesta por la tradición, rescatando la memo.</t>
    </r>
    <r>
      <rPr>
        <rFont val="Arial, sans-serif"/>
        <color rgb="FF1155CC"/>
        <sz val="12.0"/>
        <u/>
      </rPr>
      <t>.</t>
    </r>
    <r>
      <rPr>
        <rFont val="Arial, sans-serif"/>
        <color rgb="FF1155CC"/>
        <sz val="11.0"/>
        <u/>
      </rPr>
      <t>11 nov 2024</t>
    </r>
  </si>
  <si>
    <t>La cocina de siempre no tiene edad</t>
  </si>
  <si>
    <t>El recuerdo de la cocina de las madres y abuelas se hace presente en muchos proyectos de reciente apertura. La apuesta por la tradición, rescatando la memo..</t>
  </si>
  <si>
    <t>The usual kitchen has no age</t>
  </si>
  <si>
    <t>The memory of mothers' and grandmothers' cooking is present in many recently opened projects. The commitment to tradition, rescuing the memory...</t>
  </si>
  <si>
    <r>
      <rPr>
        <rFont val="Arial, sans-serif"/>
        <color rgb="FF1155CC"/>
        <sz val="9.0"/>
        <u/>
      </rPr>
      <t>Cadena SER</t>
    </r>
    <r>
      <rPr>
        <rFont val="Arial, sans-serif"/>
        <color rgb="FF1155CC"/>
        <sz val="15.0"/>
        <u/>
      </rPr>
      <t>Los sitios "de siempre" que recomiendas a un amigo: la Guía Repsol reparte 20 'Soletes con Solera' en Castilla-La Mancha</t>
    </r>
    <r>
      <rPr>
        <rFont val="Arial, sans-serif"/>
        <color rgb="FF1155CC"/>
        <sz val="11.0"/>
        <u/>
      </rPr>
      <t>La Guía Repsol ha entregado 20 Soletes con Solera, 300 en toda España, a negocios que se han mantenido fieles a los sabores y recetas de varias...</t>
    </r>
    <r>
      <rPr>
        <rFont val="Arial, sans-serif"/>
        <color rgb="FF1155CC"/>
        <sz val="12.0"/>
        <u/>
      </rPr>
      <t>.</t>
    </r>
    <r>
      <rPr>
        <rFont val="Arial, sans-serif"/>
        <color rgb="FF1155CC"/>
        <sz val="11.0"/>
        <u/>
      </rPr>
      <t>11 nov 2024</t>
    </r>
  </si>
  <si>
    <t>Los sitios "de siempre" que recomiendas a un amigo: la Guía Repsol reparte 20 'Soletes con Solera' en Castilla-La Mancha</t>
  </si>
  <si>
    <t>La Guía Repsol ha entregado 20 Soletes con Solera, 300 en toda España, a negocios que se han mantenido fieles a los sabores y recetas de varias....</t>
  </si>
  <si>
    <t>The "usual" places that you recommend to a friend: the Repsol Guide distributes 20 'Soletes con Solera' in Castilla-La Mancha</t>
  </si>
  <si>
    <t>The Repsol Guide has delivered 20 Soletes con Solera, 300 throughout Spain, to businesses that have remained faithful to the flavors and recipes of several...</t>
  </si>
  <si>
    <r>
      <rPr>
        <rFont val="Arial, sans-serif"/>
        <color rgb="FF1155CC"/>
        <sz val="9.0"/>
        <u/>
      </rPr>
      <t>El Alto Jalon</t>
    </r>
    <r>
      <rPr>
        <rFont val="Arial, sans-serif"/>
        <color rgb="FF1155CC"/>
        <sz val="15.0"/>
        <u/>
      </rPr>
      <t>GUÍA REPSOL OTORGA UN SOLETE CON SOLERA A UN ESTABLECIMIENTO DEL ALTO JALÓN</t>
    </r>
    <r>
      <rPr>
        <rFont val="Arial, sans-serif"/>
        <color rgb="FF1155CC"/>
        <sz val="11.0"/>
        <u/>
      </rPr>
      <t>Este lunes, la prestigiosa Guía Repsol ha anunciado su listado de Soletes con Solera, una distinción que celebra la tradición y la calidad de aquellos...</t>
    </r>
    <r>
      <rPr>
        <rFont val="Arial, sans-serif"/>
        <color rgb="FF1155CC"/>
        <sz val="12.0"/>
        <u/>
      </rPr>
      <t>.</t>
    </r>
    <r>
      <rPr>
        <rFont val="Arial, sans-serif"/>
        <color rgb="FF1155CC"/>
        <sz val="11.0"/>
        <u/>
      </rPr>
      <t>11 nov 2024</t>
    </r>
  </si>
  <si>
    <t>El Alto Jalon</t>
  </si>
  <si>
    <t>GUÍA REPSOL OTORGA UN SOLETE CON SOLERA A UN ESTABLECIMIENTO DEL ALTO JALÓN</t>
  </si>
  <si>
    <t>La prestigiosa Guía Repsol ha anunciado su listado de Soletes con Solera, una distinción que celebra la tradición y la calidad de aquellos...</t>
  </si>
  <si>
    <t>REPSOL GUIDE AWARDS A SOLETE WITH SOLERA TO AN ESTABLISHMENT IN ALTO JALÓN</t>
  </si>
  <si>
    <t>The prestigious Repsol Guide has announced its list of Soletes con Solera, a distinction that celebrates the tradition and quality of those...</t>
  </si>
  <si>
    <r>
      <rPr>
        <rFont val="Arial, sans-serif"/>
        <color rgb="FF1155CC"/>
        <sz val="9.0"/>
        <u/>
      </rPr>
      <t>El Progreso de Lugo</t>
    </r>
    <r>
      <rPr>
        <rFont val="Arial, sans-serif"/>
        <color rgb="FF1155CC"/>
        <sz val="15.0"/>
        <u/>
      </rPr>
      <t>Ocho restaurantes de Lugo como ocho Soletes, conózcalos</t>
    </r>
    <r>
      <rPr>
        <rFont val="Arial, sans-serif"/>
        <color rgb="FF1155CC"/>
        <sz val="11.0"/>
        <u/>
      </rPr>
      <t>Ocho establecimientos de la provincia fueron seleccionados por la Guía Repsol como un homenaje a los negocios tradicionales que resisten al paso del tiempo.</t>
    </r>
    <r>
      <rPr>
        <rFont val="Arial, sans-serif"/>
        <color rgb="FF1155CC"/>
        <sz val="12.0"/>
        <u/>
      </rPr>
      <t>.</t>
    </r>
    <r>
      <rPr>
        <rFont val="Arial, sans-serif"/>
        <color rgb="FF1155CC"/>
        <sz val="11.0"/>
        <u/>
      </rPr>
      <t>11 nov 2024</t>
    </r>
  </si>
  <si>
    <t>Ocho restaurantes de Lugo como ocho Soletes, conózcalos</t>
  </si>
  <si>
    <t>Ocho establecimientos de la provincia fueron seleccionados por la Guía Repsol como un homenaje a los negocios tradicionales que resisten al paso del tiempo.</t>
  </si>
  <si>
    <t>Eight restaurants in Lugo like eight Soletes, get to know them</t>
  </si>
  <si>
    <t>Eight establishments in the province were selected by the Repsol Guide as a tribute to traditional businesses that stand the test of time.</t>
  </si>
  <si>
    <r>
      <rPr>
        <rFont val="Arial, sans-serif"/>
        <color rgb="FF1155CC"/>
        <sz val="9.0"/>
        <u/>
      </rPr>
      <t>Segre.com</t>
    </r>
    <r>
      <rPr>
        <rFont val="Arial, sans-serif"/>
        <color rgb="FF1155CC"/>
        <sz val="15.0"/>
        <u/>
      </rPr>
      <t>'Soletes con solera': estos son los siete locales de Lleida recomendados por la Guía Repsol</t>
    </r>
    <r>
      <rPr>
        <rFont val="Arial, sans-serif"/>
        <color rgb="FF1155CC"/>
        <sz val="11.0"/>
        <u/>
      </rPr>
      <t>Tradición y territorio protagonizan el décimo listado de Soletes Guía Repsol, que añade más de 300 nuevos locales premiados en toda España, siete de ellos...</t>
    </r>
    <r>
      <rPr>
        <rFont val="Arial, sans-serif"/>
        <color rgb="FF1155CC"/>
        <sz val="12.0"/>
        <u/>
      </rPr>
      <t>.</t>
    </r>
    <r>
      <rPr>
        <rFont val="Arial, sans-serif"/>
        <color rgb="FF1155CC"/>
        <sz val="11.0"/>
        <u/>
      </rPr>
      <t>11 nov 2024</t>
    </r>
  </si>
  <si>
    <t>'Soletes con solera': estos son los siete locales de Lleida recomendados por la Guía Repsol</t>
  </si>
  <si>
    <t>Tradición y territorio protagonizan el décimo listado de Soletes Guía Repsol, que añade más de 300 nuevos locales premiados en toda España, siete de ellos....</t>
  </si>
  <si>
    <t>'Soletes con solera': these are the seven places in Lleida recommended by the Repsol Guide</t>
  </si>
  <si>
    <t>Tradition and territory star in the tenth Repsol Guide Soletes list, which adds more than 300 new award-winning establishments throughout Spain, seven of them...</t>
  </si>
  <si>
    <r>
      <rPr>
        <rFont val="Arial, sans-serif"/>
        <color rgb="FF1155CC"/>
        <sz val="9.0"/>
        <u/>
      </rPr>
      <t>Guía Repsol</t>
    </r>
    <r>
      <rPr>
        <rFont val="Arial, sans-serif"/>
        <color rgb="FF1155CC"/>
        <sz val="15.0"/>
        <u/>
      </rPr>
      <t>La emoción de los Soletes andaluces al recoger su premio</t>
    </r>
    <r>
      <rPr>
        <rFont val="Arial, sans-serif"/>
        <color rgb="FF1155CC"/>
        <sz val="11.0"/>
        <u/>
      </rPr>
      <t>Los dueños de tascas, casas de comidas, cafeterías y panaderías que abrazan la tradición se han dado cita en una de las ciudades andaluzas con más historia.</t>
    </r>
    <r>
      <rPr>
        <rFont val="Arial, sans-serif"/>
        <color rgb="FF1155CC"/>
        <sz val="12.0"/>
        <u/>
      </rPr>
      <t>.</t>
    </r>
    <r>
      <rPr>
        <rFont val="Arial, sans-serif"/>
        <color rgb="FF1155CC"/>
        <sz val="11.0"/>
        <u/>
      </rPr>
      <t>11 nov 2024</t>
    </r>
  </si>
  <si>
    <t>La emoción de los Soletes andaluces al recoger su premio</t>
  </si>
  <si>
    <t>Los dueños de tascas, casas de comidas, cafeterías y panaderías que abrazan la tradición se han dado cita en una de las ciudades andaluzas con más historia.</t>
  </si>
  <si>
    <t>The emotion of the Andalusian Soletes when collecting their prize</t>
  </si>
  <si>
    <t>The owners of taverns, eateries, cafes and bakeries that embrace tradition have gathered in one of the Andalusian cities with the most history.</t>
  </si>
  <si>
    <r>
      <rPr>
        <rFont val="Arial, sans-serif"/>
        <color rgb="FF1155CC"/>
        <sz val="9.0"/>
        <u/>
      </rPr>
      <t>diarimes.com</t>
    </r>
    <r>
      <rPr>
        <rFont val="Arial, sans-serif"/>
        <color rgb="FF1155CC"/>
        <sz val="15.0"/>
        <u/>
      </rPr>
      <t>Estos son los cinco restaurantes de Tarragona reconocidos por la Guía Repsol con un 'Solete con Solera'</t>
    </r>
    <r>
      <rPr>
        <rFont val="Arial, sans-serif"/>
        <color rgb="FF1155CC"/>
        <sz val="11.0"/>
        <u/>
      </rPr>
      <t>Esta distinción quiere homenajear la tradición y reivindicar tanto los negocios clásicos como el empuje de los más jóvenes.</t>
    </r>
    <r>
      <rPr>
        <rFont val="Arial, sans-serif"/>
        <color rgb="FF1155CC"/>
        <sz val="12.0"/>
        <u/>
      </rPr>
      <t>.</t>
    </r>
    <r>
      <rPr>
        <rFont val="Arial, sans-serif"/>
        <color rgb="FF1155CC"/>
        <sz val="11.0"/>
        <u/>
      </rPr>
      <t>11 nov 2024</t>
    </r>
  </si>
  <si>
    <t>Estos son los cinco restaurantes de Tarragona reconocidos por la Guía Repsol con un 'Solete con Solera'</t>
  </si>
  <si>
    <t>Esta distinción quiere homenajear la tradición y reivindicar tanto los negocios clásicos como el empuje de los más jóvenes.</t>
  </si>
  <si>
    <t>These are the five restaurants in Tarragona recognized by the Repsol Guide with a 'Solete con Solera'</t>
  </si>
  <si>
    <t>This distinction aims to honor tradition and vindicate both classic businesses and the drive of the youngest.</t>
  </si>
  <si>
    <r>
      <rPr>
        <rFont val="Arial, sans-serif"/>
        <color rgb="FF1155CC"/>
        <sz val="9.0"/>
        <u/>
      </rPr>
      <t>La Razón</t>
    </r>
    <r>
      <rPr>
        <rFont val="Arial, sans-serif"/>
        <color rgb="FF1155CC"/>
        <sz val="15.0"/>
        <u/>
      </rPr>
      <t>La Guía Repsol revela los restaurantes de carretera en Aragón que no te puedes perder</t>
    </r>
    <r>
      <rPr>
        <rFont val="Arial, sans-serif"/>
        <color rgb="FF1155CC"/>
        <sz val="11.0"/>
        <u/>
      </rPr>
      <t>Estos restaurantes de carretera, ya sea en la N-2, la A-22 o la A-23, ofrecen a los viajeros una experiencia culinaria perfecta para recargar energías sin...</t>
    </r>
    <r>
      <rPr>
        <rFont val="Arial, sans-serif"/>
        <color rgb="FF1155CC"/>
        <sz val="12.0"/>
        <u/>
      </rPr>
      <t>.</t>
    </r>
    <r>
      <rPr>
        <rFont val="Arial, sans-serif"/>
        <color rgb="FF1155CC"/>
        <sz val="11.0"/>
        <u/>
      </rPr>
      <t>11 nov 2024</t>
    </r>
  </si>
  <si>
    <t>La Guía Repsol revela los restaurantes de carretera en Aragón que no te puedes perder</t>
  </si>
  <si>
    <t>Estos restaurantes de carretera, ya sea en la N-2, la A-22 o la A-23, ofrecen a los viajeros una experiencia culinaria perfecta para recargar energías sin....</t>
  </si>
  <si>
    <t>The Repsol Guide reveals the roadside restaurants in Aragon that you cannot miss</t>
  </si>
  <si>
    <t>These roadside restaurants, whether on the N-2, A-22 or A-23, offer travelers a perfect culinary experience to recharge their batteries without...</t>
  </si>
  <si>
    <r>
      <rPr>
        <rFont val="Arial, sans-serif"/>
        <color rgb="FF1155CC"/>
        <sz val="9.0"/>
        <u/>
      </rPr>
      <t>Diario de Sevilla</t>
    </r>
    <r>
      <rPr>
        <rFont val="Arial, sans-serif"/>
        <color rgb="FF1155CC"/>
        <sz val="15.0"/>
        <u/>
      </rPr>
      <t>Estos son los 52 nuevos Soletes con Solera en Andalucía de la Guía Repsol</t>
    </r>
    <r>
      <rPr>
        <rFont val="Arial, sans-serif"/>
        <color rgb="FF1155CC"/>
        <sz val="11.0"/>
        <u/>
      </rPr>
      <t>Esta distinción homenajea la tradición y reivindica tanto los negocios clásicos que han resistido al paso del tiempo, como el empuje de los más jóvenes que...</t>
    </r>
    <r>
      <rPr>
        <rFont val="Arial, sans-serif"/>
        <color rgb="FF1155CC"/>
        <sz val="12.0"/>
        <u/>
      </rPr>
      <t>.</t>
    </r>
    <r>
      <rPr>
        <rFont val="Arial, sans-serif"/>
        <color rgb="FF1155CC"/>
        <sz val="11.0"/>
        <u/>
      </rPr>
      <t>11 nov 2024</t>
    </r>
  </si>
  <si>
    <t>Estos son los 52 nuevos Soletes con Solera en Andalucía de la Guía Repsol</t>
  </si>
  <si>
    <t>Esta distinción homenajea la tradición y reivindica tanto los negocios clásicos que han resistido al paso del tiempo, como el empuje de los más jóvenes que....</t>
  </si>
  <si>
    <t>These are the 52 new Soletes con Solera in Andalusia from the Repsol Guide</t>
  </si>
  <si>
    <t>This distinction pays tribute to tradition and vindicates both the classic businesses that have stood the test of time, as well as the drive of the youngest who...</t>
  </si>
  <si>
    <r>
      <rPr>
        <rFont val="Arial, sans-serif"/>
        <color rgb="FF1155CC"/>
        <sz val="9.0"/>
        <u/>
      </rPr>
      <t>El Economista</t>
    </r>
    <r>
      <rPr>
        <rFont val="Arial, sans-serif"/>
        <color rgb="FF1155CC"/>
        <sz val="15.0"/>
        <u/>
      </rPr>
      <t>La Guía Repsol reconoce a 26 restaurantes y bares en Galicia con sus nuevos 'Soletes'</t>
    </r>
    <r>
      <rPr>
        <rFont val="Arial, sans-serif"/>
        <color rgb="FF1155CC"/>
        <sz val="11.0"/>
        <u/>
      </rPr>
      <t>La Guía Repsol reconoce con sus 'Soletes con solera' a 26 restaurantes, bares, cafeterías, vinotecas y establecimientos de 'fast good' ...</t>
    </r>
    <r>
      <rPr>
        <rFont val="Arial, sans-serif"/>
        <color rgb="FF1155CC"/>
        <sz val="12.0"/>
        <u/>
      </rPr>
      <t>.</t>
    </r>
    <r>
      <rPr>
        <rFont val="Arial, sans-serif"/>
        <color rgb="FF1155CC"/>
        <sz val="11.0"/>
        <u/>
      </rPr>
      <t>11 nov 2024</t>
    </r>
  </si>
  <si>
    <t>La Guía Repsol reconoce a 26 restaurantes y bares en Galicia con sus nuevos 'Soletes'</t>
  </si>
  <si>
    <t>La Guía Repsol reconoce con sus 'Soletes con solera' a 26 restaurantes, bares, cafeterías, vinotecas y establecimientos de 'fast good' ....</t>
  </si>
  <si>
    <t>The Repsol Guide recognizes 26 restaurants and bars in Galicia with their new 'Soletes'</t>
  </si>
  <si>
    <t>The Repsol Guide recognizes 26 restaurants, bars, cafes, wine bars and fast good establishments with its 'Soletes con solera'....</t>
  </si>
  <si>
    <r>
      <rPr>
        <rFont val="Arial, sans-serif"/>
        <color rgb="FF1155CC"/>
        <sz val="9.0"/>
        <u/>
      </rPr>
      <t>El Día de Valladolid</t>
    </r>
    <r>
      <rPr>
        <rFont val="Arial, sans-serif"/>
        <color rgb="FF1155CC"/>
        <sz val="15.0"/>
        <u/>
      </rPr>
      <t>Valladolid suma 7 nuevos Soletes Repsol</t>
    </r>
    <r>
      <rPr>
        <rFont val="Arial, sans-serif"/>
        <color rgb="FF1155CC"/>
        <sz val="11.0"/>
        <u/>
      </rPr>
      <t>'Baonza', en Tordesillas; 'La Cueva', en Mucientes; 'Los Tarantos', en Boecillo, y 'Bar del Cine Embajadores', 'El Barrio', 'Poli' y 'Ruth', en la capital,...</t>
    </r>
    <r>
      <rPr>
        <rFont val="Arial, sans-serif"/>
        <color rgb="FF1155CC"/>
        <sz val="12.0"/>
        <u/>
      </rPr>
      <t>.</t>
    </r>
    <r>
      <rPr>
        <rFont val="Arial, sans-serif"/>
        <color rgb="FF1155CC"/>
        <sz val="11.0"/>
        <u/>
      </rPr>
      <t>11 nov 2024</t>
    </r>
  </si>
  <si>
    <t>Valladolid suma 7 nuevos Soletes Repsol</t>
  </si>
  <si>
    <t>Valladolid suma 7 nuevos Soletes Repsol: 'Baonza', en Tordesillas; 'La Cueva', en Mucientes; 'Los Tarantos', en Boecillo, y 'Bar del Cine Embajadores', 'El Barrio', 'Poli' y 'Ruth', en la capital.</t>
  </si>
  <si>
    <t>Valladolid adds 7 new Repsol Soletes</t>
  </si>
  <si>
    <t>Valladolid adds 7 new Repsol Solets: 'Baonza', in Tordesillas; 'The Cave', in Mucientes; 'Los Tarantos', in Boecillo, and 'Bar del Cine Embajadores', 'El Barrio', 'Poli' and 'Ruth', in the capital.</t>
  </si>
  <si>
    <r>
      <rPr>
        <rFont val="Arial, sans-serif"/>
        <color rgb="FF1155CC"/>
        <sz val="9.0"/>
        <u/>
      </rPr>
      <t>Diario de Arousa</t>
    </r>
    <r>
      <rPr>
        <rFont val="Arial, sans-serif"/>
        <color rgb="FF1155CC"/>
        <sz val="15.0"/>
        <u/>
      </rPr>
      <t>Repsol premia los sabores de toda la vida del bar Campos de Vilagarcía con un Solete con Solera</t>
    </r>
    <r>
      <rPr>
        <rFont val="Arial, sans-serif"/>
        <color rgb="FF1155CC"/>
        <sz val="11.0"/>
        <u/>
      </rPr>
      <t>Repsol distingue al Bar Campos, situado en Ravella, con un "Solete con Solera", un galardón que celebra los sabores de siempre y la resistencia de aquellos...</t>
    </r>
    <r>
      <rPr>
        <rFont val="Arial, sans-serif"/>
        <color rgb="FF1155CC"/>
        <sz val="12.0"/>
        <u/>
      </rPr>
      <t>.</t>
    </r>
    <r>
      <rPr>
        <rFont val="Arial, sans-serif"/>
        <color rgb="FF1155CC"/>
        <sz val="11.0"/>
        <u/>
      </rPr>
      <t>11 nov 2024</t>
    </r>
  </si>
  <si>
    <t>Diario de Arousa</t>
  </si>
  <si>
    <t>Repsol premia los sabores de toda la vida del bar Campos de Vilagarcía con un Solete con Solera</t>
  </si>
  <si>
    <t>Repsol distingue al Bar Campos, situado en Ravella, con un "Solete con Solera", un galardón que celebra los sabores de siempre y la resistencia de aquellos....</t>
  </si>
  <si>
    <t>Repsol rewards the traditional flavors of the Campos de Vilagarcía bar with a Solete con Solera</t>
  </si>
  <si>
    <t>Repsol distinguishes Bar Campos, located in Ravella, with a "Solete con Solera", an award that celebrates the traditional flavors and the resistance of those...</t>
  </si>
  <si>
    <r>
      <rPr>
        <rFont val="Arial, sans-serif"/>
        <color rgb="FF1155CC"/>
        <sz val="9.0"/>
        <u/>
      </rPr>
      <t>Benavente Digital</t>
    </r>
    <r>
      <rPr>
        <rFont val="Arial, sans-serif"/>
        <color rgb="FF1155CC"/>
        <sz val="15.0"/>
        <u/>
      </rPr>
      <t>Guía Repsol: seis nuevos ‘Soletes con Solera’ para Zamora</t>
    </r>
    <r>
      <rPr>
        <rFont val="Arial, sans-serif"/>
        <color rgb="FF1155CC"/>
        <sz val="11.0"/>
        <u/>
      </rPr>
      <t>Guía Repsol da a conocer sus Soletes con Solera: establecimientos que representan la tradición culinaria española, seis de ellos en Zamora.</t>
    </r>
    <r>
      <rPr>
        <rFont val="Arial, sans-serif"/>
        <color rgb="FF1155CC"/>
        <sz val="12.0"/>
        <u/>
      </rPr>
      <t>.</t>
    </r>
    <r>
      <rPr>
        <rFont val="Arial, sans-serif"/>
        <color rgb="FF1155CC"/>
        <sz val="11.0"/>
        <u/>
      </rPr>
      <t>11 nov 2024</t>
    </r>
  </si>
  <si>
    <t>Guía Repsol: seis nuevos ‘Soletes con Solera’ para Zamora</t>
  </si>
  <si>
    <t>Guía Repsol da a conocer sus Soletes con Solera: establecimientos que representan la tradición culinaria española, seis de ellos en Zamora.</t>
  </si>
  <si>
    <t>Repsol Guide: six new 'Soletes con Solera' for Zamora</t>
  </si>
  <si>
    <t>Repsol Guide announces its Soletes con Solera: establishments that represent the Spanish culinary tradition, six of them in Zamora.</t>
  </si>
  <si>
    <r>
      <rPr>
        <rFont val="Arial, sans-serif"/>
        <color rgb="FF1155CC"/>
        <sz val="9.0"/>
        <u/>
      </rPr>
      <t>Cadena SER</t>
    </r>
    <r>
      <rPr>
        <rFont val="Arial, sans-serif"/>
        <color rgb="FF1155CC"/>
        <sz val="15.0"/>
        <u/>
      </rPr>
      <t>Pastelería Echeto y Bodegas Langa, nuevos “Soletes con solera” de la Guía Repsol</t>
    </r>
    <r>
      <rPr>
        <rFont val="Arial, sans-serif"/>
        <color rgb="FF1155CC"/>
        <sz val="11.0"/>
        <u/>
      </rPr>
      <t>Un reconocimiento que reivindica “los negocios clásicos que han resistido al paso del tiempo”</t>
    </r>
    <r>
      <rPr>
        <rFont val="Arial, sans-serif"/>
        <color rgb="FF1155CC"/>
        <sz val="12.0"/>
        <u/>
      </rPr>
      <t>.</t>
    </r>
    <r>
      <rPr>
        <rFont val="Arial, sans-serif"/>
        <color rgb="FF1155CC"/>
        <sz val="11.0"/>
        <u/>
      </rPr>
      <t>11 nov 2024</t>
    </r>
  </si>
  <si>
    <t>Pastelería Echeto y Bodegas Langa, nuevos “Soletes con solera” de la Guía Repsol</t>
  </si>
  <si>
    <t>Un reconocimiento que reivindica “los negocios clásicos que han resistido al paso del tiempo”.</t>
  </si>
  <si>
    <t>Pastry Echeto and Bodegas Langa, new “Soletes con solera” of the Repsol Guide</t>
  </si>
  <si>
    <t>A recognition that vindicates “classic businesses that have stood the test of time.”</t>
  </si>
  <si>
    <r>
      <rPr>
        <rFont val="Arial, sans-serif"/>
        <color rgb="FF1155CC"/>
        <sz val="9.0"/>
        <u/>
      </rPr>
      <t>Cadena SER</t>
    </r>
    <r>
      <rPr>
        <rFont val="Arial, sans-serif"/>
        <color rgb="FF1155CC"/>
        <sz val="15.0"/>
        <u/>
      </rPr>
      <t>Pastelería Ascaso, Bar Brasil, Mi Bar, Bodegas Langa y Pastelería Echeto, nuevos Soletes Repsol</t>
    </r>
    <r>
      <rPr>
        <rFont val="Arial, sans-serif"/>
        <color rgb="FF1155CC"/>
        <sz val="11.0"/>
        <u/>
      </rPr>
      <t>Huesca. La Guía Repsol ha dado a conocer los nuevos Soletes son Solera, que homenajean la tradición y reivindican, tanto los negocios clásicos,...</t>
    </r>
    <r>
      <rPr>
        <rFont val="Arial, sans-serif"/>
        <color rgb="FF1155CC"/>
        <sz val="12.0"/>
        <u/>
      </rPr>
      <t>.</t>
    </r>
    <r>
      <rPr>
        <rFont val="Arial, sans-serif"/>
        <color rgb="FF1155CC"/>
        <sz val="11.0"/>
        <u/>
      </rPr>
      <t>11 nov 2024</t>
    </r>
  </si>
  <si>
    <t>Pastelería Ascaso, Bar Brasil, Mi Bar, Bodegas Langa y Pastelería Echeto, nuevos Soletes Repsol</t>
  </si>
  <si>
    <t>La Guía Repsol ha dado a conocer los nuevos Soletes son Solera, que homenajean la tradición y reivindican, tanto los negocios clásicos....</t>
  </si>
  <si>
    <t>Ascaso Pastry Shop, Bar Brasil, Mi Bar, Bodegas Langa and Echeto Pastry Shop, new Repsol Soletes</t>
  </si>
  <si>
    <t>The Repsol Guide has announced the new Soletes son Solera, which pay tribute to tradition and vindicate both classic businesses...</t>
  </si>
  <si>
    <r>
      <rPr>
        <rFont val="Arial, sans-serif"/>
        <color rgb="FF1155CC"/>
        <sz val="9.0"/>
        <u/>
      </rPr>
      <t>Diario de Jerez</t>
    </r>
    <r>
      <rPr>
        <rFont val="Arial, sans-serif"/>
        <color rgb="FF1155CC"/>
        <sz val="15.0"/>
        <u/>
      </rPr>
      <t>Tres establecimientos de Jerez reciben la distinción 'Soletes con solera' de la Guía Repsol</t>
    </r>
    <r>
      <rPr>
        <rFont val="Arial, sans-serif"/>
        <color rgb="FF1155CC"/>
        <sz val="11.0"/>
        <u/>
      </rPr>
      <t>Por décimo año consecutivo, la Guía Repsol ha anunciado sus habituales 'Soletes', una distinción con la que homenajean la tradición y reivindican tanto los...</t>
    </r>
    <r>
      <rPr>
        <rFont val="Arial, sans-serif"/>
        <color rgb="FF1155CC"/>
        <sz val="12.0"/>
        <u/>
      </rPr>
      <t>.</t>
    </r>
    <r>
      <rPr>
        <rFont val="Arial, sans-serif"/>
        <color rgb="FF1155CC"/>
        <sz val="11.0"/>
        <u/>
      </rPr>
      <t>11 nov 2024</t>
    </r>
  </si>
  <si>
    <t>Tres establecimientos de Jerez reciben la distinción 'Soletes con solera' de la Guía Repsol</t>
  </si>
  <si>
    <t>Por décimo año consecutivo, la Guía Repsol ha anunciado sus habituales 'Soletes', una distinción con la que homenajean la tradición y reivindican tanto los....</t>
  </si>
  <si>
    <t>Three establishments in Jerez receive the 'Soletes con solera' distinction from the Repsol Guide</t>
  </si>
  <si>
    <t>For the tenth consecutive year, the Repsol Guide has announced its usual 'Soletes', a distinction with which they pay tribute to tradition and vindicate both...</t>
  </si>
  <si>
    <r>
      <rPr>
        <rFont val="Arial, sans-serif"/>
        <color rgb="FF1155CC"/>
        <sz val="9.0"/>
        <u/>
      </rPr>
      <t>Faro de Vigo</t>
    </r>
    <r>
      <rPr>
        <rFont val="Arial, sans-serif"/>
        <color rgb="FF1155CC"/>
        <sz val="15.0"/>
        <u/>
      </rPr>
      <t>El bar Campos, Solete Repsol por sus míticos callos</t>
    </r>
    <r>
      <rPr>
        <rFont val="Arial, sans-serif"/>
        <color rgb="FF1155CC"/>
        <sz val="11.0"/>
        <u/>
      </rPr>
      <t>Este legendario local de Vilagarcía despacha raciones los martes y sábados de todo el año.</t>
    </r>
    <r>
      <rPr>
        <rFont val="Arial, sans-serif"/>
        <color rgb="FF1155CC"/>
        <sz val="12.0"/>
        <u/>
      </rPr>
      <t>.</t>
    </r>
    <r>
      <rPr>
        <rFont val="Arial, sans-serif"/>
        <color rgb="FF1155CC"/>
        <sz val="11.0"/>
        <u/>
      </rPr>
      <t>11 nov 2024</t>
    </r>
  </si>
  <si>
    <t>El bar Campos, Solete Repsol por sus míticos callos</t>
  </si>
  <si>
    <t>Este legendario local de Vilagarcía despacha raciones los martes y sábados de todo el año.</t>
  </si>
  <si>
    <t>The Campos bar, Solete Repsol for its legendary tripe</t>
  </si>
  <si>
    <t>This legendary establishment in Vilagarcía delivers portions on Tuesdays and Saturdays throughout the year.</t>
  </si>
  <si>
    <r>
      <rPr>
        <rFont val="Arial, sans-serif"/>
        <color rgb="FF1155CC"/>
        <sz val="9.0"/>
        <u/>
      </rPr>
      <t>La Razón</t>
    </r>
    <r>
      <rPr>
        <rFont val="Arial, sans-serif"/>
        <color rgb="FF1155CC"/>
        <sz val="15.0"/>
        <u/>
      </rPr>
      <t>Estos son los restaurantes de "toda la vida" de Castilla-La Mancha que han conseguido un 'Solete con Solera' de Repsol</t>
    </r>
    <r>
      <rPr>
        <rFont val="Arial, sans-serif"/>
        <color rgb="FF1155CC"/>
        <sz val="11.0"/>
        <u/>
      </rPr>
      <t>Un total de 20 restaurantes de la región han recibido este galardón de la Guía Repsol que pone el foco en los restaurantes tradicionales.</t>
    </r>
    <r>
      <rPr>
        <rFont val="Arial, sans-serif"/>
        <color rgb="FF1155CC"/>
        <sz val="12.0"/>
        <u/>
      </rPr>
      <t>.</t>
    </r>
    <r>
      <rPr>
        <rFont val="Arial, sans-serif"/>
        <color rgb="FF1155CC"/>
        <sz val="11.0"/>
        <u/>
      </rPr>
      <t>11 nov 2024</t>
    </r>
  </si>
  <si>
    <t>Estos son los restaurantes de "toda la vida" de Castilla-La Mancha que han conseguido un 'Solete con Solera' de Repsol</t>
  </si>
  <si>
    <t>Un total de 20 restaurantes de la región han recibido este galardón de la Guía Repsol que pone el foco en los restaurantes tradicionales.</t>
  </si>
  <si>
    <t>These are the traditional restaurants in Castilla-La Mancha that have achieved a 'Solete con Solera' from Repsol</t>
  </si>
  <si>
    <t>A total of 20 restaurants in the region have received this award from the Repsol Guide, which focuses on traditional restaurants.</t>
  </si>
  <si>
    <r>
      <rPr>
        <rFont val="Arial, sans-serif"/>
        <color rgb="FF1155CC"/>
        <sz val="9.0"/>
        <u/>
      </rPr>
      <t>Tribuna Salamanca</t>
    </r>
    <r>
      <rPr>
        <rFont val="Arial, sans-serif"/>
        <color rgb="FF1155CC"/>
        <sz val="15.0"/>
        <u/>
      </rPr>
      <t>Los seis restaurantes y casas de comida de Salamanca reconocidos con 'Soletes con Solera' por la Guía Repsol</t>
    </r>
    <r>
      <rPr>
        <rFont val="Arial, sans-serif"/>
        <color rgb="FF1155CC"/>
        <sz val="11.0"/>
        <u/>
      </rPr>
      <t>Guía Repsol sabe que 'lo de siempre' resulta más atractivo que nunca. Por eso, en esta décima edición ha puesto el foco en los Soletes con Solera.</t>
    </r>
    <r>
      <rPr>
        <rFont val="Arial, sans-serif"/>
        <color rgb="FF1155CC"/>
        <sz val="12.0"/>
        <u/>
      </rPr>
      <t>.</t>
    </r>
    <r>
      <rPr>
        <rFont val="Arial, sans-serif"/>
        <color rgb="FF1155CC"/>
        <sz val="11.0"/>
        <u/>
      </rPr>
      <t>11 nov 2024</t>
    </r>
  </si>
  <si>
    <t>Los seis restaurantes y casas de comida de Salamanca reconocidos con 'Soletes con Solera' por la Guía Repsol</t>
  </si>
  <si>
    <t>Guía Repsol sabe que 'lo de siempre' resulta más atractivo que nunca. Por eso, en esta décima edición ha puesto el foco en los Soletes con Solera.</t>
  </si>
  <si>
    <t>The six restaurants and food houses in Salamanca recognized with 'Soletes con Solera' by the Repsol Guide</t>
  </si>
  <si>
    <t>Repsol Guide knows that 'business as usual' is more attractive than ever. For this reason, in this tenth edition the focus has been on Soletes con Solera.</t>
  </si>
  <si>
    <r>
      <rPr>
        <rFont val="Arial, sans-serif"/>
        <color rgb="FF1155CC"/>
        <sz val="9.0"/>
        <u/>
      </rPr>
      <t>Heraldo-Diario de Soria</t>
    </r>
    <r>
      <rPr>
        <rFont val="Arial, sans-serif"/>
        <color rgb="FF1155CC"/>
        <sz val="15.0"/>
        <u/>
      </rPr>
      <t>Los 6 Soletes con Solera para Soria que reconocen la tradición en la gastronomía</t>
    </r>
    <r>
      <rPr>
        <rFont val="Arial, sans-serif"/>
        <color rgb="FF1155CC"/>
        <sz val="11.0"/>
        <u/>
      </rPr>
      <t>La Guía Repsol acaba de comunicar 6 nuevos Soletes para la provincia de Soria. En esta edición se trata de Soletes con Solera, un reconocimiento a obradores...</t>
    </r>
    <r>
      <rPr>
        <rFont val="Arial, sans-serif"/>
        <color rgb="FF1155CC"/>
        <sz val="12.0"/>
        <u/>
      </rPr>
      <t>.</t>
    </r>
    <r>
      <rPr>
        <rFont val="Arial, sans-serif"/>
        <color rgb="FF1155CC"/>
        <sz val="11.0"/>
        <u/>
      </rPr>
      <t>11 nov 2024</t>
    </r>
  </si>
  <si>
    <t>Los 6 Soletes con Solera para Soria que reconocen la tradición en la gastronomía</t>
  </si>
  <si>
    <t>La Guía Repsol acaba de comunicar 6 nuevos Soletes para la provincia de Soria. En esta edición se trata de Soletes con Solera, un reconocimiento a obradores....</t>
  </si>
  <si>
    <t>The 6 Soletes con Solera for Soria that recognize tradition in gastronomy</t>
  </si>
  <si>
    <t>The Repsol Guide has just announced 6 new Soletes for the province of Soria. This edition is about Soletes con Solera, a recognition of workshops....</t>
  </si>
  <si>
    <r>
      <rPr>
        <rFont val="Arial, sans-serif"/>
        <color rgb="FF1155CC"/>
        <sz val="9.0"/>
        <u/>
      </rPr>
      <t>Cadena SER</t>
    </r>
    <r>
      <rPr>
        <rFont val="Arial, sans-serif"/>
        <color rgb="FF1155CC"/>
        <sz val="15.0"/>
        <u/>
      </rPr>
      <t>Los seis restaurantes y establecimientos hosteleros de Salamanca que estrenan Solete de Repsol</t>
    </r>
    <r>
      <rPr>
        <rFont val="Arial, sans-serif"/>
        <color rgb="FF1155CC"/>
        <sz val="11.0"/>
        <u/>
      </rPr>
      <t>Salamanca. La Guía Repsol ha presentado un nuevo listado de más de 300 nuevos 'Soletes con Solera' repartidos por toda España, de los que 51 corresponden a...</t>
    </r>
    <r>
      <rPr>
        <rFont val="Arial, sans-serif"/>
        <color rgb="FF1155CC"/>
        <sz val="12.0"/>
        <u/>
      </rPr>
      <t>.</t>
    </r>
    <r>
      <rPr>
        <rFont val="Arial, sans-serif"/>
        <color rgb="FF1155CC"/>
        <sz val="11.0"/>
        <u/>
      </rPr>
      <t>11 nov 2024</t>
    </r>
  </si>
  <si>
    <t>Los seis restaurantes y establecimientos hosteleros de Salamanca que estrenan Solete de Repsol</t>
  </si>
  <si>
    <t>The six restaurants and hospitality establishments in Salamanca that debut Solete by Repsol</t>
  </si>
  <si>
    <r>
      <rPr>
        <rFont val="Arial, sans-serif"/>
        <color rgb="FF1155CC"/>
        <sz val="9.0"/>
        <u/>
      </rPr>
      <t>La Voz de Galicia</t>
    </r>
    <r>
      <rPr>
        <rFont val="Arial, sans-serif"/>
        <color rgb="FF1155CC"/>
        <sz val="15.0"/>
        <u/>
      </rPr>
      <t>Los Soletes con Solera Repsol reconocen a siete nuevos restaurantes lucenses: carnes, guisos, dulces y más</t>
    </r>
    <r>
      <rPr>
        <rFont val="Arial, sans-serif"/>
        <color rgb="FF1155CC"/>
        <sz val="11.0"/>
        <u/>
      </rPr>
      <t>El Mazo de Santa Comba, As Triegas o A Taberna de Montse están entre los premiados.</t>
    </r>
    <r>
      <rPr>
        <rFont val="Arial, sans-serif"/>
        <color rgb="FF1155CC"/>
        <sz val="12.0"/>
        <u/>
      </rPr>
      <t>.</t>
    </r>
    <r>
      <rPr>
        <rFont val="Arial, sans-serif"/>
        <color rgb="FF1155CC"/>
        <sz val="11.0"/>
        <u/>
      </rPr>
      <t>11 nov 2024</t>
    </r>
  </si>
  <si>
    <t>Los Soletes con Solera Repsol reconocen a siete nuevos restaurantes lucenses: carnes, guisos, dulces y más</t>
  </si>
  <si>
    <t>Los Soletes con Solera Repsol reconocen a siete nuevos restaurantes lucenses: carnes, guisos, dulces y más. El Mazo de Santa Comba, As Triegas o A Taberna de Montse están entre los premiados.</t>
  </si>
  <si>
    <t>The Soletes with Solera Repsol recognize seven new Lugo restaurants: meats, stews, sweets and more</t>
  </si>
  <si>
    <t>The Soletes con Solera Repsol recognize seven new Lugo restaurants: meats, stews, sweets and more. El Mazo de Santa Comba, As Triegas or A Taberna de Montse are among the winners.</t>
  </si>
  <si>
    <r>
      <rPr>
        <rFont val="Arial, sans-serif"/>
        <color rgb="FF1155CC"/>
        <sz val="9.0"/>
        <u/>
      </rPr>
      <t>Diario de Avisos</t>
    </r>
    <r>
      <rPr>
        <rFont val="Arial, sans-serif"/>
        <color rgb="FF1155CC"/>
        <sz val="15.0"/>
        <u/>
      </rPr>
      <t>Estos son los 14 nuevos bares y restaurantes de Canarias con Soletes de la Guía Repsol</t>
    </r>
    <r>
      <rPr>
        <rFont val="Arial, sans-serif"/>
        <color rgb="FF1155CC"/>
        <sz val="11.0"/>
        <u/>
      </rPr>
      <t>Se publica la lista completa de los nuevos Soletes con Solera que celebran los sabores de siempre, 14 de ellos en las Islas Canarias.</t>
    </r>
    <r>
      <rPr>
        <rFont val="Arial, sans-serif"/>
        <color rgb="FF1155CC"/>
        <sz val="12.0"/>
        <u/>
      </rPr>
      <t>.</t>
    </r>
    <r>
      <rPr>
        <rFont val="Arial, sans-serif"/>
        <color rgb="FF1155CC"/>
        <sz val="11.0"/>
        <u/>
      </rPr>
      <t>11 nov 2024</t>
    </r>
  </si>
  <si>
    <t>Estos son los 14 nuevos bares y restaurantes de Canarias con Soletes de la Guía Repsol</t>
  </si>
  <si>
    <t>Se publica la lista completa de los nuevos Soletes con Solera que celebran los sabores de siempre, 14 de ellos en las Islas Canarias.</t>
  </si>
  <si>
    <t>These are the 14 new bars and restaurants in the Canary Islands with Soletes from the Repsol Guide</t>
  </si>
  <si>
    <t>The complete list of the new Soletes con Solera that celebrates the traditional flavors is published, 14 of them in the Canary Islands.</t>
  </si>
  <si>
    <r>
      <rPr>
        <rFont val="Arial, sans-serif"/>
        <color rgb="FF1155CC"/>
        <sz val="9.0"/>
        <u/>
      </rPr>
      <t>Infobae</t>
    </r>
    <r>
      <rPr>
        <rFont val="Arial, sans-serif"/>
        <color rgb="FF1155CC"/>
        <sz val="15.0"/>
        <u/>
      </rPr>
      <t>La vuelta a “la cocina de siempre”: 330 nuevos ‘soletes’ Repsol premian a los bares y restaurantes con más solera</t>
    </r>
    <r>
      <rPr>
        <rFont val="Arial, sans-serif"/>
        <color rgb="FF1155CC"/>
        <sz val="11.0"/>
        <u/>
      </rPr>
      <t>Los nuevos Soletes de la Guía Repsol homenajean la tradición y reivindican tanto los negocios clásicos que han resistido al paso del tiempo como los...</t>
    </r>
    <r>
      <rPr>
        <rFont val="Arial, sans-serif"/>
        <color rgb="FF1155CC"/>
        <sz val="12.0"/>
        <u/>
      </rPr>
      <t>.</t>
    </r>
    <r>
      <rPr>
        <rFont val="Arial, sans-serif"/>
        <color rgb="FF1155CC"/>
        <sz val="11.0"/>
        <u/>
      </rPr>
      <t>11 nov 2024</t>
    </r>
  </si>
  <si>
    <t>La vuelta a “la cocina de siempre”: 330 nuevos ‘soletes’ Repsol premian a los bares y restaurantes con más solera</t>
  </si>
  <si>
    <t>Los nuevos Soletes de la Guía Repsol homenajean la tradición y reivindican tanto los negocios clásicos que han resistido al paso del tiempo como los....</t>
  </si>
  <si>
    <t>The return to “the usual cuisine”: 330 new Repsol ‘soletes’ reward the most traditional bars and restaurants</t>
  </si>
  <si>
    <t>The new Soletes of the Repsol Guide pay tribute to tradition and vindicate both the classic businesses that have stood the test of time and the...</t>
  </si>
  <si>
    <r>
      <rPr>
        <rFont val="Arial, sans-serif"/>
        <color rgb="FF1155CC"/>
        <sz val="9.0"/>
        <u/>
      </rPr>
      <t>Nueva Alcarria.com</t>
    </r>
    <r>
      <rPr>
        <rFont val="Arial, sans-serif"/>
        <color rgb="FF1155CC"/>
        <sz val="15.0"/>
        <u/>
      </rPr>
      <t>Aquí tienes los cuatro nuevos restaurantes de la provincia de Guadalajara reconocidos por la Guía Repsol</t>
    </r>
    <r>
      <rPr>
        <rFont val="Arial, sans-serif"/>
        <color rgb="FF1155CC"/>
        <sz val="11.0"/>
        <u/>
      </rPr>
      <t>La Guía Repsol ha otorgado más de 300 nuevos 'Soletes' con solera a lo largo de España, destacando locales que conservan la tradició[...]</t>
    </r>
    <r>
      <rPr>
        <rFont val="Arial, sans-serif"/>
        <color rgb="FF1155CC"/>
        <sz val="12.0"/>
        <u/>
      </rPr>
      <t>.</t>
    </r>
    <r>
      <rPr>
        <rFont val="Arial, sans-serif"/>
        <color rgb="FF1155CC"/>
        <sz val="11.0"/>
        <u/>
      </rPr>
      <t>11 nov 2024</t>
    </r>
  </si>
  <si>
    <t>Nueva Alcarria</t>
  </si>
  <si>
    <t>Aquí tienes los cuatro nuevos restaurantes de la provincia de Guadalajara reconocidos por la Guía Repsol</t>
  </si>
  <si>
    <t>La Guía Repsol ha otorgado más de 300 nuevos 'Soletes' con solera a lo largo de España, destacando locales que conservan la tradición.</t>
  </si>
  <si>
    <t>Here you have the four new restaurants in the province of Guadalajara recognized by the Repsol Guide</t>
  </si>
  <si>
    <t>The Repsol Guide has awarded more than 300 new 'Soletes' with tradition throughout Spain, highlighting places that preserve tradition.</t>
  </si>
  <si>
    <r>
      <rPr>
        <rFont val="Arial, sans-serif"/>
        <color rgb="FF1155CC"/>
        <sz val="9.0"/>
        <u/>
      </rPr>
      <t>Crónica Global</t>
    </r>
    <r>
      <rPr>
        <rFont val="Arial, sans-serif"/>
        <color rgb="FF1155CC"/>
        <sz val="15.0"/>
        <u/>
      </rPr>
      <t>El restaurante de Cataluña premiado por la Guía Repsol donde comer una mariscada por menos de 20€</t>
    </r>
    <r>
      <rPr>
        <rFont val="Arial, sans-serif"/>
        <color rgb="FF1155CC"/>
        <sz val="11.0"/>
        <u/>
      </rPr>
      <t>El establecimiento de Palamós ha sido premiado con la distinción 'Solete con solera' Otros restaurantes: El único restaurante de Cataluña donde echar una...</t>
    </r>
    <r>
      <rPr>
        <rFont val="Arial, sans-serif"/>
        <color rgb="FF1155CC"/>
        <sz val="12.0"/>
        <u/>
      </rPr>
      <t>.</t>
    </r>
    <r>
      <rPr>
        <rFont val="Arial, sans-serif"/>
        <color rgb="FF1155CC"/>
        <sz val="11.0"/>
        <u/>
      </rPr>
      <t>11 nov 2024</t>
    </r>
  </si>
  <si>
    <t>El restaurante de Cataluña premiado por la Guía Repsol donde comer una mariscada por menos de 20€</t>
  </si>
  <si>
    <t>El establecimiento de Palamós ha sido premiado con la distinción 'Solete con solera' Otros restaurantes: El único restaurante de Cataluña donde echar una....</t>
  </si>
  <si>
    <t>The restaurant in Catalonia awarded by the Repsol Guide where you can eat a seafood platter for less than €20</t>
  </si>
  <si>
    <t>The Palamós establishment has been awarded the 'Solete con solera' distinction. Other restaurants: The only restaurant in Catalonia where you can have a...</t>
  </si>
  <si>
    <r>
      <rPr>
        <rFont val="Arial, sans-serif"/>
        <color rgb="FF1155CC"/>
        <sz val="9.0"/>
        <u/>
      </rPr>
      <t>La Comarca de Puertollano</t>
    </r>
    <r>
      <rPr>
        <rFont val="Arial, sans-serif"/>
        <color rgb="FF1155CC"/>
        <sz val="15.0"/>
        <u/>
      </rPr>
      <t>Cara y cruz este fin de semana para los equipos del Tenis Club Recreativo Repsol Puertollano</t>
    </r>
    <r>
      <rPr>
        <rFont val="Arial, sans-serif"/>
        <color rgb="FF1155CC"/>
        <sz val="11.0"/>
        <u/>
      </rPr>
      <t>El mejor resultado de la jornada lo ha conseguido el equipo absoluto frente al Club de Tenis Ciudad Real.</t>
    </r>
    <r>
      <rPr>
        <rFont val="Arial, sans-serif"/>
        <color rgb="FF1155CC"/>
        <sz val="12.0"/>
        <u/>
      </rPr>
      <t>.</t>
    </r>
    <r>
      <rPr>
        <rFont val="Arial, sans-serif"/>
        <color rgb="FF1155CC"/>
        <sz val="11.0"/>
        <u/>
      </rPr>
      <t>11 nov 2024</t>
    </r>
  </si>
  <si>
    <t>Cara y cruz este fin de semana para los equipos del Tenis Club Recreativo Repsol Puertollano</t>
  </si>
  <si>
    <t>El mejor resultado de la jornada lo ha conseguido el equipo absoluto frente al Club de Tenis Ciudad Real.</t>
  </si>
  <si>
    <t>Heads and tails this weekend for the teams of the Tenis Club Recreativo Repsol Puertollano</t>
  </si>
  <si>
    <t>The best result of the day was achieved by the senior team against the Ciudad Real Tennis Club.</t>
  </si>
  <si>
    <r>
      <rPr>
        <rFont val="Arial, sans-serif"/>
        <color rgb="FF1155CC"/>
        <sz val="9.0"/>
        <u/>
      </rPr>
      <t>Diario de Burgos</t>
    </r>
    <r>
      <rPr>
        <rFont val="Arial, sans-serif"/>
        <color rgb="FF1155CC"/>
        <sz val="15.0"/>
        <u/>
      </rPr>
      <t>Soletes con solera: Repsol reconoce a 6 establecimientos de Burgos que apuestan por lo auténtico</t>
    </r>
    <r>
      <rPr>
        <rFont val="Arial, sans-serif"/>
        <color rgb="FF1155CC"/>
        <sz val="11.0"/>
        <u/>
      </rPr>
      <t>La Guía Repsol reconoce en la provincia a media docena de negocios, tanto clásicos que han resistido al paso del tiempo, como a los jóvenes que apuestan por...</t>
    </r>
    <r>
      <rPr>
        <rFont val="Arial, sans-serif"/>
        <color rgb="FF1155CC"/>
        <sz val="12.0"/>
        <u/>
      </rPr>
      <t>.</t>
    </r>
    <r>
      <rPr>
        <rFont val="Arial, sans-serif"/>
        <color rgb="FF1155CC"/>
        <sz val="11.0"/>
        <u/>
      </rPr>
      <t>11 nov 2024</t>
    </r>
  </si>
  <si>
    <t>Soletes con solera: Repsol reconoce a 6 establecimientos de Burgos que apuestan por lo auténtico</t>
  </si>
  <si>
    <t>La Guía Repsol reconoce en la provincia a media docena de negocios, tanto clásicos que han resistido al paso del tiempo, como a los jóvenes que apuestan por....</t>
  </si>
  <si>
    <t>Soletes con solera: Repsol recognizes 6 establishments in Burgos that are committed to authenticity</t>
  </si>
  <si>
    <t>The Repsol Guide recognizes half a dozen businesses in the province, both classics that have stood the test of time, and young people who are committed to...</t>
  </si>
  <si>
    <r>
      <rPr>
        <rFont val="Arial, sans-serif"/>
        <color rgb="FF1155CC"/>
        <sz val="9.0"/>
        <u/>
      </rPr>
      <t>El Correo Gallego</t>
    </r>
    <r>
      <rPr>
        <rFont val="Arial, sans-serif"/>
        <color rgb="FF1155CC"/>
        <sz val="15.0"/>
        <u/>
      </rPr>
      <t>Dos locales de Santiago se suman a los nuevos Soletes de la Guía Repsol</t>
    </r>
    <r>
      <rPr>
        <rFont val="Arial, sans-serif"/>
        <color rgb="FF1155CC"/>
        <sz val="11.0"/>
        <u/>
      </rPr>
      <t>Entre los más de 300 establecimientos seleccionados, hay 26 repartidos por toda la geografía gallega. Dos restaurantes de Santiago se suman a los nuevos...</t>
    </r>
    <r>
      <rPr>
        <rFont val="Arial, sans-serif"/>
        <color rgb="FF1155CC"/>
        <sz val="12.0"/>
        <u/>
      </rPr>
      <t>.</t>
    </r>
    <r>
      <rPr>
        <rFont val="Arial, sans-serif"/>
        <color rgb="FF1155CC"/>
        <sz val="11.0"/>
        <u/>
      </rPr>
      <t>11 nov 2024</t>
    </r>
  </si>
  <si>
    <t>Dos locales de Santiago se suman a los nuevos Soletes de la Guía Repsol</t>
  </si>
  <si>
    <t>Entre los más de 300 establecimientos seleccionados, hay 26 repartidos por toda la geografía gallega. Dos restaurantes de Santiago se suman a los nuevos...</t>
  </si>
  <si>
    <t>Two stores in Santiago join the new Soletes of the Repsol Guide</t>
  </si>
  <si>
    <t>Among the more than 300 establishments selected, there are 26 spread throughout the Galician geography. Two restaurants in Santiago join the new...</t>
  </si>
  <si>
    <r>
      <rPr>
        <rFont val="Arial, sans-serif"/>
        <color rgb="FF1155CC"/>
        <sz val="9.0"/>
        <u/>
      </rPr>
      <t>Navarra.com</t>
    </r>
    <r>
      <rPr>
        <rFont val="Arial, sans-serif"/>
        <color rgb="FF1155CC"/>
        <sz val="15.0"/>
        <u/>
      </rPr>
      <t>Los cinco restaurantes de Navarra que han recibido un reconocimiento muy especial de la Guía Repsol</t>
    </r>
    <r>
      <rPr>
        <rFont val="Arial, sans-serif"/>
        <color rgb="FF1155CC"/>
        <sz val="11.0"/>
        <u/>
      </rPr>
      <t>En esta décima edición se ha puesto el foco en jóvenes cocineros que abren nuevas casas de comidas tradicionales.</t>
    </r>
    <r>
      <rPr>
        <rFont val="Arial, sans-serif"/>
        <color rgb="FF1155CC"/>
        <sz val="12.0"/>
        <u/>
      </rPr>
      <t>.</t>
    </r>
    <r>
      <rPr>
        <rFont val="Arial, sans-serif"/>
        <color rgb="FF1155CC"/>
        <sz val="11.0"/>
        <u/>
      </rPr>
      <t>11 nov 2024</t>
    </r>
  </si>
  <si>
    <t>Los cinco restaurantes de Navarra que han recibido un reconocimiento muy especial de la Guía Repsol</t>
  </si>
  <si>
    <t>En esta décima edición se ha puesto el foco en jóvenes cocineros que abren nuevas casas de comidas tradicionales.</t>
  </si>
  <si>
    <t>The five restaurants in Navarra that have received a very special recognition from the Repsol Guide</t>
  </si>
  <si>
    <t>In this tenth edition, the focus has been on young chefs who open new traditional food houses.</t>
  </si>
  <si>
    <r>
      <rPr>
        <rFont val="Arial, sans-serif"/>
        <color rgb="FF1155CC"/>
        <sz val="9.0"/>
        <u/>
      </rPr>
      <t>La Razón</t>
    </r>
    <r>
      <rPr>
        <rFont val="Arial, sans-serif"/>
        <color rgb="FF1155CC"/>
        <sz val="15.0"/>
        <u/>
      </rPr>
      <t>Un mundo de sabores de toda la vida: Galicia suma 26 nuevos Soletes Repsol</t>
    </r>
    <r>
      <rPr>
        <rFont val="Arial, sans-serif"/>
        <color rgb="FF1155CC"/>
        <sz val="11.0"/>
        <u/>
      </rPr>
      <t>La Guía Repsol ha reconocido a 26 nuevos locales gallegos con el distintivo de Soletes con Solera en su décima edición, destacando su autenticidad y su...</t>
    </r>
    <r>
      <rPr>
        <rFont val="Arial, sans-serif"/>
        <color rgb="FF1155CC"/>
        <sz val="12.0"/>
        <u/>
      </rPr>
      <t>.</t>
    </r>
    <r>
      <rPr>
        <rFont val="Arial, sans-serif"/>
        <color rgb="FF1155CC"/>
        <sz val="11.0"/>
        <u/>
      </rPr>
      <t>11 nov 2024</t>
    </r>
  </si>
  <si>
    <t>Un mundo de sabores de toda la vida: Galicia suma 26 nuevos Soletes Repsol</t>
  </si>
  <si>
    <t>La Guía Repsol ha reconocido a 26 nuevos locales gallegos con el distintivo de Soletes con Solera en su décima edición, destacando su autenticidad y su....</t>
  </si>
  <si>
    <t>A world of traditional flavors: Galicia adds 26 new Repsol Soletes</t>
  </si>
  <si>
    <t>The Repsol Guide has recognized 26 new Galician establishments with the Soletes con Solera distinction in its tenth edition, highlighting their authenticity and...</t>
  </si>
  <si>
    <r>
      <rPr>
        <rFont val="Arial, sans-serif"/>
        <color rgb="FF1155CC"/>
        <sz val="9.0"/>
        <u/>
      </rPr>
      <t>La Opinión A Coruña</t>
    </r>
    <r>
      <rPr>
        <rFont val="Arial, sans-serif"/>
        <color rgb="FF1155CC"/>
        <sz val="15.0"/>
        <u/>
      </rPr>
      <t>Los ‘Soletes con Solera’ que deleitan a la Guía Repsol</t>
    </r>
    <r>
      <rPr>
        <rFont val="Arial, sans-serif"/>
        <color rgb="FF1155CC"/>
        <sz val="11.0"/>
        <u/>
      </rPr>
      <t>Jorge Otero y Hugo Aparicio, de Casa Ponte; Leo Naya, de Rodolfus; y Puri Vidal, de Jumbo H-1. / Germán Barreiros / Roller Agencia.</t>
    </r>
    <r>
      <rPr>
        <rFont val="Arial, sans-serif"/>
        <color rgb="FF1155CC"/>
        <sz val="12.0"/>
        <u/>
      </rPr>
      <t>.</t>
    </r>
    <r>
      <rPr>
        <rFont val="Arial, sans-serif"/>
        <color rgb="FF1155CC"/>
        <sz val="11.0"/>
        <u/>
      </rPr>
      <t>11 nov 2024</t>
    </r>
  </si>
  <si>
    <t>Los ‘Soletes con Solera’ que deleitan a la Guía Repsol</t>
  </si>
  <si>
    <t>Los ‘Soletes con Solera’ que deleitan a la Guía RepsolJorge Otero y Hugo Aparicio, de Casa Ponte; Leo Naya, de Rodolfus; y Puri Vidal, de Jumbo H-1.</t>
  </si>
  <si>
    <t>The 'Soletes con Solera' that delight the Repsol Guide</t>
  </si>
  <si>
    <t>The 'Soletes con Solera' that delight the Repsol Guide Jorge Otero and Hugo Aparicio, from Casa Ponte; Leo Naya, by Rodolfus; and Puri Vidal, from Jumbo H-1.</t>
  </si>
  <si>
    <r>
      <rPr>
        <rFont val="Arial, sans-serif"/>
        <color rgb="FF1155CC"/>
        <sz val="9.0"/>
        <u/>
      </rPr>
      <t>El Nuevo Observador</t>
    </r>
    <r>
      <rPr>
        <rFont val="Arial, sans-serif"/>
        <color rgb="FF1155CC"/>
        <sz val="15.0"/>
        <u/>
      </rPr>
      <t>La gastronomía de Linares reluce con nuevo Solete de la Guía Repsol para el Bar Córdoba</t>
    </r>
    <r>
      <rPr>
        <rFont val="Arial, sans-serif"/>
        <color rgb="FF1155CC"/>
        <sz val="11.0"/>
        <u/>
      </rPr>
      <t>El establecimiento, ubicado en la linarense calle Canalejas, se suma a Los Sentidos, Canela en Rama, Taberna Lagartijo y Excelsior.</t>
    </r>
    <r>
      <rPr>
        <rFont val="Arial, sans-serif"/>
        <color rgb="FF1155CC"/>
        <sz val="12.0"/>
        <u/>
      </rPr>
      <t>.</t>
    </r>
    <r>
      <rPr>
        <rFont val="Arial, sans-serif"/>
        <color rgb="FF1155CC"/>
        <sz val="11.0"/>
        <u/>
      </rPr>
      <t>11 nov 2024</t>
    </r>
  </si>
  <si>
    <t>La gastronomía de Linares reluce con nuevo Solete de la Guía Repsol para el Bar Córdoba</t>
  </si>
  <si>
    <t>El establecimiento, ubicado en la linarense calle Canalejas, se suma a Los Sentidos, Canela en Rama, Taberna Lagartijo y Excelsior.</t>
  </si>
  <si>
    <t>The gastronomy of Linares shines with new Solete from the Repsol Guide for the Córdoba Bar</t>
  </si>
  <si>
    <t>The establishment, located on Canalejas Street in Linares, joins Los Sentidos, Canela en Rama, Taberna Lagartijo and Excelsior.</t>
  </si>
  <si>
    <r>
      <rPr>
        <rFont val="Arial, sans-serif"/>
        <color rgb="FF1155CC"/>
        <sz val="9.0"/>
        <u/>
      </rPr>
      <t>Zamora News</t>
    </r>
    <r>
      <rPr>
        <rFont val="Arial, sans-serif"/>
        <color rgb="FF1155CC"/>
        <sz val="15.0"/>
        <u/>
      </rPr>
      <t>Seis Soletes con Solera destacan en Zamora según la Guía Repsol</t>
    </r>
    <r>
      <rPr>
        <rFont val="Arial, sans-serif"/>
        <color rgb="FF1155CC"/>
        <sz val="11.0"/>
        <u/>
      </rPr>
      <t>Seis bares y restaurantes de Zamora han sido reconocidos este 2024 con el prestigioso galardón Soletes con Solera por su excelencia gastronómica.</t>
    </r>
    <r>
      <rPr>
        <rFont val="Arial, sans-serif"/>
        <color rgb="FF1155CC"/>
        <sz val="12.0"/>
        <u/>
      </rPr>
      <t>.</t>
    </r>
    <r>
      <rPr>
        <rFont val="Arial, sans-serif"/>
        <color rgb="FF1155CC"/>
        <sz val="11.0"/>
        <u/>
      </rPr>
      <t>11 nov 2024</t>
    </r>
  </si>
  <si>
    <t>Seis Soletes con Solera destacan en Zamora según la Guía Repsol</t>
  </si>
  <si>
    <t>Seis bares y restaurantes de Zamora han sido reconocidos este 2024 con el prestigioso galardón Soletes con Solera por su excelencia gastronómica.</t>
  </si>
  <si>
    <t>Six Soletes with Solera stand out in Zamora according to the Repsol Guide</t>
  </si>
  <si>
    <t>Six bars and restaurants in Zamora have been recognized in 2024 with the prestigious Soletes con Solera award for their gastronomic excellence.</t>
  </si>
  <si>
    <r>
      <rPr>
        <rFont val="Arial, sans-serif"/>
        <color rgb="FF1155CC"/>
        <sz val="9.0"/>
        <u/>
      </rPr>
      <t>El Cronista</t>
    </r>
    <r>
      <rPr>
        <rFont val="Arial, sans-serif"/>
        <color rgb="FF1155CC"/>
        <sz val="15.0"/>
        <u/>
      </rPr>
      <t>Repsol: así abre la cotización hoy lunes 11 de noviembre, ¿cuánto rinden los dividendos?</t>
    </r>
    <r>
      <rPr>
        <rFont val="Arial, sans-serif"/>
        <color rgb="FF1155CC"/>
        <sz val="11.0"/>
        <u/>
      </rPr>
      <t>Este lunes, 11 de noviembre de 2024, en España, las acciones de la compañía de petróleo, gas y combustibles consumibles Repsol (REP) se negocian a 11,56...</t>
    </r>
    <r>
      <rPr>
        <rFont val="Arial, sans-serif"/>
        <color rgb="FF1155CC"/>
        <sz val="12.0"/>
        <u/>
      </rPr>
      <t>.</t>
    </r>
    <r>
      <rPr>
        <rFont val="Arial, sans-serif"/>
        <color rgb="FF1155CC"/>
        <sz val="11.0"/>
        <u/>
      </rPr>
      <t>11 nov 2024</t>
    </r>
  </si>
  <si>
    <t>Repsol: así abre la cotización hoy lunes 11 de noviembre, ¿cuánto rinden los dividendos?</t>
  </si>
  <si>
    <t>Este lunes, 11 de noviembre de 2024, en España, las acciones de la compañía de petróleo, gas y combustibles consumibles Repsol (REP) se negocian a 11,56.</t>
  </si>
  <si>
    <t>Repsol: this is how trading opens today, Monday, November 11, how much do the dividends yield?</t>
  </si>
  <si>
    <t>This Monday, November 11, 2024, in Spain, the shares of the oil, gas and consumable fuels company Repsol (REP) are trading at 11.56.</t>
  </si>
  <si>
    <t>Neutral as it reports stock data.</t>
  </si>
  <si>
    <r>
      <rPr>
        <rFont val="Arial, sans-serif"/>
        <color rgb="FF1155CC"/>
        <sz val="9.0"/>
        <u/>
      </rPr>
      <t>Diario de Valderrueda</t>
    </r>
    <r>
      <rPr>
        <rFont val="Arial, sans-serif"/>
        <color rgb="FF1155CC"/>
        <sz val="15.0"/>
        <u/>
      </rPr>
      <t>La Montaña Leonesa vuelve a conquistar la Guía Repsol con cuatro nuevos 'Soletes' gastronómicos</t>
    </r>
    <r>
      <rPr>
        <rFont val="Arial, sans-serif"/>
        <color rgb="FF1155CC"/>
        <sz val="11.0"/>
        <u/>
      </rPr>
      <t>Diario de Valderrueda - Casa Maragato (Busdongo), Entrepeñas (Geras), El Mesón (Riaño) y Casa Chucho (Boñar) se estrenan en la Guía Repsol con su nueva...</t>
    </r>
    <r>
      <rPr>
        <rFont val="Arial, sans-serif"/>
        <color rgb="FF1155CC"/>
        <sz val="12.0"/>
        <u/>
      </rPr>
      <t>.</t>
    </r>
    <r>
      <rPr>
        <rFont val="Arial, sans-serif"/>
        <color rgb="FF1155CC"/>
        <sz val="11.0"/>
        <u/>
      </rPr>
      <t>11 nov 2024</t>
    </r>
  </si>
  <si>
    <t>La Montaña Leonesa vuelve a conquistar la Guía Repsol con cuatro nuevos 'Soletes' gastronómicos</t>
  </si>
  <si>
    <t>Casa Maragato (Busdongo), Entrepeñas (Geras), El Mesón (Riaño) y Casa Chucho (Boñar) se estrenan en la Guía Repsol con su nueva....</t>
  </si>
  <si>
    <t>The Leonesa Mountain once again conquers the Repsol Guide with four new gastronomic 'Soletes'</t>
  </si>
  <si>
    <t>Casa Maragato (Busdongo), Entrepeñas (Geras), El Mesón (Riaño) and Casa Chucho (Boñar) debut in the Repsol Guide with their new....</t>
  </si>
  <si>
    <r>
      <rPr>
        <rFont val="Arial, sans-serif"/>
        <color rgb="FF1155CC"/>
        <sz val="9.0"/>
        <u/>
      </rPr>
      <t>El Progreso de Lugo</t>
    </r>
    <r>
      <rPr>
        <rFont val="Arial, sans-serif"/>
        <color rgb="FF1155CC"/>
        <sz val="15.0"/>
        <u/>
      </rPr>
      <t>Cuatro locales de Viveiro, Ribadeo, Mondoñedo y Riotorto consiguen un Solete de Repsol</t>
    </r>
    <r>
      <rPr>
        <rFont val="Arial, sans-serif"/>
        <color rgb="FF1155CC"/>
        <sz val="11.0"/>
        <u/>
      </rPr>
      <t>La cafetería Delicias Roasters de Ribadeo, la confitería Alianza de Mondoñedo y el restaurante A Taberna de Montse, de Riotorto, se hicieron con el recono.</t>
    </r>
    <r>
      <rPr>
        <rFont val="Arial, sans-serif"/>
        <color rgb="FF1155CC"/>
        <sz val="12.0"/>
        <u/>
      </rPr>
      <t>.</t>
    </r>
    <r>
      <rPr>
        <rFont val="Arial, sans-serif"/>
        <color rgb="FF1155CC"/>
        <sz val="11.0"/>
        <u/>
      </rPr>
      <t>11 nov 2024</t>
    </r>
  </si>
  <si>
    <t>Cuatro locales de Viveiro, Ribadeo, Mondoñedo y Riotorto consiguen un Solete de Repsol</t>
  </si>
  <si>
    <t>La cafetería Delicias Roasters de Ribadeo, la confitería Alianza de Mondoñedo y el restaurante A Taberna de Montse, de Riotorto, se hicieron con el reconocimiento de un Solete de Repsol.</t>
  </si>
  <si>
    <t>Four stores from Viveiro, Ribadeo, Mondoñedo and Riotorto win a Solete from Repsol</t>
  </si>
  <si>
    <t>The Delicias Roasters cafeteria in Ribadeo, the Alianza confectionery in Mondoñedo and the A Taberna de Montse restaurant in Riotorto were awarded a Repsol Solete.</t>
  </si>
  <si>
    <r>
      <rPr>
        <rFont val="Arial, sans-serif"/>
        <color rgb="FF1155CC"/>
        <sz val="9.0"/>
        <u/>
      </rPr>
      <t>Diario de Cádiz</t>
    </r>
    <r>
      <rPr>
        <rFont val="Arial, sans-serif"/>
        <color rgb="FF1155CC"/>
        <sz val="15.0"/>
        <u/>
      </rPr>
      <t>Bares, restaurantes y tabancos de Cádiz que logran un 'solete' de la Guía Repsol este 2024</t>
    </r>
    <r>
      <rPr>
        <rFont val="Arial, sans-serif"/>
        <color rgb="FF1155CC"/>
        <sz val="11.0"/>
        <u/>
      </rPr>
      <t>La tradicional lista pone el foco en jóvenes cocineros que abren nuevas casas de comidas o recuperan bares antiguos.</t>
    </r>
    <r>
      <rPr>
        <rFont val="Arial, sans-serif"/>
        <color rgb="FF1155CC"/>
        <sz val="12.0"/>
        <u/>
      </rPr>
      <t>.</t>
    </r>
    <r>
      <rPr>
        <rFont val="Arial, sans-serif"/>
        <color rgb="FF1155CC"/>
        <sz val="11.0"/>
        <u/>
      </rPr>
      <t>11 nov 2024</t>
    </r>
  </si>
  <si>
    <t>Bares, restaurantes y tabancos de Cádiz que logran un 'solete' de la Guía Repsol este 2024</t>
  </si>
  <si>
    <t>La tradicional lista pone el foco en jóvenes cocineros que abren nuevas casas de comidas o recuperan bares antiguos.</t>
  </si>
  <si>
    <t>Bars, restaurants and tabancos in Cádiz that achieve a 'solete' from the Repsol Guide this 2024</t>
  </si>
  <si>
    <t>The traditional list focuses on young chefs who open new restaurants or recover old bars.</t>
  </si>
  <si>
    <r>
      <rPr>
        <rFont val="Arial, sans-serif"/>
        <color rgb="FF1155CC"/>
        <sz val="9.0"/>
        <u/>
      </rPr>
      <t>El Periódico</t>
    </r>
    <r>
      <rPr>
        <rFont val="Arial, sans-serif"/>
        <color rgb="FF1155CC"/>
        <sz val="15.0"/>
        <u/>
      </rPr>
      <t>Más 300 bares y restaurantes con solera reciben el calor de los soletes Repsol</t>
    </r>
    <r>
      <rPr>
        <rFont val="Arial, sans-serif"/>
        <color rgb="FF1155CC"/>
        <sz val="11.0"/>
        <u/>
      </rPr>
      <t>Guía Repsol ha seleccionado más de 300 nuevos soletes con solera repartidos por toda España, ya que en esta edición se rinde homenaje a la tradición,...</t>
    </r>
    <r>
      <rPr>
        <rFont val="Arial, sans-serif"/>
        <color rgb="FF1155CC"/>
        <sz val="12.0"/>
        <u/>
      </rPr>
      <t>.</t>
    </r>
    <r>
      <rPr>
        <rFont val="Arial, sans-serif"/>
        <color rgb="FF1155CC"/>
        <sz val="11.0"/>
        <u/>
      </rPr>
      <t>11 nov 2024</t>
    </r>
  </si>
  <si>
    <t>Más 300 bares y restaurantes con solera reciben el calor de los soletes Repsol</t>
  </si>
  <si>
    <t>Guía Repsol ha seleccionado más de 300 nuevos soletes con solera repartidos por toda España, ya que en esta edición se rinde homenaje a la tradición,....</t>
  </si>
  <si>
    <t>More than 300 bars and restaurants with tradition receive the heat of Repsol soletes</t>
  </si>
  <si>
    <t>Repsol Guide has selected more than 300 new soletes with tradition spread throughout Spain, since this edition pays tribute to tradition,...</t>
  </si>
  <si>
    <r>
      <rPr>
        <rFont val="Arial, sans-serif"/>
        <color rgb="FF1155CC"/>
        <sz val="9.0"/>
        <u/>
      </rPr>
      <t>El Español</t>
    </r>
    <r>
      <rPr>
        <rFont val="Arial, sans-serif"/>
        <color rgb="FF1155CC"/>
        <sz val="15.0"/>
        <u/>
      </rPr>
      <t>Estos son los nuevos restaurantes de Málaga reconocidos con Solete Repsol: hay 52 premiados en Andalucía</t>
    </r>
    <r>
      <rPr>
        <rFont val="Arial, sans-serif"/>
        <color rgb="FF1155CC"/>
        <sz val="11.0"/>
        <u/>
      </rPr>
      <t>Están ubicados en Málaga capital, Marbella, El Borge, Antequera, Genalguacil y Cañete la Real. Más información: La “más pura de Málaga”: esta es la...</t>
    </r>
    <r>
      <rPr>
        <rFont val="Arial, sans-serif"/>
        <color rgb="FF1155CC"/>
        <sz val="12.0"/>
        <u/>
      </rPr>
      <t>.</t>
    </r>
    <r>
      <rPr>
        <rFont val="Arial, sans-serif"/>
        <color rgb="FF1155CC"/>
        <sz val="11.0"/>
        <u/>
      </rPr>
      <t>11 nov 2024</t>
    </r>
  </si>
  <si>
    <t>Estos son los nuevos restaurantes de Málaga reconocidos con Solete Repsol: hay 52 premiados en Andalucía</t>
  </si>
  <si>
    <t>Están ubicados en Málaga capital, Marbella, El Borge, Antequera, Genalguacil y Cañete la Real. Más información: La “más pura de Málaga”: esta es la....</t>
  </si>
  <si>
    <t>These are the new restaurants in Malaga recognized with Solete Repsol: there are 52 winners in Andalusia</t>
  </si>
  <si>
    <t>They are located in Málaga capital, Marbella, El Borge, Antequera, Genalguacil and Cañete la Real. More information: The “purest of Malaga”: this is the....</t>
  </si>
  <si>
    <r>
      <rPr>
        <rFont val="Arial, sans-serif"/>
        <color rgb="FF1155CC"/>
        <sz val="9.0"/>
        <u/>
      </rPr>
      <t>La Voz de Galicia</t>
    </r>
    <r>
      <rPr>
        <rFont val="Arial, sans-serif"/>
        <color rgb="FF1155CC"/>
        <sz val="15.0"/>
        <u/>
      </rPr>
      <t>La bocatería Chichalovers y la taberna O Gato Negro, nuevos Soletes con Solera de la guía Repsol en Santiago</t>
    </r>
    <r>
      <rPr>
        <rFont val="Arial, sans-serif"/>
        <color rgb="FF1155CC"/>
        <sz val="11.0"/>
        <u/>
      </rPr>
      <t>Estos reconocimientos premian la renovación de los sabores tradicionales y las casas de comida de toda la vida.</t>
    </r>
    <r>
      <rPr>
        <rFont val="Arial, sans-serif"/>
        <color rgb="FF1155CC"/>
        <sz val="12.0"/>
        <u/>
      </rPr>
      <t>.</t>
    </r>
    <r>
      <rPr>
        <rFont val="Arial, sans-serif"/>
        <color rgb="FF1155CC"/>
        <sz val="11.0"/>
        <u/>
      </rPr>
      <t>11 nov 2024</t>
    </r>
  </si>
  <si>
    <t>La bocatería Chichalovers y la taberna O Gato Negro, nuevos Soletes con Solera de la guía Repsol en Santiago</t>
  </si>
  <si>
    <t>Estos reconocimientos premian la renovación de los sabores tradicionales y las casas de comida de toda la vida.</t>
  </si>
  <si>
    <t>The Chichalovers snack bar and the O Gato Negro tavern, new Soletes con Solera from the Repsol guide in Santiago</t>
  </si>
  <si>
    <t>These recognitions reward the renewal of traditional flavors and traditional food houses.</t>
  </si>
  <si>
    <r>
      <rPr>
        <rFont val="Arial, sans-serif"/>
        <color rgb="FF1155CC"/>
        <sz val="9.0"/>
        <u/>
      </rPr>
      <t>Palencia en la Red</t>
    </r>
    <r>
      <rPr>
        <rFont val="Arial, sans-serif"/>
        <color rgb="FF1155CC"/>
        <sz val="15.0"/>
        <u/>
      </rPr>
      <t>Estos son los seis nuevos ‘soletes’ de la gastronomía palentina</t>
    </r>
    <r>
      <rPr>
        <rFont val="Arial, sans-serif"/>
        <color rgb="FF1155CC"/>
        <sz val="11.0"/>
        <u/>
      </rPr>
      <t>La Guía Repsol ha hecho públicos los establecimientos que ganan este reconocimiento este año y que se suman a los 38 ya existentes en la provincia Unos.</t>
    </r>
    <r>
      <rPr>
        <rFont val="Arial, sans-serif"/>
        <color rgb="FF1155CC"/>
        <sz val="12.0"/>
        <u/>
      </rPr>
      <t>.</t>
    </r>
    <r>
      <rPr>
        <rFont val="Arial, sans-serif"/>
        <color rgb="FF1155CC"/>
        <sz val="11.0"/>
        <u/>
      </rPr>
      <t>11 nov 2024</t>
    </r>
  </si>
  <si>
    <t>Estos son los seis nuevos ‘soletes’ de la gastronomía palentina</t>
  </si>
  <si>
    <t>La Guía Repsol ha hecho públicos los establecimientos que ganan este reconocimiento este año y que se suman a los 38 ya existentes en la provincia Unos..</t>
  </si>
  <si>
    <t>These are the six new 'soletes' of Palencia gastronomy</t>
  </si>
  <si>
    <t>The Repsol Guide has made public the establishments that win this recognition this year and that join the 38 already existing in the Unos province.</t>
  </si>
  <si>
    <r>
      <rPr>
        <rFont val="Arial, sans-serif"/>
        <color rgb="FF1155CC"/>
        <sz val="9.0"/>
        <u/>
      </rPr>
      <t>El Ideal Gallego</t>
    </r>
    <r>
      <rPr>
        <rFont val="Arial, sans-serif"/>
        <color rgb="FF1155CC"/>
        <sz val="15.0"/>
        <u/>
      </rPr>
      <t>Hamburguesas, vino y comida casera de toda la vida: estos son los nuevos Soletes Repsol de A Coruña y su área</t>
    </r>
    <r>
      <rPr>
        <rFont val="Arial, sans-serif"/>
        <color rgb="FF1155CC"/>
        <sz val="11.0"/>
        <u/>
      </rPr>
      <t>El póker de Soletes elaborado por el mismo portal que lleva las Estrellas Michelin va de Rodolfus, Casa Ponte y Jumbo H1 en A Coruña a Os Arcos en Betanzos...</t>
    </r>
    <r>
      <rPr>
        <rFont val="Arial, sans-serif"/>
        <color rgb="FF1155CC"/>
        <sz val="12.0"/>
        <u/>
      </rPr>
      <t>.</t>
    </r>
    <r>
      <rPr>
        <rFont val="Arial, sans-serif"/>
        <color rgb="FF1155CC"/>
        <sz val="11.0"/>
        <u/>
      </rPr>
      <t>11 nov 2024</t>
    </r>
  </si>
  <si>
    <t>Hamburguesas, vino y comida casera de toda la vida: estos son los nuevos Soletes Repsol de A Coruña y su área</t>
  </si>
  <si>
    <t>Hamburguesas, vino y comida casera de toda la vida: estos son los nuevos Soletes Repsol de A Coruña y su área.</t>
  </si>
  <si>
    <t>Burgers, wine and traditional homemade food: these are the new Repsol Soletes in A Coruña and its area</t>
  </si>
  <si>
    <t>Burgers, wine and traditional homemade food: these are the new Repsol Soletes in A Coruña and its area.</t>
  </si>
  <si>
    <r>
      <rPr>
        <rFont val="Arial, sans-serif"/>
        <color rgb="FF1155CC"/>
        <sz val="9.0"/>
        <u/>
      </rPr>
      <t>Diario Sur</t>
    </r>
    <r>
      <rPr>
        <rFont val="Arial, sans-serif"/>
        <color rgb="FF1155CC"/>
        <sz val="15.0"/>
        <u/>
      </rPr>
      <t>Seis restaurantes de Málaga, premiados con un Solete por su cocina tradicional</t>
    </r>
    <r>
      <rPr>
        <rFont val="Arial, sans-serif"/>
        <color rgb="FF1155CC"/>
        <sz val="11.0"/>
        <u/>
      </rPr>
      <t>La Guía Repsol reconoce como Soletes con Solera a negocios que se mantienen fieles a los sabores generación tras generación.</t>
    </r>
    <r>
      <rPr>
        <rFont val="Arial, sans-serif"/>
        <color rgb="FF1155CC"/>
        <sz val="12.0"/>
        <u/>
      </rPr>
      <t>.</t>
    </r>
    <r>
      <rPr>
        <rFont val="Arial, sans-serif"/>
        <color rgb="FF1155CC"/>
        <sz val="11.0"/>
        <u/>
      </rPr>
      <t>11 nov 2024</t>
    </r>
  </si>
  <si>
    <t>Seis restaurantes de Málaga, premiados con un Solete por su cocina tradicional</t>
  </si>
  <si>
    <t>La Guía Repsol reconoce como Soletes con Solera a negocios que se mantienen fieles a los sabores generación tras generación.</t>
  </si>
  <si>
    <t>Six restaurants in Malaga, awarded with a Solete for their traditional cuisine</t>
  </si>
  <si>
    <t>The Repsol Guide recognizes as Soletes con Solera businesses that remain faithful to the flavors generation after generation.</t>
  </si>
  <si>
    <r>
      <rPr>
        <rFont val="Arial, sans-serif"/>
        <color rgb="FF1155CC"/>
        <sz val="9.0"/>
        <u/>
      </rPr>
      <t>GuadalajaraDiario.es</t>
    </r>
    <r>
      <rPr>
        <rFont val="Arial, sans-serif"/>
        <color rgb="FF1155CC"/>
        <sz val="15.0"/>
        <u/>
      </rPr>
      <t>Cuatro restaurantes de Guadalajara reciben un “solete” de la guía Repsol</t>
    </r>
    <r>
      <rPr>
        <rFont val="Arial, sans-serif"/>
        <color rgb="FF1155CC"/>
        <sz val="11.0"/>
        <u/>
      </rPr>
      <t>Castilla-La Mancha ha obtenido 20 nuevos Soletes con Solera de la Guía Repsol y cuenta ya con 253 de estos distintivos, que cumplen diez años y que serán...</t>
    </r>
    <r>
      <rPr>
        <rFont val="Arial, sans-serif"/>
        <color rgb="FF1155CC"/>
        <sz val="12.0"/>
        <u/>
      </rPr>
      <t>.</t>
    </r>
    <r>
      <rPr>
        <rFont val="Arial, sans-serif"/>
        <color rgb="FF1155CC"/>
        <sz val="11.0"/>
        <u/>
      </rPr>
      <t>11 nov 2024</t>
    </r>
  </si>
  <si>
    <t>GuadalajaraDiario.es</t>
  </si>
  <si>
    <t>Cuatro restaurantes de Guadalajara reciben un “solete” de la guía Repsol</t>
  </si>
  <si>
    <t>Castilla-La Mancha ha obtenido 20 nuevos Soletes con Solera de la Guía Repsol y cuenta ya con 253 de estos distintivos, que cumplen diez años y que serán....</t>
  </si>
  <si>
    <t>Four restaurants in Guadalajara receive a “solete” from the Repsol guide</t>
  </si>
  <si>
    <t>Castilla-La Mancha has obtained 20 new Soletes con Solera from the Repsol Guide and already has 253 of these distinctions, which are celebrating ten years and will be...</t>
  </si>
  <si>
    <r>
      <rPr>
        <rFont val="Arial, sans-serif"/>
        <color rgb="FF1155CC"/>
        <sz val="9.0"/>
        <u/>
      </rPr>
      <t>El Español</t>
    </r>
    <r>
      <rPr>
        <rFont val="Arial, sans-serif"/>
        <color rgb="FF1155CC"/>
        <sz val="15.0"/>
        <u/>
      </rPr>
      <t>Estos son los locales de la provincia de Pontevedra reconocidos por la Guía Repsol con los Soletes con Solera</t>
    </r>
    <r>
      <rPr>
        <rFont val="Arial, sans-serif"/>
        <color rgb="FF1155CC"/>
        <sz val="11.0"/>
        <u/>
      </rPr>
      <t>En esta décima edición, homenajean la tradición y reivindican los negocios clásicos y los que deciden apostar por lo auténtico También te puede interesar:...</t>
    </r>
    <r>
      <rPr>
        <rFont val="Arial, sans-serif"/>
        <color rgb="FF1155CC"/>
        <sz val="12.0"/>
        <u/>
      </rPr>
      <t>.</t>
    </r>
    <r>
      <rPr>
        <rFont val="Arial, sans-serif"/>
        <color rgb="FF1155CC"/>
        <sz val="11.0"/>
        <u/>
      </rPr>
      <t>11 nov 2024</t>
    </r>
  </si>
  <si>
    <t>Estos son los locales de la provincia de Pontevedra reconocidos por la Guía Repsol con los Soletes con Solera</t>
  </si>
  <si>
    <t>Estos son los locales de la provincia de Pontevedra reconocidos por la Guía Repsol con los Soletes con Solera. En esta décima edición, homenajean la tradición y reivindican los negocios clásicos y los que deciden apostar por lo auténtico. También te puede interesar:....</t>
  </si>
  <si>
    <t>These are the places in the province of Pontevedra recognized by the Repsol Guide with the Soletes con Solera</t>
  </si>
  <si>
    <t>These are the establishments in the province of Pontevedra recognized by the Repsol Guide with the Soletes con Solera. In this tenth edition, they pay tribute to tradition and defend classic businesses and those who decide to bet on authenticity. You may also be interested in:....</t>
  </si>
  <si>
    <r>
      <rPr>
        <rFont val="Arial, sans-serif"/>
        <color rgb="FF1155CC"/>
        <sz val="9.0"/>
        <u/>
      </rPr>
      <t>Voces de Cuenca</t>
    </r>
    <r>
      <rPr>
        <rFont val="Arial, sans-serif"/>
        <color rgb="FF1155CC"/>
        <sz val="15.0"/>
        <u/>
      </rPr>
      <t>Seis establecimientos de la provincia de Cuenca, nuevos 'Soletes con Solera' de la Guía Repsol</t>
    </r>
    <r>
      <rPr>
        <rFont val="Arial, sans-serif"/>
        <color rgb="FF1155CC"/>
        <sz val="11.0"/>
        <u/>
      </rPr>
      <t>Seis establecimientos de la provincia de Cuenca (tres de la capital, dos de Tarancón y uno de Pozoamargo) han sido incluidos por la Guía Repsol en el nuevo...</t>
    </r>
    <r>
      <rPr>
        <rFont val="Arial, sans-serif"/>
        <color rgb="FF1155CC"/>
        <sz val="12.0"/>
        <u/>
      </rPr>
      <t>.</t>
    </r>
    <r>
      <rPr>
        <rFont val="Arial, sans-serif"/>
        <color rgb="FF1155CC"/>
        <sz val="11.0"/>
        <u/>
      </rPr>
      <t>11 nov 2024</t>
    </r>
  </si>
  <si>
    <t>Seis establecimientos de la provincia de Cuenca, nuevos 'Soletes con Solera' de la Guía Repsol</t>
  </si>
  <si>
    <t>Seis establecimientos de la provincia de Cuenca (tres de la capital, dos de Tarancón y uno de Pozoamargo) han sido incluidos por la Guía Repsol en el nuevo....</t>
  </si>
  <si>
    <t>Six establishments in the province of Cuenca, new 'Soletes con Solera' from the Repsol Guide</t>
  </si>
  <si>
    <t>Six establishments in the province of Cuenca (three from the capital, two from Tarancón and one from Pozoamargo) have been included by the Repsol Guide in the new....</t>
  </si>
  <si>
    <r>
      <rPr>
        <rFont val="Arial, sans-serif"/>
        <color rgb="FF1155CC"/>
        <sz val="9.0"/>
        <u/>
      </rPr>
      <t>Salamancahoy</t>
    </r>
    <r>
      <rPr>
        <rFont val="Arial, sans-serif"/>
        <color rgb="FF1155CC"/>
        <sz val="15.0"/>
        <u/>
      </rPr>
      <t>Seis nuevos establecimientos de Salamanca logran el 'Solete con solera' de Repsol</t>
    </r>
    <r>
      <rPr>
        <rFont val="Arial, sans-serif"/>
        <color rgb="FF1155CC"/>
        <sz val="11.0"/>
        <u/>
      </rPr>
      <t>'Exarritare', en Sardón de los Frailes; 'La Fernandica', en Ledesma, y 'Chamorro', 'El Bardo', 'La Industrial' y 'Mesón Cervantes', en la ciudad de...</t>
    </r>
    <r>
      <rPr>
        <rFont val="Arial, sans-serif"/>
        <color rgb="FF1155CC"/>
        <sz val="12.0"/>
        <u/>
      </rPr>
      <t>.</t>
    </r>
    <r>
      <rPr>
        <rFont val="Arial, sans-serif"/>
        <color rgb="FF1155CC"/>
        <sz val="11.0"/>
        <u/>
      </rPr>
      <t>11 nov 2024</t>
    </r>
  </si>
  <si>
    <t>Seis nuevos establecimientos de Salamanca logran el 'Solete con solera' de Repsol</t>
  </si>
  <si>
    <t>Seis nuevos establecimientos de Salamanca logran el 'Solete con solera' de Repsol: 'Exarritare', en Sardón de los Frailes; 'La Fernandica', en Ledesma, y 'Chamorro', 'El Bardo', 'La Industrial' y 'Mesón Cervantes', en la ciudad de....</t>
  </si>
  <si>
    <t>Six new establishments in Salamanca achieve the 'Solete con solera' from Repsol</t>
  </si>
  <si>
    <t>Six new establishments in Salamanca achieve Repsol's 'Solete con solera': 'Exarritare', in Sardón de los Frailes; 'La Fernandica', in Ledesma, and 'Chamorro', 'El Bardo', 'La Industrial' and 'Mesón Cervantes', in the city of....</t>
  </si>
  <si>
    <r>
      <rPr>
        <rFont val="Arial, sans-serif"/>
        <color rgb="FF1155CC"/>
        <sz val="9.0"/>
        <u/>
      </rPr>
      <t>La Opinión de Murcia</t>
    </r>
    <r>
      <rPr>
        <rFont val="Arial, sans-serif"/>
        <color rgb="FF1155CC"/>
        <sz val="15.0"/>
        <u/>
      </rPr>
      <t>Seis bares y restaurantes de la Región se suman a la lista de 85 Soletes de la Guía Repsol</t>
    </r>
    <r>
      <rPr>
        <rFont val="Arial, sans-serif"/>
        <color rgb="FF1155CC"/>
        <sz val="11.0"/>
        <u/>
      </rPr>
      <t>La Guía Repsol ha reconocido con sus 'Soletes con Solera' a seis establecimientos hosteleros de la Región de Murcia, unos reconocimientos que se presentan...</t>
    </r>
    <r>
      <rPr>
        <rFont val="Arial, sans-serif"/>
        <color rgb="FF1155CC"/>
        <sz val="12.0"/>
        <u/>
      </rPr>
      <t>.</t>
    </r>
    <r>
      <rPr>
        <rFont val="Arial, sans-serif"/>
        <color rgb="FF1155CC"/>
        <sz val="11.0"/>
        <u/>
      </rPr>
      <t>11 nov 2024</t>
    </r>
  </si>
  <si>
    <t>Seis bares y restaurantes de la Región se suman a la lista de 85 Soletes de la Guía Repsol</t>
  </si>
  <si>
    <t>La Guía Repsol ha reconocido con sus 'Soletes con Solera' a seis establecimientos hosteleros de la Región de Murcia, unos reconocimientos que se presentan....</t>
  </si>
  <si>
    <t>Six bars and restaurants in the Region join the Repsol Guide's list of 85 Soletes</t>
  </si>
  <si>
    <t>The Repsol Guide has recognized six hospitality establishments in the Region of Murcia with its 'Soletes con Solera', recognitions that are presented...</t>
  </si>
  <si>
    <r>
      <rPr>
        <rFont val="Arial, sans-serif"/>
        <color rgb="FF1155CC"/>
        <sz val="9.0"/>
        <u/>
      </rPr>
      <t>Onda Regional de Murcia | ORM</t>
    </r>
    <r>
      <rPr>
        <rFont val="Arial, sans-serif"/>
        <color rgb="FF1155CC"/>
        <sz val="15.0"/>
        <u/>
      </rPr>
      <t>El Ventorrillo del Tío Benito, en Alhama, nuevo Solete de la Guía Repsol T06C046</t>
    </r>
    <r>
      <rPr>
        <rFont val="Arial, sans-serif"/>
        <color rgb="FF1155CC"/>
        <sz val="11.0"/>
        <u/>
      </rPr>
      <t>Hablamos con Juan Carrasco, que junto con su hermana Mari Cruz regenta el Ventorrillo del Tío Benito en Alhama, que ha recibido la distinción de Solete con...</t>
    </r>
    <r>
      <rPr>
        <rFont val="Arial, sans-serif"/>
        <color rgb="FF1155CC"/>
        <sz val="12.0"/>
        <u/>
      </rPr>
      <t>.</t>
    </r>
    <r>
      <rPr>
        <rFont val="Arial, sans-serif"/>
        <color rgb="FF1155CC"/>
        <sz val="11.0"/>
        <u/>
      </rPr>
      <t>11 nov 2024</t>
    </r>
  </si>
  <si>
    <t>El Ventorrillo del Tío Benito, en Alhama, nuevo Solete de la Guía Repsol</t>
  </si>
  <si>
    <t>El Ventorrillo del Tío Benito, en Alhama, nuevo Solete de la Guía Repsol. Hablamos con Juan Carrasco, que junto con su hermana Mari Cruz regenta el Ventorrillo del Tío Benito en Alhama, que ha recibido la distinción de Solete con....</t>
  </si>
  <si>
    <t>El Ventorrillo del Tío Benito, in Alhama, new Solete of the Repsol Guide</t>
  </si>
  <si>
    <t>El Ventorrillo del Tío Benito, in Alhama, new Solete of the Repsol Guide. We spoke with Juan Carrasco, who together with his sister Mari Cruz runs the Ventorrillo del Tío Benito in Alhama, which has received the distinction of Solete with....</t>
  </si>
  <si>
    <r>
      <rPr>
        <rFont val="Arial, sans-serif"/>
        <color rgb="FF1155CC"/>
        <sz val="9.0"/>
        <u/>
      </rPr>
      <t>Economía Digital</t>
    </r>
    <r>
      <rPr>
        <rFont val="Arial, sans-serif"/>
        <color rgb="FF1155CC"/>
        <sz val="15.0"/>
        <u/>
      </rPr>
      <t>Naturgy no frena la fuga de clientes de gas frente al empuje de Repsol, Factor Energía y MásMóvil</t>
    </r>
    <r>
      <rPr>
        <rFont val="Arial, sans-serif"/>
        <color rgb="FF1155CC"/>
        <sz val="11.0"/>
        <u/>
      </rPr>
      <t>Naturgy sigue cediendo terreno en su negocio de venta de gas ante la presión de las comercializadoras independientes. La compañía que preside Francisco...</t>
    </r>
    <r>
      <rPr>
        <rFont val="Arial, sans-serif"/>
        <color rgb="FF1155CC"/>
        <sz val="12.0"/>
        <u/>
      </rPr>
      <t>.</t>
    </r>
    <r>
      <rPr>
        <rFont val="Arial, sans-serif"/>
        <color rgb="FF1155CC"/>
        <sz val="11.0"/>
        <u/>
      </rPr>
      <t>11 nov 2024</t>
    </r>
  </si>
  <si>
    <t>Naturgy no frena la fuga de clientes de gas frente al empuje de Repsol, Factor Energía y MásMóvil</t>
  </si>
  <si>
    <t>Naturgy sigue cediendo terreno en su negocio de venta de gas ante la presión de las comercializadoras independientes. La compañía que preside Francisco....</t>
  </si>
  <si>
    <t>Naturgy does not stop the flight of gas customers in the face of the push from Repsol, Factor Energía and MásMóvil</t>
  </si>
  <si>
    <t>Naturgy continues to give ground in its gas sales business due to pressure from independent marketers. The company chaired by Francisco...</t>
  </si>
  <si>
    <t>Repsol, Energy market</t>
  </si>
  <si>
    <t>Repsol, Mercado de la Energía</t>
  </si>
  <si>
    <t>Slightly negative as it suggests competition challenges.</t>
  </si>
  <si>
    <t>empuje</t>
  </si>
  <si>
    <t>Mildly positive for Repsol’s market position.</t>
  </si>
  <si>
    <t>Ligeramente positivo para la posición de mercado de Repsol.</t>
  </si>
  <si>
    <r>
      <rPr>
        <rFont val="Arial, sans-serif"/>
        <color rgb="FF1155CC"/>
        <sz val="9.0"/>
        <u/>
      </rPr>
      <t>La Crónica de Badajoz</t>
    </r>
    <r>
      <rPr>
        <rFont val="Arial, sans-serif"/>
        <color rgb="FF1155CC"/>
        <sz val="15.0"/>
        <u/>
      </rPr>
      <t>La Abuela Justa y Taberna Terrón, los dos bares de Badajoz reconocidos con el Solete con Solera</t>
    </r>
    <r>
      <rPr>
        <rFont val="Arial, sans-serif"/>
        <color rgb="FF1155CC"/>
        <sz val="11.0"/>
        <u/>
      </rPr>
      <t>Estas distinciones reconocen la labor de los cocineros que se esfuerzan por mantener la gastronomía tradicional.</t>
    </r>
    <r>
      <rPr>
        <rFont val="Arial, sans-serif"/>
        <color rgb="FF1155CC"/>
        <sz val="12.0"/>
        <u/>
      </rPr>
      <t>.</t>
    </r>
    <r>
      <rPr>
        <rFont val="Arial, sans-serif"/>
        <color rgb="FF1155CC"/>
        <sz val="11.0"/>
        <u/>
      </rPr>
      <t>11 nov 2024</t>
    </r>
  </si>
  <si>
    <t>La Abuela Justa y Taberna Terrón, los dos bares de Badajoz reconocidos con el Solete con Solera</t>
  </si>
  <si>
    <t>Estas distinciones reconocen la labor de los cocineros que se esfuerzan por mantener la gastronomía tradicional.</t>
  </si>
  <si>
    <t>La Abuela Justa and Taberna Terrón, the two bars in Badajoz recognized with the Solete con Solera</t>
  </si>
  <si>
    <t>These distinctions recognize the work of chefs who strive to maintain traditional gastronomy.</t>
  </si>
  <si>
    <r>
      <rPr>
        <rFont val="Arial, sans-serif"/>
        <color rgb="FF1155CC"/>
        <sz val="9.0"/>
        <u/>
      </rPr>
      <t>Diari de Tarragona</t>
    </r>
    <r>
      <rPr>
        <rFont val="Arial, sans-serif"/>
        <color rgb="FF1155CC"/>
        <sz val="15.0"/>
        <u/>
      </rPr>
      <t>Estos son los 5 restaurantes tradicionales de Tarragona destacados por la Guía Repsol</t>
    </r>
    <r>
      <rPr>
        <rFont val="Arial, sans-serif"/>
        <color rgb="FF1155CC"/>
        <sz val="11.0"/>
        <u/>
      </rPr>
      <t>La Guía Repsol ha presentado esta semana la lista de Soletes con Solera, una distinción que homenajea la tradición de los negocios clásicos que han re...</t>
    </r>
    <r>
      <rPr>
        <rFont val="Arial, sans-serif"/>
        <color rgb="FF1155CC"/>
        <sz val="12.0"/>
        <u/>
      </rPr>
      <t>.</t>
    </r>
    <r>
      <rPr>
        <rFont val="Arial, sans-serif"/>
        <color rgb="FF1155CC"/>
        <sz val="11.0"/>
        <u/>
      </rPr>
      <t>11 nov 2024</t>
    </r>
  </si>
  <si>
    <t>Estos son los 5 restaurantes tradicionales de Tarragona destacados por la Guía Repsol</t>
  </si>
  <si>
    <t>La Guía Repsol ha presentado esta semana la lista de Soletes con Solera, una distinción que homenajea la tradición de los negocios clásicos que han re....</t>
  </si>
  <si>
    <t>These are the 5 traditional restaurants in Tarragona highlighted by the Repsol Guide</t>
  </si>
  <si>
    <t>This week the Repsol Guide presented the list of Soletes con Solera, a distinction that pays tribute to the tradition of classic businesses that have re...</t>
  </si>
  <si>
    <r>
      <rPr>
        <rFont val="Arial, sans-serif"/>
        <color rgb="FF1155CC"/>
        <sz val="9.0"/>
        <u/>
      </rPr>
      <t>Diario de Ferrol</t>
    </r>
    <r>
      <rPr>
        <rFont val="Arial, sans-serif"/>
        <color rgb="FF1155CC"/>
        <sz val="15.0"/>
        <u/>
      </rPr>
      <t>La comida tradicional de Oliva Bar e Levar le vale un Solete de la guía Repsol</t>
    </r>
    <r>
      <rPr>
        <rFont val="Arial, sans-serif"/>
        <color rgb="FF1155CC"/>
        <sz val="11.0"/>
        <u/>
      </rPr>
      <t>En Ferrol se come bien, eso no es un secreto ya para nadie, como tampoco lo es que si uno quiere disfrutar de un plato de comida de siempre, de la...</t>
    </r>
    <r>
      <rPr>
        <rFont val="Arial, sans-serif"/>
        <color rgb="FF1155CC"/>
        <sz val="12.0"/>
        <u/>
      </rPr>
      <t>.</t>
    </r>
    <r>
      <rPr>
        <rFont val="Arial, sans-serif"/>
        <color rgb="FF1155CC"/>
        <sz val="11.0"/>
        <u/>
      </rPr>
      <t>11 nov 2024</t>
    </r>
  </si>
  <si>
    <t>La comida tradicional de Oliva Bar e Levar le vale un Solete de la guía Repsol</t>
  </si>
  <si>
    <t>En Ferrol se come bien, eso no es un secreto ya para nadie, como tampoco lo es que si uno quiere disfrutar de un plato de comida de siempre, de la....</t>
  </si>
  <si>
    <t>The traditional food at Oliva Bar e Levar earns it a Solete from the Repsol guide</t>
  </si>
  <si>
    <t>In Ferrol you eat well, that is no longer a secret to anyone, nor is it a secret that if one wants to enjoy a plate of traditional food, of the...</t>
  </si>
  <si>
    <r>
      <rPr>
        <rFont val="Arial, sans-serif"/>
        <color rgb="FF1155CC"/>
        <sz val="9.0"/>
        <u/>
      </rPr>
      <t>BURGOSconecta</t>
    </r>
    <r>
      <rPr>
        <rFont val="Arial, sans-serif"/>
        <color rgb="FF1155CC"/>
        <sz val="15.0"/>
        <u/>
      </rPr>
      <t>Estos son los establecimientos que consiguen 'Soletes con Solera' en Burgos</t>
    </r>
    <r>
      <rPr>
        <rFont val="Arial, sans-serif"/>
        <color rgb="FF1155CC"/>
        <sz val="11.0"/>
        <u/>
      </rPr>
      <t>La Guía Repsol reconoce a seis establecimientos de la provincia de Burgos con un sello que premia la tradición y la herencia del entorno.</t>
    </r>
    <r>
      <rPr>
        <rFont val="Arial, sans-serif"/>
        <color rgb="FF1155CC"/>
        <sz val="12.0"/>
        <u/>
      </rPr>
      <t>.</t>
    </r>
    <r>
      <rPr>
        <rFont val="Arial, sans-serif"/>
        <color rgb="FF1155CC"/>
        <sz val="11.0"/>
        <u/>
      </rPr>
      <t>11 nov 2024</t>
    </r>
  </si>
  <si>
    <t>Estos son los establecimientos que consiguen 'Soletes con Solera' en Burgos</t>
  </si>
  <si>
    <t>La Guía Repsol reconoce a seis establecimientos de la provincia de Burgos con un sello que premia la tradición y la herencia del entorno.</t>
  </si>
  <si>
    <t>These are the establishments that get 'Soletes con Solera' in Burgos</t>
  </si>
  <si>
    <t>The Repsol Guide recognizes six establishments in the province of Burgos with a seal that rewards the tradition and heritage of the environment.</t>
  </si>
  <si>
    <r>
      <rPr>
        <rFont val="Arial, sans-serif"/>
        <color rgb="FF1155CC"/>
        <sz val="9.0"/>
        <u/>
      </rPr>
      <t>diariodenavarra.es</t>
    </r>
    <r>
      <rPr>
        <rFont val="Arial, sans-serif"/>
        <color rgb="FF1155CC"/>
        <sz val="15.0"/>
        <u/>
      </rPr>
      <t>Estos son los cinco bares navarros que son Soletes con Solera de la Guía Repsol</t>
    </r>
    <r>
      <rPr>
        <rFont val="Arial, sans-serif"/>
        <color rgb="FF1155CC"/>
        <sz val="11.0"/>
        <u/>
      </rPr>
      <t>La Guía Repsol continúa su homenaje a la gastronomía tradicional con la décima edición de los Soletes con Solera, una categoría que reconoce...</t>
    </r>
    <r>
      <rPr>
        <rFont val="Arial, sans-serif"/>
        <color rgb="FF1155CC"/>
        <sz val="12.0"/>
        <u/>
      </rPr>
      <t>.</t>
    </r>
    <r>
      <rPr>
        <rFont val="Arial, sans-serif"/>
        <color rgb="FF1155CC"/>
        <sz val="11.0"/>
        <u/>
      </rPr>
      <t>11 nov 2024</t>
    </r>
  </si>
  <si>
    <t>Estos son los cinco bares navarros que son Soletes con Solera de la Guía Repsol</t>
  </si>
  <si>
    <t>La Guía Repsol continúa su homenaje a la gastronomía tradicional con la décima edición de los Soletes con Solera, una categoría que reconoce....</t>
  </si>
  <si>
    <t>These are the five Navarrese bars that are Soletes con Solera of the Repsol Guide</t>
  </si>
  <si>
    <t>The Repsol Guide continues its tribute to traditional gastronomy with the tenth edition of the Soletes con Solera, a category that recognizes...</t>
  </si>
  <si>
    <r>
      <rPr>
        <rFont val="Arial, sans-serif"/>
        <color rgb="FF1155CC"/>
        <sz val="9.0"/>
        <u/>
      </rPr>
      <t>VigoÉ</t>
    </r>
    <r>
      <rPr>
        <rFont val="Arial, sans-serif"/>
        <color rgb="FF1155CC"/>
        <sz val="15.0"/>
        <u/>
      </rPr>
      <t>Vigo se ilumina con un nuevo Solete</t>
    </r>
    <r>
      <rPr>
        <rFont val="Arial, sans-serif"/>
        <color rgb="FF1155CC"/>
        <sz val="11.0"/>
        <u/>
      </rPr>
      <t>La Guía Repsol ha reconocido 26 nuevos Soletes con Solera en Galicia, un galardón que la prestigiosa publicación otorga a establecimientos que han sabido...</t>
    </r>
    <r>
      <rPr>
        <rFont val="Arial, sans-serif"/>
        <color rgb="FF1155CC"/>
        <sz val="12.0"/>
        <u/>
      </rPr>
      <t>.</t>
    </r>
    <r>
      <rPr>
        <rFont val="Arial, sans-serif"/>
        <color rgb="FF1155CC"/>
        <sz val="11.0"/>
        <u/>
      </rPr>
      <t>11 nov 2024</t>
    </r>
  </si>
  <si>
    <t>VigoÉ</t>
  </si>
  <si>
    <t>Vigo se ilumina con un nuevo Solete</t>
  </si>
  <si>
    <t>La Guía Repsol ha reconocido 26 nuevos Soletes con Solera en Galicia, un galardón que la prestigiosa publicación otorga a establecimientos que han sabido....</t>
  </si>
  <si>
    <t>Vigo lights up with a new Solete</t>
  </si>
  <si>
    <t>The Repsol Guide has recognized 26 new Soletes con Solera in Galicia, an award that the prestigious publication grants to establishments that have known...</t>
  </si>
  <si>
    <r>
      <rPr>
        <rFont val="Arial, sans-serif"/>
        <color rgb="FF1155CC"/>
        <sz val="9.0"/>
        <u/>
      </rPr>
      <t>El Nacional.cat</t>
    </r>
    <r>
      <rPr>
        <rFont val="Arial, sans-serif"/>
        <color rgb="FF1155CC"/>
        <sz val="15.0"/>
        <u/>
      </rPr>
      <t>35 bares, restaurantes y pastelerías de Catalunya reciben un 'Solete': todos los premiados</t>
    </r>
    <r>
      <rPr>
        <rFont val="Arial, sans-serif"/>
        <color rgb="FF1155CC"/>
        <sz val="11.0"/>
        <u/>
      </rPr>
      <t>Tradición y territorio protagonizan el décimo listado de 'Soletes Guía Repsol', que añade más de 300 nuevos locales premiados. Los negocios clásicos que...</t>
    </r>
    <r>
      <rPr>
        <rFont val="Arial, sans-serif"/>
        <color rgb="FF1155CC"/>
        <sz val="12.0"/>
        <u/>
      </rPr>
      <t>.</t>
    </r>
    <r>
      <rPr>
        <rFont val="Arial, sans-serif"/>
        <color rgb="FF1155CC"/>
        <sz val="11.0"/>
        <u/>
      </rPr>
      <t>11 nov 2024</t>
    </r>
  </si>
  <si>
    <t>35 bares, restaurantes y pastelerías de Catalunya reciben un 'Solete': todos los premiados</t>
  </si>
  <si>
    <t>Tradición y territorio protagonizan el décimo listado de 'Soletes Guía Repsol', que añade más de 300 nuevos locales premiados. Los negocios clásicos que....</t>
  </si>
  <si>
    <t>35 bars, restaurants and pastry shops in Catalonia receive a 'Solete': all the winners</t>
  </si>
  <si>
    <t>Tradition and territory star in the tenth list of 'Repsol Guide Soletes', which adds more than 300 new award-winning establishments. The classic businesses that...</t>
  </si>
  <si>
    <r>
      <rPr>
        <rFont val="Arial, sans-serif"/>
        <color rgb="FF1155CC"/>
        <sz val="9.0"/>
        <u/>
      </rPr>
      <t>Al Sol de la Costa</t>
    </r>
    <r>
      <rPr>
        <rFont val="Arial, sans-serif"/>
        <color rgb="FF1155CC"/>
        <sz val="15.0"/>
        <u/>
      </rPr>
      <t>El Bar “Diamante” de Marbella, nuevo Solete con Solera de la Guía Repsol</t>
    </r>
    <r>
      <rPr>
        <rFont val="Arial, sans-serif"/>
        <color rgb="FF1155CC"/>
        <sz val="11.0"/>
        <u/>
      </rPr>
      <t>Hoy se ha procedido a la entrega de los Soletes con Solera de Guía Repsol, celebrada esta tarde en la Plaza del Triunfo de Córdoba.</t>
    </r>
    <r>
      <rPr>
        <rFont val="Arial, sans-serif"/>
        <color rgb="FF1155CC"/>
        <sz val="12.0"/>
        <u/>
      </rPr>
      <t>.</t>
    </r>
    <r>
      <rPr>
        <rFont val="Arial, sans-serif"/>
        <color rgb="FF1155CC"/>
        <sz val="11.0"/>
        <u/>
      </rPr>
      <t>11 nov 2024</t>
    </r>
  </si>
  <si>
    <t>Al Sol de la Costa</t>
  </si>
  <si>
    <t>El Bar “Diamante” de Marbella, nuevo Solete con Solera de la Guía Repsol</t>
  </si>
  <si>
    <t>Hoy se ha procedido a la entrega de los Soletes con Solera de Guía Repsol, celebrada esta tarde en la Plaza del Triunfo de Córdoba.</t>
  </si>
  <si>
    <t>The “Diamante” Bar in Marbella, new Solete con Solera from the Repsol Guide</t>
  </si>
  <si>
    <t>Today the Repsol Guide's Soletes con Solera were awarded, held this afternoon in the Plaza del Triunfo in Córdoba.</t>
  </si>
  <si>
    <r>
      <rPr>
        <rFont val="Arial, sans-serif"/>
        <color rgb="FF1155CC"/>
        <sz val="9.0"/>
        <u/>
      </rPr>
      <t>miGijón</t>
    </r>
    <r>
      <rPr>
        <rFont val="Arial, sans-serif"/>
        <color rgb="FF1155CC"/>
        <sz val="15.0"/>
        <u/>
      </rPr>
      <t>Uno de los locales con más historia de Gijón, entre los ocho nuevos 'Soletes con Solera' de la Guía Repsol en Asturias</t>
    </r>
    <r>
      <rPr>
        <rFont val="Arial, sans-serif"/>
        <color rgb="FF1155CC"/>
        <sz val="11.0"/>
        <u/>
      </rPr>
      <t>“Queremos celebrar a quienes se han mantenido fieles a los sabores en los que se reconocen varias generaciones”, cuentan desde la Guía Repsol.</t>
    </r>
    <r>
      <rPr>
        <rFont val="Arial, sans-serif"/>
        <color rgb="FF1155CC"/>
        <sz val="12.0"/>
        <u/>
      </rPr>
      <t>.</t>
    </r>
    <r>
      <rPr>
        <rFont val="Arial, sans-serif"/>
        <color rgb="FF1155CC"/>
        <sz val="11.0"/>
        <u/>
      </rPr>
      <t>11 nov 2024</t>
    </r>
  </si>
  <si>
    <t>Uno de los locales con más historia de Gijón, entre los ocho nuevos 'Soletes con Solera' de la Guía Repsol en Asturias</t>
  </si>
  <si>
    <t>“Queremos celebrar a quienes se han mantenido fieles a los sabores en los que se reconocen varias generaciones”, cuentan desde la Guía Repsol.</t>
  </si>
  <si>
    <t>One of the places with the most history in Gijón, among the eight new 'Soletes con Solera' of the Repsol Guide in Asturias</t>
  </si>
  <si>
    <t>“We want to celebrate those who have remained faithful to the flavors in which several generations recognize themselves,” they say from the Repsol Guide.</t>
  </si>
  <si>
    <r>
      <rPr>
        <rFont val="Arial, sans-serif"/>
        <color rgb="FF1155CC"/>
        <sz val="9.0"/>
        <u/>
      </rPr>
      <t>El Español</t>
    </r>
    <r>
      <rPr>
        <rFont val="Arial, sans-serif"/>
        <color rgb="FF1155CC"/>
        <sz val="15.0"/>
        <u/>
      </rPr>
      <t>El Frankfurt de Barcelona que arrasa entre los famosos desde 1963: bocadillos por 3'50€ premiados por la Guía Repsol</t>
    </r>
    <r>
      <rPr>
        <rFont val="Arial, sans-serif"/>
        <color rgb="FF1155CC"/>
        <sz val="11.0"/>
        <u/>
      </rPr>
      <t>La Guía Repsol acaba de lanzar este lunes un nuevo listado de más de 300 nuevos Soletes con Solera distribuidos por toda España. "En esta décima edición,...</t>
    </r>
    <r>
      <rPr>
        <rFont val="Arial, sans-serif"/>
        <color rgb="FF1155CC"/>
        <sz val="12.0"/>
        <u/>
      </rPr>
      <t>.</t>
    </r>
    <r>
      <rPr>
        <rFont val="Arial, sans-serif"/>
        <color rgb="FF1155CC"/>
        <sz val="11.0"/>
        <u/>
      </rPr>
      <t>11 nov 2024</t>
    </r>
  </si>
  <si>
    <t>El Frankfurt de Barcelona que arrasa entre los famosos desde 1963: bocadillos por 3'50€ premiados por la Guía Repsol</t>
  </si>
  <si>
    <t>La Guía Repsol acaba de lanzar este lunes un nuevo listado de más de 300 nuevos Soletes con Solera distribuidos por toda España. "En esta décima edición,....</t>
  </si>
  <si>
    <t>The Frankfurt of Barcelona that has swept the celebrity crowd since 1963: sandwiches for €3.50 awarded by the Repsol Guide</t>
  </si>
  <si>
    <t>The Repsol Guide has just launched this Monday a new list of more than 300 new Soletes con Solera distributed throughout Spain. "In this tenth edition,...</t>
  </si>
  <si>
    <r>
      <rPr>
        <rFont val="Arial, sans-serif"/>
        <color rgb="FF1155CC"/>
        <sz val="9.0"/>
        <u/>
      </rPr>
      <t>La Voz de Galicia</t>
    </r>
    <r>
      <rPr>
        <rFont val="Arial, sans-serif"/>
        <color rgb="FF1155CC"/>
        <sz val="15.0"/>
        <u/>
      </rPr>
      <t>Veintiséis Soletes con Solera en Galicia</t>
    </r>
    <r>
      <rPr>
        <rFont val="Arial, sans-serif"/>
        <color rgb="FF1155CC"/>
        <sz val="11.0"/>
        <u/>
      </rPr>
      <t>Una nueva insignia de la Guía Repsol distingue los bares, cafeterías y restaurantes más auténticos.</t>
    </r>
    <r>
      <rPr>
        <rFont val="Arial, sans-serif"/>
        <color rgb="FF1155CC"/>
        <sz val="12.0"/>
        <u/>
      </rPr>
      <t>.</t>
    </r>
    <r>
      <rPr>
        <rFont val="Arial, sans-serif"/>
        <color rgb="FF1155CC"/>
        <sz val="11.0"/>
        <u/>
      </rPr>
      <t>11 nov 2024</t>
    </r>
  </si>
  <si>
    <t>Veintiséis Soletes con Solera en Galicia</t>
  </si>
  <si>
    <t>Una nueva insignia de la Guía Repsol distingue los bares, cafeterías y restaurantes más auténticos.</t>
  </si>
  <si>
    <t>Twenty-six Soletes with Solera in Galicia</t>
  </si>
  <si>
    <t>A new badge from the Repsol Guide distinguishes the most authentic bars, cafes and restaurants.</t>
  </si>
  <si>
    <r>
      <rPr>
        <rFont val="Arial, sans-serif"/>
        <color rgb="FF1155CC"/>
        <sz val="9.0"/>
        <u/>
      </rPr>
      <t>El Español</t>
    </r>
    <r>
      <rPr>
        <rFont val="Arial, sans-serif"/>
        <color rgb="FF1155CC"/>
        <sz val="15.0"/>
        <u/>
      </rPr>
      <t>330 nuevos 'Soletes' para volver al bar de siempre: restaurantes con solera y jóvenes al frente de casas de comidas</t>
    </r>
    <r>
      <rPr>
        <rFont val="Arial, sans-serif"/>
        <color rgb="FF1155CC"/>
        <sz val="11.0"/>
        <u/>
      </rPr>
      <t>El listado de Soletes con Solera se ha presentado este lunes en Córdoba y se suman al total de distinciones de la Guía Repsol, que supera en su décima...</t>
    </r>
    <r>
      <rPr>
        <rFont val="Arial, sans-serif"/>
        <color rgb="FF1155CC"/>
        <sz val="12.0"/>
        <u/>
      </rPr>
      <t>.</t>
    </r>
    <r>
      <rPr>
        <rFont val="Arial, sans-serif"/>
        <color rgb="FF1155CC"/>
        <sz val="11.0"/>
        <u/>
      </rPr>
      <t>11 nov 2024</t>
    </r>
  </si>
  <si>
    <t>330 nuevos 'Soletes' para volver al bar de siempre: restaurantes con solera y jóvenes al frente de casas de comidas</t>
  </si>
  <si>
    <t>El listado de Soletes con Solera se ha presentado este lunes en Córdoba y se suman al total de distinciones de la Guía Repsol, que supera en su décima....</t>
  </si>
  <si>
    <t>330 new 'Soletes' to return to the usual bar: restaurants with tradition and young people in charge of restaurants</t>
  </si>
  <si>
    <t>The list of Soletes con Solera was presented this Monday in Córdoba and is added to the total of distinctions of the Repsol Guide, which exceeds its tenth...</t>
  </si>
  <si>
    <r>
      <rPr>
        <rFont val="Arial, sans-serif"/>
        <color rgb="FF1155CC"/>
        <sz val="9.0"/>
        <u/>
      </rPr>
      <t>El Español</t>
    </r>
    <r>
      <rPr>
        <rFont val="Arial, sans-serif"/>
        <color rgb="FF1155CC"/>
        <sz val="15.0"/>
        <u/>
      </rPr>
      <t>El bar para locales que arrasa en Barcelona y tiene un solete Repsol: platillos y tapas por menos de 10 euros</t>
    </r>
    <r>
      <rPr>
        <rFont val="Arial, sans-serif"/>
        <color rgb="FF1155CC"/>
        <sz val="11.0"/>
        <u/>
      </rPr>
      <t>En un barrio como el Born donde es habitual encontrar precios altos y propuestas orientadas a turistas, este restaurante mantiene una oferta accesible.</t>
    </r>
    <r>
      <rPr>
        <rFont val="Arial, sans-serif"/>
        <color rgb="FF1155CC"/>
        <sz val="12.0"/>
        <u/>
      </rPr>
      <t>.</t>
    </r>
    <r>
      <rPr>
        <rFont val="Arial, sans-serif"/>
        <color rgb="FF1155CC"/>
        <sz val="11.0"/>
        <u/>
      </rPr>
      <t>11 nov 2024</t>
    </r>
  </si>
  <si>
    <t>El bar para locales que arrasa en Barcelona y tiene un solete Repsol: platillos y tapas por menos de 10 euros</t>
  </si>
  <si>
    <t>En un barrio como el Born donde es habitual encontrar precios altos y propuestas orientadas a turistas, este restaurante mantiene una oferta accesible.</t>
  </si>
  <si>
    <t>The bar for locals that is sweeping Barcelona and has a Repsol solete: dishes and tapas for less than 10 euros</t>
  </si>
  <si>
    <t>In a neighborhood like Born where it is common to find high prices and proposals aimed at tourists, this restaurant maintains an accessible offering.</t>
  </si>
  <si>
    <r>
      <rPr>
        <rFont val="Arial, sans-serif"/>
        <color rgb="FF1155CC"/>
        <sz val="9.0"/>
        <u/>
      </rPr>
      <t>ENCLM</t>
    </r>
    <r>
      <rPr>
        <rFont val="Arial, sans-serif"/>
        <color rgb="FF1155CC"/>
        <sz val="15.0"/>
        <u/>
      </rPr>
      <t>Los 20 nuevos "Soletes con solera" de Castilla-La Mancha donde comer "lo de siempre" elevado a la excelencia</t>
    </r>
    <r>
      <rPr>
        <rFont val="Arial, sans-serif"/>
        <color rgb="FF1155CC"/>
        <sz val="11.0"/>
        <u/>
      </rPr>
      <t>253 establecimientos de Castilla-La Mancha ya engrosan la lista de los "Soleres son solera", que homenajean la tradición y reivindican tanto los negocios...</t>
    </r>
    <r>
      <rPr>
        <rFont val="Arial, sans-serif"/>
        <color rgb="FF1155CC"/>
        <sz val="12.0"/>
        <u/>
      </rPr>
      <t>.</t>
    </r>
    <r>
      <rPr>
        <rFont val="Arial, sans-serif"/>
        <color rgb="FF1155CC"/>
        <sz val="11.0"/>
        <u/>
      </rPr>
      <t>11 nov 2024</t>
    </r>
  </si>
  <si>
    <t>20 nuevos "Soletes con solera" de Castilla-La Mancha donde comer "lo de siempre" elevado a la excelencia</t>
  </si>
  <si>
    <t>253 establecimientos de Castilla-La Mancha ya engrosan la lista de los "Soleres son solera", que homenajean la tradición y reivindican tanto los negocios....</t>
  </si>
  <si>
    <t>20 new "Soletes con solera" from Castilla-La Mancha where you can eat "the usual" elevated to excellence</t>
  </si>
  <si>
    <t>253 establishments in Castilla-La Mancha already join the list of "Soleres son solera", which pay tribute to tradition and claim both business....</t>
  </si>
  <si>
    <r>
      <rPr>
        <rFont val="Arial, sans-serif"/>
        <color rgb="FF1155CC"/>
        <sz val="9.0"/>
        <u/>
      </rPr>
      <t>Norte Exprés | Noticias de Vitoria-Gasteiz y Álava.</t>
    </r>
    <r>
      <rPr>
        <rFont val="Arial, sans-serif"/>
        <color rgb="FF1155CC"/>
        <sz val="15.0"/>
        <u/>
      </rPr>
      <t>4 hosteleros alaveses distinguidos con nuevos ´soletes´</t>
    </r>
    <r>
      <rPr>
        <rFont val="Arial, sans-serif"/>
        <color rgb="FF1155CC"/>
        <sz val="11.0"/>
        <u/>
      </rPr>
      <t>Un total de 21 establecimientos vascos han sido distinguidos Soletes con Solera de la Guía Repsol de la décima edición. La Guía Repsol celebra este lunes en...</t>
    </r>
    <r>
      <rPr>
        <rFont val="Arial, sans-serif"/>
        <color rgb="FF1155CC"/>
        <sz val="12.0"/>
        <u/>
      </rPr>
      <t>.</t>
    </r>
    <r>
      <rPr>
        <rFont val="Arial, sans-serif"/>
        <color rgb="FF1155CC"/>
        <sz val="11.0"/>
        <u/>
      </rPr>
      <t>11 nov 2024</t>
    </r>
  </si>
  <si>
    <t>Norte Exprés</t>
  </si>
  <si>
    <t>4 hosteleros alaveses distinguidos con nuevos ´soletes´</t>
  </si>
  <si>
    <t>Un total de 21 establecimientos vascos han sido distinguidos Soletes con Solera de la Guía Repsol de la décima edición. La Guía Repsol celebra este lunes en....</t>
  </si>
  <si>
    <t>4 Alava hoteliers distinguished with new 'soletes'</t>
  </si>
  <si>
    <t>A total of 21 Basque establishments have been distinguished as Soletes con Solera by the Repsol Guide of the tenth edition. The Repsol Guide celebrates this Monday in....</t>
  </si>
  <si>
    <r>
      <rPr>
        <rFont val="Arial, sans-serif"/>
        <color rgb="FF1155CC"/>
        <sz val="9.0"/>
        <u/>
      </rPr>
      <t>El TOT L'Hospitalet</t>
    </r>
    <r>
      <rPr>
        <rFont val="Arial, sans-serif"/>
        <color rgb="FF1155CC"/>
        <sz val="15.0"/>
        <u/>
      </rPr>
      <t>Una vermutería de L’Hospitalet, reconocida por la prestigiosa Guía Repsol</t>
    </r>
    <r>
      <rPr>
        <rFont val="Arial, sans-serif"/>
        <color rgb="FF1155CC"/>
        <sz val="11.0"/>
        <u/>
      </rPr>
      <t>La prestigiosa Guía Repsol en esta 10ª edición ha puesto el foco en los Soletes con Solera. Jóvenes cocineros abren nuevas casas de comidas tradicionales,...</t>
    </r>
    <r>
      <rPr>
        <rFont val="Arial, sans-serif"/>
        <color rgb="FF1155CC"/>
        <sz val="12.0"/>
        <u/>
      </rPr>
      <t>.</t>
    </r>
    <r>
      <rPr>
        <rFont val="Arial, sans-serif"/>
        <color rgb="FF1155CC"/>
        <sz val="11.0"/>
        <u/>
      </rPr>
      <t>11 nov 2024</t>
    </r>
  </si>
  <si>
    <t>El TOT L'Hospitalet</t>
  </si>
  <si>
    <t>Una vermutería de L’Hospitalet, reconocida por la prestigiosa Guía Repsol</t>
  </si>
  <si>
    <t>La prestigiosa Guía Repsol en esta 10ª edición ha puesto el foco en los Soletes con Solera. Jóvenes cocineros abren nuevas casas de comidas tradicionales,....</t>
  </si>
  <si>
    <t>A vermouth bar in L'Hospitalet, recognized by the prestigious Repsol Guide</t>
  </si>
  <si>
    <t>The prestigious Repsol Guide in this 10th edition has focused on Soletes con Solera. Young chefs open new traditional food houses,....</t>
  </si>
  <si>
    <r>
      <rPr>
        <rFont val="Arial, sans-serif"/>
        <color rgb="FF1155CC"/>
        <sz val="9.0"/>
        <u/>
      </rPr>
      <t>NueveCuatroUno.com</t>
    </r>
    <r>
      <rPr>
        <rFont val="Arial, sans-serif"/>
        <color rgb="FF1155CC"/>
        <sz val="15.0"/>
        <u/>
      </rPr>
      <t>La solera de los bares riojanos tiene premio</t>
    </r>
    <r>
      <rPr>
        <rFont val="Arial, sans-serif"/>
        <color rgb="FF1155CC"/>
        <sz val="11.0"/>
        <u/>
      </rPr>
      <t>Bares con solera. Es lo que premia la Guía Repsol. Y, claro, La Rioja es un punto estratégico para encontrar bares.</t>
    </r>
    <r>
      <rPr>
        <rFont val="Arial, sans-serif"/>
        <color rgb="FF1155CC"/>
        <sz val="12.0"/>
        <u/>
      </rPr>
      <t>.</t>
    </r>
    <r>
      <rPr>
        <rFont val="Arial, sans-serif"/>
        <color rgb="FF1155CC"/>
        <sz val="11.0"/>
        <u/>
      </rPr>
      <t>11 nov 2024</t>
    </r>
  </si>
  <si>
    <t>La solera de los bares riojanos tiene premio</t>
  </si>
  <si>
    <t>Bares con solera. Es lo que premia la Guía Repsol. Y, claro, La Rioja es un punto estratégico para encontrar bares.</t>
  </si>
  <si>
    <t>The tradition of Rioja bars has a prize</t>
  </si>
  <si>
    <t>Bars with tradition. This is what the Repsol Guide rewards. And, of course, La Rioja is a strategic point to find bars.</t>
  </si>
  <si>
    <r>
      <rPr>
        <rFont val="Arial, sans-serif"/>
        <color rgb="FF1155CC"/>
        <sz val="9.0"/>
        <u/>
      </rPr>
      <t>Info Bierzo</t>
    </r>
    <r>
      <rPr>
        <rFont val="Arial, sans-serif"/>
        <color rgb="FF1155CC"/>
        <sz val="15.0"/>
        <u/>
      </rPr>
      <t>Cinco establecimientos de la provincia de León consiguen el reconocimiento 'Soletes con Solera' de Repsol</t>
    </r>
    <r>
      <rPr>
        <rFont val="Arial, sans-serif"/>
        <color rgb="FF1155CC"/>
        <sz val="11.0"/>
        <u/>
      </rPr>
      <t>La Guía Repsol ha presentado un nuevo listado de más de 300 nuevos 'Soletes con Solera' repartidos por toda España, de los que 51 corresponden a establecim.</t>
    </r>
    <r>
      <rPr>
        <rFont val="Arial, sans-serif"/>
        <color rgb="FF1155CC"/>
        <sz val="12.0"/>
        <u/>
      </rPr>
      <t>.</t>
    </r>
    <r>
      <rPr>
        <rFont val="Arial, sans-serif"/>
        <color rgb="FF1155CC"/>
        <sz val="11.0"/>
        <u/>
      </rPr>
      <t>11 nov 2024</t>
    </r>
  </si>
  <si>
    <t>Cinco establecimientos de la provincia de León consiguen el reconocimiento 'Soletes con Solera' de Repsol</t>
  </si>
  <si>
    <t>Cinco establecimientos de la provincia de León consiguen el reconocimiento 'Soletes con Solera' de Repsol.</t>
  </si>
  <si>
    <t>Five establishments in the province of León achieve the 'Soletes con Solera' recognition from Repsol</t>
  </si>
  <si>
    <t>Five establishments in the province of León achieve the 'Soletes con Solera' recognition from Repsol.</t>
  </si>
  <si>
    <r>
      <rPr>
        <rFont val="Arial, sans-serif"/>
        <color rgb="FF1155CC"/>
        <sz val="9.0"/>
        <u/>
      </rPr>
      <t>Noticias Valladolid - Tribuna</t>
    </r>
    <r>
      <rPr>
        <rFont val="Arial, sans-serif"/>
        <color rgb="FF1155CC"/>
        <sz val="15.0"/>
        <u/>
      </rPr>
      <t>'Soletes con Solera' que celebran los sabores de siempre: siete de ellos en Valladolid</t>
    </r>
    <r>
      <rPr>
        <rFont val="Arial, sans-serif"/>
        <color rgb="FF1155CC"/>
        <sz val="11.0"/>
        <u/>
      </rPr>
      <t>La Guía Repsol homenajea la tradición y reivindica tanto los negocios clásicos como el empuje de los más jóvenes que han decidido apostar por lo auténtico.</t>
    </r>
    <r>
      <rPr>
        <rFont val="Arial, sans-serif"/>
        <color rgb="FF1155CC"/>
        <sz val="12.0"/>
        <u/>
      </rPr>
      <t>.</t>
    </r>
    <r>
      <rPr>
        <rFont val="Arial, sans-serif"/>
        <color rgb="FF1155CC"/>
        <sz val="11.0"/>
        <u/>
      </rPr>
      <t>11 nov 2024</t>
    </r>
  </si>
  <si>
    <t>Noticias Valladolid - Tribuna</t>
  </si>
  <si>
    <t>'Soletes con Solera' que celebran los sabores de siempre: siete de ellos en Valladolid</t>
  </si>
  <si>
    <t>'Soletes con Solera' que celebran los sabores de siempre: siete de ellos en Valladolid La Guía Repsol homenajea la tradición y reivindica tanto los negocios clásicos como el empuje de los más jóvenes que han decidido apostar por lo auténtico.</t>
  </si>
  <si>
    <t>'Soletes con Solera' that celebrate the traditional flavors: seven of them in Valladolid</t>
  </si>
  <si>
    <t>'Soletes con Solera' that celebrate the traditional flavors: seven of them in Valladolid The Repsol Guide pays tribute to tradition and vindicates both classic businesses and the drive of younger people who have decided to go for authenticity.</t>
  </si>
  <si>
    <r>
      <rPr>
        <rFont val="Arial, sans-serif"/>
        <color rgb="FF1155CC"/>
        <sz val="9.0"/>
        <u/>
      </rPr>
      <t>Canarias7</t>
    </r>
    <r>
      <rPr>
        <rFont val="Arial, sans-serif"/>
        <color rgb="FF1155CC"/>
        <sz val="15.0"/>
        <u/>
      </rPr>
      <t>'Solete' para el tapeo canario del bar Mis abuelos</t>
    </r>
    <r>
      <rPr>
        <rFont val="Arial, sans-serif"/>
        <color rgb="FF1155CC"/>
        <sz val="11.0"/>
        <u/>
      </rPr>
      <t>La guía Repsol distingue al local de Morro Jable en Fuerteventura, cuatro de Gran Canaria y dos de Lanzarote.</t>
    </r>
    <r>
      <rPr>
        <rFont val="Arial, sans-serif"/>
        <color rgb="FF1155CC"/>
        <sz val="12.0"/>
        <u/>
      </rPr>
      <t>.</t>
    </r>
    <r>
      <rPr>
        <rFont val="Arial, sans-serif"/>
        <color rgb="FF1155CC"/>
        <sz val="11.0"/>
        <u/>
      </rPr>
      <t>11 nov 2024</t>
    </r>
  </si>
  <si>
    <t>'Solete' para el tapeo canario del bar Mis abuelos</t>
  </si>
  <si>
    <t>La guía Repsol distingue al local de Morro Jable en Fuerteventura, cuatro de Gran Canaria y dos de Lanzarote.</t>
  </si>
  <si>
    <t>'Solete' for the Canarian tapas at the My Grandparents bar</t>
  </si>
  <si>
    <t>The Repsol guide distinguishes the Morro Jable location in Fuerteventura, four in Gran Canaria and two in Lanzarote.</t>
  </si>
  <si>
    <r>
      <rPr>
        <rFont val="Arial, sans-serif"/>
        <color rgb="FF1155CC"/>
        <sz val="9.0"/>
        <u/>
      </rPr>
      <t>La Opinión de Málaga</t>
    </r>
    <r>
      <rPr>
        <rFont val="Arial, sans-serif"/>
        <color rgb="FF1155CC"/>
        <sz val="15.0"/>
        <u/>
      </rPr>
      <t>Estos son los bares de Málaga con más "solera"</t>
    </r>
    <r>
      <rPr>
        <rFont val="Arial, sans-serif"/>
        <color rgb="FF1155CC"/>
        <sz val="11.0"/>
        <u/>
      </rPr>
      <t>La Guía Repsol otorga su distinción de 'Soletes con Solera' a siete restaurante y bares de la provincia, que 'homenajean la tradición y apuestan por lo...</t>
    </r>
    <r>
      <rPr>
        <rFont val="Arial, sans-serif"/>
        <color rgb="FF1155CC"/>
        <sz val="12.0"/>
        <u/>
      </rPr>
      <t>.</t>
    </r>
    <r>
      <rPr>
        <rFont val="Arial, sans-serif"/>
        <color rgb="FF1155CC"/>
        <sz val="11.0"/>
        <u/>
      </rPr>
      <t>11 nov 2024</t>
    </r>
  </si>
  <si>
    <t>Estos son los bares de Málaga con más "solera"</t>
  </si>
  <si>
    <t>La Guía Repsol otorga su distinción de 'Soletes con Solera' a siete restaurante y bares de la provincia, que 'homenajean la tradición y apuestan por lo....</t>
  </si>
  <si>
    <t>These are the bars in Malaga with the most "trend"</t>
  </si>
  <si>
    <t>The Repsol Guide grants its distinction of 'Soletes con Solera' to seven restaurants and bars in the province, which 'pay tribute to tradition and bet on...</t>
  </si>
  <si>
    <r>
      <rPr>
        <rFont val="Arial, sans-serif"/>
        <color rgb="FF1155CC"/>
        <sz val="9.0"/>
        <u/>
      </rPr>
      <t>COPE</t>
    </r>
    <r>
      <rPr>
        <rFont val="Arial, sans-serif"/>
        <color rgb="FF1155CC"/>
        <sz val="15.0"/>
        <u/>
      </rPr>
      <t>Estos son los nuevos 'Soletes con solera' en Extremadura para celebrar la tradición</t>
    </r>
    <r>
      <rPr>
        <rFont val="Arial, sans-serif"/>
        <color rgb="FF1155CC"/>
        <sz val="11.0"/>
        <u/>
      </rPr>
      <t>Guía Repsol ha seleccionado más de 300 nuevos 'Soletes con solera' en toda España, un reconocimiento especial en esta edición para homenajear a...</t>
    </r>
    <r>
      <rPr>
        <rFont val="Arial, sans-serif"/>
        <color rgb="FF1155CC"/>
        <sz val="12.0"/>
        <u/>
      </rPr>
      <t>.</t>
    </r>
    <r>
      <rPr>
        <rFont val="Arial, sans-serif"/>
        <color rgb="FF1155CC"/>
        <sz val="11.0"/>
        <u/>
      </rPr>
      <t>11 nov 2024</t>
    </r>
  </si>
  <si>
    <t>Estos son los nuevos 'Soletes con solera' en Extremadura para celebrar la tradición</t>
  </si>
  <si>
    <t>Guía Repsol ha seleccionado más de 300 nuevos 'Soletes con solera' en toda España, un reconocimiento especial en esta edición para homenajear a....</t>
  </si>
  <si>
    <t>These are the new 'Soletes con solera' in Extremadura to celebrate tradition</t>
  </si>
  <si>
    <t>Repsol Guide has selected more than 300 new 'Soletes con solera' throughout Spain, a special recognition in this edition to honor....</t>
  </si>
  <si>
    <r>
      <rPr>
        <rFont val="Arial, sans-serif"/>
        <color rgb="FF1155CC"/>
        <sz val="9.0"/>
        <u/>
      </rPr>
      <t>El Periódico de la Energía</t>
    </r>
    <r>
      <rPr>
        <rFont val="Arial, sans-serif"/>
        <color rgb="FF1155CC"/>
        <sz val="15.0"/>
        <u/>
      </rPr>
      <t>La Plataforma para los Combustibles Renovables reclama a los grupos parlamentarios incentivos fiscales para los combustibles renovables</t>
    </r>
    <r>
      <rPr>
        <rFont val="Arial, sans-serif"/>
        <color rgb="FF1155CC"/>
        <sz val="11.0"/>
        <u/>
      </rPr>
      <t>La organización criticó "la falta de oportunidad" mostrada por el Grupo Parlamentario Socialista en el proceso para el proyecto de ley de los combustibles...</t>
    </r>
    <r>
      <rPr>
        <rFont val="Arial, sans-serif"/>
        <color rgb="FF1155CC"/>
        <sz val="12.0"/>
        <u/>
      </rPr>
      <t>.</t>
    </r>
    <r>
      <rPr>
        <rFont val="Arial, sans-serif"/>
        <color rgb="FF1155CC"/>
        <sz val="11.0"/>
        <u/>
      </rPr>
      <t>11 nov 2024</t>
    </r>
  </si>
  <si>
    <t>La Plataforma para los Combustibles Renovables reclama a los grupos parlamentarios incentivos fiscales para los combustibles renovables</t>
  </si>
  <si>
    <t>La organización criticó "la falta de oportunidad" mostrada por el Grupo Parlamentario Socialista en el proceso para el proyecto de ley de los combustibles....</t>
  </si>
  <si>
    <t>The Platform for Renewable Fuels demands tax incentives for renewable fuels from parliamentary groups</t>
  </si>
  <si>
    <t>The organization criticized "the lack of opportunity" shown by the Socialist Parliamentary Group in the process for the fuel bill....</t>
  </si>
  <si>
    <t>Renewable fuels, Tax incentives, Parliament</t>
  </si>
  <si>
    <t>Combustibles renovables, Incentivos fiscales, Parlamento</t>
  </si>
  <si>
    <t>Slightly positive but reflects tension with policymakers.</t>
  </si>
  <si>
    <r>
      <rPr>
        <rFont val="Arial, sans-serif"/>
        <color rgb="FF1155CC"/>
        <sz val="9.0"/>
        <u/>
      </rPr>
      <t>COPE</t>
    </r>
    <r>
      <rPr>
        <rFont val="Arial, sans-serif"/>
        <color rgb="FF1155CC"/>
        <sz val="15.0"/>
        <u/>
      </rPr>
      <t>'La Abuela Justa' y 'Taberna Terrón' se hacen con los Soletes con Solera de la Guía Repsol</t>
    </r>
    <r>
      <rPr>
        <rFont val="Arial, sans-serif"/>
        <color rgb="FF1155CC"/>
        <sz val="11.0"/>
        <u/>
      </rPr>
      <t>Doce locales extremeños han recibido la distinción Soletes con Solera de la Guía Repsol, de modo que un total de 125 gozan en la región de este...</t>
    </r>
    <r>
      <rPr>
        <rFont val="Arial, sans-serif"/>
        <color rgb="FF1155CC"/>
        <sz val="12.0"/>
        <u/>
      </rPr>
      <t>.</t>
    </r>
    <r>
      <rPr>
        <rFont val="Arial, sans-serif"/>
        <color rgb="FF1155CC"/>
        <sz val="11.0"/>
        <u/>
      </rPr>
      <t>11 nov 2024</t>
    </r>
  </si>
  <si>
    <t>La Abuela Justa y Taberna Terrón se hacen con los Soletes con Solera de la Guía Repsol</t>
  </si>
  <si>
    <t>Doce locales extremeños han recibido la distinción Soletes con Solera de la Guía Repsol, de modo que un total de 125 gozan en la región de este....</t>
  </si>
  <si>
    <t>La Abuela Justa and Taberna Terrón win the Repsol Guide's Soletes con Solera</t>
  </si>
  <si>
    <t>Twelve Extremaduran venues have received the Soletes con Solera distinction from the Repsol Guide, so that a total of 125 enjoy it in the region....</t>
  </si>
  <si>
    <r>
      <rPr>
        <rFont val="Arial, sans-serif"/>
        <color rgb="FF1155CC"/>
        <sz val="9.0"/>
        <u/>
      </rPr>
      <t>Diario de Mallorca</t>
    </r>
    <r>
      <rPr>
        <rFont val="Arial, sans-serif"/>
        <color rgb="FF1155CC"/>
        <sz val="15.0"/>
        <u/>
      </rPr>
      <t>Bar Bosch, Forn Fondo y el Celler La Parra, nuevos Soletes con Solera de la Guía Repsol en Mallorca</t>
    </r>
    <r>
      <rPr>
        <rFont val="Arial, sans-serif"/>
        <color rgb="FF1155CC"/>
        <sz val="11.0"/>
        <u/>
      </rPr>
      <t>Baleares suma un total de 10 nuevas distinciones.</t>
    </r>
    <r>
      <rPr>
        <rFont val="Arial, sans-serif"/>
        <color rgb="FF1155CC"/>
        <sz val="12.0"/>
        <u/>
      </rPr>
      <t>.</t>
    </r>
    <r>
      <rPr>
        <rFont val="Arial, sans-serif"/>
        <color rgb="FF1155CC"/>
        <sz val="11.0"/>
        <u/>
      </rPr>
      <t>11 nov 2024</t>
    </r>
  </si>
  <si>
    <t>Bar Bosch, Forn Fondo y el Celler La Parra, nuevos Soletes con Solera de la Guía Repsol en Mallorca</t>
  </si>
  <si>
    <t>Baleares suma un total de 10 nuevas distinciones.</t>
  </si>
  <si>
    <t>Bar Bosch, Forn Fondo and Celler La Parra, new Soletes con Solera from the Repsol Guide in Mallorca</t>
  </si>
  <si>
    <t>The Balearic Islands adds a total of 10 new distinctions.</t>
  </si>
  <si>
    <r>
      <rPr>
        <rFont val="Arial, sans-serif"/>
        <color rgb="FF1155CC"/>
        <sz val="9.0"/>
        <u/>
      </rPr>
      <t>zamora24horas</t>
    </r>
    <r>
      <rPr>
        <rFont val="Arial, sans-serif"/>
        <color rgb="FF1155CC"/>
        <sz val="15.0"/>
        <u/>
      </rPr>
      <t>MAPA | Zamora suma seis 'Soletes con Solera' en la nueva lista de la Guía Repsol</t>
    </r>
    <r>
      <rPr>
        <rFont val="Arial, sans-serif"/>
        <color rgb="FF1155CC"/>
        <sz val="11.0"/>
        <u/>
      </rPr>
      <t>En su décima edición, la Guía Repsol ha reconocido seis locales de Zamora con el galardón 'Solete con Solera', en una lista que destaca más de 300...</t>
    </r>
    <r>
      <rPr>
        <rFont val="Arial, sans-serif"/>
        <color rgb="FF1155CC"/>
        <sz val="12.0"/>
        <u/>
      </rPr>
      <t>.</t>
    </r>
    <r>
      <rPr>
        <rFont val="Arial, sans-serif"/>
        <color rgb="FF1155CC"/>
        <sz val="11.0"/>
        <u/>
      </rPr>
      <t>11 nov 2024</t>
    </r>
  </si>
  <si>
    <t>Zamora 24 Horas</t>
  </si>
  <si>
    <t>Zamora suma seis 'Soletes con Solera' en la nueva lista de la Guía Repsol</t>
  </si>
  <si>
    <t>Zamora suma seis 'Soletes con Solera' en la nueva lista de la Guía Repsol, en una lista que destaca más de 300.</t>
  </si>
  <si>
    <t>Zamora adds six 'Soletes con Solera' to the new Repsol Guide list</t>
  </si>
  <si>
    <t>Zamora has six 'Soletes con Solera' in the new list of the Repsol Guide, in a list that highlights more than 300.</t>
  </si>
  <si>
    <r>
      <rPr>
        <rFont val="Arial, sans-serif"/>
        <color rgb="FF1155CC"/>
        <sz val="9.0"/>
        <u/>
      </rPr>
      <t>El Economista</t>
    </r>
    <r>
      <rPr>
        <rFont val="Arial, sans-serif"/>
        <color rgb="FF1155CC"/>
        <sz val="15.0"/>
        <u/>
      </rPr>
      <t>Los modelos diésel de Stellantis son compatibles con el diésel ecológico HVO</t>
    </r>
    <r>
      <rPr>
        <rFont val="Arial, sans-serif"/>
        <color rgb="FF1155CC"/>
        <sz val="11.0"/>
        <u/>
      </rPr>
      <t>Si cuentas con un modelo diésel de alguna de las marcas de Stellantis, el Grupo acaba de confirmar que todos sus coches son compatibles ...</t>
    </r>
    <r>
      <rPr>
        <rFont val="Arial, sans-serif"/>
        <color rgb="FF1155CC"/>
        <sz val="12.0"/>
        <u/>
      </rPr>
      <t>.</t>
    </r>
    <r>
      <rPr>
        <rFont val="Arial, sans-serif"/>
        <color rgb="FF1155CC"/>
        <sz val="11.0"/>
        <u/>
      </rPr>
      <t>11 nov 2024</t>
    </r>
  </si>
  <si>
    <t>Los modelos diésel de Stellantis son compatibles con el diésel ecológico HVO</t>
  </si>
  <si>
    <t>Si cuentas con un modelo diésel de alguna de las marcas de Stellantis, el Grupo acaba de confirmar que todos sus coches son compatibles.</t>
  </si>
  <si>
    <t>Stellantis diesel models are compatible with HVO eco-friendly diesel</t>
  </si>
  <si>
    <t>If you have a diesel model from any of the Stellantis brands, the Group has just confirmed that all its cars are compatible.</t>
  </si>
  <si>
    <r>
      <rPr>
        <rFont val="Arial, sans-serif"/>
        <color rgb="FF1155CC"/>
        <sz val="9.0"/>
        <u/>
      </rPr>
      <t>Box Repsol</t>
    </r>
    <r>
      <rPr>
        <rFont val="Arial, sans-serif"/>
        <color rgb="FF1155CC"/>
        <sz val="15.0"/>
        <u/>
      </rPr>
      <t>GP Solidario MotoGP 2024: horarios, fechas y cómo verlo gratis en directo</t>
    </r>
    <r>
      <rPr>
        <rFont val="Arial, sans-serif"/>
        <color rgb="FF1155CC"/>
        <sz val="11.0"/>
        <u/>
      </rPr>
      <t>El Circuit de Barcelona-Catalunya acogerá finalmente el último GP de la temporada. Tras la delicada situación que vive la Comunitat Valenciana por las...</t>
    </r>
    <r>
      <rPr>
        <rFont val="Arial, sans-serif"/>
        <color rgb="FF1155CC"/>
        <sz val="12.0"/>
        <u/>
      </rPr>
      <t>.</t>
    </r>
    <r>
      <rPr>
        <rFont val="Arial, sans-serif"/>
        <color rgb="FF1155CC"/>
        <sz val="11.0"/>
        <u/>
      </rPr>
      <t>11 nov 2024</t>
    </r>
  </si>
  <si>
    <t>RepsolGP Solidario MotoGP 2024: horarios, fechas y cómo verlo gratis en directo</t>
  </si>
  <si>
    <t>Tras la delicada situación que vive la Comunitat Valenciana por las....</t>
  </si>
  <si>
    <t>RepsolGP Solidario MotoGP 2024: schedules, dates and how to watch it live for free</t>
  </si>
  <si>
    <t>After the delicate situation that the Valencian Community is experiencing due to...</t>
  </si>
  <si>
    <r>
      <rPr>
        <rFont val="Arial, sans-serif"/>
        <color rgb="FF1155CC"/>
        <sz val="9.0"/>
        <u/>
      </rPr>
      <t>Madrid Secreto</t>
    </r>
    <r>
      <rPr>
        <rFont val="Arial, sans-serif"/>
        <color rgb="FF1155CC"/>
        <sz val="15.0"/>
        <u/>
      </rPr>
      <t>22 locales tradicionales de Madrid para comer bien a buen precio, según la Guía Repsol</t>
    </r>
    <r>
      <rPr>
        <rFont val="Arial, sans-serif"/>
        <color rgb="FF1155CC"/>
        <sz val="11.0"/>
        <u/>
      </rPr>
      <t>22 locales tradicionales de Madrid para comer bien a buen precio, según la Guía Repsol. Los Soletes con Solera reconocen a bares, restaurantes, cafeterías y...</t>
    </r>
    <r>
      <rPr>
        <rFont val="Arial, sans-serif"/>
        <color rgb="FF1155CC"/>
        <sz val="12.0"/>
        <u/>
      </rPr>
      <t>.</t>
    </r>
    <r>
      <rPr>
        <rFont val="Arial, sans-serif"/>
        <color rgb="FF1155CC"/>
        <sz val="11.0"/>
        <u/>
      </rPr>
      <t>11 nov 2024</t>
    </r>
  </si>
  <si>
    <t>22 locales tradicionales de Madrid para comer bien a buen precio, según la Guía Repsol</t>
  </si>
  <si>
    <t>22 locales tradicionales de Madrid para comer bien a buen precio, según la Guía Repsol. Los Soletes con Solera reconocen a bares, restaurantes, cafeterías y....</t>
  </si>
  <si>
    <t>22 traditional places in Madrid to eat well at a good price, according to the Repsol Guide</t>
  </si>
  <si>
    <t>22 traditional places in Madrid to eat well at a good price, according to the Repsol Guide. The Soletes con Solera recognize bars, restaurants, cafes and....</t>
  </si>
  <si>
    <r>
      <rPr>
        <rFont val="Arial, sans-serif"/>
        <color rgb="FF1155CC"/>
        <sz val="9.0"/>
        <u/>
      </rPr>
      <t>El Norte de Castilla</t>
    </r>
    <r>
      <rPr>
        <rFont val="Arial, sans-serif"/>
        <color rgb="FF1155CC"/>
        <sz val="15.0"/>
        <u/>
      </rPr>
      <t>Estos son los establecimientos de Valladolid que consiguen 'Soletes con solera'</t>
    </r>
    <r>
      <rPr>
        <rFont val="Arial, sans-serif"/>
        <color rgb="FF1155CC"/>
        <sz val="11.0"/>
        <u/>
      </rPr>
      <t>Siete negocios obtienen la distinción, un reconocimiento a los negocios clásicos que han resistido al paso del tiempo.</t>
    </r>
    <r>
      <rPr>
        <rFont val="Arial, sans-serif"/>
        <color rgb="FF1155CC"/>
        <sz val="12.0"/>
        <u/>
      </rPr>
      <t>.</t>
    </r>
    <r>
      <rPr>
        <rFont val="Arial, sans-serif"/>
        <color rgb="FF1155CC"/>
        <sz val="11.0"/>
        <u/>
      </rPr>
      <t>11 nov 2024</t>
    </r>
  </si>
  <si>
    <t>Estos son los establecimientos de Valladolid que consiguen 'Soletes con solera'</t>
  </si>
  <si>
    <t>Siete negocios obtienen la distinción, un reconocimiento a los negocios clásicos que han resistido al paso del tiempo.</t>
  </si>
  <si>
    <t>These are the establishments in Valladolid that get 'Soletes con solera'</t>
  </si>
  <si>
    <t>Seven businesses obtain the distinction, a recognition of classic businesses that have stood the test of time.</t>
  </si>
  <si>
    <r>
      <rPr>
        <rFont val="Arial, sans-serif"/>
        <color rgb="FF1155CC"/>
        <sz val="9.0"/>
        <u/>
      </rPr>
      <t>Segoviaudaz.es</t>
    </r>
    <r>
      <rPr>
        <rFont val="Arial, sans-serif"/>
        <color rgb="FF1155CC"/>
        <sz val="15.0"/>
        <u/>
      </rPr>
      <t>Los tres restaurantes más auténticos de Segovia</t>
    </r>
    <r>
      <rPr>
        <rFont val="Arial, sans-serif"/>
        <color rgb="FF1155CC"/>
        <sz val="11.0"/>
        <u/>
      </rPr>
      <t>La Guía Repsol incluye en su listado de Soletes con Solera los tres restaurantes más auténticos de Segovia, en tres pueblos de la provincia.</t>
    </r>
    <r>
      <rPr>
        <rFont val="Arial, sans-serif"/>
        <color rgb="FF1155CC"/>
        <sz val="12.0"/>
        <u/>
      </rPr>
      <t>.</t>
    </r>
    <r>
      <rPr>
        <rFont val="Arial, sans-serif"/>
        <color rgb="FF1155CC"/>
        <sz val="11.0"/>
        <u/>
      </rPr>
      <t>11 nov 2024</t>
    </r>
  </si>
  <si>
    <t>Los tres restaurantes más auténticos de Segovia</t>
  </si>
  <si>
    <t>La Guía Repsol incluye en su listado de Soletes con Solera los tres restaurantes más auténticos de Segovia, en tres pueblos de la provincia.</t>
  </si>
  <si>
    <t>The three most authentic restaurants in Segovia</t>
  </si>
  <si>
    <t>The Repsol Guide includes in its list of Soletes con Solera the three most authentic restaurants in Segovia, in three towns in the province.</t>
  </si>
  <si>
    <r>
      <rPr>
        <rFont val="Arial, sans-serif"/>
        <color rgb="FF1155CC"/>
        <sz val="9.0"/>
        <u/>
      </rPr>
      <t>El Español</t>
    </r>
    <r>
      <rPr>
        <rFont val="Arial, sans-serif"/>
        <color rgb="FF1155CC"/>
        <sz val="15.0"/>
        <u/>
      </rPr>
      <t>Estos son los 9 locales de la provincia de A Coruña reconocidos como 'Soletes con Solera'</t>
    </r>
    <r>
      <rPr>
        <rFont val="Arial, sans-serif"/>
        <color rgb="FF1155CC"/>
        <sz val="11.0"/>
        <u/>
      </rPr>
      <t>La Guía Repsol otorga este distintitivo para homenajear la tradición y reivindicar los negocios clásicos que resisten al paso del tiempo Te puede interesar:...</t>
    </r>
    <r>
      <rPr>
        <rFont val="Arial, sans-serif"/>
        <color rgb="FF1155CC"/>
        <sz val="12.0"/>
        <u/>
      </rPr>
      <t>.</t>
    </r>
    <r>
      <rPr>
        <rFont val="Arial, sans-serif"/>
        <color rgb="FF1155CC"/>
        <sz val="11.0"/>
        <u/>
      </rPr>
      <t>11 nov 2024</t>
    </r>
  </si>
  <si>
    <t>Estos son los 9 locales de la provincia de A Coruña reconocidos como 'Soletes con Solera'</t>
  </si>
  <si>
    <t>La Guía Repsol otorga este distintivo para homenajear la tradición y reivindicar los negocios clásicos que resisten al paso del tiempo Te puede interesar:....</t>
  </si>
  <si>
    <t>These are the 9 establishments in the province of A Coruña recognized as 'Soletes con Solera'</t>
  </si>
  <si>
    <t>The Repsol Guide grants this distinction to honor tradition and vindicate classic businesses that stand the test of time. You may be interested in:...</t>
  </si>
  <si>
    <r>
      <rPr>
        <rFont val="Arial, sans-serif"/>
        <color rgb="FF1155CC"/>
        <sz val="9.0"/>
        <u/>
      </rPr>
      <t>Diario de Sevilla</t>
    </r>
    <r>
      <rPr>
        <rFont val="Arial, sans-serif"/>
        <color rgb="FF1155CC"/>
        <sz val="15.0"/>
        <u/>
      </rPr>
      <t>Nuevos Soletes de la Guía Repsol: estos son los bares "con solera" premiados en Sevilla</t>
    </r>
    <r>
      <rPr>
        <rFont val="Arial, sans-serif"/>
        <color rgb="FF1155CC"/>
        <sz val="11.0"/>
        <u/>
      </rPr>
      <t>"Lo de siempre está de moda". Eso es lo que defienden en la Guía Repsol que ayer mismo, 11 de noviembre, daba a conocer el listado de los nuevos Soletes con...</t>
    </r>
    <r>
      <rPr>
        <rFont val="Arial, sans-serif"/>
        <color rgb="FF1155CC"/>
        <sz val="12.0"/>
        <u/>
      </rPr>
      <t>.</t>
    </r>
    <r>
      <rPr>
        <rFont val="Arial, sans-serif"/>
        <color rgb="FF1155CC"/>
        <sz val="11.0"/>
        <u/>
      </rPr>
      <t>12 nov 2024</t>
    </r>
  </si>
  <si>
    <t>Nuevos Soletes de la Guía Repsol: estos son los bares "con solera" premiados en Sevilla</t>
  </si>
  <si>
    <t>Lo de siempre está de moda. Eso es lo que defienden en la Guía Repsol que ayer mismo, 11 de noviembre, daba a conocer el listado de los nuevos Soletes con....</t>
  </si>
  <si>
    <t>New Soletes from the Repsol Guide: these are the award-winning bars "with tradition" in Seville</t>
  </si>
  <si>
    <t>The usual is in fashion. That is what they defend in the Repsol Guide that just yesterday, November 11, announced the list of the new Soletes with...</t>
  </si>
  <si>
    <r>
      <rPr>
        <rFont val="Arial, sans-serif"/>
        <color rgb="FF1155CC"/>
        <sz val="9.0"/>
        <u/>
      </rPr>
      <t>Autocasion.com</t>
    </r>
    <r>
      <rPr>
        <rFont val="Arial, sans-serif"/>
        <color rgb="FF1155CC"/>
        <sz val="15.0"/>
        <u/>
      </rPr>
      <t>Repsol lanza diésel ecológico que promete reducir un 90% la emisiones de CO2</t>
    </r>
    <r>
      <rPr>
        <rFont val="Arial, sans-serif"/>
        <color rgb="FF1155CC"/>
        <sz val="11.0"/>
        <u/>
      </rPr>
      <t>Denominado Nexa y producido a partir de residuos orgánicos, este diésel ecológico, que ya esta disponible en la estaciones de servicio, podría suponer un...</t>
    </r>
    <r>
      <rPr>
        <rFont val="Arial, sans-serif"/>
        <color rgb="FF1155CC"/>
        <sz val="12.0"/>
        <u/>
      </rPr>
      <t>.</t>
    </r>
    <r>
      <rPr>
        <rFont val="Arial, sans-serif"/>
        <color rgb="FF1155CC"/>
        <sz val="11.0"/>
        <u/>
      </rPr>
      <t>12 nov 2024</t>
    </r>
  </si>
  <si>
    <t>Autocasion.com</t>
  </si>
  <si>
    <t>Repsol lanza diésel ecológico que promete reducir un 90% la emisiones de CO2</t>
  </si>
  <si>
    <t>Denominado Nexa y producido a partir de residuos orgánicos, este diésel ecológico, que ya esta disponible en la estaciones de servicio, podría suponer un....</t>
  </si>
  <si>
    <t>Repsol launches ecological diesel that promises to reduce CO2 emissions by 90%</t>
  </si>
  <si>
    <t>Called Nexa and produced from organic waste, this ecological diesel, which is already available at service stations, could be a...</t>
  </si>
  <si>
    <t>Repsol, Ecological diesel, CO2 reduction</t>
  </si>
  <si>
    <t>Repsol, Diésel ecológico, Reducción de CO2</t>
  </si>
  <si>
    <t>Strongly positive due to environmental benefits.</t>
  </si>
  <si>
    <t>reduce, "ecológico"</t>
  </si>
  <si>
    <r>
      <rPr>
        <rFont val="Arial, sans-serif"/>
        <color rgb="FF1155CC"/>
        <sz val="9.0"/>
        <u/>
      </rPr>
      <t>ABC</t>
    </r>
    <r>
      <rPr>
        <rFont val="Arial, sans-serif"/>
        <color rgb="FF1155CC"/>
        <sz val="15.0"/>
        <u/>
      </rPr>
      <t>La Guía Repsol presenta 330 nuevos soletes: los restaurantes clásicos que nunca pasaron de moda</t>
    </r>
    <r>
      <rPr>
        <rFont val="Arial, sans-serif"/>
        <color rgb="FF1155CC"/>
        <sz val="11.0"/>
        <u/>
      </rPr>
      <t>La publicación española rinde un pretendido homenaje a bares, tascas y tabernas que han resistido al paso del tiempo y a todos esos jóvenes que no han...</t>
    </r>
    <r>
      <rPr>
        <rFont val="Arial, sans-serif"/>
        <color rgb="FF1155CC"/>
        <sz val="12.0"/>
        <u/>
      </rPr>
      <t>.</t>
    </r>
    <r>
      <rPr>
        <rFont val="Arial, sans-serif"/>
        <color rgb="FF1155CC"/>
        <sz val="11.0"/>
        <u/>
      </rPr>
      <t>12 nov 2024</t>
    </r>
  </si>
  <si>
    <t>La Guía Repsol presenta 330 nuevos soletes: los restaurantes clásicos que nunca pasaron de moda</t>
  </si>
  <si>
    <t>La publicación española rinde un pretendido homenaje a bares, tascas y tabernas que han resistido al paso del tiempo y a todos esos jóvenes que no han....</t>
  </si>
  <si>
    <t>The Repsol Guide presents 330 new soletes: the classic restaurants that never went out of style</t>
  </si>
  <si>
    <t>The Spanish publication pays an intended tribute to bars, taverns and taverns that have stood the test of time and to all those young people who have not...</t>
  </si>
  <si>
    <r>
      <rPr>
        <rFont val="Arial, sans-serif"/>
        <color rgb="FF1155CC"/>
        <sz val="9.0"/>
        <u/>
      </rPr>
      <t>El Diario Vasco</t>
    </r>
    <r>
      <rPr>
        <rFont val="Arial, sans-serif"/>
        <color rgb="FF1155CC"/>
        <sz val="15.0"/>
        <u/>
      </rPr>
      <t>Casa Otaegui amanece con un solete Repsol</t>
    </r>
    <r>
      <rPr>
        <rFont val="Arial, sans-serif"/>
        <color rgb="FF1155CC"/>
        <sz val="11.0"/>
        <u/>
      </rPr>
      <t>La pastelería tradicional donostiarra ve recompensado su buen hacer con un reconocimiento que la sitúa en la cúspide de la repostería del territorio.</t>
    </r>
    <r>
      <rPr>
        <rFont val="Arial, sans-serif"/>
        <color rgb="FF1155CC"/>
        <sz val="12.0"/>
        <u/>
      </rPr>
      <t>.</t>
    </r>
    <r>
      <rPr>
        <rFont val="Arial, sans-serif"/>
        <color rgb="FF1155CC"/>
        <sz val="11.0"/>
        <u/>
      </rPr>
      <t>12 nov 2024</t>
    </r>
  </si>
  <si>
    <t>Casa Otaegui amanece con un solete Repsol</t>
  </si>
  <si>
    <t>La pastelería tradicional donostiarra ve recompensado su buen hacer con un reconocimiento que la sitúa en la cúspide de la repostería del territorio.</t>
  </si>
  <si>
    <t>Casa Otaegui dawns with a Repsol sun</t>
  </si>
  <si>
    <t>The traditional pastry shop of San Sebastián has been rewarded for its good work with a recognition that places it at the pinnacle of pastry making in the territory.</t>
  </si>
  <si>
    <r>
      <rPr>
        <rFont val="Arial, sans-serif"/>
        <color rgb="FF1155CC"/>
        <sz val="9.0"/>
        <u/>
      </rPr>
      <t>El Confidencial</t>
    </r>
    <r>
      <rPr>
        <rFont val="Arial, sans-serif"/>
        <color rgb="FF1155CC"/>
        <sz val="15.0"/>
        <u/>
      </rPr>
      <t>Asturias suma 8 ‘Soletes con Solera’ en la Guía Repsol, un tributo a su gastronomía</t>
    </r>
    <r>
      <rPr>
        <rFont val="Arial, sans-serif"/>
        <color rgb="FF1155CC"/>
        <sz val="11.0"/>
        <u/>
      </rPr>
      <t>Asturias vuelve a destacar en la escena gastronómica con un reconocimiento que honra la esencia de su cocina tradicional. La prestigiosa Guía Repsol ha...</t>
    </r>
    <r>
      <rPr>
        <rFont val="Arial, sans-serif"/>
        <color rgb="FF1155CC"/>
        <sz val="12.0"/>
        <u/>
      </rPr>
      <t>.</t>
    </r>
    <r>
      <rPr>
        <rFont val="Arial, sans-serif"/>
        <color rgb="FF1155CC"/>
        <sz val="11.0"/>
        <u/>
      </rPr>
      <t>12 nov 2024</t>
    </r>
  </si>
  <si>
    <t>Asturias suma 8 ‘Soletes con Solera’ en la Guía Repsol, un tributo a su gastronomía</t>
  </si>
  <si>
    <t>Asturias vuelve a destacar en la escena gastronómica con un reconocimiento que honra la esencia de su cocina tradicional. La prestigiosa Guía Repsol ha....</t>
  </si>
  <si>
    <t>Asturias adds 8 'Soletes con Solera' in the Repsol Guide, a tribute to its gastronomy</t>
  </si>
  <si>
    <t>Asturias once again stands out on the gastronomic scene with a recognition that honors the essence of its traditional cuisine. The prestigious Repsol Guide has...</t>
  </si>
  <si>
    <r>
      <rPr>
        <rFont val="Arial, sans-serif"/>
        <color rgb="FF1155CC"/>
        <sz val="9.0"/>
        <u/>
      </rPr>
      <t>Diario Córdoba</t>
    </r>
    <r>
      <rPr>
        <rFont val="Arial, sans-serif"/>
        <color rgb="FF1155CC"/>
        <sz val="15.0"/>
        <u/>
      </rPr>
      <t>Estos son todos los Soletes de la Guía Repsol en Córdoba</t>
    </r>
    <r>
      <rPr>
        <rFont val="Arial, sans-serif"/>
        <color rgb="FF1155CC"/>
        <sz val="11.0"/>
        <u/>
      </rPr>
      <t>Córdoba suma 69 establecimientos con la distinción de la Guía Repsol, 20 de ellos en la provincia.</t>
    </r>
    <r>
      <rPr>
        <rFont val="Arial, sans-serif"/>
        <color rgb="FF1155CC"/>
        <sz val="12.0"/>
        <u/>
      </rPr>
      <t>.</t>
    </r>
    <r>
      <rPr>
        <rFont val="Arial, sans-serif"/>
        <color rgb="FF1155CC"/>
        <sz val="11.0"/>
        <u/>
      </rPr>
      <t>12 nov 2024</t>
    </r>
  </si>
  <si>
    <t>Estos son todos los Soletes de la Guía Repsol en Córdoba</t>
  </si>
  <si>
    <t>Córdoba suma 69 establecimientos con la distinción de la Guía Repsol, 20 de ellos en la provincia.</t>
  </si>
  <si>
    <t>These are all the Soletes from the Repsol Guide in Córdoba</t>
  </si>
  <si>
    <t>Córdoba has 69 establishments with the Repsol Guide distinction, 20 of them in the province.</t>
  </si>
  <si>
    <r>
      <rPr>
        <rFont val="Arial, sans-serif"/>
        <color rgb="FF1155CC"/>
        <sz val="9.0"/>
        <u/>
      </rPr>
      <t>Viajes National Geographic</t>
    </r>
    <r>
      <rPr>
        <rFont val="Arial, sans-serif"/>
        <color rgb="FF1155CC"/>
        <sz val="15.0"/>
        <u/>
      </rPr>
      <t>La Guía Repsol premia la cocina de antaño con 331 nuevos soletes para saborear la tradición</t>
    </r>
    <r>
      <rPr>
        <rFont val="Arial, sans-serif"/>
        <color rgb="FF1155CC"/>
        <sz val="11.0"/>
        <u/>
      </rPr>
      <t>Casas de comidas, bares de barra, hornos y colmados, antiguos y nuevos, han sido el foco de una nueva edición en la que se ha premiado la tradición.</t>
    </r>
    <r>
      <rPr>
        <rFont val="Arial, sans-serif"/>
        <color rgb="FF1155CC"/>
        <sz val="12.0"/>
        <u/>
      </rPr>
      <t>.</t>
    </r>
    <r>
      <rPr>
        <rFont val="Arial, sans-serif"/>
        <color rgb="FF1155CC"/>
        <sz val="11.0"/>
        <u/>
      </rPr>
      <t>12 nov 2024</t>
    </r>
  </si>
  <si>
    <t>La Guía Repsol premia la cocina de antaño con 331 nuevos soletes para saborear la tradición</t>
  </si>
  <si>
    <t>Casas de comidas, bares de barra, hornos y colmados, antiguos y nuevos, han sido el foco de una nueva edición en la que se ha premiado la tradición.</t>
  </si>
  <si>
    <t>The Repsol Guide rewards the cuisine of yesteryear with 331 new soletes to savor the tradition</t>
  </si>
  <si>
    <t>Food houses, bars, ovens and grocery stores, old and new, have been the focus of a new edition in which tradition has been rewarded.</t>
  </si>
  <si>
    <r>
      <rPr>
        <rFont val="Arial, sans-serif"/>
        <color rgb="FF1155CC"/>
        <sz val="9.0"/>
        <u/>
      </rPr>
      <t>Sevilla Secreta</t>
    </r>
    <r>
      <rPr>
        <rFont val="Arial, sans-serif"/>
        <color rgb="FF1155CC"/>
        <sz val="15.0"/>
        <u/>
      </rPr>
      <t>The new Soletes with Solera of the Repsol Guide in Seville and Andalusia</t>
    </r>
    <r>
      <rPr>
        <rFont val="Arial, sans-serif"/>
        <color rgb="FF1155CC"/>
        <sz val="11.0"/>
        <u/>
      </rPr>
      <t>Soletes con Solera in Seville: quality without sacrificing affordable prices in these hospitality destinations where tradition is not negotiated.</t>
    </r>
    <r>
      <rPr>
        <rFont val="Arial, sans-serif"/>
        <color rgb="FF1155CC"/>
        <sz val="12.0"/>
        <u/>
      </rPr>
      <t>.</t>
    </r>
    <r>
      <rPr>
        <rFont val="Arial, sans-serif"/>
        <color rgb="FF1155CC"/>
        <sz val="11.0"/>
        <u/>
      </rPr>
      <t>12 nov 2024</t>
    </r>
  </si>
  <si>
    <t>The new Soletes with Solera of the Repsol Guide in Seville and Andalusia</t>
  </si>
  <si>
    <t>Soletes con Solera in Seville: quality without sacrificing affordable prices in these hospitality destinations where tradition is not negotiated.</t>
  </si>
  <si>
    <r>
      <rPr>
        <rFont val="Arial, sans-serif"/>
        <color rgb="FF1155CC"/>
        <sz val="9.0"/>
        <u/>
      </rPr>
      <t>Capital (España)</t>
    </r>
    <r>
      <rPr>
        <rFont val="Arial, sans-serif"/>
        <color rgb="FF1155CC"/>
        <sz val="15.0"/>
        <u/>
      </rPr>
      <t>Repsol, Premio Capital a la Empresa del Año</t>
    </r>
    <r>
      <rPr>
        <rFont val="Arial, sans-serif"/>
        <color rgb="FF1155CC"/>
        <sz val="11.0"/>
        <u/>
      </rPr>
      <t>Verónica Buelga, directora de marketing de Repsol, recibió el galardón de manos de José Ángel Crego. Capital celebra la XI Edición de sus Premios en honor a...</t>
    </r>
    <r>
      <rPr>
        <rFont val="Arial, sans-serif"/>
        <color rgb="FF1155CC"/>
        <sz val="12.0"/>
        <u/>
      </rPr>
      <t>.</t>
    </r>
    <r>
      <rPr>
        <rFont val="Arial, sans-serif"/>
        <color rgb="FF1155CC"/>
        <sz val="11.0"/>
        <u/>
      </rPr>
      <t>12 nov 2024</t>
    </r>
  </si>
  <si>
    <t>Repsol, Premio Capital a la Empresa del Año</t>
  </si>
  <si>
    <t>Verónica Buelga, directora de marketing de Repsol, recibió el galardón de manos de José Ángel Crego. Capital celebra la XI Edición de sus Premios en honor a....</t>
  </si>
  <si>
    <t>Repsol, Capital Award for Company of the Year</t>
  </si>
  <si>
    <t>Verónica Buelga, marketing director of Repsol, received the award from José Ángel Crego. Capital celebrates the XI Edition of its Awards in honor of....</t>
  </si>
  <si>
    <t>Repsol, Capital Award, Company of the Year</t>
  </si>
  <si>
    <t>Repsol, Premio Capital, Empresa del Año</t>
  </si>
  <si>
    <t>Strongly positive as it enhances corporate reputation.</t>
  </si>
  <si>
    <t>Strong corporate recognition.</t>
  </si>
  <si>
    <t>Fuerte reconocimiento corporativo.</t>
  </si>
  <si>
    <r>
      <rPr>
        <rFont val="Arial, sans-serif"/>
        <color rgb="FF1155CC"/>
        <sz val="9.0"/>
        <u/>
      </rPr>
      <t>Ideal</t>
    </r>
    <r>
      <rPr>
        <rFont val="Arial, sans-serif"/>
        <color rgb="FF1155CC"/>
        <sz val="15.0"/>
        <u/>
      </rPr>
      <t>Repsol vende el nuevo combustible que salvará a los dueños de los coches diésel</t>
    </r>
    <r>
      <rPr>
        <rFont val="Arial, sans-serif"/>
        <color rgb="FF1155CC"/>
        <sz val="11.0"/>
        <u/>
      </rPr>
      <t>Se trata de un nuevo carburante 100% renovable que pretende dar vida a los vehículos diésel.</t>
    </r>
    <r>
      <rPr>
        <rFont val="Arial, sans-serif"/>
        <color rgb="FF1155CC"/>
        <sz val="12.0"/>
        <u/>
      </rPr>
      <t>.</t>
    </r>
    <r>
      <rPr>
        <rFont val="Arial, sans-serif"/>
        <color rgb="FF1155CC"/>
        <sz val="11.0"/>
        <u/>
      </rPr>
      <t>12 nov 2024</t>
    </r>
  </si>
  <si>
    <t>Repsol vende el nuevo combustible que salvará a los dueños de los coches diésel</t>
  </si>
  <si>
    <t>Se trata de un nuevo carburante 100% renovable que pretende dar vida a los vehículos diésel.</t>
  </si>
  <si>
    <t>Repsol sells the new fuel that will save the owners of diesel cars</t>
  </si>
  <si>
    <t>It is a new 100% renewable fuel that aims to give life to diesel vehicles.</t>
  </si>
  <si>
    <t>Repsol, Renewable diesel, Diesel savings</t>
  </si>
  <si>
    <t>Repsol, Diésel renovable, Ahorro diésel</t>
  </si>
  <si>
    <t>Strongly positive as it supports sustainability.</t>
  </si>
  <si>
    <t>salvará</t>
  </si>
  <si>
    <r>
      <rPr>
        <rFont val="Arial, sans-serif"/>
        <color rgb="FF1155CC"/>
        <sz val="9.0"/>
        <u/>
      </rPr>
      <t>Cadena SER</t>
    </r>
    <r>
      <rPr>
        <rFont val="Arial, sans-serif"/>
        <color rgb="FF1155CC"/>
        <sz val="15.0"/>
        <u/>
      </rPr>
      <t>Siete establecimientos lucenses brillan en la Guía Repsol</t>
    </r>
    <r>
      <rPr>
        <rFont val="Arial, sans-serif"/>
        <color rgb="FF1155CC"/>
        <sz val="11.0"/>
        <u/>
      </rPr>
      <t>Lugo. Negocios clásicos, bares de toda la vida, restaurantes familiares o cafeterías de especialidad que miran al futuro sin soltar de la mano al pasado.</t>
    </r>
    <r>
      <rPr>
        <rFont val="Arial, sans-serif"/>
        <color rgb="FF1155CC"/>
        <sz val="12.0"/>
        <u/>
      </rPr>
      <t>.</t>
    </r>
    <r>
      <rPr>
        <rFont val="Arial, sans-serif"/>
        <color rgb="FF1155CC"/>
        <sz val="11.0"/>
        <u/>
      </rPr>
      <t>12 nov 2024</t>
    </r>
  </si>
  <si>
    <t>Siete establecimientos lucenses brillan en la Guía Repsol</t>
  </si>
  <si>
    <t>Negocios clásicos, bares de toda la vida, restaurantes familiares o cafeterías de especialidad que miran al futuro sin soltar de la mano al pasado.</t>
  </si>
  <si>
    <t>Seven Lugo establishments shine in the Repsol Guide</t>
  </si>
  <si>
    <t>Classic businesses, traditional bars, family restaurants or specialty cafes that look to the future without letting go of the past.</t>
  </si>
  <si>
    <r>
      <rPr>
        <rFont val="Arial, sans-serif"/>
        <color rgb="FF1155CC"/>
        <sz val="9.0"/>
        <u/>
      </rPr>
      <t>Infoguadiato.com</t>
    </r>
    <r>
      <rPr>
        <rFont val="Arial, sans-serif"/>
        <color rgb="FF1155CC"/>
        <sz val="15.0"/>
        <u/>
      </rPr>
      <t>La Bodega de Peñarroya Pueblonuevo recibe el ‘Solete’ de la Guía Repsol, recogido por el veterano camarero Ricardo</t>
    </r>
    <r>
      <rPr>
        <rFont val="Arial, sans-serif"/>
        <color rgb="FF1155CC"/>
        <sz val="11.0"/>
        <u/>
      </rPr>
      <t>La Bodega de Peñarroya Pueblonuevo ha sido reconocida con un "Solete" de la Guía Repsol, un distintivo que se otorga a establecimientos que destacan por su.</t>
    </r>
    <r>
      <rPr>
        <rFont val="Arial, sans-serif"/>
        <color rgb="FF1155CC"/>
        <sz val="12.0"/>
        <u/>
      </rPr>
      <t>.</t>
    </r>
    <r>
      <rPr>
        <rFont val="Arial, sans-serif"/>
        <color rgb="FF1155CC"/>
        <sz val="11.0"/>
        <u/>
      </rPr>
      <t>12 nov 2024</t>
    </r>
  </si>
  <si>
    <t>Infoguadiato.com</t>
  </si>
  <si>
    <t>La Bodega de Peñarroya Pueblonuevo recibe el ‘Solete’ de la Guía Repsol, recogido por el veterano camarero Ricardo</t>
  </si>
  <si>
    <t>La Bodega de Peñarroya Pueblonuevo ha sido reconocida con un "Solete" de la Guía Repsol, un distintivo que se otorga a establecimientos que destacan por su..</t>
  </si>
  <si>
    <t>The Peñarroya Pueblonuevo Winery receives the 'Solete' from the Repsol Guide, collected by veteran waiter Ricardo</t>
  </si>
  <si>
    <t>The Peñarroya Pueblonuevo Winery has been recognized with a "Solete" from the Repsol Guide, a distinction awarded to establishments that stand out for their...</t>
  </si>
  <si>
    <r>
      <rPr>
        <rFont val="Arial, sans-serif"/>
        <color rgb="FF1155CC"/>
        <sz val="9.0"/>
        <u/>
      </rPr>
      <t>La Voz de Galicia</t>
    </r>
    <r>
      <rPr>
        <rFont val="Arial, sans-serif"/>
        <color rgb="FF1155CC"/>
        <sz val="15.0"/>
        <u/>
      </rPr>
      <t>Oliva Bar e Levar se lleva un Solete de la Guía Repsol con su cocina tradicional</t>
    </r>
    <r>
      <rPr>
        <rFont val="Arial, sans-serif"/>
        <color rgb="FF1155CC"/>
        <sz val="11.0"/>
        <u/>
      </rPr>
      <t>Entre los 26 nuevos Soletes concedidos por la Guía Repsol en Galicia, uno va para el restaurante ferrolano Oliva Bar e Levar. La cocina tradicional de este...</t>
    </r>
    <r>
      <rPr>
        <rFont val="Arial, sans-serif"/>
        <color rgb="FF1155CC"/>
        <sz val="12.0"/>
        <u/>
      </rPr>
      <t>.</t>
    </r>
    <r>
      <rPr>
        <rFont val="Arial, sans-serif"/>
        <color rgb="FF1155CC"/>
        <sz val="11.0"/>
        <u/>
      </rPr>
      <t>12 nov 2024</t>
    </r>
  </si>
  <si>
    <t>Oliva Bar e Levar se lleva un Solete de la Guía Repsol con su cocina tradicional</t>
  </si>
  <si>
    <t>Entre los 26 nuevos Soletes concedidos por la Guía Repsol en Galicia, uno va para el restaurante ferrolano Oliva Bar e Levar. La cocina tradicional de este....</t>
  </si>
  <si>
    <t>Oliva Bar e Levar wins a Solete from the Repsol Guide with its traditional cuisine</t>
  </si>
  <si>
    <t>Among the 26 new Soletes awarded by the Repsol Guide in Galicia, one goes to the Ferrol restaurant Oliva Bar e Levar. The traditional cuisine of this....</t>
  </si>
  <si>
    <r>
      <rPr>
        <rFont val="Arial, sans-serif"/>
        <color rgb="FF1155CC"/>
        <sz val="9.0"/>
        <u/>
      </rPr>
      <t>Diario de Noticias de Álava</t>
    </r>
    <r>
      <rPr>
        <rFont val="Arial, sans-serif"/>
        <color rgb="FF1155CC"/>
        <sz val="15.0"/>
        <u/>
      </rPr>
      <t>Estos son los 5 nuevos establecimientos de Álava premiados con 'Soletes' de la Guía Repsol</t>
    </r>
    <r>
      <rPr>
        <rFont val="Arial, sans-serif"/>
        <color rgb="FF1155CC"/>
        <sz val="11.0"/>
        <u/>
      </rPr>
      <t>Los nuevos 'Soletes' homenajean la tradición y reivindican tanto los negocios clásicos que han resistido al paso del tiempo como el empuje de los más...</t>
    </r>
    <r>
      <rPr>
        <rFont val="Arial, sans-serif"/>
        <color rgb="FF1155CC"/>
        <sz val="12.0"/>
        <u/>
      </rPr>
      <t>.</t>
    </r>
    <r>
      <rPr>
        <rFont val="Arial, sans-serif"/>
        <color rgb="FF1155CC"/>
        <sz val="11.0"/>
        <u/>
      </rPr>
      <t>12 nov 2024</t>
    </r>
  </si>
  <si>
    <t>Estos son los 5 nuevos establecimientos de Álava premiados con 'Soletes' de la Guía Repsol</t>
  </si>
  <si>
    <t>Los nuevos 'Soletes' homenajean la tradición y reivindican tanto los negocios clásicos que han resistido al paso del tiempo como el empuje de los más....</t>
  </si>
  <si>
    <t>These are the 5 new establishments in Álava awarded with 'Soletes' from the Repsol Guide</t>
  </si>
  <si>
    <t>The new 'Soletes' pay tribute to tradition and vindicate both the classic businesses that have stood the test of time and the push of the most...</t>
  </si>
  <si>
    <r>
      <rPr>
        <rFont val="Arial, sans-serif"/>
        <color rgb="FF1155CC"/>
        <sz val="9.0"/>
        <u/>
      </rPr>
      <t>lavozdelsur.es</t>
    </r>
    <r>
      <rPr>
        <rFont val="Arial, sans-serif"/>
        <color rgb="FF1155CC"/>
        <sz val="15.0"/>
        <u/>
      </rPr>
      <t>Los tres bares de Jerez a los que la Guía Repsol premia con 'Soletes' por sus sabores de siempre</t>
    </r>
    <r>
      <rPr>
        <rFont val="Arial, sans-serif"/>
        <color rgb="FF1155CC"/>
        <sz val="11.0"/>
        <u/>
      </rPr>
      <t>Los Soletes con Solera son la calificación más joven de Guía Repsol, nacida en 2021 y dirigida a rincones con encanto y que se diferencian por su cercanía,...</t>
    </r>
    <r>
      <rPr>
        <rFont val="Arial, sans-serif"/>
        <color rgb="FF1155CC"/>
        <sz val="12.0"/>
        <u/>
      </rPr>
      <t>.</t>
    </r>
    <r>
      <rPr>
        <rFont val="Arial, sans-serif"/>
        <color rgb="FF1155CC"/>
        <sz val="11.0"/>
        <u/>
      </rPr>
      <t>12 nov 2024</t>
    </r>
  </si>
  <si>
    <t>Los tres bares de Jerez a los que la Guía Repsol premia con 'Soletes' por sus sabores de siempre</t>
  </si>
  <si>
    <t>Los Soletes con Solera son la calificación más joven de Guía Repsol, nacida en 2021 y dirigida a rincones con encanto y que se diferencian por su cercanía,....</t>
  </si>
  <si>
    <t>The three bars in Jerez that the Repsol Guide awards 'Soletes' for their traditional flavors</t>
  </si>
  <si>
    <t>The Soletes con Solera are the youngest rating of the Repsol Guide, born in 2021 and aimed at charming corners that are differentiated by their proximity,...</t>
  </si>
  <si>
    <r>
      <rPr>
        <rFont val="Arial, sans-serif"/>
        <color rgb="FF1155CC"/>
        <sz val="9.0"/>
        <u/>
      </rPr>
      <t>ABC</t>
    </r>
    <r>
      <rPr>
        <rFont val="Arial, sans-serif"/>
        <color rgb="FF1155CC"/>
        <sz val="15.0"/>
        <u/>
      </rPr>
      <t>Noche de 'Soletes Repsol' para alumbrar más el firmamento gastronómico de Córdoba</t>
    </r>
    <r>
      <rPr>
        <rFont val="Arial, sans-serif"/>
        <color rgb="FF1155CC"/>
        <sz val="11.0"/>
        <u/>
      </rPr>
      <t>La Puerta del Puente acoge la gala de la Guía Repsol y sus premios nacidos en 2021 que han premiado a una decena de establecimientos de la provincia entre...</t>
    </r>
    <r>
      <rPr>
        <rFont val="Arial, sans-serif"/>
        <color rgb="FF1155CC"/>
        <sz val="12.0"/>
        <u/>
      </rPr>
      <t>.</t>
    </r>
    <r>
      <rPr>
        <rFont val="Arial, sans-serif"/>
        <color rgb="FF1155CC"/>
        <sz val="11.0"/>
        <u/>
      </rPr>
      <t>12 nov 2024</t>
    </r>
  </si>
  <si>
    <t>Noche de 'Soletes Repsol' para alumbrar más el firmamento gastronómico de Córdoba</t>
  </si>
  <si>
    <t>La Puerta del Puente acoge la gala de la Guía Repsol y sus premios nacidos en 2021 que han premiado a una decena de establecimientos de la provincia entre....</t>
  </si>
  <si>
    <t>Night of 'Soletes Repsol' to further illuminate the gastronomic firmament of Córdoba</t>
  </si>
  <si>
    <t>La Puerta del Puente hosts the Repsol Guide gala and its awards born in 2021 that have awarded a dozen establishments in the province among...</t>
  </si>
  <si>
    <r>
      <rPr>
        <rFont val="Arial, sans-serif"/>
        <color rgb="FF1155CC"/>
        <sz val="9.0"/>
        <u/>
      </rPr>
      <t>El Diario Vasco</t>
    </r>
    <r>
      <rPr>
        <rFont val="Arial, sans-serif"/>
        <color rgb="FF1155CC"/>
        <sz val="15.0"/>
        <u/>
      </rPr>
      <t>Del Aguirre de Irun al Otaegui de Donostia: los siete nuevos Soletes de Gipuzkoa</t>
    </r>
    <r>
      <rPr>
        <rFont val="Arial, sans-serif"/>
        <color rgb="FF1155CC"/>
        <sz val="11.0"/>
        <u/>
      </rPr>
      <t>La guía Repsol premia a tres restaurantes, tres pastelerías y un bar de nuestro territorio. Galardones que homenajean la tradición y reivindican tanto los...</t>
    </r>
    <r>
      <rPr>
        <rFont val="Arial, sans-serif"/>
        <color rgb="FF1155CC"/>
        <sz val="12.0"/>
        <u/>
      </rPr>
      <t>.</t>
    </r>
    <r>
      <rPr>
        <rFont val="Arial, sans-serif"/>
        <color rgb="FF1155CC"/>
        <sz val="11.0"/>
        <u/>
      </rPr>
      <t>12 nov 2024</t>
    </r>
  </si>
  <si>
    <t>Del Aguirre de Irun al Otaegui de Donostia: los siete nuevos Soletes de Gipuzkoa</t>
  </si>
  <si>
    <t>La guía Repsol premia a tres restaurantes, tres pastelerías y un bar de nuestro territorio. Galardones que homenajean la tradición y reivindican tanto los....</t>
  </si>
  <si>
    <t>From Aguirre de Irun to Otaegui de Donostia: the seven new Soletes of Gipuzkoa</t>
  </si>
  <si>
    <t>The Repsol guide awards three restaurants, three pastry shops and a bar in our territory. Awards that honor tradition and vindicate both...</t>
  </si>
  <si>
    <r>
      <rPr>
        <rFont val="Arial, sans-serif"/>
        <color rgb="FF1155CC"/>
        <sz val="9.0"/>
        <u/>
      </rPr>
      <t>La Voz de Galicia</t>
    </r>
    <r>
      <rPr>
        <rFont val="Arial, sans-serif"/>
        <color rgb="FF1155CC"/>
        <sz val="15.0"/>
        <u/>
      </rPr>
      <t>Solete Repsol a Casa Cándida, la de los 7 platos de menú del día</t>
    </r>
    <r>
      <rPr>
        <rFont val="Arial, sans-serif"/>
        <color rgb="FF1155CC"/>
        <sz val="11.0"/>
        <u/>
      </rPr>
      <t>Nunca se dice, solo se destacan los 7 platos de menú del día que ofrece Casa Cándida, en Muras, por 22 euros. Sí, entrantes, almejas, arroz con pollo o...</t>
    </r>
    <r>
      <rPr>
        <rFont val="Arial, sans-serif"/>
        <color rgb="FF1155CC"/>
        <sz val="12.0"/>
        <u/>
      </rPr>
      <t>.</t>
    </r>
    <r>
      <rPr>
        <rFont val="Arial, sans-serif"/>
        <color rgb="FF1155CC"/>
        <sz val="11.0"/>
        <u/>
      </rPr>
      <t>12 nov 2024</t>
    </r>
  </si>
  <si>
    <t>Solete Repsol a Casa Cándida, la de los 7 platos de menú del día</t>
  </si>
  <si>
    <t>Nunca se dice, solo se destacan los 7 platos de menú del día que ofrece Casa Cándida, en Muras, por 22 euros. Sí, entrantes, almejas, arroz con pollo o....</t>
  </si>
  <si>
    <t>Solete Repsol to Casa Cándida, the one with the 7 dishes on the menu of the day</t>
  </si>
  <si>
    <t>It is never said, only the 7 dishes of the daily menu offered by Casa Cándida, in Muras, for 22 euros stand out. Yes, starters, clams, rice with chicken or....</t>
  </si>
  <si>
    <r>
      <rPr>
        <rFont val="Arial, sans-serif"/>
        <color rgb="FF1155CC"/>
        <sz val="9.0"/>
        <u/>
      </rPr>
      <t>Sevilla Secreta</t>
    </r>
    <r>
      <rPr>
        <rFont val="Arial, sans-serif"/>
        <color rgb="FF1155CC"/>
        <sz val="15.0"/>
        <u/>
      </rPr>
      <t>Los nuevos Soletes con Solera de la Guía Repsol en Sevilla y Andalucía</t>
    </r>
    <r>
      <rPr>
        <rFont val="Arial, sans-serif"/>
        <color rgb="FF1155CC"/>
        <sz val="11.0"/>
        <u/>
      </rPr>
      <t>Soletes con Solera en Sevilla: calidad sin renunciar a precios accesibles en estos destinos hosteleros donde no se negocia la tradición.</t>
    </r>
    <r>
      <rPr>
        <rFont val="Arial, sans-serif"/>
        <color rgb="FF1155CC"/>
        <sz val="12.0"/>
        <u/>
      </rPr>
      <t>.</t>
    </r>
    <r>
      <rPr>
        <rFont val="Arial, sans-serif"/>
        <color rgb="FF1155CC"/>
        <sz val="11.0"/>
        <u/>
      </rPr>
      <t>12 nov 2024</t>
    </r>
  </si>
  <si>
    <t>Los nuevos Soletes con Solera de la Guía Repsol en Sevilla y Andalucía</t>
  </si>
  <si>
    <t>Soletes con Solera en Sevilla: calidad sin renunciar a precios accesibles en estos destinos hosteleros donde no se negocia la tradición.</t>
  </si>
  <si>
    <t>The new Soletes con Solera from the Repsol Guide in Seville and Andalusia</t>
  </si>
  <si>
    <t>Soletes con Solera in Seville: quality without giving up affordable prices in these hospitality destinations where tradition is not negotiated.</t>
  </si>
  <si>
    <r>
      <rPr>
        <rFont val="Arial, sans-serif"/>
        <color rgb="FF1155CC"/>
        <sz val="9.0"/>
        <u/>
      </rPr>
      <t>ABC</t>
    </r>
    <r>
      <rPr>
        <rFont val="Arial, sans-serif"/>
        <color rgb="FF1155CC"/>
        <sz val="15.0"/>
        <u/>
      </rPr>
      <t>La gala de los 'Soletes' de la Guía Repsol en Córdoba, en imágenes</t>
    </r>
    <r>
      <rPr>
        <rFont val="Arial, sans-serif"/>
        <color rgb="FF1155CC"/>
        <sz val="11.0"/>
        <u/>
      </rPr>
      <t>fotogalería 42 FOTOS. La gala de los 'Soletes' de la Guía Repsol en Córdoba, en imágenes. La Guía gastronómica ha entregado este lunes sus distinciones en...</t>
    </r>
    <r>
      <rPr>
        <rFont val="Arial, sans-serif"/>
        <color rgb="FF1155CC"/>
        <sz val="12.0"/>
        <u/>
      </rPr>
      <t>.</t>
    </r>
    <r>
      <rPr>
        <rFont val="Arial, sans-serif"/>
        <color rgb="FF1155CC"/>
        <sz val="11.0"/>
        <u/>
      </rPr>
      <t>12 nov 2024</t>
    </r>
  </si>
  <si>
    <t>La gala de los 'Soletes' de la Guía Repsol en Córdoba, en imágenes</t>
  </si>
  <si>
    <t>La Guía gastronómica ha entregado este lunes sus distinciones en....</t>
  </si>
  <si>
    <t>The Repsol Guide's 'Soletes' gala in Córdoba, in images</t>
  </si>
  <si>
    <t>This Monday the Gastronomic Guide handed out its distinctions in....</t>
  </si>
  <si>
    <r>
      <rPr>
        <rFont val="Arial, sans-serif"/>
        <color rgb="FF1155CC"/>
        <sz val="9.0"/>
        <u/>
      </rPr>
      <t>Diario Palentino</t>
    </r>
    <r>
      <rPr>
        <rFont val="Arial, sans-serif"/>
        <color rgb="FF1155CC"/>
        <sz val="15.0"/>
        <u/>
      </rPr>
      <t>Palencia luce con 6 Soletes con Solera de la Guía Repsol</t>
    </r>
    <r>
      <rPr>
        <rFont val="Arial, sans-serif"/>
        <color rgb="FF1155CC"/>
        <sz val="11.0"/>
        <u/>
      </rPr>
      <t>Los establecimientos galardonados son el bar Alaska, Cantina La María, Casa Pepe's, la pastelería Diego Niño, Don Jamón y La Concordia.</t>
    </r>
    <r>
      <rPr>
        <rFont val="Arial, sans-serif"/>
        <color rgb="FF1155CC"/>
        <sz val="12.0"/>
        <u/>
      </rPr>
      <t>.</t>
    </r>
    <r>
      <rPr>
        <rFont val="Arial, sans-serif"/>
        <color rgb="FF1155CC"/>
        <sz val="11.0"/>
        <u/>
      </rPr>
      <t>12 nov 2024</t>
    </r>
  </si>
  <si>
    <t>Palencia luce con 6 Soletes con Solera de la Guía Repsol</t>
  </si>
  <si>
    <t>Los establecimientos galardonados son el bar Alaska, Cantina La María, Casa Pepe's, la pastelería Diego Niño, Don Jamón y La Concordia.</t>
  </si>
  <si>
    <t>Palencia shines with 6 Soletes con Solera from the Repsol Guide</t>
  </si>
  <si>
    <t>The award-winning establishments are the Alaska bar, Cantina La María, Casa Pepe's, the Diego Niño pastry shop, Don Jamón and La Concordia.</t>
  </si>
  <si>
    <r>
      <rPr>
        <rFont val="Arial, sans-serif"/>
        <color rgb="FF1155CC"/>
        <sz val="9.0"/>
        <u/>
      </rPr>
      <t>Directo al Paladar</t>
    </r>
    <r>
      <rPr>
        <rFont val="Arial, sans-serif"/>
        <color rgb="FF1155CC"/>
        <sz val="15.0"/>
        <u/>
      </rPr>
      <t>Churros, gildas y pollos asados: la Guía Repsol presenta su nueva colección de Soletes por toda España</t>
    </r>
    <r>
      <rPr>
        <rFont val="Arial, sans-serif"/>
        <color rgb="FF1155CC"/>
        <sz val="11.0"/>
        <u/>
      </rPr>
      <t>Soletes con Solera es el nombre que en esta ocasión la Guía Repsol ha colocado a una nueva hornada de establecimientos. Bajo el concepto 'Solete',...</t>
    </r>
    <r>
      <rPr>
        <rFont val="Arial, sans-serif"/>
        <color rgb="FF1155CC"/>
        <sz val="12.0"/>
        <u/>
      </rPr>
      <t>.</t>
    </r>
    <r>
      <rPr>
        <rFont val="Arial, sans-serif"/>
        <color rgb="FF1155CC"/>
        <sz val="11.0"/>
        <u/>
      </rPr>
      <t>12 nov 2024</t>
    </r>
  </si>
  <si>
    <t>Churros, gildas y pollos asados: la Guía Repsol presenta su nueva colección de Soletes por toda España</t>
  </si>
  <si>
    <t>Soletes con Solera es el nombre que en esta ocasión la Guía Repsol ha colocado a una nueva hornada de establecimientos. Bajo el concepto 'Solete',....</t>
  </si>
  <si>
    <t>Churros, gildas and roast chickens: the Repsol Guide presents its new collection of Soletes throughout Spain</t>
  </si>
  <si>
    <t>Soletes con Solera is the name that on this occasion the Repsol Guide has given to a new batch of establishments. Under the 'Solete' concept,....</t>
  </si>
  <si>
    <r>
      <rPr>
        <rFont val="Arial, sans-serif"/>
        <color rgb="FF1155CC"/>
        <sz val="9.0"/>
        <u/>
      </rPr>
      <t>Diario de Pontevedra</t>
    </r>
    <r>
      <rPr>
        <rFont val="Arial, sans-serif"/>
        <color rgb="FF1155CC"/>
        <sz val="15.0"/>
        <u/>
      </rPr>
      <t>Dos restaurantes de Pontevedra reciben un Solete con Solera: "O noso diamante en bruto é o persoal"</t>
    </r>
    <r>
      <rPr>
        <rFont val="Arial, sans-serif"/>
        <color rgb="FF1155CC"/>
        <sz val="11.0"/>
        <u/>
      </rPr>
      <t>La Guía Repsol entregó este reconocimiento a los restaurantes O Regato Pequeno y La Viuda. Con esta distinción se pretende poner en valor el trabajo de lo.</t>
    </r>
    <r>
      <rPr>
        <rFont val="Arial, sans-serif"/>
        <color rgb="FF1155CC"/>
        <sz val="12.0"/>
        <u/>
      </rPr>
      <t>.</t>
    </r>
    <r>
      <rPr>
        <rFont val="Arial, sans-serif"/>
        <color rgb="FF1155CC"/>
        <sz val="11.0"/>
        <u/>
      </rPr>
      <t>12 nov 2024</t>
    </r>
  </si>
  <si>
    <t>Dos restaurantes de Pontevedra reciben un Solete con Solera: "O noso diamante en bruto é o persoal"</t>
  </si>
  <si>
    <t>La Guía Repsol entregó este reconocimiento a los restaurantes O Regato Pequeno y La Viuda. Con esta distinción se pretende poner en valor el trabajo de lo..</t>
  </si>
  <si>
    <t>Two restaurants in Pontevedra receive a Solete con Solera: "Our diamond in the rough is personal"</t>
  </si>
  <si>
    <t>The Repsol Guide gave this recognition to the restaurants O Regato Pequeno and La Viuda. With this distinction the aim is to value the work of the...</t>
  </si>
  <si>
    <r>
      <rPr>
        <rFont val="Arial, sans-serif"/>
        <color rgb="FF1155CC"/>
        <sz val="9.0"/>
        <u/>
      </rPr>
      <t>Hostelería en Zamora</t>
    </r>
    <r>
      <rPr>
        <rFont val="Arial, sans-serif"/>
        <color rgb="FF1155CC"/>
        <sz val="15.0"/>
        <u/>
      </rPr>
      <t>Seis Soletes con Solera de la Guía Repsol iluminan el cielo gastronómico de Zamora</t>
    </r>
    <r>
      <rPr>
        <rFont val="Arial, sans-serif"/>
        <color rgb="FF1155CC"/>
        <sz val="11.0"/>
        <u/>
      </rPr>
      <t>Casa Fidel, en San Vitero; el Restaurante España, en Fermoselle; y Casa Cipri, Pastelería Barquero y Churrería Lorenzo, en Zamora capital, obtienen está...</t>
    </r>
    <r>
      <rPr>
        <rFont val="Arial, sans-serif"/>
        <color rgb="FF1155CC"/>
        <sz val="12.0"/>
        <u/>
      </rPr>
      <t>.</t>
    </r>
    <r>
      <rPr>
        <rFont val="Arial, sans-serif"/>
        <color rgb="FF1155CC"/>
        <sz val="11.0"/>
        <u/>
      </rPr>
      <t>12 nov 2024</t>
    </r>
  </si>
  <si>
    <t>Seis Soletes con Solera de la Guía Repsol iluminan el cielo gastronómico de Zamora</t>
  </si>
  <si>
    <t>Seis Soletes con Solera de la Guía Repsol iluminan el cielo gastronómico de Zamora. Casa Fidel, en San Vitero; el Restaurante España, en Fermoselle; y Casa Cipri, Pastelería Barquero y Churrería Lorenzo, en Zamora capital, obtienen está....</t>
  </si>
  <si>
    <t>Six Soletes con Solera from the Repsol Guide illuminate the gastronomic sky of Zamora</t>
  </si>
  <si>
    <t>Six Soletes con Solera from the Repsol Guide illuminate the gastronomic sky of Zamora. Casa Fidel, in San Vitero; the España Restaurant, in Fermoselle; and Casa Cipri, Pastelería Barquero and Churrería Lorenzo, in Zamora capital, obtain this....</t>
  </si>
  <si>
    <r>
      <rPr>
        <rFont val="Arial, sans-serif"/>
        <color rgb="FF1155CC"/>
        <sz val="9.0"/>
        <u/>
      </rPr>
      <t>elperiodic.com</t>
    </r>
    <r>
      <rPr>
        <rFont val="Arial, sans-serif"/>
        <color rgb="FF1155CC"/>
        <sz val="15.0"/>
        <u/>
      </rPr>
      <t>Soletes Guía Repsol 2024: estos son los nuevos restaurantes valencianos que obtienen distinción</t>
    </r>
    <r>
      <rPr>
        <rFont val="Arial, sans-serif"/>
        <color rgb="FF1155CC"/>
        <sz val="11.0"/>
        <u/>
      </rPr>
      <t>Los restaurantes valencianos están de enhorabuena, ya que varios de ellos han recibido la distinción de "Solete" otorgada por la prestigiosa Guía Repsol.</t>
    </r>
    <r>
      <rPr>
        <rFont val="Arial, sans-serif"/>
        <color rgb="FF1155CC"/>
        <sz val="12.0"/>
        <u/>
      </rPr>
      <t>.</t>
    </r>
    <r>
      <rPr>
        <rFont val="Arial, sans-serif"/>
        <color rgb="FF1155CC"/>
        <sz val="11.0"/>
        <u/>
      </rPr>
      <t>12 nov 2024</t>
    </r>
  </si>
  <si>
    <t>Soletes Guía Repsol 2024: estos son los nuevos restaurantes valencianos que obtienen distinción</t>
  </si>
  <si>
    <t>Los restaurantes valencianos están de enhorabuena, ya que varios de ellos han recibido la distinción de "Solete" otorgada por la prestigiosa Guía Repsol.</t>
  </si>
  <si>
    <t>Soletes Repsol Guide 2024: these are the new Valencian restaurants that obtain distinction</t>
  </si>
  <si>
    <t>Valencian restaurants are in luck, since several of them have received the "Solete" distinction awarded by the prestigious Repsol Guide.</t>
  </si>
  <si>
    <r>
      <rPr>
        <rFont val="Arial, sans-serif"/>
        <color rgb="FF1155CC"/>
        <sz val="9.0"/>
        <u/>
      </rPr>
      <t>Cadena SER</t>
    </r>
    <r>
      <rPr>
        <rFont val="Arial, sans-serif"/>
        <color rgb="FF1155CC"/>
        <sz val="15.0"/>
        <u/>
      </rPr>
      <t>" No podemos abrir una negociación porque lo que está pidiendo el Comité es ilegal "</t>
    </r>
    <r>
      <rPr>
        <rFont val="Arial, sans-serif"/>
        <color rgb="FF1155CC"/>
        <sz val="11.0"/>
        <u/>
      </rPr>
      <t>Puertollano. Repsol toma la palabra en la SER. El Director de Recursos Humanos, Organización y personas de la Dirección General de Cliente de la...</t>
    </r>
    <r>
      <rPr>
        <rFont val="Arial, sans-serif"/>
        <color rgb="FF1155CC"/>
        <sz val="12.0"/>
        <u/>
      </rPr>
      <t>.</t>
    </r>
    <r>
      <rPr>
        <rFont val="Arial, sans-serif"/>
        <color rgb="FF1155CC"/>
        <sz val="11.0"/>
        <u/>
      </rPr>
      <t>12 nov 2024</t>
    </r>
  </si>
  <si>
    <t>No podemos abrir una negociación porque lo que está pidiendo el Comité es ilegal</t>
  </si>
  <si>
    <t>No podemos abrir una negociación porque lo que está pidiendo el Comité es ilegal.</t>
  </si>
  <si>
    <t>We cannot open a negotiation because what the Committee is asking for is illegal.</t>
  </si>
  <si>
    <t>Corporate Conflict</t>
  </si>
  <si>
    <r>
      <rPr>
        <rFont val="Arial, sans-serif"/>
        <color rgb="FF1155CC"/>
        <sz val="9.0"/>
        <u/>
      </rPr>
      <t>El Español</t>
    </r>
    <r>
      <rPr>
        <rFont val="Arial, sans-serif"/>
        <color rgb="FF1155CC"/>
        <sz val="15.0"/>
        <u/>
      </rPr>
      <t>La churrería más mítica de Santa Coloma reconocida por la Guía Repsol: más de 150 años de historia</t>
    </r>
    <r>
      <rPr>
        <rFont val="Arial, sans-serif"/>
        <color rgb="FF1155CC"/>
        <sz val="11.0"/>
        <u/>
      </rPr>
      <t>La Churrería Manchega, un encaje perfecto con la apuesta por el legado culinario de la lista gastronómica La churrería más mítica de Santa Coloma que tiene...</t>
    </r>
    <r>
      <rPr>
        <rFont val="Arial, sans-serif"/>
        <color rgb="FF1155CC"/>
        <sz val="12.0"/>
        <u/>
      </rPr>
      <t>.</t>
    </r>
    <r>
      <rPr>
        <rFont val="Arial, sans-serif"/>
        <color rgb="FF1155CC"/>
        <sz val="11.0"/>
        <u/>
      </rPr>
      <t>12 nov 2024</t>
    </r>
  </si>
  <si>
    <t>La churrería más mítica de Santa Coloma reconocida por la Guía Repsol: más de 150 años de historia</t>
  </si>
  <si>
    <t>La Churrería Manchega, un encaje perfecto con la apuesta por el legado culinario de la lista gastronómica La churrería más mítica de Santa Coloma que tiene....</t>
  </si>
  <si>
    <t>The most mythical churrería in Santa Coloma recognized by the Repsol Guide: more than 150 years of history</t>
  </si>
  <si>
    <t>La Churrería Manchega, a perfect fit with the commitment to the culinary legacy of the gastronomic list. The most legendary churrería in Santa Coloma that has...</t>
  </si>
  <si>
    <r>
      <rPr>
        <rFont val="Arial, sans-serif"/>
        <color rgb="FF1155CC"/>
        <sz val="9.0"/>
        <u/>
      </rPr>
      <t>La Voz de Galicia</t>
    </r>
    <r>
      <rPr>
        <rFont val="Arial, sans-serif"/>
        <color rgb="FF1155CC"/>
        <sz val="15.0"/>
        <u/>
      </rPr>
      <t>Delicias Roasters, el sabor del «café de especialidad», Solete Repsol, que se tuesta en la propia cafetería</t>
    </r>
    <r>
      <rPr>
        <rFont val="Arial, sans-serif"/>
        <color rgb="FF1155CC"/>
        <sz val="11.0"/>
        <u/>
      </rPr>
      <t>Óscar Lombardero, en su apuesta por ofrecer en Ribadeo un producto de máxima calidad, compró en su momento la que fue la tercera cafetera Mobdar que hubo en...</t>
    </r>
    <r>
      <rPr>
        <rFont val="Arial, sans-serif"/>
        <color rgb="FF1155CC"/>
        <sz val="12.0"/>
        <u/>
      </rPr>
      <t>.</t>
    </r>
    <r>
      <rPr>
        <rFont val="Arial, sans-serif"/>
        <color rgb="FF1155CC"/>
        <sz val="11.0"/>
        <u/>
      </rPr>
      <t>12 nov 2024</t>
    </r>
  </si>
  <si>
    <t>Delicias Roasters, el sabor del «café de especialidad», Solete Repsol, que se tuesta en la propia cafetería.</t>
  </si>
  <si>
    <t>Óscar Lombardero, en su apuesta por ofrecer en Ribadeo un producto de máxima calidad, compró en su momento la que fue la tercera cafetera Mobdar que hubo en....</t>
  </si>
  <si>
    <t>Delicias Roasters, the taste of “specialty coffee”, Solete Repsol, which is roasted in the cafeteria itself.</t>
  </si>
  <si>
    <t>Óscar Lombardero, in his commitment to offer a top quality product in Ribadeo, bought what was the third Mobdar coffee machine in...</t>
  </si>
  <si>
    <r>
      <rPr>
        <rFont val="Arial, sans-serif"/>
        <color rgb="FF1155CC"/>
        <sz val="9.0"/>
        <u/>
      </rPr>
      <t>El Español</t>
    </r>
    <r>
      <rPr>
        <rFont val="Arial, sans-serif"/>
        <color rgb="FF1155CC"/>
        <sz val="15.0"/>
        <u/>
      </rPr>
      <t>Esta es la pastelería más antigua de Madrid: triunfa con sus palmeras de chocolate y tiene un Solete Repsol</t>
    </r>
    <r>
      <rPr>
        <rFont val="Arial, sans-serif"/>
        <color rgb="FF1155CC"/>
        <sz val="11.0"/>
        <u/>
      </rPr>
      <t>Desde su inauguración en 1830, ha sido de los obradores preferidos de la capital de famosos como Cruz y Raya, Rappel, Arévalo y Pedro Zerolo.</t>
    </r>
    <r>
      <rPr>
        <rFont val="Arial, sans-serif"/>
        <color rgb="FF1155CC"/>
        <sz val="12.0"/>
        <u/>
      </rPr>
      <t>.</t>
    </r>
    <r>
      <rPr>
        <rFont val="Arial, sans-serif"/>
        <color rgb="FF1155CC"/>
        <sz val="11.0"/>
        <u/>
      </rPr>
      <t>12 nov 2024</t>
    </r>
  </si>
  <si>
    <t>Esta es la pastelería más antigua de Madrid: triunfa con sus palmeras de chocolate y tiene un Solete Repsol</t>
  </si>
  <si>
    <t>Desde su inauguración en 1830, ha sido de los obradores preferidos de la capital de famosos como Cruz y Raya, Rappel, Arévalo y Pedro Zerolo.</t>
  </si>
  <si>
    <t>This is the oldest pastry shop in Madrid: it triumphs with its chocolate palm trees and has a Solete Repsol</t>
  </si>
  <si>
    <t>Since its inauguration in 1830, it has been one of the favorite workshops in the capital of celebrities such as Cruz y Raya, Rappel, Arévalo and Pedro Zerolo.</t>
  </si>
  <si>
    <r>
      <rPr>
        <rFont val="Arial, sans-serif"/>
        <color rgb="FF1155CC"/>
        <sz val="9.0"/>
        <u/>
      </rPr>
      <t>Hoyaldia.com</t>
    </r>
    <r>
      <rPr>
        <rFont val="Arial, sans-serif"/>
        <color rgb="FF1155CC"/>
        <sz val="15.0"/>
        <u/>
      </rPr>
      <t>Gafiq Gastronómico de Belalcázar se alza con un ‘solete con solera’ de la Guía Repsol</t>
    </r>
    <r>
      <rPr>
        <rFont val="Arial, sans-serif"/>
        <color rgb="FF1155CC"/>
        <sz val="11.0"/>
        <u/>
      </rPr>
      <t>El restaurante Gafiq Gastronómico de Belalcázar se ha sumado a los establecimientos hosteleros de la comarca de Los Pedroches que están reconocidos con un...</t>
    </r>
    <r>
      <rPr>
        <rFont val="Arial, sans-serif"/>
        <color rgb="FF1155CC"/>
        <sz val="12.0"/>
        <u/>
      </rPr>
      <t>.</t>
    </r>
    <r>
      <rPr>
        <rFont val="Arial, sans-serif"/>
        <color rgb="FF1155CC"/>
        <sz val="11.0"/>
        <u/>
      </rPr>
      <t>12 nov 2024</t>
    </r>
  </si>
  <si>
    <t>Hoyaldia.com</t>
  </si>
  <si>
    <t>Gafiq Gastronómico de Belalcázar se alza con un ‘solete con solera’ de la Guía Repsol</t>
  </si>
  <si>
    <t>El restaurante Gafiq Gastronómico de Belalcázar se ha sumado a los establecimientos hosteleros de la comarca de Los Pedroches que están reconocidos con un....</t>
  </si>
  <si>
    <t>Gafiq Gastronomic of Belalcázar wins a 'solete con solera' from the Repsol Guide</t>
  </si>
  <si>
    <t>The Gafiq Gastronomic restaurant in Belalcázar has joined the hospitality establishments in the Los Pedroches region that are recognized with a...</t>
  </si>
  <si>
    <r>
      <rPr>
        <rFont val="Arial, sans-serif"/>
        <color rgb="FF1155CC"/>
        <sz val="9.0"/>
        <u/>
      </rPr>
      <t>La Opinión A Coruña</t>
    </r>
    <r>
      <rPr>
        <rFont val="Arial, sans-serif"/>
        <color rgb="FF1155CC"/>
        <sz val="15.0"/>
        <u/>
      </rPr>
      <t>El Ayuntamiento, Repsol y Seat, expropiados por Alfonso Molina</t>
    </r>
    <r>
      <rPr>
        <rFont val="Arial, sans-serif"/>
        <color rgb="FF1155CC"/>
        <sz val="11.0"/>
        <u/>
      </rPr>
      <t>El Ayuntamiento será el principal expropiado en las obras de humanización de Alfonso Molina, en las que perderá permanentemente casi 3.000 metros cuadrados...</t>
    </r>
    <r>
      <rPr>
        <rFont val="Arial, sans-serif"/>
        <color rgb="FF1155CC"/>
        <sz val="12.0"/>
        <u/>
      </rPr>
      <t>.</t>
    </r>
    <r>
      <rPr>
        <rFont val="Arial, sans-serif"/>
        <color rgb="FF1155CC"/>
        <sz val="11.0"/>
        <u/>
      </rPr>
      <t>12 nov 2024</t>
    </r>
  </si>
  <si>
    <t>El Ayuntamiento, Repsol y Seat, expropiados por Alfonso Molina</t>
  </si>
  <si>
    <t>El Ayuntamiento será el principal expropiado en las obras de humanización de Alfonso Molina, en las que perderá permanentemente casi 3.000 metros cuadrados....</t>
  </si>
  <si>
    <t>The City Council, Repsol and Seat, expropriated by Alfonso Molina</t>
  </si>
  <si>
    <t>The City Council will be the main expropriated in the humanization works of Alfonso Molina, in which it will permanently lose almost 3,000 square meters....</t>
  </si>
  <si>
    <r>
      <rPr>
        <rFont val="Arial, sans-serif"/>
        <color rgb="FF1155CC"/>
        <sz val="9.0"/>
        <u/>
      </rPr>
      <t>El Español</t>
    </r>
    <r>
      <rPr>
        <rFont val="Arial, sans-serif"/>
        <color rgb="FF1155CC"/>
        <sz val="15.0"/>
        <u/>
      </rPr>
      <t>La vermutería de L’Hospitalet reconocida por la Guía Repsol: tapas y platillos de toda la vida</t>
    </r>
    <r>
      <rPr>
        <rFont val="Arial, sans-serif"/>
        <color rgb="FF1155CC"/>
        <sz val="11.0"/>
        <u/>
      </rPr>
      <t>Se trata de El Cau del Vermut, fundado en 2019 en Santa Eulàlia por Verónica y Gustavo Noticias relacionadas: el bar de un barrio turístico de Barcelona...</t>
    </r>
    <r>
      <rPr>
        <rFont val="Arial, sans-serif"/>
        <color rgb="FF1155CC"/>
        <sz val="12.0"/>
        <u/>
      </rPr>
      <t>.</t>
    </r>
    <r>
      <rPr>
        <rFont val="Arial, sans-serif"/>
        <color rgb="FF1155CC"/>
        <sz val="11.0"/>
        <u/>
      </rPr>
      <t>12 nov 2024</t>
    </r>
  </si>
  <si>
    <t>La vermutería de L’Hospitalet reconocida por la Guía Repsol: tapas y platillos de toda la vida</t>
  </si>
  <si>
    <t>Se trata de El Cau del Vermut, fundado en 2019 en Santa Eulàlia por Verónica y Gustavo.</t>
  </si>
  <si>
    <t>The L'Hospitalet vermouth bar recognized by the Repsol Guide: traditional tapas and dishes</t>
  </si>
  <si>
    <t>This is El Cau del Vermut, founded in 2019 in Santa Eulàlia by Verónica and Gustavo.</t>
  </si>
  <si>
    <r>
      <rPr>
        <rFont val="Arial, sans-serif"/>
        <color rgb="FF1155CC"/>
        <sz val="9.0"/>
        <u/>
      </rPr>
      <t>El Español</t>
    </r>
    <r>
      <rPr>
        <rFont val="Arial, sans-serif"/>
        <color rgb="FF1155CC"/>
        <sz val="15.0"/>
        <u/>
      </rPr>
      <t>Este es el cocido de 15 ingredientes con más solera de Madrid: le gustó a Lola Flores y tiene un Solete Repsol</t>
    </r>
    <r>
      <rPr>
        <rFont val="Arial, sans-serif"/>
        <color rgb="FF1155CC"/>
        <sz val="11.0"/>
        <u/>
      </rPr>
      <t>Por tratarse de un lugar emblemático de Madrid, la Guía Repsol le ha entregado este lunes uno de sus Soletes con Solera en su décima edición.</t>
    </r>
    <r>
      <rPr>
        <rFont val="Arial, sans-serif"/>
        <color rgb="FF1155CC"/>
        <sz val="12.0"/>
        <u/>
      </rPr>
      <t>.</t>
    </r>
    <r>
      <rPr>
        <rFont val="Arial, sans-serif"/>
        <color rgb="FF1155CC"/>
        <sz val="11.0"/>
        <u/>
      </rPr>
      <t>12 nov 2024</t>
    </r>
  </si>
  <si>
    <t>Este es el cocido de 15 ingredientes con más solera de Madrid: le gustó a Lola Flores y tiene un Solete Repsol</t>
  </si>
  <si>
    <t>Este es el cocido de 15 ingredientes con más solera de Madrid: le gustó a Lola Flores y tiene un Solete Repsol.</t>
  </si>
  <si>
    <t>This is the most traditional 15-ingredient stew in Madrid: Lola Flores liked it and she has a Solete Repsol</t>
  </si>
  <si>
    <t>This is the most traditional 15-ingredient stew in Madrid: Lola Flores liked it and she has a Repsol Solete.</t>
  </si>
  <si>
    <r>
      <rPr>
        <rFont val="Arial, sans-serif"/>
        <color rgb="FF1155CC"/>
        <sz val="9.0"/>
        <u/>
      </rPr>
      <t>heraldo.es</t>
    </r>
    <r>
      <rPr>
        <rFont val="Arial, sans-serif"/>
        <color rgb="FF1155CC"/>
        <sz val="15.0"/>
        <u/>
      </rPr>
      <t>El bar de Zaragoza que inventó el famoso jamón batido gana un Solete con Solera</t>
    </r>
    <r>
      <rPr>
        <rFont val="Arial, sans-serif"/>
        <color rgb="FF1155CC"/>
        <sz val="11.0"/>
        <u/>
      </rPr>
      <t>Este restaurante es conocido por ser el origen de una de las tapas más representativas de la capital aragonesa y este 2024 ha conseguido esta distinción de...</t>
    </r>
    <r>
      <rPr>
        <rFont val="Arial, sans-serif"/>
        <color rgb="FF1155CC"/>
        <sz val="12.0"/>
        <u/>
      </rPr>
      <t>.</t>
    </r>
    <r>
      <rPr>
        <rFont val="Arial, sans-serif"/>
        <color rgb="FF1155CC"/>
        <sz val="11.0"/>
        <u/>
      </rPr>
      <t>12 nov 2024</t>
    </r>
  </si>
  <si>
    <t>El bar de Zaragoza que inventó el famoso jamón batido gana un Solete con Solera</t>
  </si>
  <si>
    <t>Este restaurante es conocido por ser el origen de una de las tapas más representativas de la capital aragonesa y este 2024 ha conseguido esta distinción de....</t>
  </si>
  <si>
    <t>The Zaragoza bar that invented the famous whipped ham wins a Solete con Solera</t>
  </si>
  <si>
    <t>This restaurant is known for being the origin of one of the most representative tapas in the Aragonese capital and in 2024 it has achieved this distinction of...</t>
  </si>
  <si>
    <r>
      <rPr>
        <rFont val="Arial, sans-serif"/>
        <color rgb="FF1155CC"/>
        <sz val="9.0"/>
        <u/>
      </rPr>
      <t>Haro Digital</t>
    </r>
    <r>
      <rPr>
        <rFont val="Arial, sans-serif"/>
        <color rgb="FF1155CC"/>
        <sz val="15.0"/>
        <u/>
      </rPr>
      <t>Los restaurantes La Vega y Pimiento, nuevos "soletes con solera" de la Guía Repsol</t>
    </r>
    <r>
      <rPr>
        <rFont val="Arial, sans-serif"/>
        <color rgb="FF1155CC"/>
        <sz val="11.0"/>
        <u/>
      </rPr>
      <t>La Guía Repsol ha anunciado recientemente 330 nuevos 'soletes', locales con solera que han resistido durante décadas y que destacan por ofrecer una cocina...</t>
    </r>
    <r>
      <rPr>
        <rFont val="Arial, sans-serif"/>
        <color rgb="FF1155CC"/>
        <sz val="12.0"/>
        <u/>
      </rPr>
      <t>.</t>
    </r>
    <r>
      <rPr>
        <rFont val="Arial, sans-serif"/>
        <color rgb="FF1155CC"/>
        <sz val="11.0"/>
        <u/>
      </rPr>
      <t>12 nov 2024</t>
    </r>
  </si>
  <si>
    <t>Los restaurantes La Vega y Pimiento, nuevos "soletes con solera" de la Guía Repsol</t>
  </si>
  <si>
    <t>La Guía Repsol ha anunciado recientemente 330 nuevos 'soletes', locales con solera que han resistido durante décadas y que destacan por ofrecer una cocina....</t>
  </si>
  <si>
    <t>The restaurants La Vega and Pimiento, new "soletes con solera" in the Repsol Guide</t>
  </si>
  <si>
    <t>The Repsol Guide has recently announced 330 new 'soletes', traditional establishments that have endured for decades and that stand out for offering cuisine....</t>
  </si>
  <si>
    <r>
      <rPr>
        <rFont val="Arial, sans-serif"/>
        <color rgb="FF1155CC"/>
        <sz val="9.0"/>
        <u/>
      </rPr>
      <t>Faro de Vigo</t>
    </r>
    <r>
      <rPr>
        <rFont val="Arial, sans-serif"/>
        <color rgb="FF1155CC"/>
        <sz val="15.0"/>
        <u/>
      </rPr>
      <t>O Con de Aldán, con el nuevo Solete con Solera de Repsol</t>
    </r>
    <r>
      <rPr>
        <rFont val="Arial, sans-serif"/>
        <color rgb="FF1155CC"/>
        <sz val="11.0"/>
        <u/>
      </rPr>
      <t>El restaurante O Con de Aldán, en Cangas, figura entre los establecimientos seleccionados con el nuevo distintivo de la Guía Repsol, los Soletes con Solera,...</t>
    </r>
    <r>
      <rPr>
        <rFont val="Arial, sans-serif"/>
        <color rgb="FF1155CC"/>
        <sz val="12.0"/>
        <u/>
      </rPr>
      <t>.</t>
    </r>
    <r>
      <rPr>
        <rFont val="Arial, sans-serif"/>
        <color rgb="FF1155CC"/>
        <sz val="11.0"/>
        <u/>
      </rPr>
      <t>12 nov 2024</t>
    </r>
  </si>
  <si>
    <t>O Con de Aldán, con el nuevo Solete con Solera de Repsol</t>
  </si>
  <si>
    <t>El restaurante O Con de Aldán, en Cangas, figura entre los establecimientos seleccionados con el nuevo distintivo de la Guía Repsol, los Soletes con Solera,....</t>
  </si>
  <si>
    <t>O Con de Aldán, with the new Solete con Solera from Repsol</t>
  </si>
  <si>
    <t>The O Con de Aldán restaurant, in Cangas, is among the establishments selected with the new Repsol Guide badge, the Soletes con Solera,....</t>
  </si>
  <si>
    <r>
      <rPr>
        <rFont val="Arial, sans-serif"/>
        <color rgb="FF1155CC"/>
        <sz val="9.0"/>
        <u/>
      </rPr>
      <t>Portal de Cádiz</t>
    </r>
    <r>
      <rPr>
        <rFont val="Arial, sans-serif"/>
        <color rgb="FF1155CC"/>
        <sz val="15.0"/>
        <u/>
      </rPr>
      <t>Ocho establecimientos de la provincia de Cádiz reciben el ‘solete’ de la Guía Repsol 2024</t>
    </r>
    <r>
      <rPr>
        <rFont val="Arial, sans-serif"/>
        <color rgb="FF1155CC"/>
        <sz val="11.0"/>
        <u/>
      </rPr>
      <t>Ocho establecimientos de la provincia de Cádiz han sido galardonados con el 'solete' en la décima edición de la Guía Repsol. Este distintivo,</t>
    </r>
    <r>
      <rPr>
        <rFont val="Arial, sans-serif"/>
        <color rgb="FF1155CC"/>
        <sz val="12.0"/>
        <u/>
      </rPr>
      <t>.</t>
    </r>
    <r>
      <rPr>
        <rFont val="Arial, sans-serif"/>
        <color rgb="FF1155CC"/>
        <sz val="11.0"/>
        <u/>
      </rPr>
      <t>12 nov 2024</t>
    </r>
  </si>
  <si>
    <t>Portal de Cádiz</t>
  </si>
  <si>
    <t>Ocho establecimientos de la provincia de Cádiz reciben el ‘solete’ de la Guía Repsol 2024</t>
  </si>
  <si>
    <t>Ocho establecimientos de la provincia de Cádiz han sido galardonados con el 'solete' en la décima edición de la Guía Repsol. Este distintivo.</t>
  </si>
  <si>
    <t>Eight establishments in the province of Cádiz receive the 'solete' of the Repsol Guide 2024</t>
  </si>
  <si>
    <t>Eight establishments in the province of Cádiz have been awarded the 'solete' in the tenth edition of the Repsol Guide. This distinctive.</t>
  </si>
  <si>
    <r>
      <rPr>
        <rFont val="Arial, sans-serif"/>
        <color rgb="FF1155CC"/>
        <sz val="9.0"/>
        <u/>
      </rPr>
      <t>El Español</t>
    </r>
    <r>
      <rPr>
        <rFont val="Arial, sans-serif"/>
        <color rgb="FF1155CC"/>
        <sz val="15.0"/>
        <u/>
      </rPr>
      <t>El restaurante español de carretera que enamora a todo conductor: aparece en la Guía Repsol y en la Guía Michelin</t>
    </r>
    <r>
      <rPr>
        <rFont val="Arial, sans-serif"/>
        <color rgb="FF1155CC"/>
        <sz val="11.0"/>
        <u/>
      </rPr>
      <t>Este local ofrece una amplia variedad de platos con una calidad inmejorable. Más información: Adiós al aspirador del coche con esta solución de Lidl:...</t>
    </r>
    <r>
      <rPr>
        <rFont val="Arial, sans-serif"/>
        <color rgb="FF1155CC"/>
        <sz val="12.0"/>
        <u/>
      </rPr>
      <t>.</t>
    </r>
    <r>
      <rPr>
        <rFont val="Arial, sans-serif"/>
        <color rgb="FF1155CC"/>
        <sz val="11.0"/>
        <u/>
      </rPr>
      <t>12 nov 2024</t>
    </r>
  </si>
  <si>
    <t>El restaurante español de carretera que enamora a todo conductor: aparece en la Guía Repsol y en la Guía Michelin</t>
  </si>
  <si>
    <t>Este local ofrece una amplia variedad de platos con una calidad inmejorable.</t>
  </si>
  <si>
    <t>The Spanish roadside restaurant that every driver falls in love with: it appears in the Repsol Guide and the Michelin Guide</t>
  </si>
  <si>
    <t>This place offers a wide variety of dishes with unbeatable quality.</t>
  </si>
  <si>
    <r>
      <rPr>
        <rFont val="Arial, sans-serif"/>
        <color rgb="FF1155CC"/>
        <sz val="9.0"/>
        <u/>
      </rPr>
      <t>La Voz de Galicia</t>
    </r>
    <r>
      <rPr>
        <rFont val="Arial, sans-serif"/>
        <color rgb="FF1155CC"/>
        <sz val="15.0"/>
        <u/>
      </rPr>
      <t>La Alianza de Mondoñedo y Delicias Roasters de Ribadeo, distinguidos con los Soletes con Solera en la Guía Repsol</t>
    </r>
    <r>
      <rPr>
        <rFont val="Arial, sans-serif"/>
        <color rgb="FF1155CC"/>
        <sz val="11.0"/>
        <u/>
      </rPr>
      <t>El prestigioso galardón distingue a los negocios clásicos que han resistido al paso del tiempo y el empuje de los más jóvenes que han decidido apostar por...</t>
    </r>
    <r>
      <rPr>
        <rFont val="Arial, sans-serif"/>
        <color rgb="FF1155CC"/>
        <sz val="12.0"/>
        <u/>
      </rPr>
      <t>.</t>
    </r>
    <r>
      <rPr>
        <rFont val="Arial, sans-serif"/>
        <color rgb="FF1155CC"/>
        <sz val="11.0"/>
        <u/>
      </rPr>
      <t>12 nov 2024</t>
    </r>
  </si>
  <si>
    <t>La Alianza de Mondoñedo y Delicias Roasters de Ribadeo, distinguidos con los Soletes con Solera en la Guía Repsol</t>
  </si>
  <si>
    <t>El prestigioso galardón distingue a los negocios clásicos que han resistido al paso del tiempo y el empuje de los más jóvenes que han decidido apostar por...</t>
  </si>
  <si>
    <t>The Alliance of Mondoñedo and Delicias Roasters of Ribadeo, distinguished with the Soletes con Solera in the Repsol Guide</t>
  </si>
  <si>
    <t>The prestigious award distinguishes classic businesses that have stood the test of time and the push of younger people who have decided to bet on...</t>
  </si>
  <si>
    <r>
      <rPr>
        <rFont val="Arial, sans-serif"/>
        <color rgb="FF1155CC"/>
        <sz val="9.0"/>
        <u/>
      </rPr>
      <t>Diario de Cádiz</t>
    </r>
    <r>
      <rPr>
        <rFont val="Arial, sans-serif"/>
        <color rgb="FF1155CC"/>
        <sz val="15.0"/>
        <u/>
      </rPr>
      <t>Estos son los ocho nuevos ‘Soletes’ de Cádiz que ponen en valor las recetas de toda la vida</t>
    </r>
    <r>
      <rPr>
        <rFont val="Arial, sans-serif"/>
        <color rgb="FF1155CC"/>
        <sz val="11.0"/>
        <u/>
      </rPr>
      <t>Bares, restaurantes, terrazas, tabancos y heladerías, entre otros, vuelven a ser distinguidos, una vez más, por la prestigiosa Guía Repsol.</t>
    </r>
    <r>
      <rPr>
        <rFont val="Arial, sans-serif"/>
        <color rgb="FF1155CC"/>
        <sz val="12.0"/>
        <u/>
      </rPr>
      <t>.</t>
    </r>
    <r>
      <rPr>
        <rFont val="Arial, sans-serif"/>
        <color rgb="FF1155CC"/>
        <sz val="11.0"/>
        <u/>
      </rPr>
      <t>12 nov 2024</t>
    </r>
  </si>
  <si>
    <t>Estos son los ocho nuevos ‘Soletes’ de Cádiz que ponen en valor las recetas de toda la vida</t>
  </si>
  <si>
    <t>Bares, restaurantes, terrazas, tabancos y heladerías, entre otros, vuelven a ser distinguidos, una vez más, por la prestigiosa Guía Repsol.</t>
  </si>
  <si>
    <t>These are the eight new 'Soletes' from Cádiz that value traditional recipes</t>
  </si>
  <si>
    <t>Bars, restaurants, terraces, tabancos and ice cream parlors, among others, are once again distinguished by the prestigious Repsol Guide.</t>
  </si>
  <si>
    <r>
      <rPr>
        <rFont val="Arial, sans-serif"/>
        <color rgb="FF1155CC"/>
        <sz val="9.0"/>
        <u/>
      </rPr>
      <t>La Nueva España</t>
    </r>
    <r>
      <rPr>
        <rFont val="Arial, sans-serif"/>
        <color rgb="FF1155CC"/>
        <sz val="15.0"/>
        <u/>
      </rPr>
      <t>El restaurante de Grado que entra en el exclusivo club de la Guía Repsol: este es el local que logra un "Solete"</t>
    </r>
    <r>
      <rPr>
        <rFont val="Arial, sans-serif"/>
        <color rgb="FF1155CC"/>
        <sz val="11.0"/>
        <u/>
      </rPr>
      <t>'Trabajamos diariamente por mejorar y ofrecer lo mejor a nuestros clientes y amigos, a los que queremos agradecer estar hoy aquí', subraya Flor Gancedo,...</t>
    </r>
    <r>
      <rPr>
        <rFont val="Arial, sans-serif"/>
        <color rgb="FF1155CC"/>
        <sz val="12.0"/>
        <u/>
      </rPr>
      <t>.</t>
    </r>
    <r>
      <rPr>
        <rFont val="Arial, sans-serif"/>
        <color rgb="FF1155CC"/>
        <sz val="11.0"/>
        <u/>
      </rPr>
      <t>12 nov 2024</t>
    </r>
  </si>
  <si>
    <t>El restaurante de Grado que entra en el exclusivo club de la Guía Repsol: este es el local que logra un "Solete"</t>
  </si>
  <si>
    <t>"Trabajamos diariamente por mejorar y ofrecer lo mejor a nuestros clientes y amigos, a los que queremos agradecer estar hoy aquí", subraya Flor Gancedo,....</t>
  </si>
  <si>
    <t>The Grado restaurant that enters the exclusive club of the Repsol Guide: this is the place that achieves a "Solete"</t>
  </si>
  <si>
    <t>"We work daily to improve and offer the best to our clients and friends, whom we want to thank for being here today," emphasizes Flor Gancedo,...</t>
  </si>
  <si>
    <r>
      <rPr>
        <rFont val="Arial, sans-serif"/>
        <color rgb="FF1155CC"/>
        <sz val="9.0"/>
        <u/>
      </rPr>
      <t>El Español</t>
    </r>
    <r>
      <rPr>
        <rFont val="Arial, sans-serif"/>
        <color rgb="FF1155CC"/>
        <sz val="15.0"/>
        <u/>
      </rPr>
      <t>El restaurante de 'fast food' de toda la vida en Barcelona con solete Repsol: bocadillos desde los 3 euros</t>
    </r>
    <r>
      <rPr>
        <rFont val="Arial, sans-serif"/>
        <color rgb="FF1155CC"/>
        <sz val="11.0"/>
        <u/>
      </rPr>
      <t>La Guía Repsol ha añadido 300 nuevos distintivos para premiar la autenticidad y la herencia culinaria Los mejores frankfurt se preparan en este histórico...</t>
    </r>
    <r>
      <rPr>
        <rFont val="Arial, sans-serif"/>
        <color rgb="FF1155CC"/>
        <sz val="12.0"/>
        <u/>
      </rPr>
      <t>.</t>
    </r>
    <r>
      <rPr>
        <rFont val="Arial, sans-serif"/>
        <color rgb="FF1155CC"/>
        <sz val="11.0"/>
        <u/>
      </rPr>
      <t>12 nov 2024</t>
    </r>
  </si>
  <si>
    <t>El restaurante de 'fast food' de toda la vida en Barcelona con solete Repsol: bocadillos desde los 3 euros</t>
  </si>
  <si>
    <t>La Guía Repsol ha añadido 300 nuevos distintivos para premiar la autenticidad y la herencia culinaria. Los mejores frankfurt se preparan en este histórico....</t>
  </si>
  <si>
    <t>The traditional fast food restaurant in Barcelona with Repsol solete: sandwiches from 3 euros</t>
  </si>
  <si>
    <t>The Repsol Guide has added 300 new badges to reward authenticity and culinary heritage. The best frankfurters are prepared in this historic....</t>
  </si>
  <si>
    <r>
      <rPr>
        <rFont val="Arial, sans-serif"/>
        <color rgb="FF1155CC"/>
        <sz val="9.0"/>
        <u/>
      </rPr>
      <t>Alma de Pueblos</t>
    </r>
    <r>
      <rPr>
        <rFont val="Arial, sans-serif"/>
        <color rgb="FF1155CC"/>
        <sz val="15.0"/>
        <u/>
      </rPr>
      <t>Cinco Soletes con Solera en Jaén: establecimientos fieles a sus raíces</t>
    </r>
    <r>
      <rPr>
        <rFont val="Arial, sans-serif"/>
        <color rgb="FF1155CC"/>
        <sz val="11.0"/>
        <u/>
      </rPr>
      <t>Publicado por REDACCIÓN | Nov 12, 2024 | POBLADORES | 0 |. Cinco Soletes con Solera en Jaén: establecimientos fieles a sus raíces...</t>
    </r>
    <r>
      <rPr>
        <rFont val="Arial, sans-serif"/>
        <color rgb="FF1155CC"/>
        <sz val="12.0"/>
        <u/>
      </rPr>
      <t>.</t>
    </r>
    <r>
      <rPr>
        <rFont val="Arial, sans-serif"/>
        <color rgb="FF1155CC"/>
        <sz val="11.0"/>
        <u/>
      </rPr>
      <t>12 nov 2024</t>
    </r>
  </si>
  <si>
    <t>Alma de Pueblos</t>
  </si>
  <si>
    <t>Cinco Soletes con Solera en Jaén: establecimientos fieles a sus raíces</t>
  </si>
  <si>
    <t>Cinco Soletes con Solera en Jaén: establecimientos fieles a sus raíces.</t>
  </si>
  <si>
    <t>Cinco Soletes con Solera in Jaén: establishments faithful to their roots</t>
  </si>
  <si>
    <t>Cinco Soletes con Solera in Jaén: establishments faithful to their roots.</t>
  </si>
  <si>
    <r>
      <rPr>
        <rFont val="Arial, sans-serif"/>
        <color rgb="FF1155CC"/>
        <sz val="9.0"/>
        <u/>
      </rPr>
      <t>El Español</t>
    </r>
    <r>
      <rPr>
        <rFont val="Arial, sans-serif"/>
        <color rgb="FF1155CC"/>
        <sz val="15.0"/>
        <u/>
      </rPr>
      <t>El Molino de Vigo celebra su Solete: "Respetamos la tradición, pero innovando"</t>
    </r>
    <r>
      <rPr>
        <rFont val="Arial, sans-serif"/>
        <color rgb="FF1155CC"/>
        <sz val="11.0"/>
        <u/>
      </rPr>
      <t>La propietaria, María Dolores Fernández, conoció que les había otorgado el distintivo a través de Treintayseis y hoy todavía lo están "asimilando"...</t>
    </r>
    <r>
      <rPr>
        <rFont val="Arial, sans-serif"/>
        <color rgb="FF1155CC"/>
        <sz val="12.0"/>
        <u/>
      </rPr>
      <t>.</t>
    </r>
    <r>
      <rPr>
        <rFont val="Arial, sans-serif"/>
        <color rgb="FF1155CC"/>
        <sz val="11.0"/>
        <u/>
      </rPr>
      <t>12 nov 2024</t>
    </r>
  </si>
  <si>
    <t>El Molino de Vigo celebra su Solete: "Respetamos la tradición, pero innovando"</t>
  </si>
  <si>
    <t>La propietaria, María Dolores Fernández, conoció que les había otorgado el distintivo a través de Treintayseis y hoy todavía lo están "asimilando".</t>
  </si>
  <si>
    <t>El Molino de Vigo celebrates its Solete: "We respect tradition, but innovating"</t>
  </si>
  <si>
    <t>The owner, María Dolores Fernández, learned that they had been granted the badge through Treintayseis and today they are still "assimilating" it.</t>
  </si>
  <si>
    <r>
      <rPr>
        <rFont val="Arial, sans-serif"/>
        <color rgb="FF1155CC"/>
        <sz val="9.0"/>
        <u/>
      </rPr>
      <t>HOLA</t>
    </r>
    <r>
      <rPr>
        <rFont val="Arial, sans-serif"/>
        <color rgb="FF1155CC"/>
        <sz val="15.0"/>
        <u/>
      </rPr>
      <t>Restaurantes de comida tradicional: pistas para acertar</t>
    </r>
    <r>
      <rPr>
        <rFont val="Arial, sans-serif"/>
        <color rgb="FF1155CC"/>
        <sz val="11.0"/>
        <u/>
      </rPr>
      <t>La Guía Repsol acaba de publicar su nuevo listado de premios Soletes (asignados a locales asequibles, informales y con buena oferta gastronómica) centrado,...</t>
    </r>
    <r>
      <rPr>
        <rFont val="Arial, sans-serif"/>
        <color rgb="FF1155CC"/>
        <sz val="12.0"/>
        <u/>
      </rPr>
      <t>.</t>
    </r>
    <r>
      <rPr>
        <rFont val="Arial, sans-serif"/>
        <color rgb="FF1155CC"/>
        <sz val="11.0"/>
        <u/>
      </rPr>
      <t>12 nov 2024</t>
    </r>
  </si>
  <si>
    <t>Restaurantes de comida tradicional: pistas para acertar</t>
  </si>
  <si>
    <t>La Guía Repsol acaba de publicar su nuevo listado de premios Soletes (asignados a locales asequibles, informales y con buena oferta gastronómica) centrado,....</t>
  </si>
  <si>
    <t>Traditional food restaurants: clues to get it right</t>
  </si>
  <si>
    <t>The Repsol Guide has just published its new list of Soletes awards (assigned to affordable, informal establishments with good gastronomic offerings) focused on...</t>
  </si>
  <si>
    <r>
      <rPr>
        <rFont val="Arial, sans-serif"/>
        <color rgb="FF1155CC"/>
        <sz val="9.0"/>
        <u/>
      </rPr>
      <t>El Economista</t>
    </r>
    <r>
      <rPr>
        <rFont val="Arial, sans-serif"/>
        <color rgb="FF1155CC"/>
        <sz val="15.0"/>
        <u/>
      </rPr>
      <t>Serveo se queda con el negocio de mantenimiento de la concursada Navec</t>
    </r>
    <r>
      <rPr>
        <rFont val="Arial, sans-serif"/>
        <color rgb="FF1155CC"/>
        <sz val="11.0"/>
        <u/>
      </rPr>
      <t>Venta exprés del negocio de mantenimiento de Navec, en concurso de acreedores desde finales de septiembre.</t>
    </r>
    <r>
      <rPr>
        <rFont val="Arial, sans-serif"/>
        <color rgb="FF1155CC"/>
        <sz val="12.0"/>
        <u/>
      </rPr>
      <t>.</t>
    </r>
    <r>
      <rPr>
        <rFont val="Arial, sans-serif"/>
        <color rgb="FF1155CC"/>
        <sz val="11.0"/>
        <u/>
      </rPr>
      <t>12 nov 2024</t>
    </r>
  </si>
  <si>
    <t>Serveo se queda con el negocio de mantenimiento de la concursada Navec</t>
  </si>
  <si>
    <t>Venta exprés del negocio de mantenimiento de Navec, en concurso de acreedores desde finales de septiembre.</t>
  </si>
  <si>
    <t>Serveo takes over the maintenance business of the bankrupt Navec</t>
  </si>
  <si>
    <t>Express sale of Navec's maintenance business, in bankruptcy since the end of September.</t>
  </si>
  <si>
    <t>Corporate Change</t>
  </si>
  <si>
    <r>
      <rPr>
        <rFont val="Arial, sans-serif"/>
        <color rgb="FF1155CC"/>
        <sz val="9.0"/>
        <u/>
      </rPr>
      <t>Cadena SER</t>
    </r>
    <r>
      <rPr>
        <rFont val="Arial, sans-serif"/>
        <color rgb="FF1155CC"/>
        <sz val="15.0"/>
        <u/>
      </rPr>
      <t>Aranda de Duero suma un nuevo local reconocido por la Guía Repsol</t>
    </r>
    <r>
      <rPr>
        <rFont val="Arial, sans-serif"/>
        <color rgb="FF1155CC"/>
        <sz val="11.0"/>
        <u/>
      </rPr>
      <t>Aranda de Duero. La Guía Repsol ha vuelto a condecorar recientemente a un local hostelero de Aranda de Duero. Desde el conocido ente gastronómico se ha...</t>
    </r>
    <r>
      <rPr>
        <rFont val="Arial, sans-serif"/>
        <color rgb="FF1155CC"/>
        <sz val="12.0"/>
        <u/>
      </rPr>
      <t>.</t>
    </r>
    <r>
      <rPr>
        <rFont val="Arial, sans-serif"/>
        <color rgb="FF1155CC"/>
        <sz val="11.0"/>
        <u/>
      </rPr>
      <t>13 nov 2024</t>
    </r>
  </si>
  <si>
    <t>Aranda de Duero suma un nuevo local reconocido por la Guía Repsol</t>
  </si>
  <si>
    <t>Aranda de Duero. La Guía Repsol ha vuelto a condecorar recientemente a un local hostelero de Aranda de Duero. Desde el conocido ente gastronómico se ha....</t>
  </si>
  <si>
    <t>Aranda de Duero adds a new location recognized by the Repsol Guide</t>
  </si>
  <si>
    <t>Aranda de Duero. The Repsol Guide has recently once again decorated a hotel establishment in Aranda de Duero. From the well-known gastronomic entity it has been....</t>
  </si>
  <si>
    <r>
      <rPr>
        <rFont val="Arial, sans-serif"/>
        <color rgb="FF1155CC"/>
        <sz val="9.0"/>
        <u/>
      </rPr>
      <t>El Confidencial</t>
    </r>
    <r>
      <rPr>
        <rFont val="Arial, sans-serif"/>
        <color rgb="FF1155CC"/>
        <sz val="15.0"/>
        <u/>
      </rPr>
      <t>Madrid se lleva 22 ‘Soletes con Solera’ en la Guía Repsol, un homenaje a los lugares históricos de la región</t>
    </r>
    <r>
      <rPr>
        <rFont val="Arial, sans-serif"/>
        <color rgb="FF1155CC"/>
        <sz val="11.0"/>
        <u/>
      </rPr>
      <t>De los 300 nuevos Soletes, la comunidad se queda con más de una veintena. Un homenaje que pone en valor la esencia de la tradición gastronómica de la...</t>
    </r>
    <r>
      <rPr>
        <rFont val="Arial, sans-serif"/>
        <color rgb="FF1155CC"/>
        <sz val="12.0"/>
        <u/>
      </rPr>
      <t>.</t>
    </r>
    <r>
      <rPr>
        <rFont val="Arial, sans-serif"/>
        <color rgb="FF1155CC"/>
        <sz val="11.0"/>
        <u/>
      </rPr>
      <t>13 nov 2024</t>
    </r>
  </si>
  <si>
    <t>Madrid se lleva 22 ‘Soletes con Solera’ en la Guía Repsol, un homenaje a los lugares históricos de la región</t>
  </si>
  <si>
    <t>De los 300 nuevos Soletes, la comunidad se queda con más de una veintena. Un homenaje que pone en valor la esencia de la tradición gastronómica de la....</t>
  </si>
  <si>
    <t>Madrid wins 22 'Soletes con Solera' in the Repsol Guide, a tribute to the region's historical places</t>
  </si>
  <si>
    <t>Of the 300 new Soletes, the community keeps more than twenty. A tribute that highlights the essence of the gastronomic tradition of....</t>
  </si>
  <si>
    <r>
      <rPr>
        <rFont val="Arial, sans-serif"/>
        <color rgb="FF1155CC"/>
        <sz val="9.0"/>
        <u/>
      </rPr>
      <t>Bolsamania</t>
    </r>
    <r>
      <rPr>
        <rFont val="Arial, sans-serif"/>
        <color rgb="FF1155CC"/>
        <sz val="15.0"/>
        <u/>
      </rPr>
      <t>Repsol: siguen los equilibrios en el borde del acantilado</t>
    </r>
    <r>
      <rPr>
        <rFont val="Arial, sans-serif"/>
        <color rgb="FF1155CC"/>
        <sz val="11.0"/>
        <u/>
      </rPr>
      <t>Mucho cuidado que Repsol se mantiene cotizando en las inmediaciones de los mínimos anuales que presenta en los 11,39 euros.</t>
    </r>
    <r>
      <rPr>
        <rFont val="Arial, sans-serif"/>
        <color rgb="FF1155CC"/>
        <sz val="12.0"/>
        <u/>
      </rPr>
      <t>.</t>
    </r>
    <r>
      <rPr>
        <rFont val="Arial, sans-serif"/>
        <color rgb="FF1155CC"/>
        <sz val="11.0"/>
        <u/>
      </rPr>
      <t>13 nov 2024</t>
    </r>
  </si>
  <si>
    <t>Repsol: siguen los equilibrios en el borde del acantilado</t>
  </si>
  <si>
    <t>Mucho cuidado que Repsol se mantiene cotizando en las inmediaciones de los mínimos anuales que presenta en los 11,39 euros.</t>
  </si>
  <si>
    <t>Repsol: the balance continues on the edge of the cliff</t>
  </si>
  <si>
    <t>Be very careful that Repsol continues to be quoted close to the annual minimum of 11.39 euros.</t>
  </si>
  <si>
    <t>Repsol, Stock market</t>
  </si>
  <si>
    <t>Repsol, Bolsa</t>
  </si>
  <si>
    <t>Negative, concerns over stock performance.</t>
  </si>
  <si>
    <t>borde del acantilado</t>
  </si>
  <si>
    <t>Negative financial outlook</t>
  </si>
  <si>
    <t>Perspectivas financieras negativas</t>
  </si>
  <si>
    <r>
      <rPr>
        <rFont val="Arial, sans-serif"/>
        <color rgb="FF1155CC"/>
        <sz val="9.0"/>
        <u/>
      </rPr>
      <t>OkDiario</t>
    </r>
    <r>
      <rPr>
        <rFont val="Arial, sans-serif"/>
        <color rgb="FF1155CC"/>
        <sz val="15.0"/>
        <u/>
      </rPr>
      <t>El ‘kebab not kebab’ de Madrid con Solete Repsol y envuelto en oro que está arrasando</t>
    </r>
    <r>
      <rPr>
        <rFont val="Arial, sans-serif"/>
        <color rgb="FF1155CC"/>
        <sz val="11.0"/>
        <u/>
      </rPr>
      <t>Conocido por su 'kebab not kebab', Mómö marca tendencia en Madrid son su receta envuelta en oro y, ahora, su Solete Repsol.</t>
    </r>
    <r>
      <rPr>
        <rFont val="Arial, sans-serif"/>
        <color rgb="FF1155CC"/>
        <sz val="12.0"/>
        <u/>
      </rPr>
      <t>.</t>
    </r>
    <r>
      <rPr>
        <rFont val="Arial, sans-serif"/>
        <color rgb="FF1155CC"/>
        <sz val="11.0"/>
        <u/>
      </rPr>
      <t>13 nov 2024</t>
    </r>
  </si>
  <si>
    <t>El ‘kebab not kebab’ de Madrid con Solete Repsol y envuelto en oro que está arrasando</t>
  </si>
  <si>
    <t>Conocido por su 'kebab not kebab', Mómö marca tendencia en Madrid son su receta envuelta en oro y, ahora, su Solete Repsol.</t>
  </si>
  <si>
    <t>The 'kebab not kebab' of Madrid with Solete Repsol and wrapped in gold that is sweeping</t>
  </si>
  <si>
    <t>Known for its 'kebab not kebab', Mómö sets trends in Madrid with its recipe wrapped in gold and, now, its Solete Repsol.</t>
  </si>
  <si>
    <r>
      <rPr>
        <rFont val="Arial, sans-serif"/>
        <color rgb="FF1155CC"/>
        <sz val="9.0"/>
        <u/>
      </rPr>
      <t>5barricas</t>
    </r>
    <r>
      <rPr>
        <rFont val="Arial, sans-serif"/>
        <color rgb="FF1155CC"/>
        <sz val="15.0"/>
        <u/>
      </rPr>
      <t>Seis locales de Castellón reciben el Solete con Solera de la Guía Repsol «</t>
    </r>
    <r>
      <rPr>
        <rFont val="Arial, sans-serif"/>
        <color rgb="FF1155CC"/>
        <sz val="11.0"/>
        <u/>
      </rPr>
      <t>La Guía Repsol ha dado a conocer los establecimientos que han sido galardonados con el distintivo Solete con Solera, un reconocimiento que destaca la cocina...</t>
    </r>
    <r>
      <rPr>
        <rFont val="Arial, sans-serif"/>
        <color rgb="FF1155CC"/>
        <sz val="12.0"/>
        <u/>
      </rPr>
      <t>.</t>
    </r>
    <r>
      <rPr>
        <rFont val="Arial, sans-serif"/>
        <color rgb="FF1155CC"/>
        <sz val="11.0"/>
        <u/>
      </rPr>
      <t>13 nov 2024</t>
    </r>
  </si>
  <si>
    <t>5barricas</t>
  </si>
  <si>
    <t>Seis locales de Castellón reciben el Solete con Solera de la Guía Repsol</t>
  </si>
  <si>
    <t>La Guía Repsol ha dado a conocer los establecimientos que han sido galardonados con el distintivo Solete con Solera, un reconocimiento que destaca la cocina....</t>
  </si>
  <si>
    <t>Six establishments in Castellón receive the Solete con Solera from the Repsol Guide</t>
  </si>
  <si>
    <t>The Repsol Guide has announced the establishments that have been awarded the Solete con Solera distinction, a recognition that highlights the cuisine....</t>
  </si>
  <si>
    <r>
      <rPr>
        <rFont val="Arial, sans-serif"/>
        <color rgb="FF1155CC"/>
        <sz val="9.0"/>
        <u/>
      </rPr>
      <t>Investing.com España</t>
    </r>
    <r>
      <rPr>
        <rFont val="Arial, sans-serif"/>
        <color rgb="FF1155CC"/>
        <sz val="15.0"/>
        <u/>
      </rPr>
      <t>Repsol y su facturación, historia, liderazgo y expansión en el mercado global</t>
    </r>
    <r>
      <rPr>
        <rFont val="Arial, sans-serif"/>
        <color rgb="FF1155CC"/>
        <sz val="11.0"/>
        <u/>
      </rPr>
      <t>Conozca los beneficios de Repsol, su CEO y su cúpula de gobierno. Consulte también datos sobre la facturación de Repsol, sus dividendos y sus acciones.</t>
    </r>
    <r>
      <rPr>
        <rFont val="Arial, sans-serif"/>
        <color rgb="FF1155CC"/>
        <sz val="12.0"/>
        <u/>
      </rPr>
      <t>.</t>
    </r>
    <r>
      <rPr>
        <rFont val="Arial, sans-serif"/>
        <color rgb="FF1155CC"/>
        <sz val="11.0"/>
        <u/>
      </rPr>
      <t>13 nov 2024</t>
    </r>
  </si>
  <si>
    <t>Repsol y su facturación, historia, liderazgo y expansión en el mercado global</t>
  </si>
  <si>
    <t>Conozca los beneficios de Repsol, su CEO y su cúpula de gobierno. Consulte también datos sobre la facturación de Repsol, sus dividendos y sus acciones.</t>
  </si>
  <si>
    <t>Repsol and its turnover, history, leadership and expansion in the global market</t>
  </si>
  <si>
    <t>Learn about the benefits of Repsol, its CEO and its leadership. Also consult data on Repsol's turnover, its dividends and its shares.</t>
  </si>
  <si>
    <t>Repsol, Leadership, Global Market</t>
  </si>
  <si>
    <t>Repsol, Liderazgo, Mercado Global</t>
  </si>
  <si>
    <t>Neutral, informative about Repsol’s business performance.</t>
  </si>
  <si>
    <t>liderazgo, "expansión"</t>
  </si>
  <si>
    <t>Mildly positive corporate profile</t>
  </si>
  <si>
    <t>Perfil corporativo ligeramente positivo</t>
  </si>
  <si>
    <r>
      <rPr>
        <rFont val="Arial, sans-serif"/>
        <color rgb="FF1155CC"/>
        <sz val="9.0"/>
        <u/>
      </rPr>
      <t>Merca2.es</t>
    </r>
    <r>
      <rPr>
        <rFont val="Arial, sans-serif"/>
        <color rgb="FF1155CC"/>
        <sz val="15.0"/>
        <u/>
      </rPr>
      <t>Las acciones de Iberdrola y Repsol acusan el regreso de Trump a la Casa Blanca</t>
    </r>
    <r>
      <rPr>
        <rFont val="Arial, sans-serif"/>
        <color rgb="FF1155CC"/>
        <sz val="11.0"/>
        <u/>
      </rPr>
      <t>Las acciones de Iberdrola y Repsol acusan el regreso de Trump a la Casa Blanca.</t>
    </r>
    <r>
      <rPr>
        <rFont val="Arial, sans-serif"/>
        <color rgb="FF1155CC"/>
        <sz val="12.0"/>
        <u/>
      </rPr>
      <t>.</t>
    </r>
    <r>
      <rPr>
        <rFont val="Arial, sans-serif"/>
        <color rgb="FF1155CC"/>
        <sz val="11.0"/>
        <u/>
      </rPr>
      <t>13 nov 2024</t>
    </r>
  </si>
  <si>
    <t>Las acciones de Iberdrola y Repsol acusan el regreso de Trump a la Casa Blanca</t>
  </si>
  <si>
    <t>Las acciones de Iberdrola y Repsol acusan el regreso de Trump a la Casa Blanca.</t>
  </si>
  <si>
    <t>The actions of Iberdrola and Repsol indicate Trump's return to the White House</t>
  </si>
  <si>
    <t>The actions of Iberdrola and Repsol indicate Trump's return to the White House.</t>
  </si>
  <si>
    <t>Iberdrola, Repsol, Trump</t>
  </si>
  <si>
    <t>Negative, due to the political implications of their actions.</t>
  </si>
  <si>
    <t>acusar</t>
  </si>
  <si>
    <t>Negative market reaction</t>
  </si>
  <si>
    <t>Reacción negativa del mercado</t>
  </si>
  <si>
    <r>
      <rPr>
        <rFont val="Arial, sans-serif"/>
        <color rgb="FF1155CC"/>
        <sz val="9.0"/>
        <u/>
      </rPr>
      <t>Sivarious</t>
    </r>
    <r>
      <rPr>
        <rFont val="Arial, sans-serif"/>
        <color rgb="FF1155CC"/>
        <sz val="15.0"/>
        <u/>
      </rPr>
      <t>Estos son los nuevos soletes Repsol en Valencia</t>
    </r>
    <r>
      <rPr>
        <rFont val="Arial, sans-serif"/>
        <color rgb="FF1155CC"/>
        <sz val="11.0"/>
        <u/>
      </rPr>
      <t>A continuación, una recopilación de los Soletes de la Guía Repsol 2024 que han recibido los establecimientos de Valencia.</t>
    </r>
    <r>
      <rPr>
        <rFont val="Arial, sans-serif"/>
        <color rgb="FF1155CC"/>
        <sz val="12.0"/>
        <u/>
      </rPr>
      <t>.</t>
    </r>
    <r>
      <rPr>
        <rFont val="Arial, sans-serif"/>
        <color rgb="FF1155CC"/>
        <sz val="11.0"/>
        <u/>
      </rPr>
      <t>13 nov 2024</t>
    </r>
  </si>
  <si>
    <t>Estos son los nuevos soletes Repsol en Valencia</t>
  </si>
  <si>
    <t>A continuación, una recopilación de los Soletes de la Guía Repsol 2024 que han recibido los establecimientos de Valencia.</t>
  </si>
  <si>
    <t>These are the new Repsol soles in Valencia</t>
  </si>
  <si>
    <t>Below is a compilation of the 2024 Repsol Guide Soletes that Valencia establishments have received.</t>
  </si>
  <si>
    <r>
      <rPr>
        <rFont val="Arial, sans-serif"/>
        <color rgb="FF1155CC"/>
        <sz val="9.0"/>
        <u/>
      </rPr>
      <t>Guía Repsol</t>
    </r>
    <r>
      <rPr>
        <rFont val="Arial, sans-serif"/>
        <color rgb="FF1155CC"/>
        <sz val="15.0"/>
        <u/>
      </rPr>
      <t>Ni rastro de gluten</t>
    </r>
    <r>
      <rPr>
        <rFont val="Arial, sans-serif"/>
        <color rgb="FF1155CC"/>
        <sz val="11.0"/>
        <u/>
      </rPr>
      <t>Salir a comer fuera de casa sigue siendo complicado para el colectivo celíaco y sensible al gluten. Para ellos, elegir un restaurante resulta un quebradero.</t>
    </r>
    <r>
      <rPr>
        <rFont val="Arial, sans-serif"/>
        <color rgb="FF1155CC"/>
        <sz val="12.0"/>
        <u/>
      </rPr>
      <t>.</t>
    </r>
    <r>
      <rPr>
        <rFont val="Arial, sans-serif"/>
        <color rgb="FF1155CC"/>
        <sz val="11.0"/>
        <u/>
      </rPr>
      <t>13 nov 2024</t>
    </r>
  </si>
  <si>
    <t>Ni rastro de gluten</t>
  </si>
  <si>
    <t>Salir a comer fuera de casa sigue siendo complicado para el colectivo celíaco y sensible al gluten. Para ellos, elegir un restaurante resulta un quebradero.</t>
  </si>
  <si>
    <t>No trace of gluten</t>
  </si>
  <si>
    <t>Eating out is still complicated for people with celiac disease and gluten sensitivity. For them, choosing a restaurant is a hassle.</t>
  </si>
  <si>
    <t>Health</t>
  </si>
  <si>
    <r>
      <rPr>
        <rFont val="Arial, sans-serif"/>
        <color rgb="FF1155CC"/>
        <sz val="9.0"/>
        <u/>
      </rPr>
      <t>Repsol</t>
    </r>
    <r>
      <rPr>
        <rFont val="Arial, sans-serif"/>
        <color rgb="FF1155CC"/>
        <sz val="15.0"/>
        <u/>
      </rPr>
      <t>Baterías de condensador: qué es, tipos y ventajas</t>
    </r>
    <r>
      <rPr>
        <rFont val="Arial, sans-serif"/>
        <color rgb="FF1155CC"/>
        <sz val="11.0"/>
        <u/>
      </rPr>
      <t>Existen diferentes tipos de baterías de condensador, adaptadas a necesidades industriales y residenciales. 1. Batería de condensadores trifásica.</t>
    </r>
    <r>
      <rPr>
        <rFont val="Arial, sans-serif"/>
        <color rgb="FF1155CC"/>
        <sz val="12.0"/>
        <u/>
      </rPr>
      <t>.</t>
    </r>
    <r>
      <rPr>
        <rFont val="Arial, sans-serif"/>
        <color rgb="FF1155CC"/>
        <sz val="11.0"/>
        <u/>
      </rPr>
      <t>13 nov 2024</t>
    </r>
  </si>
  <si>
    <t>Baterías de condensador: qué es, tipos y ventajas</t>
  </si>
  <si>
    <t>Existen diferentes tipos de baterías de condensador, adaptadas a necesidades industriales y residenciales. 1. Batería de condensadores trifásica.</t>
  </si>
  <si>
    <t>Capacitor batteries: what they are, types and advantages</t>
  </si>
  <si>
    <t>There are different types of capacitor batteries, adapted to industrial and residential needs. 1. Three-phase capacitor bank.</t>
  </si>
  <si>
    <r>
      <rPr>
        <rFont val="Arial, sans-serif"/>
        <color rgb="FF1155CC"/>
        <sz val="9.0"/>
        <u/>
      </rPr>
      <t>El Cronista</t>
    </r>
    <r>
      <rPr>
        <rFont val="Arial, sans-serif"/>
        <color rgb="FF1155CC"/>
        <sz val="15.0"/>
        <u/>
      </rPr>
      <t>Repsol: a cuánto cotiza HOY miércoles 13 de noviembre y cuánto rinden los dividendos</t>
    </r>
    <r>
      <rPr>
        <rFont val="Arial, sans-serif"/>
        <color rgb="FF1155CC"/>
        <sz val="11.0"/>
        <u/>
      </rPr>
      <t>Al cierre de los mercados de este miércoles, 13 de noviembre de 2024, la cotización del Repsol (REP) en el IBEX 35 ha cerrado a 11,37 euros.</t>
    </r>
    <r>
      <rPr>
        <rFont val="Arial, sans-serif"/>
        <color rgb="FF1155CC"/>
        <sz val="12.0"/>
        <u/>
      </rPr>
      <t>.</t>
    </r>
    <r>
      <rPr>
        <rFont val="Arial, sans-serif"/>
        <color rgb="FF1155CC"/>
        <sz val="11.0"/>
        <u/>
      </rPr>
      <t>13 nov 2024</t>
    </r>
  </si>
  <si>
    <t>Repsol: a cuánto cotiza HOY miércoles 13 de noviembre y cuánto rinden los dividendos</t>
  </si>
  <si>
    <t>Al cierre de los mercados de este miércoles, 13 de noviembre de 2024, la cotización del Repsol (REP) en el IBEX 35 ha cerrado a 11,37 euros.</t>
  </si>
  <si>
    <t>Repsol: how much it is trading at TODAY, Wednesday, November 13, and how much the dividends yield</t>
  </si>
  <si>
    <t>At the close of the markets this Wednesday, November 13, 2024, the price of Repsol (REP) on the IBEX 35 closed at 11.37 euros.</t>
  </si>
  <si>
    <t>Repsol, Stock market, Dividends</t>
  </si>
  <si>
    <t>Repsol, Bolsa, Dividendos</t>
  </si>
  <si>
    <t>Neutral, market-related information.</t>
  </si>
  <si>
    <t>Neutral financial data</t>
  </si>
  <si>
    <t>Datos financieros neutrales</t>
  </si>
  <si>
    <r>
      <rPr>
        <rFont val="Arial, sans-serif"/>
        <color rgb="FF1155CC"/>
        <sz val="9.0"/>
        <u/>
      </rPr>
      <t>Infobae</t>
    </r>
    <r>
      <rPr>
        <rFont val="Arial, sans-serif"/>
        <color rgb="FF1155CC"/>
        <sz val="15.0"/>
        <u/>
      </rPr>
      <t>La taberna de Badajoz que defiende lo extremeño y tiene su carta en pesetas: un nuevo Solete Repsol que premia la tradición</t>
    </r>
    <r>
      <rPr>
        <rFont val="Arial, sans-serif"/>
        <color rgb="FF1155CC"/>
        <sz val="11.0"/>
        <u/>
      </rPr>
      <t>La Guía Repsol ha querido homenajear a la tradición más pura en la nueva edición de su listado de Soletes, en la que ha añadido 330 nuevos establecimientos...</t>
    </r>
    <r>
      <rPr>
        <rFont val="Arial, sans-serif"/>
        <color rgb="FF1155CC"/>
        <sz val="12.0"/>
        <u/>
      </rPr>
      <t>.</t>
    </r>
    <r>
      <rPr>
        <rFont val="Arial, sans-serif"/>
        <color rgb="FF1155CC"/>
        <sz val="11.0"/>
        <u/>
      </rPr>
      <t>13 nov 2024</t>
    </r>
  </si>
  <si>
    <t>La taberna de Badajoz que defiende lo extremeño y tiene su carta en pesetas: un nuevo Solete Repsol que premia la tradición</t>
  </si>
  <si>
    <t>La Guía Repsol ha querido homenajear a la tradición más pura en la nueva edición de su listado de Soletes, en la que ha añadido 330 nuevos establecimientos.</t>
  </si>
  <si>
    <t>The Badajoz tavern that defends Extremaduran cuisine and has its menu in pesetas: a new Solete Repsol that rewards tradition</t>
  </si>
  <si>
    <t>The Repsol Guide wanted to pay tribute to the purest tradition in the new edition of its Soletes list, in which it has added 330 new establishments.</t>
  </si>
  <si>
    <r>
      <rPr>
        <rFont val="Arial, sans-serif"/>
        <color rgb="FF1155CC"/>
        <sz val="9.0"/>
        <u/>
      </rPr>
      <t>AZ Costa del Sol</t>
    </r>
    <r>
      <rPr>
        <rFont val="Arial, sans-serif"/>
        <color rgb="FF1155CC"/>
        <sz val="15.0"/>
        <u/>
      </rPr>
      <t>El Bar Diamante de Marbella, nuevo Solete con Solera de la Guía Repsol</t>
    </r>
    <r>
      <rPr>
        <rFont val="Arial, sans-serif"/>
        <color rgb="FF1155CC"/>
        <sz val="11.0"/>
        <u/>
      </rPr>
      <t>Marbella sigue sumando prestigiosos reconocimientos gastronómicos. En esta ocasión, el seleccionado ha sido el Bar Diamante ha sido el elegido para obtener...</t>
    </r>
    <r>
      <rPr>
        <rFont val="Arial, sans-serif"/>
        <color rgb="FF1155CC"/>
        <sz val="12.0"/>
        <u/>
      </rPr>
      <t>.</t>
    </r>
    <r>
      <rPr>
        <rFont val="Arial, sans-serif"/>
        <color rgb="FF1155CC"/>
        <sz val="11.0"/>
        <u/>
      </rPr>
      <t>13 nov 2024</t>
    </r>
  </si>
  <si>
    <t>AZ Costa del Sol</t>
  </si>
  <si>
    <t>El Bar Diamante de Marbella, nuevo Solete con Solera de la Guía Repsol</t>
  </si>
  <si>
    <t>Marbella sigue sumando prestigiosos reconocimientos gastronómicos. En esta ocasión, el Bar Diamante ha sido el elegido para obtener....</t>
  </si>
  <si>
    <t>The Diamante Bar in Marbella, new Solete con Solera from the Repsol Guide</t>
  </si>
  <si>
    <t>Marbella continues to gain prestigious gastronomic recognitions. On this occasion, the Diamante Bar has been chosen to obtain....</t>
  </si>
  <si>
    <r>
      <rPr>
        <rFont val="Arial, sans-serif"/>
        <color rgb="FF1155CC"/>
        <sz val="9.0"/>
        <u/>
      </rPr>
      <t>El Español</t>
    </r>
    <r>
      <rPr>
        <rFont val="Arial, sans-serif"/>
        <color rgb="FF1155CC"/>
        <sz val="15.0"/>
        <u/>
      </rPr>
      <t>La calentería con más "solera" de Sevilla: tiene más de 60 años y es famosa por la textura y el sabor de los churros</t>
    </r>
    <r>
      <rPr>
        <rFont val="Arial, sans-serif"/>
        <color rgb="FF1155CC"/>
        <sz val="11.0"/>
        <u/>
      </rPr>
      <t>La emblemática Guía Repsol se ha fijado en ella y la ha galardonado con uno de sus soletes. Más información: Ni en el Centro ni en Triana, esta es la...</t>
    </r>
    <r>
      <rPr>
        <rFont val="Arial, sans-serif"/>
        <color rgb="FF1155CC"/>
        <sz val="12.0"/>
        <u/>
      </rPr>
      <t>.</t>
    </r>
    <r>
      <rPr>
        <rFont val="Arial, sans-serif"/>
        <color rgb="FF1155CC"/>
        <sz val="11.0"/>
        <u/>
      </rPr>
      <t>13 nov 2024</t>
    </r>
  </si>
  <si>
    <t>La calentería con más "solera" de Sevilla: tiene más de 60 años y es famosa por la textura y el sabor de los churros</t>
  </si>
  <si>
    <t>La emblemática Guía Repsol se ha fijado en ella y la ha galardonado con uno de sus soletes. Más información: Ni en el Centro ni en Triana, esta es la....</t>
  </si>
  <si>
    <t>The most traditional calorería in Seville: it is more than 60 years old and is famous for the texture and flavor of its churros.</t>
  </si>
  <si>
    <t>The emblematic Repsol Guide has noticed it and has awarded it with one of its soles. More information: Neither in the Center nor in Triana, this is the....</t>
  </si>
  <si>
    <r>
      <rPr>
        <rFont val="Arial, sans-serif"/>
        <color rgb="FF1155CC"/>
        <sz val="9.0"/>
        <u/>
      </rPr>
      <t>El Nacional.cat</t>
    </r>
    <r>
      <rPr>
        <rFont val="Arial, sans-serif"/>
        <color rgb="FF1155CC"/>
        <sz val="15.0"/>
        <u/>
      </rPr>
      <t>Un mítico frankfurt de Barcelona con bocadillos a 3,50 € premiado por la principal guía del estado</t>
    </r>
    <r>
      <rPr>
        <rFont val="Arial, sans-serif"/>
        <color rgb="FF1155CC"/>
        <sz val="11.0"/>
        <u/>
      </rPr>
      <t>El Frankfurt Pedralbes ha recibido uno de los principales reconocimientos gastronómicos del estado para restaurantes del día a día.</t>
    </r>
    <r>
      <rPr>
        <rFont val="Arial, sans-serif"/>
        <color rgb="FF1155CC"/>
        <sz val="12.0"/>
        <u/>
      </rPr>
      <t>.</t>
    </r>
    <r>
      <rPr>
        <rFont val="Arial, sans-serif"/>
        <color rgb="FF1155CC"/>
        <sz val="11.0"/>
        <u/>
      </rPr>
      <t>13 nov 2024</t>
    </r>
  </si>
  <si>
    <t>Un mítico frankfurt de Barcelona con bocadillos a 3,50 € premiado por la principal guía del estado</t>
  </si>
  <si>
    <t>El Frankfurt Pedralbes ha recibido uno de los principales reconocimientos gastronómicos del estado para restaurantes del día a día.</t>
  </si>
  <si>
    <t>A legendary Frankfurt in Barcelona with sandwiches at €3.50, awarded by the main guide of the state</t>
  </si>
  <si>
    <t>The Frankfurt Pedralbes has received one of the state's main gastronomic recognitions for everyday restaurants.</t>
  </si>
  <si>
    <r>
      <rPr>
        <rFont val="Arial, sans-serif"/>
        <color rgb="FF1155CC"/>
        <sz val="9.0"/>
        <u/>
      </rPr>
      <t>MSN</t>
    </r>
    <r>
      <rPr>
        <rFont val="Arial, sans-serif"/>
        <color rgb="FF1155CC"/>
        <sz val="15.0"/>
        <u/>
      </rPr>
      <t>Esta pastelería de Aragón con más de 100 años de historia tiene un solete Repsol: triunfa su pastel ruso</t>
    </r>
    <r>
      <rPr>
        <rFont val="Arial, sans-serif"/>
        <color rgb="FF1155CC"/>
        <sz val="11.0"/>
        <u/>
      </rPr>
      <t>Famosa por su pastel ruso, esta pastelería ha convencido al jurado Repsol que le ha otorgado su máxima distinción. Más información: La mejor tortilla de...</t>
    </r>
    <r>
      <rPr>
        <rFont val="Arial, sans-serif"/>
        <color rgb="FF1155CC"/>
        <sz val="12.0"/>
        <u/>
      </rPr>
      <t>.</t>
    </r>
    <r>
      <rPr>
        <rFont val="Arial, sans-serif"/>
        <color rgb="FF1155CC"/>
        <sz val="11.0"/>
        <u/>
      </rPr>
      <t>13 nov 2024</t>
    </r>
  </si>
  <si>
    <t>MSN</t>
  </si>
  <si>
    <t>Esta pastelería de Aragón con más de 100 años de historia tiene un solete Repsol: triunfa su pastel ruso</t>
  </si>
  <si>
    <t>Famosa por su pastel ruso, esta pastelería ha convencido al jurado Repsol que le ha otorgado su máxima distinción.</t>
  </si>
  <si>
    <t>This pastry shop in Aragon with more than 100 years of history has a Repsol success: its Russian cake triumphs</t>
  </si>
  <si>
    <t>Famous for its Russian cake, this pastry shop has convinced the Repsol jury that has awarded it its highest distinction.</t>
  </si>
  <si>
    <r>
      <rPr>
        <rFont val="Arial, sans-serif"/>
        <color rgb="FF1155CC"/>
        <sz val="9.0"/>
        <u/>
      </rPr>
      <t>Publimetro</t>
    </r>
    <r>
      <rPr>
        <rFont val="Arial, sans-serif"/>
        <color rgb="FF1155CC"/>
        <sz val="15.0"/>
        <u/>
      </rPr>
      <t>Surge nueva estafa con IA, un video donde Sheinbaum invita a invertir</t>
    </r>
    <r>
      <rPr>
        <rFont val="Arial, sans-serif"/>
        <color rgb="FF1155CC"/>
        <sz val="11.0"/>
        <u/>
      </rPr>
      <t>En redes sociales se difunde una supuesta entrevista en la que Sheinbaum llama a hacer una inversión de Repsol que dará grandes beneficios, pero es falsa.</t>
    </r>
    <r>
      <rPr>
        <rFont val="Arial, sans-serif"/>
        <color rgb="FF1155CC"/>
        <sz val="12.0"/>
        <u/>
      </rPr>
      <t>.</t>
    </r>
    <r>
      <rPr>
        <rFont val="Arial, sans-serif"/>
        <color rgb="FF1155CC"/>
        <sz val="11.0"/>
        <u/>
      </rPr>
      <t>13 nov 2024</t>
    </r>
  </si>
  <si>
    <t>Publimetro</t>
  </si>
  <si>
    <t>Surge nueva estafa con IA, un video donde Sheinbaum invita a invertir</t>
  </si>
  <si>
    <t>En redes sociales se difunde una supuesta entrevista en la que Sheinbaum llama a hacer una inversión de Repsol que dará grandes beneficios, pero es falsa.</t>
  </si>
  <si>
    <t>New scam emerges with AI, a video where Sheinbaum invites you to invest</t>
  </si>
  <si>
    <t>An alleged interview is spread on social networks in which Sheinbaum calls for Repsol to make an investment that will give great benefits, but it is false.</t>
  </si>
  <si>
    <t>Fraud</t>
  </si>
  <si>
    <r>
      <rPr>
        <rFont val="Arial, sans-serif"/>
        <color rgb="FF1155CC"/>
        <sz val="9.0"/>
        <u/>
      </rPr>
      <t>Guía Repsol</t>
    </r>
    <r>
      <rPr>
        <rFont val="Arial, sans-serif"/>
        <color rgb="FF1155CC"/>
        <sz val="15.0"/>
        <u/>
      </rPr>
      <t>Si eres fan absoluto de los pinchos y tapas, esta famosa calle de Logroño es el paraíso que estás buscando</t>
    </r>
    <r>
      <rPr>
        <rFont val="Arial, sans-serif"/>
        <color rgb="FF1155CC"/>
        <sz val="11.0"/>
        <u/>
      </rPr>
      <t>Cuando una oye las palabras “pincho” y “calle Laurel”, lo primero que le viene a la cabeza es el buen comer y el buen beber. En un pequeño hervidero de...</t>
    </r>
    <r>
      <rPr>
        <rFont val="Arial, sans-serif"/>
        <color rgb="FF1155CC"/>
        <sz val="12.0"/>
        <u/>
      </rPr>
      <t>.</t>
    </r>
    <r>
      <rPr>
        <rFont val="Arial, sans-serif"/>
        <color rgb="FF1155CC"/>
        <sz val="11.0"/>
        <u/>
      </rPr>
      <t>13 nov 2024</t>
    </r>
  </si>
  <si>
    <t>Si eres fan absoluto de los pinchos y tapas, esta famosa calle de Logroño es el paraíso que estás buscando</t>
  </si>
  <si>
    <t>Si eres fan absoluto de los pinchos y tapas, esta famosa calle de Logroño es el paraíso que estás buscando. Cuando una oye las palabras “pincho” y “calle Laurel”, lo primero que le viene a la cabeza es el buen comer y el buen beber. En un pequeño hervidero de....</t>
  </si>
  <si>
    <t>If you are an absolute fan of pinchos and tapas, this famous street in Logroño is the paradise you are looking for</t>
  </si>
  <si>
    <t>If you are an absolute fan of pinchos and tapas, this famous street in Logroño is the paradise you are looking for. When you hear the words “pincho” and “Laurel Street”, the first thing that comes to mind is good eating and good drinking. In a small hotbed of....</t>
  </si>
  <si>
    <r>
      <rPr>
        <rFont val="Arial, sans-serif"/>
        <color rgb="FF1155CC"/>
        <sz val="9.0"/>
        <u/>
      </rPr>
      <t>Cadena SER</t>
    </r>
    <r>
      <rPr>
        <rFont val="Arial, sans-serif"/>
        <color rgb="FF1155CC"/>
        <sz val="15.0"/>
        <u/>
      </rPr>
      <t>Marisa Garrido: "Es una satisfacción trabajar con la familia y poder celebrar con ellos un reconocimiento así"</t>
    </r>
    <r>
      <rPr>
        <rFont val="Arial, sans-serif"/>
        <color rgb="FF1155CC"/>
        <sz val="11.0"/>
        <u/>
      </rPr>
      <t>Ser Mérida. La Guía Repsol reconoce con sus 'Soletes con solera' a 12 establecimientos de Extremadura y uno de ellos está en Almendralejo.</t>
    </r>
    <r>
      <rPr>
        <rFont val="Arial, sans-serif"/>
        <color rgb="FF1155CC"/>
        <sz val="12.0"/>
        <u/>
      </rPr>
      <t>.</t>
    </r>
    <r>
      <rPr>
        <rFont val="Arial, sans-serif"/>
        <color rgb="FF1155CC"/>
        <sz val="11.0"/>
        <u/>
      </rPr>
      <t>13 nov 2024</t>
    </r>
  </si>
  <si>
    <t>Marisa Garrido: "Es una satisfacción trabajar con la familia y poder celebrar con ellos un reconocimiento así"</t>
  </si>
  <si>
    <t>Ser Mérida. La Guía Repsol reconoce con sus 'Soletes con solera' a 12 establecimientos de Extremadura y uno de ellos está en Almendralejo.</t>
  </si>
  <si>
    <t>Marisa Garrido: "It is a satisfaction to work with the family and to be able to celebrate recognition like this with them"</t>
  </si>
  <si>
    <t>Being Merida. The Repsol Guide recognizes 12 establishments in Extremadura with its 'Soletes con solera' and one of them is in Almendralejo.</t>
  </si>
  <si>
    <r>
      <rPr>
        <rFont val="Arial, sans-serif"/>
        <color rgb="FF1155CC"/>
        <sz val="9.0"/>
        <u/>
      </rPr>
      <t>Guía Repsol</t>
    </r>
    <r>
      <rPr>
        <rFont val="Arial, sans-serif"/>
        <color rgb="FF1155CC"/>
        <sz val="15.0"/>
        <u/>
      </rPr>
      <t>Ruta por el reino de la niebla: la Sierra del Sueve</t>
    </r>
    <r>
      <rPr>
        <rFont val="Arial, sans-serif"/>
        <color rgb="FF1155CC"/>
        <sz val="11.0"/>
        <u/>
      </rPr>
      <t>Bosques milenarios, cumbres que desaparecen y uno de los territorios más misteriosos de Asturias donde la cordillera se derrumba sobre el mar Cantábrico y...</t>
    </r>
    <r>
      <rPr>
        <rFont val="Arial, sans-serif"/>
        <color rgb="FF1155CC"/>
        <sz val="12.0"/>
        <u/>
      </rPr>
      <t>.</t>
    </r>
    <r>
      <rPr>
        <rFont val="Arial, sans-serif"/>
        <color rgb="FF1155CC"/>
        <sz val="11.0"/>
        <u/>
      </rPr>
      <t>13 nov 2024</t>
    </r>
  </si>
  <si>
    <t>Ruta por el reino de la niebla: la Sierra del Sueve</t>
  </si>
  <si>
    <t>Bosques milenarios, cumbres que desaparecen y uno de los territorios más misteriosos de Asturias donde la cordillera se derrumba sobre el mar Cantábrico y....</t>
  </si>
  <si>
    <t>Route through the kingdom of fog: the Sierra del Sueve</t>
  </si>
  <si>
    <t>Ancient forests, disappearing peaks and one of the most mysterious territories in Asturias where the mountain range collapses onto the Cantabrian Sea and...</t>
  </si>
  <si>
    <r>
      <rPr>
        <rFont val="Arial, sans-serif"/>
        <color rgb="FF1155CC"/>
        <sz val="9.0"/>
        <u/>
      </rPr>
      <t>Business Insider España</t>
    </r>
    <r>
      <rPr>
        <rFont val="Arial, sans-serif"/>
        <color rgb="FF1155CC"/>
        <sz val="15.0"/>
        <u/>
      </rPr>
      <t>Esta es la fortuna de Martín Berasategui: el cocinero español con más estrellas Michelin</t>
    </r>
    <r>
      <rPr>
        <rFont val="Arial, sans-serif"/>
        <color rgb="FF1155CC"/>
        <sz val="11.0"/>
        <u/>
      </rPr>
      <t>Martin Berasategui ostenta el récord de ser el cocinero español con más estrellas Michelin: tiene un total de 12, a los que se suman 12 soles Repsol.</t>
    </r>
    <r>
      <rPr>
        <rFont val="Arial, sans-serif"/>
        <color rgb="FF1155CC"/>
        <sz val="12.0"/>
        <u/>
      </rPr>
      <t>.</t>
    </r>
    <r>
      <rPr>
        <rFont val="Arial, sans-serif"/>
        <color rgb="FF1155CC"/>
        <sz val="11.0"/>
        <u/>
      </rPr>
      <t>13 nov 2024</t>
    </r>
  </si>
  <si>
    <t>Esta es la fortuna de Martín Berasategui: el cocinero español con más estrellas Michelin</t>
  </si>
  <si>
    <t>Martin Berasategui ostenta el récord de ser el cocinero español con más estrellas Michelin: tiene un total de 12, a los que se suman 12 soles Repsol.</t>
  </si>
  <si>
    <t>This is the fortune of Martín Berasategui: the Spanish chef with the most Michelin stars</t>
  </si>
  <si>
    <t>Martin Berasategui holds the record of being the Spanish chef with the most Michelin stars: he has a total of 12, to which are added 12 Repsol soles.</t>
  </si>
  <si>
    <t>Culinary Excellence</t>
  </si>
  <si>
    <r>
      <rPr>
        <rFont val="Arial, sans-serif"/>
        <color rgb="FF1155CC"/>
        <sz val="9.0"/>
        <u/>
      </rPr>
      <t>El Comercio Perú</t>
    </r>
    <r>
      <rPr>
        <rFont val="Arial, sans-serif"/>
        <color rgb="FF1155CC"/>
        <sz val="15.0"/>
        <u/>
      </rPr>
      <t>Consultora FIFA: “El Semillero de El Comercio promueve una categoría fundamental”</t>
    </r>
    <r>
      <rPr>
        <rFont val="Arial, sans-serif"/>
        <color rgb="FF1155CC"/>
        <sz val="11.0"/>
        <u/>
      </rPr>
      <t>Sonia Soria, presidenta del club Olympia de España, estuvo en el Perú para un seminario organizado por el Diplomado de Gestión Deportiva de la USMP y el...</t>
    </r>
    <r>
      <rPr>
        <rFont val="Arial, sans-serif"/>
        <color rgb="FF1155CC"/>
        <sz val="12.0"/>
        <u/>
      </rPr>
      <t>.</t>
    </r>
    <r>
      <rPr>
        <rFont val="Arial, sans-serif"/>
        <color rgb="FF1155CC"/>
        <sz val="11.0"/>
        <u/>
      </rPr>
      <t>13 nov 2024</t>
    </r>
  </si>
  <si>
    <t>Consultora FIFA: “El Semillero de El Comercio promueve una categoría fundamental”</t>
  </si>
  <si>
    <t>Sonia Soria, presidenta del club Olympia de España, estuvo en el Perú para un seminario organizado por el Diplomado de Gestión Deportiva de la USMP y el....</t>
  </si>
  <si>
    <t>FIFA Consultant: “El Comercio Semillero promotes a fundamental category”</t>
  </si>
  <si>
    <t>Sonia Soria, president of the Olympia club in Spain, was in Peru for a seminar organized by the USMP Sports Management Diploma and the...</t>
  </si>
  <si>
    <r>
      <rPr>
        <rFont val="Arial, sans-serif"/>
        <color rgb="FF1155CC"/>
        <sz val="9.0"/>
        <u/>
      </rPr>
      <t>Guía Repsol</t>
    </r>
    <r>
      <rPr>
        <rFont val="Arial, sans-serif"/>
        <color rgb="FF1155CC"/>
        <sz val="15.0"/>
        <u/>
      </rPr>
      <t>Los Soles Guía Repsol vuelven a brillar en Portugal</t>
    </r>
    <r>
      <rPr>
        <rFont val="Arial, sans-serif"/>
        <color rgb="FF1155CC"/>
        <sz val="11.0"/>
        <u/>
      </rPr>
      <t>Guía Repsol estrena web de viajes y gastronomía en Portugal, redes sociales y unos Soles que harán brillar las cocinas de los mejores restaurantes lusos en.</t>
    </r>
    <r>
      <rPr>
        <rFont val="Arial, sans-serif"/>
        <color rgb="FF1155CC"/>
        <sz val="12.0"/>
        <u/>
      </rPr>
      <t>.</t>
    </r>
    <r>
      <rPr>
        <rFont val="Arial, sans-serif"/>
        <color rgb="FF1155CC"/>
        <sz val="11.0"/>
        <u/>
      </rPr>
      <t>14 nov 2024</t>
    </r>
  </si>
  <si>
    <t>Los Soles Guía Repsol vuelven a brillar en Portugal</t>
  </si>
  <si>
    <t>Guía Repsol estrena web de viajes y gastronomía en Portugal, redes sociales y unos Soles que harán brillar las cocinas de los mejores restaurantes lusos en..</t>
  </si>
  <si>
    <t>The Repsol Guide Suns shine again in Portugal</t>
  </si>
  <si>
    <t>Repsol Guide launches travel and gastronomy website in Portugal, social networks and Suns that will make the kitchens of the best Portuguese restaurants in Portugal shine.</t>
  </si>
  <si>
    <r>
      <rPr>
        <rFont val="Arial, sans-serif"/>
        <color rgb="FF1155CC"/>
        <sz val="9.0"/>
        <u/>
      </rPr>
      <t>El Diario Montañés</t>
    </r>
    <r>
      <rPr>
        <rFont val="Arial, sans-serif"/>
        <color rgb="FF1155CC"/>
        <sz val="15.0"/>
        <u/>
      </rPr>
      <t>Repsol proyecta un parque eólico con 14 aerogeneradores frente a Cabárceno</t>
    </r>
    <r>
      <rPr>
        <rFont val="Arial, sans-serif"/>
        <color rgb="FF1155CC"/>
        <sz val="11.0"/>
        <u/>
      </rPr>
      <t>Repsol ha iniciado los trámites para la creación de un parque eólico con 14 aerogeneradores y una potencia de 86 megavatios frente al Parque de ... la...</t>
    </r>
    <r>
      <rPr>
        <rFont val="Arial, sans-serif"/>
        <color rgb="FF1155CC"/>
        <sz val="12.0"/>
        <u/>
      </rPr>
      <t>.</t>
    </r>
    <r>
      <rPr>
        <rFont val="Arial, sans-serif"/>
        <color rgb="FF1155CC"/>
        <sz val="11.0"/>
        <u/>
      </rPr>
      <t>14 nov 2024</t>
    </r>
  </si>
  <si>
    <t>Repsol proyecta un parque eólico con 14 aerogeneradores frente a Cabárceno</t>
  </si>
  <si>
    <t>Repsol ha iniciado los trámites para la creación de un parque eólico con 14 aerogeneradores y una potencia de 86 megavatios frente al Parque de ... la....</t>
  </si>
  <si>
    <t>Repsol plans a wind farm with 14 wind turbines in front of Cabárceno</t>
  </si>
  <si>
    <t>Repsol has begun the procedures for the creation of a wind farm with 14 wind turbines and a power of 86 megawatts in front of the Parque de... la....</t>
  </si>
  <si>
    <t>Repsol, Wind farm, Cabárceno</t>
  </si>
  <si>
    <t>Repsol, Parque eólico, Cabárceno</t>
  </si>
  <si>
    <t>Positive, focuses on renewable energy investment.</t>
  </si>
  <si>
    <t>Strong positive for renewable energy investment</t>
  </si>
  <si>
    <t>Fuerte positivo para la inversión en energías renovables</t>
  </si>
  <si>
    <r>
      <rPr>
        <rFont val="Arial, sans-serif"/>
        <color rgb="FF1155CC"/>
        <sz val="9.0"/>
        <u/>
      </rPr>
      <t>heraldo.es</t>
    </r>
    <r>
      <rPr>
        <rFont val="Arial, sans-serif"/>
        <color rgb="FF1155CC"/>
        <sz val="15.0"/>
        <u/>
      </rPr>
      <t>Una hamburguesería con solete Repsol en Madrid se instala en el centro de Zaragoza</t>
    </r>
    <r>
      <rPr>
        <rFont val="Arial, sans-serif"/>
        <color rgb="FF1155CC"/>
        <sz val="11.0"/>
        <u/>
      </rPr>
      <t>El negocio es madrileño y en 2019 logró el título de la mejor hamburguesa de España. En el nuevo local no faltan los guiños a la capital aragonesa.</t>
    </r>
    <r>
      <rPr>
        <rFont val="Arial, sans-serif"/>
        <color rgb="FF1155CC"/>
        <sz val="12.0"/>
        <u/>
      </rPr>
      <t>.</t>
    </r>
    <r>
      <rPr>
        <rFont val="Arial, sans-serif"/>
        <color rgb="FF1155CC"/>
        <sz val="11.0"/>
        <u/>
      </rPr>
      <t>14 nov 2024</t>
    </r>
  </si>
  <si>
    <t>Una hamburguesería con solete Repsol en Madrid se instala en el centro de Zaragoza</t>
  </si>
  <si>
    <t>El negocio es madrileño y en 2019 logró el título de la mejor hamburguesa de España. En el nuevo local no faltan los guiños a la capital aragonesa.</t>
  </si>
  <si>
    <t>A hamburger restaurant with Repsol solete in Madrid is installed in the center of Zaragoza</t>
  </si>
  <si>
    <t>The business is from Madrid and in 2019 it achieved the title of the best burger in Spain. In the new location there is no shortage of nods to the Aragonese capital.</t>
  </si>
  <si>
    <r>
      <rPr>
        <rFont val="Arial, sans-serif"/>
        <color rgb="FF1155CC"/>
        <sz val="9.0"/>
        <u/>
      </rPr>
      <t>Hello Chefs</t>
    </r>
    <r>
      <rPr>
        <rFont val="Arial, sans-serif"/>
        <color rgb="FF1155CC"/>
        <sz val="15.0"/>
        <u/>
      </rPr>
      <t>Más de 50 pastelerías con sabores de siempre reciben la distinción Solete con Solera de Guía Repsol</t>
    </r>
    <r>
      <rPr>
        <rFont val="Arial, sans-serif"/>
        <color rgb="FF1155CC"/>
        <sz val="11.0"/>
        <u/>
      </rPr>
      <t>Guía Repsol ha presentado un listado de más de 330 nuevos Soletes con Solera repartidos por toda España. Soletes que homenajean la tradición y reivindican...</t>
    </r>
    <r>
      <rPr>
        <rFont val="Arial, sans-serif"/>
        <color rgb="FF1155CC"/>
        <sz val="12.0"/>
        <u/>
      </rPr>
      <t>.</t>
    </r>
    <r>
      <rPr>
        <rFont val="Arial, sans-serif"/>
        <color rgb="FF1155CC"/>
        <sz val="11.0"/>
        <u/>
      </rPr>
      <t>14 nov 2024</t>
    </r>
  </si>
  <si>
    <t>Más de 50 pastelerías con sabores de siempre reciben la distinción Solete con Solera de Guía Repsol</t>
  </si>
  <si>
    <t>Más de 50 pastelerías con sabores de siempre reciben la distinción Solete con Solera de Guía Repsol. Guía Repsol ha presentado un listado de más de 330 nuevos Soletes con Solera repartidos por toda España. Soletes que homenajean la tradición y reivindican....</t>
  </si>
  <si>
    <t>More than 50 pastry shops with traditional flavors receive the Solete con Solera distinction from the Repsol Guide</t>
  </si>
  <si>
    <t>More than 50 pastry shops with traditional flavors receive the Solete con Solera distinction from the Repsol Guide. Repsol Guide has presented a list of more than 330 new Soletes with Solera spread throughout Spain. Soletes that honor tradition and claim....</t>
  </si>
  <si>
    <r>
      <rPr>
        <rFont val="Arial, sans-serif"/>
        <color rgb="FF1155CC"/>
        <sz val="9.0"/>
        <u/>
      </rPr>
      <t>Cadena SER Andalucía Centro</t>
    </r>
    <r>
      <rPr>
        <rFont val="Arial, sans-serif"/>
        <color rgb="FF1155CC"/>
        <sz val="15.0"/>
        <u/>
      </rPr>
      <t>La Guía Repsol distingue un bar de Antequera con uno de sus ‘soletes’</t>
    </r>
    <r>
      <rPr>
        <rFont val="Arial, sans-serif"/>
        <color rgb="FF1155CC"/>
        <sz val="11.0"/>
        <u/>
      </rPr>
      <t>Reconocimiento para el Bar Toral situado en la calle Diego Ponce Antequera suma un nuevo 'Solete' a la Guía Repsol. El Bar Toral, situado en la calle...</t>
    </r>
    <r>
      <rPr>
        <rFont val="Arial, sans-serif"/>
        <color rgb="FF1155CC"/>
        <sz val="12.0"/>
        <u/>
      </rPr>
      <t>.</t>
    </r>
    <r>
      <rPr>
        <rFont val="Arial, sans-serif"/>
        <color rgb="FF1155CC"/>
        <sz val="11.0"/>
        <u/>
      </rPr>
      <t>14 nov 2024</t>
    </r>
  </si>
  <si>
    <t>Cadena SER Andalucía Centro</t>
  </si>
  <si>
    <t>La Guía Repsol distingue un bar de Antequera con uno de sus ‘soletes’</t>
  </si>
  <si>
    <t>Reconocimiento para el Bar Toral situado en la calle Diego Ponce Antequera suma un nuevo 'Solete' a la Guía Repsol.</t>
  </si>
  <si>
    <t>The Repsol Guide distinguishes a bar in Antequera with one of its 'soletes'</t>
  </si>
  <si>
    <t>Recognition for Bar Toral located on Diego Ponce Antequera Street adds a new 'Solete' to the Repsol Guide.</t>
  </si>
  <si>
    <r>
      <rPr>
        <rFont val="Arial, sans-serif"/>
        <color rgb="FF1155CC"/>
        <sz val="9.0"/>
        <u/>
      </rPr>
      <t>Crónica Vasca</t>
    </r>
    <r>
      <rPr>
        <rFont val="Arial, sans-serif"/>
        <color rgb="FF1155CC"/>
        <sz val="15.0"/>
        <u/>
      </rPr>
      <t>Este es el mejor restaurante vasco de Bizkaia según la Guía Repsol: cocina tradicional y un solete</t>
    </r>
    <r>
      <rPr>
        <rFont val="Arial, sans-serif"/>
        <color rgb="FF1155CC"/>
        <sz val="11.0"/>
        <u/>
      </rPr>
      <t>Numerosos establecimientos gastronómicos obtienen reconocimientos por sus elaboraciones y su esfuerzo constante en satisfacer a los comensales La mejor...</t>
    </r>
    <r>
      <rPr>
        <rFont val="Arial, sans-serif"/>
        <color rgb="FF1155CC"/>
        <sz val="12.0"/>
        <u/>
      </rPr>
      <t>.</t>
    </r>
    <r>
      <rPr>
        <rFont val="Arial, sans-serif"/>
        <color rgb="FF1155CC"/>
        <sz val="11.0"/>
        <u/>
      </rPr>
      <t>14 nov 2024</t>
    </r>
  </si>
  <si>
    <t>Este es el mejor restaurante vasco de Bizkaia según la Guía Repsol: cocina tradicional y un solete</t>
  </si>
  <si>
    <t>Numerosos establecimientos gastronómicos obtienen reconocimientos por sus elaboraciones y su esfuerzo constante en satisfacer a los comensales La mejor....</t>
  </si>
  <si>
    <t>This is the best Basque restaurant in Bizkaia according to the Repsol Guide: traditional cuisine and a solete</t>
  </si>
  <si>
    <t>Numerous gastronomic establishments obtain recognition for their preparations and their constant effort to satisfy diners. The best...</t>
  </si>
  <si>
    <r>
      <rPr>
        <rFont val="Arial, sans-serif"/>
        <color rgb="FF1155CC"/>
        <sz val="9.0"/>
        <u/>
      </rPr>
      <t>hoy aragón</t>
    </r>
    <r>
      <rPr>
        <rFont val="Arial, sans-serif"/>
        <color rgb="FF1155CC"/>
        <sz val="15.0"/>
        <u/>
      </rPr>
      <t>Juancho’s BBQ conquista Zaragoza: hamburguesas premiadas con 'Solete' Repsol</t>
    </r>
    <r>
      <rPr>
        <rFont val="Arial, sans-serif"/>
        <color rgb="FF1155CC"/>
        <sz val="11.0"/>
        <u/>
      </rPr>
      <t>Juancho's BBQ ofrece un menú en el que destacan sus famosas hamburguesas, elaboradas con carnes vascas de alta calidad e ingredientes frescos.</t>
    </r>
    <r>
      <rPr>
        <rFont val="Arial, sans-serif"/>
        <color rgb="FF1155CC"/>
        <sz val="12.0"/>
        <u/>
      </rPr>
      <t>.</t>
    </r>
    <r>
      <rPr>
        <rFont val="Arial, sans-serif"/>
        <color rgb="FF1155CC"/>
        <sz val="11.0"/>
        <u/>
      </rPr>
      <t>14 nov 2024</t>
    </r>
  </si>
  <si>
    <t>Juancho’s BBQ conquista Zaragoza: hamburguesas premiadas con 'Solete' Repsol</t>
  </si>
  <si>
    <t>Juancho's BBQ ofrece un menú en el que destacan sus famosas hamburguesas, elaboradas con carnes vascas de alta calidad e ingredientes frescos.</t>
  </si>
  <si>
    <t>Juancho's BBQ conquers Zaragoza: burgers awarded with 'Solete' Repsol</t>
  </si>
  <si>
    <t>Juancho's BBQ offers a menu that highlights its famous burgers, made with high-quality Basque meats and fresh ingredients.</t>
  </si>
  <si>
    <r>
      <rPr>
        <rFont val="Arial, sans-serif"/>
        <color rgb="FF1155CC"/>
        <sz val="9.0"/>
        <u/>
      </rPr>
      <t>Info Bierzo</t>
    </r>
    <r>
      <rPr>
        <rFont val="Arial, sans-serif"/>
        <color rgb="FF1155CC"/>
        <sz val="15.0"/>
        <u/>
      </rPr>
      <t>El restaurante El Bierzo de Madrid consigue el reconocimiento 'Soletes con Solera' de Repsol</t>
    </r>
    <r>
      <rPr>
        <rFont val="Arial, sans-serif"/>
        <color rgb="FF1155CC"/>
        <sz val="11.0"/>
        <u/>
      </rPr>
      <t>La Guía Repsol presentaba el pasado lunes un nuevo listado con más de 300 nuevos 'Soletes con Solera' repartidos por toda España. Un listado en el que pode.</t>
    </r>
    <r>
      <rPr>
        <rFont val="Arial, sans-serif"/>
        <color rgb="FF1155CC"/>
        <sz val="12.0"/>
        <u/>
      </rPr>
      <t>.</t>
    </r>
    <r>
      <rPr>
        <rFont val="Arial, sans-serif"/>
        <color rgb="FF1155CC"/>
        <sz val="11.0"/>
        <u/>
      </rPr>
      <t>14 nov 2024</t>
    </r>
  </si>
  <si>
    <t>El restaurante El Bierzo de Madrid consigue el reconocimiento 'Soletes con Solera' de Repsol</t>
  </si>
  <si>
    <t>El restaurante El Bierzo de Madrid consigue el reconocimiento 'Soletes con Solera' de Repsol.</t>
  </si>
  <si>
    <t>The El Bierzo restaurant in Madrid receives the 'Soletes con Solera' recognition from Repsol</t>
  </si>
  <si>
    <t>The El Bierzo restaurant in Madrid achieves the 'Soletes con Solera' recognition from Repsol.</t>
  </si>
  <si>
    <r>
      <rPr>
        <rFont val="Arial, sans-serif"/>
        <color rgb="FF1155CC"/>
        <sz val="9.0"/>
        <u/>
      </rPr>
      <t>Diario de Jerez</t>
    </r>
    <r>
      <rPr>
        <rFont val="Arial, sans-serif"/>
        <color rgb="FF1155CC"/>
        <sz val="15.0"/>
        <u/>
      </rPr>
      <t>Esta es la venta de Medina-Sidonia que consigue un 'Solete con solera' de la Guía Repsol</t>
    </r>
    <r>
      <rPr>
        <rFont val="Arial, sans-serif"/>
        <color rgb="FF1155CC"/>
        <sz val="11.0"/>
        <u/>
      </rPr>
      <t>La conocida Venta El Soldao consigue un solete de la prestigiosa Guía Repsol.</t>
    </r>
    <r>
      <rPr>
        <rFont val="Arial, sans-serif"/>
        <color rgb="FF1155CC"/>
        <sz val="12.0"/>
        <u/>
      </rPr>
      <t>.</t>
    </r>
    <r>
      <rPr>
        <rFont val="Arial, sans-serif"/>
        <color rgb="FF1155CC"/>
        <sz val="11.0"/>
        <u/>
      </rPr>
      <t>14 nov 2024</t>
    </r>
  </si>
  <si>
    <t>Esta es la venta de Medina-Sidonia que consigue un 'Solete con solera' de la Guía Repsol</t>
  </si>
  <si>
    <t>La conocida Venta El Soldao consigue un solete de la prestigiosa Guía Repsol.</t>
  </si>
  <si>
    <t>This is the Medina-Sidonia sale that gets a 'Solete con solera' from the Repsol Guide</t>
  </si>
  <si>
    <t>The well-known Venta El Soldao gets a solete from the prestigious Repsol Guide.</t>
  </si>
  <si>
    <r>
      <rPr>
        <rFont val="Arial, sans-serif"/>
        <color rgb="FF1155CC"/>
        <sz val="9.0"/>
        <u/>
      </rPr>
      <t>El Economista</t>
    </r>
    <r>
      <rPr>
        <rFont val="Arial, sans-serif"/>
        <color rgb="FF1155CC"/>
        <sz val="15.0"/>
        <u/>
      </rPr>
      <t>El petróleo del país con más reservas del mundo resurge con España como protagonista: el crudo con el que nadie contaba ha vuelto</t>
    </r>
    <r>
      <rPr>
        <rFont val="Arial, sans-serif"/>
        <color rgb="FF1155CC"/>
        <sz val="11.0"/>
        <u/>
      </rPr>
      <t>Una de las gestiones más cuestionables en la historia del petróleo se ha podido presenciar en un país que tiene importantísimos lazos ...</t>
    </r>
    <r>
      <rPr>
        <rFont val="Arial, sans-serif"/>
        <color rgb="FF1155CC"/>
        <sz val="12.0"/>
        <u/>
      </rPr>
      <t>.</t>
    </r>
    <r>
      <rPr>
        <rFont val="Arial, sans-serif"/>
        <color rgb="FF1155CC"/>
        <sz val="11.0"/>
        <u/>
      </rPr>
      <t>14 nov 2024</t>
    </r>
  </si>
  <si>
    <t>El petróleo del país con más reservas del mundo resurge con España como protagonista: el crudo con el que nadie contaba ha vuelto</t>
  </si>
  <si>
    <t>El petróleo del país con más reservas del mundo resurge con España como protagonista: el crudo con el que nadie contaba ha vuelto. Una de las gestiones más cuestionables en la historia del petróleo se ha podido presenciar en un país que tiene importantísimos lazos ....</t>
  </si>
  <si>
    <t>The oil of the country with the most reserves in the world resurfaces with Spain as the protagonist: the crude oil that no one counted on has returned</t>
  </si>
  <si>
    <t>The oil of the country with the most reserves in the world resurfaces with Spain as the protagonist: the crude oil that no one counted on has returned. One of the most questionable managements in the history of oil has been witnessed in a country that has very important ties....</t>
  </si>
  <si>
    <t>Oil, Spain, Reserves</t>
  </si>
  <si>
    <t>Petróleo, España, Reservas</t>
  </si>
  <si>
    <t>Negative, highlights a controversial oil industry comeback.</t>
  </si>
  <si>
    <t>Oil market analysis</t>
  </si>
  <si>
    <t>Análisis del mercado petrolero</t>
  </si>
  <si>
    <r>
      <rPr>
        <rFont val="Arial, sans-serif"/>
        <color rgb="FF1155CC"/>
        <sz val="9.0"/>
        <u/>
      </rPr>
      <t>Guía Repsol</t>
    </r>
    <r>
      <rPr>
        <rFont val="Arial, sans-serif"/>
        <color rgb="FF1155CC"/>
        <sz val="15.0"/>
        <u/>
      </rPr>
      <t>Los restaurantes y productos típicos de Granada que no dejan a nadie indiferente</t>
    </r>
    <r>
      <rPr>
        <rFont val="Arial, sans-serif"/>
        <color rgb="FF1155CC"/>
        <sz val="11.0"/>
        <u/>
      </rPr>
      <t>Desde sus verduras y frutas cuidadas por los agricultores de la zona de Motril hasta el aceite con D.O. de Poniente pasando por una bodega joven ubicada en...</t>
    </r>
    <r>
      <rPr>
        <rFont val="Arial, sans-serif"/>
        <color rgb="FF1155CC"/>
        <sz val="12.0"/>
        <u/>
      </rPr>
      <t>.</t>
    </r>
    <r>
      <rPr>
        <rFont val="Arial, sans-serif"/>
        <color rgb="FF1155CC"/>
        <sz val="11.0"/>
        <u/>
      </rPr>
      <t>14 nov 2024</t>
    </r>
  </si>
  <si>
    <t>Los restaurantes y productos típicos de Granada que no dejan a nadie indiferente</t>
  </si>
  <si>
    <t>Desde sus verduras y frutas cuidadas por los agricultores de la zona de Motril hasta el aceite con D.O. de Poniente pasando por una bodega joven ubicada en....</t>
  </si>
  <si>
    <t>The restaurants and typical products of Granada that leave no one indifferent</t>
  </si>
  <si>
    <t>From its vegetables and fruits cared for by farmers in the Motril area to the D.O. of Poniente passing through a young winery located in....</t>
  </si>
  <si>
    <r>
      <rPr>
        <rFont val="Arial, sans-serif"/>
        <color rgb="FF1155CC"/>
        <sz val="9.0"/>
        <u/>
      </rPr>
      <t>El Español</t>
    </r>
    <r>
      <rPr>
        <rFont val="Arial, sans-serif"/>
        <color rgb="FF1155CC"/>
        <sz val="15.0"/>
        <u/>
      </rPr>
      <t>El bar histórico de Zaragoza con Solete Repsol donde se inventó el jamón batido: una de las tapas más deliciosas de Aragón</t>
    </r>
    <r>
      <rPr>
        <rFont val="Arial, sans-serif"/>
        <color rgb="FF1155CC"/>
        <sz val="11.0"/>
        <u/>
      </rPr>
      <t>Este bar tradicional de Zaragoza conocido por una de las tapas más deliciosas y tradicionales de la capital, consigue uno de los nuevos Soletes.</t>
    </r>
    <r>
      <rPr>
        <rFont val="Arial, sans-serif"/>
        <color rgb="FF1155CC"/>
        <sz val="12.0"/>
        <u/>
      </rPr>
      <t>.</t>
    </r>
    <r>
      <rPr>
        <rFont val="Arial, sans-serif"/>
        <color rgb="FF1155CC"/>
        <sz val="11.0"/>
        <u/>
      </rPr>
      <t>14 nov 2024</t>
    </r>
  </si>
  <si>
    <t>El bar histórico de Zaragoza con Solete Repsol donde se inventó el jamón batido: una de las tapas más deliciosas de Aragón</t>
  </si>
  <si>
    <t>Este bar tradicional de Zaragoza conocido por una de las tapas más deliciosas y tradicionales de la capital, consigue uno de los nuevos Soletes.</t>
  </si>
  <si>
    <t>The historic bar in Zaragoza with Solete Repsol where beaten ham was invented: one of the most delicious tapas in Aragon</t>
  </si>
  <si>
    <t>This traditional Zaragoza bar known for one of the most delicious and traditional tapas in the capital, gets one of the new Soletes.</t>
  </si>
  <si>
    <r>
      <rPr>
        <rFont val="Arial, sans-serif"/>
        <color rgb="FF1155CC"/>
        <sz val="9.0"/>
        <u/>
      </rPr>
      <t>heraldo.es</t>
    </r>
    <r>
      <rPr>
        <rFont val="Arial, sans-serif"/>
        <color rgb="FF1155CC"/>
        <sz val="15.0"/>
        <u/>
      </rPr>
      <t>Imágenes: Fotos | La nueva hamburguesería con solete Repsol en Madrid se instala en Zaragoza</t>
    </r>
    <r>
      <rPr>
        <rFont val="Arial, sans-serif"/>
        <color rgb="FF1155CC"/>
        <sz val="11.0"/>
        <u/>
      </rPr>
      <t>El negocio es madrileño y en 2019 logró el título de la mejor hamburguesa de España. En el nuevo local no faltan los guiños a la capital aragonesa.</t>
    </r>
    <r>
      <rPr>
        <rFont val="Arial, sans-serif"/>
        <color rgb="FF1155CC"/>
        <sz val="12.0"/>
        <u/>
      </rPr>
      <t>.</t>
    </r>
    <r>
      <rPr>
        <rFont val="Arial, sans-serif"/>
        <color rgb="FF1155CC"/>
        <sz val="11.0"/>
        <u/>
      </rPr>
      <t>14 nov 2024</t>
    </r>
  </si>
  <si>
    <t>La nueva hamburguesería con solete Repsol en Madrid se instala en Zaragoza</t>
  </si>
  <si>
    <t>The new hamburger restaurant with Repsol solete in Madrid is installed in Zaragoza</t>
  </si>
  <si>
    <r>
      <rPr>
        <rFont val="Arial, sans-serif"/>
        <color rgb="FF1155CC"/>
        <sz val="9.0"/>
        <u/>
      </rPr>
      <t>Guía Repsol</t>
    </r>
    <r>
      <rPr>
        <rFont val="Arial, sans-serif"/>
        <color rgb="FF1155CC"/>
        <sz val="15.0"/>
        <u/>
      </rPr>
      <t>Estos son los 12 pueblos más bonitos de Zaragoza que debes conocer</t>
    </r>
    <r>
      <rPr>
        <rFont val="Arial, sans-serif"/>
        <color rgb="FF1155CC"/>
        <sz val="11.0"/>
        <u/>
      </rPr>
      <t>Recorremos algunos de los pueblos más bonitos de Zaragoza, plagados de historia, patrimonio, leyendas y postales tan inesperadas que parecen propias de...</t>
    </r>
    <r>
      <rPr>
        <rFont val="Arial, sans-serif"/>
        <color rgb="FF1155CC"/>
        <sz val="12.0"/>
        <u/>
      </rPr>
      <t>.</t>
    </r>
    <r>
      <rPr>
        <rFont val="Arial, sans-serif"/>
        <color rgb="FF1155CC"/>
        <sz val="11.0"/>
        <u/>
      </rPr>
      <t>14 nov 2024</t>
    </r>
  </si>
  <si>
    <t>Estos son los 12 pueblos más bonitos de Zaragoza que debes conocer</t>
  </si>
  <si>
    <t>Recorremos algunos de los pueblos más bonitos de Zaragoza, plagados de historia, patrimonio, leyendas y postales tan inesperadas que parecen propias de....</t>
  </si>
  <si>
    <t>These are the 12 most beautiful towns in Zaragoza that you should know</t>
  </si>
  <si>
    <t>We tour some of the most beautiful towns in Zaragoza, full of history, heritage, legends and postcards so unexpected that they seem typical of...</t>
  </si>
  <si>
    <r>
      <rPr>
        <rFont val="Arial, sans-serif"/>
        <color rgb="FF1155CC"/>
        <sz val="9.0"/>
        <u/>
      </rPr>
      <t>El Español</t>
    </r>
    <r>
      <rPr>
        <rFont val="Arial, sans-serif"/>
        <color rgb="FF1155CC"/>
        <sz val="15.0"/>
        <u/>
      </rPr>
      <t>El restaurante de un pueblo de Guadalajara con 10 habitantes que recomienda la Guía Repsol: ideal para perderse</t>
    </r>
    <r>
      <rPr>
        <rFont val="Arial, sans-serif"/>
        <color rgb="FF1155CC"/>
        <sz val="11.0"/>
        <u/>
      </rPr>
      <t>El establecimiento, ubicado en plena naturaleza, ofrece comida de autor y dispone de un menú diferente cada día. Más información: Auténticos y baratos: 22...</t>
    </r>
    <r>
      <rPr>
        <rFont val="Arial, sans-serif"/>
        <color rgb="FF1155CC"/>
        <sz val="12.0"/>
        <u/>
      </rPr>
      <t>.</t>
    </r>
    <r>
      <rPr>
        <rFont val="Arial, sans-serif"/>
        <color rgb="FF1155CC"/>
        <sz val="11.0"/>
        <u/>
      </rPr>
      <t>14 nov 2024</t>
    </r>
  </si>
  <si>
    <t>El restaurante de un pueblo de Guadalajara con 10 habitantes que recomienda la Guía Repsol: ideal para perderse</t>
  </si>
  <si>
    <t>El establecimiento, ubicado en plena naturaleza, ofrece comida de autor y dispone de un menú diferente cada día. Más información: Auténticos y baratos: 22....</t>
  </si>
  <si>
    <t>The restaurant in a town in Guadalajara with 10 inhabitants that the Repsol Guide recommends: ideal to get lost in</t>
  </si>
  <si>
    <t>The establishment, located in the middle of nature, offers signature food and has a different menu every day. More information: Authentic and cheap: 22....</t>
  </si>
  <si>
    <r>
      <rPr>
        <rFont val="Arial, sans-serif"/>
        <color rgb="FF1155CC"/>
        <sz val="9.0"/>
        <u/>
      </rPr>
      <t>El Español</t>
    </r>
    <r>
      <rPr>
        <rFont val="Arial, sans-serif"/>
        <color rgb="FF1155CC"/>
        <sz val="15.0"/>
        <u/>
      </rPr>
      <t>El restaurante de Valladolid que cocina el mejor pincho del mundo: con tapas desde 5€ y premiado por la Guía Repsol</t>
    </r>
    <r>
      <rPr>
        <rFont val="Arial, sans-serif"/>
        <color rgb="FF1155CC"/>
        <sz val="11.0"/>
        <u/>
      </rPr>
      <t>Teo Rodríguez, chef del establecimiento vallisoletano, ha ganado el VIII Campeonato Mundial de Tapas. Más información: 6 platos de 6 restaurantes de...</t>
    </r>
    <r>
      <rPr>
        <rFont val="Arial, sans-serif"/>
        <color rgb="FF1155CC"/>
        <sz val="12.0"/>
        <u/>
      </rPr>
      <t>.</t>
    </r>
    <r>
      <rPr>
        <rFont val="Arial, sans-serif"/>
        <color rgb="FF1155CC"/>
        <sz val="11.0"/>
        <u/>
      </rPr>
      <t>14 nov 2024</t>
    </r>
  </si>
  <si>
    <t>El restaurante de Valladolid que cocina el mejor pincho del mundo: con tapas desde 5€ y premiado por la Guía Repsol</t>
  </si>
  <si>
    <t>Teo Rodríguez, chef del establecimiento vallisoletano, ha ganado el VIII Campeonato Mundial de Tapas. Más información: 6 platos de 6 restaurantes de....</t>
  </si>
  <si>
    <t>The restaurant in Valladolid that cooks the best pincho in the world: with tapas from €5 and awarded by the Repsol Guide</t>
  </si>
  <si>
    <t>Teo Rodríguez, chef of the Valladolid establishment, has won the VIII World Tapas Championship. More information: 6 dishes from 6 restaurants in....</t>
  </si>
  <si>
    <r>
      <rPr>
        <rFont val="Arial, sans-serif"/>
        <color rgb="FF1155CC"/>
        <sz val="9.0"/>
        <u/>
      </rPr>
      <t>El Norte de Castilla</t>
    </r>
    <r>
      <rPr>
        <rFont val="Arial, sans-serif"/>
        <color rgb="FF1155CC"/>
        <sz val="15.0"/>
        <u/>
      </rPr>
      <t>Estos son los 47 establecimientos de Palencia con un 'Solete' de Repsol</t>
    </r>
    <r>
      <rPr>
        <rFont val="Arial, sans-serif"/>
        <color rgb="FF1155CC"/>
        <sz val="11.0"/>
        <u/>
      </rPr>
      <t>La Guía Repsol anunció hace unos días su listado con más de 300 nuevos 'Soletes con Solera' repartidos por toda España, de los que seis corresponden a...</t>
    </r>
    <r>
      <rPr>
        <rFont val="Arial, sans-serif"/>
        <color rgb="FF1155CC"/>
        <sz val="12.0"/>
        <u/>
      </rPr>
      <t>.</t>
    </r>
    <r>
      <rPr>
        <rFont val="Arial, sans-serif"/>
        <color rgb="FF1155CC"/>
        <sz val="11.0"/>
        <u/>
      </rPr>
      <t>15 nov 2024</t>
    </r>
  </si>
  <si>
    <t>Estos son los 47 establecimientos de Palencia con un 'Solete' de Repsol</t>
  </si>
  <si>
    <t>La Guía Repsol anunció hace unos días su listado con más de 300 nuevos 'Soletes con Solera' repartidos por toda España, de los que seis corresponden a....</t>
  </si>
  <si>
    <t>These are the 47 establishments in Palencia with a Repsol 'Solete'</t>
  </si>
  <si>
    <t>The Repsol Guide announced a few days ago its list with more than 300 new 'Soletes con Solera' spread throughout Spain, of which six correspond to...</t>
  </si>
  <si>
    <r>
      <rPr>
        <rFont val="Arial, sans-serif"/>
        <color rgb="FF1155CC"/>
        <sz val="9.0"/>
        <u/>
      </rPr>
      <t>Valenciabonita</t>
    </r>
    <r>
      <rPr>
        <rFont val="Arial, sans-serif"/>
        <color rgb="FF1155CC"/>
        <sz val="15.0"/>
        <u/>
      </rPr>
      <t>Soletes Guía Repsol 2024 en la Comunitat Valenciana: estos son los nuevos restaurantes</t>
    </r>
    <r>
      <rPr>
        <rFont val="Arial, sans-serif"/>
        <color rgb="FF1155CC"/>
        <sz val="11.0"/>
        <u/>
      </rPr>
      <t>Tradición y territorio protagonizan el listado de Soletes Guía Repsol 2024, que añade 17 nuevos locales premiados en la Comunitat Valenciana.</t>
    </r>
    <r>
      <rPr>
        <rFont val="Arial, sans-serif"/>
        <color rgb="FF1155CC"/>
        <sz val="12.0"/>
        <u/>
      </rPr>
      <t>.</t>
    </r>
    <r>
      <rPr>
        <rFont val="Arial, sans-serif"/>
        <color rgb="FF1155CC"/>
        <sz val="11.0"/>
        <u/>
      </rPr>
      <t>15 nov 2024</t>
    </r>
  </si>
  <si>
    <t>Valenciabonita</t>
  </si>
  <si>
    <t>Soletes Guía Repsol 2024 en la Comunitat Valenciana: estos son los nuevos restaurantes</t>
  </si>
  <si>
    <t>Tradición y territorio protagonizan el listado de Soletes Guía Repsol 2024, que añade 17 nuevos locales premiados en la Comunitat Valenciana.</t>
  </si>
  <si>
    <t>Soletes Repsol Guide 2024 in the Valencian Community: these are the new restaurants</t>
  </si>
  <si>
    <t>Tradition and territory star in the list of Repsol Guide Soletes 2024, which adds 17 new award-winning establishments in the Valencian Community.</t>
  </si>
  <si>
    <r>
      <rPr>
        <rFont val="Arial, sans-serif"/>
        <color rgb="FF1155CC"/>
        <sz val="9.0"/>
        <u/>
      </rPr>
      <t>Europa Press</t>
    </r>
    <r>
      <rPr>
        <rFont val="Arial, sans-serif"/>
        <color rgb="FF1155CC"/>
        <sz val="15.0"/>
        <u/>
      </rPr>
      <t>El comité de Repsol Lubricantes y Asfaltos en Puertollano desconvoca la huelga por "miedo" a perder empleos</t>
    </r>
    <r>
      <rPr>
        <rFont val="Arial, sans-serif"/>
        <color rgb="FF1155CC"/>
        <sz val="11.0"/>
        <u/>
      </rPr>
      <t>PUERTOLLANO (CIUDAD REAL), 15 (EUROPA PRESS) El comité de empresa de Repsol Lubricantes y Asfaltos de...</t>
    </r>
    <r>
      <rPr>
        <rFont val="Arial, sans-serif"/>
        <color rgb="FF1155CC"/>
        <sz val="12.0"/>
        <u/>
      </rPr>
      <t>.</t>
    </r>
    <r>
      <rPr>
        <rFont val="Arial, sans-serif"/>
        <color rgb="FF1155CC"/>
        <sz val="11.0"/>
        <u/>
      </rPr>
      <t>15 nov 2024</t>
    </r>
  </si>
  <si>
    <t>El comité de Repsol Lubricantes y Asfaltos en Puertollano desconvoca la huelga por "miedo" a perder empleos</t>
  </si>
  <si>
    <t>El comité de empresa de Repsol Lubricantes y Asfaltos de Puertollano desconvoca la huelga por "miedo" a perder empleos.</t>
  </si>
  <si>
    <t>The Repsol Lubricantes and Asfaltos committee in Puertollano calls off the strike due to "fear" of losing jobs</t>
  </si>
  <si>
    <t>The company committee of Repsol Lubricantes y Asfaltos de Puertollano calls off the strike for "fear" of losing jobs.</t>
  </si>
  <si>
    <t>Repsol, Puertollano, Strike</t>
  </si>
  <si>
    <t>Repsol, Puertollano, Huelga</t>
  </si>
  <si>
    <t>Negative, highlights labor issues and workplace tensions.</t>
  </si>
  <si>
    <t>desconvoca huelga</t>
  </si>
  <si>
    <t>Positive labor resolution</t>
  </si>
  <si>
    <t>Resolución laboral positiva</t>
  </si>
  <si>
    <r>
      <rPr>
        <rFont val="Arial, sans-serif"/>
        <color rgb="FF1155CC"/>
        <sz val="9.0"/>
        <u/>
      </rPr>
      <t>heraldo.es</t>
    </r>
    <r>
      <rPr>
        <rFont val="Arial, sans-serif"/>
        <color rgb="FF1155CC"/>
        <sz val="15.0"/>
        <u/>
      </rPr>
      <t>Los restaurantes de Zaragoza que han ganado un Solete con Solera de la Guía Repsol esta semana</t>
    </r>
    <r>
      <rPr>
        <rFont val="Arial, sans-serif"/>
        <color rgb="FF1155CC"/>
        <sz val="11.0"/>
        <u/>
      </rPr>
      <t>Estos son los cinco establecimientos de la capital aragonesa que este lunes 11 de noviembre han recibido este distintivo amarillo como reconocimiento a las...</t>
    </r>
    <r>
      <rPr>
        <rFont val="Arial, sans-serif"/>
        <color rgb="FF1155CC"/>
        <sz val="12.0"/>
        <u/>
      </rPr>
      <t>.</t>
    </r>
    <r>
      <rPr>
        <rFont val="Arial, sans-serif"/>
        <color rgb="FF1155CC"/>
        <sz val="11.0"/>
        <u/>
      </rPr>
      <t>15 nov 2024</t>
    </r>
  </si>
  <si>
    <t>Los restaurantes de Zaragoza que han ganado un Solete con Solera de la Guía Repsol esta semana</t>
  </si>
  <si>
    <t>Estos son los cinco establecimientos de la capital aragonesa que este lunes 11 de noviembre han recibido este distintivo amarillo como reconocimiento a las....</t>
  </si>
  <si>
    <t>The Zaragoza restaurants that have won a Solete con Solera from the Repsol Guide this week</t>
  </si>
  <si>
    <t>These are the five establishments in the Aragonese capital that this Monday, November 11, received this yellow badge in recognition of the...</t>
  </si>
  <si>
    <r>
      <rPr>
        <rFont val="Arial, sans-serif"/>
        <color rgb="FF1155CC"/>
        <sz val="9.0"/>
        <u/>
      </rPr>
      <t>Repsol</t>
    </r>
    <r>
      <rPr>
        <rFont val="Arial, sans-serif"/>
        <color rgb="FF1155CC"/>
        <sz val="15.0"/>
        <u/>
      </rPr>
      <t>¿Qué aparcamientos deben tener cargadores eléctricos?</t>
    </r>
    <r>
      <rPr>
        <rFont val="Arial, sans-serif"/>
        <color rgb="FF1155CC"/>
        <sz val="11.0"/>
        <u/>
      </rPr>
      <t>Sabes en qué tipos de aparcamientos es obligatorio instalar cargadores eléctricos? En este post te contamos la normativa, ¡haz clic!</t>
    </r>
    <r>
      <rPr>
        <rFont val="Arial, sans-serif"/>
        <color rgb="FF1155CC"/>
        <sz val="12.0"/>
        <u/>
      </rPr>
      <t>.</t>
    </r>
    <r>
      <rPr>
        <rFont val="Arial, sans-serif"/>
        <color rgb="FF1155CC"/>
        <sz val="11.0"/>
        <u/>
      </rPr>
      <t>15 nov 2024</t>
    </r>
  </si>
  <si>
    <t>¿Qué aparcamientos deben tener cargadores eléctricos?</t>
  </si>
  <si>
    <t>Sabes en qué tipos de aparcamientos es obligatorio instalar cargadores eléctricos? En este post te contamos la normativa, ¡haz clic!.</t>
  </si>
  <si>
    <t>Which car parks should have electric chargers?</t>
  </si>
  <si>
    <t>Do you know in which types of parking it is mandatory to install electric chargers? In this post we tell you the regulations, click!</t>
  </si>
  <si>
    <r>
      <rPr>
        <rFont val="Arial, sans-serif"/>
        <color rgb="FF1155CC"/>
        <sz val="9.0"/>
        <u/>
      </rPr>
      <t>Motor EL PAÍS</t>
    </r>
    <r>
      <rPr>
        <rFont val="Arial, sans-serif"/>
        <color rgb="FF1155CC"/>
        <sz val="15.0"/>
        <u/>
      </rPr>
      <t>El nuevo y revolucionario combustible que llega a las gasolineras</t>
    </r>
    <r>
      <rPr>
        <rFont val="Arial, sans-serif"/>
        <color rgb="FF1155CC"/>
        <sz val="11.0"/>
        <u/>
      </rPr>
      <t>Estará disponible antes de acabar el año en 600 estaciones de servicio y tiene unas características muy especiales. Repsol.</t>
    </r>
    <r>
      <rPr>
        <rFont val="Arial, sans-serif"/>
        <color rgb="FF1155CC"/>
        <sz val="12.0"/>
        <u/>
      </rPr>
      <t>.</t>
    </r>
    <r>
      <rPr>
        <rFont val="Arial, sans-serif"/>
        <color rgb="FF1155CC"/>
        <sz val="11.0"/>
        <u/>
      </rPr>
      <t>15 nov 2024</t>
    </r>
  </si>
  <si>
    <t>El PAÍS</t>
  </si>
  <si>
    <t>El nuevo y revolucionario combustible que llega a las gasolineras</t>
  </si>
  <si>
    <t>Estará disponible antes de acabar el año en 600 estaciones de servicio y tiene unas características muy especiales. Repsol.</t>
  </si>
  <si>
    <t>The new and revolutionary fuel that reaches gas stations</t>
  </si>
  <si>
    <t>It will be available before the end of the year in 600 service stations and has very special characteristics. Repsol.</t>
  </si>
  <si>
    <t>Repsol, Eco-friendly fuel, Gas stations</t>
  </si>
  <si>
    <t>Repsol, “Combustible ecológico”, “Gasolineras”</t>
  </si>
  <si>
    <t>Positive, focuses on sustainable energy solutions.</t>
  </si>
  <si>
    <t>revolucionario combustible</t>
  </si>
  <si>
    <t>Strong positive for innovation</t>
  </si>
  <si>
    <t>Fuerte positivo para la innovación</t>
  </si>
  <si>
    <r>
      <rPr>
        <rFont val="Arial, sans-serif"/>
        <color rgb="FF1155CC"/>
        <sz val="9.0"/>
        <u/>
      </rPr>
      <t>El Cierre Digital</t>
    </r>
    <r>
      <rPr>
        <rFont val="Arial, sans-serif"/>
        <color rgb="FF1155CC"/>
        <sz val="15.0"/>
        <u/>
      </rPr>
      <t>Pedro Sánchez, sin socios en su reforma fiscal: Alegría para Repsol y Colonial</t>
    </r>
    <r>
      <rPr>
        <rFont val="Arial, sans-serif"/>
        <color rgb="FF1155CC"/>
        <sz val="11.0"/>
        <u/>
      </rPr>
      <t>Los planes económicos de Pedro Sánchez se encuentran en minoría por la decisión de Junts per Catalunya y PNV de contentar a empresas con intereses en...</t>
    </r>
    <r>
      <rPr>
        <rFont val="Arial, sans-serif"/>
        <color rgb="FF1155CC"/>
        <sz val="12.0"/>
        <u/>
      </rPr>
      <t>.</t>
    </r>
    <r>
      <rPr>
        <rFont val="Arial, sans-serif"/>
        <color rgb="FF1155CC"/>
        <sz val="11.0"/>
        <u/>
      </rPr>
      <t>15 nov 2024</t>
    </r>
  </si>
  <si>
    <t>Pedro Sánchez, sin socios en su reforma fiscal: Alegría para Repsol y Colonial</t>
  </si>
  <si>
    <t>Los planes económicos de Pedro Sánchez se encuentran en minoría por la decisión de Junts per Catalunya y PNV de contentar a empresas con intereses en....</t>
  </si>
  <si>
    <t>Pedro Sánchez, without partners in his tax reform: Joy for Repsol and Colonial</t>
  </si>
  <si>
    <t>Pedro Sánchez's economic plans are in the minority due to the decision of Junts per Catalunya and PNV to satisfy companies with interests in....</t>
  </si>
  <si>
    <t>Pedro Sánchez, Repsol, Tax reform</t>
  </si>
  <si>
    <t>Pedro Sánchez, Repsol, Reforma fiscal</t>
  </si>
  <si>
    <t>Negative, discussing political challenges and opposition to tax reform affecting energy companies.</t>
  </si>
  <si>
    <t>Alegría para Repsol</t>
  </si>
  <si>
    <t>Positive policy outcome</t>
  </si>
  <si>
    <t>Resultado político positivo</t>
  </si>
  <si>
    <r>
      <rPr>
        <rFont val="Arial, sans-serif"/>
        <color rgb="FF1155CC"/>
        <sz val="9.0"/>
        <u/>
      </rPr>
      <t>El Español</t>
    </r>
    <r>
      <rPr>
        <rFont val="Arial, sans-serif"/>
        <color rgb="FF1155CC"/>
        <sz val="15.0"/>
        <u/>
      </rPr>
      <t>La Guía Repsol premia la tradición en Santiago con dos 'Soletes': "No esperaba que fuese tan rápido"</t>
    </r>
    <r>
      <rPr>
        <rFont val="Arial, sans-serif"/>
        <color rgb="FF1155CC"/>
        <sz val="11.0"/>
        <u/>
      </rPr>
      <t>La taberna centenaria O Gato Negro y la bocatería Chichalovers han sido distinguidas con los 'Soletes con Solera', un reconocimiento a los negocios.</t>
    </r>
    <r>
      <rPr>
        <rFont val="Arial, sans-serif"/>
        <color rgb="FF1155CC"/>
        <sz val="12.0"/>
        <u/>
      </rPr>
      <t>.</t>
    </r>
    <r>
      <rPr>
        <rFont val="Arial, sans-serif"/>
        <color rgb="FF1155CC"/>
        <sz val="11.0"/>
        <u/>
      </rPr>
      <t>15 nov 2024</t>
    </r>
  </si>
  <si>
    <t>La Guía Repsol premia la tradición en Santiago con dos 'Soletes': "No esperaba que fuese tan rápido"</t>
  </si>
  <si>
    <t>La taberna centenaria O Gato Negro y la bocatería Chichalovers han sido distinguidas con los 'Soletes con Solera', un reconocimiento a los negocios.</t>
  </si>
  <si>
    <t>The Repsol Guide rewards tradition in Santiago with two 'Soletes': "I didn't expect it to be so fast"</t>
  </si>
  <si>
    <t>The century-old tavern O Gato Negro and the Chichalovers snack bar have been awarded the 'Soletes con Solera', a recognition of business.</t>
  </si>
  <si>
    <r>
      <rPr>
        <rFont val="Arial, sans-serif"/>
        <color rgb="FF1155CC"/>
        <sz val="9.0"/>
        <u/>
      </rPr>
      <t>Energías Renovables, el periodismo de las energías limpias.</t>
    </r>
    <r>
      <rPr>
        <rFont val="Arial, sans-serif"/>
        <color rgb="FF1155CC"/>
        <sz val="15.0"/>
        <u/>
      </rPr>
      <t>El PP da el último paso para acabar con el impuesto del 1,2% a las energéticas</t>
    </r>
    <r>
      <rPr>
        <rFont val="Arial, sans-serif"/>
        <color rgb="FF1155CC"/>
        <sz val="11.0"/>
        <u/>
      </rPr>
      <t>El impuesto del 1,2% a las compañías energéticas, que se ha sustanciado en una recaudación de 1.164 millones de euros correspondientes a 2023, solo afecta a...</t>
    </r>
    <r>
      <rPr>
        <rFont val="Arial, sans-serif"/>
        <color rgb="FF1155CC"/>
        <sz val="12.0"/>
        <u/>
      </rPr>
      <t>.</t>
    </r>
    <r>
      <rPr>
        <rFont val="Arial, sans-serif"/>
        <color rgb="FF1155CC"/>
        <sz val="11.0"/>
        <u/>
      </rPr>
      <t>15 nov 2024</t>
    </r>
  </si>
  <si>
    <t>El PP da el último paso para acabar con el impuesto del 1,2% a las energéticas</t>
  </si>
  <si>
    <t>El impuesto del 1,2% a las compañías energéticas, que se ha sustanciado en una recaudación de 1.164 millones de euros correspondientes a 2023, solo afecta a....</t>
  </si>
  <si>
    <t>The PP takes the last step to end the 1.2% tax on energy companies</t>
  </si>
  <si>
    <t>The 1.2% tax on energy companies, which has resulted in a collection of 1,164 million euros corresponding to 2023, only affects...</t>
  </si>
  <si>
    <t>PP, Tax, Energy companies</t>
  </si>
  <si>
    <t>PP, “Tributos”, “Empresas energéticas”</t>
  </si>
  <si>
    <t>Negative, discusses the political steps to remove a controversial tax impacting energy companies.</t>
  </si>
  <si>
    <t>Political process</t>
  </si>
  <si>
    <t>Proceso politico</t>
  </si>
  <si>
    <r>
      <rPr>
        <rFont val="Arial, sans-serif"/>
        <color rgb="FF1155CC"/>
        <sz val="9.0"/>
        <u/>
      </rPr>
      <t>Guía Repsol</t>
    </r>
    <r>
      <rPr>
        <rFont val="Arial, sans-serif"/>
        <color rgb="FF1155CC"/>
        <sz val="15.0"/>
        <u/>
      </rPr>
      <t>Este bar de Granada luce el cartel de reservado y está en boca de todos</t>
    </r>
    <r>
      <rPr>
        <rFont val="Arial, sans-serif"/>
        <color rgb="FF1155CC"/>
        <sz val="11.0"/>
        <u/>
      </rPr>
      <t>Descubre el Bar FM, un lugar acogedor y auténtico donde disfrutar de una experiencia culinaria única. Con una carta en la que siempre encontrarás productos...</t>
    </r>
    <r>
      <rPr>
        <rFont val="Arial, sans-serif"/>
        <color rgb="FF1155CC"/>
        <sz val="12.0"/>
        <u/>
      </rPr>
      <t>.</t>
    </r>
    <r>
      <rPr>
        <rFont val="Arial, sans-serif"/>
        <color rgb="FF1155CC"/>
        <sz val="11.0"/>
        <u/>
      </rPr>
      <t>15 nov 2024</t>
    </r>
  </si>
  <si>
    <t>Este bar de Granada luce el cartel de reservado y está en boca de todos</t>
  </si>
  <si>
    <t>Descubre el Bar FM, un lugar acogedor y auténtico donde disfrutar de una experiencia culinaria única. Con una carta en la que siempre encontrarás productos....</t>
  </si>
  <si>
    <t>This bar in Granada shows off the reserved sign and is on everyone's lips</t>
  </si>
  <si>
    <t>Discover Bar FM, a cozy and authentic place where you can enjoy a unique culinary experience. With a menu in which you will always find products....</t>
  </si>
  <si>
    <r>
      <rPr>
        <rFont val="Arial, sans-serif"/>
        <color rgb="FF1155CC"/>
        <sz val="9.0"/>
        <u/>
      </rPr>
      <t>Cadena SER</t>
    </r>
    <r>
      <rPr>
        <rFont val="Arial, sans-serif"/>
        <color rgb="FF1155CC"/>
        <sz val="15.0"/>
        <u/>
      </rPr>
      <t>Los locales de hostelería de A Coruña que son Solete con Solera según la Guía Repsol</t>
    </r>
    <r>
      <rPr>
        <rFont val="Arial, sans-serif"/>
        <color rgb="FF1155CC"/>
        <sz val="11.0"/>
        <u/>
      </rPr>
      <t>A Coruña. La Guía Repsol ha iluminado A Coruña y su entorno con un reconocimiento especial: los Solete con Solera. Este distintivo premia a locales...</t>
    </r>
    <r>
      <rPr>
        <rFont val="Arial, sans-serif"/>
        <color rgb="FF1155CC"/>
        <sz val="12.0"/>
        <u/>
      </rPr>
      <t>.</t>
    </r>
    <r>
      <rPr>
        <rFont val="Arial, sans-serif"/>
        <color rgb="FF1155CC"/>
        <sz val="11.0"/>
        <u/>
      </rPr>
      <t>15 nov 2024</t>
    </r>
  </si>
  <si>
    <t>Los locales de hostelería de A Coruña que son Solete con Solera según la Guía Repsol</t>
  </si>
  <si>
    <t>La Guía Repsol ha iluminado A Coruña y su entorno con un reconocimiento especial: los Solete con Solera. Este distintivo premia a locales....</t>
  </si>
  <si>
    <t>The hospitality establishments in A Coruña that are Solete con Solera according to the Repsol Guide</t>
  </si>
  <si>
    <t>The Repsol Guide has illuminated A Coruña and its surroundings with a special recognition: the Solete con Solera. This distinction rewards locals....</t>
  </si>
  <si>
    <r>
      <rPr>
        <rFont val="Arial, sans-serif"/>
        <color rgb="FF1155CC"/>
        <sz val="9.0"/>
        <u/>
      </rPr>
      <t>Vozpópuli</t>
    </r>
    <r>
      <rPr>
        <rFont val="Arial, sans-serif"/>
        <color rgb="FF1155CC"/>
        <sz val="15.0"/>
        <u/>
      </rPr>
      <t>Soletes Repsol 2024: otros 330 nuevos se unen a la tradición gastronómica</t>
    </r>
    <r>
      <rPr>
        <rFont val="Arial, sans-serif"/>
        <color rgb="FF1155CC"/>
        <sz val="11.0"/>
        <u/>
      </rPr>
      <t>Entre los galardonados, destacan auténticos referentes como Casa Enrique en Granada, Casa Montoliu en Tremp (Lleida) y la mítica Taberna de Antonio Sánchez.</t>
    </r>
    <r>
      <rPr>
        <rFont val="Arial, sans-serif"/>
        <color rgb="FF1155CC"/>
        <sz val="12.0"/>
        <u/>
      </rPr>
      <t>.</t>
    </r>
    <r>
      <rPr>
        <rFont val="Arial, sans-serif"/>
        <color rgb="FF1155CC"/>
        <sz val="11.0"/>
        <u/>
      </rPr>
      <t>15 nov 2024</t>
    </r>
  </si>
  <si>
    <t>Soletes Repsol 2024: otros 330 nuevos se unen a la tradición gastronómica</t>
  </si>
  <si>
    <t>Entre los galardonados, destacan auténticos referentes como Casa Enrique en Granada, Casa Montoliu en Tremp (Lleida) y la mítica Taberna de Antonio Sánchez.</t>
  </si>
  <si>
    <t>Soletes Repsol 2024: another 330 new ones join the gastronomic tradition</t>
  </si>
  <si>
    <t>Among the winners, authentic references stand out such as Casa Enrique in Granada, Casa Montoliu in Tremp (Lleida) and the legendary Taberna de Antonio Sánchez.</t>
  </si>
  <si>
    <r>
      <rPr>
        <rFont val="Arial, sans-serif"/>
        <color rgb="FF1155CC"/>
        <sz val="9.0"/>
        <u/>
      </rPr>
      <t>Faro de Vigo</t>
    </r>
    <r>
      <rPr>
        <rFont val="Arial, sans-serif"/>
        <color rgb="FF1155CC"/>
        <sz val="15.0"/>
        <u/>
      </rPr>
      <t>Codisoil estrena servicio de luz y gas con Repsol</t>
    </r>
    <r>
      <rPr>
        <rFont val="Arial, sans-serif"/>
        <color rgb="FF1155CC"/>
        <sz val="11.0"/>
        <u/>
      </rPr>
      <t>Con el plan Energías Conectadas de Repsol, tendrás acceso a descuentos exclusivos que te ayudarán a maximizar tus ahorros.</t>
    </r>
    <r>
      <rPr>
        <rFont val="Arial, sans-serif"/>
        <color rgb="FF1155CC"/>
        <sz val="12.0"/>
        <u/>
      </rPr>
      <t>.</t>
    </r>
    <r>
      <rPr>
        <rFont val="Arial, sans-serif"/>
        <color rgb="FF1155CC"/>
        <sz val="11.0"/>
        <u/>
      </rPr>
      <t>15 nov 2024</t>
    </r>
  </si>
  <si>
    <t>Codisoil estrena servicio de luz y gas con Repsol</t>
  </si>
  <si>
    <t>Con el plan Energías Conectadas de Repsol, tendrás acceso a descuentos exclusivos que te ayudarán a maximizar tus ahorros.</t>
  </si>
  <si>
    <t>Codisoil launches electricity and gas service with Repsol</t>
  </si>
  <si>
    <t>With Repsol's Connected Energies plan, you will have access to exclusive discounts that will help you maximize your savings.</t>
  </si>
  <si>
    <t>Codisoil, Repsol, Energy</t>
  </si>
  <si>
    <t>Codisoil, Repsol, Energía</t>
  </si>
  <si>
    <t>Neutral, discusses a new service collaboration aimed at offering consumers discounts.</t>
  </si>
  <si>
    <t>descuentos exclusivos</t>
  </si>
  <si>
    <t>Mild positive partnership</t>
  </si>
  <si>
    <t>Asociación levemente positiva</t>
  </si>
  <si>
    <r>
      <rPr>
        <rFont val="Arial, sans-serif"/>
        <color rgb="FF1155CC"/>
        <sz val="9.0"/>
        <u/>
      </rPr>
      <t>Economía Digital</t>
    </r>
    <r>
      <rPr>
        <rFont val="Arial, sans-serif"/>
        <color rgb="FF1155CC"/>
        <sz val="15.0"/>
        <u/>
      </rPr>
      <t>Merlin y Colonial tiran del ‘manual Repsol’ para bloquear la reforma de las socimis</t>
    </r>
    <r>
      <rPr>
        <rFont val="Arial, sans-serif"/>
        <color rgb="FF1155CC"/>
        <sz val="11.0"/>
        <u/>
      </rPr>
      <t>Las inmobiliarias aprietan y presionan para que partidos como Junts o PNV tumben la enmienda de Sumar que elimina su régimen fiscal especial.</t>
    </r>
    <r>
      <rPr>
        <rFont val="Arial, sans-serif"/>
        <color rgb="FF1155CC"/>
        <sz val="12.0"/>
        <u/>
      </rPr>
      <t>.</t>
    </r>
    <r>
      <rPr>
        <rFont val="Arial, sans-serif"/>
        <color rgb="FF1155CC"/>
        <sz val="11.0"/>
        <u/>
      </rPr>
      <t>15 nov 2024</t>
    </r>
  </si>
  <si>
    <t>Merlin y Colonial tiran del ‘manual Repsol’ para bloquear la reforma de las socimis</t>
  </si>
  <si>
    <t>Las inmobiliarias aprietan y presionan para que partidos como Junts o PNV tumben la enmienda de Sumar que elimina su régimen fiscal especial.</t>
  </si>
  <si>
    <t>Merlin and Colonial use the 'Repsol manual' to block the reform of the SOCIMIs</t>
  </si>
  <si>
    <t>The real estate companies are pressing and putting pressure on parties like Junts or PNV to overthrow Sumar's amendment that eliminates its special tax regime.</t>
  </si>
  <si>
    <t>Merlin, Colonial, Repsol</t>
  </si>
  <si>
    <t>Merlín, Colonial, Repsol</t>
  </si>
  <si>
    <t>Negative, highlights corporate influence in blocking tax reforms.</t>
  </si>
  <si>
    <t>Business strategy</t>
  </si>
  <si>
    <t>Estrategia empresarial</t>
  </si>
  <si>
    <r>
      <rPr>
        <rFont val="Arial, sans-serif"/>
        <color rgb="FF1155CC"/>
        <sz val="9.0"/>
        <u/>
      </rPr>
      <t>Autopos</t>
    </r>
    <r>
      <rPr>
        <rFont val="Arial, sans-serif"/>
        <color rgb="FF1155CC"/>
        <sz val="15.0"/>
        <u/>
      </rPr>
      <t>“Los políticos españoles van a Bruselas a defender ideología”</t>
    </r>
    <r>
      <rPr>
        <rFont val="Arial, sans-serif"/>
        <color rgb="FF1155CC"/>
        <sz val="11.0"/>
        <u/>
      </rPr>
      <t>Las normativas europeas de emisiones que afectan al vehículo industrial están provocando tensiones entre los fabricantes de camiones, ya que el mercado...</t>
    </r>
    <r>
      <rPr>
        <rFont val="Arial, sans-serif"/>
        <color rgb="FF1155CC"/>
        <sz val="12.0"/>
        <u/>
      </rPr>
      <t>.</t>
    </r>
    <r>
      <rPr>
        <rFont val="Arial, sans-serif"/>
        <color rgb="FF1155CC"/>
        <sz val="11.0"/>
        <u/>
      </rPr>
      <t>15 nov 2024</t>
    </r>
  </si>
  <si>
    <t>Los políticos españoles van a Bruselas a defender ideología</t>
  </si>
  <si>
    <t>Las normativas europeas de emisiones que afectan al vehículo industrial están provocando tensiones entre los fabricantes de camiones, ya que el mercado....</t>
  </si>
  <si>
    <t>Spanish politicians go to Brussels to defend ideology</t>
  </si>
  <si>
    <t>European emissions regulations that affect commercial vehicles are causing tensions among truck manufacturers, since the market...</t>
  </si>
  <si>
    <r>
      <rPr>
        <rFont val="Arial, sans-serif"/>
        <color rgb="FF1155CC"/>
        <sz val="9.0"/>
        <u/>
      </rPr>
      <t>Huelva Información</t>
    </r>
    <r>
      <rPr>
        <rFont val="Arial, sans-serif"/>
        <color rgb="FF1155CC"/>
        <sz val="15.0"/>
        <u/>
      </rPr>
      <t>Los platos que debes probar en la bodeguita de Huelva que ha conseguido un Solete de la Guía Repsol</t>
    </r>
    <r>
      <rPr>
        <rFont val="Arial, sans-serif"/>
        <color rgb="FF1155CC"/>
        <sz val="11.0"/>
        <u/>
      </rPr>
      <t>Qué pedir en este nuevo 'Solete' que la Guía Repsol ha otorgado en Huelva? Este referente de la gastronomía de la capital tiene para elegir, pero si quieres...</t>
    </r>
    <r>
      <rPr>
        <rFont val="Arial, sans-serif"/>
        <color rgb="FF1155CC"/>
        <sz val="12.0"/>
        <u/>
      </rPr>
      <t>.</t>
    </r>
    <r>
      <rPr>
        <rFont val="Arial, sans-serif"/>
        <color rgb="FF1155CC"/>
        <sz val="11.0"/>
        <u/>
      </rPr>
      <t>15 nov 2024</t>
    </r>
  </si>
  <si>
    <t>Los platos que debes probar en la bodeguita de Huelva que ha conseguido un Solete de la Guía Repsol</t>
  </si>
  <si>
    <t>Qué pedir en este nuevo 'Solete' que la Guía Repsol ha otorgado en Huelva? Este referente de la gastronomía de la capital tiene para elegir, pero si quieres....</t>
  </si>
  <si>
    <t>The dishes you should try at the Huelva winery that has won a Solete from the Repsol Guide</t>
  </si>
  <si>
    <t>What to ask for in this new 'Solete' that the Repsol Guide has awarded in Huelva? This benchmark of the capital's gastronomy has something to choose from, but if you want...</t>
  </si>
  <si>
    <r>
      <rPr>
        <rFont val="Arial, sans-serif"/>
        <color rgb="FF1155CC"/>
        <sz val="9.0"/>
        <u/>
      </rPr>
      <t>Diario de Cádiz</t>
    </r>
    <r>
      <rPr>
        <rFont val="Arial, sans-serif"/>
        <color rgb="FF1155CC"/>
        <sz val="15.0"/>
        <u/>
      </rPr>
      <t>Estos son los platos estrella que podrás probar en este bar de Barbate con Solete de la Guía Repsol</t>
    </r>
    <r>
      <rPr>
        <rFont val="Arial, sans-serif"/>
        <color rgb="FF1155CC"/>
        <sz val="11.0"/>
        <u/>
      </rPr>
      <t>La Tienda D'Estraza ha sido reconocida con esta distinción de la prestigiosa Guía Repsol.</t>
    </r>
    <r>
      <rPr>
        <rFont val="Arial, sans-serif"/>
        <color rgb="FF1155CC"/>
        <sz val="12.0"/>
        <u/>
      </rPr>
      <t>.</t>
    </r>
    <r>
      <rPr>
        <rFont val="Arial, sans-serif"/>
        <color rgb="FF1155CC"/>
        <sz val="11.0"/>
        <u/>
      </rPr>
      <t>15 nov 2024</t>
    </r>
  </si>
  <si>
    <t>Estos son los platos estrella que podrás probar en este bar de Barbate con Solete de la Guía Repsol</t>
  </si>
  <si>
    <t>La Tienda D'Estraza ha sido reconocida con esta distinción de la prestigiosa Guía Repsol.</t>
  </si>
  <si>
    <t>These are the star dishes that you can try in this bar in Barbate with Solete from the Repsol Guide</t>
  </si>
  <si>
    <t>The D'Estraza Store has been recognized with this distinction from the prestigious Repsol Guide.</t>
  </si>
  <si>
    <r>
      <rPr>
        <rFont val="Arial, sans-serif"/>
        <color rgb="FF1155CC"/>
        <sz val="9.0"/>
        <u/>
      </rPr>
      <t>Expansión</t>
    </r>
    <r>
      <rPr>
        <rFont val="Arial, sans-serif"/>
        <color rgb="FF1155CC"/>
        <sz val="15.0"/>
        <u/>
      </rPr>
      <t>Casas con solera premiadas por Guía Repsol</t>
    </r>
    <r>
      <rPr>
        <rFont val="Arial, sans-serif"/>
        <color rgb="FF1155CC"/>
        <sz val="11.0"/>
        <u/>
      </rPr>
      <t>Es la distinción más joven de Guía Repsol y, hace unos días, ha cumplido su décima edición, esta vez, especializada en negocios hosteleros históricos.</t>
    </r>
    <r>
      <rPr>
        <rFont val="Arial, sans-serif"/>
        <color rgb="FF1155CC"/>
        <sz val="12.0"/>
        <u/>
      </rPr>
      <t>.</t>
    </r>
    <r>
      <rPr>
        <rFont val="Arial, sans-serif"/>
        <color rgb="FF1155CC"/>
        <sz val="11.0"/>
        <u/>
      </rPr>
      <t>15 nov 2024</t>
    </r>
  </si>
  <si>
    <t>Casas con solera premiadas por Guía Repsol</t>
  </si>
  <si>
    <t>Es la distinción más joven de Guía Repsol y, hace unos días, ha cumplido su décima edición, esta vez, especializada en negocios hosteleros históricos.</t>
  </si>
  <si>
    <t>Houses with tradition awarded by the Repsol Guide</t>
  </si>
  <si>
    <t>It is the youngest distinction of the Repsol Guide and, a few days ago, it celebrated its tenth edition, this time, specializing in historical hospitality businesses.</t>
  </si>
  <si>
    <r>
      <rPr>
        <rFont val="Arial, sans-serif"/>
        <color rgb="FF1155CC"/>
        <sz val="9.0"/>
        <u/>
      </rPr>
      <t>Guía Repsol</t>
    </r>
    <r>
      <rPr>
        <rFont val="Arial, sans-serif"/>
        <color rgb="FF1155CC"/>
        <sz val="15.0"/>
        <u/>
      </rPr>
      <t>'Kappo' estrena nuevo local (Madrid)</t>
    </r>
    <r>
      <rPr>
        <rFont val="Arial, sans-serif"/>
        <color rgb="FF1155CC"/>
        <sz val="11.0"/>
        <u/>
      </rPr>
      <t>Kappo renueva su local en Madrid, manteniendo su esencia y ofreciendo una experiencia gastronómica japonesa auténtica. Sumérgete en el mundo del sushi y los...</t>
    </r>
    <r>
      <rPr>
        <rFont val="Arial, sans-serif"/>
        <color rgb="FF1155CC"/>
        <sz val="12.0"/>
        <u/>
      </rPr>
      <t>.</t>
    </r>
    <r>
      <rPr>
        <rFont val="Arial, sans-serif"/>
        <color rgb="FF1155CC"/>
        <sz val="11.0"/>
        <u/>
      </rPr>
      <t>15 nov 2024</t>
    </r>
  </si>
  <si>
    <t>Kappo' estrena nuevo local (Madrid)</t>
  </si>
  <si>
    <t>Kappo renueva su local en Madrid, manteniendo su esencia y ofreciendo una experiencia gastronómica japonesa auténtica. Sumérgete en el mundo del sushi y los....</t>
  </si>
  <si>
    <t>Kappo' opens new location (Madrid)</t>
  </si>
  <si>
    <t>Kappo renews its premises in Madrid, maintaining its essence and offering an authentic Japanese gastronomic experience. Immerse yourself in the world of sushi and...</t>
  </si>
  <si>
    <r>
      <rPr>
        <rFont val="Arial, sans-serif"/>
        <color rgb="FF1155CC"/>
        <sz val="9.0"/>
        <u/>
      </rPr>
      <t>EL PAÍS</t>
    </r>
    <r>
      <rPr>
        <rFont val="Arial, sans-serif"/>
        <color rgb="FF1155CC"/>
        <sz val="15.0"/>
        <u/>
      </rPr>
      <t>Asiste a los ‘Premios CincoDías a la Innovación Empresarial 2024′</t>
    </r>
    <r>
      <rPr>
        <rFont val="Arial, sans-serif"/>
        <color rgb="FF1155CC"/>
        <sz val="11.0"/>
        <u/>
      </rPr>
      <t>Consigue invitaciones para la entrega de premios de este acto clave del mundo empresarial.</t>
    </r>
    <r>
      <rPr>
        <rFont val="Arial, sans-serif"/>
        <color rgb="FF1155CC"/>
        <sz val="12.0"/>
        <u/>
      </rPr>
      <t>.</t>
    </r>
    <r>
      <rPr>
        <rFont val="Arial, sans-serif"/>
        <color rgb="FF1155CC"/>
        <sz val="11.0"/>
        <u/>
      </rPr>
      <t>15 nov 2024</t>
    </r>
  </si>
  <si>
    <t>Premios CincoDías a la Innovación Empresarial 2024</t>
  </si>
  <si>
    <t>Consigue invitaciones para la entrega de premios de este acto clave del mundo empresarial.</t>
  </si>
  <si>
    <t>CincoDías Awards for Business Innovation 2024</t>
  </si>
  <si>
    <t>Get invitations to the awards ceremony for this key event in the business world.</t>
  </si>
  <si>
    <r>
      <rPr>
        <rFont val="Arial, sans-serif"/>
        <color rgb="FF1155CC"/>
        <sz val="9.0"/>
        <u/>
      </rPr>
      <t>OkDiario</t>
    </r>
    <r>
      <rPr>
        <rFont val="Arial, sans-serif"/>
        <color rgb="FF1155CC"/>
        <sz val="15.0"/>
        <u/>
      </rPr>
      <t>Es el favorito de los camioneros: el restaurante de carretera en el que puedes comer por 15 euros y aparece...</t>
    </r>
    <r>
      <rPr>
        <rFont val="Arial, sans-serif"/>
        <color rgb="FF1155CC"/>
        <sz val="11.0"/>
        <u/>
      </rPr>
      <t>Este es el restaurante de carrera en el que puedes comer por 15 euros y aparece en la Guía Repsol. Toda una joya de nuestra gastronomía que se convierte en...</t>
    </r>
    <r>
      <rPr>
        <rFont val="Arial, sans-serif"/>
        <color rgb="FF1155CC"/>
        <sz val="12.0"/>
        <u/>
      </rPr>
      <t>.</t>
    </r>
    <r>
      <rPr>
        <rFont val="Arial, sans-serif"/>
        <color rgb="FF1155CC"/>
        <sz val="11.0"/>
        <u/>
      </rPr>
      <t>15 nov 2024</t>
    </r>
  </si>
  <si>
    <t>El favorito de los camioneros: el restaurante de carretera en el que puedes comer por 15 euros y aparece...</t>
  </si>
  <si>
    <t>Este es el restaurante de carrera en el que puedes comer por 15 euros y aparece en la Guía Repsol. Toda una joya de nuestra gastronomía que se convierte en....</t>
  </si>
  <si>
    <t>Truck drivers' favorite: the roadside restaurant where you can eat for 15 euros and it appears...</t>
  </si>
  <si>
    <t>This is the race restaurant where you can eat for 15 euros and appears in the Repsol Guide. A true gem of our gastronomy that becomes....</t>
  </si>
  <si>
    <r>
      <rPr>
        <rFont val="Arial, sans-serif"/>
        <color rgb="FF1155CC"/>
        <sz val="9.0"/>
        <u/>
      </rPr>
      <t>MiCiudadReal.es</t>
    </r>
    <r>
      <rPr>
        <rFont val="Arial, sans-serif"/>
        <color rgb="FF1155CC"/>
        <sz val="15.0"/>
        <u/>
      </rPr>
      <t>El comité de RLESA Puertollano desconvoca la huelga por «miedo» a perder empleos y parte de la plantilla critica la estrategia sindical</t>
    </r>
    <r>
      <rPr>
        <rFont val="Arial, sans-serif"/>
        <color rgb="FF1155CC"/>
        <sz val="11.0"/>
        <u/>
      </rPr>
      <t>El comité de empresa de Repsol Lubricantes y Asfaltos de Puertollano (RLESA) ha comunicado a la empresa la desconvocatoria de la huelga de carácter...</t>
    </r>
    <r>
      <rPr>
        <rFont val="Arial, sans-serif"/>
        <color rgb="FF1155CC"/>
        <sz val="12.0"/>
        <u/>
      </rPr>
      <t>.</t>
    </r>
    <r>
      <rPr>
        <rFont val="Arial, sans-serif"/>
        <color rgb="FF1155CC"/>
        <sz val="11.0"/>
        <u/>
      </rPr>
      <t>15 nov 2024</t>
    </r>
  </si>
  <si>
    <t>El comité de RLESA Puertollano desconvoca la huelga por «miedo» a perder empleos y parte de la plantilla critica la estrategia sindical</t>
  </si>
  <si>
    <t>El comité de empresa de Repsol Lubricantes y Asfaltos de Puertollano (RLESA) ha comunicado a la empresa la desconvocatoria de la huelga de carácter....</t>
  </si>
  <si>
    <t>The RLESA Puertollano committee calls off the strike due to "fear" of losing jobs and part of the staff criticizes the union strategy</t>
  </si>
  <si>
    <t>The company committee of Repsol Lubricantes y Asfaltos de Puertollano (RLESA) has informed the company of the call for the strike....</t>
  </si>
  <si>
    <t>RLESA, Puertollano, Strike</t>
  </si>
  <si>
    <t>RLESA, Puertollano, Huelga</t>
  </si>
  <si>
    <t>Negative, reflects labor disputes and worker concerns over job security.</t>
  </si>
  <si>
    <r>
      <rPr>
        <rFont val="Arial, sans-serif"/>
        <color rgb="FF1155CC"/>
        <sz val="9.0"/>
        <u/>
      </rPr>
      <t>La Comarca de Puertollano</t>
    </r>
    <r>
      <rPr>
        <rFont val="Arial, sans-serif"/>
        <color rgb="FF1155CC"/>
        <sz val="15.0"/>
        <u/>
      </rPr>
      <t>Puertollano: La huelga indefinida en RLESA llega a su fin 39 días después por "el miedo a las consecuencias"</t>
    </r>
    <r>
      <rPr>
        <rFont val="Arial, sans-serif"/>
        <color rgb="FF1155CC"/>
        <sz val="11.0"/>
        <u/>
      </rPr>
      <t>La huelga indefinida en 'Repsol Lubricantes y Asfaltos SA' (RLESA) Puertollano ha llegado a su fin tras 39 días de lucha. La razón, según ha indicado el...</t>
    </r>
    <r>
      <rPr>
        <rFont val="Arial, sans-serif"/>
        <color rgb="FF1155CC"/>
        <sz val="12.0"/>
        <u/>
      </rPr>
      <t>.</t>
    </r>
    <r>
      <rPr>
        <rFont val="Arial, sans-serif"/>
        <color rgb="FF1155CC"/>
        <sz val="11.0"/>
        <u/>
      </rPr>
      <t>15 nov 2024</t>
    </r>
  </si>
  <si>
    <t>Puertollano: La huelga indefinida en RLESA llega a su fin 39 días después por "el miedo a las consecuencias"</t>
  </si>
  <si>
    <t>La huelga indefinida en 'Repsol Lubricantes y Asfaltos SA' (RLESA) Puertollano ha llegado a su fin tras 39 días de lucha. La razón, según ha indicado el....</t>
  </si>
  <si>
    <t>Puertollano: The indefinite strike at RLESA comes to an end 39 days later due to "fear of the consequences"</t>
  </si>
  <si>
    <t>The indefinite strike at 'Repsol Lubricantes y Asfaltos SA' (RLESA) Puertollano has come to an end after 39 days of struggle. The reason, as indicated by...</t>
  </si>
  <si>
    <t>Negative, highlights the end of a long strike due to worker concerns.</t>
  </si>
  <si>
    <t>llega a su fin</t>
  </si>
  <si>
    <t>Positive conflict resolution</t>
  </si>
  <si>
    <t>Resolución positiva de conflictos</t>
  </si>
  <si>
    <r>
      <rPr>
        <rFont val="Arial, sans-serif"/>
        <color rgb="FF1155CC"/>
        <sz val="9.0"/>
        <u/>
      </rPr>
      <t>El Confidencial</t>
    </r>
    <r>
      <rPr>
        <rFont val="Arial, sans-serif"/>
        <color rgb="FF1155CC"/>
        <sz val="15.0"/>
        <u/>
      </rPr>
      <t>El restaurante aragonés con un Solete que es un oasis culinario: puedes comer por menos de 35 euros</t>
    </r>
    <r>
      <rPr>
        <rFont val="Arial, sans-serif"/>
        <color rgb="FF1155CC"/>
        <sz val="11.0"/>
        <u/>
      </rPr>
      <t>Un restaurante zaragozano emerge como un refugio culinario en pleno centro histórico, donde la tradición y la innovación convergen en cada plato para...</t>
    </r>
    <r>
      <rPr>
        <rFont val="Arial, sans-serif"/>
        <color rgb="FF1155CC"/>
        <sz val="12.0"/>
        <u/>
      </rPr>
      <t>.</t>
    </r>
    <r>
      <rPr>
        <rFont val="Arial, sans-serif"/>
        <color rgb="FF1155CC"/>
        <sz val="11.0"/>
        <u/>
      </rPr>
      <t>15 nov 2024</t>
    </r>
  </si>
  <si>
    <t>El restaurante aragonés con un Solete que es un oasis culinario: puedes comer por menos de 35 euros</t>
  </si>
  <si>
    <t>Un restaurante zaragozano emerge como un refugio culinario en pleno centro histórico, donde la tradición y la innovación convergen en cada plato para....</t>
  </si>
  <si>
    <t>The Aragonese restaurant with a Solete that is a culinary oasis: you can eat for less than 35 euros</t>
  </si>
  <si>
    <t>A Zaragoza restaurant emerges as a culinary refuge in the historic center, where tradition and innovation converge in each dish to...</t>
  </si>
  <si>
    <r>
      <rPr>
        <rFont val="Arial, sans-serif"/>
        <color rgb="FF1155CC"/>
        <sz val="9.0"/>
        <u/>
      </rPr>
      <t>Box Repsol</t>
    </r>
    <r>
      <rPr>
        <rFont val="Arial, sans-serif"/>
        <color rgb="FF1155CC"/>
        <sz val="15.0"/>
        <u/>
      </rPr>
      <t>Resultados de los entrenamientos del GP Solidario de MotoGP</t>
    </r>
    <r>
      <rPr>
        <rFont val="Arial, sans-serif"/>
        <color rgb="FF1155CC"/>
        <sz val="11.0"/>
        <u/>
      </rPr>
      <t>'Pecco' Bagnaia domina el último viernes del año por delante de Marco Bezzecchi y Aleix Espargaró. El líder del Mundial, Jorge Martín, fue quinto.</t>
    </r>
    <r>
      <rPr>
        <rFont val="Arial, sans-serif"/>
        <color rgb="FF1155CC"/>
        <sz val="12.0"/>
        <u/>
      </rPr>
      <t>.</t>
    </r>
    <r>
      <rPr>
        <rFont val="Arial, sans-serif"/>
        <color rgb="FF1155CC"/>
        <sz val="11.0"/>
        <u/>
      </rPr>
      <t>15 nov 2024</t>
    </r>
  </si>
  <si>
    <t>Resultados de los entrenamientos del GP Solidario de MotoGP</t>
  </si>
  <si>
    <t>'Pecco' Bagnaia domina el último viernes del año por delante de Marco Bezzecchi y Aleix Espargaró. El líder del Mundial, Jorge Martín, fue quinto.</t>
  </si>
  <si>
    <t>MotoGP Solidarity GP training results</t>
  </si>
  <si>
    <t>'Pecco' Bagnaia dominates the last Friday of the year ahead of Marco Bezzecchi and Aleix Espargaró. The World Cup leader, Jorge Martín, was fifth.</t>
  </si>
  <si>
    <r>
      <rPr>
        <rFont val="Arial, sans-serif"/>
        <color rgb="FF1155CC"/>
        <sz val="9.0"/>
        <u/>
      </rPr>
      <t>El Economista</t>
    </r>
    <r>
      <rPr>
        <rFont val="Arial, sans-serif"/>
        <color rgb="FF1155CC"/>
        <sz val="15.0"/>
        <u/>
      </rPr>
      <t>Las pérdidas en Cellnex y Repsol son recuperables para 'La Cartera'</t>
    </r>
    <r>
      <rPr>
        <rFont val="Arial, sans-serif"/>
        <color rgb="FF1155CC"/>
        <sz val="11.0"/>
        <u/>
      </rPr>
      <t>Invertir en bolsa es una actividad en la que se asume riesgos y en la que a la larga siempre hay aciertos y errores. Se trata, pues, de ...</t>
    </r>
    <r>
      <rPr>
        <rFont val="Arial, sans-serif"/>
        <color rgb="FF1155CC"/>
        <sz val="12.0"/>
        <u/>
      </rPr>
      <t>.</t>
    </r>
    <r>
      <rPr>
        <rFont val="Arial, sans-serif"/>
        <color rgb="FF1155CC"/>
        <sz val="11.0"/>
        <u/>
      </rPr>
      <t>16 nov 2024</t>
    </r>
  </si>
  <si>
    <t>Las pérdidas en Cellnex y Repsol son recuperables para 'La Cartera'</t>
  </si>
  <si>
    <t>Invertir en bolsa es una actividad en la que se asume riesgos y en la que a la larga siempre hay aciertos y errores. Se trata, pues, de ....</t>
  </si>
  <si>
    <t>The losses in Cellnex and Repsol are recoverable for 'La Cartera'</t>
  </si>
  <si>
    <t>Investing in the stock market is an activity in which risks are assumed and in which in the long run there are always successes and errors. It is, then, about...</t>
  </si>
  <si>
    <t>Repsol, Cellnex, Investment</t>
  </si>
  <si>
    <t>Repsol, Cellnex, Inversión</t>
  </si>
  <si>
    <t>Positive, offers an optimistic view on investment recovery despite short-term losses.</t>
  </si>
  <si>
    <t>Mild financial concern</t>
  </si>
  <si>
    <t>Leve preocupación financiera</t>
  </si>
  <si>
    <r>
      <rPr>
        <rFont val="Arial, sans-serif"/>
        <color rgb="FF1155CC"/>
        <sz val="9.0"/>
        <u/>
      </rPr>
      <t>OkDiario</t>
    </r>
    <r>
      <rPr>
        <rFont val="Arial, sans-serif"/>
        <color rgb="FF1155CC"/>
        <sz val="15.0"/>
        <u/>
      </rPr>
      <t>Repsol duplica su red de recarga para coche eléctrico en 2024 tras alcanzar 2.000 puntos en España</t>
    </r>
    <r>
      <rPr>
        <rFont val="Arial, sans-serif"/>
        <color rgb="FF1155CC"/>
        <sz val="11.0"/>
        <u/>
      </rPr>
      <t>Repsol acelera la electrificación en España y duplica en un año su red de recarga para coches eléctricos. La multienergética que dirige Josu Jon Imaz ha...</t>
    </r>
    <r>
      <rPr>
        <rFont val="Arial, sans-serif"/>
        <color rgb="FF1155CC"/>
        <sz val="12.0"/>
        <u/>
      </rPr>
      <t>.</t>
    </r>
    <r>
      <rPr>
        <rFont val="Arial, sans-serif"/>
        <color rgb="FF1155CC"/>
        <sz val="11.0"/>
        <u/>
      </rPr>
      <t>16 nov 2024</t>
    </r>
  </si>
  <si>
    <t>Repsol duplica su red de recarga para coche eléctrico en 2024 tras alcanzar 2.000 puntos en España</t>
  </si>
  <si>
    <t>Repsol acelera la electrificación en España y duplica en un año su red de recarga para coches eléctricos. La multienergética que dirige Josu Jon Imaz ha....</t>
  </si>
  <si>
    <t>Repsol doubles its electric car charging network in 2024 after reaching 2,000 points in Spain</t>
  </si>
  <si>
    <t>Repsol accelerates electrification in Spain and doubles its charging network for electric cars in one year. The multi-energy company directed by Josu Jon Imaz has....</t>
  </si>
  <si>
    <t>Repsol, Electric cars, Charging network</t>
  </si>
  <si>
    <t>Repsol, Coches eléctricos, Red de carga</t>
  </si>
  <si>
    <t>Positive, highlights Repsol's efforts to expand its electric vehicle charging infrastructure.</t>
  </si>
  <si>
    <t>duplica red de recarga</t>
  </si>
  <si>
    <t>Strong positive for EV infrastructure</t>
  </si>
  <si>
    <t>Fuerte positivo para la infraestructura de vehículos eléctricos</t>
  </si>
  <si>
    <r>
      <rPr>
        <rFont val="Arial, sans-serif"/>
        <color rgb="FF1155CC"/>
        <sz val="9.0"/>
        <u/>
      </rPr>
      <t>La Tinta de Almansa</t>
    </r>
    <r>
      <rPr>
        <rFont val="Arial, sans-serif"/>
        <color rgb="FF1155CC"/>
        <sz val="15.0"/>
        <u/>
      </rPr>
      <t>La centenaria confitería de Almansa ganadora de un Solete Repsol</t>
    </r>
    <r>
      <rPr>
        <rFont val="Arial, sans-serif"/>
        <color rgb="FF1155CC"/>
        <sz val="11.0"/>
        <u/>
      </rPr>
      <t>La Confitería Alfredo Reig de Almansa recibe un Solete Repsol 2024 en lo que es un reconocimiento a 144 años de historia que han cautivado...</t>
    </r>
    <r>
      <rPr>
        <rFont val="Arial, sans-serif"/>
        <color rgb="FF1155CC"/>
        <sz val="12.0"/>
        <u/>
      </rPr>
      <t>.</t>
    </r>
    <r>
      <rPr>
        <rFont val="Arial, sans-serif"/>
        <color rgb="FF1155CC"/>
        <sz val="11.0"/>
        <u/>
      </rPr>
      <t>16 nov 2024</t>
    </r>
  </si>
  <si>
    <t>La Tinta de Almansa</t>
  </si>
  <si>
    <t>La centenaria confitería de Almansa ganadora de un Solete Repsol</t>
  </si>
  <si>
    <t>La Confitería Alfredo Reig de Almansa recibe un Solete Repsol 2024 en lo que es un reconocimiento a 144 años de historia que han cautivado....</t>
  </si>
  <si>
    <t>The centenary confectionery of Almansa, winner of a Solete Repsol</t>
  </si>
  <si>
    <t>The Alfredo Reig Confectionery in Almansa receives a Solete Repsol 2024 in recognition of 144 years of history that have captivated...</t>
  </si>
  <si>
    <r>
      <rPr>
        <rFont val="Arial, sans-serif"/>
        <color rgb="FF1155CC"/>
        <sz val="9.0"/>
        <u/>
      </rPr>
      <t>Tot Barcelona</t>
    </r>
    <r>
      <rPr>
        <rFont val="Arial, sans-serif"/>
        <color rgb="FF1155CC"/>
        <sz val="15.0"/>
        <u/>
      </rPr>
      <t>La Guía Repsol reconoce todo un clásico de Barcelona</t>
    </r>
    <r>
      <rPr>
        <rFont val="Arial, sans-serif"/>
        <color rgb="FF1155CC"/>
        <sz val="11.0"/>
        <u/>
      </rPr>
      <t>El Frànkfurt Pedralbes de Barcelona, parte de Casa Vallès, ha sido galardonado con el premio Solete de la Guía Repsol por su calidad y precios asequibles.</t>
    </r>
    <r>
      <rPr>
        <rFont val="Arial, sans-serif"/>
        <color rgb="FF1155CC"/>
        <sz val="12.0"/>
        <u/>
      </rPr>
      <t>.</t>
    </r>
    <r>
      <rPr>
        <rFont val="Arial, sans-serif"/>
        <color rgb="FF1155CC"/>
        <sz val="11.0"/>
        <u/>
      </rPr>
      <t>16 nov 2024</t>
    </r>
  </si>
  <si>
    <t>La Guía Repsol reconoce todo un clásico de Barcelona</t>
  </si>
  <si>
    <t>El Frànkfurt Pedralbes de Barcelona, parte de Casa Vallès, ha sido galardonado con el premio Solete de la Guía Repsol por su calidad y precios asequibles.</t>
  </si>
  <si>
    <t>The Repsol Guide recognizes a Barcelona classic</t>
  </si>
  <si>
    <t>The Frànkfurt Pedralbes in Barcelona, ​​part of Casa Vallès, has been awarded the Repsol Guide's Solete award for its quality and affordable prices.</t>
  </si>
  <si>
    <r>
      <rPr>
        <rFont val="Arial, sans-serif"/>
        <color rgb="FF1155CC"/>
        <sz val="9.0"/>
        <u/>
      </rPr>
      <t>Box Repsol</t>
    </r>
    <r>
      <rPr>
        <rFont val="Arial, sans-serif"/>
        <color rgb="FF1155CC"/>
        <sz val="15.0"/>
        <u/>
      </rPr>
      <t>Resultados y resumen del X-Trial de Pamplona 2024</t>
    </r>
    <r>
      <rPr>
        <rFont val="Arial, sans-serif"/>
        <color rgb="FF1155CC"/>
        <sz val="11.0"/>
        <u/>
      </rPr>
      <t>Sexto triunfo del curso de siete posibles para Toni Bou en X-Trial. El piloto del Repsol Honda fue el mejor en las dos rondas y se impuso a Benoît Bincaz y...</t>
    </r>
    <r>
      <rPr>
        <rFont val="Arial, sans-serif"/>
        <color rgb="FF1155CC"/>
        <sz val="12.0"/>
        <u/>
      </rPr>
      <t>.</t>
    </r>
    <r>
      <rPr>
        <rFont val="Arial, sans-serif"/>
        <color rgb="FF1155CC"/>
        <sz val="11.0"/>
        <u/>
      </rPr>
      <t>16 nov 2024</t>
    </r>
  </si>
  <si>
    <t>Sexto triunfo del curso de siete posibles para Toni Bou en X-Trial.</t>
  </si>
  <si>
    <t>Sexto triunfo del curso de siete posibles para Toni Bou en X-Trial. El piloto del Repsol Honda fue el mejor en las dos rondas y se impuso a Benoît Bincaz y....</t>
  </si>
  <si>
    <t>Sixth win of the course out of seven possible for Toni Bou in X-Trial.</t>
  </si>
  <si>
    <t>Sixth win of the course out of seven possible for Toni Bou in X-Trial. The Repsol Honda rider was the best in both rounds and beat Benoît Bincaz and....</t>
  </si>
  <si>
    <r>
      <rPr>
        <rFont val="Arial, sans-serif"/>
        <color rgb="FF1155CC"/>
        <sz val="9.0"/>
        <u/>
      </rPr>
      <t>Diario de Cádiz</t>
    </r>
    <r>
      <rPr>
        <rFont val="Arial, sans-serif"/>
        <color rgb="FF1155CC"/>
        <sz val="15.0"/>
        <u/>
      </rPr>
      <t>Del mejor arroz con pollo a los desayunos más famosos de Cádiz: Los platos estrella de esta Venta de Medina Sidonia con Solete</t>
    </r>
    <r>
      <rPr>
        <rFont val="Arial, sans-serif"/>
        <color rgb="FF1155CC"/>
        <sz val="11.0"/>
        <u/>
      </rPr>
      <t>Tiene más de 50 años de historia y aquí se elaboran a fuego lento recetas de toda la vida.</t>
    </r>
    <r>
      <rPr>
        <rFont val="Arial, sans-serif"/>
        <color rgb="FF1155CC"/>
        <sz val="12.0"/>
        <u/>
      </rPr>
      <t>.</t>
    </r>
    <r>
      <rPr>
        <rFont val="Arial, sans-serif"/>
        <color rgb="FF1155CC"/>
        <sz val="11.0"/>
        <u/>
      </rPr>
      <t>16 nov 2024</t>
    </r>
  </si>
  <si>
    <t>Del mejor arroz con pollo a los desayunos más famosos de Cádiz: Los platos estrella de esta Venta de Medina Sidonia con Solete</t>
  </si>
  <si>
    <t>Tiene más de 50 años de historia y aquí se elaboran a fuego lento recetas de toda la vida.</t>
  </si>
  <si>
    <t>From the best rice with chicken to the most famous breakfasts in Cádiz: The star dishes of this Venta de Medina Sidonia con Solete</t>
  </si>
  <si>
    <t>It has more than 50 years of history and old recipes are made here over low heat.</t>
  </si>
  <si>
    <r>
      <rPr>
        <rFont val="Arial, sans-serif"/>
        <color rgb="FF1155CC"/>
        <sz val="9.0"/>
        <u/>
      </rPr>
      <t>Europa Press</t>
    </r>
    <r>
      <rPr>
        <rFont val="Arial, sans-serif"/>
        <color rgb="FF1155CC"/>
        <sz val="15.0"/>
        <u/>
      </rPr>
      <t>Joan Mir: "He podido ver dónde hemos mejorado la moto a lo largo del año"</t>
    </r>
    <r>
      <rPr>
        <rFont val="Arial, sans-serif"/>
        <color rgb="FF1155CC"/>
        <sz val="11.0"/>
        <u/>
      </rPr>
      <t>El piloto español de MotoGP Joan Mir (Repsol Honda) celebró su actuación este sábado en la última prueba del...</t>
    </r>
    <r>
      <rPr>
        <rFont val="Arial, sans-serif"/>
        <color rgb="FF1155CC"/>
        <sz val="12.0"/>
        <u/>
      </rPr>
      <t>.</t>
    </r>
    <r>
      <rPr>
        <rFont val="Arial, sans-serif"/>
        <color rgb="FF1155CC"/>
        <sz val="11.0"/>
        <u/>
      </rPr>
      <t>16 nov 2024</t>
    </r>
  </si>
  <si>
    <t>Joan Mir: "He podido ver dónde hemos mejorado la moto a lo largo del año"</t>
  </si>
  <si>
    <t>"El piloto español de MotoGP Joan Mir (Repsol Honda) celebró su actuación este sábado en la última prueba del...."</t>
  </si>
  <si>
    <t>Joan Mir: "I have been able to see where we have improved the bike throughout the year"</t>
  </si>
  <si>
    <t>"The Spanish MotoGP rider Joan Mir (Repsol Honda) celebrated his performance this Saturday in the last test of the...."</t>
  </si>
  <si>
    <r>
      <rPr>
        <rFont val="Arial, sans-serif"/>
        <color rgb="FF1155CC"/>
        <sz val="9.0"/>
        <u/>
      </rPr>
      <t>Box Repsol</t>
    </r>
    <r>
      <rPr>
        <rFont val="Arial, sans-serif"/>
        <color rgb="FF1155CC"/>
        <sz val="15.0"/>
        <u/>
      </rPr>
      <t>Resultados de la carrera sprint del GP Solidario de MotoGP</t>
    </r>
    <r>
      <rPr>
        <rFont val="Arial, sans-serif"/>
        <color rgb="FF1155CC"/>
        <sz val="11.0"/>
        <u/>
      </rPr>
      <t>Triunfo claro al sprint de 'Pecco' Bagnaia para alargar la pelea por el título hasta mañana. Enea Bastianini y Jorge Martín, tras una bonita pelea,...</t>
    </r>
    <r>
      <rPr>
        <rFont val="Arial, sans-serif"/>
        <color rgb="FF1155CC"/>
        <sz val="12.0"/>
        <u/>
      </rPr>
      <t>.</t>
    </r>
    <r>
      <rPr>
        <rFont val="Arial, sans-serif"/>
        <color rgb="FF1155CC"/>
        <sz val="11.0"/>
        <u/>
      </rPr>
      <t>16 nov 2024</t>
    </r>
  </si>
  <si>
    <t>Triunfo claro al sprint de 'Pecco' Bagnaia para alargar la pelea por el título hasta mañana.</t>
  </si>
  <si>
    <t>Triunfo claro al sprint de 'Pecco' Bagnaia para alargar la pelea por el título hasta mañana. Enea Bastianini y Jorge Martín, tras una bonita pelea,....</t>
  </si>
  <si>
    <t>Clear triumph in the sprint for 'Pecco' Bagnaia to extend the fight for the title until tomorrow.</t>
  </si>
  <si>
    <t>Clear triumph in the sprint for 'Pecco' Bagnaia to extend the fight for the title until tomorrow. Enea Bastianini and Jorge Martín, after a nice fight,....</t>
  </si>
  <si>
    <r>
      <rPr>
        <rFont val="Arial, sans-serif"/>
        <color rgb="FF1155CC"/>
        <sz val="9.0"/>
        <u/>
      </rPr>
      <t>Box Repsol</t>
    </r>
    <r>
      <rPr>
        <rFont val="Arial, sans-serif"/>
        <color rgb="FF1155CC"/>
        <sz val="15.0"/>
        <u/>
      </rPr>
      <t>Resultados de los entrenamientos cronometrados del GP Solidario de MotoGP</t>
    </r>
    <r>
      <rPr>
        <rFont val="Arial, sans-serif"/>
        <color rgb="FF1155CC"/>
        <sz val="11.0"/>
        <u/>
      </rPr>
      <t>Pole Position de 'Pecco' Bagnaia -la sexta-, con Aleix Espargaró y Marc Márquez en primera fila. Jorge Martín se ha tenido que conformar con la cuarta plaza...</t>
    </r>
    <r>
      <rPr>
        <rFont val="Arial, sans-serif"/>
        <color rgb="FF1155CC"/>
        <sz val="12.0"/>
        <u/>
      </rPr>
      <t>.</t>
    </r>
    <r>
      <rPr>
        <rFont val="Arial, sans-serif"/>
        <color rgb="FF1155CC"/>
        <sz val="11.0"/>
        <u/>
      </rPr>
      <t>16 nov 2024</t>
    </r>
  </si>
  <si>
    <t>Resultados de los entrenamientos cronometrados del GP Solidario de MotoGP</t>
  </si>
  <si>
    <t>Pole Position de 'Pecco' Bagnaia -la sexta-, con Aleix Espargaró y Marc Márquez en primera fila. Jorge Martín se ha tenido que conformar con la cuarta plaza.</t>
  </si>
  <si>
    <t>Results of the timed training sessions of the MotoGP Solidarity GP</t>
  </si>
  <si>
    <t>Pole Position for 'Pecco' Bagnaia -the sixth-, with Aleix Espargaró and Marc Márquez on the front row. Jorge Martín has had to settle for fourth place.</t>
  </si>
  <si>
    <r>
      <rPr>
        <rFont val="Arial, sans-serif"/>
        <color rgb="FF1155CC"/>
        <sz val="9.0"/>
        <u/>
      </rPr>
      <t>El Confidencial</t>
    </r>
    <r>
      <rPr>
        <rFont val="Arial, sans-serif"/>
        <color rgb="FF1155CC"/>
        <sz val="15.0"/>
        <u/>
      </rPr>
      <t>El restaurante valenciano con corazón solidario por la DANA en Ruzafa: menús por 11 euros y un solete por su calidad</t>
    </r>
    <r>
      <rPr>
        <rFont val="Arial, sans-serif"/>
        <color rgb="FF1155CC"/>
        <sz val="11.0"/>
        <u/>
      </rPr>
      <t>Este restaurante de Valencia es noticia por doble motivo: acaba de recibir un solete de la Guía Repsol, y ha impulsado una iniciativa solidaria para llevar...</t>
    </r>
    <r>
      <rPr>
        <rFont val="Arial, sans-serif"/>
        <color rgb="FF1155CC"/>
        <sz val="12.0"/>
        <u/>
      </rPr>
      <t>.</t>
    </r>
    <r>
      <rPr>
        <rFont val="Arial, sans-serif"/>
        <color rgb="FF1155CC"/>
        <sz val="11.0"/>
        <u/>
      </rPr>
      <t>16 nov 2024</t>
    </r>
  </si>
  <si>
    <t>El restaurante valenciano con corazón solidario por la DANA en Ruzafa: menús por 11 euros y un solete por su calidad</t>
  </si>
  <si>
    <t>Este restaurante de Valencia es noticia por doble motivo: acaba de recibir un solete de la Guía Repsol, y ha impulsado una iniciativa solidaria para llevar....</t>
  </si>
  <si>
    <t>The Valencian restaurant with a heart of solidarity for DANA in Ruzafa: menus for 11 euros and a solete for its quality</t>
  </si>
  <si>
    <t>This restaurant in Valencia is in the news for two reasons: it has just received a solete from the Repsol Guide, and it has promoted a solidarity initiative for takeaway....</t>
  </si>
  <si>
    <r>
      <rPr>
        <rFont val="Arial, sans-serif"/>
        <color rgb="FF1155CC"/>
        <sz val="9.0"/>
        <u/>
      </rPr>
      <t>El Periódico de la Energía</t>
    </r>
    <r>
      <rPr>
        <rFont val="Arial, sans-serif"/>
        <color rgb="FF1155CC"/>
        <sz val="15.0"/>
        <u/>
      </rPr>
      <t>Iberdrola y Repsol se ven las caras este jueves en los Juzgados de Santander por la demanda por 'greenwashing'</t>
    </r>
    <r>
      <rPr>
        <rFont val="Arial, sans-serif"/>
        <color rgb="FF1155CC"/>
        <sz val="11.0"/>
        <u/>
      </rPr>
      <t>Iberdrola y Repsol se verán las caras este jueves en el Juzgado de Santander en la demanda presentada por la eléctrica contra la petrolera por...</t>
    </r>
    <r>
      <rPr>
        <rFont val="Arial, sans-serif"/>
        <color rgb="FF1155CC"/>
        <sz val="12.0"/>
        <u/>
      </rPr>
      <t>.</t>
    </r>
    <r>
      <rPr>
        <rFont val="Arial, sans-serif"/>
        <color rgb="FF1155CC"/>
        <sz val="11.0"/>
        <u/>
      </rPr>
      <t>17 nov 2024</t>
    </r>
  </si>
  <si>
    <t>Iberdrola y Repsol se ven las caras este jueves en los Juzgados de Santander por la demanda por 'greenwashing'</t>
  </si>
  <si>
    <t>Iberdrola y Repsol se verán las caras este jueves en el Juzgado de Santander en la demanda presentada por la eléctrica contra la petrolera por....</t>
  </si>
  <si>
    <t>Iberdrola and Repsol face each other this Thursday in the Santander Courts over the lawsuit for 'greenwashing'</t>
  </si>
  <si>
    <t>Iberdrola and Repsol will face each other this Thursday in the Santander Court in the lawsuit filed by the electricity company against the oil company for...</t>
  </si>
  <si>
    <t>Iberdrola, Repsol, Greenwashing</t>
  </si>
  <si>
    <t>Iberdrola, Repsol, Lavado verde</t>
  </si>
  <si>
    <t>Negative, highlights the legal battle between Iberdrola and Repsol over environmental claims.</t>
  </si>
  <si>
    <t>demanda</t>
  </si>
  <si>
    <t>Negative legal conflict</t>
  </si>
  <si>
    <t>Conflicto legal negativo</t>
  </si>
  <si>
    <r>
      <rPr>
        <rFont val="Arial, sans-serif"/>
        <color rgb="FF1155CC"/>
        <sz val="9.0"/>
        <u/>
      </rPr>
      <t>Expansión</t>
    </r>
    <r>
      <rPr>
        <rFont val="Arial, sans-serif"/>
        <color rgb="FF1155CC"/>
        <sz val="15.0"/>
        <u/>
      </rPr>
      <t>Iberdrola-Repsol, llega el primer juicio de 'greenwashing'</t>
    </r>
    <r>
      <rPr>
        <rFont val="Arial, sans-serif"/>
        <color rgb="FF1155CC"/>
        <sz val="11.0"/>
        <u/>
      </rPr>
      <t>El jueves, hay vista oral en Santander por la denuncia de Iberdrola contra Repsol. Ha llegado el momento decisivo para resolver la primera gran demanda...</t>
    </r>
    <r>
      <rPr>
        <rFont val="Arial, sans-serif"/>
        <color rgb="FF1155CC"/>
        <sz val="12.0"/>
        <u/>
      </rPr>
      <t>.</t>
    </r>
    <r>
      <rPr>
        <rFont val="Arial, sans-serif"/>
        <color rgb="FF1155CC"/>
        <sz val="11.0"/>
        <u/>
      </rPr>
      <t>17 nov 2024</t>
    </r>
  </si>
  <si>
    <t>Iberdrola-Repsol, llega el primer juicio de 'greenwashing'</t>
  </si>
  <si>
    <t>El jueves, hay vista oral en Santander por la denuncia de Iberdrola contra Repsol. Ha llegado el momento decisivo para resolver la primera gran demanda....</t>
  </si>
  <si>
    <t>Iberdrola-Repsol, the first 'greenwashing' trial arrives</t>
  </si>
  <si>
    <t>On Thursday, there is an oral hearing in Santander for Iberdrola's complaint against Repsol. The decisive moment has arrived to resolve the first major demand....</t>
  </si>
  <si>
    <t>Negative, discusses the ongoing trial between two energy giants over misleading environmental claims.</t>
  </si>
  <si>
    <t>Strong negative legal issue</t>
  </si>
  <si>
    <t>Fuerte cuestión jurídica negativa</t>
  </si>
  <si>
    <r>
      <rPr>
        <rFont val="Arial, sans-serif"/>
        <color rgb="FF1155CC"/>
        <sz val="9.0"/>
        <u/>
      </rPr>
      <t>Salamancahoy</t>
    </r>
    <r>
      <rPr>
        <rFont val="Arial, sans-serif"/>
        <color rgb="FF1155CC"/>
        <sz val="15.0"/>
        <u/>
      </rPr>
      <t>El céntrico restaurante de Salamanca de 1980 con solete Repsol por la cocina de siempre</t>
    </r>
    <r>
      <rPr>
        <rFont val="Arial, sans-serif"/>
        <color rgb="FF1155CC"/>
        <sz val="11.0"/>
        <u/>
      </rPr>
      <t>'El Bardo', que se mantiene como una cooperativa, ha recibido recientemente un reconocimiento por parte de la guía gastronómica.</t>
    </r>
    <r>
      <rPr>
        <rFont val="Arial, sans-serif"/>
        <color rgb="FF1155CC"/>
        <sz val="12.0"/>
        <u/>
      </rPr>
      <t>.</t>
    </r>
    <r>
      <rPr>
        <rFont val="Arial, sans-serif"/>
        <color rgb="FF1155CC"/>
        <sz val="11.0"/>
        <u/>
      </rPr>
      <t>17 nov 2024</t>
    </r>
  </si>
  <si>
    <t>El céntrico restaurante de Salamanca de 1980 con solete Repsol por la cocina de siempre.</t>
  </si>
  <si>
    <t>'El Bardo', que se mantiene como una cooperativa, ha recibido recientemente un reconocimiento por parte de la guía gastronómica.</t>
  </si>
  <si>
    <t>The central Salamanca restaurant from 1980 with Repsol solete for traditional cuisine.</t>
  </si>
  <si>
    <t>'El Bardo', which is maintained as a cooperative, has recently received recognition from the gastronomic guide.</t>
  </si>
  <si>
    <r>
      <rPr>
        <rFont val="Arial, sans-serif"/>
        <color rgb="FF1155CC"/>
        <sz val="9.0"/>
        <u/>
      </rPr>
      <t>Aragón Digital</t>
    </r>
    <r>
      <rPr>
        <rFont val="Arial, sans-serif"/>
        <color rgb="FF1155CC"/>
        <sz val="15.0"/>
        <u/>
      </rPr>
      <t>Estas cuatro pastelerías "con Solera" de Aragón tienen ya su Solete de la guía Repsol</t>
    </r>
    <r>
      <rPr>
        <rFont val="Arial, sans-serif"/>
        <color rgb="FF1155CC"/>
        <sz val="11.0"/>
        <u/>
      </rPr>
      <t>Estas cuatro pastelerías aragonesas han sido reconocidas por la guía Repsol por sus creaciones artesanas. soletes-con-solera photo_camera El reconocimiento...</t>
    </r>
    <r>
      <rPr>
        <rFont val="Arial, sans-serif"/>
        <color rgb="FF1155CC"/>
        <sz val="12.0"/>
        <u/>
      </rPr>
      <t>.</t>
    </r>
    <r>
      <rPr>
        <rFont val="Arial, sans-serif"/>
        <color rgb="FF1155CC"/>
        <sz val="11.0"/>
        <u/>
      </rPr>
      <t>17 nov 2024</t>
    </r>
  </si>
  <si>
    <t>Estas cuatro pastelerías "con Solera" de Aragón tienen ya su Solete de la guía Repsol</t>
  </si>
  <si>
    <t>Estas cuatro pastelerías aragonesas han sido reconocidas por la guía Repsol por sus creaciones artesanas.</t>
  </si>
  <si>
    <t>These four pastry shops "with Solera" in Aragon already have their Solete from the Repsol guide</t>
  </si>
  <si>
    <t>These four Aragonese pastry shops have been recognized by the Repsol guide for their artisan creations.</t>
  </si>
  <si>
    <r>
      <rPr>
        <rFont val="Arial, sans-serif"/>
        <color rgb="FF1155CC"/>
        <sz val="9.0"/>
        <u/>
      </rPr>
      <t>heraldo.es</t>
    </r>
    <r>
      <rPr>
        <rFont val="Arial, sans-serif"/>
        <color rgb="FF1155CC"/>
        <sz val="15.0"/>
        <u/>
      </rPr>
      <t>El restaurante de Teruel escondido en las orillas del río Pitarque es un nuevo Solete Repsol</t>
    </r>
    <r>
      <rPr>
        <rFont val="Arial, sans-serif"/>
        <color rgb="FF1155CC"/>
        <sz val="11.0"/>
        <u/>
      </rPr>
      <t>Se trata de uno de los establecimientos de Teruel que han conseguido esta distinción en la 10ª edición de los Soletes con Solera de la Guía Repsol.</t>
    </r>
    <r>
      <rPr>
        <rFont val="Arial, sans-serif"/>
        <color rgb="FF1155CC"/>
        <sz val="12.0"/>
        <u/>
      </rPr>
      <t>.</t>
    </r>
    <r>
      <rPr>
        <rFont val="Arial, sans-serif"/>
        <color rgb="FF1155CC"/>
        <sz val="11.0"/>
        <u/>
      </rPr>
      <t>17 nov 2024</t>
    </r>
  </si>
  <si>
    <t>El restaurante de Teruel escondido en las orillas del río Pitarque es un nuevo Solete Repsol</t>
  </si>
  <si>
    <t>Se trata de uno de los establecimientos de Teruel que han conseguido esta distinción en la 10ª edición de los Soletes con Solera de la Guía Repsol.</t>
  </si>
  <si>
    <t>The Teruel restaurant hidden on the banks of the Pitarque River is a new Solete Repsol</t>
  </si>
  <si>
    <t>This is one of the establishments in Teruel that have achieved this distinction in the 10th edition of the Repsol Guide's Soletes con Solera.</t>
  </si>
  <si>
    <r>
      <rPr>
        <rFont val="Arial, sans-serif"/>
        <color rgb="FF1155CC"/>
        <sz val="9.0"/>
        <u/>
      </rPr>
      <t>Box Repsol</t>
    </r>
    <r>
      <rPr>
        <rFont val="Arial, sans-serif"/>
        <color rgb="FF1155CC"/>
        <sz val="15.0"/>
        <u/>
      </rPr>
      <t>Resultados del GP Solidario de MotoGP</t>
    </r>
    <r>
      <rPr>
        <rFont val="Arial, sans-serif"/>
        <color rgb="FF1155CC"/>
        <sz val="11.0"/>
        <u/>
      </rPr>
      <t>Crónica y resultados de la carrera del GP Solidario de MotoGP 2024, disputada en el Circuit de Barcelona-Catalunya.</t>
    </r>
    <r>
      <rPr>
        <rFont val="Arial, sans-serif"/>
        <color rgb="FF1155CC"/>
        <sz val="12.0"/>
        <u/>
      </rPr>
      <t>.</t>
    </r>
    <r>
      <rPr>
        <rFont val="Arial, sans-serif"/>
        <color rgb="FF1155CC"/>
        <sz val="11.0"/>
        <u/>
      </rPr>
      <t>17 nov 2024</t>
    </r>
  </si>
  <si>
    <t>Resultados del GP Solidario de MotoGP 2024</t>
  </si>
  <si>
    <t>Crónica y resultados de la carrera del GP Solidario de MotoGP 2024, disputada en el Circuit de Barcelona-Catalunya.</t>
  </si>
  <si>
    <t>Results of the 2024 MotoGP Solidarity GP</t>
  </si>
  <si>
    <t>Chronicle and results of the 2024 MotoGP Solidarity GP race, held at the Circuit de Barcelona-Catalunya.</t>
  </si>
  <si>
    <r>
      <rPr>
        <rFont val="Arial, sans-serif"/>
        <color rgb="FF1155CC"/>
        <sz val="9.0"/>
        <u/>
      </rPr>
      <t>Málaga Hoy</t>
    </r>
    <r>
      <rPr>
        <rFont val="Arial, sans-serif"/>
        <color rgb="FF1155CC"/>
        <sz val="15.0"/>
        <u/>
      </rPr>
      <t>Estos son los platos estrella que podrás probar en este restaurante de Marbella con Solete de la Guía Repsol</t>
    </r>
    <r>
      <rPr>
        <rFont val="Arial, sans-serif"/>
        <color rgb="FF1155CC"/>
        <sz val="11.0"/>
        <u/>
      </rPr>
      <t>Estas son algunas recomendaciones en tu comanda cuando disfrute del nuevo Solete de Málaga en Marbella, restaurante-bar Diamante.</t>
    </r>
    <r>
      <rPr>
        <rFont val="Arial, sans-serif"/>
        <color rgb="FF1155CC"/>
        <sz val="12.0"/>
        <u/>
      </rPr>
      <t>.</t>
    </r>
    <r>
      <rPr>
        <rFont val="Arial, sans-serif"/>
        <color rgb="FF1155CC"/>
        <sz val="11.0"/>
        <u/>
      </rPr>
      <t>17 nov 2024</t>
    </r>
  </si>
  <si>
    <t>Estos son los platos estrella que podrás probar en este restaurante de Marbella con Solete de la Guía Repsol</t>
  </si>
  <si>
    <t>Estas son algunas recomendaciones en tu comanda cuando disfrute del nuevo Solete de Málaga en Marbella, restaurante-bar Diamante.</t>
  </si>
  <si>
    <t>These are the star dishes that you can try at this restaurant in Marbella with Solete from the Repsol Guide</t>
  </si>
  <si>
    <t>These are some recommendations for your order when you enjoy the new Solete de Málaga in Marbella, Diamante restaurant-bar.</t>
  </si>
  <si>
    <r>
      <rPr>
        <rFont val="Arial, sans-serif"/>
        <color rgb="FF1155CC"/>
        <sz val="9.0"/>
        <u/>
      </rPr>
      <t>EL PAÍS</t>
    </r>
    <r>
      <rPr>
        <rFont val="Arial, sans-serif"/>
        <color rgb="FF1155CC"/>
        <sz val="15.0"/>
        <u/>
      </rPr>
      <t>Junts saca el gen de Convergència y se alía con la banca y las empresas para presionar al Gobierno</t>
    </r>
    <r>
      <rPr>
        <rFont val="Arial, sans-serif"/>
        <color rgb="FF1155CC"/>
        <sz val="11.0"/>
        <u/>
      </rPr>
      <t>El grupo que lidera Míriam Nogueras en el Congreso defiende los resultados que aporta su estrategia negociadora: “Lo que hacemos nosotros no lo ha hecho...</t>
    </r>
    <r>
      <rPr>
        <rFont val="Arial, sans-serif"/>
        <color rgb="FF1155CC"/>
        <sz val="12.0"/>
        <u/>
      </rPr>
      <t>.</t>
    </r>
    <r>
      <rPr>
        <rFont val="Arial, sans-serif"/>
        <color rgb="FF1155CC"/>
        <sz val="11.0"/>
        <u/>
      </rPr>
      <t>17 nov 2024</t>
    </r>
  </si>
  <si>
    <t>Junts saca el gen de Convergència y se alía con la banca y las empresas para presionar al Gobierno</t>
  </si>
  <si>
    <t>El grupo que lidera Míriam Nogueras en el Congreso defiende los resultados que aporta su estrategia negociadora: “Lo que hacemos nosotros no lo ha hecho....</t>
  </si>
  <si>
    <t>Junts brings out the Convergència gene and joins forces with banks and companies to pressure the Government</t>
  </si>
  <si>
    <t>The group led by Míriam Nogueras in Congress defends the results provided by its negotiating strategy: “What we do has not been done...</t>
  </si>
  <si>
    <t>Junts, Government, Tax reform</t>
  </si>
  <si>
    <t>Junts, Gobierno, Reforma fiscal</t>
  </si>
  <si>
    <t>Negative, discusses political maneuvering to block tax reform.</t>
  </si>
  <si>
    <r>
      <rPr>
        <rFont val="Arial, sans-serif"/>
        <color rgb="FF1155CC"/>
        <sz val="9.0"/>
        <u/>
      </rPr>
      <t>El Comercio Perú</t>
    </r>
    <r>
      <rPr>
        <rFont val="Arial, sans-serif"/>
        <color rgb="FF1155CC"/>
        <sz val="15.0"/>
        <u/>
      </rPr>
      <t>Balón Rosa venció 2-1 a Valquiria y clasifica a semifinales del Semillero Repsol de Fútbol Femenino</t>
    </r>
    <r>
      <rPr>
        <rFont val="Arial, sans-serif"/>
        <color rgb="FF1155CC"/>
        <sz val="11.0"/>
        <u/>
      </rPr>
      <t>Balón Rosa se impuso 2-1 a Valquiria por la cuarta fecha del Semillero Repsol de Fútbol Femenino, asegurando su pase a la semifinal del torneo.</t>
    </r>
    <r>
      <rPr>
        <rFont val="Arial, sans-serif"/>
        <color rgb="FF1155CC"/>
        <sz val="12.0"/>
        <u/>
      </rPr>
      <t>.</t>
    </r>
    <r>
      <rPr>
        <rFont val="Arial, sans-serif"/>
        <color rgb="FF1155CC"/>
        <sz val="11.0"/>
        <u/>
      </rPr>
      <t>17 nov 2024</t>
    </r>
  </si>
  <si>
    <t>Balón Rosa venció 2-1 a Valquiria y clasifica a semifinales del Semillero Repsol de Fútbol Femenino</t>
  </si>
  <si>
    <t>Balón Rosa se impuso 2-1 a Valquiria por la cuarta fecha del Semillero Repsol de Fútbol Femenino, asegurando su pase a la semifinal del torneo.</t>
  </si>
  <si>
    <t>Balón Rosa defeated Valquiria 2-1 and qualified for the semifinals of the Repsol Women's Soccer Seedbed</t>
  </si>
  <si>
    <t>Ballon Rosa beat Valquiria 2-1 for the fourth round of the Repsol Women's Soccer Seedbed, ensuring their place in the semifinals of the tournament.</t>
  </si>
  <si>
    <r>
      <rPr>
        <rFont val="Arial, sans-serif"/>
        <color rgb="FF1155CC"/>
        <sz val="9.0"/>
        <u/>
      </rPr>
      <t>El Comercio Perú</t>
    </r>
    <r>
      <rPr>
        <rFont val="Arial, sans-serif"/>
        <color rgb="FF1155CC"/>
        <sz val="15.0"/>
        <u/>
      </rPr>
      <t>AS Tingo venció 3-1 a Real Brio y clasifica a la semifinal del Semillero Repsol de Fútbol Femenino</t>
    </r>
    <r>
      <rPr>
        <rFont val="Arial, sans-serif"/>
        <color rgb="FF1155CC"/>
        <sz val="11.0"/>
        <u/>
      </rPr>
      <t>AS Tingo vs Real Brío: sigue el partido por la cuarta fecha del Semillero Repsol de Fútbol Femenino.</t>
    </r>
    <r>
      <rPr>
        <rFont val="Arial, sans-serif"/>
        <color rgb="FF1155CC"/>
        <sz val="12.0"/>
        <u/>
      </rPr>
      <t>.</t>
    </r>
    <r>
      <rPr>
        <rFont val="Arial, sans-serif"/>
        <color rgb="FF1155CC"/>
        <sz val="11.0"/>
        <u/>
      </rPr>
      <t>17 nov 2024</t>
    </r>
  </si>
  <si>
    <t>AS Tingo venció 3-1 a Real Brio y clasifica a la semifinal del Semillero Repsol de Fútbol Femenino</t>
  </si>
  <si>
    <t>AS Tingo venció 3-1 a Real Brío y clasifica a la semifinal del Semillero Repsol de Fútbol Femenino.</t>
  </si>
  <si>
    <t>AS Tingo beat Real Brio 3-1 and qualifies for the semifinal of the Repsol Women's Soccer Seedbed</t>
  </si>
  <si>
    <t>AS Tingo beat Real Brío 3-1 and qualified for the semi-final of the Repsol Women's Soccer Seedbed.</t>
  </si>
  <si>
    <r>
      <rPr>
        <rFont val="Arial, sans-serif"/>
        <color rgb="FF1155CC"/>
        <sz val="9.0"/>
        <u/>
      </rPr>
      <t>El Comercio Perú</t>
    </r>
    <r>
      <rPr>
        <rFont val="Arial, sans-serif"/>
        <color rgb="FF1155CC"/>
        <sz val="15.0"/>
        <u/>
      </rPr>
      <t>Kairos venció Cruzeiro y pasó a la semifinal del Semillero Repsol de Fútbol Femenino</t>
    </r>
    <r>
      <rPr>
        <color rgb="FF1155CC"/>
        <sz val="11.0"/>
        <u/>
      </rPr>
      <t>Kairos se llevó la victoria por 1-0 frente a Cruzeiro, gracias al gol de Bianca Silva en una jugada clave. La habilidad de Silva en el ataque fue...</t>
    </r>
    <r>
      <rPr>
        <color rgb="FF1155CC"/>
        <u/>
      </rPr>
      <t>.</t>
    </r>
    <r>
      <rPr>
        <color rgb="FF1155CC"/>
        <sz val="11.0"/>
        <u/>
      </rPr>
      <t>17 nov 2024</t>
    </r>
  </si>
  <si>
    <t>Kairos venció Cruzeiro y pasó a la semifinal del Semillero Repsol de Fútbol Femenino</t>
  </si>
  <si>
    <t>Kairos se llevó la victoria por 1-0 frente a Cruzeiro, gracias al gol de Bianca Silva en una jugada clave. La habilidad de Silva en el ataque fue....</t>
  </si>
  <si>
    <t>Kairos defeated Cruzeiro and went to the semifinal of the Repsol Women's Soccer Seedbed</t>
  </si>
  <si>
    <t>Kairos took the 1-0 victory against Cruzeiro, thanks to Bianca Silva's goal in a key play. Silva's attacking ability was...</t>
  </si>
  <si>
    <r>
      <rPr>
        <rFont val="Arial, sans-serif"/>
        <color rgb="FF1155CC"/>
        <sz val="9.0"/>
        <u/>
      </rPr>
      <t>Greenpeace España</t>
    </r>
    <r>
      <rPr>
        <rFont val="Arial, sans-serif"/>
        <color rgb="FF1155CC"/>
        <sz val="15.0"/>
        <u/>
      </rPr>
      <t>Greenpeace proyecta en el Congreso de los Diputados el mensaje “Aquí manda Repsol”</t>
    </r>
    <r>
      <rPr>
        <rFont val="Arial, sans-serif"/>
        <color rgb="FF1155CC"/>
        <sz val="11.0"/>
        <u/>
      </rPr>
      <t>Greenpeace proyecta en el Congreso de los Diputados el mensaje “Aquí manda Repsol”</t>
    </r>
    <r>
      <rPr>
        <rFont val="Arial, sans-serif"/>
        <color rgb="FF1155CC"/>
        <sz val="12.0"/>
        <u/>
      </rPr>
      <t>.</t>
    </r>
    <r>
      <rPr>
        <rFont val="Arial, sans-serif"/>
        <color rgb="FF1155CC"/>
        <sz val="11.0"/>
        <u/>
      </rPr>
      <t>18 nov 2024</t>
    </r>
  </si>
  <si>
    <t>Aquí manda Repsol</t>
  </si>
  <si>
    <t>Greenpeace proyecta en el Congreso de los Diputados el mensaje “Aquí manda Repsol”.</t>
  </si>
  <si>
    <t>Repsol rules here</t>
  </si>
  <si>
    <t>Greenpeace projects the message “Repsol rules here” in the Congress of Deputies.</t>
  </si>
  <si>
    <t>Repsol, Greenpeace, Congress</t>
  </si>
  <si>
    <t>Repsol, Greenpeace, Congreso</t>
  </si>
  <si>
    <t>Negative, Greenpeace's action to protest Repsol's influence in politics.</t>
  </si>
  <si>
    <t>Greenpeace protesta</t>
  </si>
  <si>
    <t>Strong negative activist criticism</t>
  </si>
  <si>
    <t>Fuertes críticas negativas de los activistas</t>
  </si>
  <si>
    <r>
      <rPr>
        <rFont val="Arial, sans-serif"/>
        <color rgb="FF1155CC"/>
        <sz val="9.0"/>
        <u/>
      </rPr>
      <t>El Periódico de la Energía</t>
    </r>
    <r>
      <rPr>
        <rFont val="Arial, sans-serif"/>
        <color rgb="FF1155CC"/>
        <sz val="15.0"/>
        <u/>
      </rPr>
      <t>Primor se alía con Repsol para transformar sus estaciones de servicio en centros de belleza</t>
    </r>
    <r>
      <rPr>
        <rFont val="Arial, sans-serif"/>
        <color rgb="FF1155CC"/>
        <sz val="11.0"/>
        <u/>
      </rPr>
      <t>Primor y Repsol se han aliado para llevar la belleza y el autocuidado a las estaciones de servicio de la compañía multienergética en España y Portugal,...</t>
    </r>
    <r>
      <rPr>
        <rFont val="Arial, sans-serif"/>
        <color rgb="FF1155CC"/>
        <sz val="12.0"/>
        <u/>
      </rPr>
      <t>.</t>
    </r>
    <r>
      <rPr>
        <rFont val="Arial, sans-serif"/>
        <color rgb="FF1155CC"/>
        <sz val="11.0"/>
        <u/>
      </rPr>
      <t>18 nov 2024</t>
    </r>
  </si>
  <si>
    <t>Primor se alía con Repsol para transformar sus estaciones de servicio en centros de belleza</t>
  </si>
  <si>
    <t>Primor y Repsol se han aliado para llevar la belleza y el autocuidado a las estaciones de servicio de la compañía multienergética en España y Portugal,....</t>
  </si>
  <si>
    <t>Primor joins forces with Repsol to transform its service stations into beauty centers</t>
  </si>
  <si>
    <t>Primor and Repsol have teamed up to bring beauty and self-care to the multi-energy company's service stations in Spain and Portugal....</t>
  </si>
  <si>
    <t>Primor, Repsol, Beauty centers</t>
  </si>
  <si>
    <t>Primor, Repsol, Centros de belleza</t>
  </si>
  <si>
    <t>Positive, reflects a business innovation between Primor and Repsol.</t>
  </si>
  <si>
    <r>
      <rPr>
        <rFont val="Arial, sans-serif"/>
        <color rgb="FF1155CC"/>
        <sz val="9.0"/>
        <u/>
      </rPr>
      <t>InfoRETAIL</t>
    </r>
    <r>
      <rPr>
        <rFont val="Arial, sans-serif"/>
        <color rgb="FF1155CC"/>
        <sz val="15.0"/>
        <u/>
      </rPr>
      <t>Alianza entre Repsol y Perfumerías Primor</t>
    </r>
    <r>
      <rPr>
        <rFont val="Arial, sans-serif"/>
        <color rgb="FF1155CC"/>
        <sz val="11.0"/>
        <u/>
      </rPr>
      <t>infoRETAIL.- Perfumerías Primor y Repsol se alían para acercar los productos de belleza y autocuidado a las estaciones de servicio de la compañía petrolera...</t>
    </r>
    <r>
      <rPr>
        <rFont val="Arial, sans-serif"/>
        <color rgb="FF1155CC"/>
        <sz val="12.0"/>
        <u/>
      </rPr>
      <t>.</t>
    </r>
    <r>
      <rPr>
        <rFont val="Arial, sans-serif"/>
        <color rgb="FF1155CC"/>
        <sz val="11.0"/>
        <u/>
      </rPr>
      <t>18 nov 2024</t>
    </r>
  </si>
  <si>
    <t>infoRETAIL</t>
  </si>
  <si>
    <t>Alianza entre Repsol y Perfumerías Primor</t>
  </si>
  <si>
    <t>Perfumerías Primor y Repsol se alían para acercar los productos de belleza y autocuidado a las estaciones de servicio de la compañía petrolera.</t>
  </si>
  <si>
    <t>Alliance between Repsol and Primor Perfumeries</t>
  </si>
  <si>
    <t>Primor Perfumeries and Repsol join forces to bring beauty and self-care products to the oil company's service stations.</t>
  </si>
  <si>
    <t>Primor, Repsol, Beauty products</t>
  </si>
  <si>
    <t>Primor, Repsol, Productos de belleza</t>
  </si>
  <si>
    <t>Positive, the partnership brings beauty products to Repsol stations.</t>
  </si>
  <si>
    <t>Positive retail partnership</t>
  </si>
  <si>
    <t>Asociación minorista positiva</t>
  </si>
  <si>
    <r>
      <rPr>
        <rFont val="Arial, sans-serif"/>
        <color rgb="FF1155CC"/>
        <sz val="9.0"/>
        <u/>
      </rPr>
      <t>CapitalMadrid</t>
    </r>
    <r>
      <rPr>
        <rFont val="Arial, sans-serif"/>
        <color rgb="FF1155CC"/>
        <sz val="15.0"/>
        <u/>
      </rPr>
      <t>Iberdrola y Repsol dirimen esta semana su estrafalaria pelea de gallos por el cliente 'verde'</t>
    </r>
    <r>
      <rPr>
        <rFont val="Arial, sans-serif"/>
        <color rgb="FF1155CC"/>
        <sz val="11.0"/>
        <u/>
      </rPr>
      <t>La 'pelea de gallos' entre Iberdrola y Repsol se pone esta semana judicialmente 'verde', aunque parezca un chiste. En un mercado eléctrico cada vez más...</t>
    </r>
    <r>
      <rPr>
        <rFont val="Arial, sans-serif"/>
        <color rgb="FF1155CC"/>
        <sz val="12.0"/>
        <u/>
      </rPr>
      <t>.</t>
    </r>
    <r>
      <rPr>
        <rFont val="Arial, sans-serif"/>
        <color rgb="FF1155CC"/>
        <sz val="11.0"/>
        <u/>
      </rPr>
      <t>18 nov 2024</t>
    </r>
  </si>
  <si>
    <t>Iberdrola y Repsol dirimen esta semana su estrafalaria pelea de gallos por el cliente 'verde'</t>
  </si>
  <si>
    <t>La 'pelea de gallos' entre Iberdrola y Repsol se pone esta semana judicialmente 'verde', aunque parezca un chiste. En un mercado eléctrico cada vez más....</t>
  </si>
  <si>
    <t>Iberdrola and Repsol settle this week their bizarre cockfight over the 'green' client</t>
  </si>
  <si>
    <t>The 'cockfight' between Iberdrola and Repsol turns judicially 'green' this week, although it may seem like a joke. In an increasingly electric market...</t>
  </si>
  <si>
    <t>Negative, covers the legal dispute between two energy giants.</t>
  </si>
  <si>
    <t>pelea</t>
  </si>
  <si>
    <t>Negative corporate conflict</t>
  </si>
  <si>
    <t>Conflicto corporativo negativo</t>
  </si>
  <si>
    <r>
      <rPr>
        <rFont val="Arial, sans-serif"/>
        <color rgb="FF1155CC"/>
        <sz val="9.0"/>
        <u/>
      </rPr>
      <t>Estrategias de Inversión</t>
    </r>
    <r>
      <rPr>
        <rFont val="Arial, sans-serif"/>
        <color rgb="FF1155CC"/>
        <sz val="15.0"/>
        <u/>
      </rPr>
      <t>Esta semana se celebra el Juicio entre Iberdrola y la petrolera Repsol por publicidad engañosa y 'greenwas...</t>
    </r>
    <r>
      <rPr>
        <rFont val="Arial, sans-serif"/>
        <color rgb="FF1155CC"/>
        <sz val="11.0"/>
        <u/>
      </rPr>
      <t>Iberdrola y Repsol se enfrentan en juicio en Santander por demanda de la eléctrica contra la petrolera. La demanda se basa en actos de engaño y omisiones...</t>
    </r>
    <r>
      <rPr>
        <rFont val="Arial, sans-serif"/>
        <color rgb="FF1155CC"/>
        <sz val="12.0"/>
        <u/>
      </rPr>
      <t>.</t>
    </r>
    <r>
      <rPr>
        <rFont val="Arial, sans-serif"/>
        <color rgb="FF1155CC"/>
        <sz val="11.0"/>
        <u/>
      </rPr>
      <t>18 nov 2024</t>
    </r>
  </si>
  <si>
    <t>Iberdrola y Repsol se enfrentan en juicio en Santander por demanda de la eléctrica contra la petrolera.</t>
  </si>
  <si>
    <t>Iberdrola y Repsol se enfrentan en juicio en Santander por demanda de la eléctrica contra la petrolera. La demanda se basa en actos de engaño y omisiones.</t>
  </si>
  <si>
    <t>Iberdrola and Repsol face a trial in Santander due to a lawsuit by the electricity company against the oil company.</t>
  </si>
  <si>
    <t>Iberdrola and Repsol face a trial in Santander due to a lawsuit by the electricity company against the oil company. The lawsuit is based on acts of deception and omissions.</t>
  </si>
  <si>
    <t>Iberdrola, Repsol, Trial</t>
  </si>
  <si>
    <t>Iberdrola, Repsol, Juicio</t>
  </si>
  <si>
    <t>Negative, discusses the lawsuit over environmental misrepresentation.</t>
  </si>
  <si>
    <r>
      <rPr>
        <rFont val="Arial, sans-serif"/>
        <color rgb="FF1155CC"/>
        <sz val="9.0"/>
        <u/>
      </rPr>
      <t>Idealista</t>
    </r>
    <r>
      <rPr>
        <rFont val="Arial, sans-serif"/>
        <color rgb="FF1155CC"/>
        <sz val="15.0"/>
        <u/>
      </rPr>
      <t>Primor y Repsol se unen para llevar el cuidado personal a sus estaciones de servicio en España y Portugal</t>
    </r>
    <r>
      <rPr>
        <rFont val="Arial, sans-serif"/>
        <color rgb="FF1155CC"/>
        <sz val="11.0"/>
        <u/>
      </rPr>
      <t>La nueva colaboración entre Primor y Repsol busca acercar la belleza y el autocuidado a los viajeros, ofreciendo kits de productos en más de 1.800...</t>
    </r>
    <r>
      <rPr>
        <rFont val="Arial, sans-serif"/>
        <color rgb="FF1155CC"/>
        <sz val="12.0"/>
        <u/>
      </rPr>
      <t>.</t>
    </r>
    <r>
      <rPr>
        <rFont val="Arial, sans-serif"/>
        <color rgb="FF1155CC"/>
        <sz val="11.0"/>
        <u/>
      </rPr>
      <t>18 nov 2024</t>
    </r>
  </si>
  <si>
    <t>Primor y Repsol se unen para llevar el cuidado personal a sus estaciones de servicio en España y Portugal</t>
  </si>
  <si>
    <t>La nueva colaboración entre Primor y Repsol busca acercar la belleza y el autocuidado a los viajeros, ofreciendo kits de productos en más de 1.800....</t>
  </si>
  <si>
    <t>Primor and Repsol join forces to bring personal care to their service stations in Spain and Portugal</t>
  </si>
  <si>
    <t>The new collaboration between Primor and Repsol seeks to bring beauty and self-care to travelers, offering product kits in more than 1,800...</t>
  </si>
  <si>
    <t>Negative, highlights ongoing legal tensions between the two companies.</t>
  </si>
  <si>
    <t>colaboración</t>
  </si>
  <si>
    <r>
      <rPr>
        <rFont val="Arial, sans-serif"/>
        <color rgb="FF1155CC"/>
        <sz val="9.0"/>
        <u/>
      </rPr>
      <t>Confilegal</t>
    </r>
    <r>
      <rPr>
        <rFont val="Arial, sans-serif"/>
        <color rgb="FF1155CC"/>
        <sz val="15.0"/>
        <u/>
      </rPr>
      <t>Iberdrola y Repsol se verán las caras este jueves en los Juzgados de Santander por demanda por 'greenwashing'</t>
    </r>
    <r>
      <rPr>
        <rFont val="Arial, sans-serif"/>
        <color rgb="FF1155CC"/>
        <sz val="11.0"/>
        <u/>
      </rPr>
      <t>Iberdrola y Repsol se verán las caras este jueves, 21 de noviembre, en el Juzgado de lo Mercantil de Santander en la demanda presentada por la eléctrica...</t>
    </r>
    <r>
      <rPr>
        <rFont val="Arial, sans-serif"/>
        <color rgb="FF1155CC"/>
        <sz val="12.0"/>
        <u/>
      </rPr>
      <t>.</t>
    </r>
    <r>
      <rPr>
        <rFont val="Arial, sans-serif"/>
        <color rgb="FF1155CC"/>
        <sz val="11.0"/>
        <u/>
      </rPr>
      <t>18 nov 2024</t>
    </r>
  </si>
  <si>
    <t>Iberdrola y Repsol se verán las caras este jueves en los Juzgados de Santander por demanda por 'greenwashing'</t>
  </si>
  <si>
    <t>Iberdrola y Repsol se verán las caras este jueves, 21 de noviembre, en el Juzgado de lo Mercantil de Santander en la demanda presentada por la eléctrica....</t>
  </si>
  <si>
    <t>Iberdrola and Repsol will face each other this Thursday in the Santander Courts due to a lawsuit for 'greenwashing'</t>
  </si>
  <si>
    <t>Iberdrola and Repsol will face each other this Thursday, November 21, in the Commercial Court of Santander in the lawsuit filed by the electricity company....</t>
  </si>
  <si>
    <t>Iberdrola, Repsol, Court</t>
  </si>
  <si>
    <t>Iberdrola, Repsol, Tribunal</t>
  </si>
  <si>
    <t>Negative, the fight over environmental accusations persists.</t>
  </si>
  <si>
    <r>
      <rPr>
        <rFont val="Arial, sans-serif"/>
        <color rgb="FF1155CC"/>
        <sz val="9.0"/>
        <u/>
      </rPr>
      <t>El Periódico</t>
    </r>
    <r>
      <rPr>
        <rFont val="Arial, sans-serif"/>
        <color rgb="FF1155CC"/>
        <sz val="15.0"/>
        <u/>
      </rPr>
      <t>VÍDEO | Greenpeace proyecta el mensaje "Aquí manda Repsol" sobre el Congreso de los Diputados</t>
    </r>
    <r>
      <rPr>
        <rFont val="Arial, sans-serif"/>
        <color rgb="FF1155CC"/>
        <sz val="11.0"/>
        <u/>
      </rPr>
      <t>VÍDEO | Greenpeace proyecta el mensaje "Aquí manda Repsol" sobre el Congreso de los Diputados. VÍDEO: EFE. Lunes 18/11/2024 - 12:31. 0 Comentarios.</t>
    </r>
    <r>
      <rPr>
        <rFont val="Arial, sans-serif"/>
        <color rgb="FF1155CC"/>
        <sz val="12.0"/>
        <u/>
      </rPr>
      <t>.</t>
    </r>
    <r>
      <rPr>
        <rFont val="Arial, sans-serif"/>
        <color rgb="FF1155CC"/>
        <sz val="11.0"/>
        <u/>
      </rPr>
      <t>18 nov 2024</t>
    </r>
  </si>
  <si>
    <t>VÍDEO | Greenpeace proyecta el mensaje "Aquí manda Repsol" sobre el Congreso de los Diputados</t>
  </si>
  <si>
    <t>Greenpeace proyecta el mensaje "Aquí manda Repsol" sobre el Congreso de los Diputados.</t>
  </si>
  <si>
    <t>VIDEO | Greenpeace projects the message "Repsol rules here" on the Congress of Deputies</t>
  </si>
  <si>
    <t>Greenpeace projects the message "Repsol rules here" on the Congress of Deputies.</t>
  </si>
  <si>
    <t>Greenpeace, Repsol, Congress</t>
  </si>
  <si>
    <t>Greenpeace, Repsol, Congreso</t>
  </si>
  <si>
    <t>Negative, reflects Greenpeace's criticism of Repsol's influence in political decisions.</t>
  </si>
  <si>
    <t>protesta</t>
  </si>
  <si>
    <t>Very negative activist criticism</t>
  </si>
  <si>
    <t>Críticas activistas muy negativas</t>
  </si>
  <si>
    <r>
      <rPr>
        <rFont val="Arial, sans-serif"/>
        <color rgb="FF1155CC"/>
        <sz val="9.0"/>
        <u/>
      </rPr>
      <t>ABC</t>
    </r>
    <r>
      <rPr>
        <rFont val="Arial, sans-serif"/>
        <color rgb="FF1155CC"/>
        <sz val="15.0"/>
        <u/>
      </rPr>
      <t>Greenpeace proyecta el mensaje "Aquí manda Repsol" sobre el Congreso de los Diputados</t>
    </r>
    <r>
      <rPr>
        <rFont val="Arial, sans-serif"/>
        <color rgb="FF1155CC"/>
        <sz val="11.0"/>
        <u/>
      </rPr>
      <t>Madrid, 18 nov (EFE).- Greenpeace ha proyectado esta pasada noche el mensaje "Aquí manda Repsol" sob...</t>
    </r>
    <r>
      <rPr>
        <rFont val="Arial, sans-serif"/>
        <color rgb="FF1155CC"/>
        <sz val="12.0"/>
        <u/>
      </rPr>
      <t>.</t>
    </r>
    <r>
      <rPr>
        <rFont val="Arial, sans-serif"/>
        <color rgb="FF1155CC"/>
        <sz val="11.0"/>
        <u/>
      </rPr>
      <t>18 nov 2024</t>
    </r>
  </si>
  <si>
    <t>Greenpeace ha proyectado esta pasada noche el mensaje "Aquí manda Repsol" sobre el Congreso de los Diputados.</t>
  </si>
  <si>
    <t>Last night Greenpeace projected the message "Repsol rules here" on the Congress of Deputies.</t>
  </si>
  <si>
    <t>Negative, Greenpeace criticizes Repsol's influence in politics.</t>
  </si>
  <si>
    <r>
      <rPr>
        <rFont val="Arial, sans-serif"/>
        <color rgb="FF1155CC"/>
        <sz val="9.0"/>
        <u/>
      </rPr>
      <t>20Minutos</t>
    </r>
    <r>
      <rPr>
        <rFont val="Arial, sans-serif"/>
        <color rgb="FF1155CC"/>
        <sz val="15.0"/>
        <u/>
      </rPr>
      <t>Alianza entre Repsol y Primor: se venderán kits de belleza de la cadena de perfumerías en gasolineras</t>
    </r>
    <r>
      <rPr>
        <rFont val="Arial, sans-serif"/>
        <color rgb="FF1155CC"/>
        <sz val="11.0"/>
        <u/>
      </rPr>
      <t>Primor y Repsol han suscrito un acuerdo de colaboración para que 1.850 estaciones de servicio de la energética comercialicen kits de belleza para cubrir las...</t>
    </r>
    <r>
      <rPr>
        <rFont val="Arial, sans-serif"/>
        <color rgb="FF1155CC"/>
        <sz val="12.0"/>
        <u/>
      </rPr>
      <t>.</t>
    </r>
    <r>
      <rPr>
        <rFont val="Arial, sans-serif"/>
        <color rgb="FF1155CC"/>
        <sz val="11.0"/>
        <u/>
      </rPr>
      <t>18 nov 2024</t>
    </r>
  </si>
  <si>
    <t>Alianza entre Repsol y Primor: se venderán kits de belleza de la cadena de perfumerías en gasolineras</t>
  </si>
  <si>
    <t>Primor y Repsol han suscrito un acuerdo de colaboración para que 1.850 estaciones de servicio de la energética comercialicen kits de belleza para cubrir las....</t>
  </si>
  <si>
    <t>Alliance between Repsol and Primor: beauty kits from the perfumery chain will be sold at gas stations</t>
  </si>
  <si>
    <t>Primor and Repsol have signed a collaboration agreement so that 1,850 of the energy company's service stations can market beauty kits to cover...</t>
  </si>
  <si>
    <t>Primor, Repsol, Beauty kits</t>
  </si>
  <si>
    <t>Primor, Repsol, Kits de belleza</t>
  </si>
  <si>
    <t>Positive, introduces a new service concept at Repsol stations.</t>
  </si>
  <si>
    <t>Positive retail innovation</t>
  </si>
  <si>
    <t>Innovación minorista positiva</t>
  </si>
  <si>
    <r>
      <rPr>
        <rFont val="Arial, sans-serif"/>
        <color rgb="FF1155CC"/>
        <sz val="9.0"/>
        <u/>
      </rPr>
      <t>Guía Repsol</t>
    </r>
    <r>
      <rPr>
        <rFont val="Arial, sans-serif"/>
        <color rgb="FF1155CC"/>
        <sz val="15.0"/>
        <u/>
      </rPr>
      <t>Este bar de barrio se ha convertido en la taberna que todos quieren visitar</t>
    </r>
    <r>
      <rPr>
        <rFont val="Arial, sans-serif"/>
        <color rgb="FF1155CC"/>
        <sz val="11.0"/>
        <u/>
      </rPr>
      <t>Álvaro, Adrián y Raúl Cardoso han revolucionado la oferta hostelera de Getxo (Bizkaia) y alrededores con la propuesta de 'Baste Taberna', que aúna su pasión...</t>
    </r>
    <r>
      <rPr>
        <rFont val="Arial, sans-serif"/>
        <color rgb="FF1155CC"/>
        <sz val="12.0"/>
        <u/>
      </rPr>
      <t>.</t>
    </r>
    <r>
      <rPr>
        <rFont val="Arial, sans-serif"/>
        <color rgb="FF1155CC"/>
        <sz val="11.0"/>
        <u/>
      </rPr>
      <t>18 nov 2024</t>
    </r>
  </si>
  <si>
    <t>Este bar de barrio se ha convertido en la taberna que todos quieren visitar</t>
  </si>
  <si>
    <t>Álvaro, Adrián y Raúl Cardoso han revolucionado la oferta hostelera de Getxo (Bizkaia) y alrededores con la propuesta de 'Baste Taberna', que aúna su pasión....</t>
  </si>
  <si>
    <t>This neighborhood bar has become the tavern that everyone wants to visit</t>
  </si>
  <si>
    <t>Álvaro, Adrián and Raúl Cardoso have revolutionized the hospitality offering in Getxo (Bizkaia) and surrounding areas with the proposal of 'Baste Taberna', which combines their passion....</t>
  </si>
  <si>
    <r>
      <rPr>
        <rFont val="Arial, sans-serif"/>
        <color rgb="FF1155CC"/>
        <sz val="9.0"/>
        <u/>
      </rPr>
      <t>Expansión</t>
    </r>
    <r>
      <rPr>
        <rFont val="Arial, sans-serif"/>
        <color rgb="FF1155CC"/>
        <sz val="15.0"/>
        <u/>
      </rPr>
      <t>El Ibex cierra con suaves avances gracias a la banca, Repsol y Telefónica</t>
    </r>
    <r>
      <rPr>
        <rFont val="Arial, sans-serif"/>
        <color rgb="FF1155CC"/>
        <sz val="11.0"/>
        <u/>
      </rPr>
      <t>Las Bolsas europeas han cerrado con signo mixto en un inicio de semana sin grandes referencias macro o monetarias. Los inversores se mantienen a la espera...</t>
    </r>
    <r>
      <rPr>
        <rFont val="Arial, sans-serif"/>
        <color rgb="FF1155CC"/>
        <sz val="12.0"/>
        <u/>
      </rPr>
      <t>.</t>
    </r>
    <r>
      <rPr>
        <rFont val="Arial, sans-serif"/>
        <color rgb="FF1155CC"/>
        <sz val="11.0"/>
        <u/>
      </rPr>
      <t>18 nov 2024</t>
    </r>
  </si>
  <si>
    <t>El Ibex cierra con suaves avances gracias a la banca, Repsol y Telefónica</t>
  </si>
  <si>
    <t>Las Bolsas europeas han cerrado con signo mixto en un inicio de semana sin grandes referencias macro o monetarias. Los inversores se mantienen a la espera....</t>
  </si>
  <si>
    <t>The Ibex closes with slight advances thanks to the banks, Repsol and Telefónica</t>
  </si>
  <si>
    <t>The European stock markets have closed with a mixed sign at the beginning of the week without major macro or monetary references. Investors are waiting...</t>
  </si>
  <si>
    <t>Ibex 35, Repsol, Stock market</t>
  </si>
  <si>
    <t>Ibex 35, Repsol, Bolsa</t>
  </si>
  <si>
    <t>Positive, reflects positive movement in the stock market driven by major companies.</t>
  </si>
  <si>
    <t>Mildly positive for Repsol’s market performance.</t>
  </si>
  <si>
    <t>Ligeramente positivo para la evolución del mercado de Repsol.</t>
  </si>
  <si>
    <r>
      <rPr>
        <rFont val="Arial, sans-serif"/>
        <color rgb="FF1155CC"/>
        <sz val="9.0"/>
        <u/>
      </rPr>
      <t>Nueva Alcarria.com</t>
    </r>
    <r>
      <rPr>
        <rFont val="Arial, sans-serif"/>
        <color rgb="FF1155CC"/>
        <sz val="15.0"/>
        <u/>
      </rPr>
      <t>El Catacaldos de Molina de Aragón obtiene un Solete Repsol</t>
    </r>
    <r>
      <rPr>
        <rFont val="Arial, sans-serif"/>
        <color rgb="FF1155CC"/>
        <sz val="11.0"/>
        <u/>
      </rPr>
      <t>El restaurante "El Catacaldos", dirigido por Teresa Megino, ha recibido recientemente un Solete Repsol, un reconocimiento que, según la propietaria,...</t>
    </r>
    <r>
      <rPr>
        <rFont val="Arial, sans-serif"/>
        <color rgb="FF1155CC"/>
        <sz val="12.0"/>
        <u/>
      </rPr>
      <t>.</t>
    </r>
    <r>
      <rPr>
        <rFont val="Arial, sans-serif"/>
        <color rgb="FF1155CC"/>
        <sz val="11.0"/>
        <u/>
      </rPr>
      <t>18 nov 2024</t>
    </r>
  </si>
  <si>
    <t>Nueva Alcarria.com</t>
  </si>
  <si>
    <t>El Catacaldos de Molina de Aragón obtiene un Solete Repsol</t>
  </si>
  <si>
    <t>El restaurante "El Catacaldos", dirigido por Teresa Megino, ha recibido recientemente un Solete Repsol, un reconocimiento que, según la propietaria,....</t>
  </si>
  <si>
    <t>The Catacaldos from Molina de Aragón obtains a Repsol Solete</t>
  </si>
  <si>
    <t>The restaurant "El Catacaldos", directed by Teresa Megino, has recently received a Solete Repsol, a recognition that, according to the owner,...</t>
  </si>
  <si>
    <r>
      <rPr>
        <rFont val="Arial, sans-serif"/>
        <color rgb="FF1155CC"/>
        <sz val="9.0"/>
        <u/>
      </rPr>
      <t>El Correo Gallego</t>
    </r>
    <r>
      <rPr>
        <rFont val="Arial, sans-serif"/>
        <color rgb="FF1155CC"/>
        <sz val="15.0"/>
        <u/>
      </rPr>
      <t>Restaurantes con Soles Repsol en Santiago y Área a los que ir a cenar como un rey sin irse muy lejos</t>
    </r>
    <r>
      <rPr>
        <rFont val="Arial, sans-serif"/>
        <color rgb="FF1155CC"/>
        <sz val="11.0"/>
        <u/>
      </rPr>
      <t>La mejor gastronomía gallega combina lo contemporáneo con lo tradicional, y está mucho más cerca de lo que piensas.</t>
    </r>
    <r>
      <rPr>
        <rFont val="Arial, sans-serif"/>
        <color rgb="FF1155CC"/>
        <sz val="12.0"/>
        <u/>
      </rPr>
      <t>.</t>
    </r>
    <r>
      <rPr>
        <rFont val="Arial, sans-serif"/>
        <color rgb="FF1155CC"/>
        <sz val="11.0"/>
        <u/>
      </rPr>
      <t>18 nov 2024</t>
    </r>
  </si>
  <si>
    <t>Restaurantes con Soles Repsol en Santiago y Área a los que ir a cenar como un rey sin irse muy lejos</t>
  </si>
  <si>
    <t>La mejor gastronomía gallega combina lo contemporáneo con lo tradicional, y está mucho más cerca de lo que piensas.</t>
  </si>
  <si>
    <t>Restaurants with Repsol Soles in Santiago and the Area where you can go to dine like a king without going too far</t>
  </si>
  <si>
    <t>The best Galician gastronomy combines the contemporary with the traditional, and is much closer than you think.</t>
  </si>
  <si>
    <r>
      <rPr>
        <rFont val="Arial, sans-serif"/>
        <color rgb="FF1155CC"/>
        <sz val="9.0"/>
        <u/>
      </rPr>
      <t>El Debate</t>
    </r>
    <r>
      <rPr>
        <rFont val="Arial, sans-serif"/>
        <color rgb="FF1155CC"/>
        <sz val="15.0"/>
        <u/>
      </rPr>
      <t>Las cinco tabernas de Granada ganadoras de 'Soletes con Solera' de la Guía Repsol</t>
    </r>
    <r>
      <rPr>
        <rFont val="Arial, sans-serif"/>
        <color rgb="FF1155CC"/>
        <sz val="11.0"/>
        <u/>
      </rPr>
      <t>La Guía Repsol ha presentado esta semana una nueva edición de sus «Soletes con Solera», un distintivo que homenajea la tradición y reivindica tanto los...</t>
    </r>
    <r>
      <rPr>
        <rFont val="Arial, sans-serif"/>
        <color rgb="FF1155CC"/>
        <sz val="12.0"/>
        <u/>
      </rPr>
      <t>.</t>
    </r>
    <r>
      <rPr>
        <rFont val="Arial, sans-serif"/>
        <color rgb="FF1155CC"/>
        <sz val="11.0"/>
        <u/>
      </rPr>
      <t>18 nov 2024</t>
    </r>
  </si>
  <si>
    <t>Las cinco tabernas de Granada ganadoras de 'Soletes con Solera' de la Guía Repsol</t>
  </si>
  <si>
    <t>La Guía Repsol ha presentado esta semana una nueva edición de sus «Soletes con Solera», un distintivo que homenajea la tradición y reivindica tanto los....</t>
  </si>
  <si>
    <t>The five taverns in Granada winners of 'Soletes con Solera' from the Repsol Guide</t>
  </si>
  <si>
    <t>The Repsol Guide has presented this week a new edition of its "Soletes con Solera", a badge that pays tribute to tradition and vindicates both the...</t>
  </si>
  <si>
    <r>
      <rPr>
        <rFont val="Arial, sans-serif"/>
        <color rgb="FF1155CC"/>
        <sz val="9.0"/>
        <u/>
      </rPr>
      <t>ECOticias.com</t>
    </r>
    <r>
      <rPr>
        <rFont val="Arial, sans-serif"/>
        <color rgb="FF1155CC"/>
        <sz val="15.0"/>
        <u/>
      </rPr>
      <t>La derecha independentista de PNV y Junts, dejará caer el impuesto a las energéticas como Repsol</t>
    </r>
    <r>
      <rPr>
        <rFont val="Arial, sans-serif"/>
        <color rgb="FF1155CC"/>
        <sz val="11.0"/>
        <u/>
      </rPr>
      <t>Ecologistas exigen a los partidos un acuerdo ambicioso, con diez medidas de fiscalidad justa y verde. Esta noche se ha proyectado el mensaje “Aquí manda.</t>
    </r>
    <r>
      <rPr>
        <rFont val="Arial, sans-serif"/>
        <color rgb="FF1155CC"/>
        <sz val="12.0"/>
        <u/>
      </rPr>
      <t>.</t>
    </r>
    <r>
      <rPr>
        <rFont val="Arial, sans-serif"/>
        <color rgb="FF1155CC"/>
        <sz val="11.0"/>
        <u/>
      </rPr>
      <t>18 nov 2024</t>
    </r>
  </si>
  <si>
    <t>La derecha independentista de PNV y Junts, dejará caer el impuesto a las energéticas como Repsol</t>
  </si>
  <si>
    <t>Ecologistas exigen a los partidos un acuerdo ambicioso, con diez medidas de fiscalidad justa y verde. Esta noche se ha proyectado el mensaje “Aquí manda..</t>
  </si>
  <si>
    <t>The pro-independence right of PNV and Junts will drop the tax on energy companies like Repsol</t>
  </si>
  <si>
    <t>Ecologists demand an ambitious agreement from the parties, with ten fair and green tax measures. Tonight the message “Here is the boss” was projected.</t>
  </si>
  <si>
    <t>PNV, Junts, Repsol, Tax</t>
  </si>
  <si>
    <t>Negative, discusses political pressures to eliminate taxes on energy firms.</t>
  </si>
  <si>
    <t>Mildly positive for Repsol’s tax stance.</t>
  </si>
  <si>
    <t>Ligeramente positivo para la postura fiscal de Repsol.</t>
  </si>
  <si>
    <r>
      <rPr>
        <rFont val="Arial, sans-serif"/>
        <color rgb="FF1155CC"/>
        <sz val="9.0"/>
        <u/>
      </rPr>
      <t>Infobae</t>
    </r>
    <r>
      <rPr>
        <rFont val="Arial, sans-serif"/>
        <color rgb="FF1155CC"/>
        <sz val="15.0"/>
        <u/>
      </rPr>
      <t>“Aquí manda Repsol”: el mensaje que Greenpeace ha proyectado en el Congreso para pedir que se mantenga el impuesto a las energéticas</t>
    </r>
    <r>
      <rPr>
        <rFont val="Arial, sans-serif"/>
        <color rgb="FF1155CC"/>
        <sz val="11.0"/>
        <u/>
      </rPr>
      <t>Greenpeace ha proyectado esta noche el mensaje “Aquí manda Repsol” sobre el edificio del Congreso de los Diputados de Madrid, para expresar su “contundente...</t>
    </r>
    <r>
      <rPr>
        <rFont val="Arial, sans-serif"/>
        <color rgb="FF1155CC"/>
        <sz val="12.0"/>
        <u/>
      </rPr>
      <t>.</t>
    </r>
    <r>
      <rPr>
        <rFont val="Arial, sans-serif"/>
        <color rgb="FF1155CC"/>
        <sz val="11.0"/>
        <u/>
      </rPr>
      <t>18 nov 2024</t>
    </r>
  </si>
  <si>
    <t>“Aquí manda Repsol”: el mensaje que Greenpeace ha proyectado en el Congreso para pedir que se mantenga el impuesto a las energéticas</t>
  </si>
  <si>
    <t>Greenpeace ha proyectado esta noche el mensaje “Aquí manda Repsol” sobre el edificio del Congreso de los Diputados de Madrid, para expresar su “contundente....</t>
  </si>
  <si>
    <t>“Repsol rules here”: the message that Greenpeace has projected in Congress to request that the tax on energy companies be maintained</t>
  </si>
  <si>
    <t>Tonight Greenpeace projected the message “Repsol rules here” on the building of the Congress of Deputies in Madrid, to express its “forceful...</t>
  </si>
  <si>
    <t>Greenpeace, Repsol, Tax</t>
  </si>
  <si>
    <t>Greenpeace, Repsol, Impuestos</t>
  </si>
  <si>
    <t>Negative, Greenpeace criticizes Repsol's influence in political tax matters.</t>
  </si>
  <si>
    <t>manda</t>
  </si>
  <si>
    <t>Negative environmental activism targeting Repsol.</t>
  </si>
  <si>
    <t>Activismo ambiental negativo dirigido a Repsol.</t>
  </si>
  <si>
    <r>
      <rPr>
        <rFont val="Arial, sans-serif"/>
        <color rgb="FF1155CC"/>
        <sz val="9.0"/>
        <u/>
      </rPr>
      <t>xcatalunya.cat</t>
    </r>
    <r>
      <rPr>
        <rFont val="Arial, sans-serif"/>
        <color rgb="FF1155CC"/>
        <sz val="15.0"/>
        <u/>
      </rPr>
      <t>Come por menos de 5 euros en un restaurante premiado por la Guía Repsol</t>
    </r>
    <r>
      <rPr>
        <rFont val="Arial, sans-serif"/>
        <color rgb="FF1155CC"/>
        <sz val="11.0"/>
        <u/>
      </rPr>
      <t>Barcelona es conocida por su diversidad gastronómica, con opciones para todos los gustos y presupuestos. Desde restaurantes con estrellas Michelin has...</t>
    </r>
    <r>
      <rPr>
        <rFont val="Arial, sans-serif"/>
        <color rgb="FF1155CC"/>
        <sz val="12.0"/>
        <u/>
      </rPr>
      <t>.</t>
    </r>
    <r>
      <rPr>
        <rFont val="Arial, sans-serif"/>
        <color rgb="FF1155CC"/>
        <sz val="11.0"/>
        <u/>
      </rPr>
      <t>18 nov 2024</t>
    </r>
  </si>
  <si>
    <t>catalunya.cat</t>
  </si>
  <si>
    <t>Come por menos de 5 euros en un restaurante premiado por la Guía Repsol</t>
  </si>
  <si>
    <t>Come por menos de 5 euros en un restaurante premiado por la Guía Repsol. Barcelona es conocida por su diversidad gastronómica, con opciones para todos los gustos y presupuestos. Desde restaurantes con estrellas Michelin has....</t>
  </si>
  <si>
    <t>Eat for less than 5 euros in a restaurant awarded by the Repsol Guide</t>
  </si>
  <si>
    <t>Eat for less than 5 euros in a restaurant awarded by the Repsol Guide. Barcelona is known for its gastronomic diversity, with options for all tastes and budgets. From Michelin-starred restaurants to...</t>
  </si>
  <si>
    <r>
      <rPr>
        <rFont val="Arial, sans-serif"/>
        <color rgb="FF1155CC"/>
        <sz val="9.0"/>
        <u/>
      </rPr>
      <t>ABC</t>
    </r>
    <r>
      <rPr>
        <rFont val="Arial, sans-serif"/>
        <color rgb="FF1155CC"/>
        <sz val="15.0"/>
        <u/>
      </rPr>
      <t>De Cádiz a San Sebastián: diez sitios clásicos para tapear, comer o tomar un dulce sin fallar</t>
    </r>
    <r>
      <rPr>
        <rFont val="Arial, sans-serif"/>
        <color rgb="FF1155CC"/>
        <sz val="11.0"/>
        <u/>
      </rPr>
      <t>La Guía Repsol entrega 330 nuevos soletes a establecimientos que apuestan por lo clásico y por mantener viva la tradición culinaria española.</t>
    </r>
    <r>
      <rPr>
        <rFont val="Arial, sans-serif"/>
        <color rgb="FF1155CC"/>
        <sz val="12.0"/>
        <u/>
      </rPr>
      <t>.</t>
    </r>
    <r>
      <rPr>
        <rFont val="Arial, sans-serif"/>
        <color rgb="FF1155CC"/>
        <sz val="11.0"/>
        <u/>
      </rPr>
      <t>18 nov 2024</t>
    </r>
  </si>
  <si>
    <t>De Cádiz a San Sebastián: diez sitios clásicos para tapear, comer o tomar un dulce sin fallar</t>
  </si>
  <si>
    <t>La Guía Repsol entrega 330 nuevos soletes a establecimientos que apuestan por lo clásico y por mantener viva la tradición culinaria española.</t>
  </si>
  <si>
    <t>From Cádiz to San Sebastián: ten classic places to have tapas, eat or have a sweet without fail</t>
  </si>
  <si>
    <t>The Repsol Guide delivers 330 new soletes to establishments that are committed to the classic and to keeping the Spanish culinary tradition alive.</t>
  </si>
  <si>
    <r>
      <rPr>
        <rFont val="Arial, sans-serif"/>
        <color rgb="FF1155CC"/>
        <sz val="9.0"/>
        <u/>
      </rPr>
      <t>Kelisto</t>
    </r>
    <r>
      <rPr>
        <rFont val="Arial, sans-serif"/>
        <color rgb="FF1155CC"/>
        <sz val="15.0"/>
        <u/>
      </rPr>
      <t>Las mejores tarjetas con descuento en gasolina</t>
    </r>
    <r>
      <rPr>
        <rFont val="Arial, sans-serif"/>
        <color rgb="FF1155CC"/>
        <sz val="11.0"/>
        <u/>
      </rPr>
      <t>Las mejores tarjetas con descuentos en gasolina son la Carrefour Pass (122€), la Visa Oro de ABANCA (76€) y la Cepsa Gow (71€).</t>
    </r>
    <r>
      <rPr>
        <rFont val="Arial, sans-serif"/>
        <color rgb="FF1155CC"/>
        <sz val="12.0"/>
        <u/>
      </rPr>
      <t>.</t>
    </r>
    <r>
      <rPr>
        <rFont val="Arial, sans-serif"/>
        <color rgb="FF1155CC"/>
        <sz val="11.0"/>
        <u/>
      </rPr>
      <t>18 nov 2024</t>
    </r>
  </si>
  <si>
    <t>Las mejores tarjetas con descuento en gasolina</t>
  </si>
  <si>
    <t>Las mejores tarjetas con descuentos en gasolina son la Carrefour Pass (122€), la Visa Oro de ABANCA (76€) y la Cepsa Gow (71€).</t>
  </si>
  <si>
    <t>The best gas discount cards</t>
  </si>
  <si>
    <t>The best cards with discounts on gasoline are the Carrefour Pass (€122), the ABANCA Visa Oro (€76) and the Cepsa Gow (€71).</t>
  </si>
  <si>
    <r>
      <rPr>
        <rFont val="Arial, sans-serif"/>
        <color rgb="FF1155CC"/>
        <sz val="9.0"/>
        <u/>
      </rPr>
      <t>Mundo Deportivo</t>
    </r>
    <r>
      <rPr>
        <rFont val="Arial, sans-serif"/>
        <color rgb="FF1155CC"/>
        <sz val="15.0"/>
        <u/>
      </rPr>
      <t>Marini, el hermano de Rossi, ve a Marc Márquez campeón en 2025... ¡por intereses!: "Está escrito"</t>
    </r>
    <r>
      <rPr>
        <rFont val="Arial, sans-serif"/>
        <color rgb="FF1155CC"/>
        <sz val="11.0"/>
        <u/>
      </rPr>
      <t>El piloto del Repsol Honda cree que la llegada del de Cervera al equipo oficial de Ducati le dará el noveno título. Horizontal. Marc Márquez.</t>
    </r>
    <r>
      <rPr>
        <rFont val="Arial, sans-serif"/>
        <color rgb="FF1155CC"/>
        <sz val="12.0"/>
        <u/>
      </rPr>
      <t>.</t>
    </r>
    <r>
      <rPr>
        <rFont val="Arial, sans-serif"/>
        <color rgb="FF1155CC"/>
        <sz val="11.0"/>
        <u/>
      </rPr>
      <t>18 nov 2024</t>
    </r>
  </si>
  <si>
    <t>Marini, el hermano de Rossi, ve a Marc Márquez campeón en 2025... ¡por intereses!: "Está escrito"</t>
  </si>
  <si>
    <t>El piloto del Repsol Honda cree que la llegada del de Cervera al equipo oficial de Ducati le dará el noveno título. Horizontal. Marc Márquez.</t>
  </si>
  <si>
    <t>Marini, Rossi's brother, sees Marc Márquez champion in 2025... out of interest!: "It is written"</t>
  </si>
  <si>
    <t>The Repsol Honda rider believes that the arrival of the Cervera rider to the official Ducati team will give him his ninth title. Horizontal. Marc Marquez.</t>
  </si>
  <si>
    <r>
      <rPr>
        <rFont val="Arial, sans-serif"/>
        <color rgb="FF1155CC"/>
        <sz val="9.0"/>
        <u/>
      </rPr>
      <t>El Economista</t>
    </r>
    <r>
      <rPr>
        <rFont val="Arial, sans-serif"/>
        <color rgb="FF1155CC"/>
        <sz val="15.0"/>
        <u/>
      </rPr>
      <t>Fernández-Cuesta: "Cerrar nucleares es una estupidez, se mire por donde se mire"</t>
    </r>
    <r>
      <rPr>
        <rFont val="Arial, sans-serif"/>
        <color rgb="FF1155CC"/>
        <sz val="11.0"/>
        <u/>
      </rPr>
      <t>Nemesio Fernández-Cuesta acaba de publicar en la editorial Deusto el libro "No se trata de si es verde o no, sino de si elimina o reduce ...</t>
    </r>
    <r>
      <rPr>
        <rFont val="Arial, sans-serif"/>
        <color rgb="FF1155CC"/>
        <sz val="12.0"/>
        <u/>
      </rPr>
      <t>.</t>
    </r>
    <r>
      <rPr>
        <rFont val="Arial, sans-serif"/>
        <color rgb="FF1155CC"/>
        <sz val="11.0"/>
        <u/>
      </rPr>
      <t>18 nov 2024</t>
    </r>
  </si>
  <si>
    <t>"Fernández-Cuesta: 'Cerrar nucleares es una estupidez, se mire por donde se mire'"</t>
  </si>
  <si>
    <t>Nemesio Fernández-Cuesta acaba de publicar en la editorial Deusto el libro "No se trata de si es verde o no, sino de si elimina o reduce ....</t>
  </si>
  <si>
    <t>"Fernández-Cuesta: 'Closing nuclear is stupid, no matter how you look at it'"</t>
  </si>
  <si>
    <t>Nemesio Fernández-Cuesta has just published the book "It is not about whether it is green or not, but about whether it eliminates or reduces...</t>
  </si>
  <si>
    <r>
      <rPr>
        <rFont val="Arial, sans-serif"/>
        <color rgb="FF1155CC"/>
        <sz val="9.0"/>
        <u/>
      </rPr>
      <t>El Comercio Perú</t>
    </r>
    <r>
      <rPr>
        <rFont val="Arial, sans-serif"/>
        <color rgb="FF1155CC"/>
        <sz val="15.0"/>
        <u/>
      </rPr>
      <t>AS Tingo goleó a Kairos y es finalista del Semillero Repsol de Fútbol Femenino</t>
    </r>
    <r>
      <rPr>
        <rFont val="Arial, sans-serif"/>
        <color rgb="FF1155CC"/>
        <sz val="11.0"/>
        <u/>
      </rPr>
      <t>A un paso del objetivo. AS Tingo derrotó a Kairos por las semifinales del Semillero Repsol de Fútbol Femenino y se convirtió en el segundo finalista del...</t>
    </r>
    <r>
      <rPr>
        <rFont val="Arial, sans-serif"/>
        <color rgb="FF1155CC"/>
        <sz val="12.0"/>
        <u/>
      </rPr>
      <t>.</t>
    </r>
    <r>
      <rPr>
        <rFont val="Arial, sans-serif"/>
        <color rgb="FF1155CC"/>
        <sz val="11.0"/>
        <u/>
      </rPr>
      <t>18 nov 2024</t>
    </r>
  </si>
  <si>
    <t>AS Tingo goleó a Kairos y es finalista del Semillero Repsol de Fútbol Femenino</t>
  </si>
  <si>
    <t>A un paso del objetivo. AS Tingo derrotó a Kairos por las semifinales del Semillero Repsol de Fútbol Femenino y se convirtió en el segundo finalista del....</t>
  </si>
  <si>
    <t>AS Tingo beat Kairos and is a finalist in the Repsol Women's Soccer Seedbed</t>
  </si>
  <si>
    <t>One step away from the goal. AS Tingo defeated Kairos in the semifinals of the Repsol Women's Soccer Seedbed and became the second finalist of the...</t>
  </si>
  <si>
    <r>
      <rPr>
        <rFont val="Arial, sans-serif"/>
        <color rgb="FF1155CC"/>
        <sz val="9.0"/>
        <u/>
      </rPr>
      <t>Gestión</t>
    </r>
    <r>
      <rPr>
        <rFont val="Arial, sans-serif"/>
        <color rgb="FF1155CC"/>
        <sz val="15.0"/>
        <u/>
      </rPr>
      <t>Repsol: La Pampilla prevé inversión para mejoras en terminales portuarios</t>
    </r>
    <r>
      <rPr>
        <rFont val="Arial, sans-serif"/>
        <color rgb="FF1155CC"/>
        <sz val="11.0"/>
        <u/>
      </rPr>
      <t>Refinería La Pampilla, subsidiaria de la multinacional española Repsol, busca mejorar el sistema de detección temprana de fugas de hidrocarburos en sus...</t>
    </r>
    <r>
      <rPr>
        <rFont val="Arial, sans-serif"/>
        <color rgb="FF1155CC"/>
        <sz val="12.0"/>
        <u/>
      </rPr>
      <t>.</t>
    </r>
    <r>
      <rPr>
        <rFont val="Arial, sans-serif"/>
        <color rgb="FF1155CC"/>
        <sz val="11.0"/>
        <u/>
      </rPr>
      <t>18 nov 2024</t>
    </r>
  </si>
  <si>
    <t>La Pampilla prevé inversión para mejoras en terminales portuarios</t>
  </si>
  <si>
    <t>Refinería La Pampilla, subsidiaria de la multinacional española Repsol, busca mejorar el sistema de detección temprana de fugas de hidrocarburos en sus....</t>
  </si>
  <si>
    <t>La Pampilla plans investment for improvements in port terminals</t>
  </si>
  <si>
    <t>La Pampilla Refinery, a subsidiary of the Spanish multinational Repsol, seeks to improve the early detection system for hydrocarbon leaks in its...</t>
  </si>
  <si>
    <t>La Pampilla, Repsol, Investment</t>
  </si>
  <si>
    <t>La Pampilla, Repsol, Inversión</t>
  </si>
  <si>
    <t>Positive, highlights investment in safety and infrastructure.</t>
  </si>
  <si>
    <r>
      <rPr>
        <rFont val="Arial, sans-serif"/>
        <color rgb="FF1155CC"/>
        <sz val="9.0"/>
        <u/>
      </rPr>
      <t>Consumidor Global</t>
    </r>
    <r>
      <rPr>
        <rFont val="Arial, sans-serif"/>
        <color rgb="FF1155CC"/>
        <sz val="15.0"/>
        <u/>
      </rPr>
      <t>Primor y Repsol transforman las gasolineras en centros de belleza</t>
    </r>
    <r>
      <rPr>
        <rFont val="Arial, sans-serif"/>
        <color rgb="FF1155CC"/>
        <sz val="11.0"/>
        <u/>
      </rPr>
      <t>Las gasolineras de Repsol no sólo venden gasolina. La multinacional energética es una de las mayores distribuidoras de pan en España, donde comercializa...</t>
    </r>
    <r>
      <rPr>
        <rFont val="Arial, sans-serif"/>
        <color rgb="FF1155CC"/>
        <sz val="12.0"/>
        <u/>
      </rPr>
      <t>.</t>
    </r>
    <r>
      <rPr>
        <rFont val="Arial, sans-serif"/>
        <color rgb="FF1155CC"/>
        <sz val="11.0"/>
        <u/>
      </rPr>
      <t>18 nov 2024</t>
    </r>
  </si>
  <si>
    <t>Primor y Repsol transforman las gasolineras en centros de belleza</t>
  </si>
  <si>
    <t>La multinacional energética es una de las mayores distribuidoras de pan en España, donde comercializa...</t>
  </si>
  <si>
    <t>Primor and Repsol transform gas stations into beauty centers</t>
  </si>
  <si>
    <t>The energy multinational is one of the largest bread distributors in Spain, where it markets...</t>
  </si>
  <si>
    <r>
      <rPr>
        <rFont val="Arial, sans-serif"/>
        <color rgb="FF1155CC"/>
        <sz val="9.0"/>
        <u/>
      </rPr>
      <t>Servimedia</t>
    </r>
    <r>
      <rPr>
        <rFont val="Arial, sans-serif"/>
        <color rgb="FF1155CC"/>
        <sz val="15.0"/>
        <u/>
      </rPr>
      <t>Repsol, Uber y Auro abren en Torre Caleido de Madrid un 'hub' de recarga eléctrica</t>
    </r>
    <r>
      <rPr>
        <rFont val="Arial, sans-serif"/>
        <color rgb="FF1155CC"/>
        <sz val="11.0"/>
        <u/>
      </rPr>
      <t>Repsol, Uber, Caleido y Auro han firmado un acuerdo para desarrollar un 'hub' de recarga eléctrica, ubicado en el parking del rescacielos Caleido,…</t>
    </r>
    <r>
      <rPr>
        <rFont val="Arial, sans-serif"/>
        <color rgb="FF1155CC"/>
        <sz val="12.0"/>
        <u/>
      </rPr>
      <t>.</t>
    </r>
    <r>
      <rPr>
        <rFont val="Arial, sans-serif"/>
        <color rgb="FF1155CC"/>
        <sz val="11.0"/>
        <u/>
      </rPr>
      <t>19 nov 2024</t>
    </r>
  </si>
  <si>
    <t>Repsol, Uber y Auro abren en Torre Caleido de Madrid un 'hub' de recarga eléctrica</t>
  </si>
  <si>
    <t>Repsol, Uber, Caleido y Auro han firmado un acuerdo para desarrollar un 'hub' de recarga eléctrica, ubicado en el parking del rescacielos Caleido….</t>
  </si>
  <si>
    <t>Repsol, Uber and Auro open an electric charging hub in Torre Caleido in Madrid</t>
  </si>
  <si>
    <t>Repsol, Uber, Caleido and Auro have signed an agreement to develop an electric charging 'hub', located in the parking lot of the Caleido skyscraper...</t>
  </si>
  <si>
    <t>Repsol, Uber, Electric charging hub</t>
  </si>
  <si>
    <t>Repsol, Uber, Centro de carga eléctrica</t>
  </si>
  <si>
    <t>Positive, emphasizes the development of electric infrastructure.</t>
  </si>
  <si>
    <t>abren</t>
  </si>
  <si>
    <r>
      <rPr>
        <rFont val="Arial, sans-serif"/>
        <color rgb="FF1155CC"/>
        <sz val="9.0"/>
        <u/>
      </rPr>
      <t>ABC</t>
    </r>
    <r>
      <rPr>
        <rFont val="Arial, sans-serif"/>
        <color rgb="FF1155CC"/>
        <sz val="15.0"/>
        <u/>
      </rPr>
      <t>Repsol, Uber, Caleido y Auro se unen para desarrollar la recarga eléctrica en España</t>
    </r>
    <r>
      <rPr>
        <rFont val="Arial, sans-serif"/>
        <color rgb="FF1155CC"/>
        <sz val="11.0"/>
        <u/>
      </rPr>
      <t>Este nuevo servicio de recarga eléctrica se desarrollará en varias fases, llegando en 2026 a poder cargar 40 coches al mismo tiempo.</t>
    </r>
    <r>
      <rPr>
        <rFont val="Arial, sans-serif"/>
        <color rgb="FF1155CC"/>
        <sz val="12.0"/>
        <u/>
      </rPr>
      <t>.</t>
    </r>
    <r>
      <rPr>
        <rFont val="Arial, sans-serif"/>
        <color rgb="FF1155CC"/>
        <sz val="11.0"/>
        <u/>
      </rPr>
      <t>19 nov 2024</t>
    </r>
  </si>
  <si>
    <t>Repsol, Uber, Caleido y Auro se unen para desarrollar la recarga eléctrica en España</t>
  </si>
  <si>
    <t>Este nuevo servicio de recarga eléctrica se desarrollará en varias fases, llegando en 2026 a poder cargar 40 coches al mismo tiempo.</t>
  </si>
  <si>
    <t>Repsol, Uber, Caleido and Auro join forces to develop electric charging in Spain</t>
  </si>
  <si>
    <t>This new electric charging service will be developed in several phases, reaching 40 cars at the same time in 2026.</t>
  </si>
  <si>
    <t>Repsol, Uber, Electric charging</t>
  </si>
  <si>
    <t>Repsol, Uber, Recarga eléctrica</t>
  </si>
  <si>
    <t>Positive, focuses on expanding electric infrastructure for sustainability.</t>
  </si>
  <si>
    <t>desarrollar</t>
  </si>
  <si>
    <r>
      <rPr>
        <rFont val="Arial, sans-serif"/>
        <color rgb="FF1155CC"/>
        <sz val="9.0"/>
        <u/>
      </rPr>
      <t>Cinco Días</t>
    </r>
    <r>
      <rPr>
        <rFont val="Arial, sans-serif"/>
        <color rgb="FF1155CC"/>
        <sz val="15.0"/>
        <u/>
      </rPr>
      <t>Iberdrola contra Repsol: comienza el primer juicio por blanqueo ecológico en España</t>
    </r>
    <r>
      <rPr>
        <rFont val="Arial, sans-serif"/>
        <color rgb="FF1155CC"/>
        <sz val="11.0"/>
        <u/>
      </rPr>
      <t>Todo está listo para que el Juzgado de lo Mercantil número 2 de Santander reciba mañana a las partes implicadas en la demanda de Iberdrola contra Repsol por...</t>
    </r>
    <r>
      <rPr>
        <rFont val="Arial, sans-serif"/>
        <color rgb="FF1155CC"/>
        <sz val="12.0"/>
        <u/>
      </rPr>
      <t>.</t>
    </r>
    <r>
      <rPr>
        <rFont val="Arial, sans-serif"/>
        <color rgb="FF1155CC"/>
        <sz val="11.0"/>
        <u/>
      </rPr>
      <t>19 nov 2024</t>
    </r>
  </si>
  <si>
    <t>Iberdrola contra Repsol: comienza el primer juicio por blanqueo ecológico en España</t>
  </si>
  <si>
    <t>Todo está listo para que el Juzgado de lo Mercantil número 2 de Santander reciba mañana a las partes implicadas en la demanda de Iberdrola contra Repsol por....</t>
  </si>
  <si>
    <t>Iberdrola against Repsol: the first trial for ecological money laundering begins in Spain</t>
  </si>
  <si>
    <t>Everything is ready for the Commercial Court number 2 of Santander to receive tomorrow the parties involved in Iberdrola's lawsuit against Repsol for...</t>
  </si>
  <si>
    <t>Negative, highlights legal conflict regarding environmental claims.</t>
  </si>
  <si>
    <t>contra, "blanqueo"</t>
  </si>
  <si>
    <t>High negative for legal conflict.</t>
  </si>
  <si>
    <t>Alto negativo para conflictos legales.</t>
  </si>
  <si>
    <r>
      <rPr>
        <rFont val="Arial, sans-serif"/>
        <color rgb="FF1155CC"/>
        <sz val="9.0"/>
        <u/>
      </rPr>
      <t>El Periódico de la Energía</t>
    </r>
    <r>
      <rPr>
        <rFont val="Arial, sans-serif"/>
        <color rgb="FF1155CC"/>
        <sz val="15.0"/>
        <u/>
      </rPr>
      <t>Repsol, entre las petroleras que más luchan contra el cambio climático</t>
    </r>
    <r>
      <rPr>
        <rFont val="Arial, sans-serif"/>
        <color rgb="FF1155CC"/>
        <sz val="11.0"/>
        <u/>
      </rPr>
      <t>Carbon Tracker revela que el compromiso de la industria petrolera y gasista con la reducción de emisiones se ha estancado por segundo año consecutivo.</t>
    </r>
    <r>
      <rPr>
        <rFont val="Arial, sans-serif"/>
        <color rgb="FF1155CC"/>
        <sz val="12.0"/>
        <u/>
      </rPr>
      <t>.</t>
    </r>
    <r>
      <rPr>
        <rFont val="Arial, sans-serif"/>
        <color rgb="FF1155CC"/>
        <sz val="11.0"/>
        <u/>
      </rPr>
      <t>19 nov 2024</t>
    </r>
  </si>
  <si>
    <t>Repsol, entre las petroleras que más luchan contra el cambio climático</t>
  </si>
  <si>
    <t>Carbon Tracker revela que el compromiso de la industria petrolera y gasista con la reducción de emisiones se ha estancado por segundo año consecutivo.</t>
  </si>
  <si>
    <t>Repsol, among the oil companies that fight the most against climate change</t>
  </si>
  <si>
    <t>Carbon Tracker reveals that the oil and gas industry's commitment to reducing emissions has stalled for the second year in a row.</t>
  </si>
  <si>
    <t>Repsol, Climate change, Carbon Tracker</t>
  </si>
  <si>
    <t>Repsol, Cambio climático, Carbon Tracker</t>
  </si>
  <si>
    <t>Positive, acknowledges Repsol's efforts in environmental responsibility.</t>
  </si>
  <si>
    <t>luchan</t>
  </si>
  <si>
    <t>Positive sustainability claim.</t>
  </si>
  <si>
    <t>Afirmación positiva de sostenibilidad.</t>
  </si>
  <si>
    <r>
      <rPr>
        <rFont val="Arial, sans-serif"/>
        <color rgb="FF1155CC"/>
        <sz val="9.0"/>
        <u/>
      </rPr>
      <t>Estrategias de Inversión</t>
    </r>
    <r>
      <rPr>
        <rFont val="Arial, sans-serif"/>
        <color rgb="FF1155CC"/>
        <sz val="15.0"/>
        <u/>
      </rPr>
      <t>La petrolera Repsol se acerca a activar señal de compra, ¿Qué esperamos ahora?</t>
    </r>
    <r>
      <rPr>
        <rFont val="Arial, sans-serif"/>
        <color rgb="FF1155CC"/>
        <sz val="11.0"/>
        <u/>
      </rPr>
      <t>Análisis Técnico de Repsol. La cotización de Repsol se encuentra en las primeras horas de la sesión de hoy martes día 19 de noviembre muy cerca de activar...</t>
    </r>
    <r>
      <rPr>
        <rFont val="Arial, sans-serif"/>
        <color rgb="FF1155CC"/>
        <sz val="12.0"/>
        <u/>
      </rPr>
      <t>.</t>
    </r>
    <r>
      <rPr>
        <rFont val="Arial, sans-serif"/>
        <color rgb="FF1155CC"/>
        <sz val="11.0"/>
        <u/>
      </rPr>
      <t>19 nov 2024</t>
    </r>
  </si>
  <si>
    <t>La petrolera Repsol se acerca a activar señal de compra, ¿Qué esperamos ahora?</t>
  </si>
  <si>
    <t>La cotización de Repsol se encuentra en las primeras horas de la sesión de hoy martes día 19 de noviembre muy cerca de activar....</t>
  </si>
  <si>
    <t>The oil company Repsol is getting closer to activating a buy signal. What do we expect now?</t>
  </si>
  <si>
    <t>Repsol's price is very close to activating in the early hours of today's session, Tuesday, November 19...</t>
  </si>
  <si>
    <t>Repsol, Stock, Buy signal</t>
  </si>
  <si>
    <t>Repsol, Acciones, Señal de compra</t>
  </si>
  <si>
    <t>Positive, reflects investor optimism regarding Repsol's stock.</t>
  </si>
  <si>
    <r>
      <rPr>
        <rFont val="Arial, sans-serif"/>
        <color rgb="FF1155CC"/>
        <sz val="9.0"/>
        <u/>
      </rPr>
      <t>20Minutos</t>
    </r>
    <r>
      <rPr>
        <rFont val="Arial, sans-serif"/>
        <color rgb="FF1155CC"/>
        <sz val="15.0"/>
        <u/>
      </rPr>
      <t>Los cambios de eléctrica marcan récord en España con Repsol que no para de atraer clientes</t>
    </r>
    <r>
      <rPr>
        <rFont val="Arial, sans-serif"/>
        <color rgb="FF1155CC"/>
        <sz val="11.0"/>
        <u/>
      </rPr>
      <t>El mayor número de traspasos se produce entre comercializadoras del mercado libre. Endesa e Iberdrola pierden 229.000 y 129.000 clientes, respectivamente,...</t>
    </r>
    <r>
      <rPr>
        <rFont val="Arial, sans-serif"/>
        <color rgb="FF1155CC"/>
        <sz val="12.0"/>
        <u/>
      </rPr>
      <t>.</t>
    </r>
    <r>
      <rPr>
        <rFont val="Arial, sans-serif"/>
        <color rgb="FF1155CC"/>
        <sz val="11.0"/>
        <u/>
      </rPr>
      <t>19 nov 2024</t>
    </r>
  </si>
  <si>
    <t>Los cambios de eléctrica marcan récord en España con Repsol que no para de atraer clientes</t>
  </si>
  <si>
    <t>El mayor número de traspasos se produce entre comercializadoras del mercado libre. Endesa e Iberdrola pierden 229.000 y 129.000 clientes, respectivamente.</t>
  </si>
  <si>
    <t>Electricity changes set a record in Spain with Repsol that does not stop attracting customers</t>
  </si>
  <si>
    <t>The largest number of transfers occurs between free market distributors. Endesa and Iberdrola lose 229,000 and 129,000 customers, respectively.</t>
  </si>
  <si>
    <t>Repsol, Electricity, Customers</t>
  </si>
  <si>
    <t>Repsol, Electricidad, Clientes</t>
  </si>
  <si>
    <t>Positive, highlights Repsol’s growing customer base in the energy sector.</t>
  </si>
  <si>
    <t>atraer</t>
  </si>
  <si>
    <r>
      <rPr>
        <rFont val="Arial, sans-serif"/>
        <color rgb="FF1155CC"/>
        <sz val="9.0"/>
        <u/>
      </rPr>
      <t>Interempresas.net</t>
    </r>
    <r>
      <rPr>
        <rFont val="Arial, sans-serif"/>
        <color rgb="FF1155CC"/>
        <sz val="15.0"/>
        <u/>
      </rPr>
      <t>Repsol incorpora los productos para el cuidado personal de Primor a sus estaciones de servicio</t>
    </r>
    <r>
      <rPr>
        <rFont val="Arial, sans-serif"/>
        <color rgb="FF1155CC"/>
        <sz val="11.0"/>
        <u/>
      </rPr>
      <t>Repsol y Primor anunciaron un nuevo acuerdo de colaboración para llevar la belleza y el autocuidado a las estaciones de servicio de la compañía...</t>
    </r>
    <r>
      <rPr>
        <rFont val="Arial, sans-serif"/>
        <color rgb="FF1155CC"/>
        <sz val="12.0"/>
        <u/>
      </rPr>
      <t>.</t>
    </r>
    <r>
      <rPr>
        <rFont val="Arial, sans-serif"/>
        <color rgb="FF1155CC"/>
        <sz val="11.0"/>
        <u/>
      </rPr>
      <t>19 nov 2024</t>
    </r>
  </si>
  <si>
    <t>Repsol incorpora los productos para el cuidado personal de Primor a sus estaciones de servicio</t>
  </si>
  <si>
    <t>Repsol y Primor anunciaron un nuevo acuerdo de colaboración para llevar la belleza y el autocuidado a las estaciones de servicio de la compañía....</t>
  </si>
  <si>
    <t>Repsol incorporates Primor personal care products into its service stations</t>
  </si>
  <si>
    <t>Repsol and Primor announced a new collaboration agreement to bring beauty and self-care to the company's service stations....</t>
  </si>
  <si>
    <t>Primor, Repsol, Personal care</t>
  </si>
  <si>
    <t>Primor, Repsol, Cuidado personal</t>
  </si>
  <si>
    <t>Positive, highlights a successful collaboration expanding Repsol’s offerings.</t>
  </si>
  <si>
    <t>incorpora</t>
  </si>
  <si>
    <t>Innovative customer offering.</t>
  </si>
  <si>
    <t>Oferta innovadora para el cliente.</t>
  </si>
  <si>
    <r>
      <rPr>
        <rFont val="Arial, sans-serif"/>
        <color rgb="FF1155CC"/>
        <sz val="9.0"/>
        <u/>
      </rPr>
      <t>www.ocu.org</t>
    </r>
    <r>
      <rPr>
        <rFont val="Arial, sans-serif"/>
        <color rgb="FF1155CC"/>
        <sz val="15.0"/>
        <u/>
      </rPr>
      <t>Repsol, caída de los beneficios</t>
    </r>
    <r>
      <rPr>
        <rFont val="Arial, sans-serif"/>
        <color rgb="FF1155CC"/>
        <sz val="11.0"/>
        <u/>
      </rPr>
      <t>El grupo energético español ha presentado unos resultados en el tercer trimestre del año por debajo de nuestras previsiones.</t>
    </r>
    <r>
      <rPr>
        <rFont val="Arial, sans-serif"/>
        <color rgb="FF1155CC"/>
        <sz val="12.0"/>
        <u/>
      </rPr>
      <t>.</t>
    </r>
    <r>
      <rPr>
        <rFont val="Arial, sans-serif"/>
        <color rgb="FF1155CC"/>
        <sz val="11.0"/>
        <u/>
      </rPr>
      <t>19 nov 2024</t>
    </r>
  </si>
  <si>
    <t>Repsol, caída de los beneficios</t>
  </si>
  <si>
    <t>El grupo energético español ha presentado unos resultados en el tercer trimestre del año por debajo de nuestras previsiones.</t>
  </si>
  <si>
    <t>Repsol, falling profits</t>
  </si>
  <si>
    <t>The Spanish energy group has presented results in the third quarter of the year below our forecasts.</t>
  </si>
  <si>
    <t>Repsol, Profits, Quarter</t>
  </si>
  <si>
    <t>Repsol, Beneficios, Trimestre</t>
  </si>
  <si>
    <t>Negative, reports on financial downturn in Repsol’s recent earnings.</t>
  </si>
  <si>
    <t>Negative financial results.</t>
  </si>
  <si>
    <t>Resultados financieros negativos.</t>
  </si>
  <si>
    <r>
      <rPr>
        <rFont val="Arial, sans-serif"/>
        <color rgb="FF1155CC"/>
        <sz val="9.0"/>
        <u/>
      </rPr>
      <t>Energías Renovables, el periodismo de las energías limpias.</t>
    </r>
    <r>
      <rPr>
        <rFont val="Arial, sans-serif"/>
        <color rgb="FF1155CC"/>
        <sz val="15.0"/>
        <u/>
      </rPr>
      <t>PNV y Junts: la llave del impuesto del 1,2% a las energéticas</t>
    </r>
    <r>
      <rPr>
        <rFont val="Arial, sans-serif"/>
        <color rgb="FF1155CC"/>
        <sz val="11.0"/>
        <u/>
      </rPr>
      <t>La derecha nacionalista catalana y el partido de las puertas giratorias por antonomasia (el número 1 hoy de Repsol, Josu Jon Imaz, fue presidente del PNV)...</t>
    </r>
    <r>
      <rPr>
        <rFont val="Arial, sans-serif"/>
        <color rgb="FF1155CC"/>
        <sz val="12.0"/>
        <u/>
      </rPr>
      <t>.</t>
    </r>
    <r>
      <rPr>
        <rFont val="Arial, sans-serif"/>
        <color rgb="FF1155CC"/>
        <sz val="11.0"/>
        <u/>
      </rPr>
      <t>19 nov 2024</t>
    </r>
  </si>
  <si>
    <t>PNV y Junts: la llave del impuesto del 1,2% a las energéticas</t>
  </si>
  <si>
    <t>La derecha nacionalista catalana y el partido de las puertas giratorias por antonomasia (el número 1 hoy de Repsol, Josu Jon Imaz, fue presidente del PNV)....</t>
  </si>
  <si>
    <t>PNV and Junts: the key to the 1.2% tax on energy companies</t>
  </si>
  <si>
    <t>The Catalan nationalist right and the revolving door party par excellence (the number 1 of Repsol today, Josu Jon Imaz, was president of the PNV)....</t>
  </si>
  <si>
    <t>PNV, Junts, Energy tax</t>
  </si>
  <si>
    <t>PNV, Junts, Impuesto sobre la energía</t>
  </si>
  <si>
    <t>Negative, discusses political maneuvering to influence tax policy.</t>
  </si>
  <si>
    <t>Neutral political context.</t>
  </si>
  <si>
    <r>
      <rPr>
        <rFont val="Arial, sans-serif"/>
        <color rgb="FF1155CC"/>
        <sz val="9.0"/>
        <u/>
      </rPr>
      <t>La Opinión de Málaga</t>
    </r>
    <r>
      <rPr>
        <rFont val="Arial, sans-serif"/>
        <color rgb="FF1155CC"/>
        <sz val="15.0"/>
        <u/>
      </rPr>
      <t>Nuevo avance en Repsol: adjudican la descontaminación de los terrenos</t>
    </r>
    <r>
      <rPr>
        <rFont val="Arial, sans-serif"/>
        <color rgb="FF1155CC"/>
        <sz val="11.0"/>
        <u/>
      </rPr>
      <t>Nuevo avance en los terrenos de Repsol, en concreto, en el proyecto de descontaminación de los terrenos, donde se ubicaron durante más de 50 años una...</t>
    </r>
    <r>
      <rPr>
        <rFont val="Arial, sans-serif"/>
        <color rgb="FF1155CC"/>
        <sz val="12.0"/>
        <u/>
      </rPr>
      <t>.</t>
    </r>
    <r>
      <rPr>
        <rFont val="Arial, sans-serif"/>
        <color rgb="FF1155CC"/>
        <sz val="11.0"/>
        <u/>
      </rPr>
      <t>19 nov 2024</t>
    </r>
  </si>
  <si>
    <t>Nuevo avance en Repsol: adjudican la descontaminación de los terrenos</t>
  </si>
  <si>
    <t>Nuevo avance en los terrenos de Repsol, en concreto, en el proyecto de descontaminación de los terrenos, donde se ubicaron durante más de 50 años una....</t>
  </si>
  <si>
    <t>New advance at Repsol: they award the decontamination of the land</t>
  </si>
  <si>
    <t>New progress on Repsol's land, specifically, in the project to decontaminate the land, where a...</t>
  </si>
  <si>
    <t>Repsol, Decontamination, Land</t>
  </si>
  <si>
    <t>Repsol, Descontaminación, Tierra</t>
  </si>
  <si>
    <t>Positive, highlights efforts to reduce environmental impact.</t>
  </si>
  <si>
    <t>Positive environmental action.</t>
  </si>
  <si>
    <t>Acción ambiental positiva.</t>
  </si>
  <si>
    <r>
      <rPr>
        <rFont val="Arial, sans-serif"/>
        <color rgb="FF1155CC"/>
        <sz val="9.0"/>
        <u/>
      </rPr>
      <t>Barcelona Secreta</t>
    </r>
    <r>
      <rPr>
        <rFont val="Arial, sans-serif"/>
        <color rgb="FF1155CC"/>
        <sz val="15.0"/>
        <u/>
      </rPr>
      <t>El frankfurt de Barcelona que ha ganado un Sol Repsol: bocadillos a 3 euros</t>
    </r>
    <r>
      <rPr>
        <rFont val="Arial, sans-serif"/>
        <color rgb="FF1155CC"/>
        <sz val="11.0"/>
        <u/>
      </rPr>
      <t>La Guía Repsol ha entregado un Solete, el distintivo que señala lugares auténticos y populares, al icónico Frankfurt Pedralbes.</t>
    </r>
    <r>
      <rPr>
        <rFont val="Arial, sans-serif"/>
        <color rgb="FF1155CC"/>
        <sz val="12.0"/>
        <u/>
      </rPr>
      <t>.</t>
    </r>
    <r>
      <rPr>
        <rFont val="Arial, sans-serif"/>
        <color rgb="FF1155CC"/>
        <sz val="11.0"/>
        <u/>
      </rPr>
      <t>19 nov 2024</t>
    </r>
  </si>
  <si>
    <t>El frankfurt de Barcelona que ha ganado un Sol Repsol: bocadillos a 3 euros</t>
  </si>
  <si>
    <t>La Guía Repsol ha entregado un Solete, el distintivo que señala lugares auténticos y populares, al icónico Frankfurt Pedralbes.</t>
  </si>
  <si>
    <t>The Frankfurt of Barcelona that has won a Sol Repsol: sandwiches for 3 euros</t>
  </si>
  <si>
    <t>The Repsol Guide has awarded a Solete, the badge that marks authentic and popular places, to the iconic Frankfurt Pedralbes.</t>
  </si>
  <si>
    <r>
      <rPr>
        <rFont val="Arial, sans-serif"/>
        <color rgb="FF1155CC"/>
        <sz val="9.0"/>
        <u/>
      </rPr>
      <t>ECOticias.com</t>
    </r>
    <r>
      <rPr>
        <rFont val="Arial, sans-serif"/>
        <color rgb="FF1155CC"/>
        <sz val="15.0"/>
        <u/>
      </rPr>
      <t>DANA: Repsol en el punto de mira</t>
    </r>
    <r>
      <rPr>
        <rFont val="Arial, sans-serif"/>
        <color rgb="FF1155CC"/>
        <sz val="11.0"/>
        <u/>
      </rPr>
      <t>Ecologistas alertan de los riesgos de que el gravamen a las grandes compañías energéticas se aparque y critica que los grupos politicos no se hayan puesto...</t>
    </r>
    <r>
      <rPr>
        <rFont val="Arial, sans-serif"/>
        <color rgb="FF1155CC"/>
        <sz val="12.0"/>
        <u/>
      </rPr>
      <t>.</t>
    </r>
    <r>
      <rPr>
        <rFont val="Arial, sans-serif"/>
        <color rgb="FF1155CC"/>
        <sz val="11.0"/>
        <u/>
      </rPr>
      <t>19 nov 2024</t>
    </r>
  </si>
  <si>
    <t>DANA: Repsol en el punto de mira</t>
  </si>
  <si>
    <t>Ecologistas alertan de los riesgos de que el gravamen a las grandes compañías energéticas se aparque y critica que los grupos politicos no se hayan puesto....</t>
  </si>
  <si>
    <t>DANA: Repsol in the spotlight</t>
  </si>
  <si>
    <t>Environmentalists warn of the risks of the tax on large energy companies being put on hold and criticize the fact that political groups have not taken action....</t>
  </si>
  <si>
    <t>Repsol, DANA, Environmental impact</t>
  </si>
  <si>
    <t>Repsol, DANA, Impacto ambiental</t>
  </si>
  <si>
    <t>Negative, highlights criticism from environmentalists regarding Repsol’s role.</t>
  </si>
  <si>
    <t>Mildly negative scrutiny.</t>
  </si>
  <si>
    <t>Un escrutinio levemente negativo.</t>
  </si>
  <si>
    <r>
      <rPr>
        <rFont val="Arial, sans-serif"/>
        <color rgb="FF1155CC"/>
        <sz val="9.0"/>
        <u/>
      </rPr>
      <t>El Español</t>
    </r>
    <r>
      <rPr>
        <rFont val="Arial, sans-serif"/>
        <color rgb="FF1155CC"/>
        <sz val="15.0"/>
        <u/>
      </rPr>
      <t>El tradicional bar de Huesca con un Solete Repsol: perfecto para tapear y con más de 100 años de historia</t>
    </r>
    <r>
      <rPr>
        <rFont val="Arial, sans-serif"/>
        <color rgb="FF1155CC"/>
        <sz val="11.0"/>
        <u/>
      </rPr>
      <t>El pasado lunes la Guía Repsol otorgó 18 nuevos Soletes con mucha presencia de establecimientos aragoneses. Más información: El bar histórico de Zaragoza...</t>
    </r>
    <r>
      <rPr>
        <rFont val="Arial, sans-serif"/>
        <color rgb="FF1155CC"/>
        <sz val="12.0"/>
        <u/>
      </rPr>
      <t>.</t>
    </r>
    <r>
      <rPr>
        <rFont val="Arial, sans-serif"/>
        <color rgb="FF1155CC"/>
        <sz val="11.0"/>
        <u/>
      </rPr>
      <t>19 nov 2024</t>
    </r>
  </si>
  <si>
    <t>El tradicional bar de Huesca con un Solete Repsol: perfecto para tapear y con más de 100 años de historia</t>
  </si>
  <si>
    <t>El pasado lunes la Guía Repsol otorgó 18 nuevos Soletes con mucha presencia de establecimientos aragoneses. Más información: El bar histórico de Zaragoza....</t>
  </si>
  <si>
    <t>The traditional Huesca bar with a Solete Repsol: perfect for tapas and with more than 100 years of history</t>
  </si>
  <si>
    <t>Last Monday the Repsol Guide awarded 18 new Soletes with a large presence of Aragonese establishments. More information: The historic bar of Zaragoza....</t>
  </si>
  <si>
    <r>
      <rPr>
        <rFont val="Arial, sans-serif"/>
        <color rgb="FF1155CC"/>
        <sz val="9.0"/>
        <u/>
      </rPr>
      <t>El Faro de Melilla</t>
    </r>
    <r>
      <rPr>
        <rFont val="Arial, sans-serif"/>
        <color rgb="FF1155CC"/>
        <sz val="15.0"/>
        <u/>
      </rPr>
      <t>La nueva edición de los Soletes de la Guía Repsol se olvida de Melilla</t>
    </r>
    <r>
      <rPr>
        <rFont val="Arial, sans-serif"/>
        <color rgb="FF1155CC"/>
        <sz val="11.0"/>
        <u/>
      </rPr>
      <t>El pasado lunes 11 de diciembre, la Guía Repsol presentó en Córdoba su 10º edición de los Soletes. Una distinción que en esta ocasión ha querido premiar la...</t>
    </r>
    <r>
      <rPr>
        <rFont val="Arial, sans-serif"/>
        <color rgb="FF1155CC"/>
        <sz val="12.0"/>
        <u/>
      </rPr>
      <t>.</t>
    </r>
    <r>
      <rPr>
        <rFont val="Arial, sans-serif"/>
        <color rgb="FF1155CC"/>
        <sz val="11.0"/>
        <u/>
      </rPr>
      <t>19 nov 2024</t>
    </r>
  </si>
  <si>
    <t>La nueva edición de los Soletes de la Guía Repsol se olvida de Melilla</t>
  </si>
  <si>
    <t>La nueva edición de los Soletes de la Guía Repsol se olvida de Melilla. El pasado lunes 11 de diciembre, la Guía Repsol presentó en Córdoba su 10º edición de los Soletes. Una distinción que en esta ocasión ha querido premiar la....</t>
  </si>
  <si>
    <t>The new edition of the Soletes of the Repsol Guide forgets about Melilla</t>
  </si>
  <si>
    <t>The new edition of the Soletes of the Repsol Guide forgets about Melilla. Last Monday, December 11, the Repsol Guide presented its 10th edition of the Soletes in Córdoba. A distinction that on this occasion wanted to reward the...</t>
  </si>
  <si>
    <r>
      <rPr>
        <rFont val="Arial, sans-serif"/>
        <color rgb="FF1155CC"/>
        <sz val="9.0"/>
        <u/>
      </rPr>
      <t>Guía Repsol</t>
    </r>
    <r>
      <rPr>
        <rFont val="Arial, sans-serif"/>
        <color rgb="FF1155CC"/>
        <sz val="15.0"/>
        <u/>
      </rPr>
      <t>Estos son los mejores restaurantes de Córdoba donde comer rico y barato</t>
    </r>
    <r>
      <rPr>
        <rFont val="Arial, sans-serif"/>
        <color rgb="FF1155CC"/>
        <sz val="11.0"/>
        <u/>
      </rPr>
      <t>'Bodegas Guzmán', 'Horno La Tradición' o 'Casa El Pisto' son algunos de los lugares tradicionales y asequibles donde comer en la ciudad de Córdoba.</t>
    </r>
    <r>
      <rPr>
        <rFont val="Arial, sans-serif"/>
        <color rgb="FF1155CC"/>
        <sz val="12.0"/>
        <u/>
      </rPr>
      <t>.</t>
    </r>
    <r>
      <rPr>
        <rFont val="Arial, sans-serif"/>
        <color rgb="FF1155CC"/>
        <sz val="11.0"/>
        <u/>
      </rPr>
      <t>19 nov 2024</t>
    </r>
  </si>
  <si>
    <t>Estos son los mejores restaurantes de Córdoba donde comer rico y barato</t>
  </si>
  <si>
    <t>'Bodegas Guzmán', 'Horno La Tradición' o 'Casa El Pisto' son algunos de los lugares tradicionales y asequibles donde comer en la ciudad de Córdoba.</t>
  </si>
  <si>
    <t>These are the best restaurants in Córdoba where you can eat delicious and cheap</t>
  </si>
  <si>
    <t>'Bodegas Guzmán', 'Horno La Tradición' or 'Casa El Pisto' are some of the traditional and affordable places to eat in the city of Córdoba.</t>
  </si>
  <si>
    <r>
      <rPr>
        <rFont val="Arial, sans-serif"/>
        <color rgb="FF1155CC"/>
        <sz val="9.0"/>
        <u/>
      </rPr>
      <t>Motor16</t>
    </r>
    <r>
      <rPr>
        <rFont val="Arial, sans-serif"/>
        <color rgb="FF1155CC"/>
        <sz val="15.0"/>
        <u/>
      </rPr>
      <t>Repsol, Uber, Caleido y Auro tendrán su propio ‘hub’ de recarga eléctrica</t>
    </r>
    <r>
      <rPr>
        <rFont val="Arial, sans-serif"/>
        <color rgb="FF1155CC"/>
        <sz val="11.0"/>
        <u/>
      </rPr>
      <t>Las compañías Repsol, Uber, Caleido y Auro han sellado un acuerdo estratégico pionero en España que tiene como objetivo desarrollar un.</t>
    </r>
    <r>
      <rPr>
        <rFont val="Arial, sans-serif"/>
        <color rgb="FF1155CC"/>
        <sz val="12.0"/>
        <u/>
      </rPr>
      <t>.</t>
    </r>
    <r>
      <rPr>
        <rFont val="Arial, sans-serif"/>
        <color rgb="FF1155CC"/>
        <sz val="11.0"/>
        <u/>
      </rPr>
      <t>19 nov 2024</t>
    </r>
  </si>
  <si>
    <t>Repsol, Uber, Caleido y Auro tendrán su propio ‘hub’ de recarga eléctrica</t>
  </si>
  <si>
    <t>Las compañías Repsol, Uber, Caleido y Auro han sellado un acuerdo estratégico pionero en España que tiene como objetivo desarrollar un..</t>
  </si>
  <si>
    <t>Repsol, Uber, Caleido and Auro will have their own electric charging hub</t>
  </si>
  <si>
    <t>The companies Repsol, Uber, Caleido and Auro have sealed a pioneering strategic agreement in Spain that aims to develop a...</t>
  </si>
  <si>
    <t>Repsol, Uber, Caleido, Electric charging</t>
  </si>
  <si>
    <t>Repsol, Uber, Caleido, Recarga eléctrica</t>
  </si>
  <si>
    <t>Positive, highlights collaboration for advancing electric mobility infrastructure.</t>
  </si>
  <si>
    <t>Positive sustainability initiative.</t>
  </si>
  <si>
    <t>Iniciativa de sostenibilidad positiva.</t>
  </si>
  <si>
    <r>
      <rPr>
        <rFont val="Arial, sans-serif"/>
        <color rgb="FF1155CC"/>
        <sz val="9.0"/>
        <u/>
      </rPr>
      <t>Huelva Información</t>
    </r>
    <r>
      <rPr>
        <rFont val="Arial, sans-serif"/>
        <color rgb="FF1155CC"/>
        <sz val="15.0"/>
        <u/>
      </rPr>
      <t>Esto es lo que tienes que pedir en la taberna de Aracena que ha conseguido un 'Solete' de la Guía Repsol</t>
    </r>
    <r>
      <rPr>
        <rFont val="Arial, sans-serif"/>
        <color rgb="FF1155CC"/>
        <sz val="11.0"/>
        <u/>
      </rPr>
      <t>Se acaba de llevar uno de los 'Soletes' de otoño que han caído en Huelva, pero llevan mucho tiempo despachando calidad y sabor, con una de las mejores...</t>
    </r>
    <r>
      <rPr>
        <rFont val="Arial, sans-serif"/>
        <color rgb="FF1155CC"/>
        <sz val="12.0"/>
        <u/>
      </rPr>
      <t>.</t>
    </r>
    <r>
      <rPr>
        <rFont val="Arial, sans-serif"/>
        <color rgb="FF1155CC"/>
        <sz val="11.0"/>
        <u/>
      </rPr>
      <t>19 nov 2024</t>
    </r>
  </si>
  <si>
    <t>Esto es lo que tienes que pedir en la taberna de Aracena que ha conseguido un 'Solete' de la Guía Repsol</t>
  </si>
  <si>
    <t>Se acaba de llevar uno de los 'Soletes' de otoño que han caído en Huelva, pero llevan mucho tiempo despachando calidad y sabor, con una de las mejores....</t>
  </si>
  <si>
    <t>This is what you have to order in the Aracena tavern that has achieved a 'Solete' from the Repsol Guide</t>
  </si>
  <si>
    <t>They have just taken one of the autumn 'Soletes' that have fallen in Huelva, but they have been delivering quality and flavor for a long time, with one of the best....</t>
  </si>
  <si>
    <r>
      <rPr>
        <rFont val="Arial, sans-serif"/>
        <color rgb="FF1155CC"/>
        <sz val="9.0"/>
        <u/>
      </rPr>
      <t>El Confidencial</t>
    </r>
    <r>
      <rPr>
        <rFont val="Arial, sans-serif"/>
        <color rgb="FF1155CC"/>
        <sz val="15.0"/>
        <u/>
      </rPr>
      <t>Un restaurante de Badajoz aún tiene su carta en pesetas y acaba de recibir un solete de la Guía Repsol</t>
    </r>
    <r>
      <rPr>
        <rFont val="Arial, sans-serif"/>
        <color rgb="FF1155CC"/>
        <sz val="11.0"/>
        <u/>
      </rPr>
      <t>Este singular local combina la autenticidad de la cocina extremeña con un detalle que lo hace único: los precios de sus platos se indican en pesetas y...</t>
    </r>
    <r>
      <rPr>
        <rFont val="Arial, sans-serif"/>
        <color rgb="FF1155CC"/>
        <sz val="12.0"/>
        <u/>
      </rPr>
      <t>.</t>
    </r>
    <r>
      <rPr>
        <rFont val="Arial, sans-serif"/>
        <color rgb="FF1155CC"/>
        <sz val="11.0"/>
        <u/>
      </rPr>
      <t>19 nov 2024</t>
    </r>
  </si>
  <si>
    <t>Un restaurante de Badajoz aún tiene su carta en pesetas y acaba de recibir un solete de la Guía Repsol</t>
  </si>
  <si>
    <t>Este singular local combina la autenticidad de la cocina extremeña con un detalle que lo hace único: los precios de sus platos se indican en pesetas y....</t>
  </si>
  <si>
    <t>A restaurant in Badajoz still has its menu in pesetas and has just received a solete from the Repsol Guide</t>
  </si>
  <si>
    <t>This unique place combines the authenticity of Extremaduran cuisine with a detail that makes it unique: the prices of its dishes are indicated in pesetas and...</t>
  </si>
  <si>
    <r>
      <rPr>
        <rFont val="Arial, sans-serif"/>
        <color rgb="FF1155CC"/>
        <sz val="9.0"/>
        <u/>
      </rPr>
      <t>El Periódico de la Energía</t>
    </r>
    <r>
      <rPr>
        <rFont val="Arial, sans-serif"/>
        <color rgb="FF1155CC"/>
        <sz val="15.0"/>
        <u/>
      </rPr>
      <t>Repsol, Uber, Caleido y Auro estrenan un pionero hub de recarga eléctrica</t>
    </r>
    <r>
      <rPr>
        <rFont val="Arial, sans-serif"/>
        <color rgb="FF1155CC"/>
        <sz val="11.0"/>
        <u/>
      </rPr>
      <t>Instalado en la Torre Caleido, actualmente cuenta con 5 puntos de 120 kW y el objetivo es llegar a cuadriplicar este número de tomas.</t>
    </r>
    <r>
      <rPr>
        <rFont val="Arial, sans-serif"/>
        <color rgb="FF1155CC"/>
        <sz val="12.0"/>
        <u/>
      </rPr>
      <t>.</t>
    </r>
    <r>
      <rPr>
        <rFont val="Arial, sans-serif"/>
        <color rgb="FF1155CC"/>
        <sz val="11.0"/>
        <u/>
      </rPr>
      <t>19 nov 2024</t>
    </r>
  </si>
  <si>
    <t>Repsol, Uber, Caleido y Auro estrenan un pionero hub de recarga eléctrica</t>
  </si>
  <si>
    <t>Instalado en la Torre Caleido, actualmente cuenta con 5 puntos de 120 kW y el objetivo es llegar a cuadriplicar este número de tomas.</t>
  </si>
  <si>
    <t>Repsol, Uber, Caleido and Auro launch a pioneering electric charging hub</t>
  </si>
  <si>
    <t>Installed in the Caleido Tower, it currently has 5 points of 120 kW and the objective is to quadruple this number of outlets.</t>
  </si>
  <si>
    <t>Positive, emphasizes innovation in electric vehicle charging infrastructure.</t>
  </si>
  <si>
    <t>pionero</t>
  </si>
  <si>
    <r>
      <rPr>
        <rFont val="Arial, sans-serif"/>
        <color rgb="FF1155CC"/>
        <sz val="9.0"/>
        <u/>
      </rPr>
      <t>ABC</t>
    </r>
    <r>
      <rPr>
        <rFont val="Arial, sans-serif"/>
        <color rgb="FF1155CC"/>
        <sz val="15.0"/>
        <u/>
      </rPr>
      <t>«Aquí manda Repsol»: Greenpeace proyecta en el Congreso de los Diputados un mensaje contra la compañía ener...</t>
    </r>
    <r>
      <rPr>
        <rFont val="Arial, sans-serif"/>
        <color rgb="FF1155CC"/>
        <sz val="11.0"/>
        <u/>
      </rPr>
      <t>La organización denuncia que los partidos políticos están plegándose a los intereses y presiones de energéticas contaminantes.</t>
    </r>
    <r>
      <rPr>
        <rFont val="Arial, sans-serif"/>
        <color rgb="FF1155CC"/>
        <sz val="12.0"/>
        <u/>
      </rPr>
      <t>.</t>
    </r>
    <r>
      <rPr>
        <rFont val="Arial, sans-serif"/>
        <color rgb="FF1155CC"/>
        <sz val="11.0"/>
        <u/>
      </rPr>
      <t>19 nov 2024</t>
    </r>
  </si>
  <si>
    <t>«Aquí manda Repsol»: Greenpeace proyecta en el Congreso de los Diputados un mensaje contra la compañía ener...</t>
  </si>
  <si>
    <t>La organización denuncia que los partidos políticos están plegándose a los intereses y presiones de energéticas contaminantes.</t>
  </si>
  <si>
    <t>“Repsol rules here”: Greenpeace projects a message against the energy company in the Congress of Deputies...</t>
  </si>
  <si>
    <t>The organization denounces that political parties are bowing to the interests and pressures of polluting energy companies.</t>
  </si>
  <si>
    <t>Greenpeace, Repsol, Energy</t>
  </si>
  <si>
    <t>Greenpeace, Repsol, Energía</t>
  </si>
  <si>
    <t>Negative, expresses Greenpeace's disapproval of Repsol's political influence.</t>
  </si>
  <si>
    <t>Negative activism.</t>
  </si>
  <si>
    <t>Activismo negativo.</t>
  </si>
  <si>
    <r>
      <rPr>
        <rFont val="Arial, sans-serif"/>
        <color rgb="FF1155CC"/>
        <sz val="9.0"/>
        <u/>
      </rPr>
      <t>Motorpasion Moto</t>
    </r>
    <r>
      <rPr>
        <rFont val="Arial, sans-serif"/>
        <color rgb="FF1155CC"/>
        <sz val="15.0"/>
        <u/>
      </rPr>
      <t>Confirmado: El Repsol Honda ha acabado último el mundial de equipos de MotoGP por primera vez en toda la historia</t>
    </r>
    <r>
      <rPr>
        <rFont val="Arial, sans-serif"/>
        <color rgb="FF1155CC"/>
        <sz val="11.0"/>
        <u/>
      </rPr>
      <t>Ya es oficial. Hacía falta un milagro en Barcelona y, como era de esperar, no se produjo. El Repsol Honda ha terminado el mundial como el peor equipo de...</t>
    </r>
    <r>
      <rPr>
        <rFont val="Arial, sans-serif"/>
        <color rgb="FF1155CC"/>
        <sz val="12.0"/>
        <u/>
      </rPr>
      <t>.</t>
    </r>
    <r>
      <rPr>
        <rFont val="Arial, sans-serif"/>
        <color rgb="FF1155CC"/>
        <sz val="11.0"/>
        <u/>
      </rPr>
      <t>19 nov 2024</t>
    </r>
  </si>
  <si>
    <t>El Repsol Honda ha acabado último el mundial de equipos de MotoGP por primera vez en toda la historia</t>
  </si>
  <si>
    <t>El Repsol Honda ha terminado el mundial como el peor equipo de MotoGP por primera vez en toda la historia.</t>
  </si>
  <si>
    <t>Repsol Honda has finished last in the MotoGP team championship for the first time in history</t>
  </si>
  <si>
    <t>Repsol Honda has finished the world championship as the worst MotoGP team for the first time in history.</t>
  </si>
  <si>
    <r>
      <rPr>
        <rFont val="Arial, sans-serif"/>
        <color rgb="FF1155CC"/>
        <sz val="9.0"/>
        <u/>
      </rPr>
      <t>El Mundo</t>
    </r>
    <r>
      <rPr>
        <rFont val="Arial, sans-serif"/>
        <color rgb="FF1155CC"/>
        <sz val="15.0"/>
        <u/>
      </rPr>
      <t>Qué comer en los 6 nuevos Soletes con Solera de Málaga: de la 'Posada del Bandolero' al 'Diamante'</t>
    </r>
    <r>
      <rPr>
        <rFont val="Arial, sans-serif"/>
        <color rgb="FF1155CC"/>
        <sz val="11.0"/>
        <u/>
      </rPr>
      <t>La Guía Repsol ha vuelto a dar un repaso a los restaurantes de la geografía española para sumar nuevos galardones. Un valor extra en forma de Solete con...</t>
    </r>
    <r>
      <rPr>
        <rFont val="Arial, sans-serif"/>
        <color rgb="FF1155CC"/>
        <sz val="12.0"/>
        <u/>
      </rPr>
      <t>.</t>
    </r>
    <r>
      <rPr>
        <rFont val="Arial, sans-serif"/>
        <color rgb="FF1155CC"/>
        <sz val="11.0"/>
        <u/>
      </rPr>
      <t>19 nov 2024</t>
    </r>
  </si>
  <si>
    <t>Qué comer en los 6 nuevos Soletes con Solera de Málaga: de la 'Posada del Bandolero' al 'Diamante'</t>
  </si>
  <si>
    <t>La Guía Repsol ha vuelto a dar un repaso a los restaurantes de la geografía española para sumar nuevos galardones. Un valor extra en forma de Solete con....</t>
  </si>
  <si>
    <t>What to eat at the 6 new Soletes con Solera in Malaga: from the 'Posada del Bandolero' to the 'Diamante'</t>
  </si>
  <si>
    <t>The Repsol Guide has once again reviewed the restaurants in Spain to add new awards. An extra value in the form of Solete with....</t>
  </si>
  <si>
    <r>
      <rPr>
        <rFont val="Arial, sans-serif"/>
        <color rgb="FF1155CC"/>
        <sz val="9.0"/>
        <u/>
      </rPr>
      <t>CapitalMadrid</t>
    </r>
    <r>
      <rPr>
        <rFont val="Arial, sans-serif"/>
        <color rgb="FF1155CC"/>
        <sz val="15.0"/>
        <u/>
      </rPr>
      <t>Sánchez desoye al PNV y Junts y mantiene el 'impuestazo' a energéticas un año más</t>
    </r>
    <r>
      <rPr>
        <rFont val="Arial, sans-serif"/>
        <color rgb="FF1155CC"/>
        <sz val="11.0"/>
        <u/>
      </rPr>
      <t>Podría excluirse a Repsol si mantiene su compromiso con la descarbonización. C. M 19 noviembre 2024 / 04:00h. Estación de Repsol.</t>
    </r>
    <r>
      <rPr>
        <rFont val="Arial, sans-serif"/>
        <color rgb="FF1155CC"/>
        <sz val="12.0"/>
        <u/>
      </rPr>
      <t>.</t>
    </r>
    <r>
      <rPr>
        <rFont val="Arial, sans-serif"/>
        <color rgb="FF1155CC"/>
        <sz val="11.0"/>
        <u/>
      </rPr>
      <t>19 nov 2024</t>
    </r>
  </si>
  <si>
    <t>Sánchez desoye al PNV y Junts y mantiene el 'impuestazo' a energéticas un año más</t>
  </si>
  <si>
    <t>Podría excluirse a Repsol si mantiene su compromiso con la descarbonización.</t>
  </si>
  <si>
    <t>Sánchez ignores the PNV and Junts and maintains the 'tax' on energy companies for another year</t>
  </si>
  <si>
    <t>Repsol could be excluded if it maintains its commitment to decarbonization.</t>
  </si>
  <si>
    <t>Sánchez, PNV, Junts, Energy tax</t>
  </si>
  <si>
    <t>Sánchez, PNV, Junts, Impuesto a la energía</t>
  </si>
  <si>
    <t>Negative, reflects political tension and opposition regarding the energy tax.</t>
  </si>
  <si>
    <t>mantiene</t>
  </si>
  <si>
    <t>Negative tax policy for Repsol.</t>
  </si>
  <si>
    <t>Política fiscal negativa para Repsol.</t>
  </si>
  <si>
    <r>
      <rPr>
        <rFont val="Arial, sans-serif"/>
        <color rgb="FF1155CC"/>
        <sz val="9.0"/>
        <u/>
      </rPr>
      <t>Movilidad Eléctrica</t>
    </r>
    <r>
      <rPr>
        <rFont val="Arial, sans-serif"/>
        <color rgb="FF1155CC"/>
        <sz val="15.0"/>
        <u/>
      </rPr>
      <t>Madrid acaba de inaugurar un servicio de recarga pionero en España</t>
    </r>
    <r>
      <rPr>
        <rFont val="Arial, sans-serif"/>
        <color rgb="FF1155CC"/>
        <sz val="11.0"/>
        <u/>
      </rPr>
      <t>Repsol, Uber, Caleido y Auro se han asociado en el desarrollo de un hub de recarga para coches eléctricos en Torre Caleido.</t>
    </r>
    <r>
      <rPr>
        <rFont val="Arial, sans-serif"/>
        <color rgb="FF1155CC"/>
        <sz val="12.0"/>
        <u/>
      </rPr>
      <t>.</t>
    </r>
    <r>
      <rPr>
        <rFont val="Arial, sans-serif"/>
        <color rgb="FF1155CC"/>
        <sz val="11.0"/>
        <u/>
      </rPr>
      <t>19 nov 2024</t>
    </r>
  </si>
  <si>
    <t>Madrid acaba de inaugurar un servicio de recarga pionero en España</t>
  </si>
  <si>
    <t>Repsol, Uber, Caleido y Auro se han asociado en el desarrollo de un hub de recarga para coches eléctricos en Torre Caleido.</t>
  </si>
  <si>
    <t>Madrid has just inaugurated a pioneering recharge service in Spain</t>
  </si>
  <si>
    <t>Repsol, Uber, Caleido and Auro have partnered in the development of a charging hub for electric cars in Torre Caleido.</t>
  </si>
  <si>
    <t>Madrid, Electric charging, Repsol</t>
  </si>
  <si>
    <t>Madrid, Recarga eléctrica, Repsol</t>
  </si>
  <si>
    <t>Positive, highlights a new initiative for electric vehicle infrastructure.</t>
  </si>
  <si>
    <r>
      <rPr>
        <rFont val="Arial, sans-serif"/>
        <color rgb="FF1155CC"/>
        <sz val="9.0"/>
        <u/>
      </rPr>
      <t>Leonoticias</t>
    </r>
    <r>
      <rPr>
        <rFont val="Arial, sans-serif"/>
        <color rgb="FF1155CC"/>
        <sz val="15.0"/>
        <u/>
      </rPr>
      <t>500 euros por cubierto, 21 estrellas Michelin y una gala de postín para ayudar a Valencia desde León</t>
    </r>
    <r>
      <rPr>
        <rFont val="Arial, sans-serif"/>
        <color rgb="FF1155CC"/>
        <sz val="11.0"/>
        <u/>
      </rPr>
      <t>La finca Valdemora en La Bañeza será el escenario en la comunidad de un evento internacional organizado por los chefs más prestigiosos del mundo.</t>
    </r>
    <r>
      <rPr>
        <rFont val="Arial, sans-serif"/>
        <color rgb="FF1155CC"/>
        <sz val="12.0"/>
        <u/>
      </rPr>
      <t>.</t>
    </r>
    <r>
      <rPr>
        <rFont val="Arial, sans-serif"/>
        <color rgb="FF1155CC"/>
        <sz val="11.0"/>
        <u/>
      </rPr>
      <t>19 nov 2024</t>
    </r>
  </si>
  <si>
    <t>500 euros por cubierto, 21 estrellas Michelin y una gala de postín para ayudar a Valencia desde León</t>
  </si>
  <si>
    <t>500 euros por cubierto, 21 estrellas Michelin y una gala de postín para ayudar a Valencia desde León. La finca Valdemora en La Bañeza será el escenario en la comunidad de un evento internacional organizado por los chefs más prestigiosos del mundo.</t>
  </si>
  <si>
    <t>500 euros per cover, 21 Michelin stars and a posh gala to help Valencia from León</t>
  </si>
  <si>
    <t>500 euros per cover, 21 Michelin stars and a posh gala to help Valencia from León. The Valdemora farm in La Bañeza will be the setting in the community for an international event organized by the most prestigious chefs in the world.</t>
  </si>
  <si>
    <r>
      <rPr>
        <rFont val="Arial, sans-serif"/>
        <color rgb="FF1155CC"/>
        <sz val="9.0"/>
        <u/>
      </rPr>
      <t>20Minutos</t>
    </r>
    <r>
      <rPr>
        <rFont val="Arial, sans-serif"/>
        <color rgb="FF1155CC"/>
        <sz val="15.0"/>
        <u/>
      </rPr>
      <t>El PSOE confirma que diseñará un impuesto a las energéticas que podrán esquivar las que inviertan "en descarbonización"</t>
    </r>
    <r>
      <rPr>
        <rFont val="Arial, sans-serif"/>
        <color rgb="FF1155CC"/>
        <sz val="11.0"/>
        <u/>
      </rPr>
      <t>El Gobierno empieza a dar detalles sobre cómo va a intentar hacer el encaje de bolillos que necesita para que, este jueves, ni sus socios de izquierdas ni.</t>
    </r>
    <r>
      <rPr>
        <rFont val="Arial, sans-serif"/>
        <color rgb="FF1155CC"/>
        <sz val="12.0"/>
        <u/>
      </rPr>
      <t>.</t>
    </r>
    <r>
      <rPr>
        <rFont val="Arial, sans-serif"/>
        <color rgb="FF1155CC"/>
        <sz val="11.0"/>
        <u/>
      </rPr>
      <t>19 nov 2024</t>
    </r>
  </si>
  <si>
    <t>El PSOE confirma que diseñará un impuesto a las energéticas que podrán esquivar las que inviertan "en descarbonización"</t>
  </si>
  <si>
    <t>El Gobierno empieza a dar detalles sobre cómo va a intentar hacer el encaje de bolillos que necesita para que, este jueves, ni sus socios de izquierdas ni...</t>
  </si>
  <si>
    <t>The PSOE confirms that it will design a tax on energy companies that those that invest "in decarbonization" will be able to avoid</t>
  </si>
  <si>
    <t>The Government is beginning to give details about how it is going to try to make the bobbin lace it needs so that, this Thursday, neither its left-wing partners nor...</t>
  </si>
  <si>
    <t>PSOE, Energy companies, Tax</t>
  </si>
  <si>
    <t>PSOE, Empresas energéticas, Impuestos</t>
  </si>
  <si>
    <t>Negative, highlights the financial burden and complex tax policies on energy firms.</t>
  </si>
  <si>
    <t>Mixed policy impact.</t>
  </si>
  <si>
    <t>Impacto mixto de las políticas.</t>
  </si>
  <si>
    <r>
      <rPr>
        <rFont val="Arial, sans-serif"/>
        <color rgb="FF1155CC"/>
        <sz val="9.0"/>
        <u/>
      </rPr>
      <t>Cinco Días</t>
    </r>
    <r>
      <rPr>
        <rFont val="Arial, sans-serif"/>
        <color rgb="FF1155CC"/>
        <sz val="15.0"/>
        <u/>
      </rPr>
      <t>Guía para seguir el juicio entre Iberdrola y Repsol por ecopostureo empresarial</t>
    </r>
    <r>
      <rPr>
        <rFont val="Arial, sans-serif"/>
        <color rgb="FF1155CC"/>
        <sz val="11.0"/>
        <u/>
      </rPr>
      <t>La vista oral, que se celebra en un juzgado de Santander desde primera hora de la mañana, se centra en las exposiciones de las defensas y de los peritos que...</t>
    </r>
    <r>
      <rPr>
        <rFont val="Arial, sans-serif"/>
        <color rgb="FF1155CC"/>
        <sz val="12.0"/>
        <u/>
      </rPr>
      <t>.</t>
    </r>
    <r>
      <rPr>
        <rFont val="Arial, sans-serif"/>
        <color rgb="FF1155CC"/>
        <sz val="11.0"/>
        <u/>
      </rPr>
      <t>20 nov 2024</t>
    </r>
  </si>
  <si>
    <t>Guía para seguir el juicio entre Iberdrola y Repsol por ecopostureo empresarial</t>
  </si>
  <si>
    <t>La vista oral, que se celebra en un juzgado de Santander desde primera hora de la mañana, se centra en las exposiciones de las defensas y de los peritos que....</t>
  </si>
  <si>
    <t>Guide to follow the trial between Iberdrola and Repsol for corporate ecopostureo</t>
  </si>
  <si>
    <t>The oral hearing, which takes place in a court in Santander from early in the morning, focuses on the presentations of the defense and the experts who...</t>
  </si>
  <si>
    <t>Negative, involves legal conflict between two large energy companies over environmental claims.</t>
  </si>
  <si>
    <t>ecopostureo</t>
  </si>
  <si>
    <t>Negative legal conflict.</t>
  </si>
  <si>
    <t>Conflicto jurídico negativo.</t>
  </si>
  <si>
    <r>
      <rPr>
        <rFont val="Arial, sans-serif"/>
        <color rgb="FF1155CC"/>
        <sz val="9.0"/>
        <u/>
      </rPr>
      <t>Guía Repsol</t>
    </r>
    <r>
      <rPr>
        <rFont val="Arial, sans-serif"/>
        <color rgb="FF1155CC"/>
        <sz val="15.0"/>
        <u/>
      </rPr>
      <t>Qué se debe exigir a una sala top</t>
    </r>
    <r>
      <rPr>
        <rFont val="Arial, sans-serif"/>
        <color rgb="FF1155CC"/>
        <sz val="11.0"/>
        <u/>
      </rPr>
      <t>Qué detalles hacen felices a los profesionales de sala cuando se sientan a la mesa y se ponen en la piel del comensal? Jefes de sala, sumilleres y bartend.</t>
    </r>
    <r>
      <rPr>
        <rFont val="Arial, sans-serif"/>
        <color rgb="FF1155CC"/>
        <sz val="12.0"/>
        <u/>
      </rPr>
      <t>.</t>
    </r>
    <r>
      <rPr>
        <rFont val="Arial, sans-serif"/>
        <color rgb="FF1155CC"/>
        <sz val="11.0"/>
        <u/>
      </rPr>
      <t>20 nov 2024</t>
    </r>
  </si>
  <si>
    <t>Qué se debe exigir a una sala top</t>
  </si>
  <si>
    <t>Qué detalles hacen felices a los profesionales de sala cuando se sientan a la mesa y se ponen en la piel del comensal? Jefes de sala, sumilleres y bartend...</t>
  </si>
  <si>
    <t>What should be required of a top room</t>
  </si>
  <si>
    <t>What details make front-of-house professionals happy when they sit at the table and put themselves in the diner's shoes? Room managers, sommeliers and bartenders...</t>
  </si>
  <si>
    <r>
      <rPr>
        <rFont val="Arial, sans-serif"/>
        <color rgb="FF1155CC"/>
        <sz val="9.0"/>
        <u/>
      </rPr>
      <t>El Periódico</t>
    </r>
    <r>
      <rPr>
        <rFont val="Arial, sans-serif"/>
        <color rgb="FF1155CC"/>
        <sz val="15.0"/>
        <u/>
      </rPr>
      <t>El primer juicio por 'greenwashing' de España enfrenta este jueves a Iberdrola contra Repsol</t>
    </r>
    <r>
      <rPr>
        <rFont val="Arial, sans-serif"/>
        <color rgb="FF1155CC"/>
        <sz val="11.0"/>
        <u/>
      </rPr>
      <t>Un juzgado de la capital cántabra acoge la vista por la causa que enfrenta a la primera eléctrica española con la principal petrolera por 'competencia...</t>
    </r>
    <r>
      <rPr>
        <rFont val="Arial, sans-serif"/>
        <color rgb="FF1155CC"/>
        <sz val="12.0"/>
        <u/>
      </rPr>
      <t>.</t>
    </r>
    <r>
      <rPr>
        <rFont val="Arial, sans-serif"/>
        <color rgb="FF1155CC"/>
        <sz val="11.0"/>
        <u/>
      </rPr>
      <t>20 nov 2024</t>
    </r>
  </si>
  <si>
    <t>El primer juicio por 'greenwashing' de España enfrenta este jueves a Iberdrola contra Repsol</t>
  </si>
  <si>
    <t>Un juzgado de la capital cántabra acoge la vista por la causa que enfrenta a la primera eléctrica española con la principal petrolera por 'competencia....</t>
  </si>
  <si>
    <t>The first trial for 'greenwashing' in Spain pits Iberdrola against Repsol this Thursday</t>
  </si>
  <si>
    <t>A court in the Cantabrian capital hosts the hearing for the case that pits the leading Spanish electricity company against the main oil company for 'competition....</t>
  </si>
  <si>
    <t>Negative, details the ongoing legal battle over accusations of greenwashing.</t>
  </si>
  <si>
    <t>High negative legal dispute.</t>
  </si>
  <si>
    <t>Disputa jurídica negativa alta.</t>
  </si>
  <si>
    <r>
      <rPr>
        <rFont val="Arial, sans-serif"/>
        <color rgb="FF1155CC"/>
        <sz val="9.0"/>
        <u/>
      </rPr>
      <t>SoriaNoticias</t>
    </r>
    <r>
      <rPr>
        <rFont val="Arial, sans-serif"/>
        <color rgb="FF1155CC"/>
        <sz val="15.0"/>
        <u/>
      </rPr>
      <t>La Guía Repsol reconoce a 6 restaurantes de Soria: El Fogón del Salvador, entre los premiados</t>
    </r>
    <r>
      <rPr>
        <rFont val="Arial, sans-serif"/>
        <color rgb="FF1155CC"/>
        <sz val="11.0"/>
        <u/>
      </rPr>
      <t>El décimo listado de Soletes con Solera Guía Repsol, que ha incorporado a más de 300 locales de todos los rincones del país, se ha acordado de la provincia.</t>
    </r>
    <r>
      <rPr>
        <rFont val="Arial, sans-serif"/>
        <color rgb="FF1155CC"/>
        <sz val="12.0"/>
        <u/>
      </rPr>
      <t>.</t>
    </r>
    <r>
      <rPr>
        <rFont val="Arial, sans-serif"/>
        <color rgb="FF1155CC"/>
        <sz val="11.0"/>
        <u/>
      </rPr>
      <t>20 nov 2024</t>
    </r>
  </si>
  <si>
    <t>La Guía Repsol reconoce a 6 restaurantes de Soria: El Fogón del Salvador, entre los premiados</t>
  </si>
  <si>
    <t>El décimo listado de Soletes con Solera Guía Repsol, que ha incorporado a más de 300 locales de todos los rincones del país, se ha acordado de la provincia.</t>
  </si>
  <si>
    <t>The Repsol Guide recognizes 6 restaurants in Soria: El Fogón del Salvador, among the winners</t>
  </si>
  <si>
    <t>The tenth list of Soletes con Solera Repsol Guide, which has incorporated more than 300 stores from all corners of the country, has remembered the province.</t>
  </si>
  <si>
    <r>
      <rPr>
        <rFont val="Arial, sans-serif"/>
        <color rgb="FF1155CC"/>
        <sz val="9.0"/>
        <u/>
      </rPr>
      <t>El Español</t>
    </r>
    <r>
      <rPr>
        <rFont val="Arial, sans-serif"/>
        <color rgb="FF1155CC"/>
        <sz val="15.0"/>
        <u/>
      </rPr>
      <t>Waylet, la solución de Repsol que avanza hacia una movilidad eléctrica más eficiente</t>
    </r>
    <r>
      <rPr>
        <rFont val="Arial, sans-serif"/>
        <color rgb="FF1155CC"/>
        <sz val="11.0"/>
        <u/>
      </rPr>
      <t>La aplicación ofrece información sobre los puntos de recarga, permite la planificación de las rutas y facilita la gestión de las cargas.</t>
    </r>
    <r>
      <rPr>
        <rFont val="Arial, sans-serif"/>
        <color rgb="FF1155CC"/>
        <sz val="12.0"/>
        <u/>
      </rPr>
      <t>.</t>
    </r>
    <r>
      <rPr>
        <rFont val="Arial, sans-serif"/>
        <color rgb="FF1155CC"/>
        <sz val="11.0"/>
        <u/>
      </rPr>
      <t>20 nov 2024</t>
    </r>
  </si>
  <si>
    <t>Waylet, la solución de Repsol que avanza hacia una movilidad eléctrica más eficiente</t>
  </si>
  <si>
    <t>La aplicación ofrece información sobre los puntos de recarga, permite la planificación de las rutas y facilita la gestión de las cargas.</t>
  </si>
  <si>
    <t>Waylet, Repsol's solution that moves towards more efficient electric mobility</t>
  </si>
  <si>
    <t>The application offers information about charging points, allows route planning and facilitates load management.</t>
  </si>
  <si>
    <t>Waylet, Repsol, Electric mobility</t>
  </si>
  <si>
    <t>Waylet, Repsol, Movilidad eléctrica</t>
  </si>
  <si>
    <t>Positive, showcases Repsol’s innovation in electric mobility solutions.</t>
  </si>
  <si>
    <t>avanza</t>
  </si>
  <si>
    <r>
      <rPr>
        <rFont val="Arial, sans-serif"/>
        <color rgb="FF1155CC"/>
        <sz val="9.0"/>
        <u/>
      </rPr>
      <t>elmercantil.com</t>
    </r>
    <r>
      <rPr>
        <rFont val="Arial, sans-serif"/>
        <color rgb="FF1155CC"/>
        <sz val="15.0"/>
        <u/>
      </rPr>
      <t>Mureloil invierte 40 millones en un buque híbrido de bunkering para Repsol</t>
    </r>
    <r>
      <rPr>
        <rFont val="Arial, sans-serif"/>
        <color rgb="FF1155CC"/>
        <sz val="11.0"/>
        <u/>
      </rPr>
      <t>El nuevo quimiquero del armador vasco operará en Algeciras y tendrá capacidad para 8.000 metros cúbicos de biofueles y metanol.</t>
    </r>
    <r>
      <rPr>
        <rFont val="Arial, sans-serif"/>
        <color rgb="FF1155CC"/>
        <sz val="12.0"/>
        <u/>
      </rPr>
      <t>.</t>
    </r>
    <r>
      <rPr>
        <rFont val="Arial, sans-serif"/>
        <color rgb="FF1155CC"/>
        <sz val="11.0"/>
        <u/>
      </rPr>
      <t>20 nov 2024</t>
    </r>
  </si>
  <si>
    <t>Mureloil invierte 40 millones en un buque híbrido de bunkering para Repsol</t>
  </si>
  <si>
    <t>El nuevo quimiquero del armador vasco operará en Algeciras y tendrá capacidad para 8.000 metros cúbicos de biofueles y metanol.</t>
  </si>
  <si>
    <t>Mureloil invests 40 million in a hybrid bunkering vessel for Repsol</t>
  </si>
  <si>
    <t>The Basque shipowner's new chemical tanker will operate in Algeciras and will have capacity for 8,000 cubic meters of biofuels and methanol.</t>
  </si>
  <si>
    <t>Mureloil, Repsol, Investment</t>
  </si>
  <si>
    <t>Mureloil, Repsol, Inversión</t>
  </si>
  <si>
    <t>Positive, highlights investment in sustainable fuel infrastructure.</t>
  </si>
  <si>
    <t>invierte</t>
  </si>
  <si>
    <t>Positive sustainability investment.</t>
  </si>
  <si>
    <t>Inversión positiva en sostenibilidad.</t>
  </si>
  <si>
    <r>
      <rPr>
        <rFont val="Arial, sans-serif"/>
        <color rgb="FF1155CC"/>
        <sz val="9.0"/>
        <u/>
      </rPr>
      <t>El Nacional.cat</t>
    </r>
    <r>
      <rPr>
        <rFont val="Arial, sans-serif"/>
        <color rgb="FF1155CC"/>
        <sz val="15.0"/>
        <u/>
      </rPr>
      <t>Iberdrola, Repsol y Naturgy se unen contra el impuesto a las energéticas</t>
    </r>
    <r>
      <rPr>
        <rFont val="Arial, sans-serif"/>
        <color rgb="FF1155CC"/>
        <sz val="11.0"/>
        <u/>
      </rPr>
      <t>Las grandes energéticas españolas - Iberdrola, Repsol, Naturgy. Endesa y Moeve (antes Cepsa)- han aparcado sus diferencias y se han unido, a través la...</t>
    </r>
    <r>
      <rPr>
        <rFont val="Arial, sans-serif"/>
        <color rgb="FF1155CC"/>
        <sz val="12.0"/>
        <u/>
      </rPr>
      <t>.</t>
    </r>
    <r>
      <rPr>
        <rFont val="Arial, sans-serif"/>
        <color rgb="FF1155CC"/>
        <sz val="11.0"/>
        <u/>
      </rPr>
      <t>20 nov 2024</t>
    </r>
  </si>
  <si>
    <t>Iberdrola, Repsol y Naturgy se unen contra el impuesto a las energéticas</t>
  </si>
  <si>
    <t>Las grandes energéticas españolas - Iberdrola, Repsol, Naturgy. Endesa y Moeve (antes Cepsa)- han aparcado sus diferencias y se han unido, a través la....</t>
  </si>
  <si>
    <t>Iberdrola, Repsol and Naturgy unite against the tax on energy companies</t>
  </si>
  <si>
    <t>The large Spanish energy companies - Iberdrola, Repsol, Naturgy. Endesa and Moeve (formerly Cepsa) - have put aside their differences and have joined forces, through...</t>
  </si>
  <si>
    <t>Iberdrola, Repsol, Naturgy, Tax</t>
  </si>
  <si>
    <t>Negative, emphasizes resistance from large companies against tax policies.</t>
  </si>
  <si>
    <t>Sector-wide opposition.</t>
  </si>
  <si>
    <t>Oposición sectorial.</t>
  </si>
  <si>
    <r>
      <rPr>
        <rFont val="Arial, sans-serif"/>
        <color rgb="FF1155CC"/>
        <sz val="9.0"/>
        <u/>
      </rPr>
      <t>Noticias de Navarra</t>
    </r>
    <r>
      <rPr>
        <rFont val="Arial, sans-serif"/>
        <color rgb="FF1155CC"/>
        <sz val="15.0"/>
        <u/>
      </rPr>
      <t>Iberdrola y Repsol se enfrentan este jueves en el primer juicio por 'greenwashing'</t>
    </r>
    <r>
      <rPr>
        <rFont val="Arial, sans-serif"/>
        <color rgb="FF1155CC"/>
        <sz val="11.0"/>
        <u/>
      </rPr>
      <t>Iberdrola y Repsol se ven las caras este jueves en el Juzgado de lo Mercantil número 2 de Santander en la demanda presentada por la eléctrica contra la...</t>
    </r>
    <r>
      <rPr>
        <rFont val="Arial, sans-serif"/>
        <color rgb="FF1155CC"/>
        <sz val="12.0"/>
        <u/>
      </rPr>
      <t>.</t>
    </r>
    <r>
      <rPr>
        <rFont val="Arial, sans-serif"/>
        <color rgb="FF1155CC"/>
        <sz val="11.0"/>
        <u/>
      </rPr>
      <t>20 nov 2024</t>
    </r>
  </si>
  <si>
    <t>Iberdrola y Repsol se enfrentan este jueves en el primer juicio por 'greenwashing'</t>
  </si>
  <si>
    <t>Iberdrola y Repsol se ven las caras este jueves en el Juzgado de lo Mercantil número 2 de Santander en la demanda presentada por la eléctrica contra la....</t>
  </si>
  <si>
    <t>Iberdrola and Repsol face each other this Thursday in the first trial for 'greenwashing'</t>
  </si>
  <si>
    <t>Iberdrola and Repsol face each other this Thursday in the Commercial Court number 2 of Santander in the lawsuit filed by the electricity company against the...</t>
  </si>
  <si>
    <t>Negative, portrays legal challenges between major energy companies.</t>
  </si>
  <si>
    <t>enfrentan</t>
  </si>
  <si>
    <t>High negative legal conflict.</t>
  </si>
  <si>
    <t>Alto conflicto jurídico negativo.</t>
  </si>
  <si>
    <r>
      <rPr>
        <rFont val="Arial, sans-serif"/>
        <color rgb="FF1155CC"/>
        <sz val="9.0"/>
        <u/>
      </rPr>
      <t>El Confidencial</t>
    </r>
    <r>
      <rPr>
        <rFont val="Arial, sans-serif"/>
        <color rgb="FF1155CC"/>
        <sz val="15.0"/>
        <u/>
      </rPr>
      <t>El legendario bar de rock de Valencia donde puedes comer por 10 euros: ahora con un solete de la Guía Repsol</t>
    </r>
    <r>
      <rPr>
        <rFont val="Arial, sans-serif"/>
        <color rgb="FF1155CC"/>
        <sz val="11.0"/>
        <u/>
      </rPr>
      <t>Un bar icónico de Valencia combina menús económicos, ambiente rockero y autenticidad. Ahora, su propuesta ha sido reconocida con un prestigioso "solete" por...</t>
    </r>
    <r>
      <rPr>
        <rFont val="Arial, sans-serif"/>
        <color rgb="FF1155CC"/>
        <sz val="12.0"/>
        <u/>
      </rPr>
      <t>.</t>
    </r>
    <r>
      <rPr>
        <rFont val="Arial, sans-serif"/>
        <color rgb="FF1155CC"/>
        <sz val="11.0"/>
        <u/>
      </rPr>
      <t>20 nov 2024</t>
    </r>
  </si>
  <si>
    <t>El legendario bar de rock de Valencia donde puedes comer por 10 euros: ahora con un solete de la Guía Repsol</t>
  </si>
  <si>
    <t>Un bar icónico de Valencia combina menús económicos, ambiente rockero y autenticidad. Ahora, su propuesta ha sido reconocida con un prestigioso "solete" por....</t>
  </si>
  <si>
    <t>The legendary rock bar in Valencia where you can eat for 10 euros: now with a solete from the Repsol Guide</t>
  </si>
  <si>
    <t>An iconic bar in Valencia combines cheap menus, a rock atmosphere and authenticity. Now, his proposal has been recognized with a prestigious "solete" by...</t>
  </si>
  <si>
    <r>
      <rPr>
        <rFont val="Arial, sans-serif"/>
        <color rgb="FF1155CC"/>
        <sz val="9.0"/>
        <u/>
      </rPr>
      <t>Bolsamania</t>
    </r>
    <r>
      <rPr>
        <rFont val="Arial, sans-serif"/>
        <color rgb="FF1155CC"/>
        <sz val="15.0"/>
        <u/>
      </rPr>
      <t>Consultorio de análisis técnico: Grifols, Endesa, Inditex, Repsol, Sacyr, ArcelorMittal...</t>
    </r>
    <r>
      <rPr>
        <rFont val="Arial, sans-serif"/>
        <color rgb="FF1155CC"/>
        <sz val="11.0"/>
        <u/>
      </rPr>
      <t>A continuación, damos respuesta a los valores por los que más han preguntado este martes a César Nuez, analista técnico de 'Bolsamanía', que pone bajo la...</t>
    </r>
    <r>
      <rPr>
        <rFont val="Arial, sans-serif"/>
        <color rgb="FF1155CC"/>
        <sz val="12.0"/>
        <u/>
      </rPr>
      <t>.</t>
    </r>
    <r>
      <rPr>
        <rFont val="Arial, sans-serif"/>
        <color rgb="FF1155CC"/>
        <sz val="11.0"/>
        <u/>
      </rPr>
      <t>20 nov 2024</t>
    </r>
  </si>
  <si>
    <t>Consultorio de análisis técnico: Grifols, Endesa, Inditex, Repsol, Sacyr, ArcelorMittal...</t>
  </si>
  <si>
    <t>Technical analysis consultancy: Grifols, Endesa, Inditex, Repsol, Sacyr, ArcelorMittal...</t>
  </si>
  <si>
    <t>Grifols, Repsol, Sacyr</t>
  </si>
  <si>
    <t>Neutral, focuses on stock market analysis with no strong sentiment expressed.</t>
  </si>
  <si>
    <r>
      <rPr>
        <rFont val="Arial, sans-serif"/>
        <color rgb="FF1155CC"/>
        <sz val="9.0"/>
        <u/>
      </rPr>
      <t>Libre Mercado</t>
    </r>
    <r>
      <rPr>
        <rFont val="Arial, sans-serif"/>
        <color rgb="FF1155CC"/>
        <sz val="15.0"/>
        <u/>
      </rPr>
      <t>Rebelión en las energéticas contra el impuestazo de Sánchez: 30.000 millones, en juego</t>
    </r>
    <r>
      <rPr>
        <rFont val="Arial, sans-serif"/>
        <color rgb="FF1155CC"/>
        <sz val="11.0"/>
        <u/>
      </rPr>
      <t>Endesa, Iberdrola, Moeve o Naturgy se han unido en bloque contra el impuestazo que pretende aprobar mañana Sánchez.</t>
    </r>
    <r>
      <rPr>
        <rFont val="Arial, sans-serif"/>
        <color rgb="FF1155CC"/>
        <sz val="12.0"/>
        <u/>
      </rPr>
      <t>.</t>
    </r>
    <r>
      <rPr>
        <rFont val="Arial, sans-serif"/>
        <color rgb="FF1155CC"/>
        <sz val="11.0"/>
        <u/>
      </rPr>
      <t>20 nov 2024</t>
    </r>
  </si>
  <si>
    <t>Rebelión en las energéticas contra el impuestazo de Sánchez: 30.000 millones, en juego</t>
  </si>
  <si>
    <t>Endesa, Iberdrola, Moeve o Naturgy se han unido en bloque contra el impuestazo que pretende aprobar mañana Sánchez.</t>
  </si>
  <si>
    <t>Rebellion in the energy companies against Sánchez's tax: 30,000 million at stake</t>
  </si>
  <si>
    <t>Endesa, Iberdrola, Moeve and Naturgy have joined forces against the huge tax that Sánchez intends to approve tomorrow.</t>
  </si>
  <si>
    <t>Sánchez, Repsol, Tax</t>
  </si>
  <si>
    <t>Sánchez, Repsol, Impuestos</t>
  </si>
  <si>
    <t>Negative, reflects opposition and financial concerns due to new tax policies.</t>
  </si>
  <si>
    <t>Negative sector stance.</t>
  </si>
  <si>
    <t>Postura negativa del sector.</t>
  </si>
  <si>
    <r>
      <rPr>
        <rFont val="Arial, sans-serif"/>
        <color rgb="FF1155CC"/>
        <sz val="9.0"/>
        <u/>
      </rPr>
      <t>OkDiario</t>
    </r>
    <r>
      <rPr>
        <rFont val="Arial, sans-serif"/>
        <color rgb="FF1155CC"/>
        <sz val="15.0"/>
        <u/>
      </rPr>
      <t>Endesa, Iberdrola, Naturgy y Repsol advierten que el ‘impuestazo’ amenaza 30.000 millones en in...</t>
    </r>
    <r>
      <rPr>
        <rFont val="Arial, sans-serif"/>
        <color rgb="FF1155CC"/>
        <sz val="11.0"/>
        <u/>
      </rPr>
      <t>Endesa, Iberdrola, Repsol y Naturgy han advertido al Gobierno a través de Enerclub que prorrogar el impuestazo a las energéticas pone en peligro más de...</t>
    </r>
    <r>
      <rPr>
        <rFont val="Arial, sans-serif"/>
        <color rgb="FF1155CC"/>
        <sz val="12.0"/>
        <u/>
      </rPr>
      <t>.</t>
    </r>
    <r>
      <rPr>
        <rFont val="Arial, sans-serif"/>
        <color rgb="FF1155CC"/>
        <sz val="11.0"/>
        <u/>
      </rPr>
      <t>20 nov 2024</t>
    </r>
  </si>
  <si>
    <t>Endesa, Iberdrola, Naturgy y Repsol advierten que el ‘impuestazo’ amenaza 30.000 millones en inversiones.</t>
  </si>
  <si>
    <t>Endesa, Iberdrola, Repsol y Naturgy han advertido al Gobierno a través de Enerclub que prorrogar el impuestazo a las energéticas pone en peligro más de....</t>
  </si>
  <si>
    <t>Endesa, Iberdrola, Naturgy and Repsol warn that the 'tax' threatens 30,000 million in investments.</t>
  </si>
  <si>
    <t>Endesa, Iberdrola, Repsol and Naturgy have warned the Government through Enerclub that extending the tax on energy companies endangers more than...</t>
  </si>
  <si>
    <t>Repsol, Endesa, Tax</t>
  </si>
  <si>
    <t>Repsol, Endesa, Impuestos</t>
  </si>
  <si>
    <t>Negative, highlights the negative financial impact the tax could have on investments.</t>
  </si>
  <si>
    <t>Negative investment risk.</t>
  </si>
  <si>
    <t>Riesgo de inversión negativo.</t>
  </si>
  <si>
    <r>
      <rPr>
        <rFont val="Arial, sans-serif"/>
        <color rgb="FF1155CC"/>
        <sz val="9.0"/>
        <u/>
      </rPr>
      <t>20Minutos</t>
    </r>
    <r>
      <rPr>
        <rFont val="Arial, sans-serif"/>
        <color rgb="FF1155CC"/>
        <sz val="15.0"/>
        <u/>
      </rPr>
      <t>Las grandes eléctricas y gasistas advierten al Gobierno de que un nuevo impuesto hará peligrar inversiones para la transición verde</t>
    </r>
    <r>
      <rPr>
        <rFont val="Arial, sans-serif"/>
        <color rgb="FF1155CC"/>
        <sz val="11.0"/>
        <u/>
      </rPr>
      <t>Iberdrola, Endesa, Moeve, Naturgy, Repsol, Total Energies, BP y EDP se posicionan en contra en un comunicado conjunto.</t>
    </r>
    <r>
      <rPr>
        <rFont val="Arial, sans-serif"/>
        <color rgb="FF1155CC"/>
        <sz val="12.0"/>
        <u/>
      </rPr>
      <t>.</t>
    </r>
    <r>
      <rPr>
        <rFont val="Arial, sans-serif"/>
        <color rgb="FF1155CC"/>
        <sz val="11.0"/>
        <u/>
      </rPr>
      <t>20 nov 2024</t>
    </r>
  </si>
  <si>
    <t>Las grandes eléctricas y gasistas advierten al Gobierno de que un nuevo impuesto hará peligrar inversiones para la transición verde</t>
  </si>
  <si>
    <t>Las grandes eléctricas y gasistas advierten al Gobierno de que un nuevo impuesto hará peligrar inversiones para la transición verde. Iberdrola, Endesa, Moeve, Naturgy, Repsol, Total Energies, BP y EDP se posicionan en contra en un comunicado conjunto.</t>
  </si>
  <si>
    <t>The large electricity and gas companies warn the Government that a new tax will jeopardize investments for the green transition</t>
  </si>
  <si>
    <t>The large electricity and gas companies warn the Government that a new tax will jeopardize investments for the green transition. Iberdrola, Endesa, Moeve, Naturgy, Repsol, Total Energies, BP and EDP take a position against it in a joint statement.</t>
  </si>
  <si>
    <t>Repsol, Iberdrola, Green transition</t>
  </si>
  <si>
    <t>Repsol, Iberdrola, Transición verde</t>
  </si>
  <si>
    <t>Negative, emphasizes concerns about the impact on green investments.</t>
  </si>
  <si>
    <t>peligrar</t>
  </si>
  <si>
    <t>Negative policy impact.</t>
  </si>
  <si>
    <t>Impacto político negativo.</t>
  </si>
  <si>
    <r>
      <rPr>
        <rFont val="Arial, sans-serif"/>
        <color rgb="FF1155CC"/>
        <sz val="9.0"/>
        <u/>
      </rPr>
      <t>El Economista</t>
    </r>
    <r>
      <rPr>
        <rFont val="Arial, sans-serif"/>
        <color rgb="FF1155CC"/>
        <sz val="15.0"/>
        <u/>
      </rPr>
      <t>Las energéticas alzan la voz contra el 'impuestazo': amenazan con retirar 30.000 millones de inversión en España</t>
    </r>
    <r>
      <rPr>
        <rFont val="Arial, sans-serif"/>
        <color rgb="FF1155CC"/>
        <sz val="11.0"/>
        <u/>
      </rPr>
      <t>Enerclub, la patronal de las energéticas que agrupa desde las eléctricas hasta las petroleras, ha lanzado un comunicado este miércoles ...</t>
    </r>
    <r>
      <rPr>
        <rFont val="Arial, sans-serif"/>
        <color rgb="FF1155CC"/>
        <sz val="12.0"/>
        <u/>
      </rPr>
      <t>.</t>
    </r>
    <r>
      <rPr>
        <rFont val="Arial, sans-serif"/>
        <color rgb="FF1155CC"/>
        <sz val="11.0"/>
        <u/>
      </rPr>
      <t>20 nov 2024</t>
    </r>
  </si>
  <si>
    <t>Las energéticas alzan la voz contra el 'impuestazo': amenazan con retirar 30.000 millones de inversión en España</t>
  </si>
  <si>
    <t>Enerclub, la patronal de las energéticas que agrupa desde las eléctricas hasta las petroleras, ha lanzado un comunicado este miércoles ....</t>
  </si>
  <si>
    <t>Energy companies raise their voices against the 'tax': they threaten to withdraw 30,000 million of investment in Spain</t>
  </si>
  <si>
    <t>Enerclub, the energy industry association that brings together everything from electricity companies to oil companies, released a statement this Wednesday....</t>
  </si>
  <si>
    <t>Repsol, Investment, Tax</t>
  </si>
  <si>
    <t>Repsol, Inversión, Impuestos</t>
  </si>
  <si>
    <t>Negative, signals a strong resistance from the energy sector regarding the tax policy.</t>
  </si>
  <si>
    <t>Strong negative threat.</t>
  </si>
  <si>
    <t>Fuerte amenaza negativa.</t>
  </si>
  <si>
    <r>
      <rPr>
        <rFont val="Arial, sans-serif"/>
        <color rgb="FF1155CC"/>
        <sz val="9.0"/>
        <u/>
      </rPr>
      <t>La Razón</t>
    </r>
    <r>
      <rPr>
        <rFont val="Arial, sans-serif"/>
        <color rgb="FF1155CC"/>
        <sz val="15.0"/>
        <u/>
      </rPr>
      <t>Challenge universitario: retando al talento joven</t>
    </r>
    <r>
      <rPr>
        <rFont val="Arial, sans-serif"/>
        <color rgb="FF1155CC"/>
        <sz val="11.0"/>
        <u/>
      </rPr>
      <t>El avance de la tecnología, el desajuste entre formación académica y demanda del mercado laboral y una generación Z más exigente está llevando a las...</t>
    </r>
    <r>
      <rPr>
        <rFont val="Arial, sans-serif"/>
        <color rgb="FF1155CC"/>
        <sz val="12.0"/>
        <u/>
      </rPr>
      <t>.</t>
    </r>
    <r>
      <rPr>
        <rFont val="Arial, sans-serif"/>
        <color rgb="FF1155CC"/>
        <sz val="11.0"/>
        <u/>
      </rPr>
      <t>20 nov 2024</t>
    </r>
  </si>
  <si>
    <t>Challenge universitario: retando al talento joven</t>
  </si>
  <si>
    <t>El avance de la tecnología, el desajuste entre formación académica y demanda del mercado laboral y una generación Z más exigente está llevando a las....</t>
  </si>
  <si>
    <t>University challenge: challenging young talent</t>
  </si>
  <si>
    <t>The advance of technology, the mismatch between academic training and labor market demand and a more demanding generation Z is leading to...</t>
  </si>
  <si>
    <r>
      <rPr>
        <rFont val="Arial, sans-serif"/>
        <color rgb="FF1155CC"/>
        <sz val="9.0"/>
        <u/>
      </rPr>
      <t>Cinco Días</t>
    </r>
    <r>
      <rPr>
        <rFont val="Arial, sans-serif"/>
        <color rgb="FF1155CC"/>
        <sz val="15.0"/>
        <u/>
      </rPr>
      <t>El Club de la Energía arremete contra el posible mantenimiento del impuesto energético</t>
    </r>
    <r>
      <rPr>
        <rFont val="Arial, sans-serif"/>
        <color rgb="FF1155CC"/>
        <sz val="11.0"/>
        <u/>
      </rPr>
      <t>El lobby, intergrado por las grandes empresas del sector, como Repsol, Moeve, Iberdrola, Endesa, o Naturgy, alerta en un comunicado del riesgo para las...</t>
    </r>
    <r>
      <rPr>
        <rFont val="Arial, sans-serif"/>
        <color rgb="FF1155CC"/>
        <sz val="12.0"/>
        <u/>
      </rPr>
      <t>.</t>
    </r>
    <r>
      <rPr>
        <rFont val="Arial, sans-serif"/>
        <color rgb="FF1155CC"/>
        <sz val="11.0"/>
        <u/>
      </rPr>
      <t>20 nov 2024</t>
    </r>
  </si>
  <si>
    <t>El Club de la Energía arremete contra el posible mantenimiento del impuesto energético</t>
  </si>
  <si>
    <t>El lobby, intergrado por las grandes empresas del sector, como Repsol, Moeve, Iberdrola, Endesa, o Naturgy, alerta en un comunicado del riesgo para las....</t>
  </si>
  <si>
    <t>The Energy Club attacks the possible maintenance of the energy tax</t>
  </si>
  <si>
    <t>The lobby, made up of large companies in the sector, such as Repsol, Moeve, Iberdrola, Endesa, or Naturgy, warns in a statement of the risk for...</t>
  </si>
  <si>
    <t>Repsol, Energy tax</t>
  </si>
  <si>
    <t>Repsol, Impuesto a la energía</t>
  </si>
  <si>
    <t>Negative, continues the opposition to the proposed tax, focusing on the negative impact.</t>
  </si>
  <si>
    <t>arremete</t>
  </si>
  <si>
    <t>Negative lobbying.</t>
  </si>
  <si>
    <t>Cabildeo negativo.</t>
  </si>
  <si>
    <r>
      <rPr>
        <rFont val="Arial, sans-serif"/>
        <color rgb="FF1155CC"/>
        <sz val="9.0"/>
        <u/>
      </rPr>
      <t>20Minutos</t>
    </r>
    <r>
      <rPr>
        <rFont val="Arial, sans-serif"/>
        <color rgb="FF1155CC"/>
        <sz val="15.0"/>
        <u/>
      </rPr>
      <t>Las energéticas advierten al Gobierno de que el impuesto amenaza a 30.000 millones de inversión en tres años</t>
    </r>
    <r>
      <rPr>
        <rFont val="Arial, sans-serif"/>
        <color rgb="FF1155CC"/>
        <sz val="11.0"/>
        <u/>
      </rPr>
      <t>Los asociados del Club Español de la Energía alertan de que prorrogar o incluir nuevas cargas impositivas dificultará la materialización de las inversiones.</t>
    </r>
    <r>
      <rPr>
        <rFont val="Arial, sans-serif"/>
        <color rgb="FF1155CC"/>
        <sz val="12.0"/>
        <u/>
      </rPr>
      <t>.</t>
    </r>
    <r>
      <rPr>
        <rFont val="Arial, sans-serif"/>
        <color rgb="FF1155CC"/>
        <sz val="11.0"/>
        <u/>
      </rPr>
      <t>20 nov 2024</t>
    </r>
  </si>
  <si>
    <t>Las energéticas advierten al Gobierno de que el impuesto amenaza a 30.000 millones de inversión en tres años</t>
  </si>
  <si>
    <t>Los asociados del Club Español de la Energía alertan de que prorrogar o incluir nuevas cargas impositivas dificultará la materialización de las inversiones.</t>
  </si>
  <si>
    <t>Energy companies warn the Government that the tax threatens 30,000 million of investment in three years</t>
  </si>
  <si>
    <t>The members of the Spanish Energy Club warn that extending or including new tax burdens will make it difficult for investments to materialize.</t>
  </si>
  <si>
    <t>Negative, warns of substantial financial consequences for the energy sector.</t>
  </si>
  <si>
    <r>
      <rPr>
        <rFont val="Arial, sans-serif"/>
        <color rgb="FF1155CC"/>
        <sz val="9.0"/>
        <u/>
      </rPr>
      <t>Diari ARA</t>
    </r>
    <r>
      <rPr>
        <rFont val="Arial, sans-serif"/>
        <color rgb="FF1155CC"/>
        <sz val="15.0"/>
        <u/>
      </rPr>
      <t>Iberdrola y Repsol se ven las caras en el juicio por ecoblanqueo</t>
    </r>
    <r>
      <rPr>
        <rFont val="Arial, sans-serif"/>
        <color rgb="FF1155CC"/>
        <sz val="11.0"/>
        <u/>
      </rPr>
      <t>MadridVisto para sentencia. Así ha quedado el juicio celebrado este jueves en Santander sobre la demanda de Iberdrola contra Repsol y el ecoblanqueoque,...</t>
    </r>
    <r>
      <rPr>
        <rFont val="Arial, sans-serif"/>
        <color rgb="FF1155CC"/>
        <sz val="12.0"/>
        <u/>
      </rPr>
      <t>.</t>
    </r>
    <r>
      <rPr>
        <rFont val="Arial, sans-serif"/>
        <color rgb="FF1155CC"/>
        <sz val="11.0"/>
        <u/>
      </rPr>
      <t>21 nov 2024</t>
    </r>
  </si>
  <si>
    <t>Iberdrola y Repsol se ven las caras en el juicio por ecoblanqueo</t>
  </si>
  <si>
    <t>Visto para sentencia. Así ha quedado el juicio celebrado este jueves en Santander sobre la demanda de Iberdrola contra Repsol y el ecoblanqueo.</t>
  </si>
  <si>
    <t>Iberdrola and Repsol face each other in the ecolaundering trial</t>
  </si>
  <si>
    <t>Seen for sentence. This is how the trial held this Thursday in Santander on Iberdrola's lawsuit against Repsol and eco-laundering turned out.</t>
  </si>
  <si>
    <t>Negative, involves a legal battle between major energy companies over environmental claims.</t>
  </si>
  <si>
    <t>ecoblanqueo</t>
  </si>
  <si>
    <r>
      <rPr>
        <rFont val="Arial, sans-serif"/>
        <color rgb="FF1155CC"/>
        <sz val="9.0"/>
        <u/>
      </rPr>
      <t>El Periódico de la Energía</t>
    </r>
    <r>
      <rPr>
        <rFont val="Arial, sans-serif"/>
        <color rgb="FF1155CC"/>
        <sz val="15.0"/>
        <u/>
      </rPr>
      <t>¡Segundos fuera!: así fue el combate judicial entre Iberdrola y Repsol por el 'greenwashing'</t>
    </r>
    <r>
      <rPr>
        <rFont val="Arial, sans-serif"/>
        <color rgb="FF1155CC"/>
        <sz val="11.0"/>
        <u/>
      </rPr>
      <t>El juicio ha quedado visto para sentencia que se espera se produzca a finales de año o a principios de 2025.</t>
    </r>
    <r>
      <rPr>
        <rFont val="Arial, sans-serif"/>
        <color rgb="FF1155CC"/>
        <sz val="12.0"/>
        <u/>
      </rPr>
      <t>.</t>
    </r>
    <r>
      <rPr>
        <rFont val="Arial, sans-serif"/>
        <color rgb="FF1155CC"/>
        <sz val="11.0"/>
        <u/>
      </rPr>
      <t>21 nov 2024</t>
    </r>
  </si>
  <si>
    <t>¡Segundos fuera!: así fue el combate judicial entre Iberdrola y Repsol por el 'greenwashing'</t>
  </si>
  <si>
    <t>El juicio ha quedado visto para sentencia que se espera se produzca a finales de año o a principios de 2025.</t>
  </si>
  <si>
    <t>Seconds out!: this was the legal battle between Iberdrola and Repsol over 'greenwashing'</t>
  </si>
  <si>
    <t>The trial has been scheduled for sentencing, which is expected to occur at the end of the year or at the beginning of 2025.</t>
  </si>
  <si>
    <t>Negative, reflects the legal conflict over environmental responsibility.</t>
  </si>
  <si>
    <t>combate</t>
  </si>
  <si>
    <t>Negative legal battle.</t>
  </si>
  <si>
    <t>Batalla legal negativa.</t>
  </si>
  <si>
    <r>
      <rPr>
        <rFont val="Arial, sans-serif"/>
        <color rgb="FF1155CC"/>
        <sz val="9.0"/>
        <u/>
      </rPr>
      <t>ABC</t>
    </r>
    <r>
      <rPr>
        <rFont val="Arial, sans-serif"/>
        <color rgb="FF1155CC"/>
        <sz val="15.0"/>
        <u/>
      </rPr>
      <t>Repsol e Iberdrola se enfrentan en el primer juicio por 'greenwashing' de la historia de España</t>
    </r>
    <r>
      <rPr>
        <rFont val="Arial, sans-serif"/>
        <color rgb="FF1155CC"/>
        <sz val="11.0"/>
        <u/>
      </rPr>
      <t>Iberdrola acusa a Repsol de competencia desleal, y de promocionar falsamente prácticas verdes. Repsol se defiende, alegando que Iberdrola está 'nerviosa'...</t>
    </r>
    <r>
      <rPr>
        <rFont val="Arial, sans-serif"/>
        <color rgb="FF1155CC"/>
        <sz val="12.0"/>
        <u/>
      </rPr>
      <t>.</t>
    </r>
    <r>
      <rPr>
        <rFont val="Arial, sans-serif"/>
        <color rgb="FF1155CC"/>
        <sz val="11.0"/>
        <u/>
      </rPr>
      <t>21 nov 2024</t>
    </r>
  </si>
  <si>
    <t>Repsol e Iberdrola se enfrentan en el primer juicio por 'greenwashing' de la historia de España</t>
  </si>
  <si>
    <t>Iberdrola acusa a Repsol de competencia desleal, y de promocionar falsamente prácticas verdes. Repsol se defiende, alegando que Iberdrola está 'nerviosa'....</t>
  </si>
  <si>
    <t>Repsol and Iberdrola face each other in the first trial for 'greenwashing' in the history of Spain</t>
  </si>
  <si>
    <t>Iberdrola accuses Repsol of unfair competition and falsely promoting green practices. Repsol defends itself, alleging that Iberdrola is 'nervous'....</t>
  </si>
  <si>
    <t>Negative, emphasizes a legal conflict regarding environmental claims.</t>
  </si>
  <si>
    <r>
      <rPr>
        <rFont val="Arial, sans-serif"/>
        <color rgb="FF1155CC"/>
        <sz val="9.0"/>
        <u/>
      </rPr>
      <t>EITB</t>
    </r>
    <r>
      <rPr>
        <rFont val="Arial, sans-serif"/>
        <color rgb="FF1155CC"/>
        <sz val="15.0"/>
        <u/>
      </rPr>
      <t>Iberdrola y Repsol, cara a cara en tribunales, en el primer juicio por 'greenwashing' del Estado español</t>
    </r>
    <r>
      <rPr>
        <rFont val="Arial, sans-serif"/>
        <color rgb="FF1155CC"/>
        <sz val="11.0"/>
        <u/>
      </rPr>
      <t>Iberdrola y Repsol se ven las caras en tribunales en el primer juicio por 'greenwashing' del Estado español.</t>
    </r>
    <r>
      <rPr>
        <rFont val="Arial, sans-serif"/>
        <color rgb="FF1155CC"/>
        <sz val="12.0"/>
        <u/>
      </rPr>
      <t>.</t>
    </r>
    <r>
      <rPr>
        <rFont val="Arial, sans-serif"/>
        <color rgb="FF1155CC"/>
        <sz val="11.0"/>
        <u/>
      </rPr>
      <t>21 nov 2024</t>
    </r>
  </si>
  <si>
    <t>Iberdrola y Repsol, cara a cara en tribunales, en el primer juicio por 'greenwashing' del Estado español</t>
  </si>
  <si>
    <t>Iberdrola y Repsol se ven las caras en tribunales en el primer juicio por 'greenwashing' del Estado español.</t>
  </si>
  <si>
    <t>Iberdrola and Repsol, face to face in court, in the first trial for 'greenwashing' in the Spanish State</t>
  </si>
  <si>
    <t>Iberdrola and Repsol face each other in court in the first trial for 'greenwashing' in the Spanish State.</t>
  </si>
  <si>
    <t>Negative, highlights a high-stakes legal conflict over corporate sustainability claims.</t>
  </si>
  <si>
    <t>cara a cara</t>
  </si>
  <si>
    <r>
      <rPr>
        <rFont val="Arial, sans-serif"/>
        <color rgb="FF1155CC"/>
        <sz val="9.0"/>
        <u/>
      </rPr>
      <t>Cinco Días</t>
    </r>
    <r>
      <rPr>
        <rFont val="Arial, sans-serif"/>
        <color rgb="FF1155CC"/>
        <sz val="15.0"/>
        <u/>
      </rPr>
      <t>Juicio por ecopostureo: Repsol defiende su compromiso con la sostenibilidad e Iberdrola lo ve incompatible con el petróleo</t>
    </r>
    <r>
      <rPr>
        <rFont val="Arial, sans-serif"/>
        <color rgb="FF1155CC"/>
        <sz val="11.0"/>
        <u/>
      </rPr>
      <t>Casi ocho horas ha durado el careo entre Iberdrola y Repsol por greenwashing en el primer juicio por ecopostureo empresarial celebrado en España.</t>
    </r>
    <r>
      <rPr>
        <rFont val="Arial, sans-serif"/>
        <color rgb="FF1155CC"/>
        <sz val="12.0"/>
        <u/>
      </rPr>
      <t>.</t>
    </r>
    <r>
      <rPr>
        <rFont val="Arial, sans-serif"/>
        <color rgb="FF1155CC"/>
        <sz val="11.0"/>
        <u/>
      </rPr>
      <t>21 nov 2024</t>
    </r>
  </si>
  <si>
    <t>Juicio por ecopostureo: Repsol defiende su compromiso con la sostenibilidad e Iberdrola lo ve incompatible con el petróleo</t>
  </si>
  <si>
    <t>Casi ocho horas ha durado el careo entre Iberdrola y Repsol por greenwashing en el primer juicio por ecopostureo empresarial celebrado en España.</t>
  </si>
  <si>
    <t>Ecopostureo trial: Repsol defends its commitment to sustainability and Iberdrola sees it as incompatible with oil</t>
  </si>
  <si>
    <t>The confrontation between Iberdrola and Repsol for greenwashing lasted almost eight hours in the first trial for corporate ecoposturing held in Spain.</t>
  </si>
  <si>
    <t>Repsol, Iberdrola, Greenwashing</t>
  </si>
  <si>
    <t>Repsol, Iberdrola, Lavado verde</t>
  </si>
  <si>
    <t>Negative, shows a clash over sustainability claims and oil industry practices.</t>
  </si>
  <si>
    <t>Negative legal/PR conflict.</t>
  </si>
  <si>
    <t>Conflicto legal/de relaciones públicas negativo.</t>
  </si>
  <si>
    <r>
      <rPr>
        <rFont val="Arial, sans-serif"/>
        <color rgb="FF1155CC"/>
        <sz val="9.0"/>
        <u/>
      </rPr>
      <t>heraldo.es</t>
    </r>
    <r>
      <rPr>
        <rFont val="Arial, sans-serif"/>
        <color rgb="FF1155CC"/>
        <sz val="15.0"/>
        <u/>
      </rPr>
      <t>El restaurante de Zaragoza con premio Repsol para comer por 35 euros</t>
    </r>
    <r>
      <rPr>
        <rFont val="Arial, sans-serif"/>
        <color rgb="FF1155CC"/>
        <sz val="11.0"/>
        <u/>
      </rPr>
      <t>Se trata de un establecimiento de la capital aragonesa que acaba de recibir un Solete con solera de la prestigiosa guía.</t>
    </r>
    <r>
      <rPr>
        <rFont val="Arial, sans-serif"/>
        <color rgb="FF1155CC"/>
        <sz val="12.0"/>
        <u/>
      </rPr>
      <t>.</t>
    </r>
    <r>
      <rPr>
        <rFont val="Arial, sans-serif"/>
        <color rgb="FF1155CC"/>
        <sz val="11.0"/>
        <u/>
      </rPr>
      <t>21 nov 2024</t>
    </r>
  </si>
  <si>
    <t>El restaurante de Zaragoza con premio Repsol para comer por 35 euros</t>
  </si>
  <si>
    <t>Se trata de un establecimiento de la capital aragonesa que acaba de recibir un Solete con solera de la prestigiosa guía.</t>
  </si>
  <si>
    <t>The Zaragoza restaurant with a Repsol award to eat for 35 euros</t>
  </si>
  <si>
    <t>This is an establishment in the Aragonese capital that has just received a Solete con tradition from the prestigious guide.</t>
  </si>
  <si>
    <r>
      <rPr>
        <rFont val="Arial, sans-serif"/>
        <color rgb="FF1155CC"/>
        <sz val="9.0"/>
        <u/>
      </rPr>
      <t>Mobility Plaza</t>
    </r>
    <r>
      <rPr>
        <rFont val="Arial, sans-serif"/>
        <color rgb="FF1155CC"/>
        <sz val="15.0"/>
        <u/>
      </rPr>
      <t>Repsol y Primor se asocian para llevar el cuidado de belleza a las estaciones</t>
    </r>
    <r>
      <rPr>
        <rFont val="Arial, sans-serif"/>
        <color rgb="FF1155CC"/>
        <sz val="11.0"/>
        <u/>
      </rPr>
      <t>Repsol y Primor lanzaron una nueva colaboración destinada a ofrecer productos de belleza y cuidado personal en las estaciones de servicio de España y...</t>
    </r>
    <r>
      <rPr>
        <rFont val="Arial, sans-serif"/>
        <color rgb="FF1155CC"/>
        <sz val="12.0"/>
        <u/>
      </rPr>
      <t>.</t>
    </r>
    <r>
      <rPr>
        <rFont val="Arial, sans-serif"/>
        <color rgb="FF1155CC"/>
        <sz val="11.0"/>
        <u/>
      </rPr>
      <t>21 nov 2024</t>
    </r>
  </si>
  <si>
    <t>Repsol y Primor se asocian para llevar el cuidado de belleza a las estaciones</t>
  </si>
  <si>
    <t>Repsol y Primor lanzaron una nueva colaboración destinada a ofrecer productos de belleza y cuidado personal en las estaciones de servicio de España y....</t>
  </si>
  <si>
    <t>Repsol and Primor partner to bring beauty care to the seasons</t>
  </si>
  <si>
    <t>Repsol and Primor launched a new collaboration aimed at offering beauty and personal care products at service stations in Spain and...</t>
  </si>
  <si>
    <t>Repsol, Primor, Beauty care</t>
  </si>
  <si>
    <t>Repsol, Primor, Cuidados de belleza</t>
  </si>
  <si>
    <t>Positive, highlights a new partnership to expand customer services.</t>
  </si>
  <si>
    <t>asocian</t>
  </si>
  <si>
    <t>Innovative partnership.</t>
  </si>
  <si>
    <t>Asociación innovadora.</t>
  </si>
  <si>
    <r>
      <rPr>
        <rFont val="Arial, sans-serif"/>
        <color rgb="FF1155CC"/>
        <sz val="9.0"/>
        <u/>
      </rPr>
      <t>som gandia</t>
    </r>
    <r>
      <rPr>
        <rFont val="Arial, sans-serif"/>
        <color rgb="FF1155CC"/>
        <sz val="15.0"/>
        <u/>
      </rPr>
      <t>La pastelería Ramiro entra en la Guía Repsol</t>
    </r>
    <r>
      <rPr>
        <rFont val="Arial, sans-serif"/>
        <color rgb="FF1155CC"/>
        <sz val="11.0"/>
        <u/>
      </rPr>
      <t>La emblemática pastelería Ramiro, conocida por sus exquisitas elaboraciones artesanales, ha sido reconocida este año con un solete Repsol.</t>
    </r>
    <r>
      <rPr>
        <rFont val="Arial, sans-serif"/>
        <color rgb="FF1155CC"/>
        <sz val="12.0"/>
        <u/>
      </rPr>
      <t>.</t>
    </r>
    <r>
      <rPr>
        <rFont val="Arial, sans-serif"/>
        <color rgb="FF1155CC"/>
        <sz val="11.0"/>
        <u/>
      </rPr>
      <t>21 nov 2024</t>
    </r>
  </si>
  <si>
    <t>La pastelería Ramiro entra en la Guía Repsol</t>
  </si>
  <si>
    <t>La emblemática pastelería Ramiro, conocida por sus exquisitas elaboraciones artesanales, ha sido reconocida este año con un solete Repsol.</t>
  </si>
  <si>
    <t>The Ramiro pastry shop enters the Repsol Guide</t>
  </si>
  <si>
    <t>The emblematic Ramiro pastry shop, known for its exquisite artisanal creations, has been recognized this year with a Repsol solete.</t>
  </si>
  <si>
    <r>
      <rPr>
        <rFont val="Arial, sans-serif"/>
        <color rgb="FF1155CC"/>
        <sz val="9.0"/>
        <u/>
      </rPr>
      <t>El Independiente</t>
    </r>
    <r>
      <rPr>
        <rFont val="Arial, sans-serif"/>
        <color rgb="FF1155CC"/>
        <sz val="15.0"/>
        <u/>
      </rPr>
      <t>Las siete claves que hoy enfrentarán a Iberdrola contra Repsol ante el juez</t>
    </r>
    <r>
      <rPr>
        <rFont val="Arial, sans-serif"/>
        <color rgb="FF1155CC"/>
        <sz val="11.0"/>
        <u/>
      </rPr>
      <t>La denuncia presentada por la eléctrica contra la petrolera por posible competencia desleal por 'ecopostureo' se dilucida hoy en Santander.</t>
    </r>
    <r>
      <rPr>
        <rFont val="Arial, sans-serif"/>
        <color rgb="FF1155CC"/>
        <sz val="12.0"/>
        <u/>
      </rPr>
      <t>.</t>
    </r>
    <r>
      <rPr>
        <rFont val="Arial, sans-serif"/>
        <color rgb="FF1155CC"/>
        <sz val="11.0"/>
        <u/>
      </rPr>
      <t>21 nov 2024</t>
    </r>
  </si>
  <si>
    <t>Las siete claves que hoy enfrentarán a Iberdrola contra Repsol ante el juez</t>
  </si>
  <si>
    <t>La denuncia presentada por la eléctrica contra la petrolera por posible competencia desleal por 'ecopostureo' se dilucida hoy en Santander.</t>
  </si>
  <si>
    <t>The seven keys that today will confront Iberdrola against Repsol before the judge</t>
  </si>
  <si>
    <t>The complaint filed by the electricity company against the oil company for possible unfair competition due to 'ecopostureo' is being resolved today in Santander.</t>
  </si>
  <si>
    <t>Negative, focuses on the ongoing legal conflict between the two companies.</t>
  </si>
  <si>
    <t>enfrentarán</t>
  </si>
  <si>
    <r>
      <rPr>
        <rFont val="Arial, sans-serif"/>
        <color rgb="FF1155CC"/>
        <sz val="9.0"/>
        <u/>
      </rPr>
      <t>Confilegal</t>
    </r>
    <r>
      <rPr>
        <rFont val="Arial, sans-serif"/>
        <color rgb="FF1155CC"/>
        <sz val="15.0"/>
        <u/>
      </rPr>
      <t>Iberdrola contra Repsol: comienza en Santander el primer juicio por 'greenwashing' en España</t>
    </r>
    <r>
      <rPr>
        <rFont val="Arial, sans-serif"/>
        <color rgb="FF1155CC"/>
        <sz val="11.0"/>
        <u/>
      </rPr>
      <t>Iberdrola contra Repsol: comienza en Santander el primer juicio por 'greenwashing', "publicidad engañosa" en España.</t>
    </r>
    <r>
      <rPr>
        <rFont val="Arial, sans-serif"/>
        <color rgb="FF1155CC"/>
        <sz val="12.0"/>
        <u/>
      </rPr>
      <t>.</t>
    </r>
    <r>
      <rPr>
        <rFont val="Arial, sans-serif"/>
        <color rgb="FF1155CC"/>
        <sz val="11.0"/>
        <u/>
      </rPr>
      <t>21 nov 2024</t>
    </r>
  </si>
  <si>
    <t>Iberdrola contra Repsol: comienza en Santander el primer juicio por 'greenwashing' en España</t>
  </si>
  <si>
    <t>Iberdrola contra Repsol: comienza en Santander el primer juicio por 'greenwashing', "publicidad engañosa" en España.</t>
  </si>
  <si>
    <t>Iberdrola against Repsol: the first trial for 'greenwashing' in Spain begins in Santander</t>
  </si>
  <si>
    <t>Iberdrola against Repsol: the first trial for 'greenwashing', "misleading advertising" in Spain, begins in Santander.</t>
  </si>
  <si>
    <t>Negative, marks the beginning of a significant legal battle over environmental claims.</t>
  </si>
  <si>
    <r>
      <rPr>
        <rFont val="Arial, sans-serif"/>
        <color rgb="FF1155CC"/>
        <sz val="9.0"/>
        <u/>
      </rPr>
      <t>Energías Renovables, el periodismo de las energías limpias.</t>
    </r>
    <r>
      <rPr>
        <rFont val="Arial, sans-serif"/>
        <color rgb="FF1155CC"/>
        <sz val="15.0"/>
        <u/>
      </rPr>
      <t>Las energéticas no invertirán en renovables 30.000 millones de euros si el Congreso dice sí al impuesto del 1,2%</t>
    </r>
    <r>
      <rPr>
        <rFont val="Arial, sans-serif"/>
        <color rgb="FF1155CC"/>
        <sz val="11.0"/>
        <u/>
      </rPr>
      <t>Repsol, BP, TotalEnergies, Cepsa, Iberdrola, Endesa, Naturgy y EDP amenazan con no invertir en España si el Congreso dice sí al impuesto a las energéticas.</t>
    </r>
    <r>
      <rPr>
        <rFont val="Arial, sans-serif"/>
        <color rgb="FF1155CC"/>
        <sz val="12.0"/>
        <u/>
      </rPr>
      <t>.</t>
    </r>
    <r>
      <rPr>
        <rFont val="Arial, sans-serif"/>
        <color rgb="FF1155CC"/>
        <sz val="11.0"/>
        <u/>
      </rPr>
      <t>21 nov 2024</t>
    </r>
  </si>
  <si>
    <t>Las energéticas no invertirán en renovables 30.000 millones de euros si el Congreso dice sí al impuesto del 1,2%</t>
  </si>
  <si>
    <t>Energy companies will not invest 30,000 million euros in renewables if Congress says yes to the 1.2% tax</t>
  </si>
  <si>
    <t>Negative, highlights potential financial losses for the green transition due to the proposed tax.</t>
  </si>
  <si>
    <t>no invertirán</t>
  </si>
  <si>
    <t>Negative investment threat.</t>
  </si>
  <si>
    <t>Amenaza de inversión negativa.</t>
  </si>
  <si>
    <r>
      <rPr>
        <rFont val="Arial, sans-serif"/>
        <color rgb="FF1155CC"/>
        <sz val="9.0"/>
        <u/>
      </rPr>
      <t>La Vanguardia</t>
    </r>
    <r>
      <rPr>
        <rFont val="Arial, sans-serif"/>
        <color rgb="FF1155CC"/>
        <sz val="15.0"/>
        <u/>
      </rPr>
      <t>Repsol e Iberdrola se encomiendan a los técnicos para salvar sus diferencias sobre 'greenwashing'</t>
    </r>
    <r>
      <rPr>
        <rFont val="Arial, sans-serif"/>
        <color rgb="FF1155CC"/>
        <sz val="11.0"/>
        <u/>
      </rPr>
      <t>Casi ocho horas, con un receso de poco más de diez minutos, ha durado el juicio que este jueves enfrentaba a Iberdrola y a Repsol en juzgado número 2 de...</t>
    </r>
    <r>
      <rPr>
        <rFont val="Arial, sans-serif"/>
        <color rgb="FF1155CC"/>
        <sz val="12.0"/>
        <u/>
      </rPr>
      <t>.</t>
    </r>
    <r>
      <rPr>
        <rFont val="Arial, sans-serif"/>
        <color rgb="FF1155CC"/>
        <sz val="11.0"/>
        <u/>
      </rPr>
      <t>21 nov 2024</t>
    </r>
  </si>
  <si>
    <t>Repsol e Iberdrola se encomiendan a los técnicos para salvar sus diferencias sobre 'greenwashing'</t>
  </si>
  <si>
    <t>Casi ocho horas, con un receso de poco más de diez minutos, ha durado el juicio que este jueves enfrentaba a Iberdrola y a Repsol en juzgado número 2 de....</t>
  </si>
  <si>
    <t>Repsol and Iberdrola entrust themselves to the technicians to resolve their differences over 'greenwashing'</t>
  </si>
  <si>
    <t>The trial between Iberdrola and Repsol this Thursday in court number 2 of... lasted almost eight hours, with a break of just over ten minutes.</t>
  </si>
  <si>
    <t>Negative, shows the ongoing legal struggle between the two companies.</t>
  </si>
  <si>
    <t>diferencias</t>
  </si>
  <si>
    <r>
      <rPr>
        <rFont val="Arial, sans-serif"/>
        <color rgb="FF1155CC"/>
        <sz val="9.0"/>
        <u/>
      </rPr>
      <t>Noticias de Gipuzkoa</t>
    </r>
    <r>
      <rPr>
        <rFont val="Arial, sans-serif"/>
        <color rgb="FF1155CC"/>
        <sz val="15.0"/>
        <u/>
      </rPr>
      <t>Repsol plantea un macroparque eólico en Gipuzkoa y el de Green Capital avanza</t>
    </r>
    <r>
      <rPr>
        <rFont val="Arial, sans-serif"/>
        <color rgb="FF1155CC"/>
        <sz val="11.0"/>
        <u/>
      </rPr>
      <t>La consultora FE Energy trabaja para Repsol en la definición del que sería el mayor parque eólico del Estado y se ubicaría entre Gipuzkoa y Navarra,...</t>
    </r>
    <r>
      <rPr>
        <rFont val="Arial, sans-serif"/>
        <color rgb="FF1155CC"/>
        <sz val="12.0"/>
        <u/>
      </rPr>
      <t>.</t>
    </r>
    <r>
      <rPr>
        <rFont val="Arial, sans-serif"/>
        <color rgb="FF1155CC"/>
        <sz val="11.0"/>
        <u/>
      </rPr>
      <t>21 nov 2024</t>
    </r>
  </si>
  <si>
    <t>Repsol plantea un macroparque eólico en Gipuzkoa y el de Green Capital avanza</t>
  </si>
  <si>
    <t>La consultora FE Energy trabaja para Repsol en la definición del que sería el mayor parque eólico del Estado y se ubicaría entre Gipuzkoa y Navarra,....</t>
  </si>
  <si>
    <t>Repsol proposes a macro wind farm in Gipuzkoa and that of Green Capital advances</t>
  </si>
  <si>
    <t>The consulting firm FE Energy is working for Repsol on the definition of what would be the largest wind farm in the State and would be located between Gipuzkoa and Navarra,...</t>
  </si>
  <si>
    <t>Repsol, Wind farm, Gipuzkoa</t>
  </si>
  <si>
    <t>Repsol, Parque eólico, Gipuzkoa</t>
  </si>
  <si>
    <t>Positive, highlights Repsol's contribution to renewable energy expansion.</t>
  </si>
  <si>
    <t>plantea</t>
  </si>
  <si>
    <t>Positive renewable energy plan.</t>
  </si>
  <si>
    <t>Plan positivo de energías renovables.</t>
  </si>
  <si>
    <r>
      <rPr>
        <rFont val="Arial, sans-serif"/>
        <color rgb="FF1155CC"/>
        <sz val="9.0"/>
        <u/>
      </rPr>
      <t>Europa Sur</t>
    </r>
    <r>
      <rPr>
        <rFont val="Arial, sans-serif"/>
        <color rgb="FF1155CC"/>
        <sz val="15.0"/>
        <u/>
      </rPr>
      <t>El Gobierno resucita el impuesto a las grandes eléctricas pese a las advertencias de Moeve y Repsol</t>
    </r>
    <r>
      <rPr>
        <rFont val="Arial, sans-serif"/>
        <color rgb="FF1155CC"/>
        <sz val="11.0"/>
        <u/>
      </rPr>
      <t>El acuerdo del PSOE con Podemos saca adelante in extremis la reforma fiscal y despeja el camino a los Presupuestos de 2025, pero deposita una sombra sobre...</t>
    </r>
    <r>
      <rPr>
        <rFont val="Arial, sans-serif"/>
        <color rgb="FF1155CC"/>
        <sz val="12.0"/>
        <u/>
      </rPr>
      <t>.</t>
    </r>
    <r>
      <rPr>
        <rFont val="Arial, sans-serif"/>
        <color rgb="FF1155CC"/>
        <sz val="11.0"/>
        <u/>
      </rPr>
      <t>21 nov 2024</t>
    </r>
  </si>
  <si>
    <t>El Gobierno resucita el impuesto a las grandes eléctricas pese a las advertencias de Moeve y Repsol</t>
  </si>
  <si>
    <t>El acuerdo del PSOE con Podemos saca adelante in extremis la reforma fiscal y despeja el camino a los Presupuestos de 2025, pero deposita una sombra sobre....</t>
  </si>
  <si>
    <t>The Government resurrects the tax on large electricity companies despite the warnings from Moeve and Repsol</t>
  </si>
  <si>
    <t>The PSOE agreement with Podemos pushes forward the tax reform in extremis and clears the way for the 2025 Budgets, but casts a shadow over...</t>
  </si>
  <si>
    <t>Repsol, Tax, Government</t>
  </si>
  <si>
    <t>Repsol, Impuestos, Gobierno</t>
  </si>
  <si>
    <t>Negative, reflects opposition from energy companies to the proposed tax.</t>
  </si>
  <si>
    <t>resucita</t>
  </si>
  <si>
    <r>
      <rPr>
        <rFont val="Arial, sans-serif"/>
        <color rgb="FF1155CC"/>
        <sz val="9.0"/>
        <u/>
      </rPr>
      <t>La Comarca de Puertollano</t>
    </r>
    <r>
      <rPr>
        <rFont val="Arial, sans-serif"/>
        <color rgb="FF1155CC"/>
        <sz val="15.0"/>
        <u/>
      </rPr>
      <t>Puertollano: Repsol presenta su oferta de prácticas formativas a los alumnos de la provincia en la Feria FP Dual</t>
    </r>
    <r>
      <rPr>
        <rFont val="Arial, sans-serif"/>
        <color rgb="FF1155CC"/>
        <sz val="11.0"/>
        <u/>
      </rPr>
      <t>Repsol ha sido una de las principales empresas de la provincia de Ciudad Real participantes en la VI Edición de la Feria de Formación Profesional Dual,...</t>
    </r>
    <r>
      <rPr>
        <rFont val="Arial, sans-serif"/>
        <color rgb="FF1155CC"/>
        <sz val="12.0"/>
        <u/>
      </rPr>
      <t>.</t>
    </r>
    <r>
      <rPr>
        <rFont val="Arial, sans-serif"/>
        <color rgb="FF1155CC"/>
        <sz val="11.0"/>
        <u/>
      </rPr>
      <t>21 nov 2024</t>
    </r>
  </si>
  <si>
    <t>Repsol presenta su oferta de prácticas formativas a los alumnos de la provincia en la Feria FP Dual</t>
  </si>
  <si>
    <t>Repsol ha sido una de las principales empresas de la provincia de Ciudad Real participantes en la VI Edición de la Feria de Formación Profesional Dual,....</t>
  </si>
  <si>
    <t>Repsol presents its offer of training practices to students in the province at the FP Dual Fair</t>
  </si>
  <si>
    <t>Repsol has been one of the main companies in the province of Ciudad Real participating in the VI Edition of the Dual Vocational Training Fair,....</t>
  </si>
  <si>
    <t>Repsol, Training, Vocational</t>
  </si>
  <si>
    <t>Repsol, Formación, Vocacional</t>
  </si>
  <si>
    <t>Positive, highlights Repsol's commitment to education and talent development.</t>
  </si>
  <si>
    <t>formativas</t>
  </si>
  <si>
    <t>Positive CSR/education.</t>
  </si>
  <si>
    <t>RSE/educación positiva.</t>
  </si>
  <si>
    <r>
      <rPr>
        <rFont val="Arial, sans-serif"/>
        <color rgb="FF1155CC"/>
        <sz val="9.0"/>
        <u/>
      </rPr>
      <t>El Debate</t>
    </r>
    <r>
      <rPr>
        <rFont val="Arial, sans-serif"/>
        <color rgb="FF1155CC"/>
        <sz val="15.0"/>
        <u/>
      </rPr>
      <t>Batalla entre gigantes energéticos: Iberdrola y Repsol se ven las caras en el juicio empresarial del año</t>
    </r>
    <r>
      <rPr>
        <rFont val="Arial, sans-serif"/>
        <color rgb="FF1155CC"/>
        <sz val="11.0"/>
        <u/>
      </rPr>
      <t>La eléctrica acusa a la compañía que dirige Josu Jon Imaz de «competencia desleal» y «publicidad engañosa» por greenwashing o 'ecoblanqueo'</t>
    </r>
    <r>
      <rPr>
        <rFont val="Arial, sans-serif"/>
        <color rgb="FF1155CC"/>
        <sz val="12.0"/>
        <u/>
      </rPr>
      <t>.</t>
    </r>
    <r>
      <rPr>
        <rFont val="Arial, sans-serif"/>
        <color rgb="FF1155CC"/>
        <sz val="11.0"/>
        <u/>
      </rPr>
      <t>21 nov 2024</t>
    </r>
  </si>
  <si>
    <t>Batalla entre gigantes energéticos: Iberdrola y Repsol se ven las caras en el juicio empresarial del año</t>
  </si>
  <si>
    <t>La eléctrica acusa a la compañía que dirige Josu Jon Imaz de «competencia desleal» y «publicidad engañosa» por greenwashing o 'ecoblanqueo'.</t>
  </si>
  <si>
    <t>Battle between energy giants: Iberdrola and Repsol face each other in the business trial of the year</t>
  </si>
  <si>
    <t>The electricity company accuses the company led by Josu Jon Imaz of "unfair competition" and "misleading advertising" due to greenwashing or 'eco-laundering'.</t>
  </si>
  <si>
    <t>Negative, focuses on the legal confrontation between two major companies.</t>
  </si>
  <si>
    <t>batalla</t>
  </si>
  <si>
    <r>
      <rPr>
        <rFont val="Arial, sans-serif"/>
        <color rgb="FF1155CC"/>
        <sz val="9.0"/>
        <u/>
      </rPr>
      <t>Ambientum</t>
    </r>
    <r>
      <rPr>
        <rFont val="Arial, sans-serif"/>
        <color rgb="FF1155CC"/>
        <sz val="15.0"/>
        <u/>
      </rPr>
      <t>Iberdrola y Repsol se enfrentan en el primer juicio por ‘greenwashing’ en España</t>
    </r>
    <r>
      <rPr>
        <rFont val="Arial, sans-serif"/>
        <color rgb="FF1155CC"/>
        <sz val="11.0"/>
        <u/>
      </rPr>
      <t>La batalla por la sostenibilidad llega a los tribunales. Iberdrola acusa a Repsol de falsear su imagen ecológica.</t>
    </r>
    <r>
      <rPr>
        <rFont val="Arial, sans-serif"/>
        <color rgb="FF1155CC"/>
        <sz val="12.0"/>
        <u/>
      </rPr>
      <t>.</t>
    </r>
    <r>
      <rPr>
        <rFont val="Arial, sans-serif"/>
        <color rgb="FF1155CC"/>
        <sz val="11.0"/>
        <u/>
      </rPr>
      <t>21 nov 2024</t>
    </r>
  </si>
  <si>
    <t>Ambientum</t>
  </si>
  <si>
    <t>Iberdrola y Repsol se enfrentan en el primer juicio por ‘greenwashing’ en España</t>
  </si>
  <si>
    <t>La batalla por la sostenibilidad llega a los tribunales. Iberdrola acusa a Repsol de falsear su imagen ecológica.</t>
  </si>
  <si>
    <t>Iberdrola and Repsol face each other in the first trial for 'greenwashing' in Spain</t>
  </si>
  <si>
    <t>The battle for sustainability reaches the courts. Iberdrola accuses Repsol of falsifying its ecological image.</t>
  </si>
  <si>
    <t>Negative, highlights the conflict over misleading environmental claims.</t>
  </si>
  <si>
    <r>
      <rPr>
        <rFont val="Arial, sans-serif"/>
        <color rgb="FF1155CC"/>
        <sz val="9.0"/>
        <u/>
      </rPr>
      <t>Repsol</t>
    </r>
    <r>
      <rPr>
        <rFont val="Arial, sans-serif"/>
        <color rgb="FF1155CC"/>
        <sz val="15.0"/>
        <u/>
      </rPr>
      <t>Challenge Universitario: retando al talento joven</t>
    </r>
    <r>
      <rPr>
        <rFont val="Arial, sans-serif"/>
        <color rgb="FF1155CC"/>
        <sz val="11.0"/>
        <u/>
      </rPr>
      <t>Las competiciones de talento no solo permiten a las empresas descubrir a jóvenes con habilidades destacadas, sino que ofrecen a la generación Z la...</t>
    </r>
    <r>
      <rPr>
        <rFont val="Arial, sans-serif"/>
        <color rgb="FF1155CC"/>
        <sz val="12.0"/>
        <u/>
      </rPr>
      <t>.</t>
    </r>
    <r>
      <rPr>
        <rFont val="Arial, sans-serif"/>
        <color rgb="FF1155CC"/>
        <sz val="11.0"/>
        <u/>
      </rPr>
      <t>21 nov 2024</t>
    </r>
  </si>
  <si>
    <t>Repsol Challenge Universitario: retando al talento joven</t>
  </si>
  <si>
    <t>Las competiciones de talento no solo permiten a las empresas descubrir a jóvenes con habilidades destacadas, sino que ofrecen a la generación Z la....</t>
  </si>
  <si>
    <t>Repsol University Challenge: challenging young talent</t>
  </si>
  <si>
    <t>Talent competitions not only allow companies to discover young people with outstanding skills, but they offer Generation Z the...</t>
  </si>
  <si>
    <r>
      <rPr>
        <rFont val="Arial, sans-serif"/>
        <color rgb="FF1155CC"/>
        <sz val="9.0"/>
        <u/>
      </rPr>
      <t>Expansión</t>
    </r>
    <r>
      <rPr>
        <rFont val="Arial, sans-serif"/>
        <color rgb="FF1155CC"/>
        <sz val="15.0"/>
        <u/>
      </rPr>
      <t>Iberdrola y Repsol llevan expertos 'top' al juicio del ecopostureo</t>
    </r>
    <r>
      <rPr>
        <rFont val="Arial, sans-serif"/>
        <color rgb="FF1155CC"/>
        <sz val="11.0"/>
        <u/>
      </rPr>
      <t>Iberdrola y Repsol se ven las caras hoy en el Juzgado de lo Mercantil número 2 de Santander en la vista oral tras la demanda presentada por la eléctrica...</t>
    </r>
    <r>
      <rPr>
        <rFont val="Arial, sans-serif"/>
        <color rgb="FF1155CC"/>
        <sz val="12.0"/>
        <u/>
      </rPr>
      <t>.</t>
    </r>
    <r>
      <rPr>
        <rFont val="Arial, sans-serif"/>
        <color rgb="FF1155CC"/>
        <sz val="11.0"/>
        <u/>
      </rPr>
      <t>21 nov 2024</t>
    </r>
  </si>
  <si>
    <t>Iberdrola y Repsol llevan expertos 'top' al juicio del ecopostureo</t>
  </si>
  <si>
    <t>Iberdrola y Repsol se ven las caras hoy en el Juzgado de lo Mercantil número 2 de Santander en la vista oral tras la demanda presentada por la eléctrica....</t>
  </si>
  <si>
    <t>Iberdrola and Repsol bring top experts to the ecopostureo trial</t>
  </si>
  <si>
    <t>Iberdrola and Repsol face each other today in the Commercial Court number 2 of Santander in the oral hearing after the lawsuit filed by the electricity company....</t>
  </si>
  <si>
    <t>Negative, underscores the serious legal implications for both companies.</t>
  </si>
  <si>
    <r>
      <rPr>
        <rFont val="Arial, sans-serif"/>
        <color rgb="FF1155CC"/>
        <sz val="9.0"/>
        <u/>
      </rPr>
      <t>Cinco Días</t>
    </r>
    <r>
      <rPr>
        <rFont val="Arial, sans-serif"/>
        <color rgb="FF1155CC"/>
        <sz val="15.0"/>
        <u/>
      </rPr>
      <t>Iberdrola vs. Repsol: ocho horas para dejar vista para sentencia una demanda histórica por publicidad engañosa</t>
    </r>
    <r>
      <rPr>
        <rFont val="Arial, sans-serif"/>
        <color rgb="FF1155CC"/>
        <sz val="11.0"/>
        <u/>
      </rPr>
      <t>El juicio, en el que han comparecido cuatro peritos propuestos por las empresas, se ha celebrado en una sala de la Audiencia de Cantabria ante la alta...</t>
    </r>
    <r>
      <rPr>
        <rFont val="Arial, sans-serif"/>
        <color rgb="FF1155CC"/>
        <sz val="12.0"/>
        <u/>
      </rPr>
      <t>.</t>
    </r>
    <r>
      <rPr>
        <rFont val="Arial, sans-serif"/>
        <color rgb="FF1155CC"/>
        <sz val="11.0"/>
        <u/>
      </rPr>
      <t>21 nov 2024</t>
    </r>
  </si>
  <si>
    <t>Iberdrola vs. Repsol: ocho horas para dejar vista para sentencia una demanda histórica por publicidad engañosa</t>
  </si>
  <si>
    <t>El juicio, en el que han comparecido cuatro peritos propuestos por las empresas, se ha celebrado en una sala de la Audiencia de Cantabria ante la alta....</t>
  </si>
  <si>
    <t>Iberdrola vs. Repsol: eight hours to let a historic lawsuit for misleading advertising be heard for ruling</t>
  </si>
  <si>
    <t>The trial, in which four experts proposed by the companies appeared, was held in a room in the Court of Cantabria before the high...</t>
  </si>
  <si>
    <t>Iberdrola, Repsol, Misleading advertising</t>
  </si>
  <si>
    <t>Iberdrola, Repsol, Publicidad engañosa</t>
  </si>
  <si>
    <t>Negative, reflects the intensity of the trial over misleading claims.</t>
  </si>
  <si>
    <t>engañosa</t>
  </si>
  <si>
    <r>
      <rPr>
        <rFont val="Arial, sans-serif"/>
        <color rgb="FF1155CC"/>
        <sz val="9.0"/>
        <u/>
      </rPr>
      <t>20Minutos</t>
    </r>
    <r>
      <rPr>
        <rFont val="Arial, sans-serif"/>
        <color rgb="FF1155CC"/>
        <sz val="15.0"/>
        <u/>
      </rPr>
      <t>Repsol asegura que Iberdrola limita su competencia y la eléctrica da por acreditados los "mensajes engañosos"</t>
    </r>
    <r>
      <rPr>
        <rFont val="Arial, sans-serif"/>
        <color rgb="FF1155CC"/>
        <sz val="11.0"/>
        <u/>
      </rPr>
      <t>Ambas se han enfrentado en el Juzgado de lo Mercantil número 2 de Santander como consecuencia de la demanda presentada por la eléctrica contra la petrolera...</t>
    </r>
    <r>
      <rPr>
        <rFont val="Arial, sans-serif"/>
        <color rgb="FF1155CC"/>
        <sz val="12.0"/>
        <u/>
      </rPr>
      <t>.</t>
    </r>
    <r>
      <rPr>
        <rFont val="Arial, sans-serif"/>
        <color rgb="FF1155CC"/>
        <sz val="11.0"/>
        <u/>
      </rPr>
      <t>21 nov 2024</t>
    </r>
  </si>
  <si>
    <t>Repsol asegura que Iberdrola limita su competencia y la eléctrica da por acreditados los "mensajes engañosos"</t>
  </si>
  <si>
    <t>Ambas se han enfrentado en el Juzgado de lo Mercantil número 2 de Santander como consecuencia de la demanda presentada por la eléctrica contra la petrolera.</t>
  </si>
  <si>
    <t>Repsol assures that Iberdrola limits its competition and the electricity company accepts the "misleading messages" as proven</t>
  </si>
  <si>
    <t>Both have faced each other in the Commercial Court number 2 of Santander as a result of the lawsuit filed by the electricity company against the oil company.</t>
  </si>
  <si>
    <t>Iberdrola, Repsol, Competition</t>
  </si>
  <si>
    <t>Iberdrola, Repsol, Competición</t>
  </si>
  <si>
    <t>Negative, highlights the accusations and legal defense between the companies.</t>
  </si>
  <si>
    <t>engañosos</t>
  </si>
  <si>
    <r>
      <rPr>
        <rFont val="Arial, sans-serif"/>
        <color rgb="FF1155CC"/>
        <sz val="9.0"/>
        <u/>
      </rPr>
      <t>Expansión</t>
    </r>
    <r>
      <rPr>
        <rFont val="Arial, sans-serif"/>
        <color rgb="FF1155CC"/>
        <sz val="15.0"/>
        <u/>
      </rPr>
      <t>Iberdrola, Endesa, Repsol, Moeve y Naturgy se rebelan contra el impuestazo</t>
    </r>
    <r>
      <rPr>
        <rFont val="Arial, sans-serif"/>
        <color rgb="FF1155CC"/>
        <sz val="11.0"/>
        <u/>
      </rPr>
      <t>La posibilidad de que el Gobierno mantenga el gravamen a las grandes energéticas, el denominado impuestazo, en contra de lo que parecía hace apenas unos...</t>
    </r>
    <r>
      <rPr>
        <rFont val="Arial, sans-serif"/>
        <color rgb="FF1155CC"/>
        <sz val="12.0"/>
        <u/>
      </rPr>
      <t>.</t>
    </r>
    <r>
      <rPr>
        <rFont val="Arial, sans-serif"/>
        <color rgb="FF1155CC"/>
        <sz val="11.0"/>
        <u/>
      </rPr>
      <t>21 nov 2024</t>
    </r>
  </si>
  <si>
    <t>Iberdrola, Endesa, Repsol, Moeve y Naturgy se rebelan contra el impuestazo</t>
  </si>
  <si>
    <t>La posibilidad de que el Gobierno mantenga el gravamen a las grandes energéticas, el denominado impuestazo, en contra de lo que parecía hace apenas unos....</t>
  </si>
  <si>
    <t>Iberdrola, Endesa, Repsol, Moeve and Naturgy rebel against the tax</t>
  </si>
  <si>
    <t>The possibility that the Government maintains the tax on large energy companies, the so-called tax, contrary to what seemed just a few years ago...</t>
  </si>
  <si>
    <t>Repsol, Tax, Rebellion</t>
  </si>
  <si>
    <t>Repsol, Impuestos, Rebelión</t>
  </si>
  <si>
    <t>Negative, reflects the pushback from energy companies regarding the tax.</t>
  </si>
  <si>
    <t>rebelan</t>
  </si>
  <si>
    <r>
      <rPr>
        <rFont val="Arial, sans-serif"/>
        <color rgb="FF1155CC"/>
        <sz val="9.0"/>
        <u/>
      </rPr>
      <t>Economía Digital</t>
    </r>
    <r>
      <rPr>
        <rFont val="Arial, sans-serif"/>
        <color rgb="FF1155CC"/>
        <sz val="15.0"/>
        <u/>
      </rPr>
      <t>Iberdrola vs Repsol: fin al juicio con acusaciones de publicidad engañosa y limitación de la competencia</t>
    </r>
    <r>
      <rPr>
        <rFont val="Arial, sans-serif"/>
        <color rgb="FF1155CC"/>
        <sz val="11.0"/>
        <u/>
      </rPr>
      <t>Este jueves ha tenido lugar en Santander el juicio entre Iberdrola y Repsol tras la demanda de la eléctrica contra la petrolera por «publicidad engañosa» y...</t>
    </r>
    <r>
      <rPr>
        <rFont val="Arial, sans-serif"/>
        <color rgb="FF1155CC"/>
        <sz val="12.0"/>
        <u/>
      </rPr>
      <t>.</t>
    </r>
    <r>
      <rPr>
        <rFont val="Arial, sans-serif"/>
        <color rgb="FF1155CC"/>
        <sz val="11.0"/>
        <u/>
      </rPr>
      <t>21 nov 2024</t>
    </r>
  </si>
  <si>
    <t>Iberdrola vs Repsol: fin al juicio con acusaciones de publicidad engañosa y limitación de la competencia</t>
  </si>
  <si>
    <t>Este jueves ha tenido lugar en Santander el juicio entre Iberdrola y Repsol tras la demanda de la eléctrica contra la petrolera por «publicidad engañosa» y....</t>
  </si>
  <si>
    <t>Iberdrola vs Repsol: end to the trial with accusations of misleading advertising and limitation of competition</t>
  </si>
  <si>
    <t>This Thursday the trial between Iberdrola and Repsol took place in Santander following the electricity company's lawsuit against the oil company for "misleading advertising" and...</t>
  </si>
  <si>
    <t>Negative, concludes the trial with unresolved issues and accusations.</t>
  </si>
  <si>
    <t>High negative legal outcome.</t>
  </si>
  <si>
    <t>Alto resultado jurídico negativo.</t>
  </si>
  <si>
    <r>
      <rPr>
        <rFont val="Arial, sans-serif"/>
        <color rgb="FF1155CC"/>
        <sz val="9.0"/>
        <u/>
      </rPr>
      <t>Europa Press</t>
    </r>
    <r>
      <rPr>
        <rFont val="Arial, sans-serif"/>
        <color rgb="FF1155CC"/>
        <sz val="15.0"/>
        <u/>
      </rPr>
      <t>Irene Montero dice que PSOE se "esconde detrás de Junts y el PNV" pero también quiere "ceder al chantaje de Repsol"</t>
    </r>
    <r>
      <rPr>
        <rFont val="Arial, sans-serif"/>
        <color rgb="FF1155CC"/>
        <sz val="11.0"/>
        <u/>
      </rPr>
      <t>Dice que Podemos no cederá y asegura que creen "en las reglas del juego de la democracia, no en que Repsol mande más que un diputado". BILBAO, 21 Nov.</t>
    </r>
    <r>
      <rPr>
        <rFont val="Arial, sans-serif"/>
        <color rgb="FF1155CC"/>
        <sz val="12.0"/>
        <u/>
      </rPr>
      <t>.</t>
    </r>
    <r>
      <rPr>
        <rFont val="Arial, sans-serif"/>
        <color rgb="FF1155CC"/>
        <sz val="11.0"/>
        <u/>
      </rPr>
      <t>21 nov 2024</t>
    </r>
  </si>
  <si>
    <t>Irene Montero dice que PSOE se "esconde detrás de Junts y el PNV" pero también quiere "ceder al chantaje de Repsol"</t>
  </si>
  <si>
    <t>Dice que Podemos no cederá y asegura que creen "en las reglas del juego de la democracia, no en que Repsol mande más que un diputado".</t>
  </si>
  <si>
    <t>Irene Montero says that PSOE is "hiding behind Junts and the PNV" but also wants to "give in to Repsol's blackmail"</t>
  </si>
  <si>
    <t>He says that Podemos will not give in and assures that they believe "in the rules of the game of democracy, not in Repsol commanding more than a deputy."</t>
  </si>
  <si>
    <t>PSOE, Repsol, Blackmail</t>
  </si>
  <si>
    <t>PSOE, Repsol, chantaje</t>
  </si>
  <si>
    <t>Negative, suggests political manipulation and influence from Repsol.</t>
  </si>
  <si>
    <t>chantaje</t>
  </si>
  <si>
    <r>
      <rPr>
        <rFont val="Arial, sans-serif"/>
        <color rgb="FF1155CC"/>
        <sz val="9.0"/>
        <u/>
      </rPr>
      <t>EITB</t>
    </r>
    <r>
      <rPr>
        <rFont val="Arial, sans-serif"/>
        <color rgb="FF1155CC"/>
        <sz val="15.0"/>
        <u/>
      </rPr>
      <t>Iberdrola acusa de mensajes "engañosos" a Repsol, que defiende su compromiso con la sostenibilidad</t>
    </r>
    <r>
      <rPr>
        <rFont val="Arial, sans-serif"/>
        <color rgb="FF1155CC"/>
        <sz val="11.0"/>
        <u/>
      </rPr>
      <t>Iberdrola acusa de mensajes "engañosos" a Repsol, que defiende su compromiso con la sostenibilidad.</t>
    </r>
    <r>
      <rPr>
        <rFont val="Arial, sans-serif"/>
        <color rgb="FF1155CC"/>
        <sz val="12.0"/>
        <u/>
      </rPr>
      <t>.</t>
    </r>
    <r>
      <rPr>
        <rFont val="Arial, sans-serif"/>
        <color rgb="FF1155CC"/>
        <sz val="11.0"/>
        <u/>
      </rPr>
      <t>21 nov 2024</t>
    </r>
  </si>
  <si>
    <t>Iberdrola acusa de mensajes "engañosos" a Repsol, que defiende su compromiso con la sostenibilidad</t>
  </si>
  <si>
    <t>Iberdrola acusa de mensajes "engañosos" a Repsol, que defiende su compromiso con la sostenibilidad.</t>
  </si>
  <si>
    <t>Iberdrola accuses Repsol of "misleading" messages, which defends its commitment to sustainability</t>
  </si>
  <si>
    <t>Iberdrola accuses Repsol of "misleading" messages, which defends its commitment to sustainability.</t>
  </si>
  <si>
    <t>Negative, centers on accusations of misleading green practices.</t>
  </si>
  <si>
    <r>
      <rPr>
        <rFont val="Arial, sans-serif"/>
        <color rgb="FF1155CC"/>
        <sz val="9.0"/>
        <u/>
      </rPr>
      <t>Crónica Vasca</t>
    </r>
    <r>
      <rPr>
        <rFont val="Arial, sans-serif"/>
        <color rgb="FF1155CC"/>
        <sz val="15.0"/>
        <u/>
      </rPr>
      <t>Primer asalto entre Iberdrola y Repsol en el combate judicial por el 'greenwashing'</t>
    </r>
    <r>
      <rPr>
        <rFont val="Arial, sans-serif"/>
        <color rgb="FF1155CC"/>
        <sz val="11.0"/>
        <u/>
      </rPr>
      <t>El pasado febrero Iberdrola demandó a Repsol por hacer marketing verde de manera engañosa en sus campañas de publicidad y comunicaciones corporativas Más...</t>
    </r>
    <r>
      <rPr>
        <rFont val="Arial, sans-serif"/>
        <color rgb="FF1155CC"/>
        <sz val="12.0"/>
        <u/>
      </rPr>
      <t>.</t>
    </r>
    <r>
      <rPr>
        <rFont val="Arial, sans-serif"/>
        <color rgb="FF1155CC"/>
        <sz val="11.0"/>
        <u/>
      </rPr>
      <t>21 nov 2024</t>
    </r>
  </si>
  <si>
    <t>Primer asalto entre Iberdrola y Repsol en el combate judicial por el 'greenwashing'</t>
  </si>
  <si>
    <t>El pasado febrero Iberdrola demandó a Repsol por hacer marketing verde de manera engañosa en sus campañas de publicidad y comunicaciones corporativas.</t>
  </si>
  <si>
    <t>First assault between Iberdrola and Repsol in the judicial fight over 'greenwashing'</t>
  </si>
  <si>
    <t>Last February Iberdrola sued Repsol for deceptive green marketing in its advertising campaigns and corporate communications.</t>
  </si>
  <si>
    <t>Negative, the beginning of a long legal battle with accusations of environmental deceit.</t>
  </si>
  <si>
    <r>
      <rPr>
        <rFont val="Arial, sans-serif"/>
        <color rgb="FF1155CC"/>
        <sz val="9.0"/>
        <u/>
      </rPr>
      <t>Hispanidad</t>
    </r>
    <r>
      <rPr>
        <rFont val="Arial, sans-serif"/>
        <color rgb="FF1155CC"/>
        <sz val="15.0"/>
        <u/>
      </rPr>
      <t>Ignacio Galán, obsesionado contra Repsol</t>
    </r>
    <r>
      <rPr>
        <rFont val="Arial, sans-serif"/>
        <color rgb="FF1155CC"/>
        <sz val="11.0"/>
        <u/>
      </rPr>
      <t>La obsesión de Ignacio S. Galán, presidente ejecutivo de Iberdrola, contra Repsol no parece tener límite en los últimos tiempos.</t>
    </r>
    <r>
      <rPr>
        <rFont val="Arial, sans-serif"/>
        <color rgb="FF1155CC"/>
        <sz val="12.0"/>
        <u/>
      </rPr>
      <t>.</t>
    </r>
    <r>
      <rPr>
        <rFont val="Arial, sans-serif"/>
        <color rgb="FF1155CC"/>
        <sz val="11.0"/>
        <u/>
      </rPr>
      <t>21 nov 2024</t>
    </r>
  </si>
  <si>
    <t>Ignacio Galán, obsesionado contra Repsol</t>
  </si>
  <si>
    <t>La obsesión de Ignacio S. Galán, presidente ejecutivo de Iberdrola, contra Repsol no parece tener límite en los últimos tiempos.</t>
  </si>
  <si>
    <t>Ignacio Galán, obsessed with Repsol</t>
  </si>
  <si>
    <t>The obsession of Ignacio S. Galán, executive president of Iberdrola, against Repsol seems to have no limit in recent times.</t>
  </si>
  <si>
    <t>Iberdrola, Repsol, Rivalry</t>
  </si>
  <si>
    <t>Iberdrola, Repsol, Rivalidad</t>
  </si>
  <si>
    <t>Negative, highlights personal tensions between corporate leaders.</t>
  </si>
  <si>
    <t>Negative executive conflict.</t>
  </si>
  <si>
    <t>Conflicto ejecutivo negativo.</t>
  </si>
  <si>
    <r>
      <rPr>
        <rFont val="Arial, sans-serif"/>
        <color rgb="FF1155CC"/>
        <sz val="9.0"/>
        <u/>
      </rPr>
      <t>El Español</t>
    </r>
    <r>
      <rPr>
        <rFont val="Arial, sans-serif"/>
        <color rgb="FF1155CC"/>
        <sz val="15.0"/>
        <u/>
      </rPr>
      <t>Repsol se aproxima a su resistencia horizontal más inmediata cerca de los 12 euros</t>
    </r>
    <r>
      <rPr>
        <rFont val="Arial, sans-serif"/>
        <color rgb="FF1155CC"/>
        <sz val="11.0"/>
        <u/>
      </rPr>
      <t>El alza reciente en el precio del crudo, impulsado por la tensión geopolítica, favorece los avances de la petrolera. Más información: El Ibex 35 recupera...</t>
    </r>
    <r>
      <rPr>
        <rFont val="Arial, sans-serif"/>
        <color rgb="FF1155CC"/>
        <sz val="12.0"/>
        <u/>
      </rPr>
      <t>.</t>
    </r>
    <r>
      <rPr>
        <rFont val="Arial, sans-serif"/>
        <color rgb="FF1155CC"/>
        <sz val="11.0"/>
        <u/>
      </rPr>
      <t>21 nov 2024</t>
    </r>
  </si>
  <si>
    <t>Repsol se aproxima a su resistencia horizontal más inmediata cerca de los 12 euros</t>
  </si>
  <si>
    <t>El alza reciente en el precio del crudo, impulsado por la tensión geopolítica, favorece los avances de la petrolera. Más información: El Ibex 35 recupera....</t>
  </si>
  <si>
    <t>Repsol is approaching its most immediate horizontal resistance near 12 euros</t>
  </si>
  <si>
    <t>The recent rise in the price of crude oil, driven by geopolitical tension, favors the oil company's progress. More information: The Ibex 35 recovers....</t>
  </si>
  <si>
    <t>Neutral, focuses on stock market analysis without strong sentiment.</t>
  </si>
  <si>
    <r>
      <rPr>
        <rFont val="Arial, sans-serif"/>
        <color rgb="FF1155CC"/>
        <sz val="9.0"/>
        <u/>
      </rPr>
      <t>El Diario Vasco</t>
    </r>
    <r>
      <rPr>
        <rFont val="Arial, sans-serif"/>
        <color rgb="FF1155CC"/>
        <sz val="15.0"/>
        <u/>
      </rPr>
      <t>Repsol proyecta el parque eólico más grande de Gipuzkoa para 2029</t>
    </r>
    <r>
      <rPr>
        <rFont val="Arial, sans-serif"/>
        <color rgb="FF1155CC"/>
        <sz val="11.0"/>
        <u/>
      </rPr>
      <t>Repsol quiere que el parque eólico más grande de Gipuzkoa que proyecta entre Hernani, Berastegi, Elduain, y Arano y Goizueta, en Navarra, pueda estar en...</t>
    </r>
    <r>
      <rPr>
        <rFont val="Arial, sans-serif"/>
        <color rgb="FF1155CC"/>
        <sz val="12.0"/>
        <u/>
      </rPr>
      <t>.</t>
    </r>
    <r>
      <rPr>
        <rFont val="Arial, sans-serif"/>
        <color rgb="FF1155CC"/>
        <sz val="11.0"/>
        <u/>
      </rPr>
      <t>21 nov 2024</t>
    </r>
  </si>
  <si>
    <t>Repsol proyecta el parque eólico más grande de Gipuzkoa para 2029</t>
  </si>
  <si>
    <t>Repsol quiere que el parque eólico más grande de Gipuzkoa que proyecta entre Hernani, Berastegi, Elduain, y Arano y Goizueta, en Navarra, pueda estar en....</t>
  </si>
  <si>
    <t>Repsol plans the largest wind farm in Gipuzkoa by 2029</t>
  </si>
  <si>
    <t>Repsol wants the largest wind farm in Gipuzkoa that it plans between Hernani, Berastegi, Elduain, and Arano and Goizueta, in Navarra, to be in...</t>
  </si>
  <si>
    <t>Positive, highlights Repsol’s commitment to sustainable energy projects.</t>
  </si>
  <si>
    <t>proyecta</t>
  </si>
  <si>
    <t>Strong positive renewable energy plan.</t>
  </si>
  <si>
    <t>Fuerte plan positivo de energías renovables.</t>
  </si>
  <si>
    <r>
      <rPr>
        <rFont val="Arial, sans-serif"/>
        <color rgb="FF1155CC"/>
        <sz val="9.0"/>
        <u/>
      </rPr>
      <t>La Voz de Galicia</t>
    </r>
    <r>
      <rPr>
        <rFont val="Arial, sans-serif"/>
        <color rgb="FF1155CC"/>
        <sz val="15.0"/>
        <u/>
      </rPr>
      <t>Punta Langosteira vive un simulacro de Repsol con un buque en situación de emergencia</t>
    </r>
    <r>
      <rPr>
        <rFont val="Arial, sans-serif"/>
        <color rgb="FF1155CC"/>
        <sz val="11.0"/>
        <u/>
      </rPr>
      <t>El ejercicio formó parte de las prácticas formativas anuales que realizan los más de 600 trabajadores del complejo industrial.</t>
    </r>
    <r>
      <rPr>
        <rFont val="Arial, sans-serif"/>
        <color rgb="FF1155CC"/>
        <sz val="12.0"/>
        <u/>
      </rPr>
      <t>.</t>
    </r>
    <r>
      <rPr>
        <rFont val="Arial, sans-serif"/>
        <color rgb="FF1155CC"/>
        <sz val="11.0"/>
        <u/>
      </rPr>
      <t>21 nov 2024</t>
    </r>
  </si>
  <si>
    <t>Punta Langosteira vive un simulacro de Repsol con un buque en situación de emergencia</t>
  </si>
  <si>
    <t>El ejercicio formó parte de las prácticas formativas anuales que realizan los más de 600 trabajadores del complejo industrial.</t>
  </si>
  <si>
    <t>The exercise was part of the annual training practices carried out by the more than 600 workers of the industrial complex.</t>
  </si>
  <si>
    <t>Repsol, Drill, Emergency</t>
  </si>
  <si>
    <t>Repsol, Taladro, Emergencia</t>
  </si>
  <si>
    <t>Neutral, focuses on safety and emergency preparedness.</t>
  </si>
  <si>
    <r>
      <rPr>
        <rFont val="Arial, sans-serif"/>
        <color rgb="FF1155CC"/>
        <sz val="9.0"/>
        <u/>
      </rPr>
      <t>Hispanidad</t>
    </r>
    <r>
      <rPr>
        <rFont val="Arial, sans-serif"/>
        <color rgb="FF1155CC"/>
        <sz val="15.0"/>
        <u/>
      </rPr>
      <t>Por señalamientos similares a los de Ione Belarra e Irene Montero comenzó la violencia pre-Guerra Civil: insisten en mencionar a empresarios de Repsol, Iberdrola, Cepsa, Endesa y Naturgy</t>
    </r>
    <r>
      <rPr>
        <rFont val="Arial, sans-serif"/>
        <color rgb="FF1155CC"/>
        <sz val="11.0"/>
        <u/>
      </rPr>
      <t>El ambiente de guerracivilismo en España sigue creciendo y buena prueba de ello se puede ver en recientes declaraciones de las podemitas Ione Belarra e...</t>
    </r>
    <r>
      <rPr>
        <rFont val="Arial, sans-serif"/>
        <color rgb="FF1155CC"/>
        <sz val="12.0"/>
        <u/>
      </rPr>
      <t>.</t>
    </r>
    <r>
      <rPr>
        <rFont val="Arial, sans-serif"/>
        <color rgb="FF1155CC"/>
        <sz val="11.0"/>
        <u/>
      </rPr>
      <t>21 nov 2024</t>
    </r>
  </si>
  <si>
    <t>Por señalamientos similares a los de Ione Belarra e Irene Montero comenzó la violencia pre-Guerra Civil: insisten en mencionar a empresarios de Repsol, Iberdrola, Cepsa, Endesa y Naturgy</t>
  </si>
  <si>
    <t>El ambiente de guerracivilismo en España sigue creciendo y buena prueba de ello se puede ver en recientes declaraciones de las podemitas Ione Belarra e....</t>
  </si>
  <si>
    <t>Due to accusations similar to those of Ione Belarra and Irene Montero, the pre-Civil War violence began: they insist on mentioning businessmen from Repsol, Iberdrola, Cepsa, Endesa and Naturgy</t>
  </si>
  <si>
    <t>The atmosphere of civil war in Spain continues to grow and good proof of this can be seen in recent statements by the podemites Ione Belarra and...</t>
  </si>
  <si>
    <t>Repsol, Iberdrola, Political dispute</t>
  </si>
  <si>
    <t>Repsol, Iberdrola, Disputa política</t>
  </si>
  <si>
    <t>Negative, suggests controversy and conflict involving major companies.</t>
  </si>
  <si>
    <t>Mildly negative political context.</t>
  </si>
  <si>
    <t>Contexto político ligeramente negativo.</t>
  </si>
  <si>
    <r>
      <rPr>
        <rFont val="Arial, sans-serif"/>
        <color rgb="FF1155CC"/>
        <sz val="9.0"/>
        <u/>
      </rPr>
      <t>Diario AS</t>
    </r>
    <r>
      <rPr>
        <rFont val="Arial, sans-serif"/>
        <color rgb="FF1155CC"/>
        <sz val="15.0"/>
        <u/>
      </rPr>
      <t>“No tenía sentido traer una moto negra”</t>
    </r>
    <r>
      <rPr>
        <rFont val="Arial, sans-serif"/>
        <color rgb="FF1155CC"/>
        <sz val="11.0"/>
        <u/>
      </rPr>
      <t>Alberto Puig, team manager del Repsol Honda, no comparte la opinión de sus pilotos, Joan Mir y Luca Marini, que ya esperaban trabajar con la moto de 2025.</t>
    </r>
    <r>
      <rPr>
        <rFont val="Arial, sans-serif"/>
        <color rgb="FF1155CC"/>
        <sz val="12.0"/>
        <u/>
      </rPr>
      <t>.</t>
    </r>
    <r>
      <rPr>
        <rFont val="Arial, sans-serif"/>
        <color rgb="FF1155CC"/>
        <sz val="11.0"/>
        <u/>
      </rPr>
      <t>21 nov 2024</t>
    </r>
  </si>
  <si>
    <t>“No tenía sentido traer una moto negra”</t>
  </si>
  <si>
    <t>Alberto Puig, team manager del Repsol Honda, no comparte la opinión de sus pilotos, Joan Mir y Luca Marini, que ya esperaban trabajar con la moto de 2025.</t>
  </si>
  <si>
    <t>“It didn't make sense to bring a black motorcycle”</t>
  </si>
  <si>
    <t>Alberto Puig, Repsol Honda team manager, does not share the opinion of his riders, Joan Mir and Luca Marini, who were already hoping to work with the 2025 bike.</t>
  </si>
  <si>
    <r>
      <rPr>
        <rFont val="Arial, sans-serif"/>
        <color rgb="FF1155CC"/>
        <sz val="9.0"/>
        <u/>
      </rPr>
      <t>CapitalMadrid</t>
    </r>
    <r>
      <rPr>
        <rFont val="Arial, sans-serif"/>
        <color rgb="FF1155CC"/>
        <sz val="15.0"/>
        <u/>
      </rPr>
      <t>Demanda 'verde' de Iberdrola contra Repsol: la sentencia a principios de 2025</t>
    </r>
    <r>
      <rPr>
        <rFont val="Arial, sans-serif"/>
        <color rgb="FF1155CC"/>
        <sz val="11.0"/>
        <u/>
      </rPr>
      <t>El juez titular del Juzgado de lo Mercantil número 2 de Santander, Carlos Martínez de Marigorta, será el encargado de dictar la primera sentencia sobre...</t>
    </r>
    <r>
      <rPr>
        <rFont val="Arial, sans-serif"/>
        <color rgb="FF1155CC"/>
        <sz val="12.0"/>
        <u/>
      </rPr>
      <t>.</t>
    </r>
    <r>
      <rPr>
        <rFont val="Arial, sans-serif"/>
        <color rgb="FF1155CC"/>
        <sz val="11.0"/>
        <u/>
      </rPr>
      <t>22 nov 2024</t>
    </r>
  </si>
  <si>
    <t>Demanda 'verde' de Iberdrola contra Repsol: la sentencia a principios de 2025</t>
  </si>
  <si>
    <t>El juez titular del Juzgado de lo Mercantil número 2 de Santander, Carlos Martínez de Marigorta, será el encargado de dictar la primera sentencia sobre....</t>
  </si>
  <si>
    <t>Iberdrola's 'green' lawsuit against Repsol: the ruling in early 2025</t>
  </si>
  <si>
    <t>The chief judge of the Commercial Court number 2 of Santander, Carlos Martínez de Marigorta, will be in charge of issuing the first sentence on....</t>
  </si>
  <si>
    <t>Negative, focuses on the ongoing legal battle between Iberdrola and Repsol over misleading green practices.</t>
  </si>
  <si>
    <t>Negative legal outlook.</t>
  </si>
  <si>
    <t>Perspectiva jurídica negativa.</t>
  </si>
  <si>
    <r>
      <rPr>
        <rFont val="Arial, sans-serif"/>
        <color rgb="FF1155CC"/>
        <sz val="9.0"/>
        <u/>
      </rPr>
      <t>El Mundo</t>
    </r>
    <r>
      <rPr>
        <rFont val="Arial, sans-serif"/>
        <color rgb="FF1155CC"/>
        <sz val="15.0"/>
        <u/>
      </rPr>
      <t>Los dos informes clave del juicio Iberdrola vs. Repsol: la eléctrica acusa a la petrolera de gastar nueve millones en 'greenwashing' y esta asegura que sus clientes buscan "ahorro", no energía verde</t>
    </r>
    <r>
      <rPr>
        <rFont val="Arial, sans-serif"/>
        <color rgb="FF1155CC"/>
        <sz val="11.0"/>
        <u/>
      </rPr>
      <t>El Juzgado de lo Mercantil número 2 de Santander abrió ayer 15 minutos antes de lo habitual. Había motivos para sospechar que el gran cara a cara del día...</t>
    </r>
    <r>
      <rPr>
        <rFont val="Arial, sans-serif"/>
        <color rgb="FF1155CC"/>
        <sz val="12.0"/>
        <u/>
      </rPr>
      <t>.</t>
    </r>
    <r>
      <rPr>
        <rFont val="Arial, sans-serif"/>
        <color rgb="FF1155CC"/>
        <sz val="11.0"/>
        <u/>
      </rPr>
      <t>22 nov 2024</t>
    </r>
  </si>
  <si>
    <t>Los dos informes clave del juicio Iberdrola vs. Repsol: la eléctrica acusa a la petrolera de gastar nueve millones en 'greenwashing' y esta asegura que sus clientes buscan "ahorro", no energía verde</t>
  </si>
  <si>
    <t>La eléctrica acusa a la petrolera de gastar nueve millones en 'greenwashing' y esta asegura que sus clientes buscan "ahorro", no energía verde.</t>
  </si>
  <si>
    <t>The two key reports of the Iberdrola vs. trial Repsol: the electricity company accuses the oil company of spending nine million on 'greenwashing' and it assures that its customers are looking for "savings", not green energy</t>
  </si>
  <si>
    <t>The electricity company accuses the oil company of spending nine million on 'greenwashing' and the company assures that its customers are looking for "savings", not green energy.</t>
  </si>
  <si>
    <t>Negative, highlights serious accusations regarding misleading environmental practices.</t>
  </si>
  <si>
    <t>High negative legal/PR conflict.</t>
  </si>
  <si>
    <t>Alto conflicto legal/de relaciones públicas negativo.</t>
  </si>
  <si>
    <r>
      <rPr>
        <rFont val="Arial, sans-serif"/>
        <color rgb="FF1155CC"/>
        <sz val="9.0"/>
        <u/>
      </rPr>
      <t>Guía Repsol</t>
    </r>
    <r>
      <rPr>
        <rFont val="Arial, sans-serif"/>
        <color rgb="FF1155CC"/>
        <sz val="15.0"/>
        <u/>
      </rPr>
      <t>Zacaffè: primera cafetería de Zara en España</t>
    </r>
    <r>
      <rPr>
        <rFont val="Arial, sans-serif"/>
        <color rgb="FF1155CC"/>
        <sz val="11.0"/>
        <u/>
      </rPr>
      <t>Llega a España la primera cafetería de Zara. En Hermosilla, 14 (Madrid) podrás disfrutar de un café de especialidad al mismo tiempo que te paseas por la...</t>
    </r>
    <r>
      <rPr>
        <rFont val="Arial, sans-serif"/>
        <color rgb="FF1155CC"/>
        <sz val="12.0"/>
        <u/>
      </rPr>
      <t>.</t>
    </r>
    <r>
      <rPr>
        <rFont val="Arial, sans-serif"/>
        <color rgb="FF1155CC"/>
        <sz val="11.0"/>
        <u/>
      </rPr>
      <t>22 nov 2024</t>
    </r>
  </si>
  <si>
    <t>Zacaffè: primera cafetería de Zara en España</t>
  </si>
  <si>
    <t>Llega a España la primera cafetería de Zara. En Hermosilla, 14 (Madrid) podrás disfrutar de un café de especialidad al mismo tiempo que te paseas por la....</t>
  </si>
  <si>
    <t>Zacaffè: first Zara cafeteria in Spain</t>
  </si>
  <si>
    <t>The first Zara cafeteria arrives in Spain. In Hermosilla, 14 (Madrid) you can enjoy a specialty coffee while you walk through the...</t>
  </si>
  <si>
    <r>
      <rPr>
        <rFont val="Arial, sans-serif"/>
        <color rgb="FF1155CC"/>
        <sz val="9.0"/>
        <u/>
      </rPr>
      <t>Economía Digital</t>
    </r>
    <r>
      <rPr>
        <rFont val="Arial, sans-serif"/>
        <color rgb="FF1155CC"/>
        <sz val="15.0"/>
        <u/>
      </rPr>
      <t>El enredo fiscal enfrenta al Gobierno con Iberdrola, Repsol, Endesa y Naturgy: un impuesto y millones de inversión en el aire</t>
    </r>
    <r>
      <rPr>
        <rFont val="Arial, sans-serif"/>
        <color rgb="FF1155CC"/>
        <sz val="11.0"/>
        <u/>
      </rPr>
      <t>A 40 días de que expire el gravamen, hay dudas sobre su tramitación y cómo afectará a las empresas del sector.</t>
    </r>
    <r>
      <rPr>
        <rFont val="Arial, sans-serif"/>
        <color rgb="FF1155CC"/>
        <sz val="12.0"/>
        <u/>
      </rPr>
      <t>.</t>
    </r>
    <r>
      <rPr>
        <rFont val="Arial, sans-serif"/>
        <color rgb="FF1155CC"/>
        <sz val="11.0"/>
        <u/>
      </rPr>
      <t>22 nov 2024</t>
    </r>
  </si>
  <si>
    <t>El enredo fiscal enfrenta al Gobierno con Iberdrola, Repsol, Endesa y Naturgy: un impuesto y millones de inversión en el aire</t>
  </si>
  <si>
    <t>A 40 días de que expire el gravamen, hay dudas sobre su tramitación y cómo afectará a las empresas del sector.</t>
  </si>
  <si>
    <t>The fiscal entanglement pits the Government against Iberdrola, Repsol, Endesa and Naturgy: a tax and millions of investment in the air</t>
  </si>
  <si>
    <t>With 40 days until the tax expires, there are doubts about its processing and how it will affect companies in the sector.</t>
  </si>
  <si>
    <t>Negative, focuses on the ongoing conflict over the proposed energy tax.</t>
  </si>
  <si>
    <t>enfrenta</t>
  </si>
  <si>
    <t>Negative policy uncertainty.</t>
  </si>
  <si>
    <t>Incertidumbre política negativa.</t>
  </si>
  <si>
    <r>
      <rPr>
        <rFont val="Arial, sans-serif"/>
        <color rgb="FF1155CC"/>
        <sz val="9.0"/>
        <u/>
      </rPr>
      <t>Cinco Días</t>
    </r>
    <r>
      <rPr>
        <rFont val="Arial, sans-serif"/>
        <color rgb="FF1155CC"/>
        <sz val="15.0"/>
        <u/>
      </rPr>
      <t>Del ‘dieselgate’ al juicio de Iberdrola contra Repsol: cuando las empresas se ven salpicadas por el blanqueo ecológico</t>
    </r>
    <r>
      <rPr>
        <rFont val="Arial, sans-serif"/>
        <color rgb="FF1155CC"/>
        <sz val="11.0"/>
        <u/>
      </rPr>
      <t>El juicio entre Iberdrola y Repsol que tuvo lugar este jueves en Santander por blanqueo ecológico ha sido el primer caso en España que se ha visto en los...</t>
    </r>
    <r>
      <rPr>
        <rFont val="Arial, sans-serif"/>
        <color rgb="FF1155CC"/>
        <sz val="12.0"/>
        <u/>
      </rPr>
      <t>.</t>
    </r>
    <r>
      <rPr>
        <rFont val="Arial, sans-serif"/>
        <color rgb="FF1155CC"/>
        <sz val="11.0"/>
        <u/>
      </rPr>
      <t>22 nov 2024</t>
    </r>
  </si>
  <si>
    <t>Del ‘dieselgate’ al juicio de Iberdrola contra Repsol: cuando las empresas se ven salpicadas por el blanqueo ecológico</t>
  </si>
  <si>
    <t>El juicio entre Iberdrola y Repsol que tuvo lugar este jueves en Santander por blanqueo ecológico ha sido el primer caso en España que se ha visto en los....</t>
  </si>
  <si>
    <t>From 'dieselgate' to Iberdrola's trial against Repsol: when companies are affected by ecological money laundering</t>
  </si>
  <si>
    <t>The trial between Iberdrola and Repsol that took place this Thursday in Santander for ecological money laundering has been the first case in Spain that has been seen in the...</t>
  </si>
  <si>
    <t>Negative, continues the focus on the corporate conflict over misleading green marketing.</t>
  </si>
  <si>
    <t>blanqueo</t>
  </si>
  <si>
    <t>High negative legal/PR impact.</t>
  </si>
  <si>
    <t>Alto impacto legal y de relaciones públicas negativo.</t>
  </si>
  <si>
    <r>
      <rPr>
        <rFont val="Arial, sans-serif"/>
        <color rgb="FF1155CC"/>
        <sz val="9.0"/>
        <u/>
      </rPr>
      <t>Consenso del Mercado</t>
    </r>
    <r>
      <rPr>
        <rFont val="Arial, sans-serif"/>
        <color rgb="FF1155CC"/>
        <sz val="15.0"/>
        <u/>
      </rPr>
      <t>Noticias Ibex 35 Iberdrola, Endesa, Repsol, Naturgy: el Gobierno consensuará un tributo energético que no grave la descarbonización o prorrogar el existente</t>
    </r>
    <r>
      <rPr>
        <rFont val="Arial, sans-serif"/>
        <color rgb="FF1155CC"/>
        <sz val="11.0"/>
        <u/>
      </rPr>
      <t>Bankinter | El Gobierno logró ayer un acuerdo in extremis para salvar el grueso de su paquete tributario, a cambio de comprometer un incierto impuesto a...</t>
    </r>
    <r>
      <rPr>
        <rFont val="Arial, sans-serif"/>
        <color rgb="FF1155CC"/>
        <sz val="12.0"/>
        <u/>
      </rPr>
      <t>.</t>
    </r>
    <r>
      <rPr>
        <rFont val="Arial, sans-serif"/>
        <color rgb="FF1155CC"/>
        <sz val="11.0"/>
        <u/>
      </rPr>
      <t>22 nov 2024</t>
    </r>
  </si>
  <si>
    <t>Iberdrola, Endesa, Repsol, Naturgy: el Gobierno consensuará un tributo energético que no grave la descarbonización o prorrogar el existente</t>
  </si>
  <si>
    <t>El Gobierno consensuará un tributo energético que no grave la descarbonización o prorrogar el existente.</t>
  </si>
  <si>
    <t>Iberdrola, Endesa, Repsol, Naturgy: the Government will agree on an energy tax that does not tax decarbonization or extend the existing one</t>
  </si>
  <si>
    <t>The Government will agree on an energy tax that does not tax decarbonization or extend the existing one.</t>
  </si>
  <si>
    <t>Iberdrola, Repsol, Tax</t>
  </si>
  <si>
    <t>Iberdrola, Repsol, Impuestos</t>
  </si>
  <si>
    <t>Neutral, discusses the potential effects of a new energy tax with mixed responses.</t>
  </si>
  <si>
    <t>Mildly negative policy context.</t>
  </si>
  <si>
    <t>Contexto político levemente negativo.</t>
  </si>
  <si>
    <r>
      <rPr>
        <rFont val="Arial, sans-serif"/>
        <color rgb="FF1155CC"/>
        <sz val="9.0"/>
        <u/>
      </rPr>
      <t>La Razón</t>
    </r>
    <r>
      <rPr>
        <rFont val="Arial, sans-serif"/>
        <color rgb="FF1155CC"/>
        <sz val="15.0"/>
        <u/>
      </rPr>
      <t>Los Soles Guía Repsol regresan a Portugal</t>
    </r>
    <r>
      <rPr>
        <rFont val="Arial, sans-serif"/>
        <color rgb="FF1155CC"/>
        <sz val="11.0"/>
        <u/>
      </rPr>
      <t>Guía Repsol vuelve a Portugal para otorgar entre uno y tres soles entre los restaurantes más especiales de la gastronomía lusa, siguiendo el criterio del...</t>
    </r>
    <r>
      <rPr>
        <rFont val="Arial, sans-serif"/>
        <color rgb="FF1155CC"/>
        <sz val="12.0"/>
        <u/>
      </rPr>
      <t>.</t>
    </r>
    <r>
      <rPr>
        <rFont val="Arial, sans-serif"/>
        <color rgb="FF1155CC"/>
        <sz val="11.0"/>
        <u/>
      </rPr>
      <t>22 nov 2024</t>
    </r>
  </si>
  <si>
    <t>Guía Repsol regresan a Portugal</t>
  </si>
  <si>
    <t>Guía Repsol vuelve a Portugal para otorgar entre uno y tres soles entre los restaurantes más especiales de la gastronomía lusa, siguiendo el criterio del....</t>
  </si>
  <si>
    <t>Repsol guide returns to Portugal</t>
  </si>
  <si>
    <t>Repsol Guide returns to Portugal to award between one and three soles among the most special restaurants in Portuguese gastronomy, following the criteria of...</t>
  </si>
  <si>
    <r>
      <rPr>
        <rFont val="Arial, sans-serif"/>
        <color rgb="FF1155CC"/>
        <sz val="9.0"/>
        <u/>
      </rPr>
      <t>El Español</t>
    </r>
    <r>
      <rPr>
        <rFont val="Arial, sans-serif"/>
        <color rgb="FF1155CC"/>
        <sz val="15.0"/>
        <u/>
      </rPr>
      <t>La bonita ruta en Aragón que recomienda la Guía Repsol: perfecta para esta época y se puede hacer a caballo</t>
    </r>
    <r>
      <rPr>
        <rFont val="Arial, sans-serif"/>
        <color rgb="FF1155CC"/>
        <sz val="11.0"/>
        <u/>
      </rPr>
      <t>Con la llegada del frío, el Pirineo aragonés se convierte en uno de los lugares perfectos para una escapada. Más información: Este es el pueblo de Huesca...</t>
    </r>
    <r>
      <rPr>
        <rFont val="Arial, sans-serif"/>
        <color rgb="FF1155CC"/>
        <sz val="12.0"/>
        <u/>
      </rPr>
      <t>.</t>
    </r>
    <r>
      <rPr>
        <rFont val="Arial, sans-serif"/>
        <color rgb="FF1155CC"/>
        <sz val="11.0"/>
        <u/>
      </rPr>
      <t>22 nov 2024</t>
    </r>
  </si>
  <si>
    <t>La bonita ruta en Aragón que recomienda la Guía Repsol: perfecta para esta época y se puede hacer a caballo</t>
  </si>
  <si>
    <t>Con la llegada del frío, el Pirineo aragonés se convierte en uno de los lugares perfectos para una escapada. Más información: Este es el pueblo de Huesca....</t>
  </si>
  <si>
    <t>The beautiful route in Aragon recommended by the Repsol Guide: perfect for this time of year and can be done on horseback</t>
  </si>
  <si>
    <t>With the arrival of cold weather, the Aragonese Pyrenees becomes one of the perfect places for a getaway. More information: This is the town of Huesca....</t>
  </si>
  <si>
    <r>
      <rPr>
        <rFont val="Arial, sans-serif"/>
        <color rgb="FF1155CC"/>
        <sz val="9.0"/>
        <u/>
      </rPr>
      <t>Diari de Tarragona</t>
    </r>
    <r>
      <rPr>
        <rFont val="Arial, sans-serif"/>
        <color rgb="FF1155CC"/>
        <sz val="15.0"/>
        <u/>
      </rPr>
      <t>Chefs de Tarragona, la mayoría Estrella Michelin y Sol Repsol, se unen para una cena solidaria en apoyo a Valencia por la dana</t>
    </r>
    <r>
      <rPr>
        <rFont val="Arial, sans-serif"/>
        <color rgb="FF1155CC"/>
        <sz val="11.0"/>
        <u/>
      </rPr>
      <t>Los cocineros más reconocidos de la demarcación de Tarragona sumarán esfuerzos para recaudar fondos y mandarlos a los pueblos valencianos más afectado...</t>
    </r>
    <r>
      <rPr>
        <rFont val="Arial, sans-serif"/>
        <color rgb="FF1155CC"/>
        <sz val="12.0"/>
        <u/>
      </rPr>
      <t>.</t>
    </r>
    <r>
      <rPr>
        <rFont val="Arial, sans-serif"/>
        <color rgb="FF1155CC"/>
        <sz val="11.0"/>
        <u/>
      </rPr>
      <t>22 nov 2024</t>
    </r>
  </si>
  <si>
    <t>Chefs de Tarragona, la mayoría Estrella Michelin y Sol Repsol, se unen para una cena solidaria en apoyo a Valencia por la dana</t>
  </si>
  <si>
    <t>Los cocineros más reconocidos de la demarcación de Tarragona sumarán esfuerzos para recaudar fondos y mandarlos a los pueblos valencianos más afectados.</t>
  </si>
  <si>
    <t>Chefs from Tarragona, most of them Michelin Star and Sol Repsol, come together for a solidarity dinner in support of Valencia for dana</t>
  </si>
  <si>
    <t>The most renowned chefs in the Tarragona region will join forces to raise funds and send them to the most affected Valencian towns.</t>
  </si>
  <si>
    <t>Social Impact</t>
  </si>
  <si>
    <r>
      <rPr>
        <rFont val="Arial, sans-serif"/>
        <color rgb="FF1155CC"/>
        <sz val="9.0"/>
        <u/>
      </rPr>
      <t>Guía Repsol</t>
    </r>
    <r>
      <rPr>
        <rFont val="Arial, sans-serif"/>
        <color rgb="FF1155CC"/>
        <sz val="15.0"/>
        <u/>
      </rPr>
      <t>La extraordinaria cena solidaria para los afectados por la DANA</t>
    </r>
    <r>
      <rPr>
        <rFont val="Arial, sans-serif"/>
        <color rgb="FF1155CC"/>
        <sz val="11.0"/>
        <u/>
      </rPr>
      <t>28 cocineros valencianos han diseñado un menú espectacular para la cena que se celebrará el 13 de diciembre en la Ciudad de las Artes y de las Ciencias de...</t>
    </r>
    <r>
      <rPr>
        <rFont val="Arial, sans-serif"/>
        <color rgb="FF1155CC"/>
        <sz val="12.0"/>
        <u/>
      </rPr>
      <t>.</t>
    </r>
    <r>
      <rPr>
        <rFont val="Arial, sans-serif"/>
        <color rgb="FF1155CC"/>
        <sz val="11.0"/>
        <u/>
      </rPr>
      <t>22 nov 2024</t>
    </r>
  </si>
  <si>
    <t>La extraordinaria cena solidaria para los afectados por la DANA</t>
  </si>
  <si>
    <t>28 cocineros valencianos han diseñado un menú espectacular para la cena que se celebrará el 13 de diciembre en la Ciudad de las Artes y de las Ciencias de....</t>
  </si>
  <si>
    <t>The extraordinary solidarity dinner for those affected by DANA</t>
  </si>
  <si>
    <t>28 Valencian chefs have designed a spectacular menu for the dinner to be held on December 13 in the City of Arts and Sciences of...</t>
  </si>
  <si>
    <r>
      <rPr>
        <rFont val="Arial, sans-serif"/>
        <color rgb="FF1155CC"/>
        <sz val="9.0"/>
        <u/>
      </rPr>
      <t>Crónica Global</t>
    </r>
    <r>
      <rPr>
        <rFont val="Arial, sans-serif"/>
        <color rgb="FF1155CC"/>
        <sz val="15.0"/>
        <u/>
      </rPr>
      <t>El mejor restaurante catalán de Madrid tiene dos soles Repsol y aparece en la Guía Macarfi: especializado en marisco</t>
    </r>
    <r>
      <rPr>
        <rFont val="Arial, sans-serif"/>
        <color rgb="FF1155CC"/>
        <sz val="11.0"/>
        <u/>
      </rPr>
      <t>El establecimiento culinario donde tienen el mejor producto del mar regentado por uno de los mejores chefs del mundo Otros restaurantes: Así es el mejor...</t>
    </r>
    <r>
      <rPr>
        <rFont val="Arial, sans-serif"/>
        <color rgb="FF1155CC"/>
        <sz val="12.0"/>
        <u/>
      </rPr>
      <t>.</t>
    </r>
    <r>
      <rPr>
        <rFont val="Arial, sans-serif"/>
        <color rgb="FF1155CC"/>
        <sz val="11.0"/>
        <u/>
      </rPr>
      <t>22 nov 2024</t>
    </r>
  </si>
  <si>
    <t>El mejor restaurante catalán de Madrid tiene dos soles Repsol y aparece en la Guía Macarfi: especializado en marisco</t>
  </si>
  <si>
    <t>El establecimiento culinario donde tienen el mejor producto del mar regentado por uno de los mejores chefs del mundo Otros restaurantes: Así es el mejor....</t>
  </si>
  <si>
    <t>The best Catalan restaurant in Madrid has two Repsol suns and appears in the Macarfi Guide: specialized in seafood</t>
  </si>
  <si>
    <t>The culinary establishment where they have the best seafood run by one of the best chefs in the world Other restaurants: This is the best....</t>
  </si>
  <si>
    <r>
      <rPr>
        <rFont val="Arial, sans-serif"/>
        <color rgb="FF1155CC"/>
        <sz val="9.0"/>
        <u/>
      </rPr>
      <t>El Comercio Perú</t>
    </r>
    <r>
      <rPr>
        <rFont val="Arial, sans-serif"/>
        <color rgb="FF1155CC"/>
        <sz val="15.0"/>
        <u/>
      </rPr>
      <t>AS Tingo vs. Ciclista Lima, la final del Semillero Repsol Fútbol Femenino y las figuras a seguir en la definición del título</t>
    </r>
    <r>
      <rPr>
        <rFont val="Arial, sans-serif"/>
        <color rgb="FF1155CC"/>
        <sz val="11.0"/>
        <u/>
      </rPr>
      <t>Este domingo se define el Semillero Repsol El Comercio con un cruce entre el club de Tingo María y uno tradicional de Lima en el Complejo Deportivo Costa...</t>
    </r>
    <r>
      <rPr>
        <rFont val="Arial, sans-serif"/>
        <color rgb="FF1155CC"/>
        <sz val="12.0"/>
        <u/>
      </rPr>
      <t>.</t>
    </r>
    <r>
      <rPr>
        <rFont val="Arial, sans-serif"/>
        <color rgb="FF1155CC"/>
        <sz val="11.0"/>
        <u/>
      </rPr>
      <t>22 nov 2024</t>
    </r>
  </si>
  <si>
    <t>AS Tingo vs. Ciclista Lima, la final del Semillero Repsol Fútbol Femenino y las figuras a seguir en la definición del título</t>
  </si>
  <si>
    <t>Este domingo se define el Semillero Repsol El Comercio con un cruce entre el club de Tingo María y uno tradicional de Lima en el Complejo Deportivo Costa.</t>
  </si>
  <si>
    <t>AS Tingo vs. Cyclist Lima, the final of the Repsol Women's Soccer Seedbed and the figures to follow in the definition of the title</t>
  </si>
  <si>
    <t>This Sunday the Repsol El Comercio Seedbed will be defined with a cross between the Tingo María club and a traditional one from Lima at the Costa Sports Complex.</t>
  </si>
  <si>
    <r>
      <rPr>
        <rFont val="Arial, sans-serif"/>
        <color rgb="FF1155CC"/>
        <sz val="9.0"/>
        <u/>
      </rPr>
      <t>El Español</t>
    </r>
    <r>
      <rPr>
        <rFont val="Arial, sans-serif"/>
        <color rgb="FF1155CC"/>
        <sz val="15.0"/>
        <u/>
      </rPr>
      <t>El restaurante favorito de los camioneros en Toledo: tiene un menú por 13,5 € y aparece en la Guía Repsol</t>
    </r>
    <r>
      <rPr>
        <rFont val="Arial, sans-serif"/>
        <color rgb="FF1155CC"/>
        <sz val="11.0"/>
        <u/>
      </rPr>
      <t>Está a 50 minutos de Madrid, en la A-4, y ofrece comida casera a precios muy razonables. Más información: La guía Michelin de los camioneros: un mapa de...</t>
    </r>
    <r>
      <rPr>
        <rFont val="Arial, sans-serif"/>
        <color rgb="FF1155CC"/>
        <sz val="12.0"/>
        <u/>
      </rPr>
      <t>.</t>
    </r>
    <r>
      <rPr>
        <rFont val="Arial, sans-serif"/>
        <color rgb="FF1155CC"/>
        <sz val="11.0"/>
        <u/>
      </rPr>
      <t>22 nov 2024</t>
    </r>
  </si>
  <si>
    <t>El restaurante favorito de los camioneros en Toledo: tiene un menú por 13,5 € y aparece en la Guía Repsol</t>
  </si>
  <si>
    <t>Está a 50 minutos de Madrid, en la A-4, y ofrece comida casera a precios muy razonables.</t>
  </si>
  <si>
    <t>The favorite restaurant of truck drivers in Toledo: it has a menu for €13.5 and appears in the Repsol Guide</t>
  </si>
  <si>
    <t>It is 50 minutes from Madrid, on the A-4, and offers homemade food at very reasonable prices.</t>
  </si>
  <si>
    <r>
      <rPr>
        <rFont val="Arial, sans-serif"/>
        <color rgb="FF1155CC"/>
        <sz val="9.0"/>
        <u/>
      </rPr>
      <t>La Tribuna de Ciudad Real</t>
    </r>
    <r>
      <rPr>
        <rFont val="Arial, sans-serif"/>
        <color rgb="FF1155CC"/>
        <sz val="15.0"/>
        <u/>
      </rPr>
      <t>Premio a Repsol por su inversión en innovación y tecnología</t>
    </r>
    <r>
      <rPr>
        <rFont val="Arial, sans-serif"/>
        <color rgb="FF1155CC"/>
        <sz val="11.0"/>
        <u/>
      </rPr>
      <t>El director del Complejo Industrial de Repsol en Puertollano, Antonio Lorenzo, ha recogido uno de los premios anuales que la Federación de Empresarios de...</t>
    </r>
    <r>
      <rPr>
        <rFont val="Arial, sans-serif"/>
        <color rgb="FF1155CC"/>
        <sz val="12.0"/>
        <u/>
      </rPr>
      <t>.</t>
    </r>
    <r>
      <rPr>
        <rFont val="Arial, sans-serif"/>
        <color rgb="FF1155CC"/>
        <sz val="11.0"/>
        <u/>
      </rPr>
      <t>23 nov 2024</t>
    </r>
  </si>
  <si>
    <t>Premio a Repsol por su inversión en innovación y tecnología</t>
  </si>
  <si>
    <t>El director del Complejo Industrial de Repsol en Puertollano, Antonio Lorenzo, ha recogido uno de los premios anuales que la Federación de Empresarios de....</t>
  </si>
  <si>
    <t>Award to Repsol for its investment in innovation and technology</t>
  </si>
  <si>
    <t>The director of the Repsol Industrial Complex in Puertollano, Antonio Lorenzo, has collected one of the annual awards that the Federation of Entrepreneurs of...</t>
  </si>
  <si>
    <t>Repsol, Award, Innovation</t>
  </si>
  <si>
    <t>Repsol, Premio, Innovación</t>
  </si>
  <si>
    <t>Positive, emphasizes Repsol’s efforts in advancing technology and sustainability.</t>
  </si>
  <si>
    <t>Premio, "inversión en innovación"</t>
  </si>
  <si>
    <t>Recognizes Repsol's achievements in innovation.</t>
  </si>
  <si>
    <t>Reconoce los logros de Repsol en innovación.</t>
  </si>
  <si>
    <r>
      <rPr>
        <rFont val="Arial, sans-serif"/>
        <color rgb="FF1155CC"/>
        <sz val="9.0"/>
        <u/>
      </rPr>
      <t>El Comercio Perú</t>
    </r>
    <r>
      <rPr>
        <rFont val="Arial, sans-serif"/>
        <color rgb="FF1155CC"/>
        <sz val="15.0"/>
        <u/>
      </rPr>
      <t>“Quiero jugar en el Barcelona”: Valentina Torrico, figura del Semillero Repsol y el sueño que muestra por qué el fútbol femenino en el Perú está cambiando</t>
    </r>
    <r>
      <rPr>
        <rFont val="Arial, sans-serif"/>
        <color rgb="FF1155CC"/>
        <sz val="11.0"/>
        <u/>
      </rPr>
      <t>Juega en Ciclista Lima, es una de las figuras del Semillero Repsol que organizan El Comercio e Igma Sports y sueña en grande: quiere llegar al Barcelona,...</t>
    </r>
    <r>
      <rPr>
        <rFont val="Arial, sans-serif"/>
        <color rgb="FF1155CC"/>
        <sz val="12.0"/>
        <u/>
      </rPr>
      <t>.</t>
    </r>
    <r>
      <rPr>
        <rFont val="Arial, sans-serif"/>
        <color rgb="FF1155CC"/>
        <sz val="11.0"/>
        <u/>
      </rPr>
      <t>23 nov 2024</t>
    </r>
  </si>
  <si>
    <t>"Quiero jugar en el Barcelona”: Valentina Torrico, figura del Semillero Repsol y el sueño que muestra por qué el fútbol femenino en el Perú está cambiando</t>
  </si>
  <si>
    <t>Juega en Ciclista Lima, es una de las figuras del Semillero Repsol que organizan El Comercio e Igma Sports y sueña en grande: quiere llegar al Barcelona,....</t>
  </si>
  <si>
    <t>"I want to play for Barcelona”: Valentina Torrico, figure of the Repsol Seedbed and the dream that shows why women's football in Peru is changing</t>
  </si>
  <si>
    <t>He plays for Ciclista Lima, he is one of the figures of the Repsol Semillero organized by El Comercio and Igma Sports and he dreams big: he wants to reach Barcelona,...</t>
  </si>
  <si>
    <r>
      <rPr>
        <rFont val="Arial, sans-serif"/>
        <color rgb="FF1155CC"/>
        <sz val="9.0"/>
        <u/>
      </rPr>
      <t>El Comercio Perú</t>
    </r>
    <r>
      <rPr>
        <rFont val="Arial, sans-serif"/>
        <color rgb="FF1155CC"/>
        <sz val="15.0"/>
        <u/>
      </rPr>
      <t>“Queremos formar niñas que lleguen a ser profesionales”: Ciclista Lima FC y su misión en el fútbol femenino con el Semillero Repsol como puntapié inicial</t>
    </r>
    <r>
      <rPr>
        <rFont val="Arial, sans-serif"/>
        <color rgb="FF1155CC"/>
        <sz val="11.0"/>
        <u/>
      </rPr>
      <t>Fundado en 1896, Ciclista Lima incursionó hace unos años en el fútbol femenino con un claro objetivo: formar a las mejores futbolistas del Perú.</t>
    </r>
    <r>
      <rPr>
        <rFont val="Arial, sans-serif"/>
        <color rgb="FF1155CC"/>
        <sz val="12.0"/>
        <u/>
      </rPr>
      <t>.</t>
    </r>
    <r>
      <rPr>
        <rFont val="Arial, sans-serif"/>
        <color rgb="FF1155CC"/>
        <sz val="11.0"/>
        <u/>
      </rPr>
      <t>23 nov 2024</t>
    </r>
  </si>
  <si>
    <t>"Queremos formar niñas que lleguen a ser profesionales”: Ciclista Lima FC y su misión en el fútbol femenino con el Semillero Repsol como puntapié inicial</t>
  </si>
  <si>
    <t>"Queremos formar niñas que lleguen a ser profesionales": Ciclista Lima FC y su misión en el fútbol femenino con el Semillero Repsol como puntapié inicial. Fundado en 1896, Ciclista Lima incursionó hace unos años en el fútbol femenino con un claro objetivo: formar a las mejores futbolistas del Perú.</t>
  </si>
  <si>
    <t>"We want to train girls who become professionals”: ​​Ciclista Lima FC and its mission in women's soccer with the Repsol Semillero as the kickoff</t>
  </si>
  <si>
    <t>"We want to train girls who become professionals": Ciclista Lima FC and its mission in women's soccer with the Repsol Semillero as the starting point. Founded in 1896, Ciclista Lima entered women's soccer a few years ago with a clear objective: to train the best soccer players in Peru.</t>
  </si>
  <si>
    <r>
      <rPr>
        <rFont val="Arial, sans-serif"/>
        <color rgb="FF1155CC"/>
        <sz val="9.0"/>
        <u/>
      </rPr>
      <t>La Voz de Galicia</t>
    </r>
    <r>
      <rPr>
        <rFont val="Arial, sans-serif"/>
        <color rgb="FF1155CC"/>
        <sz val="15.0"/>
        <u/>
      </rPr>
      <t>Estos cinco locales gallegos tienen Soletes con Solera: aquí triunfan las recetas de toda la vida</t>
    </r>
    <r>
      <rPr>
        <rFont val="Arial, sans-serif"/>
        <color rgb="FF1155CC"/>
        <sz val="11.0"/>
        <u/>
      </rPr>
      <t>La Guía Repsol los ha distinguido por su apego a la tradición y al territorio, por su apuesta por lo auténtico. Fieles a los sabores que más gustan,...</t>
    </r>
    <r>
      <rPr>
        <rFont val="Arial, sans-serif"/>
        <color rgb="FF1155CC"/>
        <sz val="12.0"/>
        <u/>
      </rPr>
      <t>.</t>
    </r>
    <r>
      <rPr>
        <rFont val="Arial, sans-serif"/>
        <color rgb="FF1155CC"/>
        <sz val="11.0"/>
        <u/>
      </rPr>
      <t>23 nov 2024</t>
    </r>
  </si>
  <si>
    <t>Estos cinco locales gallegos tienen Soletes con Solera: aquí triunfan las recetas de toda la vida</t>
  </si>
  <si>
    <t>La Guía Repsol los ha distinguido por su apego a la tradición y al territorio, por su apuesta por lo auténtico. Fieles a los sabores que más gustan,....</t>
  </si>
  <si>
    <t>These five Galician places have Soletes con Solera: traditional recipes triumph here</t>
  </si>
  <si>
    <t>The Repsol Guide has distinguished them for their attachment to tradition and territory, for their commitment to authenticity. Faithful to the flavors they like most,....</t>
  </si>
  <si>
    <r>
      <rPr>
        <rFont val="Arial, sans-serif"/>
        <color rgb="FF1155CC"/>
        <sz val="9.0"/>
        <u/>
      </rPr>
      <t>El Confidencial</t>
    </r>
    <r>
      <rPr>
        <rFont val="Arial, sans-serif"/>
        <color rgb="FF1155CC"/>
        <sz val="15.0"/>
        <u/>
      </rPr>
      <t>De tienda de barrio a restaurante gourmet en Valencia: platos caseros por 10 euros y un solete</t>
    </r>
    <r>
      <rPr>
        <rFont val="Arial, sans-serif"/>
        <color rgb="FF1155CC"/>
        <sz val="11.0"/>
        <u/>
      </rPr>
      <t>Un ultramarinos de Valencia se transforma en un restaurante que combina tradición y creatividad. Ofrece platos caseros desde 10 euros y ha recibido un...</t>
    </r>
    <r>
      <rPr>
        <rFont val="Arial, sans-serif"/>
        <color rgb="FF1155CC"/>
        <sz val="12.0"/>
        <u/>
      </rPr>
      <t>.</t>
    </r>
    <r>
      <rPr>
        <rFont val="Arial, sans-serif"/>
        <color rgb="FF1155CC"/>
        <sz val="11.0"/>
        <u/>
      </rPr>
      <t>23 nov 2024</t>
    </r>
  </si>
  <si>
    <t>De tienda de barrio a restaurante gourmet en Valencia: platos caseros por 10 euros y un solete</t>
  </si>
  <si>
    <t>Un ultramarinos de Valencia se transforma en un restaurante que combina tradición y creatividad. Ofrece platos caseros desde 10 euros y ha recibido un....</t>
  </si>
  <si>
    <t>From neighborhood store to gourmet restaurant in Valencia: homemade dishes for 10 euros and a solete</t>
  </si>
  <si>
    <t>A grocery store in Valencia is transformed into a restaurant that combines tradition and creativity. It offers homemade dishes from 10 euros and has received a....</t>
  </si>
  <si>
    <r>
      <rPr>
        <rFont val="Arial, sans-serif"/>
        <color rgb="FF1155CC"/>
        <sz val="9.0"/>
        <u/>
      </rPr>
      <t>El Economista</t>
    </r>
    <r>
      <rPr>
        <rFont val="Arial, sans-serif"/>
        <color rgb="FF1155CC"/>
        <sz val="15.0"/>
        <u/>
      </rPr>
      <t>BBVA tiene un recorrido del 20% hasta el precio previo a lanzar la opa</t>
    </r>
    <r>
      <rPr>
        <rFont val="Arial, sans-serif"/>
        <color rgb="FF1155CC"/>
        <sz val="11.0"/>
        <u/>
      </rPr>
      <t>Esta semana La Cartera Estratégica de elEconomista.es ha tenido pocos cambios, manteniéndose la exposición a bolsa actual en el 100% tras los últimos...</t>
    </r>
    <r>
      <rPr>
        <rFont val="Arial, sans-serif"/>
        <color rgb="FF1155CC"/>
        <sz val="12.0"/>
        <u/>
      </rPr>
      <t>.</t>
    </r>
    <r>
      <rPr>
        <rFont val="Arial, sans-serif"/>
        <color rgb="FF1155CC"/>
        <sz val="11.0"/>
        <u/>
      </rPr>
      <t>23 nov 2024</t>
    </r>
  </si>
  <si>
    <t>BBVA tiene un recorrido del 20% hasta el precio previo a lanzar la opa</t>
  </si>
  <si>
    <t>Esta semana La Cartera Estratégica de elEconomista.es ha tenido pocos cambios, manteniéndose la exposición a bolsa actual en el 100% tras los últimos....</t>
  </si>
  <si>
    <t>BBVA has a 20% margin up to the price prior to launching the takeover bid</t>
  </si>
  <si>
    <t>This week the Strategic Portfolio of elEconomista.es has had few changes, maintaining the current stock market exposure at 100% after the last...</t>
  </si>
  <si>
    <r>
      <rPr>
        <rFont val="Arial, sans-serif"/>
        <color rgb="FF1155CC"/>
        <sz val="9.0"/>
        <u/>
      </rPr>
      <t>Prensa Latina</t>
    </r>
    <r>
      <rPr>
        <rFont val="Arial, sans-serif"/>
        <color rgb="FF1155CC"/>
        <sz val="15.0"/>
        <u/>
      </rPr>
      <t>Nicaragua saludó a presidente de Venezuela por su cumpleaños</t>
    </r>
    <r>
      <rPr>
        <rFont val="Arial, sans-serif"/>
        <color rgb="FF1155CC"/>
        <sz val="11.0"/>
        <u/>
      </rPr>
      <t>Managua, 23 nov (Prensa Latina) El Gobierno de Nicaragua transmitió hoy sus felicitaciones al presidente de Venezuela, Nicolás Maduro, a propósito de...</t>
    </r>
    <r>
      <rPr>
        <rFont val="Arial, sans-serif"/>
        <color rgb="FF1155CC"/>
        <sz val="12.0"/>
        <u/>
      </rPr>
      <t>.</t>
    </r>
    <r>
      <rPr>
        <rFont val="Arial, sans-serif"/>
        <color rgb="FF1155CC"/>
        <sz val="11.0"/>
        <u/>
      </rPr>
      <t>23 nov 2024</t>
    </r>
  </si>
  <si>
    <t>Prensa Latina</t>
  </si>
  <si>
    <t>Nicaragua saludó a presidente de Venezuela por su cumpleaños</t>
  </si>
  <si>
    <t>El Gobierno de Nicaragua transmitió hoy sus felicitaciones al presidente de Venezuela, Nicolás Maduro, a propósito de....</t>
  </si>
  <si>
    <t>Nicaragua greeted the president of Venezuela for his birthday</t>
  </si>
  <si>
    <t>The Government of Nicaragua today conveyed its congratulations to the president of Venezuela, Nicolás Maduro, regarding....</t>
  </si>
  <si>
    <r>
      <rPr>
        <rFont val="Arial, sans-serif"/>
        <color rgb="FF1155CC"/>
        <sz val="9.0"/>
        <u/>
      </rPr>
      <t>La Voz de Galicia</t>
    </r>
    <r>
      <rPr>
        <rFont val="Arial, sans-serif"/>
        <color rgb="FF1155CC"/>
        <sz val="15.0"/>
        <u/>
      </rPr>
      <t>Luz verde del Ayuntamiento a Repsol para derribar los silos del puerto de A Coruña</t>
    </r>
    <r>
      <rPr>
        <rFont val="Arial, sans-serif"/>
        <color rgb="FF1155CC"/>
        <sz val="11.0"/>
        <u/>
      </rPr>
      <t>El Concello otorgará licencia la próxima semana para el desmantelamiento de los depósitos de 30 metros de altura y las naves de carbón del muelle petrolero.</t>
    </r>
    <r>
      <rPr>
        <rFont val="Arial, sans-serif"/>
        <color rgb="FF1155CC"/>
        <sz val="12.0"/>
        <u/>
      </rPr>
      <t>.</t>
    </r>
    <r>
      <rPr>
        <rFont val="Arial, sans-serif"/>
        <color rgb="FF1155CC"/>
        <sz val="11.0"/>
        <u/>
      </rPr>
      <t>24 nov 2024</t>
    </r>
  </si>
  <si>
    <t>Luz verde del Ayuntamiento a Repsol para derribar los silos del puerto de A Coruña</t>
  </si>
  <si>
    <t>El Concello otorgará licencia la próxima semana para el desmantelamiento de los depósitos de 30 metros de altura y las naves de carbón del muelle petrolero.</t>
  </si>
  <si>
    <t>Green light from the City Council to Repsol to demolish the silos of the port of A Coruña</t>
  </si>
  <si>
    <t>The City Council will grant a license next week for the dismantling of the 30-meter-high deposits and coal warehouses at the oil dock.</t>
  </si>
  <si>
    <t>Repsol, City Council, A Coruña</t>
  </si>
  <si>
    <t>Repsol, Ayuntamiento, A Coruña</t>
  </si>
  <si>
    <t>Positive, shows Repsol's progress in a construction project.</t>
  </si>
  <si>
    <t>Luz verde</t>
  </si>
  <si>
    <t>Neutral, procedural approval for Repsol.</t>
  </si>
  <si>
    <t>Aprobación neutral y procesal para Repsol.</t>
  </si>
  <si>
    <r>
      <rPr>
        <rFont val="Arial, sans-serif"/>
        <color rgb="FF1155CC"/>
        <sz val="9.0"/>
        <u/>
      </rPr>
      <t>Huelva Información</t>
    </r>
    <r>
      <rPr>
        <rFont val="Arial, sans-serif"/>
        <color rgb="FF1155CC"/>
        <sz val="15.0"/>
        <u/>
      </rPr>
      <t>El único restaurante de Huelva con un 'Sol' de la Guía Repsol está en este pueblo de 300 habitantes</t>
    </r>
    <r>
      <rPr>
        <rFont val="Arial, sans-serif"/>
        <color rgb="FF1155CC"/>
        <sz val="11.0"/>
        <u/>
      </rPr>
      <t>Se trata de un restaurante de "alta cocina serrana" que lleva 25 años siendo todo un referente de la gastronomía andaluza, especializada en la cocina del...</t>
    </r>
    <r>
      <rPr>
        <rFont val="Arial, sans-serif"/>
        <color rgb="FF1155CC"/>
        <sz val="12.0"/>
        <u/>
      </rPr>
      <t>.</t>
    </r>
    <r>
      <rPr>
        <rFont val="Arial, sans-serif"/>
        <color rgb="FF1155CC"/>
        <sz val="11.0"/>
        <u/>
      </rPr>
      <t>24 nov 2024</t>
    </r>
  </si>
  <si>
    <t>El único restaurante de Huelva con un 'Sol' de la Guía Repsol está en este pueblo de 300 habitantes</t>
  </si>
  <si>
    <t>Se trata de un restaurante de "alta cocina serrana" que lleva 25 años siendo todo un referente de la gastronomía andaluza, especializada en la cocina del....</t>
  </si>
  <si>
    <t>The only restaurant in Huelva with a 'Sun' from the Repsol Guide is in this town of 300 inhabitants</t>
  </si>
  <si>
    <t>It is a "high mountain cuisine" restaurant that has been a benchmark in Andalusian gastronomy for 25 years, specializing in the cuisine of...</t>
  </si>
  <si>
    <r>
      <rPr>
        <rFont val="Arial, sans-serif"/>
        <color rgb="FF1155CC"/>
        <sz val="9.0"/>
        <u/>
      </rPr>
      <t>Crónica Global</t>
    </r>
    <r>
      <rPr>
        <rFont val="Arial, sans-serif"/>
        <color rgb="FF1155CC"/>
        <sz val="15.0"/>
        <u/>
      </rPr>
      <t>Repsol liquida Petrocat, la red de gasolineras impulsada por el pujolismo</t>
    </r>
    <r>
      <rPr>
        <rFont val="Arial, sans-serif"/>
        <color rgb="FF1155CC"/>
        <sz val="11.0"/>
        <u/>
      </rPr>
      <t>"Petrocat es la historia de un despropósito perpetrado por los delirios nacionalistas del gobierno de Jordi Pujol", por Gonzalo Baratech.</t>
    </r>
    <r>
      <rPr>
        <rFont val="Arial, sans-serif"/>
        <color rgb="FF1155CC"/>
        <sz val="12.0"/>
        <u/>
      </rPr>
      <t>.</t>
    </r>
    <r>
      <rPr>
        <rFont val="Arial, sans-serif"/>
        <color rgb="FF1155CC"/>
        <sz val="11.0"/>
        <u/>
      </rPr>
      <t>24 nov 2024</t>
    </r>
  </si>
  <si>
    <t>Repsol liquida Petrocat, la red de gasolineras impulsada por el pujolismo</t>
  </si>
  <si>
    <t>"Petrocat es la historia de un despropósito perpetrado por los delirios nacionalistas del gobierno de Jordi Pujol", por Gonzalo Baratech.</t>
  </si>
  <si>
    <t>Repsol liquidates Petrocat, the gas station network driven by pujolism</t>
  </si>
  <si>
    <t>"Petrocat is the story of a nonsense perpetrated by the nationalist delusions of Jordi Pujol's government", by Gonzalo Baratech.</t>
  </si>
  <si>
    <t>Repsol, Petrocat, Pujol</t>
  </si>
  <si>
    <t>Negative, signals the end of an era and corporate restructuring.</t>
  </si>
  <si>
    <t>liquida, "despropósito"</t>
  </si>
  <si>
    <t>Negative framing of Repsol's business decision.</t>
  </si>
  <si>
    <t>Encuadre negativo de la decisión empresarial de Repsol.</t>
  </si>
  <si>
    <r>
      <rPr>
        <rFont val="Arial, sans-serif"/>
        <color rgb="FF1155CC"/>
        <sz val="9.0"/>
        <u/>
      </rPr>
      <t>El Diario Vasco</t>
    </r>
    <r>
      <rPr>
        <rFont val="Arial, sans-serif"/>
        <color rgb="FF1155CC"/>
        <sz val="15.0"/>
        <u/>
      </rPr>
      <t>«En la liga de la economía Gipuzkoa juega con los mejores pero debe aspirar a más»</t>
    </r>
    <r>
      <rPr>
        <rFont val="Arial, sans-serif"/>
        <color rgb="FF1155CC"/>
        <sz val="11.0"/>
        <u/>
      </rPr>
      <t>Cristina Garmendia y Josu Jon Imaz bromean con que si la innovación sigue avanzando a esta velocidad, dentro de diez años serán dos personas virtuales las...</t>
    </r>
    <r>
      <rPr>
        <rFont val="Arial, sans-serif"/>
        <color rgb="FF1155CC"/>
        <sz val="12.0"/>
        <u/>
      </rPr>
      <t>.</t>
    </r>
    <r>
      <rPr>
        <rFont val="Arial, sans-serif"/>
        <color rgb="FF1155CC"/>
        <sz val="11.0"/>
        <u/>
      </rPr>
      <t>24 nov 2024</t>
    </r>
  </si>
  <si>
    <t>En la liga de la economía Gipuzkoa juega con los mejores pero debe aspirar a más</t>
  </si>
  <si>
    <t>Cristina Garmendia y Josu Jon Imaz bromean con que si la innovación sigue avanzando a esta velocidad, dentro de diez años serán dos personas virtuales las....</t>
  </si>
  <si>
    <t>In the economic league Gipuzkoa plays with the best but must aspire to more</t>
  </si>
  <si>
    <t>Cristina Garmendia and Josu Jon Imaz joke that if innovation continues to advance at this speed, within ten years there will be two virtual people....</t>
  </si>
  <si>
    <r>
      <rPr>
        <rFont val="Arial, sans-serif"/>
        <color rgb="FF1155CC"/>
        <sz val="9.0"/>
        <u/>
      </rPr>
      <t>MOTOSAN</t>
    </r>
    <r>
      <rPr>
        <rFont val="Arial, sans-serif"/>
        <color rgb="FF1155CC"/>
        <sz val="15.0"/>
        <u/>
      </rPr>
      <t>Bradl se retira de las carreras: "Márquez me defendió"</t>
    </r>
    <r>
      <rPr>
        <rFont val="Arial, sans-serif"/>
        <color rgb="FF1155CC"/>
        <sz val="11.0"/>
        <u/>
      </rPr>
      <t>Stefan Bradl se retira de las carreras y se enfoca en su rol como piloto probador de Honda. El veterano piloto de MotoGP, Stefan Bradl, ha decidido poner.</t>
    </r>
    <r>
      <rPr>
        <rFont val="Arial, sans-serif"/>
        <color rgb="FF1155CC"/>
        <sz val="12.0"/>
        <u/>
      </rPr>
      <t>.</t>
    </r>
    <r>
      <rPr>
        <rFont val="Arial, sans-serif"/>
        <color rgb="FF1155CC"/>
        <sz val="11.0"/>
        <u/>
      </rPr>
      <t>24 nov 2024</t>
    </r>
  </si>
  <si>
    <t>Bradl se retira de las carreras: "Márquez me defendió"</t>
  </si>
  <si>
    <t>Stefan Bradl se retira de las carreras y se enfoca en su rol como piloto probador de Honda. El veterano piloto de MotoGP, Stefan Bradl, ha decidido poner..</t>
  </si>
  <si>
    <t>Bradl retires from racing: "Márquez defended me"</t>
  </si>
  <si>
    <t>Stefan Bradl is retiring from racing and focusing on his role as a Honda test rider. Veteran MotoGP rider Stefan Bradl has decided to put...</t>
  </si>
  <si>
    <r>
      <rPr>
        <rFont val="Arial, sans-serif"/>
        <color rgb="FF1155CC"/>
        <sz val="9.0"/>
        <u/>
      </rPr>
      <t>El Comercio Perú</t>
    </r>
    <r>
      <rPr>
        <rFont val="Arial, sans-serif"/>
        <color rgb="FF1155CC"/>
        <sz val="15.0"/>
        <u/>
      </rPr>
      <t>Balón Rosa venció a Kairos y se quedó con el tercer puesto del Semillero Repsol Fútbol Femenino</t>
    </r>
    <r>
      <rPr>
        <rFont val="Arial, sans-serif"/>
        <color rgb="FF1155CC"/>
        <sz val="11.0"/>
        <u/>
      </rPr>
      <t>Un gol de Mariafé Vasquez le dio la victoria y el tercer lugar a Balón Rosa en el Complejo Municipal Magdalena de la Costa Verde.</t>
    </r>
    <r>
      <rPr>
        <rFont val="Arial, sans-serif"/>
        <color rgb="FF1155CC"/>
        <sz val="12.0"/>
        <u/>
      </rPr>
      <t>.</t>
    </r>
    <r>
      <rPr>
        <rFont val="Arial, sans-serif"/>
        <color rgb="FF1155CC"/>
        <sz val="11.0"/>
        <u/>
      </rPr>
      <t>24 nov 2024</t>
    </r>
  </si>
  <si>
    <t>Balón Rosa venció a Kairos y se quedó con el tercer puesto del Semillero Repsol Fútbol Femenino</t>
  </si>
  <si>
    <t>Un gol de Mariafé Vasquez le dio la victoria y el tercer lugar a Balón Rosa en el Complejo Municipal Magdalena de la Costa Verde.</t>
  </si>
  <si>
    <t>Balón Rosa defeated Kairos and took third place in the Repsol Women's Soccer Seedbed</t>
  </si>
  <si>
    <t>A goal from Mariafé Vasquez gave the victory and third place to Balón Rosa at the Magdalena Municipal Complex on the Costa Verde.</t>
  </si>
  <si>
    <r>
      <rPr>
        <rFont val="Arial, sans-serif"/>
        <color rgb="FF1155CC"/>
        <sz val="9.0"/>
        <u/>
      </rPr>
      <t>El Español</t>
    </r>
    <r>
      <rPr>
        <rFont val="Arial, sans-serif"/>
        <color rgb="FF1155CC"/>
        <sz val="15.0"/>
        <u/>
      </rPr>
      <t>Los inversores afinan sus carteras ante una reactivación de las compras en el mercado renovable en 2025</t>
    </r>
    <r>
      <rPr>
        <rFont val="Arial, sans-serif"/>
        <color rgb="FF1155CC"/>
        <sz val="11.0"/>
        <u/>
      </rPr>
      <t>Acciona, Endesa, Masdar, Repsol, FRV... vuelven las operaciones de M&amp;A tras meses de parón. La eólica, las baterías y la hibridación, bajo la lupa.</t>
    </r>
    <r>
      <rPr>
        <rFont val="Arial, sans-serif"/>
        <color rgb="FF1155CC"/>
        <sz val="12.0"/>
        <u/>
      </rPr>
      <t>.</t>
    </r>
    <r>
      <rPr>
        <rFont val="Arial, sans-serif"/>
        <color rgb="FF1155CC"/>
        <sz val="11.0"/>
        <u/>
      </rPr>
      <t>24 nov 2024</t>
    </r>
  </si>
  <si>
    <t>Los inversores afinan sus carteras ante una reactivación de las compras en el mercado renovable en 2025</t>
  </si>
  <si>
    <t>Acciona, Endesa, Masdar, Repsol, FRV... vuelven las operaciones de M&amp;A tras meses de parón. La eólica, las baterías y la hibridación, bajo la lupa.</t>
  </si>
  <si>
    <t>Investors refine their portfolios in view of a reactivation of purchases in the renewable market in 2025</t>
  </si>
  <si>
    <t>Acciona, Endesa, Masdar, Repsol, FRV... M&amp;A operations return after months of hiatus. Wind power, batteries and hybridization, under the magnifying glass.</t>
  </si>
  <si>
    <t>Repsol, Investors, Renewables</t>
  </si>
  <si>
    <t>Repsol, Inversores, Renovables</t>
  </si>
  <si>
    <t>Positive, highlights opportunities in the renewable energy market.</t>
  </si>
  <si>
    <t>renovable, "Repsol"</t>
  </si>
  <si>
    <t>Mildly positive, mentions Repsol in renewables.</t>
  </si>
  <si>
    <t>Ligeramente positivo, menciona Repsol en renovables.</t>
  </si>
  <si>
    <r>
      <rPr>
        <rFont val="Arial, sans-serif"/>
        <color rgb="FF1155CC"/>
        <sz val="9.0"/>
        <u/>
      </rPr>
      <t>El Comercio Perú</t>
    </r>
    <r>
      <rPr>
        <rFont val="Arial, sans-serif"/>
        <color rgb="FF1155CC"/>
        <sz val="15.0"/>
        <u/>
      </rPr>
      <t>Con una victoria categórica de AS Tingo: las mejores postales de la fecha final del Semillero Repsol Fútbol Femenino</t>
    </r>
    <r>
      <rPr>
        <rFont val="Arial, sans-serif"/>
        <color rgb="FF1155CC"/>
        <sz val="11.0"/>
        <u/>
      </rPr>
      <t>Este domingo 24 de noviembre se llevó a cabo la gran final del Semillero Repsol Fútbol Femenino, en donde AS Tingo se logró consagrar ante Ciclista Lima.</t>
    </r>
    <r>
      <rPr>
        <rFont val="Arial, sans-serif"/>
        <color rgb="FF1155CC"/>
        <sz val="12.0"/>
        <u/>
      </rPr>
      <t>.</t>
    </r>
    <r>
      <rPr>
        <rFont val="Arial, sans-serif"/>
        <color rgb="FF1155CC"/>
        <sz val="11.0"/>
        <u/>
      </rPr>
      <t>24 nov 2024</t>
    </r>
  </si>
  <si>
    <t>Con una victoria categórica de AS Tingo: las mejores postales de la fecha final del Semillero Repsol Fútbol Femenino</t>
  </si>
  <si>
    <t>Con una victoria categórica de AS Tingo: las mejores postales de la fecha final del Semillero Repsol Fútbol Femenino.</t>
  </si>
  <si>
    <t>With a categorical victory for AS Tingo: the best postcards from the final date of the Repsol Women's Football Seedbed</t>
  </si>
  <si>
    <t>With a categorical victory for AS Tingo: the best postcards from the final date of the Repsol Women's Football Seedbed.</t>
  </si>
  <si>
    <r>
      <rPr>
        <rFont val="Arial, sans-serif"/>
        <color rgb="FF1155CC"/>
        <sz val="9.0"/>
        <u/>
      </rPr>
      <t>Gestión</t>
    </r>
    <r>
      <rPr>
        <rFont val="Arial, sans-serif"/>
        <color rgb="FF1155CC"/>
        <sz val="15.0"/>
        <u/>
      </rPr>
      <t>Un “tanque lleno” en el norte: los siguiente pasos de Valero Perú tras nuevo terminal</t>
    </r>
    <r>
      <rPr>
        <rFont val="Arial, sans-serif"/>
        <color rgb="FF1155CC"/>
        <sz val="11.0"/>
        <u/>
      </rPr>
      <t>Desde su ingreso al mercado peruano en 2018, Valero Perú, filial de la compañía estadounidense Valero Energy ha sido un jugador importante en el suministro...</t>
    </r>
    <r>
      <rPr>
        <rFont val="Arial, sans-serif"/>
        <color rgb="FF1155CC"/>
        <sz val="12.0"/>
        <u/>
      </rPr>
      <t>.</t>
    </r>
    <r>
      <rPr>
        <rFont val="Arial, sans-serif"/>
        <color rgb="FF1155CC"/>
        <sz val="11.0"/>
        <u/>
      </rPr>
      <t>24 nov 2024</t>
    </r>
  </si>
  <si>
    <t>Un “tanque lleno” en el norte: los siguientes pasos de Valero Perú tras nuevo terminal</t>
  </si>
  <si>
    <t>Desde su ingreso al mercado peruano en 2018, Valero Perú, filial de la compañía estadounidense Valero Energy ha sido un jugador importante en el suministro....</t>
  </si>
  <si>
    <t>A “full tank” in the north: the next steps for Valero Peru after the new terminal</t>
  </si>
  <si>
    <t>Since entering the Peruvian market in 2018, Valero Perú, a subsidiary of the American company Valero Energy, has been an important player in the supply...</t>
  </si>
  <si>
    <r>
      <rPr>
        <rFont val="Arial, sans-serif"/>
        <color rgb="FF1155CC"/>
        <sz val="9.0"/>
        <u/>
      </rPr>
      <t>El Comercio Perú</t>
    </r>
    <r>
      <rPr>
        <rFont val="Arial, sans-serif"/>
        <color rgb="FF1155CC"/>
        <sz val="15.0"/>
        <u/>
      </rPr>
      <t>“Más que buscar triunfos inmediatos, estamos promoviendo competir con esfuerzo y planificación”: Repsol y el balance del Semillero Repsol Fútbol Femenino</t>
    </r>
    <r>
      <rPr>
        <rFont val="Arial, sans-serif"/>
        <color rgb="FF1155CC"/>
        <sz val="11.0"/>
        <u/>
      </rPr>
      <t>Este domingo se definió el Semillero Repsol Fútbol Femenino con un categórico triunfo de AS Tingo. Luis Vásquez, director de comunicación y relaciones...</t>
    </r>
    <r>
      <rPr>
        <rFont val="Arial, sans-serif"/>
        <color rgb="FF1155CC"/>
        <sz val="12.0"/>
        <u/>
      </rPr>
      <t>.</t>
    </r>
    <r>
      <rPr>
        <rFont val="Arial, sans-serif"/>
        <color rgb="FF1155CC"/>
        <sz val="11.0"/>
        <u/>
      </rPr>
      <t>24 nov 2024</t>
    </r>
  </si>
  <si>
    <t>“Más que buscar triunfos inmediatos, estamos promoviendo competir con esfuerzo y planificación”: Repsol y el balance del Semillero Repsol Fútbol Femenino</t>
  </si>
  <si>
    <t>“Más que buscar triunfos inmediatos, estamos promoviendo competir con esfuerzo y planificación”: Repsol y el balance del Semillero Repsol Fútbol Femenino.</t>
  </si>
  <si>
    <t>“More than seeking immediate victories, we are promoting competing with effort and planning”: Repsol and the balance of the Repsol Women's Soccer Seedbed</t>
  </si>
  <si>
    <t>“More than seeking immediate victories, we are promoting competing with effort and planning”: Repsol and the balance of the Repsol Women's Soccer Seedbed.</t>
  </si>
  <si>
    <r>
      <rPr>
        <rFont val="Arial, sans-serif"/>
        <color rgb="FF1155CC"/>
        <sz val="9.0"/>
        <u/>
      </rPr>
      <t>El Comercio Perú</t>
    </r>
    <r>
      <rPr>
        <rFont val="Arial, sans-serif"/>
        <color rgb="FF1155CC"/>
        <sz val="15.0"/>
        <u/>
      </rPr>
      <t>“No buscamos premios o medallas, sino que las chicas sean conocidas”: entrenador campeón del Semillero Repsol Fútbol Femenino, su elogio al certamen y qué representa el título para ellos</t>
    </r>
    <r>
      <rPr>
        <rFont val="Arial, sans-serif"/>
        <color rgb="FF1155CC"/>
        <sz val="11.0"/>
        <u/>
      </rPr>
      <t>Padre y entrenador. Jorge Huayanay guio a AS Tingo a lograr el campeonato del Semillero Repsol Fútbol Femenino. En entrevista con El Comercio, elogió el...</t>
    </r>
    <r>
      <rPr>
        <rFont val="Arial, sans-serif"/>
        <color rgb="FF1155CC"/>
        <sz val="12.0"/>
        <u/>
      </rPr>
      <t>.</t>
    </r>
    <r>
      <rPr>
        <rFont val="Arial, sans-serif"/>
        <color rgb="FF1155CC"/>
        <sz val="11.0"/>
        <u/>
      </rPr>
      <t>24 nov 2024</t>
    </r>
  </si>
  <si>
    <t>“No buscamos premios o medallas, sino que las chicas sean conocidas”: entrenador campeón del Semillero Repsol Fútbol Femenino, su elogio al certamen y qué representa el título para ellos</t>
  </si>
  <si>
    <t>“No buscamos premios o medallas, sino que las chicas sean conocidas”: entrenador campeón del Semillero Repsol Fútbol Femenino, su elogio al certamen y qué representa el título para ellos. Padre y entrenador. Jorge Huayanay guio a AS Tingo a lograr el campeonato del Semillero Repsol Fútbol Femenino. En entrevista con El Comercio, elogió el....</t>
  </si>
  <si>
    <t>“We are not looking for awards or medals, but for the girls to be known”: champion coach of the Repsol Women's Football Seedbed, their praise for the competition and what the title represents for them</t>
  </si>
  <si>
    <t>“We are not looking for awards or medals, but for the girls to be known”: Repsol Women's Soccer Seed champion coach, his praise for the competition and what the title represents for them. Father and coach. Jorge Huayanay guided AS Tingo to achieve the Repsol Women's Soccer Seedbed championship. In an interview with El Comercio, he praised the...</t>
  </si>
  <si>
    <r>
      <rPr>
        <rFont val="Arial, sans-serif"/>
        <color rgb="FF1155CC"/>
        <sz val="9.0"/>
        <u/>
      </rPr>
      <t>El Comercio Perú</t>
    </r>
    <r>
      <rPr>
        <rFont val="Arial, sans-serif"/>
        <color rgb="FF1155CC"/>
        <sz val="15.0"/>
        <u/>
      </rPr>
      <t>¡AS Tingo campeón! Venció a Ciclista Lima y se coronó campeón del Semillero Repsol Fútbol Femenino</t>
    </r>
    <r>
      <rPr>
        <rFont val="Arial, sans-serif"/>
        <color rgb="FF1155CC"/>
        <sz val="11.0"/>
        <u/>
      </rPr>
      <t>Adely Zulueta, Camila Huayanay y Amy Rengifo anotaron para el triunfo del equipo de Tingo María en la gran final del Semillero Repsol Fútbol Femenino.</t>
    </r>
    <r>
      <rPr>
        <rFont val="Arial, sans-serif"/>
        <color rgb="FF1155CC"/>
        <sz val="12.0"/>
        <u/>
      </rPr>
      <t>.</t>
    </r>
    <r>
      <rPr>
        <rFont val="Arial, sans-serif"/>
        <color rgb="FF1155CC"/>
        <sz val="11.0"/>
        <u/>
      </rPr>
      <t>24 nov 2024</t>
    </r>
  </si>
  <si>
    <t>¡AS Tingo campeón! Venció a Ciclista Lima y se coronó campeón del Semillero Repsol Fútbol Femenino</t>
  </si>
  <si>
    <t>Adely Zulueta, Camila Huayanay y Amy Rengifo anotaron para el triunfo del equipo de Tingo María en la gran final del Semillero Repsol Fútbol Femenino.</t>
  </si>
  <si>
    <t>AS Tingo champion! She beat Ciclista Lima and was crowned champion of the Repsol Women's Soccer Seedbed</t>
  </si>
  <si>
    <t>Adely Zulueta, Camila Huayanay and Amy Rengifo scored for the victory of the Tingo María team in the grand final of the Semillero Repsol Fútbol Femenino.</t>
  </si>
  <si>
    <r>
      <rPr>
        <rFont val="Arial, sans-serif"/>
        <color rgb="FF1155CC"/>
        <sz val="9.0"/>
        <u/>
      </rPr>
      <t>Ethic</t>
    </r>
    <r>
      <rPr>
        <rFont val="Arial, sans-serif"/>
        <color rgb="FF1155CC"/>
        <sz val="15.0"/>
        <u/>
      </rPr>
      <t>Iberdrola vs Repsol: un juicio que va más allá de los tribunales</t>
    </r>
    <r>
      <rPr>
        <rFont val="Arial, sans-serif"/>
        <color rgb="FF1155CC"/>
        <sz val="11.0"/>
        <u/>
      </rPr>
      <t>El enfrentamiento judicial entre Iberdrola y Repsol entra en escena, y con él un nuevo hito en la creciente lucha contra el greenwashing.</t>
    </r>
    <r>
      <rPr>
        <rFont val="Arial, sans-serif"/>
        <color rgb="FF1155CC"/>
        <sz val="12.0"/>
        <u/>
      </rPr>
      <t>.</t>
    </r>
    <r>
      <rPr>
        <rFont val="Arial, sans-serif"/>
        <color rgb="FF1155CC"/>
        <sz val="11.0"/>
        <u/>
      </rPr>
      <t>25 nov 2024</t>
    </r>
  </si>
  <si>
    <t>Ethic</t>
  </si>
  <si>
    <t>Iberdrola vs Repsol: un juicio que va más allá de los tribunales</t>
  </si>
  <si>
    <t>El enfrentamiento judicial entre Iberdrola y Repsol entra en escena, y con él un nuevo hito en la creciente lucha contra el greenwashing.</t>
  </si>
  <si>
    <t>Iberdrola vs Repsol: a trial that goes beyond the courts</t>
  </si>
  <si>
    <t>The judicial confrontation between Iberdrola and Repsol enters the scene, and with it a new milestone in the growing fight against greenwashing.</t>
  </si>
  <si>
    <t>Negative, highlights the corporate legal battle and accusations of greenwashing.</t>
  </si>
  <si>
    <t>juicio, "greenwashing"</t>
  </si>
  <si>
    <t>Negative legal conflict for Repsol.</t>
  </si>
  <si>
    <t>Conflicto jurídico negativo para Repsol.</t>
  </si>
  <si>
    <r>
      <rPr>
        <rFont val="Arial, sans-serif"/>
        <color rgb="FF1155CC"/>
        <sz val="9.0"/>
        <u/>
      </rPr>
      <t>Libre Mercado</t>
    </r>
    <r>
      <rPr>
        <rFont val="Arial, sans-serif"/>
        <color rgb="FF1155CC"/>
        <sz val="15.0"/>
        <u/>
      </rPr>
      <t>Repsol vuelve a poner en pausa las inversiones en España por el impuestazo de Sánchez</t>
    </r>
    <r>
      <rPr>
        <rFont val="Arial, sans-serif"/>
        <color rgb="FF1155CC"/>
        <sz val="11.0"/>
        <u/>
      </rPr>
      <t>La energética advierte de que, con este impuesto "excesivo e injusto", tendrá "menos dinero para invertir en España".</t>
    </r>
    <r>
      <rPr>
        <rFont val="Arial, sans-serif"/>
        <color rgb="FF1155CC"/>
        <sz val="12.0"/>
        <u/>
      </rPr>
      <t>.</t>
    </r>
    <r>
      <rPr>
        <rFont val="Arial, sans-serif"/>
        <color rgb="FF1155CC"/>
        <sz val="11.0"/>
        <u/>
      </rPr>
      <t>25 nov 2024</t>
    </r>
  </si>
  <si>
    <t>Repsol vuelve a poner en pausa las inversiones en España por el impuestazo de Sánchez</t>
  </si>
  <si>
    <t>La energética advierte de que, con este impuesto "excesivo e injusto", tendrá "menos dinero para invertir en España".</t>
  </si>
  <si>
    <t>Repsol once again pauses investments in Spain due to Sánchez's imposition</t>
  </si>
  <si>
    <t>The energy company warns that, with this "excessive and unfair" tax, it will have "less money to invest in Spain."</t>
  </si>
  <si>
    <t>Repsol, Spain, Investment</t>
  </si>
  <si>
    <t>Repsol, España, Inversión</t>
  </si>
  <si>
    <t>Negative, reflects the financial impact of political decisions on Repsol.</t>
  </si>
  <si>
    <t>pausa, "impuestazo"</t>
  </si>
  <si>
    <t>Strong negative impact on Repsol's operations.</t>
  </si>
  <si>
    <t>Fuerte impacto negativo en las operaciones de Repsol.</t>
  </si>
  <si>
    <r>
      <rPr>
        <rFont val="Arial, sans-serif"/>
        <color rgb="FF1155CC"/>
        <sz val="9.0"/>
        <u/>
      </rPr>
      <t>El Español</t>
    </r>
    <r>
      <rPr>
        <rFont val="Arial, sans-serif"/>
        <color rgb="FF1155CC"/>
        <sz val="15.0"/>
        <u/>
      </rPr>
      <t>Cabra (Repsol): "Tenemos que ver cómo termina el 'embrollo' del impuesto a las energéticas para decidir las inversiones"</t>
    </r>
    <r>
      <rPr>
        <rFont val="Arial, sans-serif"/>
        <color rgb="FF1155CC"/>
        <sz val="11.0"/>
        <u/>
      </rPr>
      <t>"No se trata de prohibir unas tecnológicas, sino de pensar en aquellas que sean más adecuadas para el consumidor", ha dicho el responsable de la energética.</t>
    </r>
    <r>
      <rPr>
        <rFont val="Arial, sans-serif"/>
        <color rgb="FF1155CC"/>
        <sz val="12.0"/>
        <u/>
      </rPr>
      <t>.</t>
    </r>
    <r>
      <rPr>
        <rFont val="Arial, sans-serif"/>
        <color rgb="FF1155CC"/>
        <sz val="11.0"/>
        <u/>
      </rPr>
      <t>25 nov 2024</t>
    </r>
  </si>
  <si>
    <t>Cabra (Repsol): "Tenemos que ver cómo termina el 'embrollo' del impuesto a las energéticas para decidir las inversiones"</t>
  </si>
  <si>
    <t>"No se trata de prohibir unas tecnológicas, sino de pensar en aquellas que sean más adecuadas para el consumidor", ha dicho el responsable de la energética.</t>
  </si>
  <si>
    <t>Cabra (Repsol): "We have to see how the 'imbroglio' of the tax on energy companies ends to decide investments"</t>
  </si>
  <si>
    <t>"It is not about prohibiting certain technologies, but about thinking about those that are most suitable for the consumer," said the head of the energy company.</t>
  </si>
  <si>
    <t>Repsol, Tax, Investment</t>
  </si>
  <si>
    <t>Repsol, Impuestos, Inversión</t>
  </si>
  <si>
    <t>Negative, reveals Repsol’s cautious stance on future investments due to tax uncertainty.</t>
  </si>
  <si>
    <t>embrollo, "impuesto"</t>
  </si>
  <si>
    <t>Negative financial uncertainty.</t>
  </si>
  <si>
    <t>Incertidumbre financiera negativa.</t>
  </si>
  <si>
    <r>
      <rPr>
        <rFont val="Arial, sans-serif"/>
        <color rgb="FF1155CC"/>
        <sz val="9.0"/>
        <u/>
      </rPr>
      <t>El Nacional.cat</t>
    </r>
    <r>
      <rPr>
        <rFont val="Arial, sans-serif"/>
        <color rgb="FF1155CC"/>
        <sz val="15.0"/>
        <u/>
      </rPr>
      <t>Repsol anuncia que sus inversiones siguen congeladas a la espera del "impuestazo"</t>
    </r>
    <r>
      <rPr>
        <rFont val="Arial, sans-serif"/>
        <color rgb="FF1155CC"/>
        <sz val="11.0"/>
        <u/>
      </rPr>
      <t>La prórroga del 'impuestazo' motiva que Repsol vuelva a retrasar sus inversiones en España, incluida la de Tarragona.</t>
    </r>
    <r>
      <rPr>
        <rFont val="Arial, sans-serif"/>
        <color rgb="FF1155CC"/>
        <sz val="12.0"/>
        <u/>
      </rPr>
      <t>.</t>
    </r>
    <r>
      <rPr>
        <rFont val="Arial, sans-serif"/>
        <color rgb="FF1155CC"/>
        <sz val="11.0"/>
        <u/>
      </rPr>
      <t>25 nov 2024</t>
    </r>
  </si>
  <si>
    <t>Repsol anuncia que sus inversiones siguen congeladas a la espera del "impuestazo"</t>
  </si>
  <si>
    <t>La prórroga del 'impuestazo' motiva que Repsol vuelva a retrasar sus inversiones en España, incluida la de Tarragona.</t>
  </si>
  <si>
    <t>Repsol announces that its investments remain frozen pending the "tax"</t>
  </si>
  <si>
    <t>The extension of the 'tax' motivates Repsol to once again delay its investments in Spain, including that in Tarragona.</t>
  </si>
  <si>
    <t>Negative, indicates the hold on investments because of government tax policy.</t>
  </si>
  <si>
    <t>congeladas, "impuestazo"</t>
  </si>
  <si>
    <t>Strong negative sentiment.</t>
  </si>
  <si>
    <t>Fuerte sentimiento negativo.</t>
  </si>
  <si>
    <r>
      <rPr>
        <rFont val="Arial, sans-serif"/>
        <color rgb="FF1155CC"/>
        <sz val="9.0"/>
        <u/>
      </rPr>
      <t>El Periódico de España</t>
    </r>
    <r>
      <rPr>
        <rFont val="Arial, sans-serif"/>
        <color rgb="FF1155CC"/>
        <sz val="15.0"/>
        <u/>
      </rPr>
      <t>Repsol vuelve a dejar en el aire inversiones milmillonarias en España por el impuesto a las energéticas</t>
    </r>
    <r>
      <rPr>
        <rFont val="Arial, sans-serif"/>
        <color rgb="FF1155CC"/>
        <sz val="11.0"/>
        <u/>
      </rPr>
      <t>Las inversiones están en un 'veremos'”, avisa Luis Cabra, adjunto al CEO de la petrolera a la espera de conocer el decreto que prepara el Gobierno.</t>
    </r>
    <r>
      <rPr>
        <rFont val="Arial, sans-serif"/>
        <color rgb="FF1155CC"/>
        <sz val="12.0"/>
        <u/>
      </rPr>
      <t>.</t>
    </r>
    <r>
      <rPr>
        <rFont val="Arial, sans-serif"/>
        <color rgb="FF1155CC"/>
        <sz val="11.0"/>
        <u/>
      </rPr>
      <t>25 nov 2024</t>
    </r>
  </si>
  <si>
    <t>Repsol vuelve a dejar en el aire inversiones milmillonarias en España por el impuesto a las energéticas</t>
  </si>
  <si>
    <t>Las inversiones están en un 'veremos'”, avisa Luis Cabra, adjunto al CEO de la petrolera a la espera de conocer el decreto que prepara el Gobierno.</t>
  </si>
  <si>
    <t>Repsol once again leaves billion-dollar investments in Spain up in the air due to the tax on energy companies</t>
  </si>
  <si>
    <t>The investments are 'we'll see,'" warns Luis Cabra, deputy to the CEO of the oil company, waiting to hear the decree prepared by the Government.</t>
  </si>
  <si>
    <t>Negative, highlights Repsol's hesitation regarding large investments due to political factors.</t>
  </si>
  <si>
    <t>dejar en el aire, "impuesto"</t>
  </si>
  <si>
    <t>Extremely negative for Repsol.</t>
  </si>
  <si>
    <t>Extremadamente negativo para Repsol.</t>
  </si>
  <si>
    <r>
      <rPr>
        <rFont val="Arial, sans-serif"/>
        <color rgb="FF1155CC"/>
        <sz val="9.0"/>
        <u/>
      </rPr>
      <t>Bolsamania</t>
    </r>
    <r>
      <rPr>
        <rFont val="Arial, sans-serif"/>
        <color rgb="FF1155CC"/>
        <sz val="15.0"/>
        <u/>
      </rPr>
      <t>Repsol dice que sus planes de inversión en España "están a la espera" del impuesto</t>
    </r>
    <r>
      <rPr>
        <rFont val="Arial, sans-serif"/>
        <color rgb="FF1155CC"/>
        <sz val="11.0"/>
        <u/>
      </rPr>
      <t>El director general de Transición Energética, Tecnología, Institucional y adjunto al director ejecutivo de Repsol, Luis Cabra Dueñas, ha mantenido que los...</t>
    </r>
    <r>
      <rPr>
        <rFont val="Arial, sans-serif"/>
        <color rgb="FF1155CC"/>
        <sz val="12.0"/>
        <u/>
      </rPr>
      <t>.</t>
    </r>
    <r>
      <rPr>
        <rFont val="Arial, sans-serif"/>
        <color rgb="FF1155CC"/>
        <sz val="11.0"/>
        <u/>
      </rPr>
      <t>25 nov 2024</t>
    </r>
  </si>
  <si>
    <t>Repsol dice que sus planes de inversión en España "están a la espera" del impuesto</t>
  </si>
  <si>
    <t>sus planes de inversión en España "están a la espera" del impuesto.</t>
  </si>
  <si>
    <t>Repsol says that its investment plans in Spain "are waiting" for the tax</t>
  </si>
  <si>
    <t>His investment plans in Spain "are waiting" for the tax.</t>
  </si>
  <si>
    <t>Negative, discusses Repsol’s delay in investing due to government tax policy.</t>
  </si>
  <si>
    <t>a la espera, "impuesto"</t>
  </si>
  <si>
    <t>Negative financial hesitation.</t>
  </si>
  <si>
    <t>Vacilaciones financieras negativas.</t>
  </si>
  <si>
    <r>
      <rPr>
        <rFont val="Arial, sans-serif"/>
        <color rgb="FF1155CC"/>
        <sz val="9.0"/>
        <u/>
      </rPr>
      <t>La Razón</t>
    </r>
    <r>
      <rPr>
        <rFont val="Arial, sans-serif"/>
        <color rgb="FF1155CC"/>
        <sz val="15.0"/>
        <u/>
      </rPr>
      <t>Repsol avisa: más impuestos implica menos inversión en España</t>
    </r>
    <r>
      <rPr>
        <rFont val="Arial, sans-serif"/>
        <color rgb="FF1155CC"/>
        <sz val="11.0"/>
        <u/>
      </rPr>
      <t>Repsol mantiene en "cuarentena" las inversiones que había reactivado ante la posibilidad de que decayera el impuestazo a las energéticas.</t>
    </r>
    <r>
      <rPr>
        <rFont val="Arial, sans-serif"/>
        <color rgb="FF1155CC"/>
        <sz val="12.0"/>
        <u/>
      </rPr>
      <t>.</t>
    </r>
    <r>
      <rPr>
        <rFont val="Arial, sans-serif"/>
        <color rgb="FF1155CC"/>
        <sz val="11.0"/>
        <u/>
      </rPr>
      <t>25 nov 2024</t>
    </r>
  </si>
  <si>
    <t>Repsol avisa: más impuestos implica menos inversión en España</t>
  </si>
  <si>
    <t>Repsol mantiene en "cuarentena" las inversiones que había reactivado ante la posibilidad de que decayera el impuestazo a las energéticas.</t>
  </si>
  <si>
    <t>Repsol warns: more taxes mean less investment in Spain</t>
  </si>
  <si>
    <t>Repsol maintains in "quarantine" the investments that it had reactivated due to the possibility that the tax on energy companies would decline.</t>
  </si>
  <si>
    <t>Negative, reflects concerns about the impact of taxes on future investments.</t>
  </si>
  <si>
    <t>más impuestos, "menos inversión"</t>
  </si>
  <si>
    <t>Strong negative warning.</t>
  </si>
  <si>
    <t>Fuerte advertencia negativa.</t>
  </si>
  <si>
    <r>
      <rPr>
        <rFont val="Arial, sans-serif"/>
        <color rgb="FF1155CC"/>
        <sz val="9.0"/>
        <u/>
      </rPr>
      <t>Diari de Tarragona</t>
    </r>
    <r>
      <rPr>
        <rFont val="Arial, sans-serif"/>
        <color rgb="FF1155CC"/>
        <sz val="15.0"/>
        <u/>
      </rPr>
      <t>Repsol vuelve a dejar en el aire sus inversiones</t>
    </r>
    <r>
      <rPr>
        <rFont val="Arial, sans-serif"/>
        <color rgb="FF1155CC"/>
        <sz val="11.0"/>
        <u/>
      </rPr>
      <t>Repsol vuelve a dejar en el aire sus inversiones en España, entre ellas los 1.100 millones de euros previstos en una inversión estratégica para el fut...</t>
    </r>
    <r>
      <rPr>
        <rFont val="Arial, sans-serif"/>
        <color rgb="FF1155CC"/>
        <sz val="12.0"/>
        <u/>
      </rPr>
      <t>.</t>
    </r>
    <r>
      <rPr>
        <rFont val="Arial, sans-serif"/>
        <color rgb="FF1155CC"/>
        <sz val="11.0"/>
        <u/>
      </rPr>
      <t>25 nov 2024</t>
    </r>
  </si>
  <si>
    <t>Repsol vuelve a dejar en el aire sus inversiones</t>
  </si>
  <si>
    <t>Repsol vuelve a dejar en el aire sus inversiones en España, entre ellas los 1.100 millones de euros previstos en una inversión estratégica para el fut....</t>
  </si>
  <si>
    <t>Repsol leaves its investments up in the air again</t>
  </si>
  <si>
    <t>Repsol once again leaves its investments in Spain up in the air, including the 1.1 billion euros planned in a strategic investment for the future....</t>
  </si>
  <si>
    <t>Negative, reiterates Repsol’s cautious approach due to tax uncertainty.</t>
  </si>
  <si>
    <t>dejar en el aire</t>
  </si>
  <si>
    <t>Negative financial impact.</t>
  </si>
  <si>
    <t>Impacto financiero negativo.</t>
  </si>
  <si>
    <r>
      <rPr>
        <rFont val="Arial, sans-serif"/>
        <color rgb="FF1155CC"/>
        <sz val="9.0"/>
        <u/>
      </rPr>
      <t>La Vanguardia</t>
    </r>
    <r>
      <rPr>
        <rFont val="Arial, sans-serif"/>
        <color rgb="FF1155CC"/>
        <sz val="15.0"/>
        <u/>
      </rPr>
      <t>La presión de las energéticas, primer frente de Aagesen al frente del ministerio</t>
    </r>
    <r>
      <rPr>
        <rFont val="Arial, sans-serif"/>
        <color rgb="FF1155CC"/>
        <sz val="11.0"/>
        <u/>
      </rPr>
      <t>Entre lágrimas contenidas, abrazos intensos y un extenso intercambio de piropos, Teresa Ribera y Sara Aagesen han protagonizado este lunes el traspaso de...</t>
    </r>
    <r>
      <rPr>
        <rFont val="Arial, sans-serif"/>
        <color rgb="FF1155CC"/>
        <sz val="12.0"/>
        <u/>
      </rPr>
      <t>.</t>
    </r>
    <r>
      <rPr>
        <rFont val="Arial, sans-serif"/>
        <color rgb="FF1155CC"/>
        <sz val="11.0"/>
        <u/>
      </rPr>
      <t>25 nov 2024</t>
    </r>
  </si>
  <si>
    <t>La presión de las energéticas, primer frente de Aagesen al frente del ministerio</t>
  </si>
  <si>
    <t>Entre lágrimas contenidas, abrazos intensos y un extenso intercambio de piropos, Teresa Ribera y Sara Aagesen han protagonizado este lunes el traspaso de....</t>
  </si>
  <si>
    <t>The pressure from the energy companies, Aagesen's first front at the head of the ministry</t>
  </si>
  <si>
    <t>Between unshed tears, intense hugs and an extensive exchange of compliments, Teresa Ribera and Sara Aagesen starred this Monday in the transfer of...</t>
  </si>
  <si>
    <t>Repsol, Energy, Aagesen</t>
  </si>
  <si>
    <t>Repsol, Energía, Aagesen</t>
  </si>
  <si>
    <t>Negative, reflects political challenges in the energy sector.</t>
  </si>
  <si>
    <r>
      <rPr>
        <rFont val="Arial, sans-serif"/>
        <color rgb="FF1155CC"/>
        <sz val="9.0"/>
        <u/>
      </rPr>
      <t>Motor EL PAÍS</t>
    </r>
    <r>
      <rPr>
        <rFont val="Arial, sans-serif"/>
        <color rgb="FF1155CC"/>
        <sz val="15.0"/>
        <u/>
      </rPr>
      <t>Esta es la sencilla manera de ahorrar 20 céntimos al llenar el depósito</t>
    </r>
    <r>
      <rPr>
        <rFont val="Arial, sans-serif"/>
        <color rgb="FF1155CC"/>
        <sz val="11.0"/>
        <u/>
      </rPr>
      <t>El precio medio de la gasolina (1,504 euros) se mantiene estable, pero el del diésel (1,406) ya suma dos subidas consecutivas. bonos repsol...</t>
    </r>
    <r>
      <rPr>
        <rFont val="Arial, sans-serif"/>
        <color rgb="FF1155CC"/>
        <sz val="12.0"/>
        <u/>
      </rPr>
      <t>.</t>
    </r>
    <r>
      <rPr>
        <rFont val="Arial, sans-serif"/>
        <color rgb="FF1155CC"/>
        <sz val="11.0"/>
        <u/>
      </rPr>
      <t>25 nov 2024</t>
    </r>
  </si>
  <si>
    <t>Esta es la sencilla manera de ahorrar 20 céntimos al llenar el depósito</t>
  </si>
  <si>
    <t>El precio medio de la gasolina (1,504 euros) se mantiene estable, pero el del diésel (1,406) ya suma dos subidas consecutivas. bonos repsol.</t>
  </si>
  <si>
    <t>This is the simple way to save 20 cents when filling up the tank</t>
  </si>
  <si>
    <t>The average price of gasoline (1,504 euros) remains stable, but that of diesel (1,406) has already added two consecutive increases. repsol bonuses.</t>
  </si>
  <si>
    <t>Repsol, Fuel, Savings</t>
  </si>
  <si>
    <t>Repsol, Combustible, Ahorro</t>
  </si>
  <si>
    <t>Positive, offers consumers a way to save money.</t>
  </si>
  <si>
    <t>bonos Repsol</t>
  </si>
  <si>
    <t>Neutral, slight Repsol mention.</t>
  </si>
  <si>
    <t>Neutro, ligera mención Repsol.</t>
  </si>
  <si>
    <r>
      <rPr>
        <rFont val="Arial, sans-serif"/>
        <color rgb="FF1155CC"/>
        <sz val="9.0"/>
        <u/>
      </rPr>
      <t>Economía Digital</t>
    </r>
    <r>
      <rPr>
        <rFont val="Arial, sans-serif"/>
        <color rgb="FF1155CC"/>
        <sz val="15.0"/>
        <u/>
      </rPr>
      <t>Las pequeñas comercializadoras temen que Iberdrola, Endesa, Naturgy y Repsol acaparen más mercado con la nueva ley</t>
    </r>
    <r>
      <rPr>
        <rFont val="Arial, sans-serif"/>
        <color rgb="FF1155CC"/>
        <sz val="11.0"/>
        <u/>
      </rPr>
      <t>La nueva regulación incluirá la prohibición de contratar vía telefónica, la figura del agregador o requisitos de solvencia.</t>
    </r>
    <r>
      <rPr>
        <rFont val="Arial, sans-serif"/>
        <color rgb="FF1155CC"/>
        <sz val="12.0"/>
        <u/>
      </rPr>
      <t>.</t>
    </r>
    <r>
      <rPr>
        <rFont val="Arial, sans-serif"/>
        <color rgb="FF1155CC"/>
        <sz val="11.0"/>
        <u/>
      </rPr>
      <t>25 nov 2024</t>
    </r>
  </si>
  <si>
    <t>Las pequeñas comercializadoras temen que Iberdrola, Endesa, Naturgy y Repsol acaparen más mercado con la nueva ley</t>
  </si>
  <si>
    <t>Las pequeñas comercializadoras temen que Iberdrola, Endesa, Naturgy y Repsol acaparen más mercado con la nueva ley. La nueva regulación incluirá la prohibición de contratar vía telefónica, la figura del agregador o requisitos de solvencia.</t>
  </si>
  <si>
    <t>Small marketers fear that Iberdrola, Endesa, Naturgy and Repsol will corner more of the market with the new law</t>
  </si>
  <si>
    <t>Small marketing companies fear that Iberdrola, Endesa, Naturgy and Repsol will corner more of the market with the new law. The new regulation will include the prohibition of contracting via telephone, the figure of the aggregator or solvency requirements.</t>
  </si>
  <si>
    <t>Repsol, Market, Law</t>
  </si>
  <si>
    <t>Repsol, Mercado, Ley</t>
  </si>
  <si>
    <t>Negative, shows concerns over market dominance.</t>
  </si>
  <si>
    <t>acaparen más mercado</t>
  </si>
  <si>
    <t>Negative perception of Repsol's market role.</t>
  </si>
  <si>
    <t>Percepción negativa sobre el papel de Repsol en el mercado.</t>
  </si>
  <si>
    <r>
      <rPr>
        <rFont val="Arial, sans-serif"/>
        <color rgb="FF1155CC"/>
        <sz val="9.0"/>
        <u/>
      </rPr>
      <t>La Comarca de Puertollano</t>
    </r>
    <r>
      <rPr>
        <rFont val="Arial, sans-serif"/>
        <color rgb="FF1155CC"/>
        <sz val="15.0"/>
        <u/>
      </rPr>
      <t>Buenos resultados para los equipos del Tenis Club Recreativo Repsol Puertollano</t>
    </r>
    <r>
      <rPr>
        <rFont val="Arial, sans-serif"/>
        <color rgb="FF1155CC"/>
        <sz val="11.0"/>
        <u/>
      </rPr>
      <t>Destacan los benjamines, que se desplazaban a Valdepeñas y que han ganado sus tres partidos con solvencia.</t>
    </r>
    <r>
      <rPr>
        <rFont val="Arial, sans-serif"/>
        <color rgb="FF1155CC"/>
        <sz val="12.0"/>
        <u/>
      </rPr>
      <t>.</t>
    </r>
    <r>
      <rPr>
        <rFont val="Arial, sans-serif"/>
        <color rgb="FF1155CC"/>
        <sz val="11.0"/>
        <u/>
      </rPr>
      <t>25 nov 2024</t>
    </r>
  </si>
  <si>
    <t>Buenos resultados para los equipos del Tenis Club Recreativo Repsol Puertollano</t>
  </si>
  <si>
    <t>Destacan los benjamines, que se desplazaban a Valdepeñas y que han ganado sus tres partidos con solvencia.</t>
  </si>
  <si>
    <t>Good results for the teams of the Tenis Club Recreativo Repsol Puertollano</t>
  </si>
  <si>
    <t>The Benjamins stand out, who traveled to Valdepeñas and have won their three games with ease.</t>
  </si>
  <si>
    <r>
      <rPr>
        <rFont val="Arial, sans-serif"/>
        <color rgb="FF1155CC"/>
        <sz val="9.0"/>
        <u/>
      </rPr>
      <t>Guía Repsol</t>
    </r>
    <r>
      <rPr>
        <rFont val="Arial, sans-serif"/>
        <color rgb="FF1155CC"/>
        <sz val="15.0"/>
        <u/>
      </rPr>
      <t>Este alojamiento cuenta con una vecina muy particular: la Iglesia Mayor Prioral del Puerto de Santa María</t>
    </r>
    <r>
      <rPr>
        <rFont val="Arial, sans-serif"/>
        <color rgb="FF1155CC"/>
        <sz val="11.0"/>
        <u/>
      </rPr>
      <t>Tiene de vecina a la Iglesia Mayor Prioral del Puerto de Santa María, pero ahondar en sus entrañas es como viajar al Nuevo Mundo. Esta antigua casa señorial...</t>
    </r>
    <r>
      <rPr>
        <rFont val="Arial, sans-serif"/>
        <color rgb="FF1155CC"/>
        <sz val="12.0"/>
        <u/>
      </rPr>
      <t>.</t>
    </r>
    <r>
      <rPr>
        <rFont val="Arial, sans-serif"/>
        <color rgb="FF1155CC"/>
        <sz val="11.0"/>
        <u/>
      </rPr>
      <t>25 nov 2024</t>
    </r>
  </si>
  <si>
    <t>Este alojamiento cuenta con una vecina muy particular: la Iglesia Mayor Prioral del Puerto de Santa María</t>
  </si>
  <si>
    <t>Esta antigua casa señorial....</t>
  </si>
  <si>
    <t>This accommodation has a very particular neighbor: the Iglesia Mayor Prioral del Puerto de Santa María</t>
  </si>
  <si>
    <t>This old manor house....</t>
  </si>
  <si>
    <r>
      <rPr>
        <rFont val="Arial, sans-serif"/>
        <color rgb="FF1155CC"/>
        <sz val="9.0"/>
        <u/>
      </rPr>
      <t>El Día de Segovia</t>
    </r>
    <r>
      <rPr>
        <rFont val="Arial, sans-serif"/>
        <color rgb="FF1155CC"/>
        <sz val="15.0"/>
        <u/>
      </rPr>
      <t>'Soletes' para los restaurantes que resisten en Segovia</t>
    </r>
    <r>
      <rPr>
        <rFont val="Arial, sans-serif"/>
        <color rgb="FF1155CC"/>
        <sz val="11.0"/>
        <u/>
      </rPr>
      <t>La Guía Repsol reconoce tres restaurantes de la provincia en homenaje a la tradición familiar reivindicando los negocios clásicos.</t>
    </r>
    <r>
      <rPr>
        <rFont val="Arial, sans-serif"/>
        <color rgb="FF1155CC"/>
        <sz val="12.0"/>
        <u/>
      </rPr>
      <t>.</t>
    </r>
    <r>
      <rPr>
        <rFont val="Arial, sans-serif"/>
        <color rgb="FF1155CC"/>
        <sz val="11.0"/>
        <u/>
      </rPr>
      <t>25 nov 2024</t>
    </r>
  </si>
  <si>
    <t>'Soletes' para los restaurantes que resisten en Segovia</t>
  </si>
  <si>
    <t>La Guía Repsol reconoce tres restaurantes de la provincia en homenaje a la tradición familiar reivindicando los negocios clásicos.</t>
  </si>
  <si>
    <t>'Soletes' for the restaurants that resist in Segovia</t>
  </si>
  <si>
    <t>The Repsol Guide recognizes three restaurants in the province in tribute to family tradition, reclaiming classic businesses.</t>
  </si>
  <si>
    <r>
      <rPr>
        <rFont val="Arial, sans-serif"/>
        <color rgb="FF1155CC"/>
        <sz val="9.0"/>
        <u/>
      </rPr>
      <t>El Comercio Perú</t>
    </r>
    <r>
      <rPr>
        <rFont val="Arial, sans-serif"/>
        <color rgb="FF1155CC"/>
        <sz val="15.0"/>
        <u/>
      </rPr>
      <t>“Dentro de diez años vamos a recordar este día”: El elogio de Emily Lima al AS Tingo de Tingo María y su título histórico en el Semillero Repsol Fútbol Femenino</t>
    </r>
    <r>
      <rPr>
        <rFont val="Arial, sans-serif"/>
        <color rgb="FF1155CC"/>
        <sz val="11.0"/>
        <u/>
      </rPr>
      <t>Este domingo se disputó la gran final del Semillero Sub 13 organizado por El Comercio e Igma Sports en el que AS Tingo se llevó el título a Tingo María.</t>
    </r>
    <r>
      <rPr>
        <rFont val="Arial, sans-serif"/>
        <color rgb="FF1155CC"/>
        <sz val="12.0"/>
        <u/>
      </rPr>
      <t>.</t>
    </r>
    <r>
      <rPr>
        <rFont val="Arial, sans-serif"/>
        <color rgb="FF1155CC"/>
        <sz val="11.0"/>
        <u/>
      </rPr>
      <t>25 nov 2024</t>
    </r>
  </si>
  <si>
    <t>“Dentro de diez años vamos a recordar este día”: El elogio de Emily Lima al AS Tingo de Tingo María y su título histórico en el Semillero Repsol Fútbol Femenino</t>
  </si>
  <si>
    <t>“Dentro de diez años vamos a recordar este día”: El elogio de Emily Lima al AS Tingo de Tingo María y su título histórico en el Semillero Repsol Fútbol Femenino.</t>
  </si>
  <si>
    <t>“In ten years we will remember this day”: Emily Lima's praise for AS Tingo de Tingo María and its historic title in the Repsol Women's Football Seedbed</t>
  </si>
  <si>
    <t>“In ten years we will remember this day”: Emily Lima's praise for AS Tingo de Tingo María and its historic title in the Repsol Women's Football Seedbed.</t>
  </si>
  <si>
    <r>
      <rPr>
        <rFont val="Arial, sans-serif"/>
        <color rgb="FF1155CC"/>
        <sz val="9.0"/>
        <u/>
      </rPr>
      <t>El Periódico de la Energía</t>
    </r>
    <r>
      <rPr>
        <rFont val="Arial, sans-serif"/>
        <color rgb="FF1155CC"/>
        <sz val="15.0"/>
        <u/>
      </rPr>
      <t>Repsol alcanza las 600 estaciones de servicio con combustible 100% renovable</t>
    </r>
    <r>
      <rPr>
        <rFont val="Arial, sans-serif"/>
        <color rgb="FF1155CC"/>
        <sz val="11.0"/>
        <u/>
      </rPr>
      <t>Repsol ha abierto en Cantabria su estación de servicio número 600 con combustible 100% renovable en la Península Ibérica (550 en España y 50 en Portugal).</t>
    </r>
    <r>
      <rPr>
        <rFont val="Arial, sans-serif"/>
        <color rgb="FF1155CC"/>
        <sz val="12.0"/>
        <u/>
      </rPr>
      <t>.</t>
    </r>
    <r>
      <rPr>
        <rFont val="Arial, sans-serif"/>
        <color rgb="FF1155CC"/>
        <sz val="11.0"/>
        <u/>
      </rPr>
      <t>26 nov 2024</t>
    </r>
  </si>
  <si>
    <t>Repsol alcanza las 600 estaciones de servicio con combustible 100% renovable</t>
  </si>
  <si>
    <t>Repsol ha abierto en Cantabria su estación de servicio número 600 con combustible 100% renovable en la Península Ibérica (550 en España y 50 en Portugal).</t>
  </si>
  <si>
    <t>Repsol reaches 600 service stations with 100% renewable fuel</t>
  </si>
  <si>
    <t>Repsol has opened its 600th service station in Cantabria with 100% renewable fuel on the Iberian Peninsula (550 in Spain and 50 in Portugal).</t>
  </si>
  <si>
    <t>Repsol, Renewable Fuel, Service Stations</t>
  </si>
  <si>
    <t>Repsol, “Combustibles Renovables”, “Estaciones de Servicio”</t>
  </si>
  <si>
    <t>Very positive sentiment, highlighting Repsol’s commitment to renewable energy.</t>
  </si>
  <si>
    <t>combustible 100% renovable</t>
  </si>
  <si>
    <t>Strong positive sustainability milestone.</t>
  </si>
  <si>
    <t>Fuerte hito positivo en materia de sostenibilidad.</t>
  </si>
  <si>
    <r>
      <rPr>
        <rFont val="Arial, sans-serif"/>
        <color rgb="FF1155CC"/>
        <sz val="9.0"/>
        <u/>
      </rPr>
      <t>CapitalMadrid</t>
    </r>
    <r>
      <rPr>
        <rFont val="Arial, sans-serif"/>
        <color rgb="FF1155CC"/>
        <sz val="15.0"/>
        <u/>
      </rPr>
      <t>Repsol alcanza las 600 estaciones de servicio con combustible 100% renovable</t>
    </r>
    <r>
      <rPr>
        <rFont val="Arial, sans-serif"/>
        <color rgb="FF1155CC"/>
        <sz val="11.0"/>
        <u/>
      </rPr>
      <t>Repsol ha alcanzado las 600 estaciones de servicio con combustible 100% renovable en la Península Ibérica, de las cuales 550 están en España y 50 en...</t>
    </r>
    <r>
      <rPr>
        <rFont val="Arial, sans-serif"/>
        <color rgb="FF1155CC"/>
        <sz val="12.0"/>
        <u/>
      </rPr>
      <t>.</t>
    </r>
    <r>
      <rPr>
        <rFont val="Arial, sans-serif"/>
        <color rgb="FF1155CC"/>
        <sz val="11.0"/>
        <u/>
      </rPr>
      <t>26 nov 2024</t>
    </r>
  </si>
  <si>
    <t>Repsol ha alcanzado las 600 estaciones de servicio con combustible 100% renovable en la Península Ibérica, de las cuales 550 están en España y 50 en....</t>
  </si>
  <si>
    <t>Repsol has reached 600 service stations with 100% renewable fuel in the Iberian Peninsula, of which 550 are in Spain and 50 in...</t>
  </si>
  <si>
    <t>Very positive sentiment, reinforcing Repsol’s progress in sustainability.</t>
  </si>
  <si>
    <r>
      <rPr>
        <rFont val="Arial, sans-serif"/>
        <color rgb="FF1155CC"/>
        <sz val="9.0"/>
        <u/>
      </rPr>
      <t>Diario AS</t>
    </r>
    <r>
      <rPr>
        <rFont val="Arial, sans-serif"/>
        <color rgb="FF1155CC"/>
        <sz val="15.0"/>
        <u/>
      </rPr>
      <t>Repsol y Toyota Gazoo Racing renuevan su alianza</t>
    </r>
    <r>
      <rPr>
        <rFont val="Arial, sans-serif"/>
        <color rgb="FF1155CC"/>
        <sz val="11.0"/>
        <u/>
      </rPr>
      <t>Repsol y Toyota Gazoo Racing han renovado su acuerdo de suministro de combustible renovable, que ahora contemplará todo el Mundial de Rally Raids y que...</t>
    </r>
    <r>
      <rPr>
        <rFont val="Arial, sans-serif"/>
        <color rgb="FF1155CC"/>
        <sz val="12.0"/>
        <u/>
      </rPr>
      <t>.</t>
    </r>
    <r>
      <rPr>
        <rFont val="Arial, sans-serif"/>
        <color rgb="FF1155CC"/>
        <sz val="11.0"/>
        <u/>
      </rPr>
      <t>26 nov 2024</t>
    </r>
  </si>
  <si>
    <t>Repsol y Toyota Gazoo Racing renuevan su alianza</t>
  </si>
  <si>
    <t>Repsol y Toyota Gazoo Racing han renovado su acuerdo de suministro de combustible renovable, que ahora contemplará todo el Mundial de Rally Raids y que....</t>
  </si>
  <si>
    <t>Repsol and Toyota Gazoo Racing renew their alliance</t>
  </si>
  <si>
    <t>Repsol and Toyota Gazoo Racing have renewed their renewable fuel supply agreement, which will now cover the entire World Rally Raids and that...</t>
  </si>
  <si>
    <t>Repsol, Toyota, Racing</t>
  </si>
  <si>
    <t>Positive sentiment, emphasizing Repsol’s role in sustainable motorsports.</t>
  </si>
  <si>
    <t>renuevan su alianza</t>
  </si>
  <si>
    <r>
      <rPr>
        <rFont val="Arial, sans-serif"/>
        <color rgb="FF1155CC"/>
        <sz val="9.0"/>
        <u/>
      </rPr>
      <t>La Razón</t>
    </r>
    <r>
      <rPr>
        <rFont val="Arial, sans-serif"/>
        <color rgb="FF1155CC"/>
        <sz val="15.0"/>
        <u/>
      </rPr>
      <t>Repsol ya suministra combustible 100% renovable en 600 de sus estaciones de servicio</t>
    </r>
    <r>
      <rPr>
        <rFont val="Arial, sans-serif"/>
        <color rgb="FF1155CC"/>
        <sz val="11.0"/>
        <u/>
      </rPr>
      <t>Repsol avanza en su plan para ofrecer biocarburantes a sus clientes. La compañía ha alcanzado en Cartes (Cantabria) las 600 estaciones de servicio con...</t>
    </r>
    <r>
      <rPr>
        <rFont val="Arial, sans-serif"/>
        <color rgb="FF1155CC"/>
        <sz val="12.0"/>
        <u/>
      </rPr>
      <t>.</t>
    </r>
    <r>
      <rPr>
        <rFont val="Arial, sans-serif"/>
        <color rgb="FF1155CC"/>
        <sz val="11.0"/>
        <u/>
      </rPr>
      <t>26 nov 2024</t>
    </r>
  </si>
  <si>
    <t>Repsol ya suministra combustible 100% renovable en 600 de sus estaciones de servicio</t>
  </si>
  <si>
    <t>Repsol avanza en su plan para ofrecer biocarburantes a sus clientes. La compañía ha alcanzado en Cartes (Cantabria) las 600 estaciones de servicio con....</t>
  </si>
  <si>
    <t>Repsol already supplies 100% renewable fuel at 600 of its service stations</t>
  </si>
  <si>
    <t>Repsol advances in its plan to offer biofuels to its customers. The company has reached 600 service stations in Cartes (Cantabria) with...</t>
  </si>
  <si>
    <t>Very positive sentiment, reinforcing Repsol’s sustainability milestones.</t>
  </si>
  <si>
    <t>Highly positive environmental effort.</t>
  </si>
  <si>
    <t>Esfuerzo medioambiental muy positivo.</t>
  </si>
  <si>
    <r>
      <rPr>
        <rFont val="Arial, sans-serif"/>
        <color rgb="FF1155CC"/>
        <sz val="9.0"/>
        <u/>
      </rPr>
      <t>Box Repsol</t>
    </r>
    <r>
      <rPr>
        <rFont val="Arial, sans-serif"/>
        <color rgb="FF1155CC"/>
        <sz val="15.0"/>
        <u/>
      </rPr>
      <t>Repsol y Toyota Gazoo Racing: una alianza tecnológica fruto de una visión compartida hacia una competición más sostenible</t>
    </r>
    <r>
      <rPr>
        <rFont val="Arial, sans-serif"/>
        <color rgb="FF1155CC"/>
        <sz val="11.0"/>
        <u/>
      </rPr>
      <t>Repsol y Toyota Gazoo Racing han renovado su acuerdo de suministro de combustible renovable, que ahora contemplará todo el Mundial de Rally Raids y que...</t>
    </r>
    <r>
      <rPr>
        <rFont val="Arial, sans-serif"/>
        <color rgb="FF1155CC"/>
        <sz val="12.0"/>
        <u/>
      </rPr>
      <t>.</t>
    </r>
    <r>
      <rPr>
        <rFont val="Arial, sans-serif"/>
        <color rgb="FF1155CC"/>
        <sz val="11.0"/>
        <u/>
      </rPr>
      <t>26 nov 2024</t>
    </r>
  </si>
  <si>
    <t>Repsol y Toyota Gazoo Racing: una alianza tecnológica fruto de una visión compartida hacia una competición más sostenible</t>
  </si>
  <si>
    <t>Repsol and Toyota Gazoo Racing: a technological alliance resulting from a shared vision towards a more sustainable competition</t>
  </si>
  <si>
    <t>Repsol, Toyota, Sustainability</t>
  </si>
  <si>
    <t>Repsol, Toyota, Sostenibilidad</t>
  </si>
  <si>
    <t>Positive sentiment, showing collaboration for sustainable innovation.</t>
  </si>
  <si>
    <t>alianza tecnológica, "sostenible"</t>
  </si>
  <si>
    <r>
      <rPr>
        <rFont val="Arial, sans-serif"/>
        <color rgb="FF1155CC"/>
        <sz val="9.0"/>
        <u/>
      </rPr>
      <t>Bolsamania</t>
    </r>
    <r>
      <rPr>
        <rFont val="Arial, sans-serif"/>
        <color rgb="FF1155CC"/>
        <sz val="15.0"/>
        <u/>
      </rPr>
      <t>Economía.- Repsol alcanza su meta de las 600 estaciones de servicio con combustible renovable antes de acabar 2024</t>
    </r>
    <r>
      <rPr>
        <rFont val="Arial, sans-serif"/>
        <color rgb="FF1155CC"/>
        <sz val="11.0"/>
        <u/>
      </rPr>
      <t>MADRID, 26 (EUROPA PRESS) Repsol ha alcanzado ya las 600 estaciones de servicio con combustible 100% renovable en la Península Ibérica, de las cuales 550...</t>
    </r>
    <r>
      <rPr>
        <rFont val="Arial, sans-serif"/>
        <color rgb="FF1155CC"/>
        <sz val="12.0"/>
        <u/>
      </rPr>
      <t>.</t>
    </r>
    <r>
      <rPr>
        <rFont val="Arial, sans-serif"/>
        <color rgb="FF1155CC"/>
        <sz val="11.0"/>
        <u/>
      </rPr>
      <t>26 nov 2024</t>
    </r>
  </si>
  <si>
    <t>Repsol alcanza su meta de las 600 estaciones de servicio con combustible renovable antes de acabar 2024</t>
  </si>
  <si>
    <t>Repsol ha alcanzado ya las 600 estaciones de servicio con combustible 100% renovable en la Península Ibérica, de las cuales 550....</t>
  </si>
  <si>
    <t>Repsol reaches its goal of 600 service stations with renewable fuel before the end of 2024</t>
  </si>
  <si>
    <t>Repsol has already reached 600 service stations with 100% renewable fuel in the Iberian Peninsula, of which 550...</t>
  </si>
  <si>
    <t>Very positive sentiment, reinforcing Repsol’s success in clean energy initiatives.</t>
  </si>
  <si>
    <t>alcanza su meta, "renovable"</t>
  </si>
  <si>
    <t>Strong positive achievement.</t>
  </si>
  <si>
    <t>Fuerte logro positivo.</t>
  </si>
  <si>
    <r>
      <rPr>
        <rFont val="Arial, sans-serif"/>
        <color rgb="FF1155CC"/>
        <sz val="9.0"/>
        <u/>
      </rPr>
      <t>El Confidencial</t>
    </r>
    <r>
      <rPr>
        <rFont val="Arial, sans-serif"/>
        <color rgb="FF1155CC"/>
        <sz val="15.0"/>
        <u/>
      </rPr>
      <t>Blanco (Repsol): "La IA tendrá un impacto en los honorarios a largo plazo"</t>
    </r>
    <r>
      <rPr>
        <rFont val="Arial, sans-serif"/>
        <color rgb="FF1155CC"/>
        <sz val="11.0"/>
        <u/>
      </rPr>
      <t>El director general de Asuntos Legales de Repsol ha hecho una apuesta muy fuerte por el uso de la inteligencia artificial y advierte del impacto que tendrá...</t>
    </r>
    <r>
      <rPr>
        <rFont val="Arial, sans-serif"/>
        <color rgb="FF1155CC"/>
        <sz val="12.0"/>
        <u/>
      </rPr>
      <t>.</t>
    </r>
    <r>
      <rPr>
        <rFont val="Arial, sans-serif"/>
        <color rgb="FF1155CC"/>
        <sz val="11.0"/>
        <u/>
      </rPr>
      <t>26 nov 2024</t>
    </r>
  </si>
  <si>
    <t>La IA tendrá un impacto en los honorarios a largo plazo</t>
  </si>
  <si>
    <t>El director general de Asuntos Legales de Repsol ha hecho una apuesta muy fuerte por el uso de la inteligencia artificial y advierte del impacto que tendrá....</t>
  </si>
  <si>
    <t>AI will impact fees in the long term</t>
  </si>
  <si>
    <t>The general director of Legal Affairs at Repsol has made a very strong commitment to the use of artificial intelligence and warns of the impact it will have...</t>
  </si>
  <si>
    <r>
      <rPr>
        <rFont val="Arial, sans-serif"/>
        <color rgb="FF1155CC"/>
        <sz val="9.0"/>
        <u/>
      </rPr>
      <t>Consenso del Mercado</t>
    </r>
    <r>
      <rPr>
        <rFont val="Arial, sans-serif"/>
        <color rgb="FF1155CC"/>
        <sz val="15.0"/>
        <u/>
      </rPr>
      <t>Repsol afirma que «siguen pendientes» de la solución a la posible prolongación del impuesto a las energéticas</t>
    </r>
    <r>
      <rPr>
        <rFont val="Arial, sans-serif"/>
        <color rgb="FF1155CC"/>
        <sz val="11.0"/>
        <u/>
      </rPr>
      <t>Alphavalue / Divacons | Luis cabra Dueñas, director general adjunto de la petrolera, afirmó que los planes de transición energética en España "están a la.</t>
    </r>
    <r>
      <rPr>
        <rFont val="Arial, sans-serif"/>
        <color rgb="FF1155CC"/>
        <sz val="12.0"/>
        <u/>
      </rPr>
      <t>.</t>
    </r>
    <r>
      <rPr>
        <rFont val="Arial, sans-serif"/>
        <color rgb="FF1155CC"/>
        <sz val="11.0"/>
        <u/>
      </rPr>
      <t>26 nov 2024</t>
    </r>
  </si>
  <si>
    <t>Alphavalue / Divacons</t>
  </si>
  <si>
    <t>Repsol afirma que «siguen pendientes» de la solución a la posible prolongación del impuesto a las energéticas</t>
  </si>
  <si>
    <t>Los planes de transición energética en España "están a la..</t>
  </si>
  <si>
    <t>Repsol affirms that "they are still pending" the solution to the possible extension of the tax on energy companies</t>
  </si>
  <si>
    <t>The energy transition plans in Spain "are at hand."</t>
  </si>
  <si>
    <t>Repsol, Tax, Energy</t>
  </si>
  <si>
    <t>Repsol, Impuestos, Energía</t>
  </si>
  <si>
    <t>Negative sentiment, indicating uncertainty about regulatory pressures affecting Repsol.</t>
  </si>
  <si>
    <t>pendientes, "impuesto"</t>
  </si>
  <si>
    <r>
      <rPr>
        <rFont val="Arial, sans-serif"/>
        <color rgb="FF1155CC"/>
        <sz val="9.0"/>
        <u/>
      </rPr>
      <t>SoyMotor.com</t>
    </r>
    <r>
      <rPr>
        <rFont val="Arial, sans-serif"/>
        <color rgb="FF1155CC"/>
        <sz val="15.0"/>
        <u/>
      </rPr>
      <t>Toyota ya tiene alineación para el Dakar 2025 y Repsol gana protagonismo</t>
    </r>
    <r>
      <rPr>
        <rFont val="Arial, sans-serif"/>
        <color rgb="FF1155CC"/>
        <sz val="11.0"/>
        <u/>
      </rPr>
      <t>Toyota ha anunciado una alineación de seis coches oficiales para el Dakar 2025, que incluye a dos de ellos en Toyota Gazoo Racing y a los otros cuatro,...</t>
    </r>
    <r>
      <rPr>
        <rFont val="Arial, sans-serif"/>
        <color rgb="FF1155CC"/>
        <sz val="12.0"/>
        <u/>
      </rPr>
      <t>.</t>
    </r>
    <r>
      <rPr>
        <rFont val="Arial, sans-serif"/>
        <color rgb="FF1155CC"/>
        <sz val="11.0"/>
        <u/>
      </rPr>
      <t>26 nov 2024</t>
    </r>
  </si>
  <si>
    <t>Toyota ya tiene alineación para el Dakar 2025 y Repsol gana protagonismo</t>
  </si>
  <si>
    <t>Toyota ha anunciado una alineación de seis coches oficiales para el Dakar 2025, que incluye a dos de ellos en Toyota Gazoo Racing y a los otros cuatro,....</t>
  </si>
  <si>
    <t>Toyota already has a lineup for the Dakar 2025 and Repsol gains prominence</t>
  </si>
  <si>
    <t>Toyota has announced a line-up of six official cars for the Dakar 2025, which includes two of them in Toyota Gazoo Racing and the other four,....</t>
  </si>
  <si>
    <t>Repsol, Toyota, Dakar</t>
  </si>
  <si>
    <t>Positive sentiment, emphasizing Repsol’s growing presence in motorsports.</t>
  </si>
  <si>
    <t>gana protagonismo</t>
  </si>
  <si>
    <t>Positive sports association.</t>
  </si>
  <si>
    <t>Asociación deportiva positiva.</t>
  </si>
  <si>
    <r>
      <rPr>
        <rFont val="Arial, sans-serif"/>
        <color rgb="FF1155CC"/>
        <sz val="9.0"/>
        <u/>
      </rPr>
      <t>El Español</t>
    </r>
    <r>
      <rPr>
        <rFont val="Arial, sans-serif"/>
        <color rgb="FF1155CC"/>
        <sz val="15.0"/>
        <u/>
      </rPr>
      <t>Oliva Bar e Levar: el Solete de Repsol que lleva la cocina tradicional en Ferrol a lo más alto</t>
    </r>
    <r>
      <rPr>
        <rFont val="Arial, sans-serif"/>
        <color rgb="FF1155CC"/>
        <sz val="11.0"/>
        <u/>
      </rPr>
      <t>La Guía Repsol premia al restaurante ferrolano Oliva Bar e Levar con un Solete con Solera, un reconocimiento que premia a los negocios que apuestan por lo...</t>
    </r>
    <r>
      <rPr>
        <rFont val="Arial, sans-serif"/>
        <color rgb="FF1155CC"/>
        <sz val="12.0"/>
        <u/>
      </rPr>
      <t>.</t>
    </r>
    <r>
      <rPr>
        <rFont val="Arial, sans-serif"/>
        <color rgb="FF1155CC"/>
        <sz val="11.0"/>
        <u/>
      </rPr>
      <t>26 nov 2024</t>
    </r>
  </si>
  <si>
    <t>Oliva Bar e Levar: el Solete de Repsol que lleva la cocina tradicional en Ferrol a lo más alto</t>
  </si>
  <si>
    <t>La Guía Repsol premia al restaurante ferrolano Oliva Bar e Levar con un Solete con Solera, un reconocimiento que premia a los negocios que apuestan por lo....</t>
  </si>
  <si>
    <t>Oliva Bar e Levar: Repsol's Solete that takes traditional cuisine in Ferrol to the top</t>
  </si>
  <si>
    <t>The Repsol Guide awards the Ferrol restaurant Oliva Bar e Levar with a Solete con Solera, a recognition that rewards businesses that are committed to...</t>
  </si>
  <si>
    <r>
      <rPr>
        <rFont val="Arial, sans-serif"/>
        <color rgb="FF1155CC"/>
        <sz val="9.0"/>
        <u/>
      </rPr>
      <t>Cinco Días</t>
    </r>
    <r>
      <rPr>
        <rFont val="Arial, sans-serif"/>
        <color rgb="FF1155CC"/>
        <sz val="15.0"/>
        <u/>
      </rPr>
      <t>Innovación y sostenibilidad, el binomio que marca el camino de las empresas</t>
    </r>
    <r>
      <rPr>
        <rFont val="Arial, sans-serif"/>
        <color rgb="FF1155CC"/>
        <sz val="11.0"/>
        <u/>
      </rPr>
      <t>En esta edición, los premios CincoDías a la innovación empresarial reconocen tres iniciativas ligadas a mejorar el medio ambiente y otra que agiliza la...</t>
    </r>
    <r>
      <rPr>
        <rFont val="Arial, sans-serif"/>
        <color rgb="FF1155CC"/>
        <sz val="12.0"/>
        <u/>
      </rPr>
      <t>.</t>
    </r>
    <r>
      <rPr>
        <rFont val="Arial, sans-serif"/>
        <color rgb="FF1155CC"/>
        <sz val="11.0"/>
        <u/>
      </rPr>
      <t>26 nov 2024</t>
    </r>
  </si>
  <si>
    <t>Innovación y sostenibilidad, el binomio que marca el camino de las empresas</t>
  </si>
  <si>
    <t>En esta edición, los premios CincoDías a la innovación empresarial reconocen tres iniciativas ligadas a mejorar el medio ambiente y otra que agiliza la....</t>
  </si>
  <si>
    <t>Innovation and sustainability, the binomial that marks the path of companies</t>
  </si>
  <si>
    <t>In this edition, the CincoDías awards for business innovation recognize three initiatives linked to improving the environment and another that speeds up...</t>
  </si>
  <si>
    <r>
      <rPr>
        <rFont val="Arial, sans-serif"/>
        <color rgb="FF1155CC"/>
        <sz val="9.0"/>
        <u/>
      </rPr>
      <t>El Diario Montañés</t>
    </r>
    <r>
      <rPr>
        <rFont val="Arial, sans-serif"/>
        <color rgb="FF1155CC"/>
        <sz val="15.0"/>
        <u/>
      </rPr>
      <t>Cartes presume de una gasolinera con combustible 100% renovable</t>
    </r>
    <r>
      <rPr>
        <rFont val="Arial, sans-serif"/>
        <color rgb="FF1155CC"/>
        <sz val="11.0"/>
        <u/>
      </rPr>
      <t>Roberto Media participó este martes en la inauguración de la que es la estación de servicio número 600 de Repsol con esas características.</t>
    </r>
    <r>
      <rPr>
        <rFont val="Arial, sans-serif"/>
        <color rgb="FF1155CC"/>
        <sz val="12.0"/>
        <u/>
      </rPr>
      <t>.</t>
    </r>
    <r>
      <rPr>
        <rFont val="Arial, sans-serif"/>
        <color rgb="FF1155CC"/>
        <sz val="11.0"/>
        <u/>
      </rPr>
      <t>26 nov 2024</t>
    </r>
  </si>
  <si>
    <t>Cartes presume de una gasolinera con combustible 100% renovable</t>
  </si>
  <si>
    <t>Roberto Media participó este martes en la inauguración de la que es la estación de servicio número 600 de Repsol con esas características.</t>
  </si>
  <si>
    <t>Cartes boasts a gas station with 100% renewable fuel</t>
  </si>
  <si>
    <t>Roberto Media participated this Tuesday in the inauguration of what is Repsol's 600th service station with these characteristics.</t>
  </si>
  <si>
    <t>Repsol, Renewable Fuel, Cartes</t>
  </si>
  <si>
    <t>Repsol, Combustibles Renovables, Cartes</t>
  </si>
  <si>
    <t>Very positive sentiment, emphasizing Repsol’s leadership in renewable energy.</t>
  </si>
  <si>
    <r>
      <rPr>
        <rFont val="Arial, sans-serif"/>
        <color rgb="FF1155CC"/>
        <sz val="9.0"/>
        <u/>
      </rPr>
      <t>Economía Digital</t>
    </r>
    <r>
      <rPr>
        <rFont val="Arial, sans-serif"/>
        <color rgb="FF1155CC"/>
        <sz val="15.0"/>
        <u/>
      </rPr>
      <t>Del impuestazo a Repsol, Naturgy e Iberdrola al apagón nuclear: los frentes abiertos de Sara Aagesen</t>
    </r>
    <r>
      <rPr>
        <rFont val="Arial, sans-serif"/>
        <color rgb="FF1155CC"/>
        <sz val="11.0"/>
        <u/>
      </rPr>
      <t>La nueva ministra asume una cartera llena de retos para cumplir con los objetivos del plan energético.</t>
    </r>
    <r>
      <rPr>
        <rFont val="Arial, sans-serif"/>
        <color rgb="FF1155CC"/>
        <sz val="12.0"/>
        <u/>
      </rPr>
      <t>.</t>
    </r>
    <r>
      <rPr>
        <rFont val="Arial, sans-serif"/>
        <color rgb="FF1155CC"/>
        <sz val="11.0"/>
        <u/>
      </rPr>
      <t>26 nov 2024</t>
    </r>
  </si>
  <si>
    <t>Del impuestazo a Repsol, Naturgy e Iberdrola al apagón nuclear: los frentes abiertos de Sara Aagesen</t>
  </si>
  <si>
    <t>La nueva ministra asume una cartera llena de retos para cumplir con los objetivos del plan energético.</t>
  </si>
  <si>
    <t>From the blow imposed on Repsol, Naturgy and Iberdrola to the nuclear blackout: the open fronts of Sara Aagesen</t>
  </si>
  <si>
    <t>The new minister assumes a portfolio full of challenges to meet the objectives of the energy plan.</t>
  </si>
  <si>
    <t>Repsol, Aagesen, Energy</t>
  </si>
  <si>
    <t>Repsol, Aagesen, Energía</t>
  </si>
  <si>
    <t>Negative sentiment, focusing on regulatory challenges for Repsol and other energy firms.</t>
  </si>
  <si>
    <r>
      <rPr>
        <rFont val="Arial, sans-serif"/>
        <color rgb="FF1155CC"/>
        <sz val="9.0"/>
        <u/>
      </rPr>
      <t>La Vanguardia</t>
    </r>
    <r>
      <rPr>
        <rFont val="Arial, sans-serif"/>
        <color rgb="FF1155CC"/>
        <sz val="15.0"/>
        <u/>
      </rPr>
      <t>Junts y Podemos exigen que las eléctricas también paguen el impuesto energético</t>
    </r>
    <r>
      <rPr>
        <rFont val="Arial, sans-serif"/>
        <color rgb="FF1155CC"/>
        <sz val="11.0"/>
        <u/>
      </rPr>
      <t>El Gobierno se enfrentará de nuevo a una prueba de fuego para conseguir que todos los socios de investidura y de reforma fiscal acepten el diseño del...</t>
    </r>
    <r>
      <rPr>
        <rFont val="Arial, sans-serif"/>
        <color rgb="FF1155CC"/>
        <sz val="12.0"/>
        <u/>
      </rPr>
      <t>.</t>
    </r>
    <r>
      <rPr>
        <rFont val="Arial, sans-serif"/>
        <color rgb="FF1155CC"/>
        <sz val="11.0"/>
        <u/>
      </rPr>
      <t>26 nov 2024</t>
    </r>
  </si>
  <si>
    <t>Junts y Podemos exigen que las eléctricas también paguen el impuesto energético</t>
  </si>
  <si>
    <t>El Gobierno se enfrentará de nuevo a una prueba de fuego para conseguir que todos los socios de investidura y de reforma fiscal acepten el diseño del....</t>
  </si>
  <si>
    <t>Junts and Podemos demand that electricity companies also pay the energy tax</t>
  </si>
  <si>
    <t>The Government will once again face a litmus test to get all the investiture and tax reform partners to accept the design of the...</t>
  </si>
  <si>
    <t>Repsol, Energy Tax, Politics</t>
  </si>
  <si>
    <t>Repsol, Impuesto a la Energía, Política</t>
  </si>
  <si>
    <t>Negative sentiment, highlighting potential financial challenges for energy companies like Repsol.</t>
  </si>
  <si>
    <r>
      <rPr>
        <rFont val="Arial, sans-serif"/>
        <color rgb="FF1155CC"/>
        <sz val="9.0"/>
        <u/>
      </rPr>
      <t>El Periódico de la Energía</t>
    </r>
    <r>
      <rPr>
        <rFont val="Arial, sans-serif"/>
        <color rgb="FF1155CC"/>
        <sz val="15.0"/>
        <u/>
      </rPr>
      <t>Brufau e Imaz supervisan el proyecto "Alba" de Repsol en Portugal</t>
    </r>
    <r>
      <rPr>
        <rFont val="Arial, sans-serif"/>
        <color rgb="FF1155CC"/>
        <sz val="11.0"/>
        <u/>
      </rPr>
      <t>El presidente y el CEO de Repsol supervisaron las obras del proyecto "Alba" en Sines (sur de Lisboa) para construir dos fábricas de polietileno linear y...</t>
    </r>
    <r>
      <rPr>
        <rFont val="Arial, sans-serif"/>
        <color rgb="FF1155CC"/>
        <sz val="12.0"/>
        <u/>
      </rPr>
      <t>.</t>
    </r>
    <r>
      <rPr>
        <rFont val="Arial, sans-serif"/>
        <color rgb="FF1155CC"/>
        <sz val="11.0"/>
        <u/>
      </rPr>
      <t>26 nov 2024</t>
    </r>
  </si>
  <si>
    <t>Brufau e Imaz supervisan el proyecto "Alba" de Repsol en Portugal</t>
  </si>
  <si>
    <t>El presidente y el CEO de Repsol supervisaron las obras del proyecto "Alba" en Sines (sur de Lisboa) para construir dos fábricas de polietileno linear y....</t>
  </si>
  <si>
    <t>Brufau and Imaz supervise Repsol's "Alba" project in Portugal</t>
  </si>
  <si>
    <t>The president and CEO of Repsol supervised the works of the "Alba" project in Sines (south of Lisbon) to build two linear polyethylene factories and...</t>
  </si>
  <si>
    <t>Repsol, Alba Project, Portugal</t>
  </si>
  <si>
    <t>Repsol, Proyecto Alba, Portugal</t>
  </si>
  <si>
    <t>Positive sentiment, showcasing Repsol’s industrial expansion efforts.</t>
  </si>
  <si>
    <t>proyecto Alba</t>
  </si>
  <si>
    <t>Neutral-positive investment.</t>
  </si>
  <si>
    <t>Inversión neutral-positiva.</t>
  </si>
  <si>
    <r>
      <rPr>
        <rFont val="Arial, sans-serif"/>
        <color rgb="FF1155CC"/>
        <sz val="9.0"/>
        <u/>
      </rPr>
      <t>AutoHebdoSport</t>
    </r>
    <r>
      <rPr>
        <rFont val="Arial, sans-serif"/>
        <color rgb="FF1155CC"/>
        <sz val="15.0"/>
        <u/>
      </rPr>
      <t>Toyota Gazoo Racing desvela sus cartas para el Dakar 2025</t>
    </r>
    <r>
      <rPr>
        <rFont val="Arial, sans-serif"/>
        <color rgb="FF1155CC"/>
        <sz val="11.0"/>
        <u/>
      </rPr>
      <t>Toyota se presentará con seis coches en el Dakar 2025, combinando la experiencia de pilotos como Giniel de Villiers con el talento de las jóvenes promesas...</t>
    </r>
    <r>
      <rPr>
        <rFont val="Arial, sans-serif"/>
        <color rgb="FF1155CC"/>
        <sz val="12.0"/>
        <u/>
      </rPr>
      <t>.</t>
    </r>
    <r>
      <rPr>
        <rFont val="Arial, sans-serif"/>
        <color rgb="FF1155CC"/>
        <sz val="11.0"/>
        <u/>
      </rPr>
      <t>26 nov 2024</t>
    </r>
  </si>
  <si>
    <t>Toyota Gazoo Racing desvela sus cartas para el Dakar 2025</t>
  </si>
  <si>
    <t>Toyota se presentará con seis coches en el Dakar 2025, combinando la experiencia de pilotos como Giniel de Villiers con el talento de las jóvenes promesas....</t>
  </si>
  <si>
    <t>Toyota Gazoo Racing reveals its cards for the Dakar 2025</t>
  </si>
  <si>
    <t>Toyota will present with six cars at the Dakar 2025, combining the experience of drivers like Giniel de Villiers with the talent of young promises....</t>
  </si>
  <si>
    <r>
      <rPr>
        <rFont val="Arial, sans-serif"/>
        <color rgb="FF1155CC"/>
        <sz val="9.0"/>
        <u/>
      </rPr>
      <t>El Español</t>
    </r>
    <r>
      <rPr>
        <rFont val="Arial, sans-serif"/>
        <color rgb="FF1155CC"/>
        <sz val="15.0"/>
        <u/>
      </rPr>
      <t>Estos son los mejores bocadillos de Barcelona según la Guía Repsol: los hacen en un bar centenario</t>
    </r>
    <r>
      <rPr>
        <rFont val="Arial, sans-serif"/>
        <color rgb="FF1155CC"/>
        <sz val="11.0"/>
        <u/>
      </rPr>
      <t>La Guía asegura "sus butifarras, tortillas y embutidos son de otro planeta" Noticias relacionadas: el mejor bocadillo de calamares típico de Madrid que ha...</t>
    </r>
    <r>
      <rPr>
        <rFont val="Arial, sans-serif"/>
        <color rgb="FF1155CC"/>
        <sz val="12.0"/>
        <u/>
      </rPr>
      <t>.</t>
    </r>
    <r>
      <rPr>
        <rFont val="Arial, sans-serif"/>
        <color rgb="FF1155CC"/>
        <sz val="11.0"/>
        <u/>
      </rPr>
      <t>26 nov 2024</t>
    </r>
  </si>
  <si>
    <t>Estos son los mejores bocadillos de Barcelona según la Guía Repsol: los hacen en un bar centenario</t>
  </si>
  <si>
    <t>La Guía asegura "sus butifarras, tortillas y embutidos son de otro planeta"</t>
  </si>
  <si>
    <t>These are the best sandwiches in Barcelona according to the Repsol Guide: they are made in a century-old bar</t>
  </si>
  <si>
    <t>The Guide assures "their sausages, tortillas and sausages are from another planet"</t>
  </si>
  <si>
    <r>
      <rPr>
        <rFont val="Arial, sans-serif"/>
        <color rgb="FF1155CC"/>
        <sz val="9.0"/>
        <u/>
      </rPr>
      <t>Gestión</t>
    </r>
    <r>
      <rPr>
        <rFont val="Arial, sans-serif"/>
        <color rgb="FF1155CC"/>
        <sz val="15.0"/>
        <u/>
      </rPr>
      <t>Repsol lidera la seguridad y transformación energética en el Perú</t>
    </r>
    <r>
      <rPr>
        <rFont val="Arial, sans-serif"/>
        <color rgb="FF1155CC"/>
        <sz val="11.0"/>
        <u/>
      </rPr>
      <t>Repsol impulsa la modernización de la Refinería La Pampilla, clave para la seguridad energética del Perú. A través de inversiones en innovación,...</t>
    </r>
    <r>
      <rPr>
        <rFont val="Arial, sans-serif"/>
        <color rgb="FF1155CC"/>
        <sz val="12.0"/>
        <u/>
      </rPr>
      <t>.</t>
    </r>
    <r>
      <rPr>
        <rFont val="Arial, sans-serif"/>
        <color rgb="FF1155CC"/>
        <sz val="11.0"/>
        <u/>
      </rPr>
      <t>26 nov 2024</t>
    </r>
  </si>
  <si>
    <t>Repsol lidera la seguridad y transformación energética en el Perú</t>
  </si>
  <si>
    <t>Repsol impulsa la modernización de la Refinería La Pampilla, clave para la seguridad energética del Perú. A través de inversiones en innovación,....</t>
  </si>
  <si>
    <t>Repsol leads energy security and transformation in Peru</t>
  </si>
  <si>
    <t>Repsol promotes the modernization of the La Pampilla Refinery, key to Peru's energy security. Through investments in innovation,...</t>
  </si>
  <si>
    <t>Repsol, Energy, Peru</t>
  </si>
  <si>
    <t>Repsol, Energía, Perú</t>
  </si>
  <si>
    <t>Very positive sentiment, highlighting Repsol’s role in energy security in Peru.</t>
  </si>
  <si>
    <t>lidera, "transformación energética"</t>
  </si>
  <si>
    <t>Positive leadership in energy.</t>
  </si>
  <si>
    <t>Liderazgo positivo en energía.</t>
  </si>
  <si>
    <r>
      <rPr>
        <rFont val="Arial, sans-serif"/>
        <color rgb="FF1155CC"/>
        <sz val="9.0"/>
        <u/>
      </rPr>
      <t>Cinco Días</t>
    </r>
    <r>
      <rPr>
        <rFont val="Arial, sans-serif"/>
        <color rgb="FF1155CC"/>
        <sz val="15.0"/>
        <u/>
      </rPr>
      <t>Los XVII premios CincoDías a la innovación empresarial, en imágenes | Fotos | Fortuna</t>
    </r>
    <r>
      <rPr>
        <rFont val="Arial, sans-serif"/>
        <color rgb="FF1155CC"/>
        <sz val="11.0"/>
        <u/>
      </rPr>
      <t>Pilar Gil, vicepresidenta y directora financiera del Grupo Prisa; Joseph Oughourlian, presidente del Grupo Prisa; Rodrigo Buenaventura, presidente de la...</t>
    </r>
    <r>
      <rPr>
        <rFont val="Arial, sans-serif"/>
        <color rgb="FF1155CC"/>
        <sz val="12.0"/>
        <u/>
      </rPr>
      <t>.</t>
    </r>
    <r>
      <rPr>
        <rFont val="Arial, sans-serif"/>
        <color rgb="FF1155CC"/>
        <sz val="11.0"/>
        <u/>
      </rPr>
      <t>26 nov 2024</t>
    </r>
  </si>
  <si>
    <t>Los XVII premios CincoDías a la innovación empresarial, en imágenes</t>
  </si>
  <si>
    <t>Los XVII premios CincoDías a la innovación empresarial, en imágenes.</t>
  </si>
  <si>
    <t>The XVII CincoDías awards for business innovation, in images</t>
  </si>
  <si>
    <t>The XVII CincoDías awards for business innovation, in images.</t>
  </si>
  <si>
    <r>
      <rPr>
        <rFont val="Arial, sans-serif"/>
        <color rgb="FF1155CC"/>
        <sz val="9.0"/>
        <u/>
      </rPr>
      <t>Diario de Avisos</t>
    </r>
    <r>
      <rPr>
        <rFont val="Arial, sans-serif"/>
        <color rgb="FF1155CC"/>
        <sz val="15.0"/>
        <u/>
      </rPr>
      <t>Tenerife logra dos nuevas estrellas de la Guía Michelin</t>
    </r>
    <r>
      <rPr>
        <rFont val="Arial, sans-serif"/>
        <color rgb="FF1155CC"/>
        <sz val="11.0"/>
        <u/>
      </rPr>
      <t>La gala Michelin, que se celebró anoche en el Auditorio Víctor Villegas de Murcia, ha otorgado a la Isla de Tenerife dos nuevas estrellas que han recaído...</t>
    </r>
    <r>
      <rPr>
        <rFont val="Arial, sans-serif"/>
        <color rgb="FF1155CC"/>
        <sz val="12.0"/>
        <u/>
      </rPr>
      <t>.</t>
    </r>
    <r>
      <rPr>
        <rFont val="Arial, sans-serif"/>
        <color rgb="FF1155CC"/>
        <sz val="11.0"/>
        <u/>
      </rPr>
      <t>26 nov 2024</t>
    </r>
  </si>
  <si>
    <t>Tenerife logra dos nuevas estrellas de la Guía Michelin</t>
  </si>
  <si>
    <t>La gala Michelin, que se celebró anoche en el Auditorio Víctor Villegas de Murcia, ha otorgado a la Isla de Tenerife dos nuevas estrellas que han recaído....</t>
  </si>
  <si>
    <t>Tenerife achieves two new stars from the Michelin Guide</t>
  </si>
  <si>
    <t>The Michelin gala, which was held last night at the Víctor Villegas Auditorium in Murcia, has awarded the Island of Tenerife two new stars that have fallen....</t>
  </si>
  <si>
    <r>
      <rPr>
        <rFont val="Arial, sans-serif"/>
        <color rgb="FF1155CC"/>
        <sz val="9.0"/>
        <u/>
      </rPr>
      <t>Transporte Profesional</t>
    </r>
    <r>
      <rPr>
        <rFont val="Arial, sans-serif"/>
        <color rgb="FF1155CC"/>
        <sz val="15.0"/>
        <u/>
      </rPr>
      <t>Repsol alcanza las 600 estaciones de servicio con combustible 100% renovable</t>
    </r>
    <r>
      <rPr>
        <rFont val="Arial, sans-serif"/>
        <color rgb="FF1155CC"/>
        <sz val="11.0"/>
        <u/>
      </rPr>
      <t>La compañía multienergética Repsol ha alcanzado en Cartes (Cantabria) las 600 estaciones de servicio con combustible 100% renovable en la Península Ibérica,...</t>
    </r>
    <r>
      <rPr>
        <rFont val="Arial, sans-serif"/>
        <color rgb="FF1155CC"/>
        <sz val="12.0"/>
        <u/>
      </rPr>
      <t>.</t>
    </r>
    <r>
      <rPr>
        <rFont val="Arial, sans-serif"/>
        <color rgb="FF1155CC"/>
        <sz val="11.0"/>
        <u/>
      </rPr>
      <t>27 nov 2024</t>
    </r>
  </si>
  <si>
    <t>La compañía multienergética Repsol ha alcanzado en Cartes (Cantabria) las 600 estaciones de servicio con combustible 100% renovable en la Península Ibérica,....</t>
  </si>
  <si>
    <t>The multi-energy company Repsol has reached 600 service stations with 100% renewable fuel in the Iberian Peninsula in Cartes (Cantabria)....</t>
  </si>
  <si>
    <t>Very positive sentiment, reinforcing Repsol’s green energy initiatives.</t>
  </si>
  <si>
    <t>Repeated positive milestone.</t>
  </si>
  <si>
    <t>Hito positivo repetido.</t>
  </si>
  <si>
    <r>
      <rPr>
        <rFont val="Arial, sans-serif"/>
        <color rgb="FF1155CC"/>
        <sz val="9.0"/>
        <u/>
      </rPr>
      <t>Mundo Deportivo</t>
    </r>
    <r>
      <rPr>
        <rFont val="Arial, sans-serif"/>
        <color rgb="FF1155CC"/>
        <sz val="15.0"/>
        <u/>
      </rPr>
      <t>Repsol y Toyota renuevan su acuerdo para el Dakar</t>
    </r>
    <r>
      <rPr>
        <rFont val="Arial, sans-serif"/>
        <color rgb="FF1155CC"/>
        <sz val="11.0"/>
        <u/>
      </rPr>
      <t>La colaboración entre Repsol y Toyota Gazoo Racing (TGR) adquiere una nueva dimensión en la que ambas compañías colaborarán conjuntamente en el desarrollo...</t>
    </r>
    <r>
      <rPr>
        <rFont val="Arial, sans-serif"/>
        <color rgb="FF1155CC"/>
        <sz val="12.0"/>
        <u/>
      </rPr>
      <t>.</t>
    </r>
    <r>
      <rPr>
        <rFont val="Arial, sans-serif"/>
        <color rgb="FF1155CC"/>
        <sz val="11.0"/>
        <u/>
      </rPr>
      <t>27 nov 2024</t>
    </r>
  </si>
  <si>
    <t>Repsol y Toyota renuevan su acuerdo para el Dakar</t>
  </si>
  <si>
    <t>La colaboración entre Repsol y Toyota Gazoo Racing (TGR) adquiere una nueva dimensión en la que ambas compañías colaborarán conjuntamente en el desarrollo....</t>
  </si>
  <si>
    <t>Repsol and Toyota renew their agreement for the Dakar</t>
  </si>
  <si>
    <t>The collaboration between Repsol and Toyota Gazoo Racing (TGR) takes on a new dimension in which both companies will collaborate jointly in the development....</t>
  </si>
  <si>
    <t>Positive sentiment, emphasizing sustainable racing partnerships.</t>
  </si>
  <si>
    <t>renuevan su acuerdo</t>
  </si>
  <si>
    <r>
      <rPr>
        <rFont val="Arial, sans-serif"/>
        <color rgb="FF1155CC"/>
        <sz val="9.0"/>
        <u/>
      </rPr>
      <t>El Español</t>
    </r>
    <r>
      <rPr>
        <rFont val="Arial, sans-serif"/>
        <color rgb="FF1155CC"/>
        <sz val="15.0"/>
        <u/>
      </rPr>
      <t>Repsol se acerca al 20% de sus estaciones que ya cuentan con el nuevo diésel renovable que reduce el CO2 hasta el 90%</t>
    </r>
    <r>
      <rPr>
        <rFont val="Arial, sans-serif"/>
        <color rgb="FF1155CC"/>
        <sz val="11.0"/>
        <u/>
      </rPr>
      <t>El objetivo es superar el 40% en 2025, consiguiendo así un total de 1.500 estaciones con combustible renovable. Más información. Los expertos señalan que no...</t>
    </r>
    <r>
      <rPr>
        <rFont val="Arial, sans-serif"/>
        <color rgb="FF1155CC"/>
        <sz val="12.0"/>
        <u/>
      </rPr>
      <t>.</t>
    </r>
    <r>
      <rPr>
        <rFont val="Arial, sans-serif"/>
        <color rgb="FF1155CC"/>
        <sz val="11.0"/>
        <u/>
      </rPr>
      <t>27 nov 2024</t>
    </r>
  </si>
  <si>
    <t>Repsol se acerca al 20% de sus estaciones que ya cuentan con el nuevo diésel renovable que reduce el CO2 hasta el 90%</t>
  </si>
  <si>
    <t>El objetivo es superar el 40% en 2025, consiguiendo así un total de 1.500 estaciones con combustible renovable. Más información. Los expertos señalan que no...</t>
  </si>
  <si>
    <t>Repsol is approaching 20% ​​of its stations that already have the new renewable diesel that reduces CO2 up to 90%</t>
  </si>
  <si>
    <t>The goal is to exceed 40% in 2025, thus achieving a total of 1,500 stations with renewable fuel. More information. Experts point out that...</t>
  </si>
  <si>
    <t>Repsol, Renewable Diesel, Sustainability</t>
  </si>
  <si>
    <t>Repsol, Diésel Renovable, Sostenibilidad</t>
  </si>
  <si>
    <t>Very positive sentiment, showcasing Repsol’s progress in CO2 reduction.</t>
  </si>
  <si>
    <t>diésel renovable, "reduce CO2"</t>
  </si>
  <si>
    <t>Strong positive environmental effort.</t>
  </si>
  <si>
    <t>Fuerte esfuerzo medioambiental positivo.</t>
  </si>
  <si>
    <r>
      <rPr>
        <rFont val="Arial, sans-serif"/>
        <color rgb="FF1155CC"/>
        <sz val="9.0"/>
        <u/>
      </rPr>
      <t>Fotogramas</t>
    </r>
    <r>
      <rPr>
        <rFont val="Arial, sans-serif"/>
        <color rgb="FF1155CC"/>
        <sz val="15.0"/>
        <u/>
      </rPr>
      <t>Irene Escolar protagoniza 'La bala mágica'</t>
    </r>
    <r>
      <rPr>
        <rFont val="Arial, sans-serif"/>
        <color rgb="FF1155CC"/>
        <sz val="11.0"/>
        <u/>
      </rPr>
      <t>Hablamos con la actriz madrileña con motivo del estreno del podcast de ficción 'La bala mágica', que protagoniza junto a Silvia Abascal, Roberto Álamo y...</t>
    </r>
    <r>
      <rPr>
        <rFont val="Arial, sans-serif"/>
        <color rgb="FF1155CC"/>
        <sz val="12.0"/>
        <u/>
      </rPr>
      <t>.</t>
    </r>
    <r>
      <rPr>
        <rFont val="Arial, sans-serif"/>
        <color rgb="FF1155CC"/>
        <sz val="11.0"/>
        <u/>
      </rPr>
      <t>27 nov 2024</t>
    </r>
  </si>
  <si>
    <t>Fotogramas</t>
  </si>
  <si>
    <t>Irene Escolar protagoniza 'La bala mágica'</t>
  </si>
  <si>
    <t>Hablamos con la actriz madrileña con motivo del estreno del podcast de ficción 'La bala mágica', que protagoniza junto a Silvia Abascal, Roberto Álamo y....</t>
  </si>
  <si>
    <t>Irene Escolar stars in 'The Magic Bullet'</t>
  </si>
  <si>
    <t>We spoke with the Madrid actress on the occasion of the premiere of the fiction podcast 'The Magic Bullet', in which she stars alongside Silvia Abascal, Roberto Álamo and....</t>
  </si>
  <si>
    <r>
      <rPr>
        <rFont val="Arial, sans-serif"/>
        <color rgb="FF1155CC"/>
        <sz val="9.0"/>
        <u/>
      </rPr>
      <t>El Mundo</t>
    </r>
    <r>
      <rPr>
        <rFont val="Arial, sans-serif"/>
        <color rgb="FF1155CC"/>
        <sz val="15.0"/>
        <u/>
      </rPr>
      <t>Pepe Álvarez (UGT) carga contra "el chantaje" de Repsol y Cepsa por el impuesto a las energéticas y advierte al Gobierno que el salario mínimo debería ser de 1.300 euros mensuales</t>
    </r>
    <r>
      <rPr>
        <rFont val="Arial, sans-serif"/>
        <color rgb="FF1155CC"/>
        <sz val="11.0"/>
        <u/>
      </rPr>
      <t>El hoy reelegido secretario general de UGT, Pepe Álvarez, ha arremetido contra las amenazas de Repsol y Cepsa de trasladar importantes inversiones fuera de...</t>
    </r>
    <r>
      <rPr>
        <rFont val="Arial, sans-serif"/>
        <color rgb="FF1155CC"/>
        <sz val="12.0"/>
        <u/>
      </rPr>
      <t>.</t>
    </r>
    <r>
      <rPr>
        <rFont val="Arial, sans-serif"/>
        <color rgb="FF1155CC"/>
        <sz val="11.0"/>
        <u/>
      </rPr>
      <t>27 nov 2024</t>
    </r>
  </si>
  <si>
    <t>Pepe Álvarez (UGT) carga contra "el chantaje" de Repsol y Cepsa por el impuesto a las energéticas y advierte al Gobierno que el salario mínimo debería ser de 1.300 euros mensuales</t>
  </si>
  <si>
    <t>Pepe Álvarez (UGT) carga contra "el chantaje" de Repsol y Cepsa por el impuesto a las energéticas y advierte al Gobierno que el salario mínimo debería ser de 1.300 euros mensuales.</t>
  </si>
  <si>
    <t>Pepe Álvarez (UGT) charges against "the blackmail" of Repsol and Cepsa for the tax on energy companies and warns the Government that the minimum wage should be 1,300 euros per month</t>
  </si>
  <si>
    <t>Pepe Álvarez (UGT) charges against "the blackmail" of Repsol and Cepsa for the tax on energy companies and warns the Government that the minimum wage should be 1,300 euros per month.</t>
  </si>
  <si>
    <t>Repsol, UGT, Tax</t>
  </si>
  <si>
    <t>Repsol, UGT, Impuestos</t>
  </si>
  <si>
    <t>Negative sentiment, indicating criticism of Repsol’s stance on taxation.</t>
  </si>
  <si>
    <t>chantaje, "impuesto"</t>
  </si>
  <si>
    <t>Strong negative criticism.</t>
  </si>
  <si>
    <t>Fuertes críticas negativas.</t>
  </si>
  <si>
    <r>
      <rPr>
        <rFont val="Arial, sans-serif"/>
        <color rgb="FF1155CC"/>
        <sz val="9.0"/>
        <u/>
      </rPr>
      <t>Guía Repsol</t>
    </r>
    <r>
      <rPr>
        <rFont val="Arial, sans-serif"/>
        <color rgb="FF1155CC"/>
        <sz val="15.0"/>
        <u/>
      </rPr>
      <t>El castaño de 700 años y 17 metros de altura que todo el mundo quiere abrazar</t>
    </r>
    <r>
      <rPr>
        <rFont val="Arial, sans-serif"/>
        <color rgb="FF1155CC"/>
        <sz val="11.0"/>
        <u/>
      </rPr>
      <t>Tiene casi 700 años de edad, 17 metros de altura y un tronco de nueve metros de perímetro. El castaño 'El Postuero' es uno de los 17 árboles singulares que...</t>
    </r>
    <r>
      <rPr>
        <rFont val="Arial, sans-serif"/>
        <color rgb="FF1155CC"/>
        <sz val="12.0"/>
        <u/>
      </rPr>
      <t>.</t>
    </r>
    <r>
      <rPr>
        <rFont val="Arial, sans-serif"/>
        <color rgb="FF1155CC"/>
        <sz val="11.0"/>
        <u/>
      </rPr>
      <t>27 nov 2024</t>
    </r>
  </si>
  <si>
    <t>El castaño de 700 años y 17 metros de altura que todo el mundo quiere abrazar</t>
  </si>
  <si>
    <t>Tiene casi 700 años de edad, 17 metros de altura y un tronco de nueve metros de perímetro. El castaño 'El Postuero' es uno de los 17 árboles singulares que....</t>
  </si>
  <si>
    <t>The 700-year-old, 17-meter-tall chestnut tree that everyone wants to hug</t>
  </si>
  <si>
    <t>It is almost 700 years old, 17 meters high and has a trunk nine meters in circumference. The chestnut tree 'El Postuero' is one of the 17 unique trees that....</t>
  </si>
  <si>
    <t>Nature</t>
  </si>
  <si>
    <r>
      <rPr>
        <rFont val="Arial, sans-serif"/>
        <color rgb="FF1155CC"/>
        <sz val="9.0"/>
        <u/>
      </rPr>
      <t>iVoox</t>
    </r>
    <r>
      <rPr>
        <rFont val="Arial, sans-serif"/>
        <color rgb="FF1155CC"/>
        <sz val="15.0"/>
        <u/>
      </rPr>
      <t>Diego Gutiérrez analiza las acciones de Telefónica, Puig, Solaria, Naturgy, Repsol, Redeia, Sacyr...</t>
    </r>
    <r>
      <rPr>
        <rFont val="Arial, sans-serif"/>
        <color rgb="FF1155CC"/>
        <sz val="11.0"/>
        <u/>
      </rPr>
      <t>Escucha y descarga los episodios de Economía y Geopolítica con Diego Gutiérrez. gratis. Análisis Técnico de Naturgy, Puig, Redeia, Repsol, Sacyr, Solaria,...</t>
    </r>
    <r>
      <rPr>
        <rFont val="Arial, sans-serif"/>
        <color rgb="FF1155CC"/>
        <sz val="12.0"/>
        <u/>
      </rPr>
      <t>.</t>
    </r>
    <r>
      <rPr>
        <rFont val="Arial, sans-serif"/>
        <color rgb="FF1155CC"/>
        <sz val="11.0"/>
        <u/>
      </rPr>
      <t>27 nov 2024</t>
    </r>
  </si>
  <si>
    <t>iVoox</t>
  </si>
  <si>
    <t>Análisis Técnico de Naturgy, Puig, Redeia, Repsol, Sacyr, Solaria</t>
  </si>
  <si>
    <t>Diego Gutiérrez analiza las acciones de Telefónica, Puig, Solaria, Naturgy, Repsol, Redeia, Sacyr...</t>
  </si>
  <si>
    <t>Technical Analysis of Naturgy, Puig, Redeia, Repsol, Sacyr, Solaria</t>
  </si>
  <si>
    <t>Diego Gutiérrez analyzes the actions of Telefónica, Puig, Solaria, Naturgy, Repsol, Redeia, Sacyr...</t>
  </si>
  <si>
    <t>Repsol, Stock Analysis, Companies</t>
  </si>
  <si>
    <t>Repsol, Análisis bursátil, Empresas</t>
  </si>
  <si>
    <t>Neutral sentiment, as it focuses on financial analysis without a clear positive or negative stance.</t>
  </si>
  <si>
    <r>
      <rPr>
        <rFont val="Arial, sans-serif"/>
        <color rgb="FF1155CC"/>
        <sz val="9.0"/>
        <u/>
      </rPr>
      <t>diariodelanzarote.com</t>
    </r>
    <r>
      <rPr>
        <rFont val="Arial, sans-serif"/>
        <color rgb="FF1155CC"/>
        <sz val="15.0"/>
        <u/>
      </rPr>
      <t>El restaurante con menú a 105 euros que trae la primera estrella Michelín a Lanzarote</t>
    </r>
    <r>
      <rPr>
        <rFont val="Arial, sans-serif"/>
        <color rgb="FF1155CC"/>
        <sz val="11.0"/>
        <u/>
      </rPr>
      <t>El restaurante Kamezí, de Playa Blanca, ha obtenido la primera estrella Michelín para un restaurante de Lanzarote. Dirigido por el chef Rubén Cuesta,...</t>
    </r>
    <r>
      <rPr>
        <rFont val="Arial, sans-serif"/>
        <color rgb="FF1155CC"/>
        <sz val="12.0"/>
        <u/>
      </rPr>
      <t>.</t>
    </r>
    <r>
      <rPr>
        <rFont val="Arial, sans-serif"/>
        <color rgb="FF1155CC"/>
        <sz val="11.0"/>
        <u/>
      </rPr>
      <t>27 nov 2024</t>
    </r>
  </si>
  <si>
    <t>El restaurante con menú a 105 euros que trae la primera estrella Michelín a Lanzarote</t>
  </si>
  <si>
    <t>El restaurante Kamezí, de Playa Blanca, ha obtenido la primera estrella Michelín para un restaurante de Lanzarote. Dirigido por el chef Rubén Cuesta,....</t>
  </si>
  <si>
    <t>The restaurant with a menu at 105 euros that brings the first Michelin star to Lanzarote</t>
  </si>
  <si>
    <t>The Kamezí restaurant, in Playa Blanca, has obtained the first Michelin star for a restaurant in Lanzarote. Directed by chef Rubén Cuesta,....</t>
  </si>
  <si>
    <r>
      <rPr>
        <rFont val="Arial, sans-serif"/>
        <color rgb="FF1155CC"/>
        <sz val="9.0"/>
        <u/>
      </rPr>
      <t>HuelvaHoy</t>
    </r>
    <r>
      <rPr>
        <rFont val="Arial, sans-serif"/>
        <color rgb="FF1155CC"/>
        <sz val="15.0"/>
        <u/>
      </rPr>
      <t>Descubre el único restaurante en Huelva que cuenta con la Estrella Verde Michelín</t>
    </r>
    <r>
      <rPr>
        <rFont val="Arial, sans-serif"/>
        <color rgb="FF1155CC"/>
        <sz val="11.0"/>
        <u/>
      </rPr>
      <t>El restaurante sostenible del chef onubense Xanty Elías revalida un año más el reconocimiento de Estrella Verde Michelín y Bib Gourmand, otorgados en la ...</t>
    </r>
    <r>
      <rPr>
        <rFont val="Arial, sans-serif"/>
        <color rgb="FF1155CC"/>
        <sz val="12.0"/>
        <u/>
      </rPr>
      <t>.</t>
    </r>
    <r>
      <rPr>
        <rFont val="Arial, sans-serif"/>
        <color rgb="FF1155CC"/>
        <sz val="11.0"/>
        <u/>
      </rPr>
      <t>27 nov 2024</t>
    </r>
  </si>
  <si>
    <t>Descubre el único restaurante en Huelva que cuenta con la Estrella Verde Michelín</t>
  </si>
  <si>
    <t>El restaurante sostenible del chef onubense Xanty Elías revalida un año más el reconocimiento de Estrella Verde Michelín y Bib Gourmand, otorgados en la ....</t>
  </si>
  <si>
    <t>Discover the only restaurant in Huelva that has the Michelin Green Star</t>
  </si>
  <si>
    <t>The sustainable restaurant of Huelva chef Xanty Elías revalidates for another year the recognition of Michelin Green Star and Bib Gourmand, awarded in the...</t>
  </si>
  <si>
    <r>
      <rPr>
        <rFont val="Arial, sans-serif"/>
        <color rgb="FF1155CC"/>
        <sz val="9.0"/>
        <u/>
      </rPr>
      <t>El Comercio Perú</t>
    </r>
    <r>
      <rPr>
        <rFont val="Arial, sans-serif"/>
        <color rgb="FF1155CC"/>
        <sz val="15.0"/>
        <u/>
      </rPr>
      <t>Impulsared: el programa de Repsol que transforma comunidades con sostenibilidad e inclusión</t>
    </r>
    <r>
      <rPr>
        <rFont val="Arial, sans-serif"/>
        <color rgb="FF1155CC"/>
        <sz val="11.0"/>
        <u/>
      </rPr>
      <t>A través de la innovación social y el fomento del emprendimiento, Repsol impulsa el desarrollo económico en cinco distritos del norte de Lima.</t>
    </r>
    <r>
      <rPr>
        <rFont val="Arial, sans-serif"/>
        <color rgb="FF1155CC"/>
        <sz val="12.0"/>
        <u/>
      </rPr>
      <t>.</t>
    </r>
    <r>
      <rPr>
        <rFont val="Arial, sans-serif"/>
        <color rgb="FF1155CC"/>
        <sz val="11.0"/>
        <u/>
      </rPr>
      <t>27 nov 2024</t>
    </r>
  </si>
  <si>
    <t>Impulsared: el programa de Repsol que transforma comunidades con sostenibilidad e inclusión</t>
  </si>
  <si>
    <t>A través de la innovación social y el fomento del emprendimiento, Repsol impulsa el desarrollo económico en cinco distritos del norte de Lima.</t>
  </si>
  <si>
    <t>Impulsared: the Repsol program that transforms communities with sustainability and inclusion</t>
  </si>
  <si>
    <t>Through social innovation and the promotion of entrepreneurship, Repsol promotes economic development in five districts in the north of Lima.</t>
  </si>
  <si>
    <t>Repsol, Sustainability, Lima</t>
  </si>
  <si>
    <t>Repsol, Sostenibilidad, Lima</t>
  </si>
  <si>
    <t>Very positive sentiment, highlighting Repsol’s contribution to social sustainability.</t>
  </si>
  <si>
    <t>transforma comunidades, "sostenibilidad"</t>
  </si>
  <si>
    <t>Positive social impact.</t>
  </si>
  <si>
    <t>Impacto social positivo.</t>
  </si>
  <si>
    <r>
      <rPr>
        <rFont val="Arial, sans-serif"/>
        <color rgb="FF1155CC"/>
        <sz val="9.0"/>
        <u/>
      </rPr>
      <t>Mundo Deportivo</t>
    </r>
    <r>
      <rPr>
        <rFont val="Arial, sans-serif"/>
        <color rgb="FF1155CC"/>
        <sz val="15.0"/>
        <u/>
      </rPr>
      <t>Si llevas tu aceite de cocina usado a una gasolinera de Repsol tendrás un descuento y ayudas a fabricar gasolina renovable que ya puedes comprar</t>
    </r>
    <r>
      <rPr>
        <rFont val="Arial, sans-serif"/>
        <color rgb="FF1155CC"/>
        <sz val="11.0"/>
        <u/>
      </rPr>
      <t>Nuestro país ya produce y vende gasolina renovable gracias a, entre otras cosas, el aceite de cocina usado que puedes entregar en una gasolinera de Repsol,...</t>
    </r>
    <r>
      <rPr>
        <rFont val="Arial, sans-serif"/>
        <color rgb="FF1155CC"/>
        <sz val="12.0"/>
        <u/>
      </rPr>
      <t>.</t>
    </r>
    <r>
      <rPr>
        <rFont val="Arial, sans-serif"/>
        <color rgb="FF1155CC"/>
        <sz val="11.0"/>
        <u/>
      </rPr>
      <t>27 nov 2024</t>
    </r>
  </si>
  <si>
    <t>Si llevas tu aceite de cocina usado a una gasolinera de Repsol tendrás un descuento y ayudas a fabricar gasolina renovable que ya puedes comprar</t>
  </si>
  <si>
    <t>Si llevas tu aceite de cocina usado a una gasolinera de Repsol tendrás un descuento y ayudas a fabricar gasolina renovable que ya puedes comprar.</t>
  </si>
  <si>
    <t>If you take your used cooking oil to a Repsol gas station you will have a discount and you will help manufacture renewable gasoline that you can now buy</t>
  </si>
  <si>
    <t>If you take your used cooking oil to a Repsol gas station you will get a discount and help manufacture renewable gasoline that you can now buy.</t>
  </si>
  <si>
    <t>Repsol, Renewable Gasoline, Sustainability</t>
  </si>
  <si>
    <t>Repsol, Gasolinas Renovables, Sostenibilidad</t>
  </si>
  <si>
    <t>Very positive sentiment, showcasing Repsol’s environmental and customer incentive initiatives.</t>
  </si>
  <si>
    <t>descuento, "gasolina renovable"</t>
  </si>
  <si>
    <r>
      <rPr>
        <rFont val="Arial, sans-serif"/>
        <color rgb="FF1155CC"/>
        <sz val="9.0"/>
        <u/>
      </rPr>
      <t>Gestión</t>
    </r>
    <r>
      <rPr>
        <rFont val="Arial, sans-serif"/>
        <color rgb="FF1155CC"/>
        <sz val="15.0"/>
        <u/>
      </rPr>
      <t>Impulsared: el programa de Repsol que transforma comunidades con sostenibilidad e inclusión</t>
    </r>
    <r>
      <rPr>
        <rFont val="Arial, sans-serif"/>
        <color rgb="FF1155CC"/>
        <sz val="11.0"/>
        <u/>
      </rPr>
      <t>A través de la innovación social y el fomento del emprendimiento, Repsol impulsa el desarrollo económico en cinco distritos del norte de Lima.</t>
    </r>
    <r>
      <rPr>
        <rFont val="Arial, sans-serif"/>
        <color rgb="FF1155CC"/>
        <sz val="12.0"/>
        <u/>
      </rPr>
      <t>.</t>
    </r>
    <r>
      <rPr>
        <rFont val="Arial, sans-serif"/>
        <color rgb="FF1155CC"/>
        <sz val="11.0"/>
        <u/>
      </rPr>
      <t>27 nov 2024</t>
    </r>
  </si>
  <si>
    <t>Repsol, Sustainability, Inclusion</t>
  </si>
  <si>
    <t>Repsol, Sostenibilidad, Inclusión</t>
  </si>
  <si>
    <t>Very positive sentiment, emphasizing Repsol’s role in fostering economic inclusion.</t>
  </si>
  <si>
    <t>Repeated above.</t>
  </si>
  <si>
    <t>Same as #67.</t>
  </si>
  <si>
    <t>Igual que el número 67.</t>
  </si>
  <si>
    <r>
      <rPr>
        <rFont val="Arial, sans-serif"/>
        <color rgb="FF1155CC"/>
        <sz val="9.0"/>
        <u/>
      </rPr>
      <t>Capital Radio</t>
    </r>
    <r>
      <rPr>
        <rFont val="Arial, sans-serif"/>
        <color rgb="FF1155CC"/>
        <sz val="15.0"/>
        <u/>
      </rPr>
      <t>¿Por qué Marc Ribes es "cauteloso" con Repsol?</t>
    </r>
    <r>
      <rPr>
        <rFont val="Arial, sans-serif"/>
        <color rgb="FF1155CC"/>
        <sz val="11.0"/>
        <u/>
      </rPr>
      <t>Marc Ribes, cofundador y CEO de Blackbird Bank, repasa las acciones de Repsol, Indra, Unicaja, Workday, Adobe, Nokia o Teleperformance.</t>
    </r>
    <r>
      <rPr>
        <rFont val="Arial, sans-serif"/>
        <color rgb="FF1155CC"/>
        <sz val="12.0"/>
        <u/>
      </rPr>
      <t>.</t>
    </r>
    <r>
      <rPr>
        <rFont val="Arial, sans-serif"/>
        <color rgb="FF1155CC"/>
        <sz val="11.0"/>
        <u/>
      </rPr>
      <t>28 nov 2024</t>
    </r>
  </si>
  <si>
    <t>¿Por qué Marc Ribes es "cauteloso" con Repsol?</t>
  </si>
  <si>
    <t>Marc Ribes, cofundador y CEO de Blackbird Bank, repasa las acciones de Repsol, Indra, Unicaja, Workday, Adobe, Nokia o Teleperformance.</t>
  </si>
  <si>
    <t>Why is Marc Ribes "cautious" about Repsol?</t>
  </si>
  <si>
    <t>Marc Ribes, co-founder and CEO of Blackbird Bank, reviews the actions of Repsol, Indra, Unicaja, Workday, Adobe, Nokia and Teleperformance.</t>
  </si>
  <si>
    <t>Repsol, Stock Market, Analysis</t>
  </si>
  <si>
    <t>Repsol, Bolsa, Análisis</t>
  </si>
  <si>
    <t>Slightly negative sentiment, indicating skepticism or caution regarding Repsol’s financial performance.</t>
  </si>
  <si>
    <t>cauteloso</t>
  </si>
  <si>
    <t>Mildly negative financial outlook.</t>
  </si>
  <si>
    <t>Perspectivas financieras ligeramente negativas.</t>
  </si>
  <si>
    <r>
      <rPr>
        <rFont val="Arial, sans-serif"/>
        <color rgb="FF1155CC"/>
        <sz val="9.0"/>
        <u/>
      </rPr>
      <t>SoyMotor.com</t>
    </r>
    <r>
      <rPr>
        <rFont val="Arial, sans-serif"/>
        <color rgb="FF1155CC"/>
        <sz val="15.0"/>
        <u/>
      </rPr>
      <t>Repsol, el aliado de Toyota para los combustibles sostenibles del Dakar</t>
    </r>
    <r>
      <rPr>
        <rFont val="Arial, sans-serif"/>
        <color rgb="FF1155CC"/>
        <sz val="11.0"/>
        <u/>
      </rPr>
      <t>Si me lo permiten, he sentido emoción al ver a Repsol firmemente asociado a Toyota en el Dakar. Me ha retraído a los años en los que la petrolera española...</t>
    </r>
    <r>
      <rPr>
        <rFont val="Arial, sans-serif"/>
        <color rgb="FF1155CC"/>
        <sz val="12.0"/>
        <u/>
      </rPr>
      <t>.</t>
    </r>
    <r>
      <rPr>
        <rFont val="Arial, sans-serif"/>
        <color rgb="FF1155CC"/>
        <sz val="11.0"/>
        <u/>
      </rPr>
      <t>28 nov 2024</t>
    </r>
  </si>
  <si>
    <t>Repsol, el aliado de Toyota para los combustibles sostenibles del Dakar</t>
  </si>
  <si>
    <t>he sentido emoción al ver a Repsol firmemente asociado a Toyota en el Dakar. Me ha retraído a los años en los que la petrolera española....</t>
  </si>
  <si>
    <t>Repsol, Toyota's ally for sustainable fuels for the Dakar</t>
  </si>
  <si>
    <t>I have been excited to see Repsol firmly associated with Toyota in the Dakar. It has taken me back to the years in which the Spanish oil company...</t>
  </si>
  <si>
    <t>Positive sentiment, reinforcing Repsol’s involvement in sustainable motorsports.</t>
  </si>
  <si>
    <t>aliado, "combustibles sostenibles"</t>
  </si>
  <si>
    <r>
      <rPr>
        <rFont val="Arial, sans-serif"/>
        <color rgb="FF1155CC"/>
        <sz val="9.0"/>
        <u/>
      </rPr>
      <t>El Economista</t>
    </r>
    <r>
      <rPr>
        <rFont val="Arial, sans-serif"/>
        <color rgb="FF1155CC"/>
        <sz val="15.0"/>
        <u/>
      </rPr>
      <t>Repsol se compromete con el desarrollo sostenible</t>
    </r>
    <r>
      <rPr>
        <rFont val="Arial, sans-serif"/>
        <color rgb="FF1155CC"/>
        <sz val="11.0"/>
        <u/>
      </rPr>
      <t>El objetivo de Repsol es satisfacer la demanda creciente de energía y productos maximizando su contribución al desarrollo sostenible, ...</t>
    </r>
    <r>
      <rPr>
        <rFont val="Arial, sans-serif"/>
        <color rgb="FF1155CC"/>
        <sz val="12.0"/>
        <u/>
      </rPr>
      <t>.</t>
    </r>
    <r>
      <rPr>
        <rFont val="Arial, sans-serif"/>
        <color rgb="FF1155CC"/>
        <sz val="11.0"/>
        <u/>
      </rPr>
      <t>28 nov 2024</t>
    </r>
  </si>
  <si>
    <t>Repsol se compromete con el desarrollo sostenible</t>
  </si>
  <si>
    <t>El objetivo de Repsol es satisfacer la demanda creciente de energía y productos maximizando su contribución al desarrollo sostenible, ....</t>
  </si>
  <si>
    <t>Repsol is committed to sustainable development</t>
  </si>
  <si>
    <t>Repsol's objective is to satisfy the growing demand for energy and products by maximizing its contribution to sustainable development,....</t>
  </si>
  <si>
    <t>Repsol, Sustainable Development, Energy</t>
  </si>
  <si>
    <t>Repsol, Desarrollo Sostenible, Energía</t>
  </si>
  <si>
    <t>Very positive sentiment, underlining Repsol’s commitment to sustainability.</t>
  </si>
  <si>
    <t>compromete, "desarrollo sostenible"</t>
  </si>
  <si>
    <t>Positive environmental commitment.</t>
  </si>
  <si>
    <t>Compromiso ambiental positivo.</t>
  </si>
  <si>
    <r>
      <rPr>
        <rFont val="Arial, sans-serif"/>
        <color rgb="FF1155CC"/>
        <sz val="9.0"/>
        <u/>
      </rPr>
      <t>Murciadiario</t>
    </r>
    <r>
      <rPr>
        <rFont val="Arial, sans-serif"/>
        <color rgb="FF1155CC"/>
        <sz val="15.0"/>
        <u/>
      </rPr>
      <t>Repsol se alía con la Comunidad para transformar aceite de cocina usado en biocombustible</t>
    </r>
    <r>
      <rPr>
        <rFont val="Arial, sans-serif"/>
        <color rgb="FF1155CC"/>
        <sz val="11.0"/>
        <u/>
      </rPr>
      <t>La empresa ha firmado un convenio con el Gobierno regional por el que instalará en sus estaciones de servicio contenedores para la recogid...</t>
    </r>
    <r>
      <rPr>
        <rFont val="Arial, sans-serif"/>
        <color rgb="FF1155CC"/>
        <sz val="12.0"/>
        <u/>
      </rPr>
      <t>.</t>
    </r>
    <r>
      <rPr>
        <rFont val="Arial, sans-serif"/>
        <color rgb="FF1155CC"/>
        <sz val="11.0"/>
        <u/>
      </rPr>
      <t>28 nov 2024</t>
    </r>
  </si>
  <si>
    <t>Repsol se alía con la Comunidad para transformar aceite de cocina usado en biocombustible</t>
  </si>
  <si>
    <t>La empresa ha firmado un convenio con el Gobierno regional por el que instalará en sus estaciones de servicio contenedores para la recogida.</t>
  </si>
  <si>
    <t>Repsol joins forces with the Community to transform used cooking oil into biofuel</t>
  </si>
  <si>
    <t>The company has signed an agreement with the regional government by which it will install collection containers at its service stations.</t>
  </si>
  <si>
    <t>Repsol, Biofuel, Sustainability</t>
  </si>
  <si>
    <t>Repsol, Biocombustibles, Sostenibilidad</t>
  </si>
  <si>
    <t>Very positive sentiment, emphasizing Repsol’s green initiatives and community partnerships.</t>
  </si>
  <si>
    <t>transformar aceite, "biocombustible"</t>
  </si>
  <si>
    <r>
      <rPr>
        <rFont val="Arial, sans-serif"/>
        <color rgb="FF1155CC"/>
        <sz val="9.0"/>
        <u/>
      </rPr>
      <t>Neomotor</t>
    </r>
    <r>
      <rPr>
        <rFont val="Arial, sans-serif"/>
        <color rgb="FF1155CC"/>
        <sz val="15.0"/>
        <u/>
      </rPr>
      <t>Repsol alcanza un hito clave en la transición energética: 600 estaciones de servicio con combustible 100% renovable en la Península Ibérica</t>
    </r>
    <r>
      <rPr>
        <rFont val="Arial, sans-serif"/>
        <color rgb="FF1155CC"/>
        <sz val="11.0"/>
        <u/>
      </rPr>
      <t>Cartes, en Cantabria, ha sido el escenario elegido por Repsol para anunciar la culminación de un ambicioso objetivo: alcanzar las 600 estaciones de se...</t>
    </r>
    <r>
      <rPr>
        <rFont val="Arial, sans-serif"/>
        <color rgb="FF1155CC"/>
        <sz val="12.0"/>
        <u/>
      </rPr>
      <t>.</t>
    </r>
    <r>
      <rPr>
        <rFont val="Arial, sans-serif"/>
        <color rgb="FF1155CC"/>
        <sz val="11.0"/>
        <u/>
      </rPr>
      <t>28 nov 2024</t>
    </r>
  </si>
  <si>
    <t>Repsol alcanza un hito clave en la transición energética: 600 estaciones de servicio con combustible 100% renovable en la Península Ibérica</t>
  </si>
  <si>
    <t>Repsol alcanza un hito clave en la transición energética: 600 estaciones de servicio con combustible 100% renovable en la Península Ibérica. Cartes, en Cantabria, ha sido el escenario elegido por Repsol para anunciar la culminación de un ambicioso objetivo: alcanzar las 600 estaciones de se....</t>
  </si>
  <si>
    <t>Repsol reaches a key milestone in the energy transition: 600 service stations with 100% renewable fuel in the Iberian Peninsula</t>
  </si>
  <si>
    <t>Repsol reaches a key milestone in the energy transition: 600 service stations with 100% renewable fuel in the Iberian Peninsula. Cartes, in Cantabria, has been the setting chosen by Repsol to announce the culmination of an ambitious objective: reaching 600 stations....</t>
  </si>
  <si>
    <t>Repsol, Renewable Fuel, Energy Transition</t>
  </si>
  <si>
    <t>Repsol, Combustibles Renovables, Transición Energética</t>
  </si>
  <si>
    <t>Very positive sentiment, highlighting Repsol’s leadership in renewable energy.</t>
  </si>
  <si>
    <t>hito clave, "renovable"</t>
  </si>
  <si>
    <t>Strong positive milestone.</t>
  </si>
  <si>
    <t>Fuerte hito positivo.</t>
  </si>
  <si>
    <r>
      <rPr>
        <rFont val="Arial, sans-serif"/>
        <color rgb="FF1155CC"/>
        <sz val="9.0"/>
        <u/>
      </rPr>
      <t>Cambio16</t>
    </r>
    <r>
      <rPr>
        <rFont val="Arial, sans-serif"/>
        <color rgb="FF1155CC"/>
        <sz val="15.0"/>
        <u/>
      </rPr>
      <t>Inédita batalla judicial: Iberdrola demanda a Repsol por ecopostureo</t>
    </r>
    <r>
      <rPr>
        <rFont val="Arial, sans-serif"/>
        <color rgb="FF1155CC"/>
        <sz val="11.0"/>
        <u/>
      </rPr>
      <t>El Juzgado de lo Mercantil número 2 de Santander recibirá a las partes involucradas en la demanda interpuesta por Iberdrola contra Repsol por 'competencia...</t>
    </r>
    <r>
      <rPr>
        <rFont val="Arial, sans-serif"/>
        <color rgb="FF1155CC"/>
        <sz val="12.0"/>
        <u/>
      </rPr>
      <t>.</t>
    </r>
    <r>
      <rPr>
        <rFont val="Arial, sans-serif"/>
        <color rgb="FF1155CC"/>
        <sz val="11.0"/>
        <u/>
      </rPr>
      <t>28 nov 2024</t>
    </r>
  </si>
  <si>
    <t>Cambio16</t>
  </si>
  <si>
    <t>Inédita batalla judicial: Iberdrola demanda a Repsol por ecopostureo</t>
  </si>
  <si>
    <t>Iberdrola demanda a Repsol por 'competencia desleal' en un caso que refleja la tensión entre empresas energéticas por las prácticas sostenibles.</t>
  </si>
  <si>
    <t>Unprecedented legal battle: Iberdrola sues Repsol for ecopostureo</t>
  </si>
  <si>
    <t>Iberdrola sues Repsol for 'unfair competition' in a case that reflects the tension between energy companies over sustainable practices.</t>
  </si>
  <si>
    <t>Iberdrola, Repsol, Lawsuit</t>
  </si>
  <si>
    <t>Iberdrola, Repsol, Demanda</t>
  </si>
  <si>
    <t>Negative sentiment, indicating legal disputes and accusations between major energy firms.</t>
  </si>
  <si>
    <t>demanda, "ecopostureo"</t>
  </si>
  <si>
    <r>
      <rPr>
        <rFont val="Arial, sans-serif"/>
        <color rgb="FF1155CC"/>
        <sz val="9.0"/>
        <u/>
      </rPr>
      <t>Box Repsol</t>
    </r>
    <r>
      <rPr>
        <rFont val="Arial, sans-serif"/>
        <color rgb="FF1155CC"/>
        <sz val="15.0"/>
        <u/>
      </rPr>
      <t>El Repsol Toyota Rally Team e Isidre Esteve, a por el Dakar del 20 aniversario</t>
    </r>
    <r>
      <rPr>
        <rFont val="Arial, sans-serif"/>
        <color rgb="FF1155CC"/>
        <sz val="11.0"/>
        <u/>
      </rPr>
      <t>En la edición 2025, el piloto ilerdense cumplirá 20 participaciones en la carrera más dura del motorsport, 10 en moto y 10 en coche, junto a su copiloto...</t>
    </r>
    <r>
      <rPr>
        <rFont val="Arial, sans-serif"/>
        <color rgb="FF1155CC"/>
        <sz val="12.0"/>
        <u/>
      </rPr>
      <t>.</t>
    </r>
    <r>
      <rPr>
        <rFont val="Arial, sans-serif"/>
        <color rgb="FF1155CC"/>
        <sz val="11.0"/>
        <u/>
      </rPr>
      <t>28 nov 2024</t>
    </r>
  </si>
  <si>
    <t>El Repsol Toyota Rally Team e Isidre Esteve, a por el Dakar del 20 aniversario</t>
  </si>
  <si>
    <t>El Repsol Toyota Rally Team e Isidre Esteve, a por el Dakar del 20 aniversario. En la edición 2025, el piloto ilerdense cumplirá 20 participaciones en la carrera más dura del motorsport, 10 en moto y 10 en coche, junto a su copiloto....</t>
  </si>
  <si>
    <t>The Repsol Toyota Rally Team and Isidre Esteve, going for the 20th anniversary Dakar</t>
  </si>
  <si>
    <t>The Repsol Toyota Rally Team and Isidre Esteve, for the 20th anniversary Dakar. In the 2025 edition, the driver from Ilerda will complete 20 participations in the toughest race in motorsport, 10 on a motorcycle and 10 in a car, together with his co-driver....</t>
  </si>
  <si>
    <t>Positive sentiment, celebrating a milestone for Repsol’s motorsport team.</t>
  </si>
  <si>
    <r>
      <rPr>
        <rFont val="Arial, sans-serif"/>
        <color rgb="FF1155CC"/>
        <sz val="9.0"/>
        <u/>
      </rPr>
      <t>Diario AS</t>
    </r>
    <r>
      <rPr>
        <rFont val="Arial, sans-serif"/>
        <color rgb="FF1155CC"/>
        <sz val="15.0"/>
        <u/>
      </rPr>
      <t>Abierto ‘bajo mínimos’ el pozo de Repsol en Libia</t>
    </r>
    <r>
      <rPr>
        <rFont val="Arial, sans-serif"/>
        <color rgb="FF1155CC"/>
        <sz val="11.0"/>
        <u/>
      </rPr>
      <t>La apertura del pozo de petróleo de Repsol en Libia se efectuó hace unos días, más que por el objetivo de exportar crudo y volver a la normalidad,...</t>
    </r>
    <r>
      <rPr>
        <rFont val="Arial, sans-serif"/>
        <color rgb="FF1155CC"/>
        <sz val="12.0"/>
        <u/>
      </rPr>
      <t>.</t>
    </r>
    <r>
      <rPr>
        <rFont val="Arial, sans-serif"/>
        <color rgb="FF1155CC"/>
        <sz val="11.0"/>
        <u/>
      </rPr>
      <t>28 nov 2024</t>
    </r>
  </si>
  <si>
    <t>‘bajo mínimos’ el pozo de Repsol en Libia</t>
  </si>
  <si>
    <t>La apertura del pozo de petróleo de Repsol en Libia se efectuó hace unos días, más que por el objetivo de exportar crudo y volver a la normalidad,....</t>
  </si>
  <si>
    <t>Repsol's well in Libya 'below minimum'</t>
  </si>
  <si>
    <t>The opening of the Repsol oil well in Libya took place a few days ago, more than for the objective of exporting crude oil and returning to normality,...</t>
  </si>
  <si>
    <t>Repsol, Libya, Oil</t>
  </si>
  <si>
    <t>Repsol, Libia, Petróleo</t>
  </si>
  <si>
    <t>Negative sentiment, reflecting concerns about the performance of Repsol’s operations in Libya.</t>
  </si>
  <si>
    <t>bajo mínimos</t>
  </si>
  <si>
    <t>Negative operational issue.</t>
  </si>
  <si>
    <t>Problema operativo negativo.</t>
  </si>
  <si>
    <r>
      <rPr>
        <rFont val="Arial, sans-serif"/>
        <color rgb="FF1155CC"/>
        <sz val="9.0"/>
        <u/>
      </rPr>
      <t>El Periódico de la Energía</t>
    </r>
    <r>
      <rPr>
        <rFont val="Arial, sans-serif"/>
        <color rgb="FF1155CC"/>
        <sz val="15.0"/>
        <u/>
      </rPr>
      <t>Kia renombra su servicio de alquiler, aunque mantendrá la marca Wible en Madrid y su alianza con Repsol</t>
    </r>
    <r>
      <rPr>
        <rFont val="Arial, sans-serif"/>
        <color rgb="FF1155CC"/>
        <sz val="11.0"/>
        <u/>
      </rPr>
      <t>El fabricante surcoreano Kia toma el control de los servicios de alquiler de corta duración a través de su red de concesionarios y rebautiza Wible como Kia...</t>
    </r>
    <r>
      <rPr>
        <rFont val="Arial, sans-serif"/>
        <color rgb="FF1155CC"/>
        <sz val="12.0"/>
        <u/>
      </rPr>
      <t>.</t>
    </r>
    <r>
      <rPr>
        <rFont val="Arial, sans-serif"/>
        <color rgb="FF1155CC"/>
        <sz val="11.0"/>
        <u/>
      </rPr>
      <t>28 nov 2024</t>
    </r>
  </si>
  <si>
    <t>Kia renombra su servicio de alquiler, aunque mantendrá la marca Wible en Madrid y su alianza con Repsol</t>
  </si>
  <si>
    <t>El fabricante surcoreano Kia toma el control de los servicios de alquiler de corta duración a través de su red de concesionarios y rebautiza Wible como Kia.</t>
  </si>
  <si>
    <t>Kia renames its rental service, although it will maintain the Wible brand in Madrid and its alliance with Repsol</t>
  </si>
  <si>
    <t>South Korean manufacturer Kia takes control of short-term rental services through its dealer network and rebrands Wible as Kia.</t>
  </si>
  <si>
    <r>
      <rPr>
        <rFont val="Arial, sans-serif"/>
        <color rgb="FF1155CC"/>
        <sz val="9.0"/>
        <u/>
      </rPr>
      <t>Confidencial Digital</t>
    </r>
    <r>
      <rPr>
        <rFont val="Arial, sans-serif"/>
        <color rgb="FF1155CC"/>
        <sz val="15.0"/>
        <u/>
      </rPr>
      <t>El restaurante ha sido galardonado con un “Solete” Repsol</t>
    </r>
    <r>
      <rPr>
        <rFont val="Arial, sans-serif"/>
        <color rgb="FF1155CC"/>
        <sz val="11.0"/>
        <u/>
      </rPr>
      <t>A los mandos de esta cocina se encuentra Liang Wang chef del famoso restaurante chino del parking de Plaza de España. Surtido de platos.</t>
    </r>
    <r>
      <rPr>
        <rFont val="Arial, sans-serif"/>
        <color rgb="FF1155CC"/>
        <sz val="12.0"/>
        <u/>
      </rPr>
      <t>.</t>
    </r>
    <r>
      <rPr>
        <rFont val="Arial, sans-serif"/>
        <color rgb="FF1155CC"/>
        <sz val="11.0"/>
        <u/>
      </rPr>
      <t>28 nov 2024</t>
    </r>
  </si>
  <si>
    <t>El restaurante ha sido galardonado con un “Solete” Repsol</t>
  </si>
  <si>
    <t>A los mandos de esta cocina se encuentra Liang Wang chef del famoso restaurante chino del parking de Plaza de España. Surtido de platos..</t>
  </si>
  <si>
    <t>The restaurant has been awarded a Repsol “Solete”</t>
  </si>
  <si>
    <t>At the helm of this kitchen is Liang Wang, chef of the famous Chinese restaurant in the Plaza de España parking lot. Assortment of dishes..</t>
  </si>
  <si>
    <r>
      <rPr>
        <rFont val="Arial, sans-serif"/>
        <color rgb="FF1155CC"/>
        <sz val="9.0"/>
        <u/>
      </rPr>
      <t>Repsol</t>
    </r>
    <r>
      <rPr>
        <rFont val="Arial, sans-serif"/>
        <color rgb="FF1155CC"/>
        <sz val="15.0"/>
        <u/>
      </rPr>
      <t>Deep Learning: Qué es, Cómo Funciona y Sus Aplicaciones</t>
    </r>
    <r>
      <rPr>
        <rFont val="Arial, sans-serif"/>
        <color rgb="FF1155CC"/>
        <sz val="11.0"/>
        <u/>
      </rPr>
      <t>El deep learning funciona mediante redes neuronales artificiales profundas, diseñadas para procesar datos de forma similar al cerebro humano.</t>
    </r>
    <r>
      <rPr>
        <rFont val="Arial, sans-serif"/>
        <color rgb="FF1155CC"/>
        <sz val="12.0"/>
        <u/>
      </rPr>
      <t>.</t>
    </r>
    <r>
      <rPr>
        <rFont val="Arial, sans-serif"/>
        <color rgb="FF1155CC"/>
        <sz val="11.0"/>
        <u/>
      </rPr>
      <t>28 nov 2024</t>
    </r>
  </si>
  <si>
    <t>Deep Learning: Qué es, Cómo Funciona y Sus Aplicaciones</t>
  </si>
  <si>
    <t>El deep learning funciona mediante redes neuronales artificiales profundas, diseñadas para procesar datos de forma similar al cerebro humano.</t>
  </si>
  <si>
    <t>Deep Learning: What it is, How It Works and Its Applications</t>
  </si>
  <si>
    <t>Deep learning works through deep artificial neural networks, designed to process data in a way similar to the human brain.</t>
  </si>
  <si>
    <r>
      <rPr>
        <rFont val="Arial, sans-serif"/>
        <color rgb="FF1155CC"/>
        <sz val="9.0"/>
        <u/>
      </rPr>
      <t>Investing.com España</t>
    </r>
    <r>
      <rPr>
        <rFont val="Arial, sans-serif"/>
        <color rgb="FF1155CC"/>
        <sz val="15.0"/>
        <u/>
      </rPr>
      <t>Análisis técnico de Telefónica, Puig, Solaria, Naturgy, Repsol, Redeia, Sacyr...</t>
    </r>
    <r>
      <rPr>
        <rFont val="Arial, sans-serif"/>
        <color rgb="FF1155CC"/>
        <sz val="11.0"/>
        <u/>
      </rPr>
      <t>Análisis de Acciones por Diego Gutiérrez Pérez cubriendo: Naturgy Energy Group S.A., Repsol S.A., Telefónica S.A., Sacyr SA. Lea los Análisis de Acciones de...</t>
    </r>
    <r>
      <rPr>
        <rFont val="Arial, sans-serif"/>
        <color rgb="FF1155CC"/>
        <sz val="12.0"/>
        <u/>
      </rPr>
      <t>.</t>
    </r>
    <r>
      <rPr>
        <rFont val="Arial, sans-serif"/>
        <color rgb="FF1155CC"/>
        <sz val="11.0"/>
        <u/>
      </rPr>
      <t>28 nov 2024</t>
    </r>
  </si>
  <si>
    <t>Análisis técnico de Telefónica, Puig, Solaria, Naturgy, Repsol, Redeia, Sacyr...</t>
  </si>
  <si>
    <t>Análisis de Acciones por Diego Gutiérrez Pérez cubriendo: Naturgy Energy Group S.A., Repsol S.A., Telefónica S.A., Sacyr SA. Lea los Análisis de Acciones de....</t>
  </si>
  <si>
    <t>Technical analysis of Telefónica, Puig, Solaria, Naturgy, Repsol, Redeia, Sacyr...</t>
  </si>
  <si>
    <t>Stock Analysis by Diego Gutiérrez Pérez covering: Naturgy Energy Group S.A., Repsol S.A., Telefónica S.A., Sacyr SA. Read Stock Analysis by....</t>
  </si>
  <si>
    <t>Repsol, Stock, Analysis</t>
  </si>
  <si>
    <t>Repsol, Stock, Análisis</t>
  </si>
  <si>
    <t>Neutral sentiment, as it provides a stock analysis without a strong bias.</t>
  </si>
  <si>
    <r>
      <rPr>
        <rFont val="Arial, sans-serif"/>
        <color rgb="FF1155CC"/>
        <sz val="9.0"/>
        <u/>
      </rPr>
      <t>Mundo Deportivo</t>
    </r>
    <r>
      <rPr>
        <rFont val="Arial, sans-serif"/>
        <color rgb="FF1155CC"/>
        <sz val="15.0"/>
        <u/>
      </rPr>
      <t>Isidre Esteve afronta con máxima ilusión su 20º Dakar, el 10º en coche</t>
    </r>
    <r>
      <rPr>
        <rFont val="Arial, sans-serif"/>
        <color rgb="FF1155CC"/>
        <sz val="11.0"/>
        <u/>
      </rPr>
      <t>El piloto de Oliana y su inseparable copiloto, Txema Villalobos, presentaron este jueves su proyecto para el Dakar 2025 con el Repsol Rally Team y Toyota...</t>
    </r>
    <r>
      <rPr>
        <rFont val="Arial, sans-serif"/>
        <color rgb="FF1155CC"/>
        <sz val="12.0"/>
        <u/>
      </rPr>
      <t>.</t>
    </r>
    <r>
      <rPr>
        <rFont val="Arial, sans-serif"/>
        <color rgb="FF1155CC"/>
        <sz val="11.0"/>
        <u/>
      </rPr>
      <t>28 nov 2024</t>
    </r>
  </si>
  <si>
    <t>Isidre Esteve afronta con máxima ilusión su 20º Dakar, el 10º en coche</t>
  </si>
  <si>
    <t>El piloto de Oliana y su inseparable copiloto, Txema Villalobos, presentaron este jueves su proyecto para el Dakar 2025 con el Repsol Rally Team y Toyota.</t>
  </si>
  <si>
    <t>Isidre Esteve faces his 20th Dakar with great enthusiasm, his 10th by car</t>
  </si>
  <si>
    <t>The driver from Oliana and his inseparable co-driver, Txema Villalobos, presented this Thursday their project for the Dakar 2025 with the Repsol Rally Team and Toyota.</t>
  </si>
  <si>
    <t>Repsol, Dakar, Isidre Esteve</t>
  </si>
  <si>
    <t>Positive sentiment, celebrating Esteve’s long-standing participation in Dakar.</t>
  </si>
  <si>
    <r>
      <rPr>
        <rFont val="Arial, sans-serif"/>
        <color rgb="FF1155CC"/>
        <sz val="9.0"/>
        <u/>
      </rPr>
      <t>El Cronista</t>
    </r>
    <r>
      <rPr>
        <rFont val="Arial, sans-serif"/>
        <color rgb="FF1155CC"/>
        <sz val="15.0"/>
        <u/>
      </rPr>
      <t>Dónde COMER en Triana: el restaurante que cautiva con sus deliciosos MARISCOS y cuenta con un Sol de la Guía R</t>
    </r>
    <r>
      <rPr>
        <rFont val="Arial, sans-serif"/>
        <color rgb="FF1155CC"/>
        <sz val="11.0"/>
        <u/>
      </rPr>
      <t>Además de los mariscos, este lindo local tiene un menú que se destaca por sus jamones de Jabugo y una exclusiva selección carnes andaluzas.</t>
    </r>
    <r>
      <rPr>
        <rFont val="Arial, sans-serif"/>
        <color rgb="FF1155CC"/>
        <sz val="12.0"/>
        <u/>
      </rPr>
      <t>.</t>
    </r>
    <r>
      <rPr>
        <rFont val="Arial, sans-serif"/>
        <color rgb="FF1155CC"/>
        <sz val="11.0"/>
        <u/>
      </rPr>
      <t>28 nov 2024</t>
    </r>
  </si>
  <si>
    <t>¿DÓNDE COMER en Triana: el restaurante que cautiva con sus deliciosos MARISCOS y cuenta con un Sol de la Guía R?</t>
  </si>
  <si>
    <t>Además de los mariscos, este lindo local tiene un menú que se destaca por sus jamones de Jabugo y una exclusiva selección carnes andaluzas.</t>
  </si>
  <si>
    <t>WHERE TO EAT in Triana: the restaurant that captivates with its delicious SEAFOOD and has a Sun from the R Guide?</t>
  </si>
  <si>
    <t>In addition to seafood, this cute place has a menu that stands out for its Jabugo hams and an exclusive selection of Andalusian meats.</t>
  </si>
  <si>
    <r>
      <rPr>
        <rFont val="Arial, sans-serif"/>
        <color rgb="FF1155CC"/>
        <sz val="9.0"/>
        <u/>
      </rPr>
      <t>La Razón</t>
    </r>
    <r>
      <rPr>
        <rFont val="Arial, sans-serif"/>
        <color rgb="FF1155CC"/>
        <sz val="15.0"/>
        <u/>
      </rPr>
      <t>Cómo encontrar empleo en 2025</t>
    </r>
    <r>
      <rPr>
        <rFont val="Arial, sans-serif"/>
        <color rgb="FF1155CC"/>
        <sz val="11.0"/>
        <u/>
      </rPr>
      <t>Buscar empleo puede ser un desafío tanto para quienes desean entrar al mercado laboral como para aquellos que buscan nuevas experiencias profesionales.</t>
    </r>
    <r>
      <rPr>
        <rFont val="Arial, sans-serif"/>
        <color rgb="FF1155CC"/>
        <sz val="12.0"/>
        <u/>
      </rPr>
      <t>.</t>
    </r>
    <r>
      <rPr>
        <rFont val="Arial, sans-serif"/>
        <color rgb="FF1155CC"/>
        <sz val="11.0"/>
        <u/>
      </rPr>
      <t>28 nov 2024</t>
    </r>
  </si>
  <si>
    <t>Cómo encontrar empleo en 2025</t>
  </si>
  <si>
    <t>Buscar empleo puede ser un desafío tanto para quienes desean entrar al mercado laboral como para aquellos que buscan nuevas experiencias profesionales.</t>
  </si>
  <si>
    <t>How to find a job in 2025</t>
  </si>
  <si>
    <t>Looking for a job can be a challenge both for those who want to enter the job market and for those looking for new professional experiences.</t>
  </si>
  <si>
    <t>Career</t>
  </si>
  <si>
    <r>
      <rPr>
        <rFont val="Arial, sans-serif"/>
        <color rgb="FF1155CC"/>
        <sz val="9.0"/>
        <u/>
      </rPr>
      <t>El Periódico de la Energía</t>
    </r>
    <r>
      <rPr>
        <rFont val="Arial, sans-serif"/>
        <color rgb="FF1155CC"/>
        <sz val="15.0"/>
        <u/>
      </rPr>
      <t>Solarprofit se alía con Solar360 para desarrollar su negocio de autoconsumo</t>
    </r>
    <r>
      <rPr>
        <rFont val="Arial, sans-serif"/>
        <color rgb="FF1155CC"/>
        <sz val="11.0"/>
        <u/>
      </rPr>
      <t>La compañía SolarProfit se ha aliado con la empresa Solar360, 'joint venture' de Repsol Customer y Telefónica, para desarrollar su negocio de autoconsumo.</t>
    </r>
    <r>
      <rPr>
        <rFont val="Arial, sans-serif"/>
        <color rgb="FF1155CC"/>
        <sz val="12.0"/>
        <u/>
      </rPr>
      <t>.</t>
    </r>
    <r>
      <rPr>
        <rFont val="Arial, sans-serif"/>
        <color rgb="FF1155CC"/>
        <sz val="11.0"/>
        <u/>
      </rPr>
      <t>28 nov 2024</t>
    </r>
  </si>
  <si>
    <t>Solarprofit se alía con Solar360 para desarrollar su negocio de autoconsumo</t>
  </si>
  <si>
    <t>La compañía SolarProfit se ha aliado con la empresa Solar360, 'joint venture' de Repsol Customer y Telefónica, para desarrollar su negocio de autoconsumo.</t>
  </si>
  <si>
    <t>Solarprofit partners with Solar360 to develop its self-consumption business</t>
  </si>
  <si>
    <t>The company SolarProfit has joined forces with the company Solar360, a joint venture of Repsol Customer and Telefónica, to develop its self-consumption business.</t>
  </si>
  <si>
    <t>Repsol, Solarprofit, Solar360</t>
  </si>
  <si>
    <t>Positive sentiment, highlighting a business partnership in renewable energy.</t>
  </si>
  <si>
    <r>
      <rPr>
        <rFont val="Arial, sans-serif"/>
        <color rgb="FF1155CC"/>
        <sz val="9.0"/>
        <u/>
      </rPr>
      <t>Expansión</t>
    </r>
    <r>
      <rPr>
        <rFont val="Arial, sans-serif"/>
        <color rgb="FF1155CC"/>
        <sz val="15.0"/>
        <u/>
      </rPr>
      <t>Repsol vende a GeoPark dos activos en Colombia por 500 millones</t>
    </r>
    <r>
      <rPr>
        <rFont val="Arial, sans-serif"/>
        <color rgb="FF1155CC"/>
        <sz val="11.0"/>
        <u/>
      </rPr>
      <t>Esta operación implica la venta del 100% de las acciones de Repsol Colombia OilandGas Limited, que explota el activo CPO-9 en el Departamento del Meta...</t>
    </r>
    <r>
      <rPr>
        <rFont val="Arial, sans-serif"/>
        <color rgb="FF1155CC"/>
        <sz val="12.0"/>
        <u/>
      </rPr>
      <t>.</t>
    </r>
    <r>
      <rPr>
        <rFont val="Arial, sans-serif"/>
        <color rgb="FF1155CC"/>
        <sz val="11.0"/>
        <u/>
      </rPr>
      <t>29 nov 2024</t>
    </r>
  </si>
  <si>
    <t>Repsol vende a GeoPark dos activos en Colombia por 500 millones</t>
  </si>
  <si>
    <t>Esta operación implica la venta del 100% de las acciones de Repsol Colombia OilandGas Limited, que explota el activo CPO-9 en el Departamento del Meta....</t>
  </si>
  <si>
    <t>Repsol sells two assets in Colombia to GeoPark for 500 million</t>
  </si>
  <si>
    <t>This operation involves the sale of 100% of the shares of Repsol Colombia OilandGas Limited, which exploits the CPO-9 asset in the Department of Meta....</t>
  </si>
  <si>
    <t>Repsol, GeoPark, Colombia</t>
  </si>
  <si>
    <t>Repsol, GeoParque, Colombia</t>
  </si>
  <si>
    <t>Neutral sentiment, as it reports a financial transaction without clear positive or negative implications.</t>
  </si>
  <si>
    <t>vende activos</t>
  </si>
  <si>
    <t>Neutral-negative, strategic divestment.</t>
  </si>
  <si>
    <t>Neutral-negativo, desinversión estratégica.</t>
  </si>
  <si>
    <r>
      <rPr>
        <rFont val="Arial, sans-serif"/>
        <color rgb="FF1155CC"/>
        <sz val="9.0"/>
        <u/>
      </rPr>
      <t>El Periódico de la Energía</t>
    </r>
    <r>
      <rPr>
        <rFont val="Arial, sans-serif"/>
        <color rgb="FF1155CC"/>
        <sz val="15.0"/>
        <u/>
      </rPr>
      <t>Repsol vende activos de gas y petróleo en Colombia a GeoPark por 500 millones</t>
    </r>
    <r>
      <rPr>
        <rFont val="Arial, sans-serif"/>
        <color rgb="FF1155CC"/>
        <sz val="11.0"/>
        <u/>
      </rPr>
      <t>"La cartera de Repsol en Colombia proporcionará producción, reservas y flujos de caja inmediatos y a largo plazo", ha destacado GeoPark.</t>
    </r>
    <r>
      <rPr>
        <rFont val="Arial, sans-serif"/>
        <color rgb="FF1155CC"/>
        <sz val="12.0"/>
        <u/>
      </rPr>
      <t>.</t>
    </r>
    <r>
      <rPr>
        <rFont val="Arial, sans-serif"/>
        <color rgb="FF1155CC"/>
        <sz val="11.0"/>
        <u/>
      </rPr>
      <t>29 nov 2024</t>
    </r>
  </si>
  <si>
    <t>Repsol vende activos de gas y petróleo en Colombia a GeoPark por 500 millones</t>
  </si>
  <si>
    <t>"La cartera de Repsol en Colombia proporcionará producción, reservas y flujos de caja inmediatos y a largo plazo", ha destacado GeoPark.</t>
  </si>
  <si>
    <t>Repsol sells gas and oil assets in Colombia to GeoPark for 500 million</t>
  </si>
  <si>
    <t>"Repsol's portfolio in Colombia will provide immediate and long-term production, reserves and cash flows," GeoPark highlighted.</t>
  </si>
  <si>
    <t>Repsol, GeoPark, Assets</t>
  </si>
  <si>
    <t>Repsol, GeoPark, Activos</t>
  </si>
  <si>
    <t>Neutral sentiment, describing an asset sale without strong positive or negative framing.</t>
  </si>
  <si>
    <t>Neutral-negative divestment.</t>
  </si>
  <si>
    <t>Desinversión neutral-negativa.</t>
  </si>
  <si>
    <r>
      <rPr>
        <rFont val="Arial, sans-serif"/>
        <color rgb="FF1155CC"/>
        <sz val="9.0"/>
        <u/>
      </rPr>
      <t>El Economista</t>
    </r>
    <r>
      <rPr>
        <rFont val="Arial, sans-serif"/>
        <color rgb="FF1155CC"/>
        <sz val="15.0"/>
        <u/>
      </rPr>
      <t>Repsol vende activos petrolíferos en Colombia por 500 millones</t>
    </r>
    <r>
      <rPr>
        <rFont val="Arial, sans-serif"/>
        <color rgb="FF1155CC"/>
        <sz val="11.0"/>
        <u/>
      </rPr>
      <t>Repsol ha traspasado a la petrolera colombiana GeoPark la participación en dos activos petrolíferos en el país por 530 millones de ...</t>
    </r>
    <r>
      <rPr>
        <rFont val="Arial, sans-serif"/>
        <color rgb="FF1155CC"/>
        <sz val="12.0"/>
        <u/>
      </rPr>
      <t>.</t>
    </r>
    <r>
      <rPr>
        <rFont val="Arial, sans-serif"/>
        <color rgb="FF1155CC"/>
        <sz val="11.0"/>
        <u/>
      </rPr>
      <t>29 nov 2024</t>
    </r>
  </si>
  <si>
    <t>Repsol vende activos petrolíferos en Colombia por 500 millones</t>
  </si>
  <si>
    <t>Repsol ha traspasado a la petrolera colombiana GeoPark la participación en dos activos petrolíferos en el país por 530 millones de ....</t>
  </si>
  <si>
    <t>Repsol sells oil assets in Colombia for 500 million</t>
  </si>
  <si>
    <t>Repsol has transferred to the Colombian oil company GeoPark the participation in two oil assets in the country for 530 million...</t>
  </si>
  <si>
    <t>Repsol, Colombia, Oil Assets</t>
  </si>
  <si>
    <t>Repsol, “Colombia”, “Activos petroleros”</t>
  </si>
  <si>
    <t>Neutral sentiment, as it reports a transaction without judgment.</t>
  </si>
  <si>
    <r>
      <rPr>
        <rFont val="Arial, sans-serif"/>
        <color rgb="FF1155CC"/>
        <sz val="9.0"/>
        <u/>
      </rPr>
      <t>La Vanguardia</t>
    </r>
    <r>
      <rPr>
        <rFont val="Arial, sans-serif"/>
        <color rgb="FF1155CC"/>
        <sz val="15.0"/>
        <u/>
      </rPr>
      <t>Repsol vende activos de gas y petróleo en Colombia a GeoPark por 500 millones de euros</t>
    </r>
    <r>
      <rPr>
        <rFont val="Arial, sans-serif"/>
        <color rgb="FF1155CC"/>
        <sz val="11.0"/>
        <u/>
      </rPr>
      <t>Repsol ha comunicado este viernes la venta de dos activos en Colombia a la compañía Geo Park. La operación que se ha cerrado por un valor de 500 millones de...</t>
    </r>
    <r>
      <rPr>
        <rFont val="Arial, sans-serif"/>
        <color rgb="FF1155CC"/>
        <sz val="12.0"/>
        <u/>
      </rPr>
      <t>.</t>
    </r>
    <r>
      <rPr>
        <rFont val="Arial, sans-serif"/>
        <color rgb="FF1155CC"/>
        <sz val="11.0"/>
        <u/>
      </rPr>
      <t>29 nov 2024</t>
    </r>
  </si>
  <si>
    <t>Repsol vende activos de gas y petróleo en Colombia a GeoPark por 500 millones de euros</t>
  </si>
  <si>
    <t>Repsol ha comunicado este viernes la venta de dos activos en Colombia a la compañía Geo Park. La operación que se ha cerrado por un valor de 500 millones de....</t>
  </si>
  <si>
    <t>Repsol sells oil and gas assets in Colombia to GeoPark for 500 million euros</t>
  </si>
  <si>
    <t>Repsol announced this Friday the sale of two assets in Colombia to the company Geo Park. The operation that has been closed for a value of 500 million....</t>
  </si>
  <si>
    <t>Neutral sentiment, another report of the same business deal.</t>
  </si>
  <si>
    <r>
      <rPr>
        <rFont val="Arial, sans-serif"/>
        <color rgb="FF1155CC"/>
        <sz val="9.0"/>
        <u/>
      </rPr>
      <t>La Razón</t>
    </r>
    <r>
      <rPr>
        <rFont val="Arial, sans-serif"/>
        <color rgb="FF1155CC"/>
        <sz val="15.0"/>
        <u/>
      </rPr>
      <t>Repsol vende dos activos en Colombia a Geopark por 500 millones de euros</t>
    </r>
    <r>
      <rPr>
        <rFont val="Arial, sans-serif"/>
        <color rgb="FF1155CC"/>
        <sz val="11.0"/>
        <u/>
      </rPr>
      <t>Repsol avanza en su estrategia de rotación de activos. La energética española ha alcanzado un acuerdo para vender a la empresa energética latinoamericana...</t>
    </r>
    <r>
      <rPr>
        <rFont val="Arial, sans-serif"/>
        <color rgb="FF1155CC"/>
        <sz val="12.0"/>
        <u/>
      </rPr>
      <t>.</t>
    </r>
    <r>
      <rPr>
        <rFont val="Arial, sans-serif"/>
        <color rgb="FF1155CC"/>
        <sz val="11.0"/>
        <u/>
      </rPr>
      <t>29 nov 2024</t>
    </r>
  </si>
  <si>
    <t>Repsol vende dos activos en Colombia a Geopark por 500 millones de euros</t>
  </si>
  <si>
    <t>Repsol avanza en su estrategia de rotación de activos. La energética española ha alcanzado un acuerdo para vender a la empresa energética latinoamericana....</t>
  </si>
  <si>
    <t>Repsol sells two assets in Colombia to Geopark for 500 million euros</t>
  </si>
  <si>
    <t>Repsol advances in its asset rotation strategy. The Spanish energy company has reached an agreement to sell to the Latin American energy company....</t>
  </si>
  <si>
    <t>Neutral sentiment, stating a financial transaction with no particular stance.</t>
  </si>
  <si>
    <r>
      <rPr>
        <rFont val="Arial, sans-serif"/>
        <color rgb="FF1155CC"/>
        <sz val="9.0"/>
        <u/>
      </rPr>
      <t>Yahoo</t>
    </r>
    <r>
      <rPr>
        <rFont val="Arial, sans-serif"/>
        <color rgb="FF1155CC"/>
        <sz val="15.0"/>
        <u/>
      </rPr>
      <t>La petrolera Repsol vende activos en Colombia por 530 millones de dólares</t>
    </r>
    <r>
      <rPr>
        <rFont val="Arial, sans-serif"/>
        <color rgb="FF1155CC"/>
        <sz val="11.0"/>
        <u/>
      </rPr>
      <t>La petrolera española Repsol ha acordado vender activos de producción de petróleo y gas en Colombia a Geopark por 530 millones de dólares.</t>
    </r>
    <r>
      <rPr>
        <rFont val="Arial, sans-serif"/>
        <color rgb="FF1155CC"/>
        <sz val="12.0"/>
        <u/>
      </rPr>
      <t>.</t>
    </r>
    <r>
      <rPr>
        <rFont val="Arial, sans-serif"/>
        <color rgb="FF1155CC"/>
        <sz val="11.0"/>
        <u/>
      </rPr>
      <t>29 nov 2024</t>
    </r>
  </si>
  <si>
    <t>Yahoo</t>
  </si>
  <si>
    <t>La petrolera Repsol vende activos en Colombia por 530 millones de dólares</t>
  </si>
  <si>
    <t>La petrolera española Repsol ha acordado vender activos de producción de petróleo y gas en Colombia a Geopark por 530 millones de dólares.</t>
  </si>
  <si>
    <t>The oil company Repsol sells assets in Colombia for 530 million dollars</t>
  </si>
  <si>
    <t>Spanish oil company Repsol has agreed to sell oil and gas production assets in Colombia to Geopark for $530 million.</t>
  </si>
  <si>
    <t>Neutral sentiment, financial reporting with no clear bias.</t>
  </si>
  <si>
    <r>
      <rPr>
        <rFont val="Arial, sans-serif"/>
        <color rgb="FF1155CC"/>
        <sz val="9.0"/>
        <u/>
      </rPr>
      <t>Cinco Días</t>
    </r>
    <r>
      <rPr>
        <rFont val="Arial, sans-serif"/>
        <color rgb="FF1155CC"/>
        <sz val="15.0"/>
        <u/>
      </rPr>
      <t>Repsol vende activos en Colombia por 500 millones de euros a Geopark</t>
    </r>
    <r>
      <rPr>
        <rFont val="Arial, sans-serif"/>
        <color rgb="FF1155CC"/>
        <sz val="11.0"/>
        <u/>
      </rPr>
      <t>Repsol ha alcanzado un acuerdo para la venta en Colombia de varios activos a Geopark, por un precio de 530 millones de dólares (alrededor de 500 millones de...</t>
    </r>
    <r>
      <rPr>
        <rFont val="Arial, sans-serif"/>
        <color rgb="FF1155CC"/>
        <sz val="12.0"/>
        <u/>
      </rPr>
      <t>.</t>
    </r>
    <r>
      <rPr>
        <rFont val="Arial, sans-serif"/>
        <color rgb="FF1155CC"/>
        <sz val="11.0"/>
        <u/>
      </rPr>
      <t>29 nov 2024</t>
    </r>
  </si>
  <si>
    <t>Repsol vende activos en Colombia por 500 millones de euros a Geopark</t>
  </si>
  <si>
    <t>Repsol ha alcanzado un acuerdo para la venta en Colombia de varios activos a Geopark, por un precio de 530 millones de dólares (alrededor de 500 millones de euros).</t>
  </si>
  <si>
    <t>Repsol sells assets in Colombia for 500 million euros to Geopark</t>
  </si>
  <si>
    <t>Repsol has reached an agreement for the sale in Colombia of several assets to Geopark, for a price of 530 million dollars (around 500 million euros).</t>
  </si>
  <si>
    <t>Neutral sentiment, business transaction without positive or negative framing.</t>
  </si>
  <si>
    <r>
      <rPr>
        <rFont val="Arial, sans-serif"/>
        <color rgb="FF1155CC"/>
        <sz val="9.0"/>
        <u/>
      </rPr>
      <t>e-noticies.cat</t>
    </r>
    <r>
      <rPr>
        <rFont val="Arial, sans-serif"/>
        <color rgb="FF1155CC"/>
        <sz val="15.0"/>
        <u/>
      </rPr>
      <t>Ni Repsol, ni Endesa: haz esto y el gas te saldrá mucho más barato</t>
    </r>
    <r>
      <rPr>
        <rFont val="Arial, sans-serif"/>
        <color rgb="FF1155CC"/>
        <sz val="11.0"/>
        <u/>
      </rPr>
      <t>Si estás buscando una forma de ahorrar en la factura del gas, lo primero que debes saber es que ni Repsol ni Endesa tienen la tarifa más econ&amp;o...</t>
    </r>
    <r>
      <rPr>
        <rFont val="Arial, sans-serif"/>
        <color rgb="FF1155CC"/>
        <sz val="12.0"/>
        <u/>
      </rPr>
      <t>.</t>
    </r>
    <r>
      <rPr>
        <rFont val="Arial, sans-serif"/>
        <color rgb="FF1155CC"/>
        <sz val="11.0"/>
        <u/>
      </rPr>
      <t>29 nov 2024</t>
    </r>
  </si>
  <si>
    <t>Ni Repsol, ni Endesa: haz esto y el gas te saldrá mucho más barato</t>
  </si>
  <si>
    <t>Si estás buscando una forma de ahorrar en la factura del gas, lo primero que debes saber es que ni Repsol ni Endesa tienen la tarifa más económica.</t>
  </si>
  <si>
    <t>Neither Repsol nor Endesa: do this and your gas will be much cheaper</t>
  </si>
  <si>
    <t>If you are looking for a way to save on your gas bill, the first thing you should know is that neither Repsol nor Endesa have the cheapest rate.</t>
  </si>
  <si>
    <t>Consumer</t>
  </si>
  <si>
    <t>Repsol, Endesa, Gas</t>
  </si>
  <si>
    <t>Negative sentiment, as it discourages choosing Repsol for gas services.</t>
  </si>
  <si>
    <r>
      <rPr>
        <rFont val="Arial, sans-serif"/>
        <color rgb="FF1155CC"/>
        <sz val="9.0"/>
        <u/>
      </rPr>
      <t>Economía Digital</t>
    </r>
    <r>
      <rPr>
        <rFont val="Arial, sans-serif"/>
        <color rgb="FF1155CC"/>
        <sz val="15.0"/>
        <u/>
      </rPr>
      <t>Repsol vende activos de gas y petróleo en Colombia por 500 millones a GeoPark</t>
    </r>
    <r>
      <rPr>
        <rFont val="Arial, sans-serif"/>
        <color rgb="FF1155CC"/>
        <sz val="11.0"/>
        <u/>
      </rPr>
      <t>Repsol ha anunciado este viernes la venta de sus activos de gas y petróleo en Colombia. El acuerdo alcanzado con GeoPark está valorado en 530 millones de...</t>
    </r>
    <r>
      <rPr>
        <rFont val="Arial, sans-serif"/>
        <color rgb="FF1155CC"/>
        <sz val="12.0"/>
        <u/>
      </rPr>
      <t>.</t>
    </r>
    <r>
      <rPr>
        <rFont val="Arial, sans-serif"/>
        <color rgb="FF1155CC"/>
        <sz val="11.0"/>
        <u/>
      </rPr>
      <t>29 nov 2024</t>
    </r>
  </si>
  <si>
    <t>Repsol vende activos de gas y petróleo en Colombia por 500 millones a GeoPark</t>
  </si>
  <si>
    <t>Repsol ha anunciado este viernes la venta de sus activos de gas y petróleo en Colombia. El acuerdo alcanzado con GeoPark está valorado en 530 millones de....</t>
  </si>
  <si>
    <t>Repsol sells gas and oil assets in Colombia for 500 million to GeoPark</t>
  </si>
  <si>
    <t>Repsol announced this Friday the sale of its gas and oil assets in Colombia. The agreement reached with GeoPark is valued at 530 million....</t>
  </si>
  <si>
    <t>Neutral sentiment, another report of the same transaction.</t>
  </si>
  <si>
    <r>
      <rPr>
        <rFont val="Arial, sans-serif"/>
        <color rgb="FF1155CC"/>
        <sz val="9.0"/>
        <u/>
      </rPr>
      <t>Bolsamania</t>
    </r>
    <r>
      <rPr>
        <rFont val="Arial, sans-serif"/>
        <color rgb="FF1155CC"/>
        <sz val="15.0"/>
        <u/>
      </rPr>
      <t>Consultorio de análisis técnico: Repsol, Total, Sacyr, Naturgy, Volkswagen, Aena, Mapfre...</t>
    </r>
    <r>
      <rPr>
        <rFont val="Arial, sans-serif"/>
        <color rgb="FF1155CC"/>
        <sz val="11.0"/>
        <u/>
      </rPr>
      <t>A continuación, damos respuesta a los valores por los que más han preguntado este jueves a César Nuez, analista técnico de 'Bolsamanía', que pone bajo la...</t>
    </r>
    <r>
      <rPr>
        <rFont val="Arial, sans-serif"/>
        <color rgb="FF1155CC"/>
        <sz val="12.0"/>
        <u/>
      </rPr>
      <t>.</t>
    </r>
    <r>
      <rPr>
        <rFont val="Arial, sans-serif"/>
        <color rgb="FF1155CC"/>
        <sz val="11.0"/>
        <u/>
      </rPr>
      <t>29 nov 2024</t>
    </r>
  </si>
  <si>
    <t>Consultorio de análisis técnico: Repsol, Total, Sacyr, Naturgy, Volkswagen, Aena, Mapfre...</t>
  </si>
  <si>
    <t>Technical analysis consultancy: Repsol, Total, Sacyr, Naturgy, Volkswagen, Aena, Mapfre...</t>
  </si>
  <si>
    <t>Repsol, Stock Analysis, Business</t>
  </si>
  <si>
    <t>Repsol, Análisis Bursátil, Negocios</t>
  </si>
  <si>
    <t>Positive sentiment, as it discusses stock analysis and potential investment opportunities.</t>
  </si>
  <si>
    <r>
      <rPr>
        <rFont val="Arial, sans-serif"/>
        <color rgb="FF1155CC"/>
        <sz val="9.0"/>
        <u/>
      </rPr>
      <t>20Minutos</t>
    </r>
    <r>
      <rPr>
        <rFont val="Arial, sans-serif"/>
        <color rgb="FF1155CC"/>
        <sz val="15.0"/>
        <u/>
      </rPr>
      <t>Repsol progresa en su descarbonización con la venta de 500 millones en activos petrolíferos en Colombia</t>
    </r>
    <r>
      <rPr>
        <rFont val="Arial, sans-serif"/>
        <color rgb="FF1155CC"/>
        <sz val="11.0"/>
        <u/>
      </rPr>
      <t>Se desprende de la totalidad de las acciones de Repsol Colombia Oil&amp;Gas Limited, firma que explota el activo CPO-9 y del 25% de participación que posee en...</t>
    </r>
    <r>
      <rPr>
        <rFont val="Arial, sans-serif"/>
        <color rgb="FF1155CC"/>
        <sz val="12.0"/>
        <u/>
      </rPr>
      <t>.</t>
    </r>
    <r>
      <rPr>
        <rFont val="Arial, sans-serif"/>
        <color rgb="FF1155CC"/>
        <sz val="11.0"/>
        <u/>
      </rPr>
      <t>29 nov 2024</t>
    </r>
  </si>
  <si>
    <t>Repsol progresa en su descarbonización con la venta de 500 millones en activos petrolíferos en Colombia</t>
  </si>
  <si>
    <t>Repsol progresa en su descarbonización con la venta de 500 millones en activos petrolíferos en Colombia. Se desprende de la totalidad de las acciones de Repsol Colombia Oil&amp;Gas Limited, firma que explota el activo CPO-9 y del 25% de participación que posee en....</t>
  </si>
  <si>
    <t>Repsol progresses in its decarbonization with the sale of 500 million in oil assets in Colombia</t>
  </si>
  <si>
    <t>Repsol is making progress in its decarbonization with the sale of 500 million in oil assets in Colombia. It comes from all the shares of Repsol Colombia Oil&amp;Gas Limited, the firm that exploits the CPO-9 asset, and the 25% stake it holds in...</t>
  </si>
  <si>
    <t>Repsol, Decarbonization, Colombia</t>
  </si>
  <si>
    <t>Repsol, Descarbonización, Colombia</t>
  </si>
  <si>
    <t>Positive sentiment, framing the asset sale as part of a green energy transition.</t>
  </si>
  <si>
    <t>progresa en descarbonización</t>
  </si>
  <si>
    <t>Positive environmental strategy.</t>
  </si>
  <si>
    <t>Estrategia medioambiental positiva.</t>
  </si>
  <si>
    <r>
      <rPr>
        <rFont val="Arial, sans-serif"/>
        <color rgb="FF1155CC"/>
        <sz val="9.0"/>
        <u/>
      </rPr>
      <t>FormulaRapida.net</t>
    </r>
    <r>
      <rPr>
        <rFont val="Arial, sans-serif"/>
        <color rgb="FF1155CC"/>
        <sz val="15.0"/>
        <u/>
      </rPr>
      <t>El Repsol Toyota Rally Team e Isidre Esteve, a por el Dakar del 20 aniversario</t>
    </r>
    <r>
      <rPr>
        <rFont val="Arial, sans-serif"/>
        <color rgb="FF1155CC"/>
        <sz val="11.0"/>
        <u/>
      </rPr>
      <t>En la edición 2025, el piloto ilerdense cumplirá 20 participaciones en la carrera más dura del motorsport, 10 en moto y 10 en coche, junto a su copiloto...</t>
    </r>
    <r>
      <rPr>
        <rFont val="Arial, sans-serif"/>
        <color rgb="FF1155CC"/>
        <sz val="12.0"/>
        <u/>
      </rPr>
      <t>.</t>
    </r>
    <r>
      <rPr>
        <rFont val="Arial, sans-serif"/>
        <color rgb="FF1155CC"/>
        <sz val="11.0"/>
        <u/>
      </rPr>
      <t>29 nov 2024</t>
    </r>
  </si>
  <si>
    <t>En la edición 2025, el piloto ilerdense cumplirá 20 participaciones en la carrera más dura del motorsport, 10 en moto y 10 en coche, junto a su copiloto....</t>
  </si>
  <si>
    <t>In the 2025 edition, the driver from Ilerda will complete 20 participations in the toughest race in motorsport, 10 on a motorcycle and 10 in a car, together with his co-driver....</t>
  </si>
  <si>
    <t>Positive sentiment, celebrating a milestone for Repsol’s motorsport involvement.</t>
  </si>
  <si>
    <t>Same as #76.</t>
  </si>
  <si>
    <t>Igual que el número 76.</t>
  </si>
  <si>
    <r>
      <rPr>
        <rFont val="Arial, sans-serif"/>
        <color rgb="FF1155CC"/>
        <sz val="9.0"/>
        <u/>
      </rPr>
      <t>Car and Driver</t>
    </r>
    <r>
      <rPr>
        <rFont val="Arial, sans-serif"/>
        <color rgb="FF1155CC"/>
        <sz val="15.0"/>
        <u/>
      </rPr>
      <t>El nuevo diésel que ya está disponible en 600 gasolineras... y que llegará a 1.500 en 2025</t>
    </r>
    <r>
      <rPr>
        <rFont val="Arial, sans-serif"/>
        <color rgb="FF1155CC"/>
        <sz val="11.0"/>
        <u/>
      </rPr>
      <t>A día de hoy Repsol apuesta por la electrificación, los combustibles renovables y el hidrógeno, soluciones energéticas que permiten reducir las emisiones de...</t>
    </r>
    <r>
      <rPr>
        <rFont val="Arial, sans-serif"/>
        <color rgb="FF1155CC"/>
        <sz val="12.0"/>
        <u/>
      </rPr>
      <t>.</t>
    </r>
    <r>
      <rPr>
        <rFont val="Arial, sans-serif"/>
        <color rgb="FF1155CC"/>
        <sz val="11.0"/>
        <u/>
      </rPr>
      <t>29 nov 2024</t>
    </r>
  </si>
  <si>
    <t>El nuevo diésel que ya está disponible en 600 gasolineras... y que llegará a 1.500 en 2025</t>
  </si>
  <si>
    <t>A día de hoy Repsol apuesta por la electrificación, los combustibles renovables y el hidrógeno, soluciones energéticas que permiten reducir las emisiones de....</t>
  </si>
  <si>
    <t>The new diesel that is already available in 600 gas stations... and will reach 1,500 in 2025</t>
  </si>
  <si>
    <t>Today Repsol is committed to electrification, renewable fuels and hydrogen, energy solutions that allow us to reduce emissions....</t>
  </si>
  <si>
    <t>Repsol, Diesel, Renewable Fuel</t>
  </si>
  <si>
    <t>Repsol, Diésel, Combustibles Renovables</t>
  </si>
  <si>
    <t>Positive sentiment, highlighting Repsol’s commitment to sustainable energy solutions.</t>
  </si>
  <si>
    <r>
      <rPr>
        <rFont val="Arial, sans-serif"/>
        <color rgb="FF1155CC"/>
        <sz val="9.0"/>
        <u/>
      </rPr>
      <t>Diari de Tarragona</t>
    </r>
    <r>
      <rPr>
        <rFont val="Arial, sans-serif"/>
        <color rgb="FF1155CC"/>
        <sz val="15.0"/>
        <u/>
      </rPr>
      <t>María José Morales Adillón, jefa de fábrica de Repsol: «Es un sector con estabilidad, seguridad y que favorece el crecimiento profesional»</t>
    </r>
    <r>
      <rPr>
        <rFont val="Arial, sans-serif"/>
        <color rgb="FF1155CC"/>
        <sz val="11.0"/>
        <u/>
      </rPr>
      <t>Hablar de Repsol son palabras mayores. Y, además, María José Morales Adillón (Tarragona, 1975) es una pionera en la multinacional energética: fue la p...</t>
    </r>
    <r>
      <rPr>
        <rFont val="Arial, sans-serif"/>
        <color rgb="FF1155CC"/>
        <sz val="12.0"/>
        <u/>
      </rPr>
      <t>.</t>
    </r>
    <r>
      <rPr>
        <rFont val="Arial, sans-serif"/>
        <color rgb="FF1155CC"/>
        <sz val="11.0"/>
        <u/>
      </rPr>
      <t>29 nov 2024</t>
    </r>
  </si>
  <si>
    <t>María José Morales Adillón, jefa de fábrica de Repsol: «Es un sector con estabilidad, seguridad y que favorece el crecimiento profesional»</t>
  </si>
  <si>
    <t>«Es un sector con estabilidad, seguridad y que favorece el crecimiento profesional»</t>
  </si>
  <si>
    <t>María José Morales Adillón, factory manager at Repsol: "It is a sector with stability, security and that favors professional growth"</t>
  </si>
  <si>
    <t>«It is a sector with stability, security and that favors professional growth»</t>
  </si>
  <si>
    <t>Repsol, Energy Sector, Professional Growth</t>
  </si>
  <si>
    <t>Repsol, Sector Energético, Crecimiento Profesional</t>
  </si>
  <si>
    <t>Positive sentiment, emphasizing job security and career growth in the energy sector.</t>
  </si>
  <si>
    <t>estabilidad, "crecimiento profesional"</t>
  </si>
  <si>
    <t>Positive employee perspective.</t>
  </si>
  <si>
    <t>Perspectiva positiva de los empleados.</t>
  </si>
  <si>
    <r>
      <rPr>
        <rFont val="Arial, sans-serif"/>
        <color rgb="FF1155CC"/>
        <sz val="9.0"/>
        <u/>
      </rPr>
      <t>El Confidencial</t>
    </r>
    <r>
      <rPr>
        <rFont val="Arial, sans-serif"/>
        <color rgb="FF1155CC"/>
        <sz val="15.0"/>
        <u/>
      </rPr>
      <t>Repsol vende sus activos de gas y petróleo en Colombia por 500 millones</t>
    </r>
    <r>
      <rPr>
        <rFont val="Arial, sans-serif"/>
        <color rgb="FF1155CC"/>
        <sz val="11.0"/>
        <u/>
      </rPr>
      <t>Repsol ha realizado una desinversión. El grupo energético español ha alcanzado un acuerdo para vender a GeoPark sus activos de gas y petróleo en Colombia...</t>
    </r>
    <r>
      <rPr>
        <rFont val="Arial, sans-serif"/>
        <color rgb="FF1155CC"/>
        <sz val="12.0"/>
        <u/>
      </rPr>
      <t>.</t>
    </r>
    <r>
      <rPr>
        <rFont val="Arial, sans-serif"/>
        <color rgb="FF1155CC"/>
        <sz val="11.0"/>
        <u/>
      </rPr>
      <t>29 nov 2024</t>
    </r>
  </si>
  <si>
    <t>Repsol vende sus activos de gas y petróleo en Colombia por 500 millones</t>
  </si>
  <si>
    <t>Repsol ha realizado una desinversión. El grupo energético español ha alcanzado un acuerdo para vender a GeoPark sus activos de gas y petróleo en Colombia....</t>
  </si>
  <si>
    <t>Repsol sells its gas and oil assets in Colombia for 500 million</t>
  </si>
  <si>
    <t>Repsol has carried out a divestment. The Spanish energy group has reached an agreement to sell its oil and gas assets in Colombia to GeoPark....</t>
  </si>
  <si>
    <t>Repsol, Colombia, Asset Sale</t>
  </si>
  <si>
    <t>Repsol, “Colombia”, “Venta de Activos”</t>
  </si>
  <si>
    <r>
      <rPr>
        <rFont val="Arial, sans-serif"/>
        <color rgb="FF1155CC"/>
        <sz val="9.0"/>
        <u/>
      </rPr>
      <t>El Español</t>
    </r>
    <r>
      <rPr>
        <rFont val="Arial, sans-serif"/>
        <color rgb="FF1155CC"/>
        <sz val="15.0"/>
        <u/>
      </rPr>
      <t>Repsol vende activos en Colombia a GeoPark por 500 millones de euros</t>
    </r>
    <r>
      <rPr>
        <rFont val="Arial, sans-serif"/>
        <color rgb="FF1155CC"/>
        <sz val="11.0"/>
        <u/>
      </rPr>
      <t>"La efectiva transmisión está sujeta al cumplimiento de determinadas condiciones habituales en este tipo de transacciones", explica la compañía.</t>
    </r>
    <r>
      <rPr>
        <rFont val="Arial, sans-serif"/>
        <color rgb="FF1155CC"/>
        <sz val="12.0"/>
        <u/>
      </rPr>
      <t>.</t>
    </r>
    <r>
      <rPr>
        <rFont val="Arial, sans-serif"/>
        <color rgb="FF1155CC"/>
        <sz val="11.0"/>
        <u/>
      </rPr>
      <t>29 nov 2024</t>
    </r>
  </si>
  <si>
    <t>Repsol vende activos en Colombia a GeoPark por 500 millones de euros</t>
  </si>
  <si>
    <t>"La efectiva transmisión está sujeta al cumplimiento de determinadas condiciones habituales en este tipo de transacciones", explica la compañía.</t>
  </si>
  <si>
    <t>Repsol sells assets in Colombia to GeoPark for 500 million euros</t>
  </si>
  <si>
    <t>"The effective transfer is subject to compliance with certain usual conditions in this type of transaction," explains the company.</t>
  </si>
  <si>
    <t>Neutral sentiment, describing procedural aspects of the deal.</t>
  </si>
  <si>
    <t>vende, "millones"</t>
  </si>
  <si>
    <t>Neutral-positive due to strategic asset sale.</t>
  </si>
  <si>
    <t>Neutral-positivo por venta de activos estratégicos.</t>
  </si>
  <si>
    <r>
      <rPr>
        <rFont val="Arial, sans-serif"/>
        <color rgb="FF1155CC"/>
        <sz val="9.0"/>
        <u/>
      </rPr>
      <t>Consenso del Mercado</t>
    </r>
    <r>
      <rPr>
        <rFont val="Arial, sans-serif"/>
        <color rgb="FF1155CC"/>
        <sz val="15.0"/>
        <u/>
      </rPr>
      <t>Noticias Ibex 35 Repsol alcanza un acuerdo de venta del 100% de Repsol Colombia Oil &amp; Gas por 530 M</t>
    </r>
    <r>
      <rPr>
        <rFont val="Arial, sans-serif"/>
        <color rgb="FF1155CC"/>
        <sz val="11.0"/>
        <u/>
      </rPr>
      <t>Norbolsa | Repsol (REP) alcanza un acuerdo de venta del 100% de Repsol Colombia Oil &amp; Gas (el campo de E&amp;P CPO-9) 25% de SierraCol Energy Arauca.</t>
    </r>
    <r>
      <rPr>
        <rFont val="Arial, sans-serif"/>
        <color rgb="FF1155CC"/>
        <sz val="12.0"/>
        <u/>
      </rPr>
      <t>.</t>
    </r>
    <r>
      <rPr>
        <rFont val="Arial, sans-serif"/>
        <color rgb="FF1155CC"/>
        <sz val="11.0"/>
        <u/>
      </rPr>
      <t>29 nov 2024</t>
    </r>
  </si>
  <si>
    <t>Repsol alcanza un acuerdo de venta del 100% de Repsol Colombia Oil &amp; Gas por 530 MN</t>
  </si>
  <si>
    <t>Repsol alcanza un acuerdo de venta del 100% de Repsol Colombia Oil &amp; Gas por 530 M.</t>
  </si>
  <si>
    <t>Repsol reaches an agreement to sell 100% of Repsol Colombia Oil &amp; Gas for 530 MN</t>
  </si>
  <si>
    <t>Repsol reaches an agreement to sell 100% of Repsol Colombia Oil &amp; Gas for 530 million.</t>
  </si>
  <si>
    <t>Neutral sentiment, identical news as previous entries.</t>
  </si>
  <si>
    <t>acuerdo, "venta"</t>
  </si>
  <si>
    <t>Neutral; financial transaction without clear sentiment.</t>
  </si>
  <si>
    <t>Neutral; transacción financiera sin un sentimiento claro.</t>
  </si>
  <si>
    <r>
      <rPr>
        <rFont val="Arial, sans-serif"/>
        <color rgb="FF1155CC"/>
        <sz val="9.0"/>
        <u/>
      </rPr>
      <t>Hispanidad</t>
    </r>
    <r>
      <rPr>
        <rFont val="Arial, sans-serif"/>
        <color rgb="FF1155CC"/>
        <sz val="15.0"/>
        <u/>
      </rPr>
      <t>Repsol avanza en su revolución tranquila: vende dos activos de gas y petróleo en Colombia, pero aún no abandona el país</t>
    </r>
    <r>
      <rPr>
        <rFont val="Arial, sans-serif"/>
        <color rgb="FF1155CC"/>
        <sz val="11.0"/>
        <u/>
      </rPr>
      <t>Repsol continúa avanzando en su revolución tranquila marcada en su plan estratégico, sin dejar su principal negocio y apostando por la industria,...</t>
    </r>
    <r>
      <rPr>
        <rFont val="Arial, sans-serif"/>
        <color rgb="FF1155CC"/>
        <sz val="12.0"/>
        <u/>
      </rPr>
      <t>.</t>
    </r>
    <r>
      <rPr>
        <rFont val="Arial, sans-serif"/>
        <color rgb="FF1155CC"/>
        <sz val="11.0"/>
        <u/>
      </rPr>
      <t>29 nov 2024</t>
    </r>
  </si>
  <si>
    <t>Repsol avanza en su revolución tranquila: vende dos activos de gas y petróleo en Colombia, pero aún no abandona el país</t>
  </si>
  <si>
    <t>Repsol continúa avanzando en su revolución tranquila marcada en su plan estratégico, sin dejar su principal negocio y apostando por la industria,....</t>
  </si>
  <si>
    <t>Repsol advances in its quiet revolution: it sells two gas and oil assets in Colombia, but has not yet left the country</t>
  </si>
  <si>
    <t>Repsol continues to advance in its quiet revolution marked in its strategic plan, without abandoning its main business and betting on the industry,...</t>
  </si>
  <si>
    <t>Positive sentiment, positioning the asset sale as part of a broader strategic plan.</t>
  </si>
  <si>
    <t>avanza, "revolución", "vende"</t>
  </si>
  <si>
    <t>Positive framing of strategic progress.</t>
  </si>
  <si>
    <t>Encuadre positivo del progreso estratégico.</t>
  </si>
  <si>
    <r>
      <rPr>
        <rFont val="Arial, sans-serif"/>
        <color rgb="FF1155CC"/>
        <sz val="9.0"/>
        <u/>
      </rPr>
      <t>Bolsamania</t>
    </r>
    <r>
      <rPr>
        <rFont val="Arial, sans-serif"/>
        <color rgb="FF1155CC"/>
        <sz val="15.0"/>
        <u/>
      </rPr>
      <t>Repsol finaliza su programa de recompra tras adquirir 20 millones de acciones</t>
    </r>
    <r>
      <rPr>
        <rFont val="Arial, sans-serif"/>
        <color rgb="FF1155CC"/>
        <sz val="11.0"/>
        <u/>
      </rPr>
      <t>Repsol ha comunicado la finalización de su programa de recompra de acciones al alcanzar el número máximos de títulos a adquirir, esto es, 20 millones de...</t>
    </r>
    <r>
      <rPr>
        <rFont val="Arial, sans-serif"/>
        <color rgb="FF1155CC"/>
        <sz val="12.0"/>
        <u/>
      </rPr>
      <t>.</t>
    </r>
    <r>
      <rPr>
        <rFont val="Arial, sans-serif"/>
        <color rgb="FF1155CC"/>
        <sz val="11.0"/>
        <u/>
      </rPr>
      <t>29 nov 2024</t>
    </r>
  </si>
  <si>
    <t>Repsol finaliza su programa de recompra tras adquirir 20 millones de acciones</t>
  </si>
  <si>
    <t>Repsol ha comunicado la finalización de su programa de recompra de acciones al alcanzar el número máximos de títulos a adquirir, esto es, 20 millones de....</t>
  </si>
  <si>
    <t>Repsol ends its buyback program after acquiring 20 million shares</t>
  </si>
  <si>
    <t>Repsol has announced the completion of its share buyback program upon reaching the maximum number of securities to be acquired, that is, 20 million....</t>
  </si>
  <si>
    <t>Repsol, Buyback, Shares</t>
  </si>
  <si>
    <t>Repsol, Recompra, Acciones</t>
  </si>
  <si>
    <t>Positive sentiment, as the completion of a buyback program suggests financial stability.</t>
  </si>
  <si>
    <t>finaliza, "adquirir"</t>
  </si>
  <si>
    <t>Neutral-positive; share buyback completion.</t>
  </si>
  <si>
    <t>Neutral-positivo; finalización de la recompra de acciones.</t>
  </si>
  <si>
    <r>
      <rPr>
        <rFont val="Arial, sans-serif"/>
        <color rgb="FF1155CC"/>
        <sz val="9.0"/>
        <u/>
      </rPr>
      <t>Bolsamania</t>
    </r>
    <r>
      <rPr>
        <rFont val="Arial, sans-serif"/>
        <color rgb="FF1155CC"/>
        <sz val="15.0"/>
        <u/>
      </rPr>
      <t>Repsol vende activos en Colombia a GeoPark con un impacto negativo de 120 millones</t>
    </r>
    <r>
      <rPr>
        <rFont val="Arial, sans-serif"/>
        <color rgb="FF1155CC"/>
        <sz val="11.0"/>
        <u/>
      </rPr>
      <t>Repsol ha llegado a un acuerdo para la venta de activos en Colombia a GeoPark por 530 millones de dólares (501 millones de euros). La operación incluye el...</t>
    </r>
    <r>
      <rPr>
        <rFont val="Arial, sans-serif"/>
        <color rgb="FF1155CC"/>
        <sz val="12.0"/>
        <u/>
      </rPr>
      <t>.</t>
    </r>
    <r>
      <rPr>
        <rFont val="Arial, sans-serif"/>
        <color rgb="FF1155CC"/>
        <sz val="11.0"/>
        <u/>
      </rPr>
      <t>29 nov 2024</t>
    </r>
  </si>
  <si>
    <t>Repsol vende activos en Colombia a GeoPark con un impacto negativo de 120 millones</t>
  </si>
  <si>
    <t>Repsol ha llegado a un acuerdo para la venta de activos en Colombia a GeoPark por 530 millones de dólares (501 millones de euros). La operación incluye el....</t>
  </si>
  <si>
    <t>Repsol sells assets in Colombia to GeoPark with a negative impact of 120 million</t>
  </si>
  <si>
    <t>Repsol has reached an agreement for the sale of assets in Colombia to GeoPark for 530 million dollars (501 million euros). The operation includes the...</t>
  </si>
  <si>
    <t>Repsol, GeoPark, Losses</t>
  </si>
  <si>
    <t>Repsol, GeoPark, Pérdidas</t>
  </si>
  <si>
    <t>Negative sentiment due to the financial loss of 120 million reported in the transaction.</t>
  </si>
  <si>
    <t>impacto negativo</t>
  </si>
  <si>
    <t>Negative due to reported financial loss.</t>
  </si>
  <si>
    <t>Negativo debido a la pérdida financiera reportada.</t>
  </si>
  <si>
    <r>
      <rPr>
        <rFont val="Arial, sans-serif"/>
        <color rgb="FF1155CC"/>
        <sz val="9.0"/>
        <u/>
      </rPr>
      <t>Forbes Colombia</t>
    </r>
    <r>
      <rPr>
        <rFont val="Arial, sans-serif"/>
        <color rgb="FF1155CC"/>
        <sz val="15.0"/>
        <u/>
      </rPr>
      <t>Petrolera española Repsol vende a GeoPark activos en Colombia por 500 millones de euros</t>
    </r>
    <r>
      <rPr>
        <rFont val="Arial, sans-serif"/>
        <color rgb="FF1155CC"/>
        <sz val="11.0"/>
        <u/>
      </rPr>
      <t>Son dos activos de exploración y producción de petróleo y gas en Colombia que fueron vendidos a la empresa Latinoamericana Geopark en Colombia.</t>
    </r>
    <r>
      <rPr>
        <rFont val="Arial, sans-serif"/>
        <color rgb="FF1155CC"/>
        <sz val="12.0"/>
        <u/>
      </rPr>
      <t>.</t>
    </r>
    <r>
      <rPr>
        <rFont val="Arial, sans-serif"/>
        <color rgb="FF1155CC"/>
        <sz val="11.0"/>
        <u/>
      </rPr>
      <t>29 nov 2024</t>
    </r>
  </si>
  <si>
    <t>Forbes Colombia</t>
  </si>
  <si>
    <t>Petrolera española Repsol vende a GeoPark activos en Colombia por 500 millones de euros</t>
  </si>
  <si>
    <t>Son dos activos de exploración y producción de petróleo y gas en Colombia que fueron vendidos a la empresa Latinoamericana Geopark en Colombia.</t>
  </si>
  <si>
    <t>Spanish oil company Repsol sells assets in Colombia to GeoPark for 500 million euros</t>
  </si>
  <si>
    <t>There are two oil and gas exploration and production assets in Colombia that were sold to the Latin American company Geopark in Colombia.</t>
  </si>
  <si>
    <t>Neutral sentiment, as it simply reports on the transaction.</t>
  </si>
  <si>
    <t>Neutral; factual reporting of sale.</t>
  </si>
  <si>
    <t>Neutral; informe fáctico de la venta.</t>
  </si>
  <si>
    <r>
      <rPr>
        <rFont val="Arial, sans-serif"/>
        <color rgb="FF1155CC"/>
        <sz val="9.0"/>
        <u/>
      </rPr>
      <t>LaRepublica.co</t>
    </r>
    <r>
      <rPr>
        <rFont val="Arial, sans-serif"/>
        <color rgb="FF1155CC"/>
        <sz val="15.0"/>
        <u/>
      </rPr>
      <t>GeoPark llegó a acuerdo para adquirir activos de exploración y producción de Repsol</t>
    </r>
    <r>
      <rPr>
        <rFont val="Arial, sans-serif"/>
        <color rgb="FF1155CC"/>
        <sz val="11.0"/>
        <u/>
      </rPr>
      <t>De acuerdo con la entidad, esta adquisición potencial incorporaría activos de alta calidad ubicados en la prolífica cuenca de los Llanos Orientales.</t>
    </r>
    <r>
      <rPr>
        <rFont val="Arial, sans-serif"/>
        <color rgb="FF1155CC"/>
        <sz val="12.0"/>
        <u/>
      </rPr>
      <t>.</t>
    </r>
    <r>
      <rPr>
        <rFont val="Arial, sans-serif"/>
        <color rgb="FF1155CC"/>
        <sz val="11.0"/>
        <u/>
      </rPr>
      <t>29 nov 2024</t>
    </r>
  </si>
  <si>
    <t>GeoPark llegó a acuerdo para adquirir activos de exploración y producción de Repsol</t>
  </si>
  <si>
    <t>De acuerdo con la entidad, esta adquisición potencial incorporaría activos de alta calidad ubicados en la prolífica cuenca de los Llanos Orientales.</t>
  </si>
  <si>
    <t>GeoPark reached an agreement to acquire exploration and production assets from Repsol</t>
  </si>
  <si>
    <t>According to the entity, this potential acquisition would incorporate high-quality assets located in the prolific Llanos Orientales basin.</t>
  </si>
  <si>
    <t>GeoPark, Repsol, Assets</t>
  </si>
  <si>
    <t>GeoPark, Repsol, Activos</t>
  </si>
  <si>
    <t>Neutral sentiment, as it focuses on the business transaction without judgment.</t>
  </si>
  <si>
    <t>Neutral; no direct impact on Repsol’s image.</t>
  </si>
  <si>
    <t>Neutral; sin impacto directo en la imagen de Repsol.</t>
  </si>
  <si>
    <r>
      <rPr>
        <rFont val="Arial, sans-serif"/>
        <color rgb="FF1155CC"/>
        <sz val="9.0"/>
        <u/>
      </rPr>
      <t>SegurosNews</t>
    </r>
    <r>
      <rPr>
        <rFont val="Arial, sans-serif"/>
        <color rgb="FF1155CC"/>
        <sz val="15.0"/>
        <u/>
      </rPr>
      <t>MGS Seguros acompaña de nuevo a Isidre Esteve en su participación en el Dakar</t>
    </r>
    <r>
      <rPr>
        <rFont val="Arial, sans-serif"/>
        <color rgb="FF1155CC"/>
        <sz val="11.0"/>
        <u/>
      </rPr>
      <t>MGS Seguros volverá a acompañar al piloto de rallies Isidre Esteve en su participación en el Rally Dakar. Así lo anunció la aseguradora en el acto de...</t>
    </r>
    <r>
      <rPr>
        <rFont val="Arial, sans-serif"/>
        <color rgb="FF1155CC"/>
        <sz val="12.0"/>
        <u/>
      </rPr>
      <t>.</t>
    </r>
    <r>
      <rPr>
        <rFont val="Arial, sans-serif"/>
        <color rgb="FF1155CC"/>
        <sz val="11.0"/>
        <u/>
      </rPr>
      <t>29 nov 2024</t>
    </r>
  </si>
  <si>
    <t>SegurosNews</t>
  </si>
  <si>
    <t>MGS Seguros acompaña de nuevo a Isidre Esteve en su participación en el Dakar</t>
  </si>
  <si>
    <t>MGS Seguros volverá a acompañar al piloto de rallies Isidre Esteve en su participación en el Rally Dakar. Así lo anunció la aseguradora en el acto de....</t>
  </si>
  <si>
    <t>MGS Seguros once again accompanies Isidre Esteve in his participation in the Dakar</t>
  </si>
  <si>
    <t>MGS Seguros will once again accompany rally driver Isidre Esteve in his participation in the Dakar Rally. This was announced by the insurer at the event of....</t>
  </si>
  <si>
    <r>
      <rPr>
        <rFont val="Arial, sans-serif"/>
        <color rgb="FF1155CC"/>
        <sz val="9.0"/>
        <u/>
      </rPr>
      <t>Valora Analitik</t>
    </r>
    <r>
      <rPr>
        <rFont val="Arial, sans-serif"/>
        <color rgb="FF1155CC"/>
        <sz val="15.0"/>
        <u/>
      </rPr>
      <t>Repsol vende activos de upstream en Colombia: Geopark hace oferta para quedarse con ellos</t>
    </r>
    <r>
      <rPr>
        <rFont val="Arial, sans-serif"/>
        <color rgb="FF1155CC"/>
        <sz val="11.0"/>
        <u/>
      </rPr>
      <t>La petrolera independiente GeoPark Limited anunció hoy la firma de acuerdos de compraventa con Repsol Exploración S.A. y Repsol E&amp;P S.A.R.L para adquirir...</t>
    </r>
    <r>
      <rPr>
        <rFont val="Arial, sans-serif"/>
        <color rgb="FF1155CC"/>
        <sz val="12.0"/>
        <u/>
      </rPr>
      <t>.</t>
    </r>
    <r>
      <rPr>
        <rFont val="Arial, sans-serif"/>
        <color rgb="FF1155CC"/>
        <sz val="11.0"/>
        <u/>
      </rPr>
      <t>29 nov 2024</t>
    </r>
  </si>
  <si>
    <t>Repsol vende activos de upstream en Colombia: Geopark hace oferta para quedarse con ellos</t>
  </si>
  <si>
    <t>La petrolera independiente GeoPark Limited anunció hoy la firma de acuerdos de compraventa con Repsol Exploración S.A. y Repsol E&amp;P S.A.R.L para adquirir....</t>
  </si>
  <si>
    <t>Repsol sells upstream assets in Colombia: Geopark makes an offer to keep them</t>
  </si>
  <si>
    <t>The independent oil company GeoPark Limited announced today the signing of purchase and sale agreements with Repsol Exploración S.A. and Repsol E&amp;P S.A.R.L to acquire....</t>
  </si>
  <si>
    <t>Negative sentiment, as it implies a loss or divestment for Repsol.</t>
  </si>
  <si>
    <t>Neutral; no sentiment implied.</t>
  </si>
  <si>
    <t>Neutral; ningún sentimiento implicado.</t>
  </si>
  <si>
    <r>
      <rPr>
        <rFont val="Arial, sans-serif"/>
        <color rgb="FF1155CC"/>
        <sz val="9.0"/>
        <u/>
      </rPr>
      <t>Diari de Tarragona</t>
    </r>
    <r>
      <rPr>
        <rFont val="Arial, sans-serif"/>
        <color rgb="FF1155CC"/>
        <sz val="15.0"/>
        <u/>
      </rPr>
      <t>El sur de Catalunya se reposiciona en el mapa de las grandes inversiones</t>
    </r>
    <r>
      <rPr>
        <rFont val="Arial, sans-serif"/>
        <color rgb="FF1155CC"/>
        <sz val="11.0"/>
        <u/>
      </rPr>
      <t>Sin duda una de las inversiones más sonadas en la provincia de Tarragona es la que ha iniciado en Mont-roig del Camp la tecnológica surcoreana Lotte E...</t>
    </r>
    <r>
      <rPr>
        <rFont val="Arial, sans-serif"/>
        <color rgb="FF1155CC"/>
        <sz val="12.0"/>
        <u/>
      </rPr>
      <t>.</t>
    </r>
    <r>
      <rPr>
        <rFont val="Arial, sans-serif"/>
        <color rgb="FF1155CC"/>
        <sz val="11.0"/>
        <u/>
      </rPr>
      <t>29 nov 2024</t>
    </r>
  </si>
  <si>
    <t>El sur de Catalunya se reposiciona en el mapa de las grandes inversiones</t>
  </si>
  <si>
    <t>Sin duda una de las inversiones más sonadas en la provincia de Tarragona es la que ha iniciado en Mont-roig del Camp la tecnológica surcoreana Lotte E....</t>
  </si>
  <si>
    <t>The south of Catalonia is repositioned on the map of large investments</t>
  </si>
  <si>
    <t>Without a doubt one of the most talked-about investments in the province of Tarragona is the one that the South Korean technology company Lotte E has started in Mont-roig del Camp....</t>
  </si>
  <si>
    <r>
      <rPr>
        <rFont val="Arial, sans-serif"/>
        <color rgb="FF1155CC"/>
        <sz val="9.0"/>
        <u/>
      </rPr>
      <t>ELTIEMPO.COM</t>
    </r>
    <r>
      <rPr>
        <rFont val="Arial, sans-serif"/>
        <color rgb="FF1155CC"/>
        <sz val="15.0"/>
        <u/>
      </rPr>
      <t>GeoPark firmó acuerdo para comprar los activos petroleros de Repsol en Colombia por US$ 530 millones</t>
    </r>
    <r>
      <rPr>
        <rFont val="Arial, sans-serif"/>
        <color rgb="FF1155CC"/>
        <sz val="11.0"/>
        <u/>
      </rPr>
      <t>El negocio incluye el 45 por ciento del Bloque CPO-9 y un 25 por ciento de la empresa SierraCol Energy.</t>
    </r>
    <r>
      <rPr>
        <rFont val="Arial, sans-serif"/>
        <color rgb="FF1155CC"/>
        <sz val="12.0"/>
        <u/>
      </rPr>
      <t>.</t>
    </r>
    <r>
      <rPr>
        <rFont val="Arial, sans-serif"/>
        <color rgb="FF1155CC"/>
        <sz val="11.0"/>
        <u/>
      </rPr>
      <t>29 nov 2024</t>
    </r>
  </si>
  <si>
    <t>ELTIEMPO.COM</t>
  </si>
  <si>
    <t>GeoPark firmó acuerdo para comprar los activos petroleros de Repsol en Colombia por US$ 530 millones</t>
  </si>
  <si>
    <t>El negocio incluye el 45 por ciento del Bloque CPO-9 y un 25 por ciento de la empresa SierraCol Energy.</t>
  </si>
  <si>
    <t>GeoPark signed an agreement to buy Repsol's oil assets in Colombia for US$ 530 million</t>
  </si>
  <si>
    <t>The business includes 45 percent of the CPO-9 Block and 25 percent of the SierraCol Energy company.</t>
  </si>
  <si>
    <t>Neutral sentiment, a factual report on a financial deal.</t>
  </si>
  <si>
    <t>Neutral; transactional news.</t>
  </si>
  <si>
    <t>Neutral; noticias transaccionales.</t>
  </si>
  <si>
    <r>
      <rPr>
        <rFont val="Arial, sans-serif"/>
        <color rgb="FF1155CC"/>
        <sz val="9.0"/>
        <u/>
      </rPr>
      <t>360 Radio</t>
    </r>
    <r>
      <rPr>
        <rFont val="Arial, sans-serif"/>
        <color rgb="FF1155CC"/>
        <sz val="15.0"/>
        <u/>
      </rPr>
      <t>GeoPark sacude el mercado y anuncia compra de importante unidad de negocio de Repsol en Colombia</t>
    </r>
    <r>
      <rPr>
        <rFont val="Arial, sans-serif"/>
        <color rgb="FF1155CC"/>
        <sz val="11.0"/>
        <u/>
      </rPr>
      <t>GeoPark anunció a primera hora del viernes un movimiento clave para el mercado, se trata de la compra de una importante unidad de negocio de Repsol en...</t>
    </r>
    <r>
      <rPr>
        <rFont val="Arial, sans-serif"/>
        <color rgb="FF1155CC"/>
        <sz val="12.0"/>
        <u/>
      </rPr>
      <t>.</t>
    </r>
    <r>
      <rPr>
        <rFont val="Arial, sans-serif"/>
        <color rgb="FF1155CC"/>
        <sz val="11.0"/>
        <u/>
      </rPr>
      <t>29 nov 2024</t>
    </r>
  </si>
  <si>
    <t>360 Radio</t>
  </si>
  <si>
    <t>GeoPark sacude el mercado y anuncia compra de importante unidad de negocio de Repsol en Colombia</t>
  </si>
  <si>
    <t>GeoPark anunció a primera hora del viernes un movimiento clave para el mercado, se trata de la compra de una importante unidad de negocio de Repsol en....</t>
  </si>
  <si>
    <t>GeoPark shakes up the market and announces the purchase of an important Repsol business unit in Colombia</t>
  </si>
  <si>
    <t>GeoPark announced early on Friday a key move for the market, it is the purchase of an important business unit of Repsol in...</t>
  </si>
  <si>
    <t>GeoPark, Repsol, Colombia</t>
  </si>
  <si>
    <t>GeoParque, Repsol, Colombia</t>
  </si>
  <si>
    <t>Positive sentiment, as it suggests strategic market movement.</t>
  </si>
  <si>
    <t>sacude, "compra"</t>
  </si>
  <si>
    <t>Slightly negative due to "sacude" (shakes).</t>
  </si>
  <si>
    <t>Ligeramente negativo debido a "sacude" (sacudidas).</t>
  </si>
  <si>
    <r>
      <rPr>
        <rFont val="Arial, sans-serif"/>
        <color rgb="FF1155CC"/>
        <sz val="9.0"/>
        <u/>
      </rPr>
      <t>Yahoo</t>
    </r>
    <r>
      <rPr>
        <rFont val="Arial, sans-serif"/>
        <color rgb="FF1155CC"/>
        <sz val="15.0"/>
        <u/>
      </rPr>
      <t>La “fiesta” sigue en la petrolera Repsol, mientras sus acciones se desploman un 20% en bolsa</t>
    </r>
    <r>
      <rPr>
        <rFont val="Arial, sans-serif"/>
        <color rgb="FF1155CC"/>
        <sz val="11.0"/>
        <u/>
      </rPr>
      <t>Y literalmente hablamos de “fiesta”, porque la última campaña de Repsol es andar contando chistes sobre motos entre el futbolista Joaquín y Marc Marquez.</t>
    </r>
    <r>
      <rPr>
        <rFont val="Arial, sans-serif"/>
        <color rgb="FF1155CC"/>
        <sz val="12.0"/>
        <u/>
      </rPr>
      <t>.</t>
    </r>
    <r>
      <rPr>
        <rFont val="Arial, sans-serif"/>
        <color rgb="FF1155CC"/>
        <sz val="11.0"/>
        <u/>
      </rPr>
      <t>30 nov 2024</t>
    </r>
  </si>
  <si>
    <t>La “fiesta” sigue en la petrolera Repsol, mientras sus acciones se desploman un 20% en bolsa</t>
  </si>
  <si>
    <t>La “fiesta” sigue en la petrolera Repsol, mientras sus acciones se desploman un 20% en bolsa. Y literalmente hablamos de “fiesta”, porque la última campaña de Repsol es andar contando chistes sobre motos entre el futbolista Joaquín y Marc Marquez.</t>
  </si>
  <si>
    <t>The “party” continues at the oil company Repsol, while its shares plummet 20% on the stock market</t>
  </si>
  <si>
    <t>The “party” continues at the oil company Repsol, while its shares plummet 20% on the stock market. And we literally talk about “party”, because Repsol's latest campaign is telling jokes about motorcycles between the soccer player Joaquín and Marc Marquez.</t>
  </si>
  <si>
    <t>Repsol, Shares, Stock Market</t>
  </si>
  <si>
    <t>Repsol, Acciones, Bolsa de Valores</t>
  </si>
  <si>
    <t>Negative sentiment, as it criticizes Repsol's stock performance and marketing strategy.</t>
  </si>
  <si>
    <t>fiesta, "desploman"</t>
  </si>
  <si>
    <t>Highly negative due to stock plunge and ironic tone.</t>
  </si>
  <si>
    <t>Altamente negativo debido a la caída de las acciones y al tono irónico.</t>
  </si>
  <si>
    <r>
      <rPr>
        <rFont val="Arial, sans-serif"/>
        <color rgb="FF1155CC"/>
        <sz val="9.0"/>
        <u/>
      </rPr>
      <t>CapitalMadrid</t>
    </r>
    <r>
      <rPr>
        <rFont val="Arial, sans-serif"/>
        <color rgb="FF1155CC"/>
        <sz val="15.0"/>
        <u/>
      </rPr>
      <t>Repsol escapa de Colombia para redibujar su mapa petrolero</t>
    </r>
    <r>
      <rPr>
        <rFont val="Arial, sans-serif"/>
        <color rgb="FF1155CC"/>
        <sz val="11.0"/>
        <u/>
      </rPr>
      <t>Repsol se encuentra forzada cada vez más al desarrollo de su estrategia con la simplificación de su cartera de participadas y la asignación de capital a...</t>
    </r>
    <r>
      <rPr>
        <rFont val="Arial, sans-serif"/>
        <color rgb="FF1155CC"/>
        <sz val="12.0"/>
        <u/>
      </rPr>
      <t>.</t>
    </r>
    <r>
      <rPr>
        <rFont val="Arial, sans-serif"/>
        <color rgb="FF1155CC"/>
        <sz val="11.0"/>
        <u/>
      </rPr>
      <t>30 nov 2024</t>
    </r>
  </si>
  <si>
    <t>Repsol escapa de Colombia para redibujar su mapa petrolero</t>
  </si>
  <si>
    <t>Repsol se encuentra forzada cada vez más al desarrollo de su estrategia con la simplificación de su cartera de participadas y la asignación de capital a....</t>
  </si>
  <si>
    <t>Repsol escapes from Colombia to redraw its oil map</t>
  </si>
  <si>
    <t>Repsol is increasingly forced to develop its strategy with the simplification of its portfolio of investees and the allocation of capital to...</t>
  </si>
  <si>
    <t>Repsol, Colombia, Strategy</t>
  </si>
  <si>
    <t>Repsol, Colombia, Estrategia</t>
  </si>
  <si>
    <t>Negative sentiment, as it frames the divestment as a forced move.</t>
  </si>
  <si>
    <t>escapa</t>
  </si>
  <si>
    <t>Negative connotation ("escapes").</t>
  </si>
  <si>
    <t>Connotación negativa ("escapes").</t>
  </si>
  <si>
    <r>
      <rPr>
        <rFont val="Arial, sans-serif"/>
        <color rgb="FF1155CC"/>
        <sz val="9.0"/>
        <u/>
      </rPr>
      <t>101TV</t>
    </r>
    <r>
      <rPr>
        <rFont val="Arial, sans-serif"/>
        <color rgb="FF1155CC"/>
        <sz val="15.0"/>
        <u/>
      </rPr>
      <t>Bosque Urbano de Málaga: un centenar de personas plantan cincuenta nuevos árboles en el solar de Repsol</t>
    </r>
    <r>
      <rPr>
        <rFont val="Arial, sans-serif"/>
        <color rgb="FF1155CC"/>
        <sz val="11.0"/>
        <u/>
      </rPr>
      <t>La ciudad de Málaga cuenta con playas, paseos, parques, estadios, centros comerciales, y todo tipo de equipamientos. No obstante, de un tiempo a esta parte,...</t>
    </r>
    <r>
      <rPr>
        <rFont val="Arial, sans-serif"/>
        <color rgb="FF1155CC"/>
        <sz val="12.0"/>
        <u/>
      </rPr>
      <t>.</t>
    </r>
    <r>
      <rPr>
        <rFont val="Arial, sans-serif"/>
        <color rgb="FF1155CC"/>
        <sz val="11.0"/>
        <u/>
      </rPr>
      <t>30 nov 2024</t>
    </r>
  </si>
  <si>
    <t>101TV</t>
  </si>
  <si>
    <t>Bosque Urbano de Málaga: un centenar de personas plantan cincuenta nuevos árboles en el solar de Repsol</t>
  </si>
  <si>
    <t>La ciudad de Málaga cuenta con playas, paseos, parques, estadios, centros comerciales, y todo tipo de equipamientos. No obstante, de un tiempo a esta parte,...</t>
  </si>
  <si>
    <t>Málaga Urban Forest: a hundred people plant fifty new trees on the Repsol site</t>
  </si>
  <si>
    <t>The city of Malaga has beaches, promenades, parks, stadiums, shopping centers, and all kinds of facilities. However, for some time now,...</t>
  </si>
  <si>
    <r>
      <rPr>
        <rFont val="Arial, sans-serif"/>
        <color rgb="FF1155CC"/>
        <sz val="9.0"/>
        <u/>
      </rPr>
      <t>La Opinión de Málaga</t>
    </r>
    <r>
      <rPr>
        <rFont val="Arial, sans-serif"/>
        <color rgb="FF1155CC"/>
        <sz val="15.0"/>
        <u/>
      </rPr>
      <t>Bosque Urbano planta más de 50 árboles en los terrenos de Repsol</t>
    </r>
    <r>
      <rPr>
        <rFont val="Arial, sans-serif"/>
        <color rgb="FF1155CC"/>
        <sz val="11.0"/>
        <u/>
      </rPr>
      <t>La plataforma ha plantado pinos piñoneros, pinos mediterráneos, álamos blancos, algarrobos, acebuches, encinas y sabinas.</t>
    </r>
    <r>
      <rPr>
        <rFont val="Arial, sans-serif"/>
        <color rgb="FF1155CC"/>
        <sz val="12.0"/>
        <u/>
      </rPr>
      <t>.</t>
    </r>
    <r>
      <rPr>
        <rFont val="Arial, sans-serif"/>
        <color rgb="FF1155CC"/>
        <sz val="11.0"/>
        <u/>
      </rPr>
      <t>30 nov 2024</t>
    </r>
  </si>
  <si>
    <t>Bosque Urbano planta más de 50 árboles en los terrenos de Repsol</t>
  </si>
  <si>
    <t>La plataforma ha plantado pinos piñoneros, pinos mediterráneos, álamos blancos, algarrobos, acebuches, encinas y sabinas.</t>
  </si>
  <si>
    <t>Urban Forest plants more than 50 trees on Repsol land</t>
  </si>
  <si>
    <t>The platform has planted stone pines, Mediterranean pines, white poplars, carob trees, wild olive trees, holm oaks and juniper trees.</t>
  </si>
  <si>
    <r>
      <rPr>
        <rFont val="Arial, sans-serif"/>
        <color rgb="FF1155CC"/>
        <sz val="9.0"/>
        <u/>
      </rPr>
      <t>El Español</t>
    </r>
    <r>
      <rPr>
        <rFont val="Arial, sans-serif"/>
        <color rgb="FF1155CC"/>
        <sz val="15.0"/>
        <u/>
      </rPr>
      <t>Iberdrola, Endesa, Repsol, Zunder, Tesla... Así queda el 'ranking' de los puntos de carga de coche eléctrico en España</t>
    </r>
    <r>
      <rPr>
        <rFont val="Arial, sans-serif"/>
        <color rgb="FF1155CC"/>
        <sz val="11.0"/>
        <u/>
      </rPr>
      <t>Iberdrola con 8.100 puntos, Endesa con más de 5.600 y Repsol con 2.000 son los grandes líderes de la movilidad eléctrica. Más información: España ya es el...</t>
    </r>
    <r>
      <rPr>
        <rFont val="Arial, sans-serif"/>
        <color rgb="FF1155CC"/>
        <sz val="12.0"/>
        <u/>
      </rPr>
      <t>.</t>
    </r>
    <r>
      <rPr>
        <rFont val="Arial, sans-serif"/>
        <color rgb="FF1155CC"/>
        <sz val="11.0"/>
        <u/>
      </rPr>
      <t>30 nov 2024</t>
    </r>
  </si>
  <si>
    <t>Iberdrola, Endesa, Repsol, Zunder, Tesla... Así queda el 'ranking' de los puntos de carga de coche eléctrico en España</t>
  </si>
  <si>
    <t>Iberdrola con 8.100 puntos, Endesa con más de 5.600 y Repsol con 2.000 son los grandes líderes de la movilidad eléctrica. Más información: España ya es el....</t>
  </si>
  <si>
    <t>Iberdrola, Endesa, Repsol, Zunder, Tesla... This is the ranking of electric car charging points in Spain</t>
  </si>
  <si>
    <t>Iberdrola with 8,100 points, Endesa with more than 5,600 and Repsol with 2,000 are the great leaders of electric mobility. More information: Spain is already the....</t>
  </si>
  <si>
    <t>Repsol, Electric Car, Charging Points</t>
  </si>
  <si>
    <t>Repsol, Coche Eléctrico, Puntos de Recarga</t>
  </si>
  <si>
    <t>Positive sentiment, as it positions Repsol as a key player in electric mobility.</t>
  </si>
  <si>
    <t>Mildly positive for EV infrastructure mention.</t>
  </si>
  <si>
    <t>Ligeramente positivo para la mención de infraestructura de vehículos eléctricos.</t>
  </si>
  <si>
    <r>
      <rPr>
        <rFont val="Arial, sans-serif"/>
        <color rgb="FF1155CC"/>
        <sz val="9.0"/>
        <u/>
      </rPr>
      <t>Car and Driver</t>
    </r>
    <r>
      <rPr>
        <rFont val="Arial, sans-serif"/>
        <color rgb="FF1155CC"/>
        <sz val="15.0"/>
        <u/>
      </rPr>
      <t>Kia convierte algunos de sus concesionarios en rent a car</t>
    </r>
    <r>
      <rPr>
        <rFont val="Arial, sans-serif"/>
        <color rgb="FF1155CC"/>
        <sz val="11.0"/>
        <u/>
      </rPr>
      <t>No lo llames Wible Drive, llámalo Kia Drive: la marca coreana renueva su servicio de alquiler de coches canalizado a través de sus concesionarios.</t>
    </r>
    <r>
      <rPr>
        <rFont val="Arial, sans-serif"/>
        <color rgb="FF1155CC"/>
        <sz val="12.0"/>
        <u/>
      </rPr>
      <t>.</t>
    </r>
    <r>
      <rPr>
        <rFont val="Arial, sans-serif"/>
        <color rgb="FF1155CC"/>
        <sz val="11.0"/>
        <u/>
      </rPr>
      <t>30 nov 2024</t>
    </r>
  </si>
  <si>
    <t>Kia convierte algunos de sus concesionarios en rent a car</t>
  </si>
  <si>
    <t>No lo llames Wible Drive, llámalo Kia Drive: la marca coreana renueva su servicio de alquiler de coches canalizado a través de sus concesionarios.</t>
  </si>
  <si>
    <t>Kia converts some of its dealerships into rent a car</t>
  </si>
  <si>
    <t>Don't call it Wible Drive, call it Kia Drive: the Korean brand renews its car rental service channeled through its dealers.</t>
  </si>
  <si>
    <r>
      <rPr>
        <rFont val="Arial, sans-serif"/>
        <color rgb="FF1155CC"/>
        <sz val="9.0"/>
        <u/>
      </rPr>
      <t>Economía Digital</t>
    </r>
    <r>
      <rPr>
        <rFont val="Arial, sans-serif"/>
        <color rgb="FF1155CC"/>
        <sz val="15.0"/>
        <u/>
      </rPr>
      <t>¿Cuánto gana Amancio Ortega con sus parques eólicos?</t>
    </r>
    <r>
      <rPr>
        <rFont val="Arial, sans-serif"/>
        <color rgb="FF1155CC"/>
        <sz val="11.0"/>
        <u/>
      </rPr>
      <t>Los activos eólicos y fotovoltaicos participados por Pontegadea cerraron 2023 con un beneficio bruto de más de 50 millones, pero el holding del fundador de.</t>
    </r>
    <r>
      <rPr>
        <rFont val="Arial, sans-serif"/>
        <color rgb="FF1155CC"/>
        <sz val="12.0"/>
        <u/>
      </rPr>
      <t>.</t>
    </r>
    <r>
      <rPr>
        <rFont val="Arial, sans-serif"/>
        <color rgb="FF1155CC"/>
        <sz val="11.0"/>
        <u/>
      </rPr>
      <t>30 nov 2024</t>
    </r>
  </si>
  <si>
    <t>¿Cuánto gana Amancio Ortega con sus parques eólicos?</t>
  </si>
  <si>
    <t>Los activos eólicos y fotovoltaicos participados por Pontegadea cerraron 2023 con un beneficio bruto de más de 50 millones, pero el holding del fundador de..</t>
  </si>
  <si>
    <t>How much does Amancio Ortega earn from his wind farms?</t>
  </si>
  <si>
    <t>The wind and photovoltaic assets owned by Pontegadea closed 2023 with a gross profit of more than 50 million, but the holding company of the founder of...</t>
  </si>
  <si>
    <r>
      <rPr>
        <rFont val="Arial, sans-serif"/>
        <color rgb="FF1155CC"/>
        <sz val="9.0"/>
        <u/>
      </rPr>
      <t>El Economista</t>
    </r>
    <r>
      <rPr>
        <rFont val="Arial, sans-serif"/>
        <color rgb="FF1155CC"/>
        <sz val="15.0"/>
        <u/>
      </rPr>
      <t>'La Cartera' se compra con un 9% de descuento frente al Ibex por PER</t>
    </r>
    <r>
      <rPr>
        <rFont val="Arial, sans-serif"/>
        <color rgb="FF1155CC"/>
        <sz val="11.0"/>
        <u/>
      </rPr>
      <t>Durante la última semana La Cartera de elEconomista.es ha logrado recuperar algo de la rentabilidad perdida en las semanas anteriores y ...</t>
    </r>
    <r>
      <rPr>
        <rFont val="Arial, sans-serif"/>
        <color rgb="FF1155CC"/>
        <sz val="12.0"/>
        <u/>
      </rPr>
      <t>.</t>
    </r>
    <r>
      <rPr>
        <rFont val="Arial, sans-serif"/>
        <color rgb="FF1155CC"/>
        <sz val="11.0"/>
        <u/>
      </rPr>
      <t>30 nov 2024</t>
    </r>
  </si>
  <si>
    <t>La Cartera se compra con un 9% de descuento frente al Ibex por PER</t>
  </si>
  <si>
    <t>La Cartera de elEconomista.es ha logrado recuperar algo de la rentabilidad perdida en las semanas anteriores y ....</t>
  </si>
  <si>
    <t>The Portfolio is purchased with a 9% discount against the Ibex per PER</t>
  </si>
  <si>
    <t>The elEconomista.es Portfolio has managed to recover some of the profitability lost in previous weeks and....</t>
  </si>
  <si>
    <r>
      <rPr>
        <rFont val="Arial, sans-serif"/>
        <color rgb="FF1155CC"/>
        <sz val="9.0"/>
        <u/>
      </rPr>
      <t>MotorTime</t>
    </r>
    <r>
      <rPr>
        <rFont val="Arial, sans-serif"/>
        <color rgb="FF1155CC"/>
        <sz val="15.0"/>
        <u/>
      </rPr>
      <t>Isidre Esteve, a por su vigésima participación en el Dakar: “Tenemos muchas ganas”</t>
    </r>
    <r>
      <rPr>
        <rFont val="Arial, sans-serif"/>
        <color rgb="FF1155CC"/>
        <sz val="11.0"/>
        <u/>
      </rPr>
      <t>Isidre Esteve afrontará su vigésimo Dakar, 10 en motos y 10 en coches, junto a Txema Villalobos. El Repsol Toyota Rally Team ha tenido otro año duro...</t>
    </r>
    <r>
      <rPr>
        <rFont val="Arial, sans-serif"/>
        <color rgb="FF1155CC"/>
        <sz val="12.0"/>
        <u/>
      </rPr>
      <t>.</t>
    </r>
    <r>
      <rPr>
        <rFont val="Arial, sans-serif"/>
        <color rgb="FF1155CC"/>
        <sz val="11.0"/>
        <u/>
      </rPr>
      <t>30 nov 2024</t>
    </r>
  </si>
  <si>
    <t>MotorTime</t>
  </si>
  <si>
    <t>Isidre Esteve, a por su vigésima participación en el Dakar: “Tenemos muchas ganas”</t>
  </si>
  <si>
    <t>Isidre Esteve afrontará su vigésimo Dakar, 10 en motos y 10 en coches, junto a Txema Villalobos. El Repsol Toyota Rally Team ha tenido otro año duro.</t>
  </si>
  <si>
    <t>Isidre Esteve, for his twentieth participation in the Dakar: “We are really looking forward to it”</t>
  </si>
  <si>
    <t>Isidre Esteve will face his twentieth Dakar, 10 on motorcycles and 10 in cars, together with Txema Villalobos. The Repsol Toyota Rally Team has had another tough year.</t>
  </si>
  <si>
    <r>
      <rPr>
        <rFont val="Arial, sans-serif"/>
        <color rgb="FF1155CC"/>
        <sz val="9.0"/>
        <u/>
      </rPr>
      <t>Cinco Días</t>
    </r>
    <r>
      <rPr>
        <rFont val="Arial, sans-serif"/>
        <color rgb="FF1155CC"/>
        <sz val="15.0"/>
        <u/>
      </rPr>
      <t>¿Son sostenibles los combustibles sostenibles?</t>
    </r>
    <r>
      <rPr>
        <rFont val="Arial, sans-serif"/>
        <color rgb="FF1155CC"/>
        <sz val="11.0"/>
        <u/>
      </rPr>
      <t>Lo que nos venden es, en realidad, una campaña de marketing para el lavado de imagen de un sector.</t>
    </r>
    <r>
      <rPr>
        <rFont val="Arial, sans-serif"/>
        <color rgb="FF1155CC"/>
        <sz val="12.0"/>
        <u/>
      </rPr>
      <t>.</t>
    </r>
    <r>
      <rPr>
        <rFont val="Arial, sans-serif"/>
        <color rgb="FF1155CC"/>
        <sz val="11.0"/>
        <u/>
      </rPr>
      <t>30 nov 2024</t>
    </r>
  </si>
  <si>
    <t>¿Son sostenibles los combustibles sostenibles?</t>
  </si>
  <si>
    <t>Lo que nos venden es, en realidad, una campaña de marketing para el lavado de imagen de un sector.</t>
  </si>
  <si>
    <t>Are sustainable fuels sustainable?</t>
  </si>
  <si>
    <t>What they sell us is, in reality, a marketing campaign to whitewash the image of a sector.</t>
  </si>
  <si>
    <r>
      <rPr>
        <rFont val="Arial, sans-serif"/>
        <color rgb="FF1155CC"/>
        <sz val="9.0"/>
        <u/>
      </rPr>
      <t>Estrategias de Inversión</t>
    </r>
    <r>
      <rPr>
        <rFont val="Arial, sans-serif"/>
        <color rgb="FF1155CC"/>
        <sz val="15.0"/>
        <u/>
      </rPr>
      <t>La “fiesta” sigue en la petrolera Repsol, mientras sus acciones se desploman un 20% en bolsa</t>
    </r>
    <r>
      <rPr>
        <rFont val="Arial, sans-serif"/>
        <color rgb="FF1155CC"/>
        <sz val="11.0"/>
        <u/>
      </rPr>
      <t>La “fiesta” sigue en la petrolera Repsol, mientras sus acciones se desploman un 20% en bolsa. análisis de la situación de Repsol en bolsa en el Ibex 35.</t>
    </r>
    <r>
      <rPr>
        <rFont val="Arial, sans-serif"/>
        <color rgb="FF1155CC"/>
        <sz val="12.0"/>
        <u/>
      </rPr>
      <t>.</t>
    </r>
    <r>
      <rPr>
        <rFont val="Arial, sans-serif"/>
        <color rgb="FF1155CC"/>
        <sz val="11.0"/>
        <u/>
      </rPr>
      <t>1 dic 2024</t>
    </r>
  </si>
  <si>
    <t>La “fiesta” sigue en la petrolera Repsol, mientras sus acciones se desploman un 20% en bolsa. análisis de la situación de Repsol en bolsa en el Ibex 35.</t>
  </si>
  <si>
    <t>The “party” continues at the oil company Repsol, while its shares plummet 20% on the stock market. analysis of the situation of Repsol on the stock market in the Ibex 35.</t>
  </si>
  <si>
    <t>Negative sentiment, criticizing Repsol’s stock performance.</t>
  </si>
  <si>
    <t>desploman</t>
  </si>
  <si>
    <t>Repeated negative sentiment.</t>
  </si>
  <si>
    <t>Sentimiento negativo repetido.</t>
  </si>
  <si>
    <r>
      <rPr>
        <rFont val="Arial, sans-serif"/>
        <color rgb="FF1155CC"/>
        <sz val="9.0"/>
        <u/>
      </rPr>
      <t>Huelva 24</t>
    </r>
    <r>
      <rPr>
        <rFont val="Arial, sans-serif"/>
        <color rgb="FF1155CC"/>
        <sz val="15.0"/>
        <u/>
      </rPr>
      <t>El restaurante de la Sierra de Huelva que tiene un 'Solete' Repsol: «El mejor lugar para tapear»</t>
    </r>
    <r>
      <rPr>
        <rFont val="Arial, sans-serif"/>
        <color rgb="FF1155CC"/>
        <sz val="11.0"/>
        <u/>
      </rPr>
      <t>Se trata de una taberna típica serrana donde disfrutar de una comida excelente en un ambiente familiar.</t>
    </r>
    <r>
      <rPr>
        <rFont val="Arial, sans-serif"/>
        <color rgb="FF1155CC"/>
        <sz val="12.0"/>
        <u/>
      </rPr>
      <t>.</t>
    </r>
    <r>
      <rPr>
        <rFont val="Arial, sans-serif"/>
        <color rgb="FF1155CC"/>
        <sz val="11.0"/>
        <u/>
      </rPr>
      <t>1 dic 2024</t>
    </r>
  </si>
  <si>
    <t>El restaurante de la Sierra de Huelva que tiene un 'Solete' Repsol: «El mejor lugar para tapear»</t>
  </si>
  <si>
    <t>Se trata de una taberna típica serrana donde disfrutar de una comida excelente en un ambiente familiar.</t>
  </si>
  <si>
    <t>The restaurant in the Sierra de Huelva that has a Repsol 'Solete': "The best place for tapas"</t>
  </si>
  <si>
    <t>This is a typical mountain tavern where you can enjoy excellent food in a family atmosphere.</t>
  </si>
  <si>
    <r>
      <rPr>
        <rFont val="Arial, sans-serif"/>
        <color rgb="FF1155CC"/>
        <sz val="9.0"/>
        <u/>
      </rPr>
      <t>Vandal</t>
    </r>
    <r>
      <rPr>
        <rFont val="Arial, sans-serif"/>
        <color rgb="FF1155CC"/>
        <sz val="15.0"/>
        <u/>
      </rPr>
      <t>Esta es la mejor tortilla de patata de España y se hace en León, según la Guía Repsol</t>
    </r>
    <r>
      <rPr>
        <rFont val="Arial, sans-serif"/>
        <color rgb="FF1155CC"/>
        <sz val="11.0"/>
        <u/>
      </rPr>
      <t>Este manjar de la gastronomía española tiene su aquel para que quede perfecto y en León, lo clavan. La tortilla de patata, ese plato icónico de la...</t>
    </r>
    <r>
      <rPr>
        <rFont val="Arial, sans-serif"/>
        <color rgb="FF1155CC"/>
        <sz val="12.0"/>
        <u/>
      </rPr>
      <t>.</t>
    </r>
    <r>
      <rPr>
        <rFont val="Arial, sans-serif"/>
        <color rgb="FF1155CC"/>
        <sz val="11.0"/>
        <u/>
      </rPr>
      <t>1 dic 2024</t>
    </r>
  </si>
  <si>
    <t>Vandal</t>
  </si>
  <si>
    <t>Esta es la mejor tortilla de patata de España y se hace en León, según la Guía Repsol</t>
  </si>
  <si>
    <t>Este manjar de la gastronomía española tiene su aquel para que quede perfecto y en León, lo clavan. La tortilla de patata, ese plato icónico de la....</t>
  </si>
  <si>
    <t>This is the best potato omelette in Spain and it is made in León, according to the Repsol Guide</t>
  </si>
  <si>
    <t>This delicacy of Spanish gastronomy has its way to make it perfect and in León, they nail it. The potato omelette, that iconic dish of the...</t>
  </si>
  <si>
    <r>
      <rPr>
        <rFont val="Arial, sans-serif"/>
        <color rgb="FF1155CC"/>
        <sz val="9.0"/>
        <u/>
      </rPr>
      <t>Honda Racing Corporation</t>
    </r>
    <r>
      <rPr>
        <rFont val="Arial, sans-serif"/>
        <color rgb="FF1155CC"/>
        <sz val="15.0"/>
        <u/>
      </rPr>
      <t>Spanish National Championship Round 8</t>
    </r>
    <r>
      <rPr>
        <rFont val="Arial, sans-serif"/>
        <color rgb="FF1155CC"/>
        <sz val="11.0"/>
        <u/>
      </rPr>
      <t>El piloto del Repsol Honda Trial Team se lleva la segunda plaza en la general y suma ocho podios este año en la competición nacional.</t>
    </r>
    <r>
      <rPr>
        <rFont val="Arial, sans-serif"/>
        <color rgb="FF1155CC"/>
        <sz val="12.0"/>
        <u/>
      </rPr>
      <t>.</t>
    </r>
    <r>
      <rPr>
        <rFont val="Arial, sans-serif"/>
        <color rgb="FF1155CC"/>
        <sz val="11.0"/>
        <u/>
      </rPr>
      <t>1 dic 2024</t>
    </r>
  </si>
  <si>
    <t>Spanish National Championship Round 8</t>
  </si>
  <si>
    <t>El piloto del Repsol Honda Trial Team se lleva la segunda plaza en la general y suma ocho podios este año en la competición nacional.</t>
  </si>
  <si>
    <t>The Repsol Honda Trial Team rider takes second place overall and has eight podiums this year in the national competition.</t>
  </si>
  <si>
    <r>
      <rPr>
        <rFont val="Arial, sans-serif"/>
        <color rgb="FF1155CC"/>
        <sz val="9.0"/>
        <u/>
      </rPr>
      <t>La Voz de Galicia</t>
    </r>
    <r>
      <rPr>
        <rFont val="Arial, sans-serif"/>
        <color rgb="FF1155CC"/>
        <sz val="15.0"/>
        <u/>
      </rPr>
      <t>La gasolinera de la calle Poñente de Carballo deberá cerrar en breve</t>
    </r>
    <r>
      <rPr>
        <rFont val="Arial, sans-serif"/>
        <color rgb="FF1155CC"/>
        <sz val="11.0"/>
        <u/>
      </rPr>
      <t>Los recursos se han agotado y el Concello le enviará la notificación.</t>
    </r>
    <r>
      <rPr>
        <rFont val="Arial, sans-serif"/>
        <color rgb="FF1155CC"/>
        <sz val="12.0"/>
        <u/>
      </rPr>
      <t>.</t>
    </r>
    <r>
      <rPr>
        <rFont val="Arial, sans-serif"/>
        <color rgb="FF1155CC"/>
        <sz val="11.0"/>
        <u/>
      </rPr>
      <t>1 dic 2024</t>
    </r>
  </si>
  <si>
    <t>La gasolinera de la calle Poñente de Carballo deberá cerrar en breve</t>
  </si>
  <si>
    <t>Los recursos se han agotado y el Concello le enviará la notificación.</t>
  </si>
  <si>
    <t>The gas station on Poñente de Carballo street must close shortly</t>
  </si>
  <si>
    <t>The resources have been exhausted and the City Council will send you notification.</t>
  </si>
  <si>
    <r>
      <rPr>
        <rFont val="Arial, sans-serif"/>
        <color rgb="FF1155CC"/>
        <sz val="9.0"/>
        <u/>
      </rPr>
      <t>MurciaEconomía.com</t>
    </r>
    <r>
      <rPr>
        <rFont val="Arial, sans-serif"/>
        <color rgb="FF1155CC"/>
        <sz val="15.0"/>
        <u/>
      </rPr>
      <t>Juan Guillamón: “Ese concepto de que Murcia es la gran desconocida está cambiando, nuestro nivel gastronómico es muy alto y no tenemos nada que envidiar”</t>
    </r>
    <r>
      <rPr>
        <rFont val="Arial, sans-serif"/>
        <color rgb="FF1155CC"/>
        <sz val="11.0"/>
        <u/>
      </rPr>
      <t>Abandonó sus estudios de ADE porque quería ser cocinero y la decisión fue muy acertada ya que ha rozado el olimpo de los elegidos.</t>
    </r>
    <r>
      <rPr>
        <rFont val="Arial, sans-serif"/>
        <color rgb="FF1155CC"/>
        <sz val="12.0"/>
        <u/>
      </rPr>
      <t>.</t>
    </r>
    <r>
      <rPr>
        <rFont val="Arial, sans-serif"/>
        <color rgb="FF1155CC"/>
        <sz val="11.0"/>
        <u/>
      </rPr>
      <t>1 dic 2024</t>
    </r>
  </si>
  <si>
    <t>Juan Guillamón: “Ese concepto de que Murcia es la gran desconocida está cambiando, nuestro nivel gastronómico es muy alto y no tenemos nada que envidiar”</t>
  </si>
  <si>
    <t>Abandonó sus estudios de ADE porque quería ser cocinero y la decisión fue muy acertada ya que ha rozado el olimpo de los elegidos.</t>
  </si>
  <si>
    <t>Juan Guillamón: “This concept that Murcia is the great unknown is changing, our gastronomic level is very high and we have nothing to envy”</t>
  </si>
  <si>
    <t>He abandoned his ADE studies because he wanted to be a chef and the decision was very correct since he has touched the Olympus of the chosen ones.</t>
  </si>
  <si>
    <r>
      <rPr>
        <rFont val="Arial, sans-serif"/>
        <color rgb="FF1155CC"/>
        <sz val="9.0"/>
        <u/>
      </rPr>
      <t>Emprendedores</t>
    </r>
    <r>
      <rPr>
        <rFont val="Arial, sans-serif"/>
        <color rgb="FF1155CC"/>
        <sz val="15.0"/>
        <u/>
      </rPr>
      <t>Entrevista a José María Baños, fundador de LetsLaw</t>
    </r>
    <r>
      <rPr>
        <rFont val="Arial, sans-serif"/>
        <color rgb="FF1155CC"/>
        <sz val="11.0"/>
        <u/>
      </rPr>
      <t>Entrevista a José María Baños, fundador de LetsLaw, una firma especializada en el derecho tecnológico y digital que ofrece soluciones legales innovadoras.</t>
    </r>
    <r>
      <rPr>
        <rFont val="Arial, sans-serif"/>
        <color rgb="FF1155CC"/>
        <sz val="12.0"/>
        <u/>
      </rPr>
      <t>.</t>
    </r>
    <r>
      <rPr>
        <rFont val="Arial, sans-serif"/>
        <color rgb="FF1155CC"/>
        <sz val="11.0"/>
        <u/>
      </rPr>
      <t>1 dic 2024</t>
    </r>
  </si>
  <si>
    <t>Entrevista a José María Baños, fundador de LetsLaw</t>
  </si>
  <si>
    <t>Entrevista a José María Baños, fundador de LetsLaw, una firma especializada en el derecho tecnológico y digital que ofrece soluciones legales innovadoras.</t>
  </si>
  <si>
    <t>Interview with José María Baños, founder of LetsLaw</t>
  </si>
  <si>
    <t>Interview with José María Baños, founder of LetsLaw, a firm specialized in technological and digital law that offers innovative legal solutions.</t>
  </si>
  <si>
    <r>
      <rPr>
        <rFont val="Arial, sans-serif"/>
        <color rgb="FF1155CC"/>
        <sz val="9.0"/>
        <u/>
      </rPr>
      <t>20Minutos</t>
    </r>
    <r>
      <rPr>
        <rFont val="Arial, sans-serif"/>
        <color rgb="FF1155CC"/>
        <sz val="15.0"/>
        <u/>
      </rPr>
      <t>La factura de la luz recupera todos los impuestos en 2025… y el descuento del bono social también cambia</t>
    </r>
    <r>
      <rPr>
        <rFont val="Arial, sans-serif"/>
        <color rgb="FF1155CC"/>
        <sz val="11.0"/>
        <u/>
      </rPr>
      <t>La modulación del IVA en función del precio medio mensual de la electricidad en el mercado mayorista se acaba y desde enero vuelve al 21% de manera...</t>
    </r>
    <r>
      <rPr>
        <rFont val="Arial, sans-serif"/>
        <color rgb="FF1155CC"/>
        <sz val="12.0"/>
        <u/>
      </rPr>
      <t>.</t>
    </r>
    <r>
      <rPr>
        <rFont val="Arial, sans-serif"/>
        <color rgb="FF1155CC"/>
        <sz val="11.0"/>
        <u/>
      </rPr>
      <t>1 dic 2024</t>
    </r>
  </si>
  <si>
    <t>20 Minutos</t>
  </si>
  <si>
    <t>La factura de la luz recupera todos los impuestos en 2025… y el descuento del bono social también cambia</t>
  </si>
  <si>
    <t>La modulación del IVA en función del precio medio mensual de la electricidad en el mercado mayorista se acaba y desde enero vuelve al 21% de manera....</t>
  </si>
  <si>
    <t>The electricity bill recovers all taxes in 2025… and the social bonus discount also changes</t>
  </si>
  <si>
    <t>The modulation of VAT based on the average monthly price of electricity in the wholesale market ends and since January it returns to 21% so...</t>
  </si>
  <si>
    <r>
      <rPr>
        <rFont val="Arial, sans-serif"/>
        <color rgb="FF1155CC"/>
        <sz val="9.0"/>
        <u/>
      </rPr>
      <t>Kelisto</t>
    </r>
    <r>
      <rPr>
        <rFont val="Arial, sans-serif"/>
        <color rgb="FF1155CC"/>
        <sz val="15.0"/>
        <u/>
      </rPr>
      <t>Ofertas de luz y gas de Repsol</t>
    </r>
    <r>
      <rPr>
        <rFont val="Arial, sans-serif"/>
        <color rgb="FF1155CC"/>
        <sz val="11.0"/>
        <u/>
      </rPr>
      <t>Encuentra las mejores ofertas de Repsol y consulta sus opiniones, servicios, teléfonos y precios en base a tus necesidades.</t>
    </r>
    <r>
      <rPr>
        <rFont val="Arial, sans-serif"/>
        <color rgb="FF1155CC"/>
        <sz val="12.0"/>
        <u/>
      </rPr>
      <t>.</t>
    </r>
    <r>
      <rPr>
        <rFont val="Arial, sans-serif"/>
        <color rgb="FF1155CC"/>
        <sz val="11.0"/>
        <u/>
      </rPr>
      <t>2 dic 2024</t>
    </r>
  </si>
  <si>
    <t>Ofertas de luz y gas de Repsol</t>
  </si>
  <si>
    <t>Encuentra las mejores ofertas de Repsol y consulta sus opiniones, servicios, teléfonos y precios en base a tus necesidades.</t>
  </si>
  <si>
    <t>Repsol electricity and gas offers</t>
  </si>
  <si>
    <t>Find the best Repsol offers and check their opinions, services, telephone numbers and prices based on your needs.</t>
  </si>
  <si>
    <r>
      <rPr>
        <rFont val="Arial, sans-serif"/>
        <color rgb="FF1155CC"/>
        <sz val="9.0"/>
        <u/>
      </rPr>
      <t>Dénia.com</t>
    </r>
    <r>
      <rPr>
        <rFont val="Arial, sans-serif"/>
        <color rgb="FF1155CC"/>
        <sz val="15.0"/>
        <u/>
      </rPr>
      <t>Jesús Pobre gana un Solete de la Guía Repsol</t>
    </r>
    <r>
      <rPr>
        <rFont val="Arial, sans-serif"/>
        <color rgb="FF1155CC"/>
        <sz val="11.0"/>
        <u/>
      </rPr>
      <t>Jesús Pobre consigue hacerse con un Solete de la Guía Repsol, presentada el pasado 11 de noviembre en una gala celebrada en Córdoba.</t>
    </r>
    <r>
      <rPr>
        <rFont val="Arial, sans-serif"/>
        <color rgb="FF1155CC"/>
        <sz val="12.0"/>
        <u/>
      </rPr>
      <t>.</t>
    </r>
    <r>
      <rPr>
        <rFont val="Arial, sans-serif"/>
        <color rgb="FF1155CC"/>
        <sz val="11.0"/>
        <u/>
      </rPr>
      <t>2 dic 2024</t>
    </r>
  </si>
  <si>
    <t>Jesús Pobre gana un Solete de la Guía Repsol</t>
  </si>
  <si>
    <t>Jesús Pobre consigue hacerse con un Solete de la Guía Repsol, presentada el pasado 11 de noviembre en una gala celebrada en Córdoba.</t>
  </si>
  <si>
    <t>Jesús Pobre wins a Solete from the Repsol Guide</t>
  </si>
  <si>
    <t>Jesús Pobre manages to win a Solete from the Repsol Guide, presented on November 11 at a gala held in Córdoba.</t>
  </si>
  <si>
    <t>Food &amp; Travel</t>
  </si>
  <si>
    <r>
      <rPr>
        <rFont val="Arial, sans-serif"/>
        <color rgb="FF1155CC"/>
        <sz val="9.0"/>
        <u/>
      </rPr>
      <t>CapitalMadrid</t>
    </r>
    <r>
      <rPr>
        <rFont val="Arial, sans-serif"/>
        <color rgb="FF1155CC"/>
        <sz val="15.0"/>
        <u/>
      </rPr>
      <t>A Repsol no le gusta Colombia</t>
    </r>
    <r>
      <rPr>
        <rFont val="Arial, sans-serif"/>
        <color rgb="FF1155CC"/>
        <sz val="11.0"/>
        <u/>
      </rPr>
      <t>En línea con su estrategia de rotación de activos, Repsol ha vendido a GeoPark la totalidad de su filial colombiana Repsol Colombia Oil&amp;Gas, que explota el...</t>
    </r>
    <r>
      <rPr>
        <rFont val="Arial, sans-serif"/>
        <color rgb="FF1155CC"/>
        <sz val="12.0"/>
        <u/>
      </rPr>
      <t>.</t>
    </r>
    <r>
      <rPr>
        <rFont val="Arial, sans-serif"/>
        <color rgb="FF1155CC"/>
        <sz val="11.0"/>
        <u/>
      </rPr>
      <t>2 dic 2024</t>
    </r>
  </si>
  <si>
    <t>A Repsol no le gusta Colombia</t>
  </si>
  <si>
    <t>En línea con su estrategia de rotación de activos, Repsol ha vendido a GeoPark la totalidad de su filial colombiana Repsol Colombia Oil&amp;Gas, que explota el....</t>
  </si>
  <si>
    <t>Repsol does not like Colombia</t>
  </si>
  <si>
    <t>In line with its asset rotation strategy, Repsol has sold to GeoPark all of its Colombian subsidiary Repsol Colombia Oil&amp;Gas, which operates the...</t>
  </si>
  <si>
    <t>Repsol, Colombia, GeoPark</t>
  </si>
  <si>
    <t>Repsol, Colombia, GeoParque</t>
  </si>
  <si>
    <t>Negative sentiment, as it implies Repsol’s withdrawal from Colombia.</t>
  </si>
  <si>
    <t>no le gusta</t>
  </si>
  <si>
    <t>Negative framing of exit strategy.</t>
  </si>
  <si>
    <t>Encuadre negativo de la estrategia de salida.</t>
  </si>
  <si>
    <r>
      <rPr>
        <rFont val="Arial, sans-serif"/>
        <color rgb="FF1155CC"/>
        <sz val="9.0"/>
        <u/>
      </rPr>
      <t>Cinco Días</t>
    </r>
    <r>
      <rPr>
        <rFont val="Arial, sans-serif"/>
        <color rgb="FF1155CC"/>
        <sz val="15.0"/>
        <u/>
      </rPr>
      <t>Así puede regalar acciones de Nvidia, Repsol o CaixaBank por Navidad</t>
    </r>
    <r>
      <rPr>
        <rFont val="Arial, sans-serif"/>
        <color rgb="FF1155CC"/>
        <sz val="11.0"/>
        <u/>
      </rPr>
      <t>Trade Republic permite regalar títulos de empresas o ETF a familiares y amigos, aunque no sean clientes.</t>
    </r>
    <r>
      <rPr>
        <rFont val="Arial, sans-serif"/>
        <color rgb="FF1155CC"/>
        <sz val="12.0"/>
        <u/>
      </rPr>
      <t>.</t>
    </r>
    <r>
      <rPr>
        <rFont val="Arial, sans-serif"/>
        <color rgb="FF1155CC"/>
        <sz val="11.0"/>
        <u/>
      </rPr>
      <t>2 dic 2024</t>
    </r>
  </si>
  <si>
    <t>Así puede regalar acciones de Nvidia, Repsol o CaixaBank por Navidad</t>
  </si>
  <si>
    <t>Trade Republic permite regalar títulos de empresas o ETF a familiares y amigos, aunque no sean clientes.</t>
  </si>
  <si>
    <t>This is how you can give Nvidia, Repsol or CaixaBank shares for Christmas</t>
  </si>
  <si>
    <t>Trade Republic allows you to give company securities or ETFs to family and friends, even if they are not clients.</t>
  </si>
  <si>
    <r>
      <rPr>
        <rFont val="Arial, sans-serif"/>
        <color rgb="FF1155CC"/>
        <sz val="9.0"/>
        <u/>
      </rPr>
      <t>Consenso del Mercado</t>
    </r>
    <r>
      <rPr>
        <rFont val="Arial, sans-serif"/>
        <color rgb="FF1155CC"/>
        <sz val="15.0"/>
        <u/>
      </rPr>
      <t>Noticias Ibex 35 Repsol vende sus activos colombianos a GeoPark con una estimación de reducir la deuda neta del grupo en unos 500 M</t>
    </r>
    <r>
      <rPr>
        <rFont val="Arial, sans-serif"/>
        <color rgb="FF1155CC"/>
        <sz val="11.0"/>
        <u/>
      </rPr>
      <t>Link Securities | En relación a la venta de de activos a GeoPark, anunciada el viernes, en un Hecho Relevante posterior remitido a la CNMV, Repsol estima...</t>
    </r>
    <r>
      <rPr>
        <rFont val="Arial, sans-serif"/>
        <color rgb="FF1155CC"/>
        <sz val="12.0"/>
        <u/>
      </rPr>
      <t>.</t>
    </r>
    <r>
      <rPr>
        <rFont val="Arial, sans-serif"/>
        <color rgb="FF1155CC"/>
        <sz val="11.0"/>
        <u/>
      </rPr>
      <t>2 dic 2024</t>
    </r>
  </si>
  <si>
    <t>Repsol vende sus activos colombianos a GeoPark con una estimación de reducir la deuda neta del grupo en unos 500 M</t>
  </si>
  <si>
    <t>Repsol vende sus activos colombianos a GeoPark con una estimación de reducir la deuda neta del grupo en unos 500 M.</t>
  </si>
  <si>
    <t>Repsol sells its Colombian assets to GeoPark with an estimate of reducing the group's net debt by around 500 million</t>
  </si>
  <si>
    <t>Repsol sells its Colombian assets to GeoPark with an estimate of reducing the group's net debt by around 500 million.</t>
  </si>
  <si>
    <t>Negative sentiment, focusing on divestment and debt reduction.</t>
  </si>
  <si>
    <t>reduce, "deuda"</t>
  </si>
  <si>
    <t>Positive for debt reduction.</t>
  </si>
  <si>
    <t>Positivo para la reducción de la deuda.</t>
  </si>
  <si>
    <r>
      <rPr>
        <rFont val="Arial, sans-serif"/>
        <color rgb="FF1155CC"/>
        <sz val="9.0"/>
        <u/>
      </rPr>
      <t>La Marina Alta .COM</t>
    </r>
    <r>
      <rPr>
        <rFont val="Arial, sans-serif"/>
        <color rgb="FF1155CC"/>
        <sz val="15.0"/>
        <u/>
      </rPr>
      <t>Tres restaurantes «legendarios» brillan con nuevos Soletes 2024 de la Guía Repsol en la Vall de Gallinera,</t>
    </r>
    <r>
      <rPr>
        <rFont val="Arial, sans-serif"/>
        <color rgb="FF1155CC"/>
        <sz val="11.0"/>
        <u/>
      </rPr>
      <t>«Lo de siempre está de moda», comienza explicando la Guía sobre los nuevos reconocimientos, llevando la atención a las raíces, a lo tradicional y a «los...</t>
    </r>
    <r>
      <rPr>
        <rFont val="Arial, sans-serif"/>
        <color rgb="FF1155CC"/>
        <sz val="12.0"/>
        <u/>
      </rPr>
      <t>.</t>
    </r>
    <r>
      <rPr>
        <rFont val="Arial, sans-serif"/>
        <color rgb="FF1155CC"/>
        <sz val="11.0"/>
        <u/>
      </rPr>
      <t>2 dic 2024</t>
    </r>
  </si>
  <si>
    <t>Tres restaurantes «legendarios» brillan con nuevos Soletes 2024 de la Guía Repsol en la Vall de Gallinera</t>
  </si>
  <si>
    <t>Tres restaurantes «legendarios» brillan con nuevos Soletes 2024 de la Guía Repsol en la Vall de Gallinera,«Lo de siempre está de moda», comienza explicando la Guía sobre los nuevos reconocimientos, llevando la atención a las raíces, a lo tradicional y a «los....</t>
  </si>
  <si>
    <t>Three “legendary” restaurants shine with new Soletes 2024 from the Repsol Guide in the Vall de Gallinera</t>
  </si>
  <si>
    <t>Three “legendary” restaurants shine with new Soletes 2024 from the Repsol Guide in the Vall de Gallinera, “The usual is in fashion”, the Guide begins by explaining the new recognitions, bringing attention to the roots, the traditional and “the....</t>
  </si>
  <si>
    <r>
      <rPr>
        <rFont val="Arial, sans-serif"/>
        <color rgb="FF1155CC"/>
        <sz val="9.0"/>
        <u/>
      </rPr>
      <t>Ministerio de Agricultura,Pesca y Alimentación</t>
    </r>
    <r>
      <rPr>
        <rFont val="Arial, sans-serif"/>
        <color rgb="FF1155CC"/>
        <sz val="15.0"/>
        <u/>
      </rPr>
      <t>Aumenta el consumo responsable de los ciudadanos en línea con los valores de la estrategia Alimentos de España</t>
    </r>
    <r>
      <rPr>
        <rFont val="Arial, sans-serif"/>
        <color rgb="FF1155CC"/>
        <sz val="11.0"/>
        <u/>
      </rPr>
      <t>Según el informe, más de 12 millones de personas han mostrado interés en la sostenibilidad alimentaria y se consolida como una prioridad social y no una...</t>
    </r>
    <r>
      <rPr>
        <rFont val="Arial, sans-serif"/>
        <color rgb="FF1155CC"/>
        <sz val="12.0"/>
        <u/>
      </rPr>
      <t>.</t>
    </r>
    <r>
      <rPr>
        <rFont val="Arial, sans-serif"/>
        <color rgb="FF1155CC"/>
        <sz val="11.0"/>
        <u/>
      </rPr>
      <t>2 dic 2024</t>
    </r>
  </si>
  <si>
    <t>Ministerio de Agricultura, Pesca y Alimentación</t>
  </si>
  <si>
    <t>Aumenta el consumo responsable de los ciudadanos en línea con los valores de la estrategia Alimentos de España</t>
  </si>
  <si>
    <t>Aumenta el consumo responsable de los ciudadanos en línea con los valores de la estrategia Alimentos de España. Según el informe, más de 12 millones de personas han mostrado interés en la sostenibilidad alimentaria y se consolida como una prioridad social y no una....</t>
  </si>
  <si>
    <t>Responsible consumption of citizens increases in line with the values ​​of Spain's Food strategy</t>
  </si>
  <si>
    <t>Increases the responsible consumption of citizens in line with the values ​​of Spain's Food strategy. According to the report, more than 12 million people have shown interest in food sustainability and it is consolidated as a social priority and not a...</t>
  </si>
  <si>
    <r>
      <rPr>
        <rFont val="Arial, sans-serif"/>
        <color rgb="FF1155CC"/>
        <sz val="9.0"/>
        <u/>
      </rPr>
      <t>Junta de Andalucía</t>
    </r>
    <r>
      <rPr>
        <rFont val="Arial, sans-serif"/>
        <color rgb="FF1155CC"/>
        <sz val="15.0"/>
        <u/>
      </rPr>
      <t>El autobús con combustible 100% renovable que se probó en Granada redujo un 80% la emisión de CO2</t>
    </r>
    <r>
      <rPr>
        <rFont val="Arial, sans-serif"/>
        <color rgb="FF1155CC"/>
        <sz val="11.0"/>
        <u/>
      </rPr>
      <t>El proyecto piloto el Consorcio de Transportes Metropolitano del Área de Granada y Repsol que permitió el uso de un autobús con combustible 100% renovable...</t>
    </r>
    <r>
      <rPr>
        <rFont val="Arial, sans-serif"/>
        <color rgb="FF1155CC"/>
        <sz val="12.0"/>
        <u/>
      </rPr>
      <t>.</t>
    </r>
    <r>
      <rPr>
        <rFont val="Arial, sans-serif"/>
        <color rgb="FF1155CC"/>
        <sz val="11.0"/>
        <u/>
      </rPr>
      <t>2 dic 2024</t>
    </r>
  </si>
  <si>
    <t>Junta de Andalucía</t>
  </si>
  <si>
    <t>El autobús con combustible 100% renovable que se probó en Granada redujo un 80% la emisión de CO2</t>
  </si>
  <si>
    <t>El proyecto piloto el Consorcio de Transportes Metropolitano del Área de Granada y Repsol que permitió el uso de un autobús con combustible 100% renovable....</t>
  </si>
  <si>
    <t>The bus with 100% renewable fuel that was tested in Granada reduced CO2 emissions by 80%</t>
  </si>
  <si>
    <t>The pilot project by the Metropolitan Transport Consortium of the Granada Area and Repsol that allowed the use of a bus with 100% renewable fuel...</t>
  </si>
  <si>
    <t>renewable fuel, Granada, CO2 emissions</t>
  </si>
  <si>
    <t>combustible renovable, Granada, Emisiones de CO2</t>
  </si>
  <si>
    <t>Strongly positive sentiment, showcasing environmental progress.</t>
  </si>
  <si>
    <t>renovable, "redujo"</t>
  </si>
  <si>
    <t>Highly positive for sustainability efforts.</t>
  </si>
  <si>
    <t>Altamente positivo para los esfuerzos de sostenibilidad.</t>
  </si>
  <si>
    <r>
      <rPr>
        <rFont val="Arial, sans-serif"/>
        <color rgb="FF1155CC"/>
        <sz val="9.0"/>
        <u/>
      </rPr>
      <t>El Cronista</t>
    </r>
    <r>
      <rPr>
        <rFont val="Arial, sans-serif"/>
        <color rgb="FF1155CC"/>
        <sz val="15.0"/>
        <u/>
      </rPr>
      <t>Repsol: así abre la cotización hoy lunes 02 de diciembre, ¿cuánto rinden los dividendos?</t>
    </r>
    <r>
      <rPr>
        <rFont val="Arial, sans-serif"/>
        <color rgb="FF1155CC"/>
        <sz val="11.0"/>
        <u/>
      </rPr>
      <t>La cotización de las activos de la compañía de petróleo, gas y combustibles consumibles Repsol (REP) en la apertura de mercados en España este lunes,...</t>
    </r>
    <r>
      <rPr>
        <rFont val="Arial, sans-serif"/>
        <color rgb="FF1155CC"/>
        <sz val="12.0"/>
        <u/>
      </rPr>
      <t>.</t>
    </r>
    <r>
      <rPr>
        <rFont val="Arial, sans-serif"/>
        <color rgb="FF1155CC"/>
        <sz val="11.0"/>
        <u/>
      </rPr>
      <t>2 dic 2024</t>
    </r>
  </si>
  <si>
    <t>Repsol: así abre la cotización hoy lunes 02 de diciembre, ¿cuánto rinden los dividendos?</t>
  </si>
  <si>
    <t>La cotización de las activos de la compañía de petróleo, gas y combustibles Repsol (REP) en la apertura de mercados en España este lunes,....</t>
  </si>
  <si>
    <t>Repsol: this is how trading opens today, Monday, December 2, how much do dividends yield?</t>
  </si>
  <si>
    <t>The price of the assets of the oil, gas and fuel company Repsol (REP) at the opening of markets in Spain this Monday,...</t>
  </si>
  <si>
    <t>Repsol, trading, dividends</t>
  </si>
  <si>
    <t>Repsol, trading, dividendos</t>
  </si>
  <si>
    <t>Neutral sentiment, providing financial market updates.</t>
  </si>
  <si>
    <r>
      <rPr>
        <rFont val="Arial, sans-serif"/>
        <color rgb="FF1155CC"/>
        <sz val="9.0"/>
        <u/>
      </rPr>
      <t>El Periódico Extremadura</t>
    </r>
    <r>
      <rPr>
        <rFont val="Arial, sans-serif"/>
        <color rgb="FF1155CC"/>
        <sz val="15.0"/>
        <u/>
      </rPr>
      <t>El bar cacereño donde comer la mejor tortilla de patatas, según la Guía Repsol</t>
    </r>
    <r>
      <rPr>
        <rFont val="Arial, sans-serif"/>
        <color rgb="FF1155CC"/>
        <sz val="11.0"/>
        <u/>
      </rPr>
      <t>Con cebolla o sin ella, muy gruesa, cuajada, estilo betanzos... Son muchas las formas de preparar una buena tortilla de patatas y muchos más aún los debates...</t>
    </r>
    <r>
      <rPr>
        <rFont val="Arial, sans-serif"/>
        <color rgb="FF1155CC"/>
        <sz val="12.0"/>
        <u/>
      </rPr>
      <t>.</t>
    </r>
    <r>
      <rPr>
        <rFont val="Arial, sans-serif"/>
        <color rgb="FF1155CC"/>
        <sz val="11.0"/>
        <u/>
      </rPr>
      <t>2 dic 2024</t>
    </r>
  </si>
  <si>
    <t>El bar cacereño donde comer la mejor tortilla de patatas, según la Guía Repsol</t>
  </si>
  <si>
    <t>Con cebolla o sin ella, muy gruesa, cuajada, estilo betanzos... Son muchas las formas de preparar una buena tortilla de patatas y muchos más aún los debates.</t>
  </si>
  <si>
    <t>The bar in Cáceres where you can eat the best potato omelette, according to the Repsol Guide</t>
  </si>
  <si>
    <t>With or without onion, very thick, curdled, betanzos style... There are many ways to prepare a good potato omelet and even more debates.</t>
  </si>
  <si>
    <t>Food</t>
  </si>
  <si>
    <r>
      <rPr>
        <rFont val="Arial, sans-serif"/>
        <color rgb="FF1155CC"/>
        <sz val="9.0"/>
        <u/>
      </rPr>
      <t>El Cronista</t>
    </r>
    <r>
      <rPr>
        <rFont val="Arial, sans-serif"/>
        <color rgb="FF1155CC"/>
        <sz val="15.0"/>
        <u/>
      </rPr>
      <t>Repsol: a cuánto cotiza HOY lunes 02 de diciembre y cuánto rinden los dividendos</t>
    </r>
    <r>
      <rPr>
        <rFont val="Arial, sans-serif"/>
        <color rgb="FF1155CC"/>
        <sz val="11.0"/>
        <u/>
      </rPr>
      <t>Al cierre de los mercados de este lunes, 2 de diciembre de 2024, la cotización del Repsol (REP) en el IBEX 35 ha cerrado a 11,67 euros.</t>
    </r>
    <r>
      <rPr>
        <rFont val="Arial, sans-serif"/>
        <color rgb="FF1155CC"/>
        <sz val="12.0"/>
        <u/>
      </rPr>
      <t>.</t>
    </r>
    <r>
      <rPr>
        <rFont val="Arial, sans-serif"/>
        <color rgb="FF1155CC"/>
        <sz val="11.0"/>
        <u/>
      </rPr>
      <t>2 dic 2024</t>
    </r>
  </si>
  <si>
    <t>Repsol: a cuánto cotiza HOY lunes 02 de diciembre y cuánto rinden los dividendos</t>
  </si>
  <si>
    <t>Al cierre de los mercados de este lunes, 2 de diciembre de 2024, la cotización del Repsol (REP) en el IBEX 35 ha cerrado a 11,67 euros.</t>
  </si>
  <si>
    <t>Repsol: how much it is trading at TODAY, Monday, December 2, and how much the dividends yield</t>
  </si>
  <si>
    <t>At the close of the markets this Monday, December 2, 2024, the price of Repsol (REP) on the IBEX 35 has closed at 11.67 euros.</t>
  </si>
  <si>
    <t>Neutral sentiment, reporting stock market performance.</t>
  </si>
  <si>
    <r>
      <rPr>
        <rFont val="Arial, sans-serif"/>
        <color rgb="FF1155CC"/>
        <sz val="9.0"/>
        <u/>
      </rPr>
      <t>Las2orillas</t>
    </r>
    <r>
      <rPr>
        <rFont val="Arial, sans-serif"/>
        <color rgb="FF1155CC"/>
        <sz val="15.0"/>
        <u/>
      </rPr>
      <t>Después de 40 años los petroleros españoles de Repsol le dicen adiós a Colombia</t>
    </r>
    <r>
      <rPr>
        <rFont val="Arial, sans-serif"/>
        <color rgb="FF1155CC"/>
        <sz val="11.0"/>
        <u/>
      </rPr>
      <t>La española Repsol con sede en Madrid, una de las petroleras que llevaba más tiempo en Colombia vendió la participación que aún mantenían Meta a la...</t>
    </r>
    <r>
      <rPr>
        <rFont val="Arial, sans-serif"/>
        <color rgb="FF1155CC"/>
        <sz val="12.0"/>
        <u/>
      </rPr>
      <t>.</t>
    </r>
    <r>
      <rPr>
        <rFont val="Arial, sans-serif"/>
        <color rgb="FF1155CC"/>
        <sz val="11.0"/>
        <u/>
      </rPr>
      <t>2 dic 2024</t>
    </r>
  </si>
  <si>
    <t>Después de 40 años los petroleros españoles de Repsol le dicen adiós a Colombia</t>
  </si>
  <si>
    <t>La española Repsol con sede en Madrid, una de las petroleras que llevaba más tiempo en Colombia, vendió la participación que aún mantenían Meta a la....</t>
  </si>
  <si>
    <t>After 40 years, Repsol's Spanish oil workers say goodbye to Colombia</t>
  </si>
  <si>
    <t>The Spanish Repsol based in Madrid, one of the oil companies that had been in Colombia the longest, sold the stake that Meta still held to the...</t>
  </si>
  <si>
    <t>Repsol, Colombia, sale</t>
  </si>
  <si>
    <t>Repsol, Colombia, venta</t>
  </si>
  <si>
    <t>Negative sentiment, as it marks the end of a long-term investment.</t>
  </si>
  <si>
    <t>Negative connotation of exit.</t>
  </si>
  <si>
    <t>Connotación negativa de salida.</t>
  </si>
  <si>
    <r>
      <rPr>
        <rFont val="Arial, sans-serif"/>
        <color rgb="FF1155CC"/>
        <sz val="9.0"/>
        <u/>
      </rPr>
      <t>El Periódico de la Energía</t>
    </r>
    <r>
      <rPr>
        <rFont val="Arial, sans-serif"/>
        <color rgb="FF1155CC"/>
        <sz val="15.0"/>
        <u/>
      </rPr>
      <t>Repsol suministrará combustible renovable a DB Schenker para reducir en un 90% las emisiones de CO2</t>
    </r>
    <r>
      <rPr>
        <rFont val="Arial, sans-serif"/>
        <color rgb="FF1155CC"/>
        <sz val="11.0"/>
        <u/>
      </rPr>
      <t>A partir de este mes de diciembre, DB Schenker espera empezar a utilizar HVO en 34 vehículos de su flota en el mercado ibérico, con un objetivo de consumo...</t>
    </r>
    <r>
      <rPr>
        <rFont val="Arial, sans-serif"/>
        <color rgb="FF1155CC"/>
        <sz val="12.0"/>
        <u/>
      </rPr>
      <t>.</t>
    </r>
    <r>
      <rPr>
        <rFont val="Arial, sans-serif"/>
        <color rgb="FF1155CC"/>
        <sz val="11.0"/>
        <u/>
      </rPr>
      <t>3 dic 2024</t>
    </r>
  </si>
  <si>
    <t>Repsol suministrará combustible renovable a DB Schenker para reducir en un 90% las emisiones de CO2</t>
  </si>
  <si>
    <t>A partir de este mes de diciembre, DB Schenker espera empezar a utilizar HVO en 34 vehículos de su flota en el mercado ibérico, con un objetivo de consumo....</t>
  </si>
  <si>
    <t>Repsol will supply renewable fuel to DB Schenker to reduce CO2 emissions by 90%</t>
  </si>
  <si>
    <t>Starting this December, DB Schenker expects to start using HVO in 34 vehicles in its fleet in the Iberian market, with a consumption objective....</t>
  </si>
  <si>
    <t>Repsol, DB Schenker, renewable fuel, CO2 emissions</t>
  </si>
  <si>
    <t>Repsol, DB Schenker, combustibles renovables, emisiones de CO2</t>
  </si>
  <si>
    <t>Positive sentiment, highlighting sustainability efforts and partnerships.</t>
  </si>
  <si>
    <t>renovable, "reducir"</t>
  </si>
  <si>
    <t>Very positive for green initiative.</t>
  </si>
  <si>
    <t>Muy positivo para la iniciativa verde.</t>
  </si>
  <si>
    <r>
      <rPr>
        <rFont val="Arial, sans-serif"/>
        <color rgb="FF1155CC"/>
        <sz val="9.0"/>
        <u/>
      </rPr>
      <t>MundoPlast</t>
    </r>
    <r>
      <rPr>
        <rFont val="Arial, sans-serif"/>
        <color rgb="FF1155CC"/>
        <sz val="15.0"/>
        <u/>
      </rPr>
      <t>El ministro portugués de economía visita las instalaciones de Repsol en Sines</t>
    </r>
    <r>
      <rPr>
        <rFont val="Arial, sans-serif"/>
        <color rgb="FF1155CC"/>
        <sz val="11.0"/>
        <u/>
      </rPr>
      <t>El ministro portugués de economía, Pedro Reis, ha visitado el complejo industrial de Repsol en Sines para seguir de cerca las obras de las dos nuevas...</t>
    </r>
    <r>
      <rPr>
        <rFont val="Arial, sans-serif"/>
        <color rgb="FF1155CC"/>
        <sz val="12.0"/>
        <u/>
      </rPr>
      <t>.</t>
    </r>
    <r>
      <rPr>
        <rFont val="Arial, sans-serif"/>
        <color rgb="FF1155CC"/>
        <sz val="11.0"/>
        <u/>
      </rPr>
      <t>3 dic 2024</t>
    </r>
  </si>
  <si>
    <t>MundoPlast</t>
  </si>
  <si>
    <t>El ministro portugués de economía visita las instalaciones de Repsol en Sines</t>
  </si>
  <si>
    <t>El ministro portugués de economía, Pedro Reis, ha visitado el complejo industrial de Repsol en Sines para seguir de cerca las obras de las dos nuevas....</t>
  </si>
  <si>
    <t>The Portuguese Minister of Economy visits the Repsol facilities in Sines</t>
  </si>
  <si>
    <t>The Portuguese Minister of Economy, Pedro Reis, has visited the Repsol industrial complex in Sines to closely follow the works of the two new...</t>
  </si>
  <si>
    <t>Business &amp; Politics</t>
  </si>
  <si>
    <t>Repsol, Portuguese Minister of Economy, Sines</t>
  </si>
  <si>
    <t>Repsol, ministra portuguesa de Economía, Sines</t>
  </si>
  <si>
    <t>Slightly positive sentiment, indicating government interest in Repsol’s projects.</t>
  </si>
  <si>
    <t>visita</t>
  </si>
  <si>
    <t>Mildly positive for institutional interest.</t>
  </si>
  <si>
    <t>Ligeramente positivo para el interés institucional.</t>
  </si>
  <si>
    <r>
      <rPr>
        <rFont val="Arial, sans-serif"/>
        <color rgb="FF1155CC"/>
        <sz val="9.0"/>
        <u/>
      </rPr>
      <t>elmercantil.com</t>
    </r>
    <r>
      <rPr>
        <rFont val="Arial, sans-serif"/>
        <color rgb="FF1155CC"/>
        <sz val="15.0"/>
        <u/>
      </rPr>
      <t>Repsol suministrará HVO a la flota de Iberia de DB Schenker</t>
    </r>
    <r>
      <rPr>
        <rFont val="Arial, sans-serif"/>
        <color rgb="FF1155CC"/>
        <sz val="11.0"/>
        <u/>
      </rPr>
      <t>DB Schenker espera empezar a utilizar HVO en 34 vehículos de su flota en Iberia a partir de este mes de diciembre.</t>
    </r>
    <r>
      <rPr>
        <rFont val="Arial, sans-serif"/>
        <color rgb="FF1155CC"/>
        <sz val="12.0"/>
        <u/>
      </rPr>
      <t>.</t>
    </r>
    <r>
      <rPr>
        <rFont val="Arial, sans-serif"/>
        <color rgb="FF1155CC"/>
        <sz val="11.0"/>
        <u/>
      </rPr>
      <t>3 dic 2024</t>
    </r>
  </si>
  <si>
    <t>Repsol suministrará HVO a la flota de Iberia de DB Schenker</t>
  </si>
  <si>
    <t>DB Schenker espera empezar a utilizar HVO en 34 vehículos de su flota en Iberia a partir de este mes de diciembre.</t>
  </si>
  <si>
    <t>Repsol will supply HVO to DB Schenker's Iberia fleet</t>
  </si>
  <si>
    <t>DB Schenker expects to start using HVO in 34 vehicles in its fleet in Iberia starting this December.</t>
  </si>
  <si>
    <t>Repsol, DB Schenker, Iberia, HVO</t>
  </si>
  <si>
    <t>Positive sentiment, emphasizing environmental and business growth.</t>
  </si>
  <si>
    <t>suministrará</t>
  </si>
  <si>
    <t>Positive for renewable fuel partnership.</t>
  </si>
  <si>
    <t>Positivo para la asociación de combustibles renovables.</t>
  </si>
  <si>
    <r>
      <rPr>
        <rFont val="Arial, sans-serif"/>
        <color rgb="FF1155CC"/>
        <sz val="9.0"/>
        <u/>
      </rPr>
      <t>El Español</t>
    </r>
    <r>
      <rPr>
        <rFont val="Arial, sans-serif"/>
        <color rgb="FF1155CC"/>
        <sz val="15.0"/>
        <u/>
      </rPr>
      <t>Repsol suministrará combustible renovable a DB Schenker para reducir en un 90% las emisiones de CO2</t>
    </r>
    <r>
      <rPr>
        <rFont val="Arial, sans-serif"/>
        <color rgb="FF1155CC"/>
        <sz val="11.0"/>
        <u/>
      </rPr>
      <t>El operador logístico danés calcula que así alcanzará el objetivo de reducir en un 25% las emisiones absolutas de CO2 para el año 2030.</t>
    </r>
    <r>
      <rPr>
        <rFont val="Arial, sans-serif"/>
        <color rgb="FF1155CC"/>
        <sz val="12.0"/>
        <u/>
      </rPr>
      <t>.</t>
    </r>
    <r>
      <rPr>
        <rFont val="Arial, sans-serif"/>
        <color rgb="FF1155CC"/>
        <sz val="11.0"/>
        <u/>
      </rPr>
      <t>3 dic 2024</t>
    </r>
  </si>
  <si>
    <t>El operador logístico danés calcula que así alcanzará el objetivo de reducir en un 25% las emisiones absolutas de CO2 para el año 2030.</t>
  </si>
  <si>
    <t>The Danish logistics operator estimates that this will achieve the goal of reducing absolute CO2 emissions by 25% by 2030.</t>
  </si>
  <si>
    <t>Repsol, DB Schenker, CO2 emissions, renewable fuel</t>
  </si>
  <si>
    <t>Repsol, DB Schenker, emisiones de CO2, combustibles renovables</t>
  </si>
  <si>
    <t>Positive sentiment, highlighting Repsol’s role in sustainability.</t>
  </si>
  <si>
    <t>Repeated positive sentiment.</t>
  </si>
  <si>
    <t>Sentimiento positivo repetido.</t>
  </si>
  <si>
    <r>
      <rPr>
        <rFont val="Arial, sans-serif"/>
        <color rgb="FF1155CC"/>
        <sz val="9.0"/>
        <u/>
      </rPr>
      <t>Merca2.es</t>
    </r>
    <r>
      <rPr>
        <rFont val="Arial, sans-serif"/>
        <color rgb="FF1155CC"/>
        <sz val="15.0"/>
        <u/>
      </rPr>
      <t>El mercado aplaude la desinversión de Repsol en Colombia</t>
    </r>
    <r>
      <rPr>
        <rFont val="Arial, sans-serif"/>
        <color rgb="FF1155CC"/>
        <sz val="11.0"/>
        <u/>
      </rPr>
      <t>Renta4 ha valorado favorablemente la decisión de Repsol de vender a GeoPark sus activos de gas y petróleo en Colombia por aproximadamente 500 millones de...</t>
    </r>
    <r>
      <rPr>
        <rFont val="Arial, sans-serif"/>
        <color rgb="FF1155CC"/>
        <sz val="12.0"/>
        <u/>
      </rPr>
      <t>.</t>
    </r>
    <r>
      <rPr>
        <rFont val="Arial, sans-serif"/>
        <color rgb="FF1155CC"/>
        <sz val="11.0"/>
        <u/>
      </rPr>
      <t>3 dic 2024</t>
    </r>
  </si>
  <si>
    <t>El mercado aplaude la desinversión de Repsol en Colombia</t>
  </si>
  <si>
    <t>Renta4 ha valorado favorablemente la decisión de Repsol de vender a GeoPark sus activos de gas y petróleo en Colombia por aproximadamente 500 millones de....</t>
  </si>
  <si>
    <t>The market applauds Repsol's divestment in Colombia</t>
  </si>
  <si>
    <t>Renta4 has favorably assessed Repsol's decision to sell its gas and oil assets in Colombia to GeoPark for approximately 500 million...</t>
  </si>
  <si>
    <t>Repsol, Colombia, divestment, GeoPark</t>
  </si>
  <si>
    <t>Repsol, Colombia, desinversión, GeoPark</t>
  </si>
  <si>
    <t>Positive sentiment, indicating that investors see the move as beneficial.</t>
  </si>
  <si>
    <t>Positive market reaction.</t>
  </si>
  <si>
    <t>Reacción positiva del mercado.</t>
  </si>
  <si>
    <r>
      <rPr>
        <rFont val="Arial, sans-serif"/>
        <color rgb="FF1155CC"/>
        <sz val="9.0"/>
        <u/>
      </rPr>
      <t>101TV</t>
    </r>
    <r>
      <rPr>
        <rFont val="Arial, sans-serif"/>
        <color rgb="FF1155CC"/>
        <sz val="15.0"/>
        <u/>
      </rPr>
      <t>Admitido a trámite el recurso contra la Autorización Ambiental Unificada de los terrenos de Repsol</t>
    </r>
    <r>
      <rPr>
        <rFont val="Arial, sans-serif"/>
        <color rgb="FF1155CC"/>
        <sz val="11.0"/>
        <u/>
      </rPr>
      <t>Bosque Urbano Málaga recurre ante los tribunales la aprobación de la Autorización Ambiental Unificada para los antiguos terrenos de Repsol.</t>
    </r>
    <r>
      <rPr>
        <rFont val="Arial, sans-serif"/>
        <color rgb="FF1155CC"/>
        <sz val="12.0"/>
        <u/>
      </rPr>
      <t>.</t>
    </r>
    <r>
      <rPr>
        <rFont val="Arial, sans-serif"/>
        <color rgb="FF1155CC"/>
        <sz val="11.0"/>
        <u/>
      </rPr>
      <t>3 dic 2024</t>
    </r>
  </si>
  <si>
    <t>Admitido a trámite el recurso contra la Autorización Ambiental Unificada de los terrenos de Repsol</t>
  </si>
  <si>
    <t>Bosque Urbano Málaga recurre ante los tribunales la aprobación de la Autorización Ambiental Unificada para los antiguos terrenos de Repsol.</t>
  </si>
  <si>
    <t>The appeal against the Unified Environmental Authorization of the Repsol lands admitted for processing</t>
  </si>
  <si>
    <t>Bosque Urbano Málaga appeals to the courts against the approval of the Unified Environmental Authorization for the former Repsol lands.</t>
  </si>
  <si>
    <t>Environmental &amp; Legal</t>
  </si>
  <si>
    <r>
      <rPr>
        <rFont val="Arial, sans-serif"/>
        <color rgb="FF1155CC"/>
        <sz val="9.0"/>
        <u/>
      </rPr>
      <t>La Comarca de Puertollano</t>
    </r>
    <r>
      <rPr>
        <rFont val="Arial, sans-serif"/>
        <color rgb="FF1155CC"/>
        <sz val="15.0"/>
        <u/>
      </rPr>
      <t>Subcampeonato provincial por equipos para los benjamines del Tenis Club Recreativo Repsol de Puertollano</t>
    </r>
    <r>
      <rPr>
        <rFont val="Arial, sans-serif"/>
        <color rgb="FF1155CC"/>
        <sz val="11.0"/>
        <u/>
      </rPr>
      <t>Pablo Peñalvo ha sido reconocido por la Diputación como mejor tenista provincial en categoría absoluta.</t>
    </r>
    <r>
      <rPr>
        <rFont val="Arial, sans-serif"/>
        <color rgb="FF1155CC"/>
        <sz val="12.0"/>
        <u/>
      </rPr>
      <t>.</t>
    </r>
    <r>
      <rPr>
        <rFont val="Arial, sans-serif"/>
        <color rgb="FF1155CC"/>
        <sz val="11.0"/>
        <u/>
      </rPr>
      <t>3 dic 2024</t>
    </r>
  </si>
  <si>
    <t>Subcampeonato provincial por equipos para los benjamines del Tenis Club Recreativo Repsol de Puertollano</t>
  </si>
  <si>
    <t>Pablo Peñalvo ha sido reconocido por la Diputación como mejor tenista provincial en categoría absoluta.</t>
  </si>
  <si>
    <t>Provincial team runner-up for the youngest members of the Tenis Club Recreativo Repsol of Puertollano</t>
  </si>
  <si>
    <t>Pablo Peñalvo has been recognized by the Provincial Council as the best provincial tennis player in the absolute category.</t>
  </si>
  <si>
    <t>Sports &amp; Community</t>
  </si>
  <si>
    <r>
      <rPr>
        <rFont val="Arial, sans-serif"/>
        <color rgb="FF1155CC"/>
        <sz val="9.0"/>
        <u/>
      </rPr>
      <t>Heraldo-Diario de Soria</t>
    </r>
    <r>
      <rPr>
        <rFont val="Arial, sans-serif"/>
        <color rgb="FF1155CC"/>
        <sz val="15.0"/>
        <u/>
      </rPr>
      <t>Gasolineras en Soria. Ubicación (por pueblos) y horarios</t>
    </r>
    <r>
      <rPr>
        <rFont val="Arial, sans-serif"/>
        <color rgb="FF1155CC"/>
        <sz val="11.0"/>
        <u/>
      </rPr>
      <t>La provincia de Soria contabiliza casi medio centenar de estaciones de servicio, repartidas en carreteras o autovías, así como en polígonos.</t>
    </r>
    <r>
      <rPr>
        <rFont val="Arial, sans-serif"/>
        <color rgb="FF1155CC"/>
        <sz val="12.0"/>
        <u/>
      </rPr>
      <t>.</t>
    </r>
    <r>
      <rPr>
        <rFont val="Arial, sans-serif"/>
        <color rgb="FF1155CC"/>
        <sz val="11.0"/>
        <u/>
      </rPr>
      <t>3 dic 2024</t>
    </r>
  </si>
  <si>
    <t>Gasolineras en Soria. Ubicación (por pueblos) y horarios</t>
  </si>
  <si>
    <t>La provincia de Soria contabiliza casi medio centenar de estaciones de servicio, repartidas en carreteras o autovías, así como en polígonos.</t>
  </si>
  <si>
    <t>Gas stations in Soria. Location (by town) and schedules</t>
  </si>
  <si>
    <t>The province of Soria has almost fifty service stations, spread on roads or highways, as well as in industrial estates.</t>
  </si>
  <si>
    <t>Business &amp; Information</t>
  </si>
  <si>
    <r>
      <rPr>
        <rFont val="Arial, sans-serif"/>
        <color rgb="FF1155CC"/>
        <sz val="9.0"/>
        <u/>
      </rPr>
      <t>El Periódico</t>
    </r>
    <r>
      <rPr>
        <rFont val="Arial, sans-serif"/>
        <color rgb="FF1155CC"/>
        <sz val="15.0"/>
        <u/>
      </rPr>
      <t>Junts se atribuye la eliminación del impuesto energético y la recuperación de una inversión de Repsol de 1.100 millones "imprescindible para Tarragona"</t>
    </r>
    <r>
      <rPr>
        <rFont val="Arial, sans-serif"/>
        <color rgb="FF1155CC"/>
        <sz val="11.0"/>
        <u/>
      </rPr>
      <t>Míriam Nogueras y Josep Maria Cruset (Junts) reivindican en Tarragona que las empresas energéticas no tendrán que pagar el 'impuestazo'</t>
    </r>
    <r>
      <rPr>
        <rFont val="Arial, sans-serif"/>
        <color rgb="FF1155CC"/>
        <sz val="12.0"/>
        <u/>
      </rPr>
      <t>.</t>
    </r>
    <r>
      <rPr>
        <rFont val="Arial, sans-serif"/>
        <color rgb="FF1155CC"/>
        <sz val="11.0"/>
        <u/>
      </rPr>
      <t>3 dic 2024</t>
    </r>
  </si>
  <si>
    <t>Junts se atribuye la eliminación del impuesto energético y la recuperación de una inversión de Repsol de 1.100 millones "imprescindible para Tarragona"</t>
  </si>
  <si>
    <t>Junts se atribuye la eliminación del impuesto energético y la recuperación de una inversión de Repsol de 1.100 millones "imprescindible para Tarragona".</t>
  </si>
  <si>
    <t>Junts is credited with the elimination of the energy tax and the recovery of a Repsol investment of 1.1 billion "essential for Tarragona"</t>
  </si>
  <si>
    <t>Junts is credited with the elimination of the energy tax and the recovery of a Repsol investment of 1.1 billion "essential for Tarragona."</t>
  </si>
  <si>
    <t>Politics &amp; Business</t>
  </si>
  <si>
    <t>Junts, energy tax, Repsol investment</t>
  </si>
  <si>
    <t>Junts, impuesto energético, inversión Repsol</t>
  </si>
  <si>
    <t>Positive sentiment, as it discusses investment recovery.</t>
  </si>
  <si>
    <t>recuperación, "imprescindible"</t>
  </si>
  <si>
    <t>Positive for investment recovery.</t>
  </si>
  <si>
    <t>Positivo para la recuperación de la inversión.</t>
  </si>
  <si>
    <r>
      <rPr>
        <rFont val="Arial, sans-serif"/>
        <color rgb="FF1155CC"/>
        <sz val="9.0"/>
        <u/>
      </rPr>
      <t>Onda Cero</t>
    </r>
    <r>
      <rPr>
        <rFont val="Arial, sans-serif"/>
        <color rgb="FF1155CC"/>
        <sz val="15.0"/>
        <u/>
      </rPr>
      <t>La gastronomía responsable y sostenible dispara el interés de los españoles</t>
    </r>
    <r>
      <rPr>
        <rFont val="Arial, sans-serif"/>
        <color rgb="FF1155CC"/>
        <sz val="11.0"/>
        <u/>
      </rPr>
      <t>El Ministerio de Agricultura, Pesca y Alimentación ha determinado que los consumidores están cada vez más interesados en prácticas sostenibles en la...</t>
    </r>
    <r>
      <rPr>
        <rFont val="Arial, sans-serif"/>
        <color rgb="FF1155CC"/>
        <sz val="12.0"/>
        <u/>
      </rPr>
      <t>.</t>
    </r>
    <r>
      <rPr>
        <rFont val="Arial, sans-serif"/>
        <color rgb="FF1155CC"/>
        <sz val="11.0"/>
        <u/>
      </rPr>
      <t>3 dic 2024</t>
    </r>
  </si>
  <si>
    <t>La gastronomía responsable y sostenible dispara el interés de los españoles</t>
  </si>
  <si>
    <t>El Ministerio de Agricultura, Pesca y Alimentación ha determinado que los consumidores están cada vez más interesados en prácticas sostenibles en la....</t>
  </si>
  <si>
    <t>Responsible and sustainable gastronomy triggers the interest of Spaniards</t>
  </si>
  <si>
    <t>The Ministry of Agriculture, Fisheries and Food has determined that consumers are increasingly interested in sustainable practices in...</t>
  </si>
  <si>
    <t>Sustainability &amp; Food</t>
  </si>
  <si>
    <r>
      <rPr>
        <rFont val="Arial, sans-serif"/>
        <color rgb="FF1155CC"/>
        <sz val="9.0"/>
        <u/>
      </rPr>
      <t>Mas Energia</t>
    </r>
    <r>
      <rPr>
        <rFont val="Arial, sans-serif"/>
        <color rgb="FF1155CC"/>
        <sz val="15.0"/>
        <u/>
      </rPr>
      <t>GeoPark compró activos de Repsol por 530 millones de dólares</t>
    </r>
    <r>
      <rPr>
        <rFont val="Arial, sans-serif"/>
        <color rgb="FF1155CC"/>
        <sz val="11.0"/>
        <u/>
      </rPr>
      <t>GeoPark Ltd. Llegó a un acuerdo para adquirir activos de exploración y producción de petróleo y gas en Colombia a Repsol Exploración S.A. y Repsol E&amp;P...</t>
    </r>
    <r>
      <rPr>
        <rFont val="Arial, sans-serif"/>
        <color rgb="FF1155CC"/>
        <sz val="12.0"/>
        <u/>
      </rPr>
      <t>.</t>
    </r>
    <r>
      <rPr>
        <rFont val="Arial, sans-serif"/>
        <color rgb="FF1155CC"/>
        <sz val="11.0"/>
        <u/>
      </rPr>
      <t>3 dic 2024</t>
    </r>
  </si>
  <si>
    <t>Mas Energia</t>
  </si>
  <si>
    <t>GeoPark compró activos de Repsol por 530 millones de dólares</t>
  </si>
  <si>
    <t>GeoPark Ltd. llegó a un acuerdo para adquirir activos de exploración y producción de petróleo y gas en Colombia a Repsol Exploración S.A. y Repsol E&amp;P.</t>
  </si>
  <si>
    <t>GeoPark bought Repsol assets for 530 million dollars</t>
  </si>
  <si>
    <t>GeoPark Ltd. reached an agreement to acquire oil and gas exploration and production assets in Colombia from Repsol Exploración S.A. and Repsol E&amp;P.</t>
  </si>
  <si>
    <t>Slightly negative sentiment, as it marks Repsol's divestment.</t>
  </si>
  <si>
    <t>Neutral transaction.</t>
  </si>
  <si>
    <t>Transacción neutral.</t>
  </si>
  <si>
    <r>
      <rPr>
        <rFont val="Arial, sans-serif"/>
        <color rgb="FF1155CC"/>
        <sz val="9.0"/>
        <u/>
      </rPr>
      <t>Oil &amp; Gas Magazine</t>
    </r>
    <r>
      <rPr>
        <rFont val="Arial, sans-serif"/>
        <color rgb="FF1155CC"/>
        <sz val="15.0"/>
        <u/>
      </rPr>
      <t>Repsol vende activos en Colombia por 530 mdd</t>
    </r>
    <r>
      <rPr>
        <rFont val="Arial, sans-serif"/>
        <color rgb="FF1155CC"/>
        <sz val="11.0"/>
        <u/>
      </rPr>
      <t>Repsol acordó vender activos en Colombia a GeoPark por 530 mdd, como parte de su estrategia de rotación de cartera, sujeto a condiciones habituales.</t>
    </r>
    <r>
      <rPr>
        <rFont val="Arial, sans-serif"/>
        <color rgb="FF1155CC"/>
        <sz val="12.0"/>
        <u/>
      </rPr>
      <t>.</t>
    </r>
    <r>
      <rPr>
        <rFont val="Arial, sans-serif"/>
        <color rgb="FF1155CC"/>
        <sz val="11.0"/>
        <u/>
      </rPr>
      <t>3 dic 2024</t>
    </r>
  </si>
  <si>
    <t>Repsol vende activos en Colombia por 530 mdd</t>
  </si>
  <si>
    <t>Repsol acordó vender activos en Colombia a GeoPark por 530 mdd, como parte de su estrategia de rotación de cartera, sujeto a condiciones habituales.</t>
  </si>
  <si>
    <t>Repsol sells assets in Colombia for 530 million dollars</t>
  </si>
  <si>
    <t>Repsol agreed to sell assets in Colombia to GeoPark for $530 million, as part of its portfolio rotation strategy, subject to customary conditions.</t>
  </si>
  <si>
    <t>Negative sentiment, indicating a reduction in Repsol's operations.</t>
  </si>
  <si>
    <r>
      <rPr>
        <rFont val="Arial, sans-serif"/>
        <color rgb="FF1155CC"/>
        <sz val="9.0"/>
        <u/>
      </rPr>
      <t>Oil &amp; Gas Magazine</t>
    </r>
    <r>
      <rPr>
        <rFont val="Arial, sans-serif"/>
        <color rgb="FF1155CC"/>
        <sz val="15.0"/>
        <u/>
      </rPr>
      <t>McDermott liderará diseño de campos Polok y Chinwol</t>
    </r>
    <r>
      <rPr>
        <rFont val="Arial, sans-serif"/>
        <color rgb="FF1155CC"/>
        <sz val="11.0"/>
        <u/>
      </rPr>
      <t>McDermott diseñará la ingeniería de desarrollo de los campos Polok y Chinwol en el Golfo de México, priorizando innovación, seguridad y eficiencia para...</t>
    </r>
    <r>
      <rPr>
        <rFont val="Arial, sans-serif"/>
        <color rgb="FF1155CC"/>
        <sz val="12.0"/>
        <u/>
      </rPr>
      <t>.</t>
    </r>
    <r>
      <rPr>
        <rFont val="Arial, sans-serif"/>
        <color rgb="FF1155CC"/>
        <sz val="11.0"/>
        <u/>
      </rPr>
      <t>3 dic 2024</t>
    </r>
  </si>
  <si>
    <t>McDermott liderará diseño de campos Polok y Chinwol</t>
  </si>
  <si>
    <t>McDermott diseñará la ingeniería de desarrollo de los campos Polok y Chinwol en el Golfo de México, priorizando innovación, seguridad y eficiencia para....</t>
  </si>
  <si>
    <t>McDermott to lead design of Polok and Chinwol courses</t>
  </si>
  <si>
    <t>McDermott will design the development engineering of the Polok and Chinwol fields in the Gulf of Mexico, prioritizing innovation, safety and efficiency to...</t>
  </si>
  <si>
    <t>Business &amp; Innovation</t>
  </si>
  <si>
    <r>
      <rPr>
        <rFont val="Arial, sans-serif"/>
        <color rgb="FF1155CC"/>
        <sz val="9.0"/>
        <u/>
      </rPr>
      <t>Expansión</t>
    </r>
    <r>
      <rPr>
        <rFont val="Arial, sans-serif"/>
        <color rgb="FF1155CC"/>
        <sz val="15.0"/>
        <u/>
      </rPr>
      <t>Repsol roza mínimos del año y el fondo noruego baja del 5%</t>
    </r>
    <r>
      <rPr>
        <rFont val="Arial, sans-serif"/>
        <color rgb="FF1155CC"/>
        <sz val="11.0"/>
        <u/>
      </rPr>
      <t>Los últimos meses del año han afianzado la cotización de Repsol en zona de mínimos anuales. Desde mediados de octubre sus acciones han cerrado todas las...</t>
    </r>
    <r>
      <rPr>
        <rFont val="Arial, sans-serif"/>
        <color rgb="FF1155CC"/>
        <sz val="12.0"/>
        <u/>
      </rPr>
      <t>.</t>
    </r>
    <r>
      <rPr>
        <rFont val="Arial, sans-serif"/>
        <color rgb="FF1155CC"/>
        <sz val="11.0"/>
        <u/>
      </rPr>
      <t>4 dic 2024</t>
    </r>
  </si>
  <si>
    <t>Repsol roza mínimos del año y el fondo noruego baja del 5%</t>
  </si>
  <si>
    <t>Los últimos meses del año han afianzado la cotización de Repsol en zona de mínimos anuales. Desde mediados de octubre sus acciones han cerrado todas las....</t>
  </si>
  <si>
    <t>Repsol is close to the lowest levels of the year and the Norwegian fund falls by 5%</t>
  </si>
  <si>
    <t>The last months of the year have consolidated Repsol's price in the area of ​​annual minimums. Since mid-October its shares have closed all....</t>
  </si>
  <si>
    <t>Repsol, stock price, Norwegian fund</t>
  </si>
  <si>
    <t>Repsol, precio de las acciones, fondo noruego</t>
  </si>
  <si>
    <t>Negative sentiment, discussing Repsol's stock decline.</t>
  </si>
  <si>
    <t>mínimos, "baja"</t>
  </si>
  <si>
    <r>
      <rPr>
        <rFont val="Arial, sans-serif"/>
        <color rgb="FF1155CC"/>
        <sz val="9.0"/>
        <u/>
      </rPr>
      <t>La Vanguardia</t>
    </r>
    <r>
      <rPr>
        <rFont val="Arial, sans-serif"/>
        <color rgb="FF1155CC"/>
        <sz val="15.0"/>
        <u/>
      </rPr>
      <t>Si tienes un vehículo eléctrico, la app Waylet de Repsol es tu mejor aliada</t>
    </r>
    <r>
      <rPr>
        <rFont val="Arial, sans-serif"/>
        <color rgb="FF1155CC"/>
        <sz val="11.0"/>
        <u/>
      </rPr>
      <t>Seguramente a estas alturas ya conoces Waylet. Y si no, debes saber que se trata de la app de pagos y fidelización de Repsol, con la que puedes ahorrar cada...</t>
    </r>
    <r>
      <rPr>
        <rFont val="Arial, sans-serif"/>
        <color rgb="FF1155CC"/>
        <sz val="12.0"/>
        <u/>
      </rPr>
      <t>.</t>
    </r>
    <r>
      <rPr>
        <rFont val="Arial, sans-serif"/>
        <color rgb="FF1155CC"/>
        <sz val="11.0"/>
        <u/>
      </rPr>
      <t>4 dic 2024</t>
    </r>
  </si>
  <si>
    <t>Si tienes un vehículo eléctrico, la app Waylet de Repsol es tu mejor aliada</t>
  </si>
  <si>
    <t>La app Waylet de Repsol es tu mejor aliada.</t>
  </si>
  <si>
    <t>If you have an electric vehicle, Repsol's Waylet app is your best ally</t>
  </si>
  <si>
    <t>Repsol's Waylet app is your best ally.</t>
  </si>
  <si>
    <t>Technology &amp; Sustainability</t>
  </si>
  <si>
    <t>Waylet, electric vehicle, Repsol</t>
  </si>
  <si>
    <t>Waylet, vehículo eléctrico, Repsol</t>
  </si>
  <si>
    <t>Strongly positive sentiment, promoting the advantages of the Waylet app.</t>
  </si>
  <si>
    <t>mejor aliada</t>
  </si>
  <si>
    <t>Positive for customer utility.</t>
  </si>
  <si>
    <t>Positivo para la utilidad del cliente.</t>
  </si>
  <si>
    <r>
      <rPr>
        <rFont val="Arial, sans-serif"/>
        <color rgb="FF1155CC"/>
        <sz val="9.0"/>
        <u/>
      </rPr>
      <t>Mundo Deportivo</t>
    </r>
    <r>
      <rPr>
        <rFont val="Arial, sans-serif"/>
        <color rgb="FF1155CC"/>
        <sz val="15.0"/>
        <u/>
      </rPr>
      <t>Las numerosas ventajas de usar Waylet, la app de Repsol, con tu coche eléctrico</t>
    </r>
    <r>
      <rPr>
        <rFont val="Arial, sans-serif"/>
        <color rgb="FF1155CC"/>
        <sz val="11.0"/>
        <u/>
      </rPr>
      <t>Desde ahorrar con las recargas, hasta planificar tu viaje conociendo en todo momento la ubicación de los puntos de recarga cercanos. Las numerosas ventajas...</t>
    </r>
    <r>
      <rPr>
        <rFont val="Arial, sans-serif"/>
        <color rgb="FF1155CC"/>
        <sz val="12.0"/>
        <u/>
      </rPr>
      <t>.</t>
    </r>
    <r>
      <rPr>
        <rFont val="Arial, sans-serif"/>
        <color rgb="FF1155CC"/>
        <sz val="11.0"/>
        <u/>
      </rPr>
      <t>4 dic 2024</t>
    </r>
  </si>
  <si>
    <t>Las numerosas ventajas de usar Waylet, la app de Repsol, con tu coche eléctrico</t>
  </si>
  <si>
    <t>Desde ahorrar con las recargas, hasta planificar tu viaje conociendo en todo momento la ubicación de los puntos de recarga cercanos. Las numerosas ventajas....</t>
  </si>
  <si>
    <t>The numerous advantages of using Waylet, the Repsol app, with your electric car</t>
  </si>
  <si>
    <t>From saving with recharges, to planning your trip knowing at all times the location of nearby charging points. The many advantages....</t>
  </si>
  <si>
    <t>Waylet, electric car, Repsol</t>
  </si>
  <si>
    <t>Waylet, coche eléctrico, Repsol</t>
  </si>
  <si>
    <t>Positive sentiment, emphasizing convenience for EV users.</t>
  </si>
  <si>
    <t>ventajas</t>
  </si>
  <si>
    <t>Positive for brand utility.</t>
  </si>
  <si>
    <t>Positivo para la utilidad de la marca.</t>
  </si>
  <si>
    <r>
      <rPr>
        <rFont val="Arial, sans-serif"/>
        <color rgb="FF1155CC"/>
        <sz val="9.0"/>
        <u/>
      </rPr>
      <t>El Periódico de la Energía</t>
    </r>
    <r>
      <rPr>
        <rFont val="Arial, sans-serif"/>
        <color rgb="FF1155CC"/>
        <sz val="15.0"/>
        <u/>
      </rPr>
      <t>Moeve, Repsol, Endesa, Naturgy, Enerclub y ManpowerGroup crean el Hub de Energía Verde para fomentar el empleo sostenible</t>
    </r>
    <r>
      <rPr>
        <rFont val="Arial, sans-serif"/>
        <color rgb="FF1155CC"/>
        <sz val="11.0"/>
        <u/>
      </rPr>
      <t>El hub tiene entre sus objetivos anticipar las necesidades del mercado laboral mediante la identificación de perfiles clave del sector energético para...</t>
    </r>
    <r>
      <rPr>
        <rFont val="Arial, sans-serif"/>
        <color rgb="FF1155CC"/>
        <sz val="12.0"/>
        <u/>
      </rPr>
      <t>.</t>
    </r>
    <r>
      <rPr>
        <rFont val="Arial, sans-serif"/>
        <color rgb="FF1155CC"/>
        <sz val="11.0"/>
        <u/>
      </rPr>
      <t>4 dic 2024</t>
    </r>
  </si>
  <si>
    <t>Moeve, Repsol, Endesa, Naturgy, Enerclub y ManpowerGroup crean el Hub de Energía Verde para fomentar el empleo sostenible</t>
  </si>
  <si>
    <t>El hub tiene entre sus objetivos anticipar las necesidades del mercado laboral mediante la identificación de perfiles clave del sector energético para....</t>
  </si>
  <si>
    <t>Moeve, Repsol, Endesa, Naturgy, Enerclub and ManpowerGroup create the Green Energy Hub to promote sustainable employment</t>
  </si>
  <si>
    <t>The hub's objectives are to anticipate the needs of the labor market by identifying key profiles of the energy sector to...</t>
  </si>
  <si>
    <t>Sustainability &amp; Business</t>
  </si>
  <si>
    <t>Moeve, Repsol, Endesa, sustainable employment</t>
  </si>
  <si>
    <t>Moeve, Repsol, Endesa, empleo sostenible</t>
  </si>
  <si>
    <t>Positive sentiment, focusing on sustainable employment initiatives.</t>
  </si>
  <si>
    <t>Positive for green collaboration.</t>
  </si>
  <si>
    <t>Positivo para la colaboración verde.</t>
  </si>
  <si>
    <r>
      <rPr>
        <rFont val="Arial, sans-serif"/>
        <color rgb="FF1155CC"/>
        <sz val="9.0"/>
        <u/>
      </rPr>
      <t>Guía Repsol</t>
    </r>
    <r>
      <rPr>
        <rFont val="Arial, sans-serif"/>
        <color rgb="FF1155CC"/>
        <sz val="15.0"/>
        <u/>
      </rPr>
      <t>Raúl Bernal plasma en Lapaca y sus creaciones una forma diferente de vivir la Navidad</t>
    </r>
    <r>
      <rPr>
        <rFont val="Arial, sans-serif"/>
        <color rgb="FF1155CC"/>
        <sz val="11.0"/>
        <u/>
      </rPr>
      <t>Visitamos a Raúl Bernal, el mejor maestro chocolatero de España, para conocer como Lapaca se prepara para la época navideña.</t>
    </r>
    <r>
      <rPr>
        <rFont val="Arial, sans-serif"/>
        <color rgb="FF1155CC"/>
        <sz val="12.0"/>
        <u/>
      </rPr>
      <t>.</t>
    </r>
    <r>
      <rPr>
        <rFont val="Arial, sans-serif"/>
        <color rgb="FF1155CC"/>
        <sz val="11.0"/>
        <u/>
      </rPr>
      <t>4 dic 2024</t>
    </r>
  </si>
  <si>
    <t>Raúl Bernal plasma en Lapaca y sus creaciones una forma diferente de vivir la Navidad</t>
  </si>
  <si>
    <t>Visitamos a Raúl Bernal, el mejor maestro chocolatero de España, para conocer como Lapaca se prepara para la época navideña.</t>
  </si>
  <si>
    <t>Raúl Bernal captures in Lapaca and his creations a different way of living Christmas</t>
  </si>
  <si>
    <t>We visited Raúl Bernal, the best master chocolatier in Spain, to learn how Lapaca prepares for the Christmas season.</t>
  </si>
  <si>
    <t>Food &amp; Culture</t>
  </si>
  <si>
    <r>
      <rPr>
        <rFont val="Arial, sans-serif"/>
        <color rgb="FF1155CC"/>
        <sz val="9.0"/>
        <u/>
      </rPr>
      <t>El Cronista</t>
    </r>
    <r>
      <rPr>
        <rFont val="Arial, sans-serif"/>
        <color rgb="FF1155CC"/>
        <sz val="15.0"/>
        <u/>
      </rPr>
      <t>Repsol: a cuánto cotiza HOY miércoles 04 de diciembre y cuánto rinden los dividendos</t>
    </r>
    <r>
      <rPr>
        <rFont val="Arial, sans-serif"/>
        <color rgb="FF1155CC"/>
        <sz val="11.0"/>
        <u/>
      </rPr>
      <t>Este miércoles, 4 de diciembre de 2024, la cotización del Repsol (REP) ha cerrado a 11,44 euros en el IBEX 35. Dicha cifra refleja un cambio de -1,31%...</t>
    </r>
    <r>
      <rPr>
        <rFont val="Arial, sans-serif"/>
        <color rgb="FF1155CC"/>
        <sz val="12.0"/>
        <u/>
      </rPr>
      <t>.</t>
    </r>
    <r>
      <rPr>
        <rFont val="Arial, sans-serif"/>
        <color rgb="FF1155CC"/>
        <sz val="11.0"/>
        <u/>
      </rPr>
      <t>4 dic 2024</t>
    </r>
  </si>
  <si>
    <t>Repsol: a cuánto cotiza HOY miércoles 04 de diciembre y cuánto rinden los dividendos</t>
  </si>
  <si>
    <t>Este miércoles, 4 de diciembre de 2024, la cotización del Repsol (REP) ha cerrado a 11,44 euros en el IBEX 35. Dicha cifra refleja un cambio de -1,31%.</t>
  </si>
  <si>
    <t>Repsol: how much it is trading at TODAY, Wednesday, December 4, and how much the dividends yield</t>
  </si>
  <si>
    <t>This Wednesday, December 4, 2024, the price of Repsol (REP) closed at 11.44 euros on the IBEX 35. This figure reflects a change of -1.31%.</t>
  </si>
  <si>
    <t>Repsol, stock price, dividends</t>
  </si>
  <si>
    <t>Repsol, precio de las acciones, dividendos</t>
  </si>
  <si>
    <t>Slightly negative sentiment, reflecting a stock price drop.</t>
  </si>
  <si>
    <r>
      <rPr>
        <rFont val="Arial, sans-serif"/>
        <color rgb="FF1155CC"/>
        <sz val="9.0"/>
        <u/>
      </rPr>
      <t>La Ciutat</t>
    </r>
    <r>
      <rPr>
        <rFont val="Arial, sans-serif"/>
        <color rgb="FF1155CC"/>
        <sz val="15.0"/>
        <u/>
      </rPr>
      <t>Simulacro de accidente grave en Repsol (PLASEQTA): “Ha funcionado bastante bien”</t>
    </r>
    <r>
      <rPr>
        <rFont val="Arial, sans-serif"/>
        <color rgb="FF1155CC"/>
        <sz val="11.0"/>
        <u/>
      </rPr>
      <t>Esta mañana se ha ejecutado un simulacro donde, aparte de confinar a la ciudadanía como los anteriores, también se han activado...</t>
    </r>
    <r>
      <rPr>
        <rFont val="Arial, sans-serif"/>
        <color rgb="FF1155CC"/>
        <sz val="12.0"/>
        <u/>
      </rPr>
      <t>.</t>
    </r>
    <r>
      <rPr>
        <rFont val="Arial, sans-serif"/>
        <color rgb="FF1155CC"/>
        <sz val="11.0"/>
        <u/>
      </rPr>
      <t>4 dic 2024</t>
    </r>
  </si>
  <si>
    <t>La Ciutat</t>
  </si>
  <si>
    <t>Simulacro de accidente grave en Repsol (PLASEQTA): “Ha funcionado bastante bien”</t>
  </si>
  <si>
    <t>“Ha funcionado bastante bien” Esta mañana se ha ejecutado un simulacro donde, aparte de confinar a la ciudadanía como los anteriores, también se han activado....</t>
  </si>
  <si>
    <t>Serious accident drill at Repsol (PLASEQTA): “It worked quite well”</t>
  </si>
  <si>
    <t>“It has worked quite well” This morning a drill was carried out where, apart from confining citizens like the previous ones, they have also been activated....</t>
  </si>
  <si>
    <t>Repsol, drill, PLASEQTA</t>
  </si>
  <si>
    <t>Repsol, perforación, PLASEQTA</t>
  </si>
  <si>
    <t>Slightly positive sentiment, as the drill was deemed successful.</t>
  </si>
  <si>
    <t>grave, "funcionado bien"</t>
  </si>
  <si>
    <t>Mixed; safety drill but "grave" implies risk.</t>
  </si>
  <si>
    <t>Mezclado; simulacro de seguridad pero "grave" implica riesgo.</t>
  </si>
  <si>
    <r>
      <rPr>
        <rFont val="Arial, sans-serif"/>
        <color rgb="FF1155CC"/>
        <sz val="9.0"/>
        <u/>
      </rPr>
      <t>El Español</t>
    </r>
    <r>
      <rPr>
        <rFont val="Arial, sans-serif"/>
        <color rgb="FF1155CC"/>
        <sz val="15.0"/>
        <u/>
      </rPr>
      <t>Ni Térmica ni Repsol: estos son los grandes suelos con los que Málaga quiere hacer caja el año que viene</t>
    </r>
    <r>
      <rPr>
        <rFont val="Arial, sans-serif"/>
        <color rgb="FF1155CC"/>
        <sz val="11.0"/>
        <u/>
      </rPr>
      <t>El Ayuntamiento de Málaga prevé ingresar algo más de 30 millones con la enajenación de solares en Colinas del Limonar. Más información: Málaga vuelve hacer...</t>
    </r>
    <r>
      <rPr>
        <rFont val="Arial, sans-serif"/>
        <color rgb="FF1155CC"/>
        <sz val="12.0"/>
        <u/>
      </rPr>
      <t>.</t>
    </r>
    <r>
      <rPr>
        <rFont val="Arial, sans-serif"/>
        <color rgb="FF1155CC"/>
        <sz val="11.0"/>
        <u/>
      </rPr>
      <t>4 dic 2024</t>
    </r>
  </si>
  <si>
    <t>Ni Térmica ni Repsol: estos son los grandes suelos con los que Málaga quiere hacer caja el año que viene</t>
  </si>
  <si>
    <t>El Ayuntamiento de Málaga prevé ingresar algo más de 30 millones con la enajenación de solares en Colinas del Limonar.</t>
  </si>
  <si>
    <t>Neither Térmica nor Repsol: these are the big lands with which Málaga wants to make money next year</t>
  </si>
  <si>
    <t>The Malaga City Council plans to earn just over 30 million with the sale of plots in Colinas del Limonar.</t>
  </si>
  <si>
    <r>
      <rPr>
        <rFont val="Arial, sans-serif"/>
        <color rgb="FF1155CC"/>
        <sz val="9.0"/>
        <u/>
      </rPr>
      <t>Energías Renovables, el periodismo de las energías limpias.</t>
    </r>
    <r>
      <rPr>
        <rFont val="Arial, sans-serif"/>
        <color rgb="FF1155CC"/>
        <sz val="15.0"/>
        <u/>
      </rPr>
      <t>Las grandes energéticas crean el Hub de Energía Verde para fomentar la FP</t>
    </r>
    <r>
      <rPr>
        <rFont val="Arial, sans-serif"/>
        <color rgb="FF1155CC"/>
        <sz val="11.0"/>
        <u/>
      </rPr>
      <t>Moeve, Repsol, Endesa, Naturgy, el Club Español de la Energía (Enerclub) y ManpowerGroup han creado el Hub de Energía Verde.</t>
    </r>
    <r>
      <rPr>
        <rFont val="Arial, sans-serif"/>
        <color rgb="FF1155CC"/>
        <sz val="12.0"/>
        <u/>
      </rPr>
      <t>.</t>
    </r>
    <r>
      <rPr>
        <rFont val="Arial, sans-serif"/>
        <color rgb="FF1155CC"/>
        <sz val="11.0"/>
        <u/>
      </rPr>
      <t>4 dic 2024</t>
    </r>
  </si>
  <si>
    <t>Las grandes energéticas crean el Hub de Energía Verde para fomentar la FP</t>
  </si>
  <si>
    <t>Las grandes energéticas crean el Hub de Energía Verde para fomentar la FPMoeve, Repsol, Endesa, Naturgy, el Club Español de la Energía (Enerclub) y ManpowerGroup han creado el Hub de Energía Verde.</t>
  </si>
  <si>
    <t>Large energy companies create the Green Energy Hub to promote vocational training</t>
  </si>
  <si>
    <t>Large energy companies create the Green Energy Hub to promote the FPMoeve, Repsol, Endesa, Naturgy, the Spanish Energy Club (Enerclub) and ManpowerGroup have created the Green Energy Hub.</t>
  </si>
  <si>
    <t>Sustainability &amp; Education</t>
  </si>
  <si>
    <t>Repsol, Green Energy Hub, vocational training</t>
  </si>
  <si>
    <t>Repsol, Green Energy Hub, formación profesional</t>
  </si>
  <si>
    <t>Positive sentiment, highlighting a joint effort for energy sector training.</t>
  </si>
  <si>
    <t>Positive for green initiatives.</t>
  </si>
  <si>
    <t>Positivo para las iniciativas verdes.</t>
  </si>
  <si>
    <r>
      <rPr>
        <rFont val="Arial, sans-serif"/>
        <color rgb="FF1155CC"/>
        <sz val="9.0"/>
        <u/>
      </rPr>
      <t>www.ocu.org</t>
    </r>
    <r>
      <rPr>
        <rFont val="Arial, sans-serif"/>
        <color rgb="FF1155CC"/>
        <sz val="15.0"/>
        <u/>
      </rPr>
      <t>Repsol, BlackRock, Roche, Anglo American</t>
    </r>
    <r>
      <rPr>
        <rFont val="Arial, sans-serif"/>
        <color rgb="FF1155CC"/>
        <sz val="11.0"/>
        <u/>
      </rPr>
      <t>Últimas noticias sobre estas cuatro acciones de nuestra selección, una de ellas incluida en la cartera Experto en acciones. Vea qué hacer con ellas.</t>
    </r>
    <r>
      <rPr>
        <rFont val="Arial, sans-serif"/>
        <color rgb="FF1155CC"/>
        <sz val="12.0"/>
        <u/>
      </rPr>
      <t>.</t>
    </r>
    <r>
      <rPr>
        <rFont val="Arial, sans-serif"/>
        <color rgb="FF1155CC"/>
        <sz val="11.0"/>
        <u/>
      </rPr>
      <t>4 dic 2024</t>
    </r>
  </si>
  <si>
    <t>Últimas noticias sobre estas cuatro acciones de nuestra selección, una de ellas incluida en la cartera Experto en acciones.</t>
  </si>
  <si>
    <t>Últimas noticias sobre estas cuatro acciones de nuestra selección, una de ellas incluida en la cartera Experto en acciones. Vea qué hacer con ellas.</t>
  </si>
  <si>
    <t>Latest news on these four stocks from our selection, one of them included in the Stock Expert portfolio.</t>
  </si>
  <si>
    <t>Latest news on these four stocks from our selection, one of them included in the Stock Expert portfolio. See what to do with them.</t>
  </si>
  <si>
    <r>
      <rPr>
        <rFont val="Arial, sans-serif"/>
        <color rgb="FF1155CC"/>
        <sz val="9.0"/>
        <u/>
      </rPr>
      <t>Diari de Tarragona</t>
    </r>
    <r>
      <rPr>
        <rFont val="Arial, sans-serif"/>
        <color rgb="FF1155CC"/>
        <sz val="15.0"/>
        <u/>
      </rPr>
      <t>Simulacro: suenan las sirenas del Plaseqta por un incidente en Repsol</t>
    </r>
    <r>
      <rPr>
        <rFont val="Arial, sans-serif"/>
        <color rgb="FF1155CC"/>
        <sz val="11.0"/>
        <u/>
      </rPr>
      <t>A las once de esta mañana de miércoles, el Centre de Coordinació de Catalunya ha recibido un aviso desde la planta de Repsol Química informando que se...</t>
    </r>
    <r>
      <rPr>
        <rFont val="Arial, sans-serif"/>
        <color rgb="FF1155CC"/>
        <sz val="12.0"/>
        <u/>
      </rPr>
      <t>.</t>
    </r>
    <r>
      <rPr>
        <rFont val="Arial, sans-serif"/>
        <color rgb="FF1155CC"/>
        <sz val="11.0"/>
        <u/>
      </rPr>
      <t>4 dic 2024</t>
    </r>
  </si>
  <si>
    <t>Simulacro: suenan las sirenas del Plaseqta por un incidente en Repsol</t>
  </si>
  <si>
    <t>A las once de esta mañana de miércoles, el Centre de Coordinació de Catalunya ha recibido un aviso desde la planta de Repsol Química informando que se....</t>
  </si>
  <si>
    <t>Drill: Plaseqta sirens sound due to an incident at Repsol</t>
  </si>
  <si>
    <t>At eleven o'clock this Wednesday morning, the Coordination Center of Catalonia received a notice from the Repsol Química plant informing that...</t>
  </si>
  <si>
    <t>Repsol, Plaseqta, sirens, incident</t>
  </si>
  <si>
    <t>Repsol, Plaseqta, sirenas, incidente</t>
  </si>
  <si>
    <t>Slightly negative sentiment, mentioning a simulated emergency response.</t>
  </si>
  <si>
    <t>incidente</t>
  </si>
  <si>
    <t>Negative for implied risk.</t>
  </si>
  <si>
    <t>Negativo por riesgo implícito.</t>
  </si>
  <si>
    <r>
      <rPr>
        <rFont val="Arial, sans-serif"/>
        <color rgb="FF1155CC"/>
        <sz val="9.0"/>
        <u/>
      </rPr>
      <t>La Voz de Galicia</t>
    </r>
    <r>
      <rPr>
        <rFont val="Arial, sans-serif"/>
        <color rgb="FF1155CC"/>
        <sz val="15.0"/>
        <u/>
      </rPr>
      <t>La gasolinera de Alfonso Molina ahora tiene Lizarrán</t>
    </r>
    <r>
      <rPr>
        <rFont val="Arial, sans-serif"/>
        <color rgb="FF1155CC"/>
        <sz val="11.0"/>
        <u/>
      </rPr>
      <t>Supercor Stop&amp;Go se llama ahora el renovado establecimiento de la estación de servicio Repsol poco antes de la entrada de la autopista, que ofrece desde...</t>
    </r>
    <r>
      <rPr>
        <rFont val="Arial, sans-serif"/>
        <color rgb="FF1155CC"/>
        <sz val="12.0"/>
        <u/>
      </rPr>
      <t>.</t>
    </r>
    <r>
      <rPr>
        <rFont val="Arial, sans-serif"/>
        <color rgb="FF1155CC"/>
        <sz val="11.0"/>
        <u/>
      </rPr>
      <t>4 dic 2024</t>
    </r>
  </si>
  <si>
    <t>La gasolinera de Alfonso Molina ahora tiene Lizarrán</t>
  </si>
  <si>
    <t>Supercor Stop&amp;Go se llama ahora el renovado establecimiento de la estación de servicio Repsol poco antes de la entrada de la autopista, que ofrece desde....</t>
  </si>
  <si>
    <t>The Alfonso Molina gas station now has Lizarrán</t>
  </si>
  <si>
    <t>Supercor Stop&amp;Go is now called the renovated establishment of the Repsol service station shortly before the highway entrance, which offers from...</t>
  </si>
  <si>
    <t>Business &amp; Food</t>
  </si>
  <si>
    <r>
      <rPr>
        <rFont val="Arial, sans-serif"/>
        <color rgb="FF1155CC"/>
        <sz val="9.0"/>
        <u/>
      </rPr>
      <t>Andalucía Información</t>
    </r>
    <r>
      <rPr>
        <rFont val="Arial, sans-serif"/>
        <color rgb="FF1155CC"/>
        <sz val="15.0"/>
        <u/>
      </rPr>
      <t>Bosque Urbano Málaga recurre la autorización ambiental para los terrenos de Repsol</t>
    </r>
    <r>
      <rPr>
        <rFont val="Arial, sans-serif"/>
        <color rgb="FF1155CC"/>
        <sz val="11.0"/>
        <u/>
      </rPr>
      <t>Alegan que no se hace una adecuada evaluación de la contaminación del freático y que no se extiende la limpieza a todo el terreno.</t>
    </r>
    <r>
      <rPr>
        <rFont val="Arial, sans-serif"/>
        <color rgb="FF1155CC"/>
        <sz val="12.0"/>
        <u/>
      </rPr>
      <t>.</t>
    </r>
    <r>
      <rPr>
        <rFont val="Arial, sans-serif"/>
        <color rgb="FF1155CC"/>
        <sz val="11.0"/>
        <u/>
      </rPr>
      <t>4 dic 2024</t>
    </r>
  </si>
  <si>
    <t>Andalucía Información</t>
  </si>
  <si>
    <t>Bosque Urbano Málaga recurre la autorización ambiental para los terrenos de Repsol</t>
  </si>
  <si>
    <t>Alegan que no se hace una adecuada evaluación de la contaminación del freático y que no se extiende la limpieza a todo el terreno.</t>
  </si>
  <si>
    <t>Bosque Urbano Málaga appeals the environmental authorization for the Repsol lands</t>
  </si>
  <si>
    <t>They allege that an adequate evaluation of the contamination of the groundwater is not made and that the cleaning is not extended to the entire land.</t>
  </si>
  <si>
    <r>
      <rPr>
        <rFont val="Arial, sans-serif"/>
        <color rgb="FF1155CC"/>
        <sz val="9.0"/>
        <u/>
      </rPr>
      <t>Comunicae</t>
    </r>
    <r>
      <rPr>
        <rFont val="Arial, sans-serif"/>
        <color rgb="FF1155CC"/>
        <sz val="15.0"/>
        <u/>
      </rPr>
      <t>Caixabank, Correos, Roams, Noatum, Santander, Repsol y Alberto Cueto (EDP), premios Ágora Bienestar 2024</t>
    </r>
    <r>
      <rPr>
        <rFont val="Arial, sans-serif"/>
        <color rgb="FF1155CC"/>
        <sz val="11.0"/>
        <u/>
      </rPr>
      <t>Ágora Bienestar se consolida, en su séptima edición, como espacio de referencia para transformar el bienestar laboral con innovación, inclusión y tecnología...</t>
    </r>
    <r>
      <rPr>
        <rFont val="Arial, sans-serif"/>
        <color rgb="FF1155CC"/>
        <sz val="12.0"/>
        <u/>
      </rPr>
      <t>.</t>
    </r>
    <r>
      <rPr>
        <rFont val="Arial, sans-serif"/>
        <color rgb="FF1155CC"/>
        <sz val="11.0"/>
        <u/>
      </rPr>
      <t>4 dic 2024</t>
    </r>
  </si>
  <si>
    <t>premios Ágora Bienestar 2024</t>
  </si>
  <si>
    <t>Ágora Bienestar se consolida, en su séptima edición, como espacio de referencia para transformar el bienestar laboral con innovación, inclusión y tecnología.</t>
  </si>
  <si>
    <t>Ágora Wellbeing awards 2024</t>
  </si>
  <si>
    <t>Ágora Bienestar is consolidated, in its seventh edition, as a reference space to transform workplace well-being with innovation, inclusion and technology.</t>
  </si>
  <si>
    <r>
      <rPr>
        <rFont val="Arial, sans-serif"/>
        <color rgb="FF1155CC"/>
        <sz val="9.0"/>
        <u/>
      </rPr>
      <t>20Minutos</t>
    </r>
    <r>
      <rPr>
        <rFont val="Arial, sans-serif"/>
        <color rgb="FF1155CC"/>
        <sz val="15.0"/>
        <u/>
      </rPr>
      <t>Sirenas, alertas al móvil y confinamientos en el polígono norte de Tarragona: simulacro de accidente químico con 10.000 afectados</t>
    </r>
    <r>
      <rPr>
        <rFont val="Arial, sans-serif"/>
        <color rgb="FF1155CC"/>
        <sz val="11.0"/>
        <u/>
      </rPr>
      <t>Las instalaciones de Repsol en el polígono químico norte de Tarragona han acogido este miércoles 4 de diciembre por la mañana un simulacro del plan especial...</t>
    </r>
    <r>
      <rPr>
        <rFont val="Arial, sans-serif"/>
        <color rgb="FF1155CC"/>
        <sz val="12.0"/>
        <u/>
      </rPr>
      <t>.</t>
    </r>
    <r>
      <rPr>
        <rFont val="Arial, sans-serif"/>
        <color rgb="FF1155CC"/>
        <sz val="11.0"/>
        <u/>
      </rPr>
      <t>4 dic 2024</t>
    </r>
  </si>
  <si>
    <t>Sirenas, alertas al móvil y confinamientos en el polígono norte de Tarragona: simulacro de accidente químico con 10.000 afectados</t>
  </si>
  <si>
    <t>Las instalaciones de Repsol en el polígono químico norte de Tarragona han acogido este miércoles 4 de diciembre por la mañana un simulacro del plan especial.</t>
  </si>
  <si>
    <t>Sirens, mobile alerts and confinements in the northern industrial area of ​​Tarragona: simulation of a chemical accident with 10,000 affected</t>
  </si>
  <si>
    <t>This Wednesday, December 4, the Repsol facilities in the northern chemical industrial estate of Tarragona hosted a simulation of the special plan.</t>
  </si>
  <si>
    <t>Safety &amp; Emergency Response</t>
  </si>
  <si>
    <t>Repsol, Tarragona, chemical accident, simulation</t>
  </si>
  <si>
    <t>Repsol, Tarragona, accidente químico, simulación</t>
  </si>
  <si>
    <t>Slightly positive sentiment, as it is a preparedness exercise.</t>
  </si>
  <si>
    <t>accidente químico</t>
  </si>
  <si>
    <t>Negative for safety concerns.</t>
  </si>
  <si>
    <t>Negativo por motivos de seguridad.</t>
  </si>
  <si>
    <r>
      <rPr>
        <rFont val="Arial, sans-serif"/>
        <color rgb="FF1155CC"/>
        <sz val="9.0"/>
        <u/>
      </rPr>
      <t>El Confidencial</t>
    </r>
    <r>
      <rPr>
        <rFont val="Arial, sans-serif"/>
        <color rgb="FF1155CC"/>
        <sz val="15.0"/>
        <u/>
      </rPr>
      <t>Del laboratorio a tu móvil: así logran estos divulgadores que entendamos la ciencia</t>
    </r>
    <r>
      <rPr>
        <rFont val="Arial, sans-serif"/>
        <color rgb="FF1155CC"/>
        <sz val="11.0"/>
        <u/>
      </rPr>
      <t>Los divulgadores científicos, innovando en sus formatos y su forma de comunicarse, hacen que la ciencia llegue a todas partes. Estos son algunos de los más...</t>
    </r>
    <r>
      <rPr>
        <rFont val="Arial, sans-serif"/>
        <color rgb="FF1155CC"/>
        <sz val="12.0"/>
        <u/>
      </rPr>
      <t>.</t>
    </r>
    <r>
      <rPr>
        <rFont val="Arial, sans-serif"/>
        <color rgb="FF1155CC"/>
        <sz val="11.0"/>
        <u/>
      </rPr>
      <t>4 dic 2024</t>
    </r>
  </si>
  <si>
    <t>Del laboratorio a tu móvil: así logran estos divulgadores que entendamos la ciencia</t>
  </si>
  <si>
    <t>Los divulgadores científicos, innovando en sus formatos y su forma de comunicarse, hacen que la ciencia llegue a todas partes. Estos son algunos de los más....</t>
  </si>
  <si>
    <t>From the laboratory to your mobile: this is how these popularizers make us understand science</t>
  </si>
  <si>
    <t>Scientific communicators, innovating in their formats and way of communicating, make science reach everywhere. These are some of the most....</t>
  </si>
  <si>
    <t>Education &amp; Innovation</t>
  </si>
  <si>
    <r>
      <rPr>
        <rFont val="Arial, sans-serif"/>
        <color rgb="FF1155CC"/>
        <sz val="9.0"/>
        <u/>
      </rPr>
      <t>ELTIEMPO.COM</t>
    </r>
    <r>
      <rPr>
        <rFont val="Arial, sans-serif"/>
        <color rgb="FF1155CC"/>
        <sz val="15.0"/>
        <u/>
      </rPr>
      <t>Repsol y Cepsa, petroleras españolas que se fueron de Colombia: ¿Qué hay detrás de la decisión?</t>
    </r>
    <r>
      <rPr>
        <rFont val="Arial, sans-serif"/>
        <color rgb="FF1155CC"/>
        <sz val="11.0"/>
        <u/>
      </rPr>
      <t>La historia de casi 40 años de Repsol Oil &amp; Gas Limited en Colombia llegó a su fin. La semana pasada la compañía anunció que venderá sus activos petroleros...</t>
    </r>
    <r>
      <rPr>
        <rFont val="Arial, sans-serif"/>
        <color rgb="FF1155CC"/>
        <sz val="12.0"/>
        <u/>
      </rPr>
      <t>.</t>
    </r>
    <r>
      <rPr>
        <rFont val="Arial, sans-serif"/>
        <color rgb="FF1155CC"/>
        <sz val="11.0"/>
        <u/>
      </rPr>
      <t>4 dic 2024</t>
    </r>
  </si>
  <si>
    <t>Repsol y Cepsa, petroleras españolas que se fueron de Colombia: ¿Qué hay detrás de la decisión?</t>
  </si>
  <si>
    <t>La historia de casi 40 años de Repsol Oil &amp; Gas Limited en Colombia llegó a su fin. La semana pasada la compañía anunció que venderá sus activos petroleros.</t>
  </si>
  <si>
    <t>Repsol and Cepsa, Spanish oil companies that left Colombia: What is behind the decision?</t>
  </si>
  <si>
    <t>The almost 40-year history of Repsol Oil &amp; Gas Limited in Colombia has come to an end. Last week the company announced that it will sell its oil assets.</t>
  </si>
  <si>
    <t>Repsol, Cepsa, Colombia</t>
  </si>
  <si>
    <t>Negative sentiment, highlighting the company’s exit from Colombia.</t>
  </si>
  <si>
    <t>se fueron</t>
  </si>
  <si>
    <t>Negative framing of exit.</t>
  </si>
  <si>
    <t>Encuadre negativo de la salida.</t>
  </si>
  <si>
    <r>
      <rPr>
        <rFont val="Arial, sans-serif"/>
        <color rgb="FF1155CC"/>
        <sz val="9.0"/>
        <u/>
      </rPr>
      <t>El Colombiano</t>
    </r>
    <r>
      <rPr>
        <rFont val="Arial, sans-serif"/>
        <color rgb="FF1155CC"/>
        <sz val="15.0"/>
        <u/>
      </rPr>
      <t>Petrolera Repsol le dice adiós a Colombia: ¿qué está pasando en la industria de hidrocarburos?</t>
    </r>
    <r>
      <rPr>
        <rFont val="Arial, sans-serif"/>
        <color rgb="FF1155CC"/>
        <sz val="11.0"/>
        <u/>
      </rPr>
      <t>La historia de casi 40 años de Repsol en Colombia llegó a su fin con la venta de sus activos petroleros a la compañía GeoPark por 530 millones de dóla...</t>
    </r>
    <r>
      <rPr>
        <rFont val="Arial, sans-serif"/>
        <color rgb="FF1155CC"/>
        <sz val="12.0"/>
        <u/>
      </rPr>
      <t>.</t>
    </r>
    <r>
      <rPr>
        <rFont val="Arial, sans-serif"/>
        <color rgb="FF1155CC"/>
        <sz val="11.0"/>
        <u/>
      </rPr>
      <t>4 dic 2024</t>
    </r>
  </si>
  <si>
    <t>Petrolera Repsol le dice adiós a Colombia: ¿qué está pasando en la industria de hidrocarburos?</t>
  </si>
  <si>
    <t>La historia de casi 40 años de Repsol en Colombia llegó a su fin con la venta de sus activos petroleros a la compañía GeoPark por 530 millones de dólares.</t>
  </si>
  <si>
    <t>Repsol Oil Company says goodbye to Colombia: what is happening in the hydrocarbon industry?</t>
  </si>
  <si>
    <t>Repsol's almost 40-year history in Colombia came to an end with the sale of its oil assets to the GeoPark company for $530 million.</t>
  </si>
  <si>
    <t>Repsol, Colombia, hydrocarbon industry</t>
  </si>
  <si>
    <t>Repsol, Colombia, industria de los hidrocarburos</t>
  </si>
  <si>
    <t>Negative sentiment, marking Repsol’s departure from Colombia.</t>
  </si>
  <si>
    <r>
      <rPr>
        <rFont val="Arial, sans-serif"/>
        <color rgb="FF1155CC"/>
        <sz val="9.0"/>
        <u/>
      </rPr>
      <t>Guía Repsol</t>
    </r>
    <r>
      <rPr>
        <rFont val="Arial, sans-serif"/>
        <color rgb="FF1155CC"/>
        <sz val="15.0"/>
        <u/>
      </rPr>
      <t>Dehesa Monteros cría sus cerdos en la Serranía de Ronda</t>
    </r>
    <r>
      <rPr>
        <rFont val="Arial, sans-serif"/>
        <color rgb="FF1155CC"/>
        <sz val="11.0"/>
        <u/>
      </rPr>
      <t>Dehesa Monteros cría a sus cerdos ibéricos en la Serranía de Ronda, donde los animales se alimentan durante mes y medio de castañas.</t>
    </r>
    <r>
      <rPr>
        <rFont val="Arial, sans-serif"/>
        <color rgb="FF1155CC"/>
        <sz val="12.0"/>
        <u/>
      </rPr>
      <t>.</t>
    </r>
    <r>
      <rPr>
        <rFont val="Arial, sans-serif"/>
        <color rgb="FF1155CC"/>
        <sz val="11.0"/>
        <u/>
      </rPr>
      <t>4 dic 2024</t>
    </r>
  </si>
  <si>
    <t>Dehesa Monteros cría a sus cerdos ibéricos en la Serranía de Ronda, donde los animales se alimentan durante mes y medio de castañas.</t>
  </si>
  <si>
    <t>Dehesa Monteros raises its Iberian pigs in the Serranía de Ronda, where the animals feed on chestnuts for a month and a half.</t>
  </si>
  <si>
    <t>Food &amp; Agriculture</t>
  </si>
  <si>
    <r>
      <rPr>
        <rFont val="Arial, sans-serif"/>
        <color rgb="FF1155CC"/>
        <sz val="9.0"/>
        <u/>
      </rPr>
      <t>El Cronista</t>
    </r>
    <r>
      <rPr>
        <rFont val="Arial, sans-serif"/>
        <color rgb="FF1155CC"/>
        <sz val="15.0"/>
        <u/>
      </rPr>
      <t>Repsol: así abre la cotización hoy miércoles 04 de diciembre, ¿cuánto rinden los dividendos?</t>
    </r>
    <r>
      <rPr>
        <rFont val="Arial, sans-serif"/>
        <color rgb="FF1155CC"/>
        <sz val="11.0"/>
        <u/>
      </rPr>
      <t>La cotización de las activos de la compañía de petróleo, gas y combustibles consumibles Repsol (REP) en la apertura de mercados en España este miércoles,...</t>
    </r>
    <r>
      <rPr>
        <rFont val="Arial, sans-serif"/>
        <color rgb="FF1155CC"/>
        <sz val="12.0"/>
        <u/>
      </rPr>
      <t>.</t>
    </r>
    <r>
      <rPr>
        <rFont val="Arial, sans-serif"/>
        <color rgb="FF1155CC"/>
        <sz val="11.0"/>
        <u/>
      </rPr>
      <t>4 dic 2024</t>
    </r>
  </si>
  <si>
    <t>Repsol: así abre la cotización hoy miércoles 04 de diciembre, ¿cuánto rinden los dividendos?</t>
  </si>
  <si>
    <t>La cotización de las activos de la compañía de petróleo, gas y combustibles Repsol (REP) en la apertura de mercados en España este miércoles,....</t>
  </si>
  <si>
    <t>Repsol: this is how trading opens today, Wednesday, December 4, how much do the dividends yield?</t>
  </si>
  <si>
    <t>The price of the assets of the oil, gas and fuel company Repsol (REP) at the opening of markets in Spain this Wednesday,...</t>
  </si>
  <si>
    <t>Neutral sentiment, providing stock market updates.</t>
  </si>
  <si>
    <r>
      <rPr>
        <rFont val="Arial, sans-serif"/>
        <color rgb="FF1155CC"/>
        <sz val="9.0"/>
        <u/>
      </rPr>
      <t>Crónica Global</t>
    </r>
    <r>
      <rPr>
        <rFont val="Arial, sans-serif"/>
        <color rgb="FF1155CC"/>
        <sz val="15.0"/>
        <u/>
      </rPr>
      <t>El restaurante de carretera en el que tienes que parar si viajas por Lleida: el mejor recomendado por los camioneros y la Guía Repsol</t>
    </r>
    <r>
      <rPr>
        <rFont val="Arial, sans-serif"/>
        <color rgb="FF1155CC"/>
        <sz val="11.0"/>
        <u/>
      </rPr>
      <t>Un establecimiento culinario, de toda la vida, con la mejor cocina mediterránea catalana y a buen precio Otros restaurantes: Adiós a la Estrella Michelín:...</t>
    </r>
    <r>
      <rPr>
        <rFont val="Arial, sans-serif"/>
        <color rgb="FF1155CC"/>
        <sz val="12.0"/>
        <u/>
      </rPr>
      <t>.</t>
    </r>
    <r>
      <rPr>
        <rFont val="Arial, sans-serif"/>
        <color rgb="FF1155CC"/>
        <sz val="11.0"/>
        <u/>
      </rPr>
      <t>4 dic 2024</t>
    </r>
  </si>
  <si>
    <t>El restaurante de carretera en el que tienes que parar si viajas por Lleida: el mejor recomendado por los camioneros y la Guía Repsol</t>
  </si>
  <si>
    <t>Un establecimiento culinario, de toda la vida, con la mejor cocina mediterránea catalana y a buen precio. Otros restaurantes: Adiós a la Estrella Michelín:...</t>
  </si>
  <si>
    <t>The roadside restaurant where you have to stop if you travel through Lleida: the best recommended by truck drivers and the Repsol Guide</t>
  </si>
  <si>
    <t>A traditional culinary establishment, with the best Catalan Mediterranean cuisine and at a good price. Other restaurants: Goodbye to the Michelin Star:...</t>
  </si>
  <si>
    <r>
      <rPr>
        <rFont val="Arial, sans-serif"/>
        <color rgb="FF1155CC"/>
        <sz val="9.0"/>
        <u/>
      </rPr>
      <t>La Voz del Tajo</t>
    </r>
    <r>
      <rPr>
        <rFont val="Arial, sans-serif"/>
        <color rgb="FF1155CC"/>
        <sz val="15.0"/>
        <u/>
      </rPr>
      <t>Los restaurantes castellano-manchegos ‘Raíces’ y ‘Molino de Alcuneza’ acreditan una demanda creciente de sus clientes por una gastronomía responsable</t>
    </r>
    <r>
      <rPr>
        <rFont val="Arial, sans-serif"/>
        <color rgb="FF1155CC"/>
        <sz val="11.0"/>
        <u/>
      </rPr>
      <t>El creciente interés social y la preocupación por la conservación del medio ambiente y la implementación de prácticas responsables en la actividad económica...</t>
    </r>
    <r>
      <rPr>
        <rFont val="Arial, sans-serif"/>
        <color rgb="FF1155CC"/>
        <sz val="12.0"/>
        <u/>
      </rPr>
      <t>.</t>
    </r>
    <r>
      <rPr>
        <rFont val="Arial, sans-serif"/>
        <color rgb="FF1155CC"/>
        <sz val="11.0"/>
        <u/>
      </rPr>
      <t>4 dic 2024</t>
    </r>
  </si>
  <si>
    <t>Los restaurantes castellano-manchegos ‘Raíces’ y ‘Molino de Alcuneza’ acreditan una demanda creciente de sus clientes por una gastronomía responsable</t>
  </si>
  <si>
    <t>El creciente interés social y la preocupación por la conservación del medio ambiente y la implementación de prácticas responsables en la actividad económica.</t>
  </si>
  <si>
    <t>The Castilian-La Mancha restaurants 'Raíces' and 'Molino de Alcuneza' demonstrate a growing demand from their customers for responsible gastronomy</t>
  </si>
  <si>
    <t>The growing social interest and concern for environmental conservation and the implementation of responsible practices in economic activity.</t>
  </si>
  <si>
    <r>
      <rPr>
        <rFont val="Arial, sans-serif"/>
        <color rgb="FF1155CC"/>
        <sz val="9.0"/>
        <u/>
      </rPr>
      <t>Global Energy</t>
    </r>
    <r>
      <rPr>
        <rFont val="Arial, sans-serif"/>
        <color rgb="FF1155CC"/>
        <sz val="15.0"/>
        <u/>
      </rPr>
      <t>McDermott diseñará los campos Polok y Chinwol en el Golfo de México para Repsol México</t>
    </r>
    <r>
      <rPr>
        <rFont val="Arial, sans-serif"/>
        <color rgb="FF1155CC"/>
        <sz val="11.0"/>
        <u/>
      </rPr>
      <t>McDermott ha sido seleccionada por Repsol Exploración México S.A. para desarrollar el diseño de ingeniería de los campos Polok y Chinwol en el Golfo de...</t>
    </r>
    <r>
      <rPr>
        <rFont val="Arial, sans-serif"/>
        <color rgb="FF1155CC"/>
        <sz val="12.0"/>
        <u/>
      </rPr>
      <t>.</t>
    </r>
    <r>
      <rPr>
        <rFont val="Arial, sans-serif"/>
        <color rgb="FF1155CC"/>
        <sz val="11.0"/>
        <u/>
      </rPr>
      <t>4 dic 2024</t>
    </r>
  </si>
  <si>
    <t>McDermott diseñará los campos Polok y Chinwol en el Golfo de México para Repsol México</t>
  </si>
  <si>
    <t>McDermott ha sido seleccionada por Repsol Exploración México S.A. para desarrollar el diseño de ingeniería de los campos Polok y Chinwol en el Golfo de....</t>
  </si>
  <si>
    <t>McDermott will design the Polok and Chinwol fields in the Gulf of Mexico for Repsol Mexico</t>
  </si>
  <si>
    <t>McDermott has been selected by Repsol Exploración México S.A. to develop the engineering design of the Polok and Chinwol fields in the Gulf of....</t>
  </si>
  <si>
    <t>Business &amp; Engineering</t>
  </si>
  <si>
    <t>McDermott, Repsol Mexico, oil fields</t>
  </si>
  <si>
    <t>McDermott, Repsol México, campos petroleros</t>
  </si>
  <si>
    <t>Positive sentiment, mentioning Repsol’s expansion into offshore engineering.</t>
  </si>
  <si>
    <t>Mildly positive for project involvement.</t>
  </si>
  <si>
    <t>Ligeramente positivo para la participación en el proyecto.</t>
  </si>
  <si>
    <r>
      <rPr>
        <rFont val="Arial, sans-serif"/>
        <color rgb="FF1155CC"/>
        <sz val="9.0"/>
        <u/>
      </rPr>
      <t>Banca y Negocios</t>
    </r>
    <r>
      <rPr>
        <rFont val="Arial, sans-serif"/>
        <color rgb="FF1155CC"/>
        <sz val="15.0"/>
        <u/>
      </rPr>
      <t>España importa el mayor volumen de crudo venezolano desde 2006</t>
    </r>
    <r>
      <rPr>
        <rFont val="Arial, sans-serif"/>
        <color rgb="FF1155CC"/>
        <sz val="11.0"/>
        <u/>
      </rPr>
      <t>España rompe récord: Importaciones de crudo venezolano alcanzan máximo histórico en casi dos décadas, según información publicada por la agencia.</t>
    </r>
    <r>
      <rPr>
        <rFont val="Arial, sans-serif"/>
        <color rgb="FF1155CC"/>
        <sz val="12.0"/>
        <u/>
      </rPr>
      <t>.</t>
    </r>
    <r>
      <rPr>
        <rFont val="Arial, sans-serif"/>
        <color rgb="FF1155CC"/>
        <sz val="11.0"/>
        <u/>
      </rPr>
      <t>4 dic 2024</t>
    </r>
  </si>
  <si>
    <t>España rompe récord: Importaciones de crudo venezolano alcanzan máximo histórico en casi dos décadas, según información publicada por la agencia.</t>
  </si>
  <si>
    <t>Importaciones de crudo venezolano alcanzan máximo histórico en casi dos décadas, según información publicada por la agencia.</t>
  </si>
  <si>
    <t>Spain breaks record: Imports of Venezuelan crude oil reach a historic high in almost two decades, according to information published by the agency.</t>
  </si>
  <si>
    <t>Imports of Venezuelan crude oil reach a historic high in almost two decades, according to information published by the agency.</t>
  </si>
  <si>
    <t>Energy &amp; Economy</t>
  </si>
  <si>
    <r>
      <rPr>
        <rFont val="Arial, sans-serif"/>
        <color rgb="FF1155CC"/>
        <sz val="9.0"/>
        <u/>
      </rPr>
      <t>Pulzo</t>
    </r>
    <r>
      <rPr>
        <rFont val="Arial, sans-serif"/>
        <color rgb="FF1155CC"/>
        <sz val="15.0"/>
        <u/>
      </rPr>
      <t>Poderosa empresa se va de Colombia luego de 40 años e hizo movida millonaria de última hora</t>
    </r>
    <r>
      <rPr>
        <rFont val="Arial, sans-serif"/>
        <color rgb="FF1155CC"/>
        <sz val="11.0"/>
        <u/>
      </rPr>
      <t>Repsol, compañía petrolera, anunció su salida de Colombia luego de 40 funcionando en dicho país y dijo qué pasará con los negocios que tienen.</t>
    </r>
    <r>
      <rPr>
        <rFont val="Arial, sans-serif"/>
        <color rgb="FF1155CC"/>
        <sz val="12.0"/>
        <u/>
      </rPr>
      <t>.</t>
    </r>
    <r>
      <rPr>
        <rFont val="Arial, sans-serif"/>
        <color rgb="FF1155CC"/>
        <sz val="11.0"/>
        <u/>
      </rPr>
      <t>4 dic 2024</t>
    </r>
  </si>
  <si>
    <t>Pulzo</t>
  </si>
  <si>
    <t>Poderosa empresa se va de Colombia luego de 40 años e hizo movida millonaria de última hora</t>
  </si>
  <si>
    <t>Repsol, compañía petrolera, anunció su salida de Colombia luego de 40 funcionando en dicho país y dijo qué pasará con los negocios que tienen.</t>
  </si>
  <si>
    <t>Powerful company leaves Colombia after 40 years and made a million-dollar move at the last minute</t>
  </si>
  <si>
    <t>Repsol, an oil company, announced its departure from Colombia after 40 years operating in that country and said what will happen to the businesses they have.</t>
  </si>
  <si>
    <t>Negative sentiment, focusing on a major exit from Colombia.</t>
  </si>
  <si>
    <t>se va</t>
  </si>
  <si>
    <r>
      <rPr>
        <rFont val="Arial, sans-serif"/>
        <color rgb="FF1155CC"/>
        <sz val="9.0"/>
        <u/>
      </rPr>
      <t>Transporte Profesional</t>
    </r>
    <r>
      <rPr>
        <rFont val="Arial, sans-serif"/>
        <color rgb="FF1155CC"/>
        <sz val="15.0"/>
        <u/>
      </rPr>
      <t>DB Schenker y Repsol apuestan por el combustible renovable</t>
    </r>
    <r>
      <rPr>
        <rFont val="Arial, sans-serif"/>
        <color rgb="FF1155CC"/>
        <sz val="11.0"/>
        <u/>
      </rPr>
      <t>DB Schenker y Repsol han firmado un acuerdo estratégico para el suministro de combustible 100% renovable HVO (aceite vegetal hidrotratado) que marca un paso...</t>
    </r>
    <r>
      <rPr>
        <rFont val="Arial, sans-serif"/>
        <color rgb="FF1155CC"/>
        <sz val="12.0"/>
        <u/>
      </rPr>
      <t>.</t>
    </r>
    <r>
      <rPr>
        <rFont val="Arial, sans-serif"/>
        <color rgb="FF1155CC"/>
        <sz val="11.0"/>
        <u/>
      </rPr>
      <t>5 dic 2024</t>
    </r>
  </si>
  <si>
    <t>DB Schenker y Repsol apuestan por el combustible renovable</t>
  </si>
  <si>
    <t>DB Schenker y Repsol han firmado un acuerdo estratégico para el suministro de combustible 100% renovable HVO (aceite vegetal hidrotratado) que marca un paso....</t>
  </si>
  <si>
    <t>DB Schenker and Repsol bet on renewable fuel</t>
  </si>
  <si>
    <t>DB Schenker and Repsol have signed a strategic agreement for the supply of 100% renewable HVO (hydrotreated vegetable oil) fuel that marks a step...</t>
  </si>
  <si>
    <t>DB Schenker, Repsol, renewable fuel</t>
  </si>
  <si>
    <t>DB Schenker, Repsol, combustible renovable</t>
  </si>
  <si>
    <t>Positive sentiment, showcasing commitment to sustainable fuels.</t>
  </si>
  <si>
    <r>
      <rPr>
        <rFont val="Arial, sans-serif"/>
        <color rgb="FF1155CC"/>
        <sz val="9.0"/>
        <u/>
      </rPr>
      <t>OkDiario</t>
    </r>
    <r>
      <rPr>
        <rFont val="Arial, sans-serif"/>
        <color rgb="FF1155CC"/>
        <sz val="15.0"/>
        <u/>
      </rPr>
      <t>Repsol, BP y Cepsa usan a sindicatos y discapacitados para prohibir las gasolineras automáticas</t>
    </r>
    <r>
      <rPr>
        <rFont val="Arial, sans-serif"/>
        <color rgb="FF1155CC"/>
        <sz val="11.0"/>
        <u/>
      </rPr>
      <t>Las grandes petroleras que dominan el mercado de la distribución de carburante en España (Repsol, BP y Cepsa) están usando a los sindicatos y a las...</t>
    </r>
    <r>
      <rPr>
        <rFont val="Arial, sans-serif"/>
        <color rgb="FF1155CC"/>
        <sz val="12.0"/>
        <u/>
      </rPr>
      <t>.</t>
    </r>
    <r>
      <rPr>
        <rFont val="Arial, sans-serif"/>
        <color rgb="FF1155CC"/>
        <sz val="11.0"/>
        <u/>
      </rPr>
      <t>5 dic 2024</t>
    </r>
  </si>
  <si>
    <t>Repsol, BP y Cepsa usan a sindicatos y discapacitados para prohibir las gasolineras automáticas</t>
  </si>
  <si>
    <t>Las grandes petroleras que dominan el mercado de la distribución de carburante en España (Repsol, BP y Cepsa) están usando a los sindicatos y a las....</t>
  </si>
  <si>
    <t>Repsol, BP and Cepsa use unions and disabled people to ban automatic gas stations</t>
  </si>
  <si>
    <t>The large oil companies that dominate the fuel distribution market in Spain (Repsol, BP and Cepsa) are using the unions and...</t>
  </si>
  <si>
    <t>Repsol, BP, Cepsa, unions</t>
  </si>
  <si>
    <t>Repsol, BP, Cepsa, sindicatos</t>
  </si>
  <si>
    <t>Strongly negative sentiment, accusing companies of manipulating labor groups.</t>
  </si>
  <si>
    <t>prohibir</t>
  </si>
  <si>
    <t>Negative for controversial tactics.</t>
  </si>
  <si>
    <t>Negativo para tácticas controvertidas.</t>
  </si>
  <si>
    <r>
      <rPr>
        <rFont val="Arial, sans-serif"/>
        <color rgb="FF1155CC"/>
        <sz val="9.0"/>
        <u/>
      </rPr>
      <t>Guía Repsol</t>
    </r>
    <r>
      <rPr>
        <rFont val="Arial, sans-serif"/>
        <color rgb="FF1155CC"/>
        <sz val="15.0"/>
        <u/>
      </rPr>
      <t>Estos son los mejores Soles y Soletes donde comer fabada en Asturias</t>
    </r>
    <r>
      <rPr>
        <rFont val="Arial, sans-serif"/>
        <color rgb="FF1155CC"/>
        <sz val="11.0"/>
        <u/>
      </rPr>
      <t>Buenas fabes y un compango de calidad respaldan estos lugares. Esta es la ruta de Soles y Soletes dónde comer fabada en Asturias.</t>
    </r>
    <r>
      <rPr>
        <rFont val="Arial, sans-serif"/>
        <color rgb="FF1155CC"/>
        <sz val="12.0"/>
        <u/>
      </rPr>
      <t>.</t>
    </r>
    <r>
      <rPr>
        <rFont val="Arial, sans-serif"/>
        <color rgb="FF1155CC"/>
        <sz val="11.0"/>
        <u/>
      </rPr>
      <t>5 dic 2024</t>
    </r>
  </si>
  <si>
    <t>Estos son los mejores Soles y Soletes donde comer fabada en Asturias</t>
  </si>
  <si>
    <t>Buenas fabes y un compango de calidad respaldan estos lugares. Esta es la ruta de Soles y Soletes dónde comer fabada en Asturias.</t>
  </si>
  <si>
    <t>These are the best Soles and Soletes where you can eat fabada in Asturias</t>
  </si>
  <si>
    <t>Good factories and a quality team support these places. This is the Soles y Soletes route where to eat fabada in Asturias.</t>
  </si>
  <si>
    <r>
      <rPr>
        <rFont val="Arial, sans-serif"/>
        <color rgb="FF1155CC"/>
        <sz val="9.0"/>
        <u/>
      </rPr>
      <t>Viajar</t>
    </r>
    <r>
      <rPr>
        <rFont val="Arial, sans-serif"/>
        <color rgb="FF1155CC"/>
        <sz val="15.0"/>
        <u/>
      </rPr>
      <t>El restaurante de carretera que recomienda la 'Guía Repsol' está en la A-2 y tiene menú del día de 13 euros</t>
    </r>
    <r>
      <rPr>
        <rFont val="Arial, sans-serif"/>
        <color rgb="FF1155CC"/>
        <sz val="11.0"/>
        <u/>
      </rPr>
      <t>A caballo entre la sabiduría popular y la experta se encuentra la Guía Repsol, una auténtica referencia para los amantes de la gastronomía, los viajes y la...</t>
    </r>
    <r>
      <rPr>
        <rFont val="Arial, sans-serif"/>
        <color rgb="FF1155CC"/>
        <sz val="12.0"/>
        <u/>
      </rPr>
      <t>.</t>
    </r>
    <r>
      <rPr>
        <rFont val="Arial, sans-serif"/>
        <color rgb="FF1155CC"/>
        <sz val="11.0"/>
        <u/>
      </rPr>
      <t>5 dic 2024</t>
    </r>
  </si>
  <si>
    <t>El restaurante de carretera que recomienda la 'Guía Repsol' está en la A-2 y tiene menú del día de 13 euros</t>
  </si>
  <si>
    <t>El restaurante de carretera que recomienda la 'Guía Repsol' está en la A-2 y tiene menú del día de 13 euros.</t>
  </si>
  <si>
    <t>The roadside restaurant recommended by the 'Repsol Guide' is on the A-2 and has a daily menu for 13 euros</t>
  </si>
  <si>
    <t>The roadside restaurant recommended by the 'Repsol Guide' is on the A-2 and has a daily menu for 13 euros.</t>
  </si>
  <si>
    <r>
      <rPr>
        <rFont val="Arial, sans-serif"/>
        <color rgb="FF1155CC"/>
        <sz val="9.0"/>
        <u/>
      </rPr>
      <t>COPE</t>
    </r>
    <r>
      <rPr>
        <rFont val="Arial, sans-serif"/>
        <color rgb="FF1155CC"/>
        <sz val="15.0"/>
        <u/>
      </rPr>
      <t>Cartagena se consolida como epicentro de la tecnología sostenible con Repsol</t>
    </r>
    <r>
      <rPr>
        <rFont val="Arial, sans-serif"/>
        <color rgb="FF1155CC"/>
        <sz val="11.0"/>
        <u/>
      </rPr>
      <t>Carlos Martínez Campos destaca el orgullo y la responsabilidad de liderar un proyecto que redefine la sostenibilidad en España.</t>
    </r>
    <r>
      <rPr>
        <rFont val="Arial, sans-serif"/>
        <color rgb="FF1155CC"/>
        <sz val="12.0"/>
        <u/>
      </rPr>
      <t>.</t>
    </r>
    <r>
      <rPr>
        <rFont val="Arial, sans-serif"/>
        <color rgb="FF1155CC"/>
        <sz val="11.0"/>
        <u/>
      </rPr>
      <t>5 dic 2024</t>
    </r>
  </si>
  <si>
    <t>COPE</t>
  </si>
  <si>
    <t>Cartagena se consolida como epicentro de la tecnología sostenible con Repsol</t>
  </si>
  <si>
    <t>Carlos Martínez Campos destaca el orgullo y la responsabilidad de liderar un proyecto que redefine la sostenibilidad en España.</t>
  </si>
  <si>
    <t>Cartagena consolidates itself as the epicenter of sustainable technology with Repsol</t>
  </si>
  <si>
    <t>Carlos Martínez Campos highlights the pride and responsibility of leading a project that redefines sustainability in Spain.</t>
  </si>
  <si>
    <t>Cartagena, Repsol, sustainable technology</t>
  </si>
  <si>
    <t>Cartagena, Repsol, tecnología sostenible</t>
  </si>
  <si>
    <t>Strongly positive sentiment, emphasizing sustainability and leadership.</t>
  </si>
  <si>
    <t>Positive for green leadership.</t>
  </si>
  <si>
    <t>Positivo para el liderazgo verde.</t>
  </si>
  <si>
    <r>
      <rPr>
        <rFont val="Arial, sans-serif"/>
        <color rgb="FF1155CC"/>
        <sz val="9.0"/>
        <u/>
      </rPr>
      <t>La Razón</t>
    </r>
    <r>
      <rPr>
        <rFont val="Arial, sans-serif"/>
        <color rgb="FF1155CC"/>
        <sz val="15.0"/>
        <u/>
      </rPr>
      <t>Voluntarios: personas que invierten su energía en ayudar a los demás</t>
    </r>
    <r>
      <rPr>
        <rFont val="Arial, sans-serif"/>
        <color rgb="FF1155CC"/>
        <sz val="11.0"/>
        <u/>
      </rPr>
      <t>El 5 de diciembre se celebra el Día Internacional de los Voluntarios. Un día para poner en valor una actividad que, como decía el ex-secretario general de...</t>
    </r>
    <r>
      <rPr>
        <rFont val="Arial, sans-serif"/>
        <color rgb="FF1155CC"/>
        <sz val="12.0"/>
        <u/>
      </rPr>
      <t>.</t>
    </r>
    <r>
      <rPr>
        <rFont val="Arial, sans-serif"/>
        <color rgb="FF1155CC"/>
        <sz val="11.0"/>
        <u/>
      </rPr>
      <t>5 dic 2024</t>
    </r>
  </si>
  <si>
    <t>Voluntarios: personas que invierten su energía en ayudar a los demás</t>
  </si>
  <si>
    <t>El 5 de diciembre se celebra el Día Internacional de los Voluntarios. Un día para poner en valor una actividad que, como decía el ex-secretario general de....</t>
  </si>
  <si>
    <t>Volunteers: people who invest their energy in helping others</t>
  </si>
  <si>
    <t>International Volunteer Day is celebrated on December 5. A day to highlight an activity that, as the former secretary general of...</t>
  </si>
  <si>
    <t>Social Good</t>
  </si>
  <si>
    <r>
      <rPr>
        <rFont val="Arial, sans-serif"/>
        <color rgb="FF1155CC"/>
        <sz val="9.0"/>
        <u/>
      </rPr>
      <t>The Objective</t>
    </r>
    <r>
      <rPr>
        <rFont val="Arial, sans-serif"/>
        <color rgb="FF1155CC"/>
        <sz val="15.0"/>
        <u/>
      </rPr>
      <t>Cuatro de los nuevos soletes Repsol reconocidos por su solera</t>
    </r>
    <r>
      <rPr>
        <rFont val="Arial, sans-serif"/>
        <color rgb="FF1155CC"/>
        <sz val="11.0"/>
        <u/>
      </rPr>
      <t>Con el acento puesto en su solera, los últimos Soletes entregados por la Guía Repsol han premiado eso, locales con tradición, territorio, arraigo, historia,...</t>
    </r>
    <r>
      <rPr>
        <rFont val="Arial, sans-serif"/>
        <color rgb="FF1155CC"/>
        <sz val="12.0"/>
        <u/>
      </rPr>
      <t>.</t>
    </r>
    <r>
      <rPr>
        <rFont val="Arial, sans-serif"/>
        <color rgb="FF1155CC"/>
        <sz val="11.0"/>
        <u/>
      </rPr>
      <t>5 dic 2024</t>
    </r>
  </si>
  <si>
    <t>Cuatro de los nuevos soletes Repsol reconocidos por su solera</t>
  </si>
  <si>
    <t>Con el acento puesto en su solera, los últimos Soletes entregados por la Guía Repsol han premiado eso, locales con tradición, territorio, arraigo, historia.</t>
  </si>
  <si>
    <t>Four of the new Repsol soles recognized for their tradition</t>
  </si>
  <si>
    <t>With the emphasis placed on its tradition, the latest Soletes delivered by the Repsol Guide have rewarded that, places with tradition, territory, roots, history.</t>
  </si>
  <si>
    <r>
      <rPr>
        <rFont val="Arial, sans-serif"/>
        <color rgb="FF1155CC"/>
        <sz val="9.0"/>
        <u/>
      </rPr>
      <t>El Cronista</t>
    </r>
    <r>
      <rPr>
        <rFont val="Arial, sans-serif"/>
        <color rgb="FF1155CC"/>
        <sz val="15.0"/>
        <u/>
      </rPr>
      <t>Repsol: a cuánto cotiza HOY jueves 05 de diciembre y cuánto rinden los dividendos</t>
    </r>
    <r>
      <rPr>
        <rFont val="Arial, sans-serif"/>
        <color rgb="FF1155CC"/>
        <sz val="11.0"/>
        <u/>
      </rPr>
      <t>Al cierre de los mercados de este jueves, 5 de diciembre de 2024, la cotización del Repsol (REP) en el IBEX 35 ha cerrado a 11,34 euros.</t>
    </r>
    <r>
      <rPr>
        <rFont val="Arial, sans-serif"/>
        <color rgb="FF1155CC"/>
        <sz val="12.0"/>
        <u/>
      </rPr>
      <t>.</t>
    </r>
    <r>
      <rPr>
        <rFont val="Arial, sans-serif"/>
        <color rgb="FF1155CC"/>
        <sz val="11.0"/>
        <u/>
      </rPr>
      <t>5 dic 2024</t>
    </r>
  </si>
  <si>
    <t>Repsol: a cuánto cotiza HOY jueves 05 de diciembre y cuánto rinden los dividendos</t>
  </si>
  <si>
    <t>Al cierre de los mercados de este jueves, 5 de diciembre de 2024, la cotización del Repsol (REP) en el IBEX 35 ha cerrado a 11,34 euros.</t>
  </si>
  <si>
    <t>Repsol: how much it is trading at TODAY, Thursday, December 5, and how much the dividends yield</t>
  </si>
  <si>
    <t>At the close of the markets this Thursday, December 5, 2024, the price of Repsol (REP) on the IBEX 35 has closed at 11.34 euros.</t>
  </si>
  <si>
    <r>
      <rPr>
        <rFont val="Arial, sans-serif"/>
        <color rgb="FF1155CC"/>
        <sz val="9.0"/>
        <u/>
      </rPr>
      <t>Cadena SER</t>
    </r>
    <r>
      <rPr>
        <rFont val="Arial, sans-serif"/>
        <color rgb="FF1155CC"/>
        <sz val="15.0"/>
        <u/>
      </rPr>
      <t>Sara Aagesen, sobre el órdago de Repsol ante un impuesto energético: "No valen las amenazas, sino apostar por España porque es una gran oportunidad"</t>
    </r>
    <r>
      <rPr>
        <rFont val="Arial, sans-serif"/>
        <color rgb="FF1155CC"/>
        <sz val="11.0"/>
        <u/>
      </rPr>
      <t>La nueva vicepresidenta tercera y ministra para la Transición Ecológica y el Reto Demográfico ha sido entrevistada en Hora 25 por Pablo Tallón.</t>
    </r>
    <r>
      <rPr>
        <rFont val="Arial, sans-serif"/>
        <color rgb="FF1155CC"/>
        <sz val="12.0"/>
        <u/>
      </rPr>
      <t>.</t>
    </r>
    <r>
      <rPr>
        <rFont val="Arial, sans-serif"/>
        <color rgb="FF1155CC"/>
        <sz val="11.0"/>
        <u/>
      </rPr>
      <t>5 dic 2024</t>
    </r>
  </si>
  <si>
    <t>Sara Aagesen, sobre el órdago de Repsol ante un impuesto energético: "No valen las amenazas, sino apostar por España porque es una gran oportunidad"</t>
  </si>
  <si>
    <t>"No valen las amenazas, sino apostar por España porque es una gran oportunidad"</t>
  </si>
  <si>
    <t>Sara Aagesen, on Repsol's decision regarding an energy tax: "Threats are not worth it, but betting on Spain because it is a great opportunity"</t>
  </si>
  <si>
    <t>Threats are not worth it, but betting on Spain because it is a great opportunity</t>
  </si>
  <si>
    <t>Sara Aagesen, Repsol, energy tax</t>
  </si>
  <si>
    <t>Sara Aagesen, Repsol, impuesto a la energía</t>
  </si>
  <si>
    <t>Positive sentiment, highlighting investment opportunities in Spain.</t>
  </si>
  <si>
    <t>Negative for confrontational tone.</t>
  </si>
  <si>
    <t>Negativo por tono confrontativo.</t>
  </si>
  <si>
    <r>
      <rPr>
        <rFont val="Arial, sans-serif"/>
        <color rgb="FF1155CC"/>
        <sz val="9.0"/>
        <u/>
      </rPr>
      <t>Bolsamania</t>
    </r>
    <r>
      <rPr>
        <rFont val="Arial, sans-serif"/>
        <color rgb="FF1155CC"/>
        <sz val="15.0"/>
        <u/>
      </rPr>
      <t>Consultorio: IAG, Endesa, Aena, Telefónica, Tubos Reunidos, Repsol, Costco...</t>
    </r>
    <r>
      <rPr>
        <rFont val="Arial, sans-serif"/>
        <color rgb="FF1155CC"/>
        <sz val="11.0"/>
        <u/>
      </rPr>
      <t>A continuación, damos respuesta a los valores por los que más han preguntado este jueves a César Nuez, analista técnico de 'Bolsamanía', que pone bajo la...</t>
    </r>
    <r>
      <rPr>
        <rFont val="Arial, sans-serif"/>
        <color rgb="FF1155CC"/>
        <sz val="12.0"/>
        <u/>
      </rPr>
      <t>.</t>
    </r>
    <r>
      <rPr>
        <rFont val="Arial, sans-serif"/>
        <color rgb="FF1155CC"/>
        <sz val="11.0"/>
        <u/>
      </rPr>
      <t>5 dic 2024</t>
    </r>
  </si>
  <si>
    <t>IAG, Endesa, Aena, Telefónica, Tubos Reunidos, Repsol, Costco...</t>
  </si>
  <si>
    <r>
      <rPr>
        <rFont val="Arial, sans-serif"/>
        <color rgb="FF1155CC"/>
        <sz val="9.0"/>
        <u/>
      </rPr>
      <t>Faro de Vigo</t>
    </r>
    <r>
      <rPr>
        <rFont val="Arial, sans-serif"/>
        <color rgb="FF1155CC"/>
        <sz val="15.0"/>
        <u/>
      </rPr>
      <t>Por cocinas de medio mundo hasta la de O Con en Aldán</t>
    </r>
    <r>
      <rPr>
        <rFont val="Arial, sans-serif"/>
        <color rgb="FF1155CC"/>
        <sz val="11.0"/>
        <u/>
      </rPr>
      <t>Roberto Otero es el cocinero del restaurante O Con, destacado con un «Solete con Solera» de la Guía Repsol.</t>
    </r>
    <r>
      <rPr>
        <rFont val="Arial, sans-serif"/>
        <color rgb="FF1155CC"/>
        <sz val="12.0"/>
        <u/>
      </rPr>
      <t>.</t>
    </r>
    <r>
      <rPr>
        <rFont val="Arial, sans-serif"/>
        <color rgb="FF1155CC"/>
        <sz val="11.0"/>
        <u/>
      </rPr>
      <t>5 dic 2024</t>
    </r>
  </si>
  <si>
    <t>Por cocinas de medio mundo hasta la de O Con en Aldán</t>
  </si>
  <si>
    <t>Roberto Otero es el cocinero del restaurante O Con, destacado con un «Solete con Solera» de la Guía Repsol.</t>
  </si>
  <si>
    <t>Through kitchens from half the world to that of O Con in Aldán</t>
  </si>
  <si>
    <t>Roberto Otero is the chef at the O Con restaurant, highlighted with a “Solete con Solera” from the Repsol Guide.</t>
  </si>
  <si>
    <r>
      <rPr>
        <rFont val="Arial, sans-serif"/>
        <color rgb="FF1155CC"/>
        <sz val="9.0"/>
        <u/>
      </rPr>
      <t>El Español</t>
    </r>
    <r>
      <rPr>
        <rFont val="Arial, sans-serif"/>
        <color rgb="FF1155CC"/>
        <sz val="15.0"/>
        <u/>
      </rPr>
      <t>Este es el restaurante favorito de Pau Cubarsí en Sant Just Desvern: recomendado por la Guía Michelin y Repsol</t>
    </r>
    <r>
      <rPr>
        <rFont val="Arial, sans-serif"/>
        <color rgb="FF1155CC"/>
        <sz val="11.0"/>
        <u/>
      </rPr>
      <t>Es un lugar habitual de varios futbolistas de élite, entre ellos Pedri, Ferran Torres, Alexia Putellas y el propio Joan Laporta El restaurante con Estrella...</t>
    </r>
    <r>
      <rPr>
        <rFont val="Arial, sans-serif"/>
        <color rgb="FF1155CC"/>
        <sz val="12.0"/>
        <u/>
      </rPr>
      <t>.</t>
    </r>
    <r>
      <rPr>
        <rFont val="Arial, sans-serif"/>
        <color rgb="FF1155CC"/>
        <sz val="11.0"/>
        <u/>
      </rPr>
      <t>5 dic 2024</t>
    </r>
  </si>
  <si>
    <t>Este es el restaurante favorito de Pau Cubarsí en Sant Just Desvern: recomendado por la Guía Michelin y Repsol</t>
  </si>
  <si>
    <t>Es un lugar habitual de varios futbolistas de élite, entre ellos Pedri, Ferran Torres, Alexia Putellas y el propio Joan Laporta.</t>
  </si>
  <si>
    <t>This is Pau Cubarsí's favorite restaurant in Sant Just Desvern: recommended by the Michelin Guide and Repsol</t>
  </si>
  <si>
    <t>It is a regular place for several elite footballers, including Pedri, Ferran Torres, Alexia Putellas and Joan Laporta himself.</t>
  </si>
  <si>
    <r>
      <rPr>
        <rFont val="Arial, sans-serif"/>
        <color rgb="FF1155CC"/>
        <sz val="9.0"/>
        <u/>
      </rPr>
      <t>Gestión</t>
    </r>
    <r>
      <rPr>
        <rFont val="Arial, sans-serif"/>
        <color rgb="FF1155CC"/>
        <sz val="15.0"/>
        <u/>
      </rPr>
      <t>Repsol reporta “afloramiento” de hidrocarburo en terminal de Ventanilla</t>
    </r>
    <r>
      <rPr>
        <rFont val="Arial, sans-serif"/>
        <color rgb="FF1155CC"/>
        <sz val="11.0"/>
        <u/>
      </rPr>
      <t>A través de un comunicado, Repsol Perú informó que hoy, aproximadamente a las 3:55 pm, “se detectó un afloramiento puntual de hidrocarburo en el Terminal...</t>
    </r>
    <r>
      <rPr>
        <rFont val="Arial, sans-serif"/>
        <color rgb="FF1155CC"/>
        <sz val="12.0"/>
        <u/>
      </rPr>
      <t>.</t>
    </r>
    <r>
      <rPr>
        <rFont val="Arial, sans-serif"/>
        <color rgb="FF1155CC"/>
        <sz val="11.0"/>
        <u/>
      </rPr>
      <t>5 dic 2024</t>
    </r>
  </si>
  <si>
    <t>Repsol reporta “afloramiento” de hidrocarburo en terminal de Ventanilla</t>
  </si>
  <si>
    <t>A través de un comunicado, Repsol Perú informó que hoy, aproximadamente a las 3:55 pm, “se detectó un afloramiento puntual de hidrocarburo en el Terminal....</t>
  </si>
  <si>
    <t>Repsol reports hydrocarbon “outcrop” at Ventanilla terminal</t>
  </si>
  <si>
    <t>Through a statement, Repsol Peru reported that today, at approximately 3:55 pm, “a specific outcrop of hydrocarbon was detected at the Terminal....</t>
  </si>
  <si>
    <t>Repsol, hydrocarbon, Ventanilla</t>
  </si>
  <si>
    <t>Repsol, hidrocarburo, Ventanilla</t>
  </si>
  <si>
    <t>Negative sentiment, reporting a potential environmental issue.</t>
  </si>
  <si>
    <t>afloramiento</t>
  </si>
  <si>
    <t>Negative for environmental incident.</t>
  </si>
  <si>
    <t>Negativo por incidente ambiental.</t>
  </si>
  <si>
    <r>
      <rPr>
        <rFont val="Arial, sans-serif"/>
        <color rgb="FF1155CC"/>
        <sz val="9.0"/>
        <u/>
      </rPr>
      <t>Guía Repsol</t>
    </r>
    <r>
      <rPr>
        <rFont val="Arial, sans-serif"/>
        <color rgb="FF1155CC"/>
        <sz val="15.0"/>
        <u/>
      </rPr>
      <t>Dónde comer las mejores papas arrugadas en Canarias</t>
    </r>
    <r>
      <rPr>
        <rFont val="Arial, sans-serif"/>
        <color rgb="FF1155CC"/>
        <sz val="11.0"/>
        <u/>
      </rPr>
      <t>Buscando dónde comer las mejores papas arrugadas? Te traemos 9 sitios donde comer este delicioso plato canario en las islas.</t>
    </r>
    <r>
      <rPr>
        <rFont val="Arial, sans-serif"/>
        <color rgb="FF1155CC"/>
        <sz val="12.0"/>
        <u/>
      </rPr>
      <t>.</t>
    </r>
    <r>
      <rPr>
        <rFont val="Arial, sans-serif"/>
        <color rgb="FF1155CC"/>
        <sz val="11.0"/>
        <u/>
      </rPr>
      <t>5 dic 2024</t>
    </r>
  </si>
  <si>
    <t>Dónde comer las mejores papas arrugadas en Canarias</t>
  </si>
  <si>
    <t>Buscando dónde comer las mejores papas arrugadas? Te traemos 9 sitios donde comer este delicioso plato canario en las islas.</t>
  </si>
  <si>
    <t>Where to eat the best wrinkled potatoes in the Canary Islands</t>
  </si>
  <si>
    <t>Looking for where to eat the best wrinkled potatoes? We bring you 9 places to eat this delicious Canarian dish on the islands.</t>
  </si>
  <si>
    <r>
      <rPr>
        <rFont val="Arial, sans-serif"/>
        <color rgb="FF1155CC"/>
        <sz val="9.0"/>
        <u/>
      </rPr>
      <t>La Razón</t>
    </r>
    <r>
      <rPr>
        <rFont val="Arial, sans-serif"/>
        <color rgb="FF1155CC"/>
        <sz val="15.0"/>
        <u/>
      </rPr>
      <t>Las caras de la noticia: 5 de diciembre de 2024</t>
    </r>
    <r>
      <rPr>
        <rFont val="Arial, sans-serif"/>
        <color rgb="FF1155CC"/>
        <sz val="11.0"/>
        <u/>
      </rPr>
      <t>Continúa la apuesta por los combustibles 100% renovables. La compañía multienergética que preside Antonio Brufau, Repsol, ha alcanzado en Cartes (Cantabria)...</t>
    </r>
    <r>
      <rPr>
        <rFont val="Arial, sans-serif"/>
        <color rgb="FF1155CC"/>
        <sz val="12.0"/>
        <u/>
      </rPr>
      <t>.</t>
    </r>
    <r>
      <rPr>
        <rFont val="Arial, sans-serif"/>
        <color rgb="FF1155CC"/>
        <sz val="11.0"/>
        <u/>
      </rPr>
      <t>5 dic 2024</t>
    </r>
  </si>
  <si>
    <t>Continúa la apuesta por los combustibles 100% renovables.</t>
  </si>
  <si>
    <t>Continúa la apuesta por los combustibles 100% renovables. La compañía multienergética que preside Antonio Brufau, Repsol, ha alcanzado en Cartes (Cantabria)....</t>
  </si>
  <si>
    <t>The commitment to 100% renewable fuels continues.</t>
  </si>
  <si>
    <t>The commitment to 100% renewable fuels continues. The multi-energy company chaired by Antonio Brufau, Repsol, has reached Cartes (Cantabria)....</t>
  </si>
  <si>
    <t>Repsol, renewable fuels, Cartes</t>
  </si>
  <si>
    <t>Repsol, combustibles renovables, Cartes</t>
  </si>
  <si>
    <t>Positive sentiment, reinforcing Repsol's sustainability initiatives.</t>
  </si>
  <si>
    <r>
      <rPr>
        <rFont val="Arial, sans-serif"/>
        <color rgb="FF1155CC"/>
        <sz val="9.0"/>
        <u/>
      </rPr>
      <t>Desde Adentro</t>
    </r>
    <r>
      <rPr>
        <rFont val="Arial, sans-serif"/>
        <color rgb="FF1155CC"/>
        <sz val="15.0"/>
        <u/>
      </rPr>
      <t>Repsol Perú presentó el libro "Raíces de Sanación: Medicina Tradicional del Bajo Urubamba"</t>
    </r>
    <r>
      <rPr>
        <rFont val="Arial, sans-serif"/>
        <color rgb="FF1155CC"/>
        <sz val="11.0"/>
        <u/>
      </rPr>
      <t>El evento, organizado por Repsol Perú, contó con la presencia de los representantes de distintas instituciones, públicas y privadas.</t>
    </r>
    <r>
      <rPr>
        <rFont val="Arial, sans-serif"/>
        <color rgb="FF1155CC"/>
        <sz val="12.0"/>
        <u/>
      </rPr>
      <t>.</t>
    </r>
    <r>
      <rPr>
        <rFont val="Arial, sans-serif"/>
        <color rgb="FF1155CC"/>
        <sz val="11.0"/>
        <u/>
      </rPr>
      <t>5 dic 2024</t>
    </r>
  </si>
  <si>
    <t>Repsol Perú presentó el libro "Raíces de Sanación: Medicina Tradicional del Bajo Urubamba"</t>
  </si>
  <si>
    <t>El evento, organizado por Repsol Perú, contó con la presencia de los representantes de distintas instituciones, públicas y privadas.</t>
  </si>
  <si>
    <t>Repsol Peru presented the book "Healing Roots: Traditional Medicine of Bajo Urubamba"</t>
  </si>
  <si>
    <t>The event, organized by Repsol Peru, was attended by representatives of different public and private institutions.</t>
  </si>
  <si>
    <t>Repsol, Healing Roots, traditional medicine</t>
  </si>
  <si>
    <t>Repsol, Healing Roots, medicina tradicional</t>
  </si>
  <si>
    <t>Positive sentiment, supporting cultural and educational initiatives.</t>
  </si>
  <si>
    <t>Mildly positive for CSR.</t>
  </si>
  <si>
    <t>Ligeramente positivo en materia de RSC.</t>
  </si>
  <si>
    <r>
      <rPr>
        <rFont val="Arial, sans-serif"/>
        <color rgb="FF1155CC"/>
        <sz val="9.0"/>
        <u/>
      </rPr>
      <t>Ideal</t>
    </r>
    <r>
      <rPr>
        <rFont val="Arial, sans-serif"/>
        <color rgb="FF1155CC"/>
        <sz val="15.0"/>
        <u/>
      </rPr>
      <t>Repsol pone en funcionamiento 43 puntos de recarga para vehículos eléctricos en Sierra Nevada</t>
    </r>
    <r>
      <rPr>
        <rFont val="Arial, sans-serif"/>
        <color rgb="FF1155CC"/>
        <sz val="11.0"/>
        <u/>
      </rPr>
      <t>Se han instalado y están ya en funcionamiento en el parking subterráneo de la plaza de Andalucía, en Pradollano.</t>
    </r>
    <r>
      <rPr>
        <rFont val="Arial, sans-serif"/>
        <color rgb="FF1155CC"/>
        <sz val="12.0"/>
        <u/>
      </rPr>
      <t>.</t>
    </r>
    <r>
      <rPr>
        <rFont val="Arial, sans-serif"/>
        <color rgb="FF1155CC"/>
        <sz val="11.0"/>
        <u/>
      </rPr>
      <t>6 dic 2024</t>
    </r>
  </si>
  <si>
    <t>Repsol pone en funcionamiento 43 puntos de recarga para vehículos eléctricos en Sierra Nevada</t>
  </si>
  <si>
    <t>Se han instalado y están ya en funcionamiento en el parking subterráneo de la plaza de Andalucía, en Pradollano.</t>
  </si>
  <si>
    <t>Repsol puts into operation 43 charging points for electric vehicles in Sierra Nevada</t>
  </si>
  <si>
    <t>They have been installed and are already in operation in the underground parking lot of Plaza de Andalucía, in Pradollano.</t>
  </si>
  <si>
    <t>Sustainability &amp; Technology</t>
  </si>
  <si>
    <t>Repsol, charging points, electric vehicles</t>
  </si>
  <si>
    <t>Repsol, puntos de recarga, vehículos eléctricos</t>
  </si>
  <si>
    <t>Positive sentiment, highlighting Repsol’s investment in EV infrastructure.</t>
  </si>
  <si>
    <t>recarga, "eléctricos"</t>
  </si>
  <si>
    <r>
      <rPr>
        <rFont val="Arial, sans-serif"/>
        <color rgb="FF1155CC"/>
        <sz val="9.0"/>
        <u/>
      </rPr>
      <t>Interempresas.net</t>
    </r>
    <r>
      <rPr>
        <rFont val="Arial, sans-serif"/>
        <color rgb="FF1155CC"/>
        <sz val="15.0"/>
        <u/>
      </rPr>
      <t>Moeve, Repsol, Endesa, Naturgy, el CEE y ManpowerGroup crean el ‘Hub de Energía Verde’</t>
    </r>
    <r>
      <rPr>
        <rFont val="Arial, sans-serif"/>
        <color rgb="FF1155CC"/>
        <sz val="11.0"/>
        <u/>
      </rPr>
      <t>Moeve, Repsol, Endesa, Naturgy, el Club Español de la Energía y ManpowerGroup, anunciaron la creación del 'Hub de Energía Verde' promovido por la Secretaría...</t>
    </r>
    <r>
      <rPr>
        <rFont val="Arial, sans-serif"/>
        <color rgb="FF1155CC"/>
        <sz val="12.0"/>
        <u/>
      </rPr>
      <t>.</t>
    </r>
    <r>
      <rPr>
        <rFont val="Arial, sans-serif"/>
        <color rgb="FF1155CC"/>
        <sz val="11.0"/>
        <u/>
      </rPr>
      <t>6 dic 2024</t>
    </r>
  </si>
  <si>
    <t>Moeve, Repsol, Endesa, Naturgy, el CEE y ManpowerGroup crean el ‘Hub de Energía Verde’</t>
  </si>
  <si>
    <t>Moeve, Repsol, Endesa, Naturgy, el Club Español de la Energía y ManpowerGroup, anunciaron la creación del 'Hub de Energía Verde' promovido por la Secretaría....</t>
  </si>
  <si>
    <t>Moeve, Repsol, Endesa, Naturgy, the CEE and ManpowerGroup create the 'Green Energy Hub'</t>
  </si>
  <si>
    <t>Moeve, Repsol, Endesa, Naturgy, the Spanish Energy Club and ManpowerGroup, announced the creation of the 'Green Energy Hub' promoted by the Secretariat....</t>
  </si>
  <si>
    <t>Positive sentiment, emphasizing sustainability and industry collaboration.</t>
  </si>
  <si>
    <t>Energía Verde</t>
  </si>
  <si>
    <r>
      <rPr>
        <rFont val="Arial, sans-serif"/>
        <color rgb="FF1155CC"/>
        <sz val="9.0"/>
        <u/>
      </rPr>
      <t>Bolsamania</t>
    </r>
    <r>
      <rPr>
        <rFont val="Arial, sans-serif"/>
        <color rgb="FF1155CC"/>
        <sz val="15.0"/>
        <u/>
      </rPr>
      <t>Economía.- Repsol pone en funcionamiento 43 puntos de recarga para vehículos eléctricos en la estación de Sierra Nevada</t>
    </r>
    <r>
      <rPr>
        <rFont val="Arial, sans-serif"/>
        <color rgb="FF1155CC"/>
        <sz val="11.0"/>
        <u/>
      </rPr>
      <t>MADRID, 6 (EUROPA PRESS) Repsol ha puesto en funcionamiento 43 puntos de recarga de acceso público para vehículos eléctricos en la estación de esquí de...</t>
    </r>
    <r>
      <rPr>
        <rFont val="Arial, sans-serif"/>
        <color rgb="FF1155CC"/>
        <sz val="12.0"/>
        <u/>
      </rPr>
      <t>.</t>
    </r>
    <r>
      <rPr>
        <rFont val="Arial, sans-serif"/>
        <color rgb="FF1155CC"/>
        <sz val="11.0"/>
        <u/>
      </rPr>
      <t>6 dic 2024</t>
    </r>
  </si>
  <si>
    <t>Repsol pone en funcionamiento 43 puntos de recarga para vehículos eléctricos en la estación de Sierra Nevada</t>
  </si>
  <si>
    <t>Repsol ha puesto en funcionamiento 43 puntos de recarga de acceso público para vehículos eléctricos en la estación de esquí de....</t>
  </si>
  <si>
    <t>Repsol puts into operation 43 charging points for electric vehicles at the Sierra Nevada station</t>
  </si>
  <si>
    <t>Repsol has put into operation 43 public access charging points for electric vehicles in the ski resort of...</t>
  </si>
  <si>
    <t>Repsol, Sierra Nevada, electric vehicles</t>
  </si>
  <si>
    <t>Repsol, Sierra Nevada, vehículos eléctricos</t>
  </si>
  <si>
    <t>Positive sentiment, reinforcing Repsol's commitment to green energy.</t>
  </si>
  <si>
    <r>
      <rPr>
        <rFont val="Arial, sans-serif"/>
        <color rgb="FF1155CC"/>
        <sz val="9.0"/>
        <u/>
      </rPr>
      <t>diarimes.com</t>
    </r>
    <r>
      <rPr>
        <rFont val="Arial, sans-serif"/>
        <color rgb="FF1155CC"/>
        <sz val="15.0"/>
        <u/>
      </rPr>
      <t>La plataforma Island Innovator trabaja en el sellado de los pozos de Casablanca de Repsol</t>
    </r>
    <r>
      <rPr>
        <rFont val="Arial, sans-serif"/>
        <color rgb="FF1155CC"/>
        <sz val="11.0"/>
        <u/>
      </rPr>
      <t>El proceso de sellado de los ocho pozos durará unos tres meses.</t>
    </r>
    <r>
      <rPr>
        <rFont val="Arial, sans-serif"/>
        <color rgb="FF1155CC"/>
        <sz val="12.0"/>
        <u/>
      </rPr>
      <t>.</t>
    </r>
    <r>
      <rPr>
        <rFont val="Arial, sans-serif"/>
        <color rgb="FF1155CC"/>
        <sz val="11.0"/>
        <u/>
      </rPr>
      <t>6 dic 2024</t>
    </r>
  </si>
  <si>
    <t>La plataforma Island Innovator trabaja en el sellado de los pozos de Casablanca de Repsol</t>
  </si>
  <si>
    <t>El proceso de sellado de los ocho pozos durará unos tres meses.</t>
  </si>
  <si>
    <t>The Island Innovator platform works on sealing Repsol's Casablanca wells</t>
  </si>
  <si>
    <t>The process of sealing the eight wells will take about three months.</t>
  </si>
  <si>
    <t>Environmental &amp; Energy</t>
  </si>
  <si>
    <t>Repsol, Casablanca wells, sealing</t>
  </si>
  <si>
    <t>Repsol, pozos de Casablanca, sellado</t>
  </si>
  <si>
    <t>Neutral to slightly positive sentiment, as it involves environmental management.</t>
  </si>
  <si>
    <t>sellado</t>
  </si>
  <si>
    <r>
      <rPr>
        <rFont val="Arial, sans-serif"/>
        <color rgb="FF1155CC"/>
        <sz val="9.0"/>
        <u/>
      </rPr>
      <t>El Cronista</t>
    </r>
    <r>
      <rPr>
        <rFont val="Arial, sans-serif"/>
        <color rgb="FF1155CC"/>
        <sz val="15.0"/>
        <u/>
      </rPr>
      <t>Repsol: a cuánto cotiza HOY viernes 06 de diciembre y cuánto rinden los dividendos</t>
    </r>
    <r>
      <rPr>
        <rFont val="Arial, sans-serif"/>
        <color rgb="FF1155CC"/>
        <sz val="11.0"/>
        <u/>
      </rPr>
      <t>Al cierre de los mercados de este viernes, 6 de diciembre de 2024, la cotización del Repsol (REP) en el IBEX 35 ha cerrado a 11,28 euros.</t>
    </r>
    <r>
      <rPr>
        <rFont val="Arial, sans-serif"/>
        <color rgb="FF1155CC"/>
        <sz val="12.0"/>
        <u/>
      </rPr>
      <t>.</t>
    </r>
    <r>
      <rPr>
        <rFont val="Arial, sans-serif"/>
        <color rgb="FF1155CC"/>
        <sz val="11.0"/>
        <u/>
      </rPr>
      <t>6 dic 2024</t>
    </r>
  </si>
  <si>
    <t>Repsol: a cuánto cotiza HOY viernes 06 de diciembre y cuánto rinden los dividendos</t>
  </si>
  <si>
    <t>Al cierre de los mercados de este viernes, 6 de diciembre de 2024, la cotización del Repsol (REP) en el IBEX 35 ha cerrado a 11,28 euros.</t>
  </si>
  <si>
    <t>Repsol: how much it is trading at TODAY, Friday, December 6, and how much the dividends yield</t>
  </si>
  <si>
    <t>At the close of the markets this Friday, December 6, 2024, the price of Repsol (REP) on the IBEX 35 has closed at 11.28 euros.</t>
  </si>
  <si>
    <t>Slightly negative sentiment, indicating a decline in stock price.</t>
  </si>
  <si>
    <r>
      <rPr>
        <rFont val="Arial, sans-serif"/>
        <color rgb="FF1155CC"/>
        <sz val="9.0"/>
        <u/>
      </rPr>
      <t>CooperAcción</t>
    </r>
    <r>
      <rPr>
        <rFont val="Arial, sans-serif"/>
        <color rgb="FF1155CC"/>
        <sz val="15.0"/>
        <u/>
      </rPr>
      <t>Repsol reportó nuevo derrame petrolero en la refinería La Pampilla</t>
    </r>
    <r>
      <rPr>
        <rFont val="Arial, sans-serif"/>
        <color rgb="FF1155CC"/>
        <sz val="11.0"/>
        <u/>
      </rPr>
      <t>El jueves 5 de diciembre, Repsol informó sobre un incidente ocurrido en el terminal número 2 de su refinería La Pampilla en Ventanilla, donde se detectó un...</t>
    </r>
    <r>
      <rPr>
        <rFont val="Arial, sans-serif"/>
        <color rgb="FF1155CC"/>
        <sz val="12.0"/>
        <u/>
      </rPr>
      <t>.</t>
    </r>
    <r>
      <rPr>
        <rFont val="Arial, sans-serif"/>
        <color rgb="FF1155CC"/>
        <sz val="11.0"/>
        <u/>
      </rPr>
      <t>6 dic 2024</t>
    </r>
  </si>
  <si>
    <t>Repsol reportó nuevo derrame petrolero en la refinería La Pampilla</t>
  </si>
  <si>
    <t>Repsol informó sobre un incidente ocurrido en el terminal número 2 de su refinería La Pampilla en Ventanilla, donde se detectó un....</t>
  </si>
  <si>
    <t>Repsol reported a new oil spill at the La Pampilla refinery</t>
  </si>
  <si>
    <t>Repsol reported on an incident that occurred at terminal number 2 of its La Pampilla refinery in Ventanilla, where a...</t>
  </si>
  <si>
    <t>Repsol, oil spill, La Pampilla</t>
  </si>
  <si>
    <t>Repsol, vertido de petróleo, La Pampilla</t>
  </si>
  <si>
    <t>Strongly negative sentiment, highlighting an environmental accident.</t>
  </si>
  <si>
    <t>derrame petrolero</t>
  </si>
  <si>
    <r>
      <rPr>
        <rFont val="Arial, sans-serif"/>
        <color rgb="FF1155CC"/>
        <sz val="9.0"/>
        <u/>
      </rPr>
      <t>El Comercio Perú</t>
    </r>
    <r>
      <rPr>
        <rFont val="Arial, sans-serif"/>
        <color rgb="FF1155CC"/>
        <sz val="15.0"/>
        <u/>
      </rPr>
      <t>Ventanilla: Repsol reporta “afloramiento” de hidrocarburo en terminal | últimas | LIMA</t>
    </r>
    <r>
      <rPr>
        <rFont val="Arial, sans-serif"/>
        <color rgb="FF1155CC"/>
        <sz val="11.0"/>
        <u/>
      </rPr>
      <t>La empresa Repsol Perú informó a través de un comunicado que el día de ayer, jueves 5 de diciembre, aproximadamente a las 3:55 pm, “se detectó un...</t>
    </r>
    <r>
      <rPr>
        <rFont val="Arial, sans-serif"/>
        <color rgb="FF1155CC"/>
        <sz val="12.0"/>
        <u/>
      </rPr>
      <t>.</t>
    </r>
    <r>
      <rPr>
        <rFont val="Arial, sans-serif"/>
        <color rgb="FF1155CC"/>
        <sz val="11.0"/>
        <u/>
      </rPr>
      <t>6 dic 2024</t>
    </r>
  </si>
  <si>
    <t>Ventanilla: Repsol reporta “afloramiento” de hidrocarburo en terminal</t>
  </si>
  <si>
    <t>La empresa Repsol Perú informó a través de un comunicado que el día de ayer, jueves 5 de diciembre, aproximadamente a las 3:55 pm, “se detectó un....</t>
  </si>
  <si>
    <t>Ventanilla: Repsol reports “outcrop” of hydrocarbon in terminal</t>
  </si>
  <si>
    <t>The Repsol Peru company reported through a statement that yesterday, Thursday, December 5, at approximately 3:55 pm, “a... was detected.</t>
  </si>
  <si>
    <t>Negative sentiment, suggesting potential environmental concerns.</t>
  </si>
  <si>
    <t>afloramiento de hidrocarburo</t>
  </si>
  <si>
    <t>Negative environmental issue.</t>
  </si>
  <si>
    <t>Cuestión medioambiental negativa.</t>
  </si>
  <si>
    <r>
      <rPr>
        <rFont val="Arial, sans-serif"/>
        <color rgb="FF1155CC"/>
        <sz val="9.0"/>
        <u/>
      </rPr>
      <t>Diario Correo</t>
    </r>
    <r>
      <rPr>
        <rFont val="Arial, sans-serif"/>
        <color rgb="FF1155CC"/>
        <sz val="15.0"/>
        <u/>
      </rPr>
      <t>Ventanilla: Repsol reporta afloramiento de hidrocarburos en La Pampilla</t>
    </r>
    <r>
      <rPr>
        <rFont val="Arial, sans-serif"/>
        <color rgb="FF1155CC"/>
        <sz val="11.0"/>
        <u/>
      </rPr>
      <t>Repsol informó sobre un derrame de hidrocarburos ocurrido en el terminal número 2 de su refinería La Pampilla, ubicada en Ventanilla.</t>
    </r>
    <r>
      <rPr>
        <rFont val="Arial, sans-serif"/>
        <color rgb="FF1155CC"/>
        <sz val="12.0"/>
        <u/>
      </rPr>
      <t>.</t>
    </r>
    <r>
      <rPr>
        <rFont val="Arial, sans-serif"/>
        <color rgb="FF1155CC"/>
        <sz val="11.0"/>
        <u/>
      </rPr>
      <t>6 dic 2024</t>
    </r>
  </si>
  <si>
    <t>Diario Correo</t>
  </si>
  <si>
    <t>Repsol reporta afloramiento de hidrocarburos en La Pampilla</t>
  </si>
  <si>
    <t>Repsol informó sobre un derrame de hidrocarburos ocurrido en el terminal número 2 de su refinería La Pampilla, ubicada en Ventanilla.</t>
  </si>
  <si>
    <t>Repsol reports hydrocarbon outcropping in La Pampilla</t>
  </si>
  <si>
    <t>Repsol reported on a hydrocarbon spill that occurred in terminal number 2 of its La Pampilla refinery, located in Ventanilla.</t>
  </si>
  <si>
    <t>Repsol, hydrocarbon, La Pampilla</t>
  </si>
  <si>
    <t>Repsol, Hidrocarburos, La Pampilla</t>
  </si>
  <si>
    <t>Negative sentiment, due to environmental concerns linked to an oil spill.</t>
  </si>
  <si>
    <t>afloramiento de hidrocarburos</t>
  </si>
  <si>
    <t>Repeated negative incident.</t>
  </si>
  <si>
    <t>Incidente negativo repetido.</t>
  </si>
  <si>
    <r>
      <rPr>
        <rFont val="Arial, sans-serif"/>
        <color rgb="FF1155CC"/>
        <sz val="9.0"/>
        <u/>
      </rPr>
      <t>Canal N</t>
    </r>
    <r>
      <rPr>
        <rFont val="Arial, sans-serif"/>
        <color rgb="FF1155CC"/>
        <sz val="15.0"/>
        <u/>
      </rPr>
      <t>Repsol reporta afloramiento de hidrocarburos en La Pampilla</t>
    </r>
    <r>
      <rPr>
        <rFont val="Arial, sans-serif"/>
        <color rgb="FF1155CC"/>
        <sz val="11.0"/>
        <u/>
      </rPr>
      <t>Repsol comunicó el hecho a las autoridades competentes y comenzó una investigación para determinar las causas del incidente.</t>
    </r>
    <r>
      <rPr>
        <rFont val="Arial, sans-serif"/>
        <color rgb="FF1155CC"/>
        <sz val="12.0"/>
        <u/>
      </rPr>
      <t>.</t>
    </r>
    <r>
      <rPr>
        <rFont val="Arial, sans-serif"/>
        <color rgb="FF1155CC"/>
        <sz val="11.0"/>
        <u/>
      </rPr>
      <t>6 dic 2024</t>
    </r>
  </si>
  <si>
    <t>Repsol comunicó el hecho a las autoridades competentes y comenzó una investigación para determinar las causas del incidente.</t>
  </si>
  <si>
    <t>Repsol notified the competent authorities of the incident and began an investigation to determine the causes of the incident.</t>
  </si>
  <si>
    <t>Repsol, hydrocarbon, outcrop</t>
  </si>
  <si>
    <t>Repsol, hidrocarburo, afloramiento</t>
  </si>
  <si>
    <t>Slightly negative sentiment, as it involves a spill but includes a response action.</t>
  </si>
  <si>
    <r>
      <rPr>
        <rFont val="Arial, sans-serif"/>
        <color rgb="FF1155CC"/>
        <sz val="9.0"/>
        <u/>
      </rPr>
      <t>Revista ProActivo</t>
    </r>
    <r>
      <rPr>
        <rFont val="Arial, sans-serif"/>
        <color rgb="FF1155CC"/>
        <sz val="15.0"/>
        <u/>
      </rPr>
      <t>Repsol reporta que contuvo un «afloramiento puntual» en Refinería La Pampilla</t>
    </r>
    <r>
      <rPr>
        <rFont val="Arial, sans-serif"/>
        <color rgb="FF1155CC"/>
        <sz val="11.0"/>
        <u/>
      </rPr>
      <t>La empresa multinacional Repsol informó que ha contenido un «afloramiento puntual» de hicrocarburos que se produjo este jueves en el terminal multiboyas...</t>
    </r>
    <r>
      <rPr>
        <rFont val="Arial, sans-serif"/>
        <color rgb="FF1155CC"/>
        <sz val="12.0"/>
        <u/>
      </rPr>
      <t>.</t>
    </r>
    <r>
      <rPr>
        <rFont val="Arial, sans-serif"/>
        <color rgb="FF1155CC"/>
        <sz val="11.0"/>
        <u/>
      </rPr>
      <t>6 dic 2024</t>
    </r>
  </si>
  <si>
    <t>Repsol reporta que contuvo un «afloramiento puntual» en Refinería La Pampilla</t>
  </si>
  <si>
    <t>La empresa multinacional Repsol informó que ha contenido un «afloramiento puntual» de hicrocarburos que se produjo este jueves en el terminal multiboyas....</t>
  </si>
  <si>
    <t>Repsol reports that it contained a "specific outcrop" at the La Pampilla Refinery</t>
  </si>
  <si>
    <t>The multinational company Repsol reported that it has contained a "punctual outcrop" of hydrocarbons that occurred this Thursday at the multi-buoy terminal....</t>
  </si>
  <si>
    <r>
      <rPr>
        <rFont val="Arial, sans-serif"/>
        <color rgb="FF1155CC"/>
        <sz val="9.0"/>
        <u/>
      </rPr>
      <t>Actualidad Ambiental</t>
    </r>
    <r>
      <rPr>
        <rFont val="Arial, sans-serif"/>
        <color rgb="FF1155CC"/>
        <sz val="15.0"/>
        <u/>
      </rPr>
      <t>Repsol reporta afloramiento de hidrocarburos en la Refinería La Pampilla</t>
    </r>
    <r>
      <rPr>
        <rFont val="Arial, sans-serif"/>
        <color rgb="FF1155CC"/>
        <sz val="11.0"/>
        <u/>
      </rPr>
      <t>Situs toto terbaik dan terpercaya adalah WILTOTO yang menyajikan bandar togel terpercaya dan terbesar serta situs togel dan toto slot 4d gacor dengan banyak...</t>
    </r>
    <r>
      <rPr>
        <rFont val="Arial, sans-serif"/>
        <color rgb="FF1155CC"/>
        <sz val="12.0"/>
        <u/>
      </rPr>
      <t>.</t>
    </r>
    <r>
      <rPr>
        <rFont val="Arial, sans-serif"/>
        <color rgb="FF1155CC"/>
        <sz val="11.0"/>
        <u/>
      </rPr>
      <t>6 dic 2024</t>
    </r>
  </si>
  <si>
    <t>Repsol reporta afloramiento de hidrocarburos en la Refinería La Pampilla</t>
  </si>
  <si>
    <t>Situs toto terbaik dan terpercaya adalah WILTOTO yang menyajikan bandar togel terpercaya dan terbesar serta situs togel dan toto slot 4d gacor dengan banyak....</t>
  </si>
  <si>
    <t>Repsol reports hydrocarbon outcropping at the La Pampilla Refinery</t>
  </si>
  <si>
    <t>Negative sentiment, though this entry seems corrupted or irrelevant to Repsol.</t>
  </si>
  <si>
    <r>
      <rPr>
        <rFont val="Arial, sans-serif"/>
        <color rgb="FF1155CC"/>
        <sz val="9.0"/>
        <u/>
      </rPr>
      <t>Canariasenmoto.com</t>
    </r>
    <r>
      <rPr>
        <rFont val="Arial, sans-serif"/>
        <color rgb="FF1155CC"/>
        <sz val="15.0"/>
        <u/>
      </rPr>
      <t>Repsol y Moto Recambios Canarias impulsan la formación técnica</t>
    </r>
    <r>
      <rPr>
        <rFont val="Arial, sans-serif"/>
        <color rgb="FF1155CC"/>
        <sz val="11.0"/>
        <u/>
      </rPr>
      <t>07 de Diciembre de 2024. Repsol y Moto Recambios Canarias impulsan la formación técnica. Lubricantes Repsol: formación técnica en Gran Canaria y Tenerife.</t>
    </r>
    <r>
      <rPr>
        <rFont val="Arial, sans-serif"/>
        <color rgb="FF1155CC"/>
        <sz val="12.0"/>
        <u/>
      </rPr>
      <t>.</t>
    </r>
    <r>
      <rPr>
        <rFont val="Arial, sans-serif"/>
        <color rgb="FF1155CC"/>
        <sz val="11.0"/>
        <u/>
      </rPr>
      <t>7 dic 2024</t>
    </r>
  </si>
  <si>
    <t>Repsol y Moto Recambios Canarias impulsan la formación técnica</t>
  </si>
  <si>
    <t>Lubricantes Repsol: formación técnica en Gran Canaria y Tenerife.</t>
  </si>
  <si>
    <t>Repsol and Moto Recambios Canarias promote technical training</t>
  </si>
  <si>
    <t>Repsol Lubricants: technical training in Gran Canaria and Tenerife.</t>
  </si>
  <si>
    <t>Repsol, Moto Recambios Canarias, technical training</t>
  </si>
  <si>
    <t>Repsol, Moto Recambios Canarias, formación técnica</t>
  </si>
  <si>
    <t>Positive sentiment, focusing on educational initiatives.</t>
  </si>
  <si>
    <t>impulsan la formación técnica</t>
  </si>
  <si>
    <t>Positive educational initiative.</t>
  </si>
  <si>
    <t>Iniciativa educativa positiva.</t>
  </si>
  <si>
    <r>
      <rPr>
        <rFont val="Arial, sans-serif"/>
        <color rgb="FF1155CC"/>
        <sz val="9.0"/>
        <u/>
      </rPr>
      <t>Infobae</t>
    </r>
    <r>
      <rPr>
        <rFont val="Arial, sans-serif"/>
        <color rgb="FF1155CC"/>
        <sz val="15.0"/>
        <u/>
      </rPr>
      <t>El restaurante centenario que sirve uno de los pollos asados más famosos de Madrid: cocina asturiana reconocida por la Guía Repsol</t>
    </r>
    <r>
      <rPr>
        <rFont val="Arial, sans-serif"/>
        <color rgb="FF1155CC"/>
        <sz val="11.0"/>
        <u/>
      </rPr>
      <t>Más de 130 años después de su apertura, esta casa de comidas aún representa la cultura gastronómica asturiana y cumple todos los requisitos: calidad,...</t>
    </r>
    <r>
      <rPr>
        <rFont val="Arial, sans-serif"/>
        <color rgb="FF1155CC"/>
        <sz val="12.0"/>
        <u/>
      </rPr>
      <t>.</t>
    </r>
    <r>
      <rPr>
        <rFont val="Arial, sans-serif"/>
        <color rgb="FF1155CC"/>
        <sz val="11.0"/>
        <u/>
      </rPr>
      <t>7 dic 2024</t>
    </r>
  </si>
  <si>
    <t>El restaurante centenario que sirve uno de los pollos asados más famosos de Madrid: cocina asturiana reconocida por la Guía Repsol</t>
  </si>
  <si>
    <t>Más de 130 años después de su apertura, esta casa de comidas aún representa la cultura gastronómica asturiana y cumple todos los requisitos: calidad,....</t>
  </si>
  <si>
    <t>The centenary restaurant that serves one of the most famous roast chickens in Madrid: Asturian cuisine recognized by the Repsol Guide</t>
  </si>
  <si>
    <t>More than 130 years after its opening, this food house still represents the Asturian gastronomic culture and meets all the requirements: quality,...</t>
  </si>
  <si>
    <r>
      <rPr>
        <rFont val="Arial, sans-serif"/>
        <color rgb="FF1155CC"/>
        <sz val="9.0"/>
        <u/>
      </rPr>
      <t>Bolsamania</t>
    </r>
    <r>
      <rPr>
        <rFont val="Arial, sans-serif"/>
        <color rgb="FF1155CC"/>
        <sz val="15.0"/>
        <u/>
      </rPr>
      <t>ACS e IAG no se cansan de subir y lideran la semana en el Ibex 35; Puig y Repsol sufren</t>
    </r>
    <r>
      <rPr>
        <rFont val="Arial, sans-serif"/>
        <color rgb="FF1155CC"/>
        <sz val="11.0"/>
        <u/>
      </rPr>
      <t>Tras sumar un 3,70% en la semana, el Ibex 35 cotiza en niveles no vistos desde 2010, con todo dispuesto para cerrar el año por todo lo alto.</t>
    </r>
    <r>
      <rPr>
        <rFont val="Arial, sans-serif"/>
        <color rgb="FF1155CC"/>
        <sz val="12.0"/>
        <u/>
      </rPr>
      <t>.</t>
    </r>
    <r>
      <rPr>
        <rFont val="Arial, sans-serif"/>
        <color rgb="FF1155CC"/>
        <sz val="11.0"/>
        <u/>
      </rPr>
      <t>7 dic 2024</t>
    </r>
  </si>
  <si>
    <t>ACS e IAG no se cansan de subir y lideran la semana en el Ibex 35; Puig y Repsol sufren</t>
  </si>
  <si>
    <t>Tras sumar un 3,70% en la semana, el Ibex 35 cotiza en niveles no vistos desde 2010, con todo dispuesto para cerrar el año por todo lo alto.</t>
  </si>
  <si>
    <t>ACS and IAG do not tire of rising and lead the week in the Ibex 35; Puig and Repsol suffer</t>
  </si>
  <si>
    <t>After adding 3.70% in the week, the Ibex 35 is trading at levels not seen since 2010, with everything ready to close the year on a high.</t>
  </si>
  <si>
    <r>
      <rPr>
        <rFont val="Arial, sans-serif"/>
        <color rgb="FF1155CC"/>
        <sz val="9.0"/>
        <u/>
      </rPr>
      <t>heraldo.es</t>
    </r>
    <r>
      <rPr>
        <rFont val="Arial, sans-serif"/>
        <color rgb="FF1155CC"/>
        <sz val="15.0"/>
        <u/>
      </rPr>
      <t>Exclusiva y solidaria cena en el Paraninfo de Zaragoza con estrellas Michelin y soles Repsol: éste será el menú</t>
    </r>
    <r>
      <rPr>
        <rFont val="Arial, sans-serif"/>
        <color rgb="FF1155CC"/>
        <sz val="11.0"/>
        <u/>
      </rPr>
      <t>Toño Rodríguez, Susana Casanova, Christian Palacio o María José Meda, entre otros muchos destacados cocineros aragoneses, han preparado un menú único para...</t>
    </r>
    <r>
      <rPr>
        <rFont val="Arial, sans-serif"/>
        <color rgb="FF1155CC"/>
        <sz val="12.0"/>
        <u/>
      </rPr>
      <t>.</t>
    </r>
    <r>
      <rPr>
        <rFont val="Arial, sans-serif"/>
        <color rgb="FF1155CC"/>
        <sz val="11.0"/>
        <u/>
      </rPr>
      <t>7 dic 2024</t>
    </r>
  </si>
  <si>
    <t>Exclusiva y solidaria cena en el Paraninfo de Zaragoza con estrellas Michelin y soles Repsol: éste será el menú</t>
  </si>
  <si>
    <t>Exclusiva y solidaria cena en el Paraninfo de Zaragoza con estrellas Michelin y soles Repsol: éste será el menúToño Rodríguez, Susana Casanova, Christian Palacio o María José Meda, entre otros muchos destacados cocineros aragoneses, han preparado un menú único para....</t>
  </si>
  <si>
    <t>Exclusive and supportive dinner at the Paraninfo of Zaragoza with Michelin stars and Repsol soles: this will be the menu</t>
  </si>
  <si>
    <t>Exclusive and supportive dinner at the Paraninfo of Zaragoza with Michelin stars and Repsol soles: this will be the menu Toño Rodríguez, Susana Casanova, Christian Palacio or María José Meda, among many other prominent Aragonese chefs, have prepared a unique menu for....</t>
  </si>
  <si>
    <t>Gastronomy &amp; Charity</t>
  </si>
  <si>
    <r>
      <rPr>
        <rFont val="Arial, sans-serif"/>
        <color rgb="FF1155CC"/>
        <sz val="9.0"/>
        <u/>
      </rPr>
      <t>El Periódico Mediterráneo</t>
    </r>
    <r>
      <rPr>
        <rFont val="Arial, sans-serif"/>
        <color rgb="FF1155CC"/>
        <sz val="15.0"/>
        <u/>
      </rPr>
      <t>Una ‘cena con estrella’ en Benicàssim con el mejor destino: Este es el espectacular menú</t>
    </r>
    <r>
      <rPr>
        <rFont val="Arial, sans-serif"/>
        <color rgb="FF1155CC"/>
        <sz val="11.0"/>
        <u/>
      </rPr>
      <t>Los cocineros más prestigiosos de Castellón unen sus fuerzas para preparar una gala cuya recaudación íntegra estará destinada a los afectado por la DANA de...</t>
    </r>
    <r>
      <rPr>
        <rFont val="Arial, sans-serif"/>
        <color rgb="FF1155CC"/>
        <sz val="12.0"/>
        <u/>
      </rPr>
      <t>.</t>
    </r>
    <r>
      <rPr>
        <rFont val="Arial, sans-serif"/>
        <color rgb="FF1155CC"/>
        <sz val="11.0"/>
        <u/>
      </rPr>
      <t>7 dic 2024</t>
    </r>
  </si>
  <si>
    <t>Una ‘cena con estrella’ en Benicàssim con el mejor destino: Este es el espectacular menú</t>
  </si>
  <si>
    <t>Los cocineros más prestigiosos de Castellón unen sus fuerzas para preparar una gala cuya recaudación íntegra estará destinada a los afectado por la DANA de....</t>
  </si>
  <si>
    <t>A 'dinner with a star' in Benicàssim with the best destination: This is the spectacular menu</t>
  </si>
  <si>
    <t>The most prestigious chefs in Castellón join forces to prepare a gala whose entire proceeds will go to those affected by DANA....</t>
  </si>
  <si>
    <r>
      <rPr>
        <rFont val="Arial, sans-serif"/>
        <color rgb="FF1155CC"/>
        <sz val="9.0"/>
        <u/>
      </rPr>
      <t>Gestión</t>
    </r>
    <r>
      <rPr>
        <rFont val="Arial, sans-serif"/>
        <color rgb="FF1155CC"/>
        <sz val="15.0"/>
        <u/>
      </rPr>
      <t>Osinergmin suspendió actividades en terminal de Repsol tras nuevo derrame en Ventanilla</t>
    </r>
    <r>
      <rPr>
        <rFont val="Arial, sans-serif"/>
        <color rgb="FF1155CC"/>
        <sz val="11.0"/>
        <u/>
      </rPr>
      <t>El último jueves 05 de diciembre Repsol reportó un nuevo derrame de crudo en la Refinería La Pampilla en perjuicio del mar de Ventanilla.</t>
    </r>
    <r>
      <rPr>
        <rFont val="Arial, sans-serif"/>
        <color rgb="FF1155CC"/>
        <sz val="12.0"/>
        <u/>
      </rPr>
      <t>.</t>
    </r>
    <r>
      <rPr>
        <rFont val="Arial, sans-serif"/>
        <color rgb="FF1155CC"/>
        <sz val="11.0"/>
        <u/>
      </rPr>
      <t>7 dic 2024</t>
    </r>
  </si>
  <si>
    <t>Osinergmin suspendió actividades en terminal de Repsol tras nuevo derrame en Ventanilla</t>
  </si>
  <si>
    <t>El último jueves 05 de diciembre Repsol reportó un nuevo derrame de crudo en la Refinería La Pampilla en perjuicio del mar de Ventanilla.</t>
  </si>
  <si>
    <t>Osinergmin suspended activities at the Repsol terminal after a new spill in Ventanilla</t>
  </si>
  <si>
    <t>Last Thursday, December 5, Repsol reported a new crude oil spill at the La Pampilla Refinery to the detriment of the Ventanilla Sea.</t>
  </si>
  <si>
    <t>Repsol, oil spill, Ventanilla</t>
  </si>
  <si>
    <t>Repsol, derrame de petróleo, Ventanilla</t>
  </si>
  <si>
    <t>Negative sentiment, reporting an environmental issue.</t>
  </si>
  <si>
    <t>Negative regulatory action.</t>
  </si>
  <si>
    <t>Acción regulatoria negativa.</t>
  </si>
  <si>
    <r>
      <rPr>
        <rFont val="Arial, sans-serif"/>
        <color rgb="FF1155CC"/>
        <sz val="9.0"/>
        <u/>
      </rPr>
      <t>La Tribuna de Ciudad Real</t>
    </r>
    <r>
      <rPr>
        <rFont val="Arial, sans-serif"/>
        <color rgb="FF1155CC"/>
        <sz val="15.0"/>
        <u/>
      </rPr>
      <t>Puertollano enciende el alumbrado navideño</t>
    </r>
    <r>
      <rPr>
        <rFont val="Arial, sans-serif"/>
        <color rgb="FF1155CC"/>
        <sz val="11.0"/>
        <u/>
      </rPr>
      <t>Puertollano sueña con la magia de la Navidad, en una ciudad en la que los sueños se viven de una forma diferente, como ha narrado el spot con el que se ha...</t>
    </r>
    <r>
      <rPr>
        <rFont val="Arial, sans-serif"/>
        <color rgb="FF1155CC"/>
        <sz val="12.0"/>
        <u/>
      </rPr>
      <t>.</t>
    </r>
    <r>
      <rPr>
        <rFont val="Arial, sans-serif"/>
        <color rgb="FF1155CC"/>
        <sz val="11.0"/>
        <u/>
      </rPr>
      <t>7 dic 2024</t>
    </r>
  </si>
  <si>
    <t>Puertollano enciende el alumbrado navideño</t>
  </si>
  <si>
    <t>Puertollano sueña con la magia de la Navidad, en una ciudad en la que los sueños se viven de una forma diferente, como ha narrado el spot con el que se ha....</t>
  </si>
  <si>
    <t>Puertollano turns on the Christmas lighting</t>
  </si>
  <si>
    <t>Puertollano dreams of the magic of Christmas, in a city where dreams are lived in a different way, as the spot with which it has been narrated....</t>
  </si>
  <si>
    <t>Culture &amp; Community</t>
  </si>
  <si>
    <r>
      <rPr>
        <rFont val="Arial, sans-serif"/>
        <color rgb="FF1155CC"/>
        <sz val="9.0"/>
        <u/>
      </rPr>
      <t>20Minutos</t>
    </r>
    <r>
      <rPr>
        <rFont val="Arial, sans-serif"/>
        <color rgb="FF1155CC"/>
        <sz val="15.0"/>
        <u/>
      </rPr>
      <t>Las grandes energéticas se nutren de innovación española que nace de pymes y 'startups'</t>
    </r>
    <r>
      <rPr>
        <rFont val="Arial, sans-serif"/>
        <color rgb="FF1155CC"/>
        <sz val="11.0"/>
        <u/>
      </rPr>
      <t>Las eléctricas son capaces de inspeccionar las redes con drones de largo alcance que nacen de 'startups' nacionales. Las pymes son clave para avanzar en...</t>
    </r>
    <r>
      <rPr>
        <rFont val="Arial, sans-serif"/>
        <color rgb="FF1155CC"/>
        <sz val="12.0"/>
        <u/>
      </rPr>
      <t>.</t>
    </r>
    <r>
      <rPr>
        <rFont val="Arial, sans-serif"/>
        <color rgb="FF1155CC"/>
        <sz val="11.0"/>
        <u/>
      </rPr>
      <t>7 dic 2024</t>
    </r>
  </si>
  <si>
    <t>Las grandes energéticas se nutren de innovación española que nace de pymes y 'startups'</t>
  </si>
  <si>
    <t>Las eléctricas son capaces de inspeccionar las redes con drones de largo alcance que nacen de 'startups' nacionales. Las pymes son clave para avanzar en....</t>
  </si>
  <si>
    <t>The large energy companies are nourished by Spanish innovation that is born from SMEs and startups</t>
  </si>
  <si>
    <t>Electricity companies are capable of inspecting networks with long-range drones that come from national startups. SMEs are key to advancing in...</t>
  </si>
  <si>
    <t>Innovation &amp; Business</t>
  </si>
  <si>
    <r>
      <rPr>
        <rFont val="Arial, sans-serif"/>
        <color rgb="FF1155CC"/>
        <sz val="9.0"/>
        <u/>
      </rPr>
      <t>Aviación Digital</t>
    </r>
    <r>
      <rPr>
        <rFont val="Arial, sans-serif"/>
        <color rgb="FF1155CC"/>
        <sz val="15.0"/>
        <u/>
      </rPr>
      <t>España acelera en la producción de SAF: Una apuesta estratégica por la sostenibilidad</t>
    </r>
    <r>
      <rPr>
        <rFont val="Arial, sans-serif"/>
        <color rgb="FF1155CC"/>
        <sz val="11.0"/>
        <u/>
      </rPr>
      <t>Descubre cómo España se posiciona como líder en la producción de combustible de aviación sostenible (SAF). Conoce las empresas y proyectos más relevantes en...</t>
    </r>
    <r>
      <rPr>
        <rFont val="Arial, sans-serif"/>
        <color rgb="FF1155CC"/>
        <sz val="12.0"/>
        <u/>
      </rPr>
      <t>.</t>
    </r>
    <r>
      <rPr>
        <rFont val="Arial, sans-serif"/>
        <color rgb="FF1155CC"/>
        <sz val="11.0"/>
        <u/>
      </rPr>
      <t>7 dic 2024</t>
    </r>
  </si>
  <si>
    <t>Aviación Digital</t>
  </si>
  <si>
    <t>España acelera en la producción de SAF: Una apuesta estratégica por la sostenibilidad</t>
  </si>
  <si>
    <t>Descubre cómo España se posiciona como líder en la producción de combustible de aviación sostenible (SAF). Conoce las empresas y proyectos más relevantes en....</t>
  </si>
  <si>
    <t>Spain accelerates SAF production: A strategic commitment to sustainability</t>
  </si>
  <si>
    <t>Discover how Spain is positioned as a leader in the production of sustainable aviation fuel (SAF). Get to know the most relevant companies and projects in...</t>
  </si>
  <si>
    <r>
      <rPr>
        <rFont val="Arial, sans-serif"/>
        <color rgb="FF1155CC"/>
        <sz val="9.0"/>
        <u/>
      </rPr>
      <t>La Razón</t>
    </r>
    <r>
      <rPr>
        <rFont val="Arial, sans-serif"/>
        <color rgb="FF1155CC"/>
        <sz val="15.0"/>
        <u/>
      </rPr>
      <t>Repsol y Toyota Gazoo, a ganar el Dakar 2025 de manera renovable</t>
    </r>
    <r>
      <rPr>
        <rFont val="Arial, sans-serif"/>
        <color rgb="FF1155CC"/>
        <sz val="11.0"/>
        <u/>
      </rPr>
      <t>La colaboración entre Repsol y Toyota Gazoo Racing (TGR) adquiere una nueva dimensión en la que ambas compañías colaborarán conjuntamente en el desarrollo...</t>
    </r>
    <r>
      <rPr>
        <rFont val="Arial, sans-serif"/>
        <color rgb="FF1155CC"/>
        <sz val="12.0"/>
        <u/>
      </rPr>
      <t>.</t>
    </r>
    <r>
      <rPr>
        <rFont val="Arial, sans-serif"/>
        <color rgb="FF1155CC"/>
        <sz val="11.0"/>
        <u/>
      </rPr>
      <t>8 dic 2024</t>
    </r>
  </si>
  <si>
    <t>Repsol y Toyota Gazoo, a ganar el Dakar 2025 de manera renovable</t>
  </si>
  <si>
    <t>Repsol and Toyota Gazoo, to win the Dakar 2025 in a renewable way</t>
  </si>
  <si>
    <t>Sports &amp; Sustainability</t>
  </si>
  <si>
    <t>Strongly positive sentiment, highlighting sustainability in motorsports.</t>
  </si>
  <si>
    <t>ganar el Dakar, "renovable"</t>
  </si>
  <si>
    <t>Positive sports and sustainability.</t>
  </si>
  <si>
    <t>Deporte positivo y sostenibilidad.</t>
  </si>
  <si>
    <r>
      <rPr>
        <rFont val="Arial, sans-serif"/>
        <color rgb="FF1155CC"/>
        <sz val="9.0"/>
        <u/>
      </rPr>
      <t>El Español</t>
    </r>
    <r>
      <rPr>
        <rFont val="Arial, sans-serif"/>
        <color rgb="FF1155CC"/>
        <sz val="15.0"/>
        <u/>
      </rPr>
      <t>El bar de barrio de Zaragoza recomendado por la Guía Repsol: un lugar castizo que arrasa con sus tapas</t>
    </r>
    <r>
      <rPr>
        <rFont val="Arial, sans-serif"/>
        <color rgb="FF1155CC"/>
        <sz val="11.0"/>
        <u/>
      </rPr>
      <t>Se trata de un bar reconocido con un solete Repsol que todos los españoles tendrían que visitar. Más información: El sencillo truco de Ferran Adrià para que...</t>
    </r>
    <r>
      <rPr>
        <rFont val="Arial, sans-serif"/>
        <color rgb="FF1155CC"/>
        <sz val="12.0"/>
        <u/>
      </rPr>
      <t>.</t>
    </r>
    <r>
      <rPr>
        <rFont val="Arial, sans-serif"/>
        <color rgb="FF1155CC"/>
        <sz val="11.0"/>
        <u/>
      </rPr>
      <t>8 dic 2024</t>
    </r>
  </si>
  <si>
    <t>El bar de barrio de Zaragoza recomendado por la Guía Repsol: un lugar castizo que arrasa con sus tapas</t>
  </si>
  <si>
    <t>Se trata de un bar reconocido con un solete Repsol que todos los españoles tendrían que visitar. Más información: El sencillo truco de Ferran Adrià para que....</t>
  </si>
  <si>
    <t>The Zaragoza neighborhood bar recommended by the Repsol Guide: a traditional place that amazes with its tapas</t>
  </si>
  <si>
    <t>It is a recognized bar with a Repsol solete that all Spaniards should visit. More information: Ferran Adrià's simple trick so that...</t>
  </si>
  <si>
    <r>
      <rPr>
        <rFont val="Arial, sans-serif"/>
        <color rgb="FF1155CC"/>
        <sz val="9.0"/>
        <u/>
      </rPr>
      <t>EL PAÍS</t>
    </r>
    <r>
      <rPr>
        <rFont val="Arial, sans-serif"/>
        <color rgb="FF1155CC"/>
        <sz val="15.0"/>
        <u/>
      </rPr>
      <t>Un catecismo de seis mandamientos: así enseñan las empresas del Ibex a sus empleados cómo hay que hablar con los robots</t>
    </r>
    <r>
      <rPr>
        <rFont val="Arial, sans-serif"/>
        <color rgb="FF1155CC"/>
        <sz val="11.0"/>
        <u/>
      </rPr>
      <t>Algunas de las grandes compañías cotizadas inician programas piloto para enseñar a sus empleados a interactuar con la inteligencia artificial.</t>
    </r>
    <r>
      <rPr>
        <rFont val="Arial, sans-serif"/>
        <color rgb="FF1155CC"/>
        <sz val="12.0"/>
        <u/>
      </rPr>
      <t>.</t>
    </r>
    <r>
      <rPr>
        <rFont val="Arial, sans-serif"/>
        <color rgb="FF1155CC"/>
        <sz val="11.0"/>
        <u/>
      </rPr>
      <t>8 dic 2024</t>
    </r>
  </si>
  <si>
    <t>Un catecismo de seis mandamientos: así enseñan las empresas del Ibex a sus empleados cómo hay que hablar con los robots</t>
  </si>
  <si>
    <t>Algunas de las grandes compañías cotizadas inician programas piloto para enseñar a sus empleados a interactuar con la inteligencia artificial.</t>
  </si>
  <si>
    <t>A catechism of six commandments: this is how Ibex companies teach their employees how to talk to robots</t>
  </si>
  <si>
    <t>Some of the large listed companies are starting pilot programs to teach their employees how to interact with artificial intelligence.</t>
  </si>
  <si>
    <t>Business &amp; Technology</t>
  </si>
  <si>
    <r>
      <rPr>
        <rFont val="Arial, sans-serif"/>
        <color rgb="FF1155CC"/>
        <sz val="9.0"/>
        <u/>
      </rPr>
      <t>LSB-USO</t>
    </r>
    <r>
      <rPr>
        <rFont val="Arial, sans-serif"/>
        <color rgb="FF1155CC"/>
        <sz val="15.0"/>
        <u/>
      </rPr>
      <t>Elecciones Sindicales en Repsol Butano S.A</t>
    </r>
    <r>
      <rPr>
        <rFont val="Arial, sans-serif"/>
        <color rgb="FF1155CC"/>
        <sz val="11.0"/>
        <u/>
      </rPr>
      <t>La plantilla de Repsol Butano S.A en Bilbao a renovado su representación en las elecciones sindicales celebradas en noviembre y han depositado la confianza...</t>
    </r>
    <r>
      <rPr>
        <rFont val="Arial, sans-serif"/>
        <color rgb="FF1155CC"/>
        <sz val="12.0"/>
        <u/>
      </rPr>
      <t>.</t>
    </r>
    <r>
      <rPr>
        <rFont val="Arial, sans-serif"/>
        <color rgb="FF1155CC"/>
        <sz val="11.0"/>
        <u/>
      </rPr>
      <t>8 dic 2024</t>
    </r>
  </si>
  <si>
    <t>LSB-USO</t>
  </si>
  <si>
    <t>Elecciones Sindicales en Repsol Butano S.A</t>
  </si>
  <si>
    <t>La plantilla de Repsol Butano S.A en Bilbao ha renovado su representación en las elecciones sindicales celebradas en noviembre y han depositado la confianza....</t>
  </si>
  <si>
    <t>Union Elections at Repsol Butano S.A</t>
  </si>
  <si>
    <t>The Repsol Butano S.A staff in Bilbao have renewed their representation in the union elections held in November and have placed their trust....</t>
  </si>
  <si>
    <t>Corporate Governance</t>
  </si>
  <si>
    <t>Repsol Butano, union elections</t>
  </si>
  <si>
    <t>Repsol Butano, elecciones sindicales</t>
  </si>
  <si>
    <t>Neutral to slightly positive sentiment, as it involves internal company governance.</t>
  </si>
  <si>
    <r>
      <rPr>
        <rFont val="Arial, sans-serif"/>
        <color rgb="FF1155CC"/>
        <sz val="9.0"/>
        <u/>
      </rPr>
      <t>MOTOSAN</t>
    </r>
    <r>
      <rPr>
        <rFont val="Arial, sans-serif"/>
        <color rgb="FF1155CC"/>
        <sz val="15.0"/>
        <u/>
      </rPr>
      <t>Alberto Puig: “La comunicación entre Europa y Japón es difícil”</t>
    </r>
    <r>
      <rPr>
        <rFont val="Arial, sans-serif"/>
        <color rgb="FF1155CC"/>
        <sz val="11.0"/>
        <u/>
      </rPr>
      <t>Alberto Puig, Team Manager del Repsol Honda en MotoGP, concedió una entrevista al medio MCM en la que analizó la temporada 2024 y los cambios internos que...</t>
    </r>
    <r>
      <rPr>
        <rFont val="Arial, sans-serif"/>
        <color rgb="FF1155CC"/>
        <sz val="12.0"/>
        <u/>
      </rPr>
      <t>.</t>
    </r>
    <r>
      <rPr>
        <rFont val="Arial, sans-serif"/>
        <color rgb="FF1155CC"/>
        <sz val="11.0"/>
        <u/>
      </rPr>
      <t>8 dic 2024</t>
    </r>
  </si>
  <si>
    <t>MCM</t>
  </si>
  <si>
    <t>La comunicación entre Europa y Japón es difícil</t>
  </si>
  <si>
    <t>Alberto Puig, Team Manager del Repsol Honda en MotoGP, concedió una entrevista al medio MCM en la que analizó la temporada 2024 y los cambios internos que....</t>
  </si>
  <si>
    <t>Communication between Europe and Japan is difficult</t>
  </si>
  <si>
    <t>Alberto Puig, Team Manager of Repsol Honda in MotoGP, gave an interview to the MCM media in which he analyzed the 2024 season and the internal changes that...</t>
  </si>
  <si>
    <r>
      <rPr>
        <rFont val="Arial, sans-serif"/>
        <color rgb="FF1155CC"/>
        <sz val="9.0"/>
        <u/>
      </rPr>
      <t>Economía Digital</t>
    </r>
    <r>
      <rPr>
        <rFont val="Arial, sans-serif"/>
        <color rgb="FF1155CC"/>
        <sz val="15.0"/>
        <u/>
      </rPr>
      <t>Octopus, MásMóvil y Eni crecen en 175.000 clientes mientras Endesa, Iberdrola y Naturgy pierden 400.000</t>
    </r>
    <r>
      <rPr>
        <rFont val="Arial, sans-serif"/>
        <color rgb="FF1155CC"/>
        <sz val="11.0"/>
        <u/>
      </rPr>
      <t>Entre los cinco principales grupos comercializadores, solo Repsol (+104.000 puntos de suministro) y TotalEnergies (+37.000) aumentaron su cuota durante...</t>
    </r>
    <r>
      <rPr>
        <rFont val="Arial, sans-serif"/>
        <color rgb="FF1155CC"/>
        <sz val="12.0"/>
        <u/>
      </rPr>
      <t>.</t>
    </r>
    <r>
      <rPr>
        <rFont val="Arial, sans-serif"/>
        <color rgb="FF1155CC"/>
        <sz val="11.0"/>
        <u/>
      </rPr>
      <t>8 dic 2024</t>
    </r>
  </si>
  <si>
    <t>Octopus, MásMóvil y Eni crecen en 175.000 clientes mientras Endesa, Iberdrola y Naturgy pierden 400.000</t>
  </si>
  <si>
    <t>Octopus, MásMóvil y Eni crecen en 175.000 clientes mientras Endesa, Iberdrola y Naturgy pierden 400.000. Entre los cinco principales grupos comercializadores, solo Repsol (+104.000 puntos de suministro) y TotalEnergies (+37.000) aumentaron su cuota durante....</t>
  </si>
  <si>
    <t>Octopus, MásMóvil and Eni grow by 175,000 clients while Endesa, Iberdrola and Naturgy lose 400,000</t>
  </si>
  <si>
    <t>Octopus, MásMóvil and Eni grow by 175,000 customers while Endesa, Iberdrola and Naturgy lose 400,000. Among the five main marketing groups, only Repsol (+104,000 supply points) and TotalEnergies (+37,000) increased their share during...</t>
  </si>
  <si>
    <t>Repsol, market share, clients</t>
  </si>
  <si>
    <t>Repsol, cuota de mercado, clientes</t>
  </si>
  <si>
    <t>Positive sentiment, indicating Repsol’s market growth.</t>
  </si>
  <si>
    <r>
      <rPr>
        <rFont val="Arial, sans-serif"/>
        <color rgb="FF1155CC"/>
        <sz val="9.0"/>
        <u/>
      </rPr>
      <t>El Periódico de la Energía</t>
    </r>
    <r>
      <rPr>
        <rFont val="Arial, sans-serif"/>
        <color rgb="FF1155CC"/>
        <sz val="15.0"/>
        <u/>
      </rPr>
      <t>Europa se convierte en destino clave para los excedentes de GNL asiático</t>
    </r>
    <r>
      <rPr>
        <rFont val="Arial, sans-serif"/>
        <color rgb="FF1155CC"/>
        <sz val="11.0"/>
        <u/>
      </rPr>
      <t>Varias empresas chinas buscan vender cargamentos destinados al periodo enero-febrero de 2025.</t>
    </r>
    <r>
      <rPr>
        <rFont val="Arial, sans-serif"/>
        <color rgb="FF1155CC"/>
        <sz val="12.0"/>
        <u/>
      </rPr>
      <t>.</t>
    </r>
    <r>
      <rPr>
        <rFont val="Arial, sans-serif"/>
        <color rgb="FF1155CC"/>
        <sz val="11.0"/>
        <u/>
      </rPr>
      <t>8 dic 2024</t>
    </r>
  </si>
  <si>
    <t>Europa se convierte en destino clave para los excedentes de GNL asiático</t>
  </si>
  <si>
    <t>Varias empresas chinas buscan vender cargamentos destinados al periodo enero-febrero de 2025.</t>
  </si>
  <si>
    <t>Europe becomes key destination for surplus Asian LNG</t>
  </si>
  <si>
    <t>Several Chinese companies are seeking to sell shipments destined for the January-February 2025 period.</t>
  </si>
  <si>
    <r>
      <rPr>
        <rFont val="Arial, sans-serif"/>
        <color rgb="FF1155CC"/>
        <sz val="9.0"/>
        <u/>
      </rPr>
      <t>La Opinión A Coruña</t>
    </r>
    <r>
      <rPr>
        <rFont val="Arial, sans-serif"/>
        <color rgb="FF1155CC"/>
        <sz val="15.0"/>
        <u/>
      </rPr>
      <t>Arteixo, modelo de desarrollo industrial</t>
    </r>
    <r>
      <rPr>
        <rFont val="Arial, sans-serif"/>
        <color rgb="FF1155CC"/>
        <sz val="11.0"/>
        <u/>
      </rPr>
      <t>El concello coruñés se ha consolidado como un modelo ejemplar de desarrollo industrial, donde administración local y empresas trabajan de manera sinérgica...</t>
    </r>
    <r>
      <rPr>
        <rFont val="Arial, sans-serif"/>
        <color rgb="FF1155CC"/>
        <sz val="12.0"/>
        <u/>
      </rPr>
      <t>.</t>
    </r>
    <r>
      <rPr>
        <rFont val="Arial, sans-serif"/>
        <color rgb="FF1155CC"/>
        <sz val="11.0"/>
        <u/>
      </rPr>
      <t>8 dic 2024</t>
    </r>
  </si>
  <si>
    <t>Arteixo, modelo de desarrollo industrial</t>
  </si>
  <si>
    <t>El concello coruñés se ha consolidado como un modelo ejemplar de desarrollo industrial, donde administración local y empresas trabajan de manera sinérgica....</t>
  </si>
  <si>
    <t>Arteixo, industrial development model</t>
  </si>
  <si>
    <t>The A Coruña municipality has established itself as an exemplary model of industrial development, where local administration and companies work synergistically....</t>
  </si>
  <si>
    <t>Economic Development</t>
  </si>
  <si>
    <r>
      <rPr>
        <rFont val="Arial, sans-serif"/>
        <color rgb="FF1155CC"/>
        <sz val="9.0"/>
        <u/>
      </rPr>
      <t>La República</t>
    </r>
    <r>
      <rPr>
        <rFont val="Arial, sans-serif"/>
        <color rgb="FF1155CC"/>
        <sz val="15.0"/>
        <u/>
      </rPr>
      <t>Repsol reporta "afloramiento" de hidrocarburo en la refinería La Pampilla en Ventanilla: ¿qué sucedió?</t>
    </r>
    <r>
      <rPr>
        <rFont val="Arial, sans-serif"/>
        <color rgb="FF1155CC"/>
        <sz val="11.0"/>
        <u/>
      </rPr>
      <t>Osinergmin suspendió las operaciones en el Terminal Multiboyas de la refinería La Pampilla y ha iniciado una investigación para determinar las causas del...</t>
    </r>
    <r>
      <rPr>
        <rFont val="Arial, sans-serif"/>
        <color rgb="FF1155CC"/>
        <sz val="12.0"/>
        <u/>
      </rPr>
      <t>.</t>
    </r>
    <r>
      <rPr>
        <rFont val="Arial, sans-serif"/>
        <color rgb="FF1155CC"/>
        <sz val="11.0"/>
        <u/>
      </rPr>
      <t>8 dic 2024</t>
    </r>
  </si>
  <si>
    <t>Repsol reporta "afloramiento" de hidrocarburo en la refinería La Pampilla en Ventanilla: ¿qué sucedió?</t>
  </si>
  <si>
    <t>Osinergmin suspendió las operaciones en el Terminal Multiboyas de la refinería La Pampilla y ha iniciado una investigación para determinar las causas del....</t>
  </si>
  <si>
    <t>Repsol reports hydrocarbon "outcrop" at the La Pampilla refinery in Ventanilla: what happened?</t>
  </si>
  <si>
    <t>Osinergmin suspended operations at the Multiboyas Terminal of the La Pampilla refinery and has initiated an investigation to determine the causes of the...</t>
  </si>
  <si>
    <t>Negative sentiment, linked to an environmental spill and regulatory intervention.</t>
  </si>
  <si>
    <r>
      <rPr>
        <rFont val="Arial, sans-serif"/>
        <color rgb="FF1155CC"/>
        <sz val="9.0"/>
        <u/>
      </rPr>
      <t>Cinco Días</t>
    </r>
    <r>
      <rPr>
        <rFont val="Arial, sans-serif"/>
        <color rgb="FF1155CC"/>
        <sz val="15.0"/>
        <u/>
      </rPr>
      <t>Repsol también mueve ficha en plena fiebre por el reposicionamiento de marca en el sector energético</t>
    </r>
    <r>
      <rPr>
        <rFont val="Arial, sans-serif"/>
        <color rgb="FF1155CC"/>
        <sz val="11.0"/>
        <u/>
      </rPr>
      <t>El sector energético está viviendo profundos cambios, también en lo que a imagen de marca se refiere. En este contexto, Repsol, una de las marcas más...</t>
    </r>
    <r>
      <rPr>
        <rFont val="Arial, sans-serif"/>
        <color rgb="FF1155CC"/>
        <sz val="12.0"/>
        <u/>
      </rPr>
      <t>.</t>
    </r>
    <r>
      <rPr>
        <rFont val="Arial, sans-serif"/>
        <color rgb="FF1155CC"/>
        <sz val="11.0"/>
        <u/>
      </rPr>
      <t>9 dic 2024</t>
    </r>
  </si>
  <si>
    <t>Repsol también mueve ficha en plena fiebre por el reposicionamiento de marca en el sector energético</t>
  </si>
  <si>
    <t>El sector energético está viviendo profundos cambios, también en lo que a imagen de marca se refiere. En este contexto, Repsol, una de las marcas más....</t>
  </si>
  <si>
    <t>Repsol also makes a move in the midst of a fever for brand repositioning in the energy sector</t>
  </si>
  <si>
    <t>The energy sector is experiencing profound changes, also in terms of brand image. In this context, Repsol, one of the most...</t>
  </si>
  <si>
    <t>Repsol, branding, energy sector</t>
  </si>
  <si>
    <t>Repsol, branding, sector energético</t>
  </si>
  <si>
    <t>Positive sentiment, focusing on corporate strategy and branding.</t>
  </si>
  <si>
    <t>reposicionamiento de marca</t>
  </si>
  <si>
    <t>Neutral corporate strategy.</t>
  </si>
  <si>
    <t>Estrategia corporativa neutral.</t>
  </si>
  <si>
    <r>
      <rPr>
        <rFont val="Arial, sans-serif"/>
        <color rgb="FF1155CC"/>
        <sz val="9.0"/>
        <u/>
      </rPr>
      <t>CapitalMadrid</t>
    </r>
    <r>
      <rPr>
        <rFont val="Arial, sans-serif"/>
        <color rgb="FF1155CC"/>
        <sz val="15.0"/>
        <u/>
      </rPr>
      <t>Repsol aumenta sus puntos de recarga</t>
    </r>
    <r>
      <rPr>
        <rFont val="Arial, sans-serif"/>
        <color rgb="FF1155CC"/>
        <sz val="11.0"/>
        <u/>
      </rPr>
      <t>Repsol ha puesto en funcionamiento 43 puntos de recarga eléctrica de acceso público en Sierra Nevada (Granada), informó la compañía.</t>
    </r>
    <r>
      <rPr>
        <rFont val="Arial, sans-serif"/>
        <color rgb="FF1155CC"/>
        <sz val="12.0"/>
        <u/>
      </rPr>
      <t>.</t>
    </r>
    <r>
      <rPr>
        <rFont val="Arial, sans-serif"/>
        <color rgb="FF1155CC"/>
        <sz val="11.0"/>
        <u/>
      </rPr>
      <t>9 dic 2024</t>
    </r>
  </si>
  <si>
    <t>Repsol aumenta sus puntos de recarga</t>
  </si>
  <si>
    <t>Repsol ha puesto en funcionamiento 43 puntos de recarga eléctrica de acceso público en Sierra Nevada (Granada), informó la compañía.</t>
  </si>
  <si>
    <t>Repsol increases its charging points</t>
  </si>
  <si>
    <t>Repsol has put into operation 43 public access electric charging points in Sierra Nevada (Granada), the company reported.</t>
  </si>
  <si>
    <t>Positive sentiment, reinforcing the company’s sustainability efforts.</t>
  </si>
  <si>
    <t>aumenta sus puntos de recarga</t>
  </si>
  <si>
    <r>
      <rPr>
        <rFont val="Arial, sans-serif"/>
        <color rgb="FF1155CC"/>
        <sz val="9.0"/>
        <u/>
      </rPr>
      <t>Bolsamania</t>
    </r>
    <r>
      <rPr>
        <rFont val="Arial, sans-serif"/>
        <color rgb="FF1155CC"/>
        <sz val="15.0"/>
        <u/>
      </rPr>
      <t>JP Morgan recorta Repsol a 'infraponderar' y baja su precio a 12,50 euros por acción</t>
    </r>
    <r>
      <rPr>
        <rFont val="Arial, sans-serif"/>
        <color rgb="FF1155CC"/>
        <sz val="11.0"/>
        <u/>
      </rPr>
      <t>Los analistas de JP Morgan han recortado este lunes su consejo sobre Repsol hasta 'infraponderar' desde 'neutral', y han rebajado su precio objetivo a 12,50...</t>
    </r>
    <r>
      <rPr>
        <rFont val="Arial, sans-serif"/>
        <color rgb="FF1155CC"/>
        <sz val="12.0"/>
        <u/>
      </rPr>
      <t>.</t>
    </r>
    <r>
      <rPr>
        <rFont val="Arial, sans-serif"/>
        <color rgb="FF1155CC"/>
        <sz val="11.0"/>
        <u/>
      </rPr>
      <t>9 dic 2024</t>
    </r>
  </si>
  <si>
    <t>JP Morgan recorta Repsol a 'infraponderar' y baja su precio a 12,50 euros por acción</t>
  </si>
  <si>
    <t>Los analistas de JP Morgan han recortado este lunes su consejo sobre Repsol hasta 'infraponderar' desde 'neutral', y han rebajado su precio objetivo a 12,50.</t>
  </si>
  <si>
    <t>JP Morgan cuts Repsol to 'underweight' and lowers its price to 12.50 euros per share</t>
  </si>
  <si>
    <t>This Monday, JP Morgan analysts cut their advice on Repsol to 'underweight' from 'neutral', and lowered their price target to 12.50.</t>
  </si>
  <si>
    <t>Repsol, stock downgrade, JP Morgan</t>
  </si>
  <si>
    <t>Repsol, baja de calificación bursátil, JP Morgan</t>
  </si>
  <si>
    <t>Negative sentiment, reflecting concerns about stock performance.</t>
  </si>
  <si>
    <t>recorta, "infraponderar"</t>
  </si>
  <si>
    <t>Negative financial analysis.</t>
  </si>
  <si>
    <t>Análisis financiero negativo.</t>
  </si>
  <si>
    <r>
      <rPr>
        <rFont val="Arial, sans-serif"/>
        <color rgb="FF1155CC"/>
        <sz val="9.0"/>
        <u/>
      </rPr>
      <t>Finanzas.com</t>
    </r>
    <r>
      <rPr>
        <rFont val="Arial, sans-serif"/>
        <color rgb="FF1155CC"/>
        <sz val="15.0"/>
        <u/>
      </rPr>
      <t>Repsol toca mínimos tras un rejonazo de JP Morgan</t>
    </r>
    <r>
      <rPr>
        <rFont val="Arial, sans-serif"/>
        <color rgb="FF1155CC"/>
        <sz val="11.0"/>
        <u/>
      </rPr>
      <t>Los analistas de JP Morgan empeoran aún más su visión sobre Repsol. Los títulos de la petrolera cotizan en mínimos de 52 semanas.</t>
    </r>
    <r>
      <rPr>
        <rFont val="Arial, sans-serif"/>
        <color rgb="FF1155CC"/>
        <sz val="12.0"/>
        <u/>
      </rPr>
      <t>.</t>
    </r>
    <r>
      <rPr>
        <rFont val="Arial, sans-serif"/>
        <color rgb="FF1155CC"/>
        <sz val="11.0"/>
        <u/>
      </rPr>
      <t>9 dic 2024</t>
    </r>
  </si>
  <si>
    <t>Repsol toca mínimos tras un rejonazo de JP Morgan</t>
  </si>
  <si>
    <t>Los analistas de JP Morgan empeoran aún más su visión sobre Repsol. Los títulos de la petrolera cotizan en mínimos de 52 semanas.</t>
  </si>
  <si>
    <t>Repsol hits lows after a huge setback from JP Morgan</t>
  </si>
  <si>
    <t>JP Morgan analysts further worsen their view of Repsol. The oil company's shares are trading at 52-week lows.</t>
  </si>
  <si>
    <t>Repsol, stock, JP Morgan</t>
  </si>
  <si>
    <t>Repsol, acción, JP Morgan</t>
  </si>
  <si>
    <t>Strongly negative sentiment, indicating significant stock decline.</t>
  </si>
  <si>
    <t>toca mínimos</t>
  </si>
  <si>
    <r>
      <rPr>
        <rFont val="Arial, sans-serif"/>
        <color rgb="FF1155CC"/>
        <sz val="9.0"/>
        <u/>
      </rPr>
      <t>Diario Sur</t>
    </r>
    <r>
      <rPr>
        <rFont val="Arial, sans-serif"/>
        <color rgb="FF1155CC"/>
        <sz val="15.0"/>
        <u/>
      </rPr>
      <t>El trámite judicial aleja varios años más las obras para un millar de pisos en los suelos de Repsol</t>
    </r>
    <r>
      <rPr>
        <rFont val="Arial, sans-serif"/>
        <color rgb="FF1155CC"/>
        <sz val="11.0"/>
        <u/>
      </rPr>
      <t>La operación urbanística de las torres de Repsol sigue inmersa y condicionada por un camino judicial cuyo final se antoja aún lejano en el tiempo.</t>
    </r>
    <r>
      <rPr>
        <rFont val="Arial, sans-serif"/>
        <color rgb="FF1155CC"/>
        <sz val="12.0"/>
        <u/>
      </rPr>
      <t>.</t>
    </r>
    <r>
      <rPr>
        <rFont val="Arial, sans-serif"/>
        <color rgb="FF1155CC"/>
        <sz val="11.0"/>
        <u/>
      </rPr>
      <t>9 dic 2024</t>
    </r>
  </si>
  <si>
    <t>El trámite judicial aleja varios años más las obras para un millar de pisos en los suelos de Repsol</t>
  </si>
  <si>
    <t>La operación urbanística de las torres de Repsol sigue inmersa y condicionada por un camino judicial cuyo final se antoja aún lejano en el tiempo.</t>
  </si>
  <si>
    <t>The judicial procedure delays the works for a thousand apartments on Repsol's land for several more years</t>
  </si>
  <si>
    <t>The urban planning operation of the Repsol towers continues to be immersed and conditioned by a judicial process whose end still seems distant in time.</t>
  </si>
  <si>
    <r>
      <rPr>
        <rFont val="Arial, sans-serif"/>
        <color rgb="FF1155CC"/>
        <sz val="9.0"/>
        <u/>
      </rPr>
      <t>Estrategias de Inversión</t>
    </r>
    <r>
      <rPr>
        <rFont val="Arial, sans-serif"/>
        <color rgb="FF1155CC"/>
        <sz val="15.0"/>
        <u/>
      </rPr>
      <t>Varapalo de JP Morgan a la petrolera Repsol: deja su consejo en infraponderar</t>
    </r>
    <r>
      <rPr>
        <rFont val="Arial, sans-serif"/>
        <color rgb="FF1155CC"/>
        <sz val="11.0"/>
        <u/>
      </rPr>
      <t>Los analistas de JP Morgan recortan la recomendación de Repsol hasta 'infraponderar', desde la anterior de 'neutral'. El valor se encuentra en sus mínimos...</t>
    </r>
    <r>
      <rPr>
        <rFont val="Arial, sans-serif"/>
        <color rgb="FF1155CC"/>
        <sz val="12.0"/>
        <u/>
      </rPr>
      <t>.</t>
    </r>
    <r>
      <rPr>
        <rFont val="Arial, sans-serif"/>
        <color rgb="FF1155CC"/>
        <sz val="11.0"/>
        <u/>
      </rPr>
      <t>9 dic 2024</t>
    </r>
  </si>
  <si>
    <t>Varapalo de JP Morgan a la petrolera Repsol: deja su consejo en infraponderar</t>
  </si>
  <si>
    <t>Los analistas de JP Morgan recortan la recomendación de Repsol hasta 'infraponderar', desde la anterior de 'neutral'. El valor se encuentra en sus mínimos....</t>
  </si>
  <si>
    <t>JP Morgan's blow to the oil company Repsol: leaves its advice underweight</t>
  </si>
  <si>
    <t>JP Morgan analysts cut Repsol's recommendation to 'underweight', from the previous 'neutral'. The value is at its minimum....</t>
  </si>
  <si>
    <t>Repsol, JP Morgan, stock downgrade</t>
  </si>
  <si>
    <t>Repsol, JP Morgan, baja de calificación bursátil</t>
  </si>
  <si>
    <t>Negative sentiment, emphasizing investor concerns.</t>
  </si>
  <si>
    <t>Varapalo, "infraponderar"</t>
  </si>
  <si>
    <r>
      <rPr>
        <rFont val="Arial, sans-serif"/>
        <color rgb="FF1155CC"/>
        <sz val="9.0"/>
        <u/>
      </rPr>
      <t>Guía Repsol</t>
    </r>
    <r>
      <rPr>
        <rFont val="Arial, sans-serif"/>
        <color rgb="FF1155CC"/>
        <sz val="15.0"/>
        <u/>
      </rPr>
      <t>10 regalos para inquietos viajeros por menos de 50 euros</t>
    </r>
    <r>
      <rPr>
        <rFont val="Arial, sans-serif"/>
        <color rgb="FF1155CC"/>
        <sz val="11.0"/>
        <u/>
      </rPr>
      <t>Buscando qué regalar para un amante de los viajes? Te traemos una selección de los mejores regalos por debajo de 50 euros.</t>
    </r>
    <r>
      <rPr>
        <rFont val="Arial, sans-serif"/>
        <color rgb="FF1155CC"/>
        <sz val="12.0"/>
        <u/>
      </rPr>
      <t>.</t>
    </r>
    <r>
      <rPr>
        <rFont val="Arial, sans-serif"/>
        <color rgb="FF1155CC"/>
        <sz val="11.0"/>
        <u/>
      </rPr>
      <t>9 dic 2024</t>
    </r>
  </si>
  <si>
    <t>10 regalos para inquietos viajeros por menos de 50 euros</t>
  </si>
  <si>
    <t>Buscando qué regalar para un amante de los viajes? Te traemos una selección de los mejores regalos por debajo de 50 euros.</t>
  </si>
  <si>
    <t>10 gifts for restless travelers for less than 50 euros</t>
  </si>
  <si>
    <t>Looking for a gift for a travel lover? We bring you a selection of the best gifts under 50 euros.</t>
  </si>
  <si>
    <r>
      <rPr>
        <rFont val="Arial, sans-serif"/>
        <color rgb="FF1155CC"/>
        <sz val="9.0"/>
        <u/>
      </rPr>
      <t>Capital Radio</t>
    </r>
    <r>
      <rPr>
        <rFont val="Arial, sans-serif"/>
        <color rgb="FF1155CC"/>
        <sz val="15.0"/>
        <u/>
      </rPr>
      <t>¿Por qué Repsol y Louis Vuitton "tienen mucho que ver"?</t>
    </r>
    <r>
      <rPr>
        <rFont val="Arial, sans-serif"/>
        <color rgb="FF1155CC"/>
        <sz val="11.0"/>
        <u/>
      </rPr>
      <t>Alberto Iturralde, responsable de Operativa Dax, analiza las acciones de Paypal, IBM, Amazon, Amadeus, Chevron, Inditex o Unicaja, entre otras.</t>
    </r>
    <r>
      <rPr>
        <rFont val="Arial, sans-serif"/>
        <color rgb="FF1155CC"/>
        <sz val="12.0"/>
        <u/>
      </rPr>
      <t>.</t>
    </r>
    <r>
      <rPr>
        <rFont val="Arial, sans-serif"/>
        <color rgb="FF1155CC"/>
        <sz val="11.0"/>
        <u/>
      </rPr>
      <t>9 dic 2024</t>
    </r>
  </si>
  <si>
    <t>¿Por qué Repsol y Louis Vuitton "tienen mucho que ver"?</t>
  </si>
  <si>
    <t>Alberto Iturralde, responsable de Operativa Dax, analiza las acciones de Paypal, IBM, Amazon, Amadeus, Chevron, Inditex o Unicaja, entre otras.</t>
  </si>
  <si>
    <t>Why do Repsol and Louis Vuitton "have a lot to do with each other"?</t>
  </si>
  <si>
    <t>Alberto Iturralde, head of Operativa Dax, analyzes the actions of Paypal, IBM, Amazon, Amadeus, Chevron, Inditex or Unicaja, among others.</t>
  </si>
  <si>
    <r>
      <rPr>
        <rFont val="Arial, sans-serif"/>
        <color rgb="FF1155CC"/>
        <sz val="9.0"/>
        <u/>
      </rPr>
      <t>El Español</t>
    </r>
    <r>
      <rPr>
        <rFont val="Arial, sans-serif"/>
        <color rgb="FF1155CC"/>
        <sz val="15.0"/>
        <u/>
      </rPr>
      <t>Norges y BlackRock suben sus apuestas por Repsol y alcanzan participaciones históricas</t>
    </r>
    <r>
      <rPr>
        <rFont val="Arial, sans-serif"/>
        <color rgb="FF1155CC"/>
        <sz val="11.0"/>
        <u/>
      </rPr>
      <t>Los movimientos llegan antes del pago del primer dividendo de 2025 y en un momento en el que la compañía dispara la retribución a sus accionistas.</t>
    </r>
    <r>
      <rPr>
        <rFont val="Arial, sans-serif"/>
        <color rgb="FF1155CC"/>
        <sz val="12.0"/>
        <u/>
      </rPr>
      <t>.</t>
    </r>
    <r>
      <rPr>
        <rFont val="Arial, sans-serif"/>
        <color rgb="FF1155CC"/>
        <sz val="11.0"/>
        <u/>
      </rPr>
      <t>9 dic 2024</t>
    </r>
  </si>
  <si>
    <t>Norges y BlackRock suben sus apuestas por Repsol y alcanzan participaciones históricas</t>
  </si>
  <si>
    <t>Los movimientos llegan antes del pago del primer dividendo de 2025 y en un momento en el que la compañía dispara la retribución a sus accionistas.</t>
  </si>
  <si>
    <t>Norges and BlackRock increase their bets on Repsol and reach historic shares</t>
  </si>
  <si>
    <t>The movements come before the payment of the first dividend of 2025 and at a time when the company is increasing its remuneration to its shareholders.</t>
  </si>
  <si>
    <t>Repsol, BlackRock, investments</t>
  </si>
  <si>
    <t>Repsol, BlackRock, inversiones</t>
  </si>
  <si>
    <t>Positive sentiment, highlighting strong investor confidence.</t>
  </si>
  <si>
    <t>suben sus apuestas</t>
  </si>
  <si>
    <t>Positive investor confidence.</t>
  </si>
  <si>
    <t>Confianza positiva de los inversores.</t>
  </si>
  <si>
    <r>
      <rPr>
        <rFont val="Arial, sans-serif"/>
        <color rgb="FF1155CC"/>
        <sz val="9.0"/>
        <u/>
      </rPr>
      <t>Cinco Días</t>
    </r>
    <r>
      <rPr>
        <rFont val="Arial, sans-serif"/>
        <color rgb="FF1155CC"/>
        <sz val="15.0"/>
        <u/>
      </rPr>
      <t>JP Morgan ve nubarrones sobre Repsol: rebaja su recomendación y recorta el precio un 7,4%</t>
    </r>
    <r>
      <rPr>
        <rFont val="Arial, sans-serif"/>
        <color rgb="FF1155CC"/>
        <sz val="11.0"/>
        <u/>
      </rPr>
      <t>La desconfianza de JP Morgan por Repsol crece. La firma estadounidense ha degradado su recomendación desde neutral a subponderar y rebaja su precio objetivo...</t>
    </r>
    <r>
      <rPr>
        <rFont val="Arial, sans-serif"/>
        <color rgb="FF1155CC"/>
        <sz val="12.0"/>
        <u/>
      </rPr>
      <t>.</t>
    </r>
    <r>
      <rPr>
        <rFont val="Arial, sans-serif"/>
        <color rgb="FF1155CC"/>
        <sz val="11.0"/>
        <u/>
      </rPr>
      <t>9 dic 2024</t>
    </r>
  </si>
  <si>
    <t>JP Morgan ve nubarrones sobre Repsol: rebaja su recomendación y recorta el precio un 7,4%</t>
  </si>
  <si>
    <t>La desconfianza de JP Morgan por Repsol crece. La firma estadounidense ha degradado su recomendación desde neutral a subponderar y rebaja su precio objetivo.</t>
  </si>
  <si>
    <t>JP Morgan sees dark clouds over Repsol: lowers its recommendation and cuts the price by 7.4%</t>
  </si>
  <si>
    <t>JP Morgan's distrust of Repsol grows. The American firm has downgraded its recommendation from neutral to underweight and lowers its price target.</t>
  </si>
  <si>
    <t>Strongly negative sentiment, reflecting worsening investor outlook.</t>
  </si>
  <si>
    <t>nubarrones, "rebaja"</t>
  </si>
  <si>
    <r>
      <rPr>
        <rFont val="Arial, sans-serif"/>
        <color rgb="FF1155CC"/>
        <sz val="9.0"/>
        <u/>
      </rPr>
      <t>El Economista</t>
    </r>
    <r>
      <rPr>
        <rFont val="Arial, sans-serif"/>
        <color rgb="FF1155CC"/>
        <sz val="15.0"/>
        <u/>
      </rPr>
      <t>Eslava ficha a Alantra para buscar socio para el 'rey' del reciclado de plástico</t>
    </r>
    <r>
      <rPr>
        <rFont val="Arial, sans-serif"/>
        <color rgb="FF1155CC"/>
        <sz val="11.0"/>
        <u/>
      </rPr>
      <t>Eslava Plásticos, la primera compañía de España en el reciclaje de poliolefinas post-consumo (LDPE, HDPE y PP), sale al mercado en busca ...</t>
    </r>
    <r>
      <rPr>
        <rFont val="Arial, sans-serif"/>
        <color rgb="FF1155CC"/>
        <sz val="12.0"/>
        <u/>
      </rPr>
      <t>.</t>
    </r>
    <r>
      <rPr>
        <rFont val="Arial, sans-serif"/>
        <color rgb="FF1155CC"/>
        <sz val="11.0"/>
        <u/>
      </rPr>
      <t>9 dic 2024</t>
    </r>
  </si>
  <si>
    <t>Eslava ficha a Alantra para buscar socio para el 'rey' del reciclado de plástico</t>
  </si>
  <si>
    <t>Eslava Plásticos, la primera compañía de España en el reciclaje de poliolefinas post-consumo (LDPE, HDPE y PP), sale al mercado en busca ....</t>
  </si>
  <si>
    <t>Eslava signs Alantra to find a partner for the 'king' of plastic recycling</t>
  </si>
  <si>
    <t>Eslava Plásticas, the first company in Spain in the recycling of post-consumer polyolefins (LDPE, HDPE and PP), goes to the market in search of...</t>
  </si>
  <si>
    <r>
      <rPr>
        <rFont val="Arial, sans-serif"/>
        <color rgb="FF1155CC"/>
        <sz val="9.0"/>
        <u/>
      </rPr>
      <t>El Periódico</t>
    </r>
    <r>
      <rPr>
        <rFont val="Arial, sans-serif"/>
        <color rgb="FF1155CC"/>
        <sz val="15.0"/>
        <u/>
      </rPr>
      <t>Sondeo GESOP: Seis de cada 10 españoles avalan mantener los impuestos a la banca y las energéticas</t>
    </r>
    <r>
      <rPr>
        <rFont val="Arial, sans-serif"/>
        <color rgb="FF1155CC"/>
        <sz val="11.0"/>
        <u/>
      </rPr>
      <t>Una cuarta parte de la ciudadanía rechaza ambos gravámenes, que también dividen a los votantes de PP y Vox.</t>
    </r>
    <r>
      <rPr>
        <rFont val="Arial, sans-serif"/>
        <color rgb="FF1155CC"/>
        <sz val="12.0"/>
        <u/>
      </rPr>
      <t>.</t>
    </r>
    <r>
      <rPr>
        <rFont val="Arial, sans-serif"/>
        <color rgb="FF1155CC"/>
        <sz val="11.0"/>
        <u/>
      </rPr>
      <t>9 dic 2024</t>
    </r>
  </si>
  <si>
    <t>Sondeo GESOP: Seis de cada 10 españoles avalan mantener los impuestos a la banca y las energéticas</t>
  </si>
  <si>
    <t>Seis de cada 10 españoles avalan mantener los impuestos a la banca y las energéticas. Una cuarta parte de la ciudadanía rechaza ambos gravámenes, que también dividen a los votantes de PP y Vox.</t>
  </si>
  <si>
    <t>GESOP Survey: Six out of 10 Spaniards support maintaining taxes on banks and energy companies</t>
  </si>
  <si>
    <t>Six out of 10 Spaniards support maintaining taxes on banking and energy companies. A quarter of citizens reject both taxes, which also divide PP and Vox voters.</t>
  </si>
  <si>
    <r>
      <rPr>
        <rFont val="Arial, sans-serif"/>
        <color rgb="FF1155CC"/>
        <sz val="9.0"/>
        <u/>
      </rPr>
      <t>Guía Repsol</t>
    </r>
    <r>
      <rPr>
        <rFont val="Arial, sans-serif"/>
        <color rgb="FF1155CC"/>
        <sz val="15.0"/>
        <u/>
      </rPr>
      <t>De ruta por el Parque Natural de la Montaña Palentina: bosques, un glaciar y pantanos</t>
    </r>
    <r>
      <rPr>
        <rFont val="Arial, sans-serif"/>
        <color rgb="FF1155CC"/>
        <sz val="11.0"/>
        <u/>
      </rPr>
      <t>Uno de los territorios más olvidados de la Cordillera Cantábrica. Recorremos los rincones del Parque Natural de la Montaña Palentina.</t>
    </r>
    <r>
      <rPr>
        <rFont val="Arial, sans-serif"/>
        <color rgb="FF1155CC"/>
        <sz val="12.0"/>
        <u/>
      </rPr>
      <t>.</t>
    </r>
    <r>
      <rPr>
        <rFont val="Arial, sans-serif"/>
        <color rgb="FF1155CC"/>
        <sz val="11.0"/>
        <u/>
      </rPr>
      <t>9 dic 2024</t>
    </r>
  </si>
  <si>
    <t>De ruta por el Parque Natural de la Montaña Palentina: bosques, un glaciar y pantanos</t>
  </si>
  <si>
    <t>Uno de los territorios más olvidados de la Cordillera Cantábrica. Recorremos los rincones del Parque Natural de la Montaña Palentina.</t>
  </si>
  <si>
    <t>On a route through the Palentina Mountain Natural Park: forests, a glacier and swamps</t>
  </si>
  <si>
    <t>One of the most forgotten territories of the Cantabrian Mountains. We tour the corners of the Palentina Mountain Natural Park.</t>
  </si>
  <si>
    <r>
      <rPr>
        <rFont val="Arial, sans-serif"/>
        <color rgb="FF1155CC"/>
        <sz val="9.0"/>
        <u/>
      </rPr>
      <t>El Español</t>
    </r>
    <r>
      <rPr>
        <rFont val="Arial, sans-serif"/>
        <color rgb="FF1155CC"/>
        <sz val="15.0"/>
        <u/>
      </rPr>
      <t>El precioso pueblo para visitar esta Navidad que tiene una tortilla increíble recomendada por la Guía Repsol</t>
    </r>
    <r>
      <rPr>
        <rFont val="Arial, sans-serif"/>
        <color rgb="FF1155CC"/>
        <sz val="11.0"/>
        <u/>
      </rPr>
      <t>Tiene un precio medio mínimo de 30 euros y ofrece platos caseros típicos del Valle de Arán. Más información: El restaurante de Aragón que gana una estrella...</t>
    </r>
    <r>
      <rPr>
        <rFont val="Arial, sans-serif"/>
        <color rgb="FF1155CC"/>
        <sz val="12.0"/>
        <u/>
      </rPr>
      <t>.</t>
    </r>
    <r>
      <rPr>
        <rFont val="Arial, sans-serif"/>
        <color rgb="FF1155CC"/>
        <sz val="11.0"/>
        <u/>
      </rPr>
      <t>9 dic 2024</t>
    </r>
  </si>
  <si>
    <t>El precioso pueblo para visitar esta Navidad que tiene una tortilla increíble recomendada por la Guía Repsol</t>
  </si>
  <si>
    <t>Tiene un precio medio mínimo de 30 euros y ofrece platos caseros típicos del Valle de Arán. Más información: El restaurante de Aragón que gana una estrella....</t>
  </si>
  <si>
    <t>The beautiful town to visit this Christmas that has an incredible tortilla recommended by the Repsol Guide</t>
  </si>
  <si>
    <t>It has a minimum average price of 30 euros and offers typical homemade dishes from the Aran Valley. More information: The Aragón restaurant that wins a star....</t>
  </si>
  <si>
    <r>
      <rPr>
        <rFont val="Arial, sans-serif"/>
        <color rgb="FF1155CC"/>
        <sz val="9.0"/>
        <u/>
      </rPr>
      <t>Diario Financiero</t>
    </r>
    <r>
      <rPr>
        <rFont val="Arial, sans-serif"/>
        <color rgb="FF1155CC"/>
        <sz val="15.0"/>
        <u/>
      </rPr>
      <t>Repsol ingresa proyecto a evaluación ambiental para ampliar parque eólico por US$ 671 millones</t>
    </r>
    <r>
      <rPr>
        <rFont val="Arial, sans-serif"/>
        <color rgb="FF1155CC"/>
        <sz val="11.0"/>
        <u/>
      </rPr>
      <t>La segunda etapa del Parque Eólico Antofagasta, que se ubica en la comuna de Taltal, en la Región de Antofagasta, presentó el viernes Repsol al Sistema de...</t>
    </r>
    <r>
      <rPr>
        <rFont val="Arial, sans-serif"/>
        <color rgb="FF1155CC"/>
        <sz val="12.0"/>
        <u/>
      </rPr>
      <t>.</t>
    </r>
    <r>
      <rPr>
        <rFont val="Arial, sans-serif"/>
        <color rgb="FF1155CC"/>
        <sz val="11.0"/>
        <u/>
      </rPr>
      <t>9 dic 2024</t>
    </r>
  </si>
  <si>
    <t>Diario Financiero</t>
  </si>
  <si>
    <t>Repsol ingresa proyecto a evaluación ambiental para ampliar parque eólico por US$ 671 millones</t>
  </si>
  <si>
    <t>La segunda etapa del Parque Eólico Antofagasta, que se ubica en la comuna de Taltal, en la Región de Antofagasta, presentó el viernes Repsol al Sistema de....</t>
  </si>
  <si>
    <t>Repsol enters project into environmental evaluation to expand wind farm for US$ 671 million</t>
  </si>
  <si>
    <t>The second stage of the Antofagasta Wind Farm, which is located in the commune of Taltal, in the Antofagasta Region, was presented on Friday by Repsol to the...</t>
  </si>
  <si>
    <t>Energy &amp; Sustainability</t>
  </si>
  <si>
    <t>Repsol, wind farm, sustainability</t>
  </si>
  <si>
    <t>Repsol, parque eólico, sostenibilidad</t>
  </si>
  <si>
    <t>Positive sentiment, focusing on renewable energy investment.</t>
  </si>
  <si>
    <t>ampliar parque eólico</t>
  </si>
  <si>
    <t>Positive renewable energy investment.</t>
  </si>
  <si>
    <t>Inversión positiva en energías renovables.</t>
  </si>
  <si>
    <r>
      <rPr>
        <rFont val="Arial, sans-serif"/>
        <color rgb="FF1155CC"/>
        <sz val="9.0"/>
        <u/>
      </rPr>
      <t>Sierra Nevada</t>
    </r>
    <r>
      <rPr>
        <rFont val="Arial, sans-serif"/>
        <color rgb="FF1155CC"/>
        <sz val="15.0"/>
        <u/>
      </rPr>
      <t>Repsol pone en funcionamiento 43 puntos de recarga para vehículos eléctricos en Sierra Nevada</t>
    </r>
    <r>
      <rPr>
        <rFont val="Arial, sans-serif"/>
        <color rgb="FF1155CC"/>
        <sz val="11.0"/>
        <u/>
      </rPr>
      <t>Cetursa Sierra Nevada y Repsol continúan reforzando su alianza estratégica y buscando soluciones energéticas sostenibles con el fin de que la estación de...</t>
    </r>
    <r>
      <rPr>
        <rFont val="Arial, sans-serif"/>
        <color rgb="FF1155CC"/>
        <sz val="12.0"/>
        <u/>
      </rPr>
      <t>.</t>
    </r>
    <r>
      <rPr>
        <rFont val="Arial, sans-serif"/>
        <color rgb="FF1155CC"/>
        <sz val="11.0"/>
        <u/>
      </rPr>
      <t>10 dic 2024</t>
    </r>
  </si>
  <si>
    <t>Cetursa Sierra Nevada y Repsol continúan reforzando su alianza estratégica y buscando soluciones energéticas sostenibles con el fin de que la estación de....</t>
  </si>
  <si>
    <t>Cetursa Sierra Nevada and Repsol continue to strengthen their strategic alliance and seek sustainable energy solutions so that the station...</t>
  </si>
  <si>
    <t>Strongly positive sentiment, reinforcing sustainability initiatives.</t>
  </si>
  <si>
    <t>puntos de recarga</t>
  </si>
  <si>
    <r>
      <rPr>
        <rFont val="Arial, sans-serif"/>
        <color rgb="FF1155CC"/>
        <sz val="9.0"/>
        <u/>
      </rPr>
      <t>El Mundo</t>
    </r>
    <r>
      <rPr>
        <rFont val="Arial, sans-serif"/>
        <color rgb="FF1155CC"/>
        <sz val="15.0"/>
        <u/>
      </rPr>
      <t>Moeve desafía a Repsol y acelera la transformación total de sus 1.800 gasolineras: del modelo 'sala VIP' de Barajas a cerrar el año con 400 puntos de recarga ultrarrápida construidos</t>
    </r>
    <r>
      <rPr>
        <rFont val="Arial, sans-serif"/>
        <color rgb="FF1155CC"/>
        <sz val="11.0"/>
        <u/>
      </rPr>
      <t>Moeve ha lanzado este martes en Madrid la puesta de largo de la estación de servicio del futuro. La antigua Cepsa ha borrado sus antiguas siglas y ha...</t>
    </r>
    <r>
      <rPr>
        <rFont val="Arial, sans-serif"/>
        <color rgb="FF1155CC"/>
        <sz val="12.0"/>
        <u/>
      </rPr>
      <t>.</t>
    </r>
    <r>
      <rPr>
        <rFont val="Arial, sans-serif"/>
        <color rgb="FF1155CC"/>
        <sz val="11.0"/>
        <u/>
      </rPr>
      <t>10 dic 2024</t>
    </r>
  </si>
  <si>
    <t>Moeve desafía a Repsol y acelera la transformación total de sus 1.800 gasolineras: del modelo 'sala VIP' de Barajas a cerrar el año con 400 puntos de recarga ultrarrápida construidos</t>
  </si>
  <si>
    <t>Moeve ha lanzado este martes en Madrid la puesta de largo de la estación de servicio del futuro. La antigua Cepsa ha borrado sus antiguas siglas y ha....</t>
  </si>
  <si>
    <t>Moeve challenges Repsol and accelerates the total transformation of its 1,800 gas stations: from the Barajas 'VIP room' model to closing the year with 400 ultra-fast charging points built</t>
  </si>
  <si>
    <t>This Tuesday in Madrid, Moeve launched the launch of the service station of the future. The old Cepsa has erased its old initials and has...</t>
  </si>
  <si>
    <t>Moeve, Repsol, electric vehicles</t>
  </si>
  <si>
    <t>Moeve, Repsol, vehículos eléctricos</t>
  </si>
  <si>
    <t>Positive sentiment, emphasizing competition and industry transformation.</t>
  </si>
  <si>
    <r>
      <rPr>
        <rFont val="Arial, sans-serif"/>
        <color rgb="FF1155CC"/>
        <sz val="9.0"/>
        <u/>
      </rPr>
      <t>CapitalMadrid</t>
    </r>
    <r>
      <rPr>
        <rFont val="Arial, sans-serif"/>
        <color rgb="FF1155CC"/>
        <sz val="15.0"/>
        <u/>
      </rPr>
      <t>Iberdrola y Repsol se disputan el interés de los saudíes de STC en las renovables españolas</t>
    </r>
    <r>
      <rPr>
        <rFont val="Arial, sans-serif"/>
        <color rgb="FF1155CC"/>
        <sz val="11.0"/>
        <u/>
      </rPr>
      <t>La pugna empresarial y personal que enfrenta a Ignacio Galán (iberdrola) y Josu Jon Imaz (Repsol) no solo se dirime en los [Juzgados de...</t>
    </r>
    <r>
      <rPr>
        <rFont val="Arial, sans-serif"/>
        <color rgb="FF1155CC"/>
        <sz val="12.0"/>
        <u/>
      </rPr>
      <t>.</t>
    </r>
    <r>
      <rPr>
        <rFont val="Arial, sans-serif"/>
        <color rgb="FF1155CC"/>
        <sz val="11.0"/>
        <u/>
      </rPr>
      <t>10 dic 2024</t>
    </r>
  </si>
  <si>
    <t>Iberdrola y Repsol se disputan el interés de los saudíes de STC en las renovables españolas</t>
  </si>
  <si>
    <t>La pugna empresarial y personal que enfrenta a Ignacio Galán (iberdrola) y Josu Jon Imaz (Repsol) no solo se dirime en los Juzgados de....</t>
  </si>
  <si>
    <t>Iberdrola and Repsol dispute the interest of the Saudis of STC in Spanish renewables</t>
  </si>
  <si>
    <t>The business and personal struggle between Ignacio Galán (Iberdrola) and Josu Jon Imaz (Repsol) is not only settled in the Courts of...</t>
  </si>
  <si>
    <t>Energy &amp; Business</t>
  </si>
  <si>
    <t>Iberdrola, Repsol, renewables</t>
  </si>
  <si>
    <t>Iberdrola, Repsol, renovables</t>
  </si>
  <si>
    <t>Positive sentiment, discussing investment in renewables.</t>
  </si>
  <si>
    <t>se disputan</t>
  </si>
  <si>
    <t>Competitive tension.</t>
  </si>
  <si>
    <t>Tensión competitiva.</t>
  </si>
  <si>
    <r>
      <rPr>
        <rFont val="Arial, sans-serif"/>
        <color rgb="FF1155CC"/>
        <sz val="9.0"/>
        <u/>
      </rPr>
      <t>Europa Press</t>
    </r>
    <r>
      <rPr>
        <rFont val="Arial, sans-serif"/>
        <color rgb="FF1155CC"/>
        <sz val="15.0"/>
        <u/>
      </rPr>
      <t>El escritor compostelano Alberto Ramos recibe el Premio de Narrativa Breve Repsol por su obra 'Pirotecnia'</t>
    </r>
    <r>
      <rPr>
        <rFont val="Arial, sans-serif"/>
        <color rgb="FF1155CC"/>
        <sz val="11.0"/>
        <u/>
      </rPr>
      <t>El escritor y periodista compostelano Alberto Ramos ha recibido en la tarde de este martes en A Coruña el...</t>
    </r>
    <r>
      <rPr>
        <rFont val="Arial, sans-serif"/>
        <color rgb="FF1155CC"/>
        <sz val="12.0"/>
        <u/>
      </rPr>
      <t>.</t>
    </r>
    <r>
      <rPr>
        <rFont val="Arial, sans-serif"/>
        <color rgb="FF1155CC"/>
        <sz val="11.0"/>
        <u/>
      </rPr>
      <t>10 dic 2024</t>
    </r>
  </si>
  <si>
    <t>El escritor compostelano Alberto Ramos recibe el Premio de Narrativa Breve Repsol por su obra 'Pirotecnia'</t>
  </si>
  <si>
    <t>El escritor y periodista compostelano Alberto Ramos ha recibido en la tarde de este martes en A Coruña el....</t>
  </si>
  <si>
    <t>Compostela writer Alberto Ramos receives the Repsol Short Fiction Prize for his work 'Pirotecnia'</t>
  </si>
  <si>
    <t>This Tuesday afternoon in A Coruña, the Compostela writer and journalist Alberto Ramos received the...</t>
  </si>
  <si>
    <t>Culture &amp; Awards</t>
  </si>
  <si>
    <r>
      <rPr>
        <rFont val="Arial, sans-serif"/>
        <color rgb="FF1155CC"/>
        <sz val="9.0"/>
        <u/>
      </rPr>
      <t>Consenso del Mercado</t>
    </r>
    <r>
      <rPr>
        <rFont val="Arial, sans-serif"/>
        <color rgb="FF1155CC"/>
        <sz val="15.0"/>
        <u/>
      </rPr>
      <t>Recomendaciones Ibex 35 Repsol, Equalweight, sigue dependiendo de la evolución de los márgenes de refino</t>
    </r>
    <r>
      <rPr>
        <rFont val="Arial, sans-serif"/>
        <color rgb="FF1155CC"/>
        <sz val="11.0"/>
        <u/>
      </rPr>
      <t>Morgan Stanley | El viernes, Martjin Rats, estratega de materias primas, revisaba sus estimaciones de precio del crudo para 2H25 de $66-68 a $70 por barril.</t>
    </r>
    <r>
      <rPr>
        <rFont val="Arial, sans-serif"/>
        <color rgb="FF1155CC"/>
        <sz val="12.0"/>
        <u/>
      </rPr>
      <t>.</t>
    </r>
    <r>
      <rPr>
        <rFont val="Arial, sans-serif"/>
        <color rgb="FF1155CC"/>
        <sz val="11.0"/>
        <u/>
      </rPr>
      <t>10 dic 2024</t>
    </r>
  </si>
  <si>
    <t>Morgan Stanley</t>
  </si>
  <si>
    <t>Recomendaciones Ibex 35 Repsol, Equalweight, sigue dependiendo de la evolución de los márgenes de refino</t>
  </si>
  <si>
    <t>Recomendaciones Ibex 35 Repsol, Equalweight, sigue dependiendo de la evolución de los márgenes de refino.</t>
  </si>
  <si>
    <t>Recommendations Ibex 35 Repsol, Equalweight, continues to depend on the evolution of refining margins</t>
  </si>
  <si>
    <t>Recommendations Ibex 35 Repsol, Equalweight, continues to depend on the evolution of refining margins.</t>
  </si>
  <si>
    <t>Repsol, stock recommendation, refining margins</t>
  </si>
  <si>
    <t>Repsol, recomendación bursátil, márgenes de refino</t>
  </si>
  <si>
    <t>Slightly positive sentiment, reflecting stability in stock performance.</t>
  </si>
  <si>
    <r>
      <rPr>
        <rFont val="Arial, sans-serif"/>
        <color rgb="FF1155CC"/>
        <sz val="9.0"/>
        <u/>
      </rPr>
      <t>Guía Repsol</t>
    </r>
    <r>
      <rPr>
        <rFont val="Arial, sans-serif"/>
        <color rgb="FF1155CC"/>
        <sz val="15.0"/>
        <u/>
      </rPr>
      <t>La historia de los Bollos de Aceite de Utrera, una delicia Navideña</t>
    </r>
    <r>
      <rPr>
        <rFont val="Arial, sans-serif"/>
        <color rgb="FF1155CC"/>
        <sz val="11.0"/>
        <u/>
      </rPr>
      <t>Además de escuchar villancicos y brindar con el pertinente vasito de anís, en la localidad sevillana de Utrera la llegada de la Navidad se celebra horneando...</t>
    </r>
    <r>
      <rPr>
        <rFont val="Arial, sans-serif"/>
        <color rgb="FF1155CC"/>
        <sz val="12.0"/>
        <u/>
      </rPr>
      <t>.</t>
    </r>
    <r>
      <rPr>
        <rFont val="Arial, sans-serif"/>
        <color rgb="FF1155CC"/>
        <sz val="11.0"/>
        <u/>
      </rPr>
      <t>10 dic 2024</t>
    </r>
  </si>
  <si>
    <t>La historia de los Bollos de Aceite de Utrera, una delicia Navideña</t>
  </si>
  <si>
    <t>Además de escuchar villancicos y brindar con el pertinente vasito de anís, en la localidad sevillana de Utrera la llegada de la Navidad se celebra horneando....</t>
  </si>
  <si>
    <t>The history of the Utrera Oil Buns, a Christmas delight</t>
  </si>
  <si>
    <t>In addition to listening to Christmas carols and toasting with the relevant glass of anise, in the Sevillian town of Utrera the arrival of Christmas is celebrated by baking....</t>
  </si>
  <si>
    <r>
      <rPr>
        <rFont val="Arial, sans-serif"/>
        <color rgb="FF1155CC"/>
        <sz val="9.0"/>
        <u/>
      </rPr>
      <t>El Periódico de la Energía</t>
    </r>
    <r>
      <rPr>
        <rFont val="Arial, sans-serif"/>
        <color rgb="FF1155CC"/>
        <sz val="15.0"/>
        <u/>
      </rPr>
      <t>La Alianza Industrial Española exige un fondo para impulsar la competitividad en la nueva Ley de Industria</t>
    </r>
    <r>
      <rPr>
        <rFont val="Arial, sans-serif"/>
        <color rgb="FF1155CC"/>
        <sz val="11.0"/>
        <u/>
      </rPr>
      <t>Además del fondo, pone el foco en la necesidad de simplificar los procesos burocráticos que actualmente dificultan la inversión industrial.</t>
    </r>
    <r>
      <rPr>
        <rFont val="Arial, sans-serif"/>
        <color rgb="FF1155CC"/>
        <sz val="12.0"/>
        <u/>
      </rPr>
      <t>.</t>
    </r>
    <r>
      <rPr>
        <rFont val="Arial, sans-serif"/>
        <color rgb="FF1155CC"/>
        <sz val="11.0"/>
        <u/>
      </rPr>
      <t>10 dic 2024</t>
    </r>
  </si>
  <si>
    <t>La Alianza Industrial Española exige un fondo para impulsar la competitividad en la nueva Ley de Industria.</t>
  </si>
  <si>
    <t>Además del fondo, pone el foco en la necesidad de simplificar los procesos burocráticos que actualmente dificultan la inversión industrial.</t>
  </si>
  <si>
    <t>The Spanish Industrial Alliance demands a fund to promote competitiveness in the new Industry Law.</t>
  </si>
  <si>
    <t>In addition to the fund, it focuses on the need to simplify the bureaucratic processes that currently hinder industrial investment.</t>
  </si>
  <si>
    <t>Economy &amp; Politics</t>
  </si>
  <si>
    <r>
      <rPr>
        <rFont val="Arial, sans-serif"/>
        <color rgb="FF1155CC"/>
        <sz val="9.0"/>
        <u/>
      </rPr>
      <t>heraldo.es</t>
    </r>
    <r>
      <rPr>
        <rFont val="Arial, sans-serif"/>
        <color rgb="FF1155CC"/>
        <sz val="15.0"/>
        <u/>
      </rPr>
      <t>Cena solidaria de Aragón con Valencia: éste será el exclusivo menú de 500 euros en Zaragoza</t>
    </r>
    <r>
      <rPr>
        <rFont val="Arial, sans-serif"/>
        <color rgb="FF1155CC"/>
        <sz val="11.0"/>
        <u/>
      </rPr>
      <t>El Paraninfo será escenario de la cena para 50 personas con los mejores cocineros aragoneses.</t>
    </r>
    <r>
      <rPr>
        <rFont val="Arial, sans-serif"/>
        <color rgb="FF1155CC"/>
        <sz val="12.0"/>
        <u/>
      </rPr>
      <t>.</t>
    </r>
    <r>
      <rPr>
        <rFont val="Arial, sans-serif"/>
        <color rgb="FF1155CC"/>
        <sz val="11.0"/>
        <u/>
      </rPr>
      <t>10 dic 2024</t>
    </r>
  </si>
  <si>
    <t>Cena solidaria de Aragón con Valencia: éste será el exclusivo menú de 500 euros en Zaragoza</t>
  </si>
  <si>
    <t>El Paraninfo será escenario de la cena para 50 personas con los mejores cocineros aragoneses.</t>
  </si>
  <si>
    <t>Aragón solidarity dinner with Valencia: this will be the exclusive 500 euro menu in Zaragoza</t>
  </si>
  <si>
    <t>The Paraninfo will be the scene of the dinner for 50 people with the best Aragonese chefs.</t>
  </si>
  <si>
    <t>Charity &amp; Gastronomy</t>
  </si>
  <si>
    <r>
      <rPr>
        <rFont val="Arial, sans-serif"/>
        <color rgb="FF1155CC"/>
        <sz val="9.0"/>
        <u/>
      </rPr>
      <t>El Economista</t>
    </r>
    <r>
      <rPr>
        <rFont val="Arial, sans-serif"/>
        <color rgb="FF1155CC"/>
        <sz val="15.0"/>
        <u/>
      </rPr>
      <t>La revolución laboral: el cambio que la generación Z exige al mundo empresarial</t>
    </r>
    <r>
      <rPr>
        <rFont val="Arial, sans-serif"/>
        <color rgb="FF1155CC"/>
        <sz val="11.0"/>
        <u/>
      </rPr>
      <t>El paradigma laboral ha cambiado drásticamente en los últimos años.La globalización, la digitalización y el acceso masivo a nuevas ...</t>
    </r>
    <r>
      <rPr>
        <rFont val="Arial, sans-serif"/>
        <color rgb="FF1155CC"/>
        <sz val="12.0"/>
        <u/>
      </rPr>
      <t>.</t>
    </r>
    <r>
      <rPr>
        <rFont val="Arial, sans-serif"/>
        <color rgb="FF1155CC"/>
        <sz val="11.0"/>
        <u/>
      </rPr>
      <t>10 dic 2024</t>
    </r>
  </si>
  <si>
    <t>La revolución laboral: el cambio que la generación Z exige al mundo empresarial</t>
  </si>
  <si>
    <t>El paradigma laboral ha cambiado drásticamente en los últimos años. La globalización, la digitalización y el acceso masivo a nuevas ....</t>
  </si>
  <si>
    <t>The labor revolution: the change that generation Z demands from the business world</t>
  </si>
  <si>
    <t>The work paradigm has changed drastically in recent years. Globalization, digitalization and mass access to new...</t>
  </si>
  <si>
    <r>
      <rPr>
        <rFont val="Arial, sans-serif"/>
        <color rgb="FF1155CC"/>
        <sz val="9.0"/>
        <u/>
      </rPr>
      <t>Guía Repsol</t>
    </r>
    <r>
      <rPr>
        <rFont val="Arial, sans-serif"/>
        <color rgb="FF1155CC"/>
        <sz val="15.0"/>
        <u/>
      </rPr>
      <t>Planes para fans de Taylor Swift: la cantante más escuchada del mundo en Spotify</t>
    </r>
    <r>
      <rPr>
        <rFont val="Arial, sans-serif"/>
        <color rgb="FF1155CC"/>
        <sz val="11.0"/>
        <u/>
      </rPr>
      <t>Eres fan de Taylor Swift y estás en Madrid? ¡Descubre los mejores planes para recorrer la ciudad como una auténtica Swiftie!</t>
    </r>
    <r>
      <rPr>
        <rFont val="Arial, sans-serif"/>
        <color rgb="FF1155CC"/>
        <sz val="12.0"/>
        <u/>
      </rPr>
      <t>.</t>
    </r>
    <r>
      <rPr>
        <rFont val="Arial, sans-serif"/>
        <color rgb="FF1155CC"/>
        <sz val="11.0"/>
        <u/>
      </rPr>
      <t>10 dic 2024</t>
    </r>
  </si>
  <si>
    <t>Planes para fans de Taylor Swift: la cantante más escuchada del mundo en Spotify</t>
  </si>
  <si>
    <t>Eres fan de Taylor Swift y estás en Madrid? ¡Descubre los mejores planes para recorrer la ciudad como una auténtica Swiftie!.</t>
  </si>
  <si>
    <t>Plans for Taylor Swift fans: the most listened to singer in the world on Spotify</t>
  </si>
  <si>
    <t>Are you a fan of Taylor Swift and are you in Madrid? Discover the best plans to explore the city like a true Swiftie!</t>
  </si>
  <si>
    <r>
      <rPr>
        <rFont val="Arial, sans-serif"/>
        <color rgb="FF1155CC"/>
        <sz val="9.0"/>
        <u/>
      </rPr>
      <t>Fundación Repsol</t>
    </r>
    <r>
      <rPr>
        <rFont val="Arial, sans-serif"/>
        <color rgb="FF1155CC"/>
        <sz val="15.0"/>
        <u/>
      </rPr>
      <t>Premio Narrativa Breve Repsol 2024</t>
    </r>
    <r>
      <rPr>
        <rFont val="Arial, sans-serif"/>
        <color rgb="FF1155CC"/>
        <sz val="11.0"/>
        <u/>
      </rPr>
      <t>Repsol ha entregado en A Coruña el Premio Narrativa Breve en Lengua Gallega a Alberto Ramos y su obra Pirotecnia.</t>
    </r>
    <r>
      <rPr>
        <rFont val="Arial, sans-serif"/>
        <color rgb="FF1155CC"/>
        <sz val="12.0"/>
        <u/>
      </rPr>
      <t>.</t>
    </r>
    <r>
      <rPr>
        <rFont val="Arial, sans-serif"/>
        <color rgb="FF1155CC"/>
        <sz val="11.0"/>
        <u/>
      </rPr>
      <t>11 dic 2024</t>
    </r>
  </si>
  <si>
    <t>Premio Narrativa Breve Repsol 2024</t>
  </si>
  <si>
    <t>Repsol ha entregado en A Coruña el Premio Narrativa Breve en Lengua Gallega a Alberto Ramos y su obra Pirotecnia.</t>
  </si>
  <si>
    <t>Repsol Brief Narrative Award 2024</t>
  </si>
  <si>
    <t>In A Coruña, Repsol has awarded the Short Narrative Prize in the Galician Language to Alberto Ramos and his work Pirotecnia.</t>
  </si>
  <si>
    <r>
      <rPr>
        <rFont val="Arial, sans-serif"/>
        <color rgb="FF1155CC"/>
        <sz val="9.0"/>
        <u/>
      </rPr>
      <t>Onda Cero</t>
    </r>
    <r>
      <rPr>
        <rFont val="Arial, sans-serif"/>
        <color rgb="FF1155CC"/>
        <sz val="15.0"/>
        <u/>
      </rPr>
      <t>Podemos carga contra PNV y Junts: "Son los cachorritos de Repsol"</t>
    </r>
    <r>
      <rPr>
        <rFont val="Arial, sans-serif"/>
        <color rgb="FF1155CC"/>
        <sz val="11.0"/>
        <u/>
      </rPr>
      <t>Ione Belarra ha criticado la decisión de PNV y Junts de no acudir a la reunión convocada por Hacienda para negociar el futuro impuesto a las grandes...</t>
    </r>
    <r>
      <rPr>
        <rFont val="Arial, sans-serif"/>
        <color rgb="FF1155CC"/>
        <sz val="12.0"/>
        <u/>
      </rPr>
      <t>.</t>
    </r>
    <r>
      <rPr>
        <rFont val="Arial, sans-serif"/>
        <color rgb="FF1155CC"/>
        <sz val="11.0"/>
        <u/>
      </rPr>
      <t>11 dic 2024</t>
    </r>
  </si>
  <si>
    <t>Podemos carga contra PNV y Junts: "Son los cachorritos de Repsol"</t>
  </si>
  <si>
    <t>Ione Belarra ha criticado la decisión de PNV y Junts de no acudir a la reunión convocada por Hacienda para negociar el futuro impuesto a las grandes....</t>
  </si>
  <si>
    <t>We can charge against PNV and Junts: "They are Repsol's puppies"</t>
  </si>
  <si>
    <t>Ione Belarra has criticized the decision of PNV and Junts not to attend the meeting called by the Treasury to negotiate the future tax on large companies....</t>
  </si>
  <si>
    <t>PNV, Junts, Repsol, energy tax</t>
  </si>
  <si>
    <t>PNV, Junts, Repsol, impuesto energético</t>
  </si>
  <si>
    <t>Strongly negative sentiment, reflecting political criticism.</t>
  </si>
  <si>
    <t>cachorritos de Repsol</t>
  </si>
  <si>
    <t>Negative political criticism.</t>
  </si>
  <si>
    <r>
      <rPr>
        <rFont val="Arial, sans-serif"/>
        <color rgb="FF1155CC"/>
        <sz val="9.0"/>
        <u/>
      </rPr>
      <t>El Correo</t>
    </r>
    <r>
      <rPr>
        <rFont val="Arial, sans-serif"/>
        <color rgb="FF1155CC"/>
        <sz val="15.0"/>
        <u/>
      </rPr>
      <t>Podemos critica al PNV por ser «un cachorrito de Repsol» y «seguir sus dictados»</t>
    </r>
    <r>
      <rPr>
        <rFont val="Arial, sans-serif"/>
        <color rgb="FF1155CC"/>
        <sz val="11.0"/>
        <u/>
      </rPr>
      <t>La líder morada y exministra, Ione Belarra, critica que tanto los jeltzales como Junts no apoyen mantener el gravamen extraordinario a las energéticas.</t>
    </r>
    <r>
      <rPr>
        <rFont val="Arial, sans-serif"/>
        <color rgb="FF1155CC"/>
        <sz val="12.0"/>
        <u/>
      </rPr>
      <t>.</t>
    </r>
    <r>
      <rPr>
        <rFont val="Arial, sans-serif"/>
        <color rgb="FF1155CC"/>
        <sz val="11.0"/>
        <u/>
      </rPr>
      <t>11 dic 2024</t>
    </r>
  </si>
  <si>
    <t>Podemos critica al PNV por ser «un cachorrito de Repsol» y «seguir sus dictados»</t>
  </si>
  <si>
    <t>La líder morada y exministra, Ione Belarra, critica que tanto los jeltzales como Junts no apoyen mantener el gravamen extraordinario a las energéticas.</t>
  </si>
  <si>
    <t>Podemos criticizes the PNV for being "a Repsol puppy" and "following its dictates"</t>
  </si>
  <si>
    <t>The purple leader and former minister, Ione Belarra, criticizes that both the Jeltzales and Junts do not support maintaining the extraordinary tax on energy companies.</t>
  </si>
  <si>
    <t>Podemos, PNV, Repsol, energy tax</t>
  </si>
  <si>
    <t>Podemos, PNV, Repsol, impuesto a la energía</t>
  </si>
  <si>
    <t>Negative sentiment, highlighting political controversy.</t>
  </si>
  <si>
    <t>cachorrito de Repsol</t>
  </si>
  <si>
    <r>
      <rPr>
        <rFont val="Arial, sans-serif"/>
        <color rgb="FF1155CC"/>
        <sz val="9.0"/>
        <u/>
      </rPr>
      <t>Capital Radio</t>
    </r>
    <r>
      <rPr>
        <rFont val="Arial, sans-serif"/>
        <color rgb="FF1155CC"/>
        <sz val="15.0"/>
        <u/>
      </rPr>
      <t>Momento clave para IAG, Repsol e Inditex, para Roberto Moro</t>
    </r>
    <r>
      <rPr>
        <rFont val="Arial, sans-serif"/>
        <color rgb="FF1155CC"/>
        <sz val="11.0"/>
        <u/>
      </rPr>
      <t>El experto de Apta Negocios analiza también los títulos de Deutsche Telekom, Airbus y Apple, entre otros.</t>
    </r>
    <r>
      <rPr>
        <rFont val="Arial, sans-serif"/>
        <color rgb="FF1155CC"/>
        <sz val="12.0"/>
        <u/>
      </rPr>
      <t>.</t>
    </r>
    <r>
      <rPr>
        <rFont val="Arial, sans-serif"/>
        <color rgb="FF1155CC"/>
        <sz val="11.0"/>
        <u/>
      </rPr>
      <t>11 dic 2024</t>
    </r>
  </si>
  <si>
    <t>Momento clave para IAG, Repsol e Inditex, para Roberto Moro</t>
  </si>
  <si>
    <t>El experto de Apta Negocios analiza también los títulos de Deutsche Telekom, Airbus y Apple, entre otros.</t>
  </si>
  <si>
    <t>Key moment for IAG, Repsol and Inditex, for Roberto Moro</t>
  </si>
  <si>
    <t>The Apta Negocios expert also analyzes the securities of Deutsche Telekom, Airbus and Apple, among others.</t>
  </si>
  <si>
    <r>
      <rPr>
        <rFont val="Arial, sans-serif"/>
        <color rgb="FF1155CC"/>
        <sz val="9.0"/>
        <u/>
      </rPr>
      <t>Merca2.es</t>
    </r>
    <r>
      <rPr>
        <rFont val="Arial, sans-serif"/>
        <color rgb="FF1155CC"/>
        <sz val="15.0"/>
        <u/>
      </rPr>
      <t>Repsol y Moeve lideran el clamor por la ampliación vital de la cogeneración</t>
    </r>
    <r>
      <rPr>
        <rFont val="Arial, sans-serif"/>
        <color rgb="FF1155CC"/>
        <sz val="11.0"/>
        <u/>
      </rPr>
      <t>Empresas de sectores clave de la economía española, con Repsol y Moeve (la antigua Cepsa) como representantes más renombrados de las energéticas,...</t>
    </r>
    <r>
      <rPr>
        <rFont val="Arial, sans-serif"/>
        <color rgb="FF1155CC"/>
        <sz val="12.0"/>
        <u/>
      </rPr>
      <t>.</t>
    </r>
    <r>
      <rPr>
        <rFont val="Arial, sans-serif"/>
        <color rgb="FF1155CC"/>
        <sz val="11.0"/>
        <u/>
      </rPr>
      <t>11 dic 2024</t>
    </r>
  </si>
  <si>
    <t>Repsol y Moeve lideran el clamor por la ampliación vital de la cogeneración</t>
  </si>
  <si>
    <t>Empresas de sectores clave de la economía española, con Repsol y Moeve (la antigua Cepsa) como representantes más renombrados de las energéticas,....</t>
  </si>
  <si>
    <t>Repsol and Moeve lead the clamor for the vital expansion of cogeneration</t>
  </si>
  <si>
    <t>Companies from key sectors of the Spanish economy, with Repsol and Moeve (the former Cepsa) as the most renowned representatives of energy companies,...</t>
  </si>
  <si>
    <t>Repsol, Moeve, cogeneration</t>
  </si>
  <si>
    <t>Repsol, Moeve, cogeneración</t>
  </si>
  <si>
    <t>Positive sentiment, emphasizing energy sector developments.</t>
  </si>
  <si>
    <t>lideran el clamor</t>
  </si>
  <si>
    <t>Positive industry advocacy.</t>
  </si>
  <si>
    <t>Defensa positiva de la industria.</t>
  </si>
  <si>
    <r>
      <rPr>
        <rFont val="Arial, sans-serif"/>
        <color rgb="FF1155CC"/>
        <sz val="9.0"/>
        <u/>
      </rPr>
      <t>Diario de Arteixo</t>
    </r>
    <r>
      <rPr>
        <rFont val="Arial, sans-serif"/>
        <color rgb="FF1155CC"/>
        <sz val="15.0"/>
        <u/>
      </rPr>
      <t>Entrega del XVIII Premio de Narrativa Breve Repsol en Lengua Gallega</t>
    </r>
    <r>
      <rPr>
        <rFont val="Arial, sans-serif"/>
        <color rgb="FF1155CC"/>
        <sz val="11.0"/>
        <u/>
      </rPr>
      <t>Fundación Repsol y la Xunta de Galicia entregan e XVIII Premio de Narrativa Breve Repsol en Lengua Gallega.</t>
    </r>
    <r>
      <rPr>
        <rFont val="Arial, sans-serif"/>
        <color rgb="FF1155CC"/>
        <sz val="12.0"/>
        <u/>
      </rPr>
      <t>.</t>
    </r>
    <r>
      <rPr>
        <rFont val="Arial, sans-serif"/>
        <color rgb="FF1155CC"/>
        <sz val="11.0"/>
        <u/>
      </rPr>
      <t>11 dic 2024</t>
    </r>
  </si>
  <si>
    <t>Diario de Arteixo</t>
  </si>
  <si>
    <t>Entrega del XVIII Premio de Narrativa Breve Repsol en Lengua Gallega</t>
  </si>
  <si>
    <t>Fundación Repsol y la Xunta de Galicia entregan e XVIII Premio de Narrativa Breve Repsol en Lengua Gallega.</t>
  </si>
  <si>
    <t>Presentation of the 18th Repsol Short Fiction Prize in the Galician Language</t>
  </si>
  <si>
    <t>Repsol Foundation and the Xunta de Galicia present the 18th Repsol Short Fiction Prize in the Galician Language.</t>
  </si>
  <si>
    <r>
      <rPr>
        <rFont val="Arial, sans-serif"/>
        <color rgb="FF1155CC"/>
        <sz val="9.0"/>
        <u/>
      </rPr>
      <t>Estrategias de Inversión</t>
    </r>
    <r>
      <rPr>
        <rFont val="Arial, sans-serif"/>
        <color rgb="FF1155CC"/>
        <sz val="15.0"/>
        <u/>
      </rPr>
      <t>Respondemos a dudas sobre IAG, Repsol, Amazon, Telefónica o Amadeus</t>
    </r>
    <r>
      <rPr>
        <rFont val="Arial, sans-serif"/>
        <color rgb="FF1155CC"/>
        <sz val="11.0"/>
        <u/>
      </rPr>
      <t>Análisis técnico de IAG, Telefónica, Repsol, Amazon, Amadeus y Alibaba. Soportes clave y stop loss para los inversores de IAG, Telefónica y Repsol.</t>
    </r>
    <r>
      <rPr>
        <rFont val="Arial, sans-serif"/>
        <color rgb="FF1155CC"/>
        <sz val="12.0"/>
        <u/>
      </rPr>
      <t>.</t>
    </r>
    <r>
      <rPr>
        <rFont val="Arial, sans-serif"/>
        <color rgb="FF1155CC"/>
        <sz val="11.0"/>
        <u/>
      </rPr>
      <t>11 dic 2024</t>
    </r>
  </si>
  <si>
    <t>Respondemos a dudas sobre IAG, Repsol, Amazon, Telefónica o Amadeus</t>
  </si>
  <si>
    <t>Análisis técnico de IAG, Telefónica, Repsol, Amazon, Amadeus y Alibaba. Soportes clave y stop loss para los inversores de IAG, Telefónica y Repsol.</t>
  </si>
  <si>
    <t>We answer questions about IAG, Repsol, Amazon, Telefónica or Amadeus</t>
  </si>
  <si>
    <t>Technical analysis of IAG, Telefónica, Repsol, Amazon, Amadeus and Alibaba. Key supports and stop losses for IAG, Telefónica and Repsol investors.</t>
  </si>
  <si>
    <r>
      <rPr>
        <rFont val="Arial, sans-serif"/>
        <color rgb="FF1155CC"/>
        <sz val="9.0"/>
        <u/>
      </rPr>
      <t>El Diario Vasco</t>
    </r>
    <r>
      <rPr>
        <rFont val="Arial, sans-serif"/>
        <color rgb="FF1155CC"/>
        <sz val="15.0"/>
        <u/>
      </rPr>
      <t>Podemos acusa al PNV de ser un «cachorrito» de Repsol</t>
    </r>
    <r>
      <rPr>
        <rFont val="Arial, sans-serif"/>
        <color rgb="FF1155CC"/>
        <sz val="11.0"/>
        <u/>
      </rPr>
      <t>Ione Belarra critica tanto a los jeltzales como Junts por «seguir los dictados» de la petrolera y no apoyar que se mantenga el gravamen extraordinario a las...</t>
    </r>
    <r>
      <rPr>
        <rFont val="Arial, sans-serif"/>
        <color rgb="FF1155CC"/>
        <sz val="12.0"/>
        <u/>
      </rPr>
      <t>.</t>
    </r>
    <r>
      <rPr>
        <rFont val="Arial, sans-serif"/>
        <color rgb="FF1155CC"/>
        <sz val="11.0"/>
        <u/>
      </rPr>
      <t>11 dic 2024</t>
    </r>
  </si>
  <si>
    <t>Podemos acusa al PNV de ser un «cachorrito» de Repsol</t>
  </si>
  <si>
    <t>Ione Belarra critica tanto a los jeltzales como Junts por «seguir los dictados» de la petrolera y no apoyar que se mantenga el gravamen extraordinario a las....</t>
  </si>
  <si>
    <t>Podemos accuses the PNV of being a “little puppy” of Repsol</t>
  </si>
  <si>
    <t>Ione Belarra criticizes both the Jeltzales and Junts for "following the dictates" of the oil company and not supporting maintaining the extraordinary tax on...</t>
  </si>
  <si>
    <t>Strongly negative sentiment, reinforcing political conflict.</t>
  </si>
  <si>
    <r>
      <rPr>
        <rFont val="Arial, sans-serif"/>
        <color rgb="FF1155CC"/>
        <sz val="9.0"/>
        <u/>
      </rPr>
      <t>El Periódico de España</t>
    </r>
    <r>
      <rPr>
        <rFont val="Arial, sans-serif"/>
        <color rgb="FF1155CC"/>
        <sz val="15.0"/>
        <u/>
      </rPr>
      <t>Convierte cada plan en una experiencia única con los Cromos de Guía Repsol</t>
    </r>
    <r>
      <rPr>
        <rFont val="Arial, sans-serif"/>
        <color rgb="FF1155CC"/>
        <sz val="11.0"/>
        <u/>
      </rPr>
      <t>Revive la magia de coleccionar y transforma tus salidas en algo extraordinario. Los Cromos de la app de Guía Repsol llegan para convertir cada momento en...</t>
    </r>
    <r>
      <rPr>
        <rFont val="Arial, sans-serif"/>
        <color rgb="FF1155CC"/>
        <sz val="12.0"/>
        <u/>
      </rPr>
      <t>.</t>
    </r>
    <r>
      <rPr>
        <rFont val="Arial, sans-serif"/>
        <color rgb="FF1155CC"/>
        <sz val="11.0"/>
        <u/>
      </rPr>
      <t>11 dic 2024</t>
    </r>
  </si>
  <si>
    <t>Convierte cada plan en una experiencia única con los Cromos de Guía Repsol</t>
  </si>
  <si>
    <t>Revive la magia de coleccionar y transforma tus salidas en algo extraordinario. Los Cromos de la app de Guía Repsol llegan para convertir cada momento en....</t>
  </si>
  <si>
    <t>Turn each plan into a unique experience with Repsol Guide Cards</t>
  </si>
  <si>
    <t>Relive the magic of collecting and transform your outings into something extraordinary. The Stickers from the Repsol Guide app come to turn every moment into....</t>
  </si>
  <si>
    <r>
      <rPr>
        <rFont val="Arial, sans-serif"/>
        <color rgb="FF1155CC"/>
        <sz val="9.0"/>
        <u/>
      </rPr>
      <t>El Mundo</t>
    </r>
    <r>
      <rPr>
        <rFont val="Arial, sans-serif"/>
        <color rgb="FF1155CC"/>
        <sz val="15.0"/>
        <u/>
      </rPr>
      <t>El PNV y Junts plantan a Hacienda en la mesa del impuesto a las energéticas y Podemos les llama "cachorritos de Repsol"</t>
    </r>
    <r>
      <rPr>
        <rFont val="Arial, sans-serif"/>
        <color rgb="FF1155CC"/>
        <sz val="11.0"/>
        <u/>
      </rPr>
      <t>La mesa de partidos que Podemos arrancó al Gobierno a cambio del apoyo a la reforma fiscal para negociar entre todos los socios un impuesto permanente a las...</t>
    </r>
    <r>
      <rPr>
        <rFont val="Arial, sans-serif"/>
        <color rgb="FF1155CC"/>
        <sz val="12.0"/>
        <u/>
      </rPr>
      <t>.</t>
    </r>
    <r>
      <rPr>
        <rFont val="Arial, sans-serif"/>
        <color rgb="FF1155CC"/>
        <sz val="11.0"/>
        <u/>
      </rPr>
      <t>11 dic 2024</t>
    </r>
  </si>
  <si>
    <t>El PNV y Junts plantan a Hacienda en la mesa del impuesto a las energéticas y Podemos les llama "cachorritos de Repsol"</t>
  </si>
  <si>
    <t>La mesa de partidos que Podemos arrancó al Gobierno a cambio del apoyo a la reforma fiscal para negociar entre todos los socios un impuesto permanente a las....</t>
  </si>
  <si>
    <t>The PNV and Junts plant the Treasury at the energy tax table and Podemos calls them "Repsol puppies"</t>
  </si>
  <si>
    <t>The table of parties that Podemos took from the Government in exchange for support for the tax reform to negotiate among all partners a permanent tax on...</t>
  </si>
  <si>
    <t>PNV, Junts, Repsol, tax reform</t>
  </si>
  <si>
    <t>PNV, Junts, Repsol, reforma fiscal</t>
  </si>
  <si>
    <t>Negative sentiment, illustrating political discord.</t>
  </si>
  <si>
    <r>
      <rPr>
        <rFont val="Arial, sans-serif"/>
        <color rgb="FF1155CC"/>
        <sz val="9.0"/>
        <u/>
      </rPr>
      <t>Aragón Digital</t>
    </r>
    <r>
      <rPr>
        <rFont val="Arial, sans-serif"/>
        <color rgb="FF1155CC"/>
        <sz val="15.0"/>
        <u/>
      </rPr>
      <t>El restaurante de carretera de Zaragoza que recomiendan en la Guía Repsol: famoso por sus torreznos</t>
    </r>
    <r>
      <rPr>
        <rFont val="Arial, sans-serif"/>
        <color rgb="FF1155CC"/>
        <sz val="11.0"/>
        <u/>
      </rPr>
      <t>Ubicado en Calatorao este restaurante de carretera es el ejemplo perfecto para quienes buscan una pausa deliciosa en su viaje entre Madrid y Barcelona.</t>
    </r>
    <r>
      <rPr>
        <rFont val="Arial, sans-serif"/>
        <color rgb="FF1155CC"/>
        <sz val="12.0"/>
        <u/>
      </rPr>
      <t>.</t>
    </r>
    <r>
      <rPr>
        <rFont val="Arial, sans-serif"/>
        <color rgb="FF1155CC"/>
        <sz val="11.0"/>
        <u/>
      </rPr>
      <t>11 dic 2024</t>
    </r>
  </si>
  <si>
    <t>El restaurante de carretera de Zaragoza que recomiendan en la Guía Repsol: famoso por sus torreznos</t>
  </si>
  <si>
    <t>Ubicado en Calatorao este restaurante de carretera es el ejemplo perfecto para quienes buscan una pausa deliciosa en su viaje entre Madrid y Barcelona.</t>
  </si>
  <si>
    <t>The Zaragoza roadside restaurant recommended in the Repsol Guide: famous for its torreznos</t>
  </si>
  <si>
    <t>Located in Calatorao, this roadside restaurant is the perfect example for those looking for a delicious break on their trip between Madrid and Barcelona.</t>
  </si>
  <si>
    <r>
      <rPr>
        <rFont val="Arial, sans-serif"/>
        <color rgb="FF1155CC"/>
        <sz val="9.0"/>
        <u/>
      </rPr>
      <t>El Ideal Gallego</t>
    </r>
    <r>
      <rPr>
        <rFont val="Arial, sans-serif"/>
        <color rgb="FF1155CC"/>
        <sz val="15.0"/>
        <u/>
      </rPr>
      <t>Alberto Ramos recibe el premio de narrativa breve de Repsol por su obra "Pirotecnia"</t>
    </r>
    <r>
      <rPr>
        <rFont val="Arial, sans-serif"/>
        <color rgb="FF1155CC"/>
        <sz val="11.0"/>
        <u/>
      </rPr>
      <t>El escritor, Alberto Ramos recibió esta tarde en A Coruña el Premio Narrativa Breve Repsol en Lengua Gallega gracias a su obra Pirotecnia y fue galardonado...</t>
    </r>
    <r>
      <rPr>
        <rFont val="Arial, sans-serif"/>
        <color rgb="FF1155CC"/>
        <sz val="12.0"/>
        <u/>
      </rPr>
      <t>.</t>
    </r>
    <r>
      <rPr>
        <rFont val="Arial, sans-serif"/>
        <color rgb="FF1155CC"/>
        <sz val="11.0"/>
        <u/>
      </rPr>
      <t>11 dic 2024</t>
    </r>
  </si>
  <si>
    <t>Alberto Ramos recibe el premio de narrativa breve de Repsol por su obra "Pirotecnia"</t>
  </si>
  <si>
    <t>El escritor, Alberto Ramos recibió esta tarde en A Coruña el Premio Narrativa Breve Repsol en Lengua Gallega gracias a su obra Pirotecnia y fue galardonado....</t>
  </si>
  <si>
    <t>Alberto Ramos receives the Repsol short fiction award for his work "Pirotecnia"</t>
  </si>
  <si>
    <t>The writer, Alberto Ramos received this afternoon in A Coruña the Repsol Brief Narrative Award in the Galician Language thanks to his work Pirotecnia and was awarded....</t>
  </si>
  <si>
    <r>
      <rPr>
        <rFont val="Arial, sans-serif"/>
        <color rgb="FF1155CC"/>
        <sz val="9.0"/>
        <u/>
      </rPr>
      <t>El Cronista</t>
    </r>
    <r>
      <rPr>
        <rFont val="Arial, sans-serif"/>
        <color rgb="FF1155CC"/>
        <sz val="15.0"/>
        <u/>
      </rPr>
      <t>Repsol: a cuánto cotiza HOY miércoles 11 de diciembre y cuánto rinden los dividendos</t>
    </r>
    <r>
      <rPr>
        <rFont val="Arial, sans-serif"/>
        <color rgb="FF1155CC"/>
        <sz val="11.0"/>
        <u/>
      </rPr>
      <t>Al cierre de los mercados de este miércoles, 11 de diciembre de 2024, la cotización del Repsol (REP) en el IBEX 35 ha cerrado a 11,34 euros.</t>
    </r>
    <r>
      <rPr>
        <rFont val="Arial, sans-serif"/>
        <color rgb="FF1155CC"/>
        <sz val="12.0"/>
        <u/>
      </rPr>
      <t>.</t>
    </r>
    <r>
      <rPr>
        <rFont val="Arial, sans-serif"/>
        <color rgb="FF1155CC"/>
        <sz val="11.0"/>
        <u/>
      </rPr>
      <t>11 dic 2024</t>
    </r>
  </si>
  <si>
    <t>Repsol: a cuánto cotiza HOY miércoles 11 de diciembre y cuánto rinden los dividendos</t>
  </si>
  <si>
    <t>Al cierre de los mercados de este miércoles, 11 de diciembre de 2024, la cotización del Repsol (REP) en el IBEX 35 ha cerrado a 11,34 euros.</t>
  </si>
  <si>
    <t>Repsol: how much it is trading at TODAY, Wednesday, December 11, and how much the dividends yield</t>
  </si>
  <si>
    <t>At the close of the markets this Wednesday, December 11, 2024, the price of Repsol (REP) on the IBEX 35 has closed at 11.34 euros.</t>
  </si>
  <si>
    <t>Slightly positive sentiment, reflecting stock market updates.</t>
  </si>
  <si>
    <r>
      <rPr>
        <rFont val="Arial, sans-serif"/>
        <color rgb="FF1155CC"/>
        <sz val="9.0"/>
        <u/>
      </rPr>
      <t>Libertad Digital</t>
    </r>
    <r>
      <rPr>
        <rFont val="Arial, sans-serif"/>
        <color rgb="FF1155CC"/>
        <sz val="15.0"/>
        <u/>
      </rPr>
      <t>Podemos llama "cachorritos de Repsol" a PNV y Junts por plantarle en la negociación del impuesto a las energéticas</t>
    </r>
    <r>
      <rPr>
        <rFont val="Arial, sans-serif"/>
        <color rgb="FF1155CC"/>
        <sz val="11.0"/>
        <u/>
      </rPr>
      <t>El plantón del Partido Nacionalista Vasco y la incertidumbre de Junts, que niega haber recibido alguna convocatoria para esta tarde acudir a la primera...</t>
    </r>
    <r>
      <rPr>
        <rFont val="Arial, sans-serif"/>
        <color rgb="FF1155CC"/>
        <sz val="12.0"/>
        <u/>
      </rPr>
      <t>.</t>
    </r>
    <r>
      <rPr>
        <rFont val="Arial, sans-serif"/>
        <color rgb="FF1155CC"/>
        <sz val="11.0"/>
        <u/>
      </rPr>
      <t>11 dic 2024</t>
    </r>
  </si>
  <si>
    <t>Podemos llama "cachorritos de Repsol" a PNV y Junts por plantarle en la negociación del impuesto a las energéticas</t>
  </si>
  <si>
    <t>El plantón del Partido Nacionalista Vasco y la incertidumbre de Junts, que niega haber recibido alguna convocatoria para esta tarde acudir a la primera....</t>
  </si>
  <si>
    <t>Podemos calls PNV and Junts "Repsol puppies" for standing up to them in the negotiation of the tax on energy companies</t>
  </si>
  <si>
    <t>The sit-in of the Basque Nationalist Party and the uncertainty of Junts, which denies having received any call to attend the first call this afternoon...</t>
  </si>
  <si>
    <t>Podemos, PNV, Junts, Repsol, energy tax</t>
  </si>
  <si>
    <t>Podemos, PNV, Junts, Repsol, impuesto a la energía</t>
  </si>
  <si>
    <t>Negative sentiment, reflecting political tension and accusations.</t>
  </si>
  <si>
    <r>
      <rPr>
        <rFont val="Arial, sans-serif"/>
        <color rgb="FF1155CC"/>
        <sz val="9.0"/>
        <u/>
      </rPr>
      <t>La Razón</t>
    </r>
    <r>
      <rPr>
        <rFont val="Arial, sans-serif"/>
        <color rgb="FF1155CC"/>
        <sz val="15.0"/>
        <u/>
      </rPr>
      <t>La bala mágica: un thriller sonoro sobre conspiraciones con toques de humor</t>
    </r>
    <r>
      <rPr>
        <rFont val="Arial, sans-serif"/>
        <color rgb="FF1155CC"/>
        <sz val="11.0"/>
        <u/>
      </rPr>
      <t>Irene Escolar, Silvia Abascal, Roberto Álamo y Carlos Peguer protagonizan este nuevo podcast en el que una periodista busca “desvelar una verdad que puede...</t>
    </r>
    <r>
      <rPr>
        <rFont val="Arial, sans-serif"/>
        <color rgb="FF1155CC"/>
        <sz val="12.0"/>
        <u/>
      </rPr>
      <t>.</t>
    </r>
    <r>
      <rPr>
        <rFont val="Arial, sans-serif"/>
        <color rgb="FF1155CC"/>
        <sz val="11.0"/>
        <u/>
      </rPr>
      <t>11 dic 2024</t>
    </r>
  </si>
  <si>
    <t>La bala mágica: un thriller sonoro sobre conspiraciones con toques de humor</t>
  </si>
  <si>
    <t>Irene Escolar, Silvia Abascal, Roberto Álamo y Carlos Peguer protagonizan este nuevo podcast en el que una periodista busca “desvelar una verdad que puede....</t>
  </si>
  <si>
    <t>The magic bullet: a sound thriller about conspiracies with touches of humor</t>
  </si>
  <si>
    <t>Irene Escolar, Silvia Abascal, Roberto Álamo and Carlos Peguer star in this new podcast in which a journalist seeks to “reveal a truth that can...</t>
  </si>
  <si>
    <r>
      <rPr>
        <rFont val="Arial, sans-serif"/>
        <color rgb="FF1155CC"/>
        <sz val="9.0"/>
        <u/>
      </rPr>
      <t>El Periódico de la Energía</t>
    </r>
    <r>
      <rPr>
        <rFont val="Arial, sans-serif"/>
        <color rgb="FF1155CC"/>
        <sz val="15.0"/>
        <u/>
      </rPr>
      <t>La producción petrolera de Venezuela cae casi un 3% en noviembre con respecto a octubre</t>
    </r>
    <r>
      <rPr>
        <rFont val="Arial, sans-serif"/>
        <color rgb="FF1155CC"/>
        <sz val="11.0"/>
        <u/>
      </rPr>
      <t>El país ha ampliado su cooperación internacional en el ámbito energético, con la firma de acuerdos con empresas como la española Repsol y la francesa Maurel...</t>
    </r>
    <r>
      <rPr>
        <rFont val="Arial, sans-serif"/>
        <color rgb="FF1155CC"/>
        <sz val="12.0"/>
        <u/>
      </rPr>
      <t>.</t>
    </r>
    <r>
      <rPr>
        <rFont val="Arial, sans-serif"/>
        <color rgb="FF1155CC"/>
        <sz val="11.0"/>
        <u/>
      </rPr>
      <t>11 dic 2024</t>
    </r>
  </si>
  <si>
    <t>La producción petrolera de Venezuela cae casi un 3% en noviembre con respecto a octubre</t>
  </si>
  <si>
    <t>El país ha ampliado su cooperación internacional en el ámbito energético, con la firma de acuerdos con empresas como la española Repsol y la francesa Maurel.</t>
  </si>
  <si>
    <t>Venezuela's oil production falls almost 3% in November compared to October</t>
  </si>
  <si>
    <t>The country has expanded its international cooperation in the energy field, signing agreements with companies such as the Spanish Repsol and the French Maurel.</t>
  </si>
  <si>
    <r>
      <rPr>
        <rFont val="Arial, sans-serif"/>
        <color rgb="FF1155CC"/>
        <sz val="9.0"/>
        <u/>
      </rPr>
      <t>El Independiente</t>
    </r>
    <r>
      <rPr>
        <rFont val="Arial, sans-serif"/>
        <color rgb="FF1155CC"/>
        <sz val="15.0"/>
        <u/>
      </rPr>
      <t>PNV y Junts se descuelgan de la reunión con el Gobierno en el Congreso para negociar el impuesto energético</t>
    </r>
    <r>
      <rPr>
        <rFont val="Arial, sans-serif"/>
        <color rgb="FF1155CC"/>
        <sz val="11.0"/>
        <u/>
      </rPr>
      <t>Podemos acusa a los socios conservadores del Gobierno de ser los "cachorros" de Repsol | El PNV cree que Podemos busca justificar su apoyo al paquete fiscal.</t>
    </r>
    <r>
      <rPr>
        <rFont val="Arial, sans-serif"/>
        <color rgb="FF1155CC"/>
        <sz val="12.0"/>
        <u/>
      </rPr>
      <t>.</t>
    </r>
    <r>
      <rPr>
        <rFont val="Arial, sans-serif"/>
        <color rgb="FF1155CC"/>
        <sz val="11.0"/>
        <u/>
      </rPr>
      <t>11 dic 2024</t>
    </r>
  </si>
  <si>
    <t>PNV y Junts se descuelgan de la reunión con el Gobierno en el Congreso para negociar el impuesto energético</t>
  </si>
  <si>
    <t>Podemos acusa a los socios conservadores del Gobierno de ser los "cachorros" de Repsol | El PNV cree que Podemos busca justificar su apoyo al paquete fiscal.</t>
  </si>
  <si>
    <t>PNV and Junts withdraw from the meeting with the Government in Congress to negotiate the energy tax</t>
  </si>
  <si>
    <t>Podemos accuses the government's conservative partners of being Repsol's "puppies" | The PNV believes that Podemos is seeking to justify its support for the fiscal package.</t>
  </si>
  <si>
    <t>PNV, Junts, energy tax, Government</t>
  </si>
  <si>
    <t>PNV, Junts, impuesto energético, Gobierno</t>
  </si>
  <si>
    <t>Negative sentiment, as it reflects political tension and accusations between parties regarding Repsol's influence.</t>
  </si>
  <si>
    <r>
      <rPr>
        <rFont val="Arial, sans-serif"/>
        <color rgb="FF1155CC"/>
        <sz val="9.0"/>
        <u/>
      </rPr>
      <t>El Correo de Andalucía</t>
    </r>
    <r>
      <rPr>
        <rFont val="Arial, sans-serif"/>
        <color rgb="FF1155CC"/>
        <sz val="15.0"/>
        <u/>
      </rPr>
      <t>Irene Escolar protagoniza el thriller sonoro “La bala mágica”</t>
    </r>
    <r>
      <rPr>
        <rFont val="Arial, sans-serif"/>
        <color rgb="FF1155CC"/>
        <sz val="11.0"/>
        <u/>
      </rPr>
      <t>Contenido ofrecido por: Logo Repsol. Irene Escolar en el estreno de “La bala mágica”. Marta Barriuso, interpretada por Irene Escolar, es una periodista con...</t>
    </r>
    <r>
      <rPr>
        <rFont val="Arial, sans-serif"/>
        <color rgb="FF1155CC"/>
        <sz val="12.0"/>
        <u/>
      </rPr>
      <t>.</t>
    </r>
    <r>
      <rPr>
        <rFont val="Arial, sans-serif"/>
        <color rgb="FF1155CC"/>
        <sz val="11.0"/>
        <u/>
      </rPr>
      <t>12 dic 2024</t>
    </r>
  </si>
  <si>
    <t>Irene Escolar protagoniza el thriller sonoro “La bala mágica”</t>
  </si>
  <si>
    <t>Marta Barriuso, interpretada por Irene Escolar, es una periodista con....</t>
  </si>
  <si>
    <t>Irene Escolar stars in the sound thriller “The Magic Bullet”</t>
  </si>
  <si>
    <t>Marta Barriuso, played by Irene Escolar, is a journalist with...</t>
  </si>
  <si>
    <r>
      <rPr>
        <rFont val="Arial, sans-serif"/>
        <color rgb="FF1155CC"/>
        <sz val="9.0"/>
        <u/>
      </rPr>
      <t>Yahoo Finanzas</t>
    </r>
    <r>
      <rPr>
        <rFont val="Arial, sans-serif"/>
        <color rgb="FF1155CC"/>
        <sz val="15.0"/>
        <u/>
      </rPr>
      <t>Ecopetrol exigirá derecho contractual de quedarse con campos de Repsol en Colombia</t>
    </r>
    <r>
      <rPr>
        <rFont val="Arial, sans-serif"/>
        <color rgb="FF1155CC"/>
        <sz val="11.0"/>
        <u/>
      </rPr>
      <t>Tras la salida de Repsol Oil&amp;Gas de Colombia, se han conocido nuevos detalles para el futuro de sus activos y en los que tiene que ver Ecopetrol.</t>
    </r>
    <r>
      <rPr>
        <rFont val="Arial, sans-serif"/>
        <color rgb="FF1155CC"/>
        <sz val="12.0"/>
        <u/>
      </rPr>
      <t>.</t>
    </r>
    <r>
      <rPr>
        <rFont val="Arial, sans-serif"/>
        <color rgb="FF1155CC"/>
        <sz val="11.0"/>
        <u/>
      </rPr>
      <t>11 dic 2024</t>
    </r>
  </si>
  <si>
    <t>Ecopetrol exigirá derecho contractual de quedarse con campos de Repsol en Colombia</t>
  </si>
  <si>
    <t>Ecopetrol exigirá derecho contractual de quedarse con campos de Repsol en Colombia. Tras la salida de Repsol Oil&amp;Gas de Colombia, se han conocido nuevos detalles para el futuro de sus activos y en los que tiene que ver Ecopetrol.</t>
  </si>
  <si>
    <t>Ecopetrol will demand contractual right to keep Repsol fields in Colombia</t>
  </si>
  <si>
    <t>Ecopetrol will demand contractual right to keep Repsol fields in Colombia. After the departure of Repsol Oil&amp;Gas from Colombia, new details have been known for the future of its assets and those involving Ecopetrol.</t>
  </si>
  <si>
    <t>Ecopetrol, Repsol, Colombia</t>
  </si>
  <si>
    <t>Negative sentiment, indicating disputes over oil assets.</t>
  </si>
  <si>
    <t>quedarse con campos de Repsol</t>
  </si>
  <si>
    <t>Negative business conflict.</t>
  </si>
  <si>
    <t>Conflicto empresarial negativo.</t>
  </si>
  <si>
    <r>
      <rPr>
        <rFont val="Arial, sans-serif"/>
        <color rgb="FF1155CC"/>
        <sz val="9.0"/>
        <u/>
      </rPr>
      <t>Infobae</t>
    </r>
    <r>
      <rPr>
        <rFont val="Arial, sans-serif"/>
        <color rgb="FF1155CC"/>
        <sz val="15.0"/>
        <u/>
      </rPr>
      <t>Los mejores churros con chocolate de Pamplona se toman en esta panadería con casi 100 años de historia</t>
    </r>
    <r>
      <rPr>
        <rFont val="Arial, sans-serif"/>
        <color rgb="FF1155CC"/>
        <sz val="11.0"/>
        <u/>
      </rPr>
      <t>La Guía Repsol reconoce con uno de sus Soletes a esta cafetería-panadería centenaria, abierta en la ciudad navarra desde 1927.</t>
    </r>
    <r>
      <rPr>
        <rFont val="Arial, sans-serif"/>
        <color rgb="FF1155CC"/>
        <sz val="12.0"/>
        <u/>
      </rPr>
      <t>.</t>
    </r>
    <r>
      <rPr>
        <rFont val="Arial, sans-serif"/>
        <color rgb="FF1155CC"/>
        <sz val="11.0"/>
        <u/>
      </rPr>
      <t>11 dic 2024</t>
    </r>
  </si>
  <si>
    <t>Los mejores churros con chocolate de Pamplona se toman en esta panadería con casi 100 años de historia</t>
  </si>
  <si>
    <t>La Guía Repsol reconoce con uno de sus Soletes a esta cafetería-panadería centenaria, abierta en la ciudad navarra desde 1927.</t>
  </si>
  <si>
    <t>The best churros with chocolate in Pamplona are eaten in this bakery with almost 100 years of history</t>
  </si>
  <si>
    <t>The Repsol Guide recognizes this century-old cafeteria-bakery, open in the Navarrese city since 1927, with one of its Soletes.</t>
  </si>
  <si>
    <r>
      <rPr>
        <rFont val="Arial, sans-serif"/>
        <color rgb="FF1155CC"/>
        <sz val="9.0"/>
        <u/>
      </rPr>
      <t>Diario de Avisos</t>
    </r>
    <r>
      <rPr>
        <rFont val="Arial, sans-serif"/>
        <color rgb="FF1155CC"/>
        <sz val="15.0"/>
        <u/>
      </rPr>
      <t>Los mejores chefs de Canarias se unen por Valencia en una cena solidaria de estrella Michelin</t>
    </r>
    <r>
      <rPr>
        <rFont val="Arial, sans-serif"/>
        <color rgb="FF1155CC"/>
        <sz val="11.0"/>
        <u/>
      </rPr>
      <t>El proyecto a nivel nacional 'Desde Valencia para Valencia', reunirá fondos para apoyar a las familias y comercios que se han visto afectados por la...</t>
    </r>
    <r>
      <rPr>
        <rFont val="Arial, sans-serif"/>
        <color rgb="FF1155CC"/>
        <sz val="12.0"/>
        <u/>
      </rPr>
      <t>.</t>
    </r>
    <r>
      <rPr>
        <rFont val="Arial, sans-serif"/>
        <color rgb="FF1155CC"/>
        <sz val="11.0"/>
        <u/>
      </rPr>
      <t>11 dic 2024</t>
    </r>
  </si>
  <si>
    <t>Los mejores chefs de Canarias se unen por Valencia en una cena solidaria de estrella Michelin</t>
  </si>
  <si>
    <t>Los mejores chefs de Canarias se unen por Valencia en una cena solidaria de estrella Michelin. El proyecto a nivel nacional 'Desde Valencia para Valencia', reunirá fondos para apoyar a las familias y comercios que se han visto afectados por la....</t>
  </si>
  <si>
    <t>The best chefs of the Canary Islands come together in Valencia at a Michelin star solidarity dinner</t>
  </si>
  <si>
    <t>The best chefs from the Canary Islands come together in Valencia for a Michelin star solidarity dinner. The nationwide project 'From Valencia to Valencia' will raise funds to support families and businesses that have been affected by the...</t>
  </si>
  <si>
    <r>
      <rPr>
        <rFont val="Arial, sans-serif"/>
        <color rgb="FF1155CC"/>
        <sz val="9.0"/>
        <u/>
      </rPr>
      <t>Box Repsol</t>
    </r>
    <r>
      <rPr>
        <rFont val="Arial, sans-serif"/>
        <color rgb="FF1155CC"/>
        <sz val="15.0"/>
        <u/>
      </rPr>
      <t>Marcas de motos españolas: historia y evolución</t>
    </r>
    <r>
      <rPr>
        <rFont val="Arial, sans-serif"/>
        <color rgb="FF1155CC"/>
        <sz val="11.0"/>
        <u/>
      </rPr>
      <t>La industria motociclista española se mantiene hoy en día pese a verse seriamente afectada al inicio de la década de 1980. Con un número más reducido de...</t>
    </r>
    <r>
      <rPr>
        <rFont val="Arial, sans-serif"/>
        <color rgb="FF1155CC"/>
        <sz val="12.0"/>
        <u/>
      </rPr>
      <t>.</t>
    </r>
    <r>
      <rPr>
        <rFont val="Arial, sans-serif"/>
        <color rgb="FF1155CC"/>
        <sz val="11.0"/>
        <u/>
      </rPr>
      <t>11 dic 2024</t>
    </r>
  </si>
  <si>
    <t>Marcas de motos españolas: historia y evolución</t>
  </si>
  <si>
    <t>La industria motociclista española se mantiene hoy en día pese a verse seriamente afectada al inicio de la década de 1980. Con un número más reducido de....</t>
  </si>
  <si>
    <t>Spanish motorcycle brands: history and evolution</t>
  </si>
  <si>
    <t>The Spanish motorcycle industry remains today despite being seriously affected at the beginning of the 1980s. With a smaller number of...</t>
  </si>
  <si>
    <r>
      <rPr>
        <rFont val="Arial, sans-serif"/>
        <color rgb="FF1155CC"/>
        <sz val="9.0"/>
        <u/>
      </rPr>
      <t>Box Repsol</t>
    </r>
    <r>
      <rPr>
        <rFont val="Arial, sans-serif"/>
        <color rgb="FF1155CC"/>
        <sz val="15.0"/>
        <u/>
      </rPr>
      <t>Las mejores motos eléctricas de 125cc</t>
    </r>
    <r>
      <rPr>
        <rFont val="Arial, sans-serif"/>
        <color rgb="FF1155CC"/>
        <sz val="11.0"/>
        <u/>
      </rPr>
      <t>Las motos eléctricas equivalentes a 125 cc cada vez son más populares en nuestras ciudades. Además de económicas, son una solución sostenible y eficiente...</t>
    </r>
    <r>
      <rPr>
        <rFont val="Arial, sans-serif"/>
        <color rgb="FF1155CC"/>
        <sz val="12.0"/>
        <u/>
      </rPr>
      <t>.</t>
    </r>
    <r>
      <rPr>
        <rFont val="Arial, sans-serif"/>
        <color rgb="FF1155CC"/>
        <sz val="11.0"/>
        <u/>
      </rPr>
      <t>11 dic 2024</t>
    </r>
  </si>
  <si>
    <t>Las mejores motos eléctricas de 125cc</t>
  </si>
  <si>
    <t>Las motos eléctricas equivalentes a 125 cc cada vez son más populares en nuestras ciudades. Además de económicas, son una solución sostenible y eficiente....</t>
  </si>
  <si>
    <t>The best 125cc electric motorcycles</t>
  </si>
  <si>
    <t>Electric motorcycles equivalent to 125 cc are increasingly popular in our cities. In addition to being economical, they are a sustainable and efficient solution....</t>
  </si>
  <si>
    <r>
      <rPr>
        <rFont val="Arial, sans-serif"/>
        <color rgb="FF1155CC"/>
        <sz val="9.0"/>
        <u/>
      </rPr>
      <t>Portal Minero</t>
    </r>
    <r>
      <rPr>
        <rFont val="Arial, sans-serif"/>
        <color rgb="FF1155CC"/>
        <sz val="15.0"/>
        <u/>
      </rPr>
      <t>Repsol ingresa a evaluación ambiental proyecto que contempla una inversión de US$ 671 millones</t>
    </r>
    <r>
      <rPr>
        <rFont val="Arial, sans-serif"/>
        <color rgb="FF1155CC"/>
        <sz val="11.0"/>
        <u/>
      </rPr>
      <t>por PortalMinero | Dic 11, 2024 | Noticias. Repsol ingresa a evaluación ambiental proyecto que contempla una inversión de US$ 671 millones...</t>
    </r>
    <r>
      <rPr>
        <rFont val="Arial, sans-serif"/>
        <color rgb="FF1155CC"/>
        <sz val="12.0"/>
        <u/>
      </rPr>
      <t>.</t>
    </r>
    <r>
      <rPr>
        <rFont val="Arial, sans-serif"/>
        <color rgb="FF1155CC"/>
        <sz val="11.0"/>
        <u/>
      </rPr>
      <t>11 dic 2024</t>
    </r>
  </si>
  <si>
    <t>Portal Minero</t>
  </si>
  <si>
    <t>Repsol ingresa a evaluación ambiental proyecto que contempla una inversión de US$ 671 millones</t>
  </si>
  <si>
    <t>Repsol ingresa a evaluación ambiental proyecto que contempla una inversión de US$ 671 millones.</t>
  </si>
  <si>
    <t>Repsol enters environmental evaluation of a project that contemplates an investment of US$ 671 million</t>
  </si>
  <si>
    <t>Repsol enters the environmental evaluation of a project that contemplates an investment of US$ 671 million.</t>
  </si>
  <si>
    <t>Repsol, environmental evaluation, investment</t>
  </si>
  <si>
    <t>Repsol, evaluación ambiental, inversión</t>
  </si>
  <si>
    <t>Positive sentiment, highlighting investment in sustainability.</t>
  </si>
  <si>
    <t>proyecto, "inversión"</t>
  </si>
  <si>
    <r>
      <rPr>
        <rFont val="Arial, sans-serif"/>
        <color rgb="FF1155CC"/>
        <sz val="9.0"/>
        <u/>
      </rPr>
      <t>Infobae</t>
    </r>
    <r>
      <rPr>
        <rFont val="Arial, sans-serif"/>
        <color rgb="FF1155CC"/>
        <sz val="15.0"/>
        <u/>
      </rPr>
      <t>EEUU confirmó que “está sobre la mesa” revocar las licencias petroleras en Venezuela tras el fraude electoral de Maduro</t>
    </r>
    <r>
      <rPr>
        <rFont val="Arial, sans-serif"/>
        <color rgb="FF1155CC"/>
        <sz val="11.0"/>
        <u/>
      </rPr>
      <t>El secretario de Estado, Antony Blinken, afirmó que Washington ha enviado “un mensaje muy claro” al régimen chavista, al denunciar el abuso del sistema y al...</t>
    </r>
    <r>
      <rPr>
        <rFont val="Arial, sans-serif"/>
        <color rgb="FF1155CC"/>
        <sz val="12.0"/>
        <u/>
      </rPr>
      <t>.</t>
    </r>
    <r>
      <rPr>
        <rFont val="Arial, sans-serif"/>
        <color rgb="FF1155CC"/>
        <sz val="11.0"/>
        <u/>
      </rPr>
      <t>11 dic 2024</t>
    </r>
  </si>
  <si>
    <t>EEUU confirmó que “está sobre la mesa” revocar las licencias petroleras en Venezuela tras el fraude electoral de Maduro</t>
  </si>
  <si>
    <t>Washington ha enviado “un mensaje muy claro” al régimen chavista, al denunciar el abuso del sistema y al....</t>
  </si>
  <si>
    <t>The US confirmed that “it is on the table” to revoke oil licenses in Venezuela after Maduro's electoral fraud</t>
  </si>
  <si>
    <t>Washington has sent “a very clear message” to the Chavista regime, denouncing the abuse of the system and....</t>
  </si>
  <si>
    <r>
      <rPr>
        <rFont val="Arial, sans-serif"/>
        <color rgb="FF1155CC"/>
        <sz val="9.0"/>
        <u/>
      </rPr>
      <t>Revista Digital Minera REDIMIN</t>
    </r>
    <r>
      <rPr>
        <rFont val="Arial, sans-serif"/>
        <color rgb="FF1155CC"/>
        <sz val="15.0"/>
        <u/>
      </rPr>
      <t>Repsol impulsa proyecto de mejora para Parque Eólico en Antofagasta</t>
    </r>
    <r>
      <rPr>
        <rFont val="Arial, sans-serif"/>
        <color rgb="FF1155CC"/>
        <sz val="11.0"/>
        <u/>
      </rPr>
      <t>Repsol presenta proyecto de modificación para el Parque Eólico Antofagasta en Chile.</t>
    </r>
    <r>
      <rPr>
        <rFont val="Arial, sans-serif"/>
        <color rgb="FF1155CC"/>
        <sz val="12.0"/>
        <u/>
      </rPr>
      <t>.</t>
    </r>
    <r>
      <rPr>
        <rFont val="Arial, sans-serif"/>
        <color rgb="FF1155CC"/>
        <sz val="11.0"/>
        <u/>
      </rPr>
      <t>11 dic 2024</t>
    </r>
  </si>
  <si>
    <t>Repsol impulsa proyecto de mejora para Parque Eólico en Antofagasta</t>
  </si>
  <si>
    <t>Repsol presenta proyecto de modificación para el Parque Eólico Antofagasta en Chile.</t>
  </si>
  <si>
    <t>Repsol promotes improvement project for Wind Farm in Antofagasta</t>
  </si>
  <si>
    <t>Repsol presents modification project for the Antofagasta Wind Farm in Chile.</t>
  </si>
  <si>
    <t>Repsol, Wind Farm, Antofagasta</t>
  </si>
  <si>
    <t>Repsol, “Parque Eólico”, “Antofagasta”</t>
  </si>
  <si>
    <t>Positive sentiment, showcasing environmental sustainability efforts.</t>
  </si>
  <si>
    <t>proyecto de mejora, "Parque Eólico"</t>
  </si>
  <si>
    <t>Positive renewable energy effort.</t>
  </si>
  <si>
    <t>Esfuerzo positivo en energías renovables.</t>
  </si>
  <si>
    <r>
      <rPr>
        <rFont val="Arial, sans-serif"/>
        <color rgb="FF1155CC"/>
        <sz val="9.0"/>
        <u/>
      </rPr>
      <t>Universidad Juárez Autónoma de Tabasco</t>
    </r>
    <r>
      <rPr>
        <rFont val="Arial, sans-serif"/>
        <color rgb="FF1155CC"/>
        <sz val="15.0"/>
        <u/>
      </rPr>
      <t>UJAT, SLB y Repsol equipan viveros para reforestar con más de 33 mil plantas de Mangle Rojo en Wanha'</t>
    </r>
    <r>
      <rPr>
        <rFont val="Arial, sans-serif"/>
        <color rgb="FF1155CC"/>
        <sz val="11.0"/>
        <u/>
      </rPr>
      <t>El Laboratorio de Manglares Interiores de la Universidad Juárez Autónoma de Tabasco (UJAT) con apoyo de la empresa SLB y la compañía energética Repsol...</t>
    </r>
    <r>
      <rPr>
        <rFont val="Arial, sans-serif"/>
        <color rgb="FF1155CC"/>
        <sz val="12.0"/>
        <u/>
      </rPr>
      <t>.</t>
    </r>
    <r>
      <rPr>
        <rFont val="Arial, sans-serif"/>
        <color rgb="FF1155CC"/>
        <sz val="11.0"/>
        <u/>
      </rPr>
      <t>11 dic 2024</t>
    </r>
  </si>
  <si>
    <t>SLB y Repsol equipan viveros para reforestar con más de 33 mil plantas de Mangle Rojo en Wanha'</t>
  </si>
  <si>
    <t>El Laboratorio de Manglares Interiores de la Universidad Juárez Autónoma de Tabasco (UJAT) con apoyo de la empresa SLB y la compañía energética Repsol.</t>
  </si>
  <si>
    <t>SLB and Repsol equip nurseries to reforest with more than 33 thousand Red Mangrove plants in Wanha'</t>
  </si>
  <si>
    <t>The Inland Mangrove Laboratory of the Juárez Autonomous University of Tabasco (UJAT) with support from the company SLB and the energy company Repsol.</t>
  </si>
  <si>
    <t>Repsol, reforestation, Mangrove plants</t>
  </si>
  <si>
    <t>Repsol, reforestación, Plantas de manglares</t>
  </si>
  <si>
    <t>Strongly positive sentiment, promoting ecological conservation.</t>
  </si>
  <si>
    <t>reforestar</t>
  </si>
  <si>
    <r>
      <rPr>
        <rFont val="Arial, sans-serif"/>
        <color rgb="FF1155CC"/>
        <sz val="9.0"/>
        <u/>
      </rPr>
      <t>Cinco Días</t>
    </r>
    <r>
      <rPr>
        <rFont val="Arial, sans-serif"/>
        <color rgb="FF1155CC"/>
        <sz val="15.0"/>
        <u/>
      </rPr>
      <t>Goldman Sachs eleva a más de 2.500 millones las ventas que Repsol ejecutará el próximo año</t>
    </r>
    <r>
      <rPr>
        <rFont val="Arial, sans-serif"/>
        <color rgb="FF1155CC"/>
        <sz val="11.0"/>
        <u/>
      </rPr>
      <t>Los analistas de Goldman Sachs otorgan un alto potencial a Repsol por su capacidad para hacer desinversiones y rotar activos en 2025. Según un informe del...</t>
    </r>
    <r>
      <rPr>
        <rFont val="Arial, sans-serif"/>
        <color rgb="FF1155CC"/>
        <sz val="12.0"/>
        <u/>
      </rPr>
      <t>.</t>
    </r>
    <r>
      <rPr>
        <rFont val="Arial, sans-serif"/>
        <color rgb="FF1155CC"/>
        <sz val="11.0"/>
        <u/>
      </rPr>
      <t>12 dic 2024</t>
    </r>
  </si>
  <si>
    <t>Goldman Sachs eleva a más de 2.500 millones las ventas que Repsol ejecutará el próximo año</t>
  </si>
  <si>
    <t>Los analistas de Goldman Sachs otorgan un alto potencial a Repsol por su capacidad para hacer desinversiones y rotar activos en 2025. Según un informe del....</t>
  </si>
  <si>
    <t>Goldman Sachs raises the sales that Repsol will execute next year to more than 2.5 billion</t>
  </si>
  <si>
    <t>Goldman Sachs analysts give high potential to Repsol for its ability to make divestments and rotate assets in 2025. According to a report by...</t>
  </si>
  <si>
    <t>Repsol, Goldman Sachs, sales</t>
  </si>
  <si>
    <t>Repsol, Goldman Sachs, ventas</t>
  </si>
  <si>
    <t>Positive sentiment, signaling strong financial projections.</t>
  </si>
  <si>
    <t>eleva, "ventas"</t>
  </si>
  <si>
    <r>
      <rPr>
        <rFont val="Arial, sans-serif"/>
        <color rgb="FF1155CC"/>
        <sz val="9.0"/>
        <u/>
      </rPr>
      <t>Economía Digital</t>
    </r>
    <r>
      <rPr>
        <rFont val="Arial, sans-serif"/>
        <color rgb="FF1155CC"/>
        <sz val="15.0"/>
        <u/>
      </rPr>
      <t>Repsol da hasta 150 euros para repostajes a los afectados por la DANA</t>
    </r>
    <r>
      <rPr>
        <rFont val="Arial, sans-serif"/>
        <color rgb="FF1155CC"/>
        <sz val="11.0"/>
        <u/>
      </rPr>
      <t>Repsol también ofrece la misma cantidad para las recargas eléctricas de aquellos que han repuesto sus coches afectados por el temporal.</t>
    </r>
    <r>
      <rPr>
        <rFont val="Arial, sans-serif"/>
        <color rgb="FF1155CC"/>
        <sz val="12.0"/>
        <u/>
      </rPr>
      <t>.</t>
    </r>
    <r>
      <rPr>
        <rFont val="Arial, sans-serif"/>
        <color rgb="FF1155CC"/>
        <sz val="11.0"/>
        <u/>
      </rPr>
      <t>12 dic 2024</t>
    </r>
  </si>
  <si>
    <t>Repsol da hasta 150 euros para repostajes a los afectados por la DANA</t>
  </si>
  <si>
    <t>Repsol da hasta 150 euros para repostajes a los afectados por la DANA. Repsol también ofrece la misma cantidad para las recargas eléctricas de aquellos que han repuesto sus coches afectados por el temporal.</t>
  </si>
  <si>
    <t>Repsol gives up to 150 euros for refueling to those affected by DANA</t>
  </si>
  <si>
    <t>Repsol gives up to 150 euros for refueling to those affected by DANA. Repsol also offers the same amount for electric recharges for those who have replaced their cars affected by the storm.</t>
  </si>
  <si>
    <t>Repsol, DANA, fuel support</t>
  </si>
  <si>
    <t>Repsol, DANA, apoyo al combustible</t>
  </si>
  <si>
    <t>Positive sentiment, emphasizing corporate social responsibility.</t>
  </si>
  <si>
    <t>da hasta 150 euros</t>
  </si>
  <si>
    <t>Positive corporate social responsibility.</t>
  </si>
  <si>
    <t>Responsabilidad social corporativa positiva.</t>
  </si>
  <si>
    <r>
      <rPr>
        <rFont val="Arial, sans-serif"/>
        <color rgb="FF1155CC"/>
        <sz val="9.0"/>
        <u/>
      </rPr>
      <t>Las Provincias</t>
    </r>
    <r>
      <rPr>
        <rFont val="Arial, sans-serif"/>
        <color rgb="FF1155CC"/>
        <sz val="15.0"/>
        <u/>
      </rPr>
      <t>Repsol entrega 150 euros en carburante a los afectados por la DANA</t>
    </r>
    <r>
      <rPr>
        <rFont val="Arial, sans-serif"/>
        <color rgb="FF1155CC"/>
        <sz val="11.0"/>
        <u/>
      </rPr>
      <t>Los damnificados por las inundaciones que hayan tenido que comprar otro vehículo podrán obtener este descuento desde el miércoles 11 de diciembre hasta el...</t>
    </r>
    <r>
      <rPr>
        <rFont val="Arial, sans-serif"/>
        <color rgb="FF1155CC"/>
        <sz val="12.0"/>
        <u/>
      </rPr>
      <t>.</t>
    </r>
    <r>
      <rPr>
        <rFont val="Arial, sans-serif"/>
        <color rgb="FF1155CC"/>
        <sz val="11.0"/>
        <u/>
      </rPr>
      <t>12 dic 2024</t>
    </r>
  </si>
  <si>
    <t>Repsol entrega 150 euros en carburante a los afectados por la DANA</t>
  </si>
  <si>
    <t>Los damnificados por las inundaciones que hayan tenido que comprar otro vehículo podrán obtener este descuento desde el miércoles 11 de diciembre hasta el....</t>
  </si>
  <si>
    <t>Repsol delivers 150 euros in fuel to those affected by DANA</t>
  </si>
  <si>
    <t>Those affected by the floods who have had to buy another vehicle will be able to obtain this discount from Wednesday, December 11 until...</t>
  </si>
  <si>
    <t>Repsol, DANA, fuel</t>
  </si>
  <si>
    <t>Repsol, DANA, combustible</t>
  </si>
  <si>
    <t>Positive sentiment, showing corporate aid for disaster relief.</t>
  </si>
  <si>
    <t>entrega 150 euros</t>
  </si>
  <si>
    <r>
      <rPr>
        <rFont val="Arial, sans-serif"/>
        <color rgb="FF1155CC"/>
        <sz val="9.0"/>
        <u/>
      </rPr>
      <t>Guía Repsol</t>
    </r>
    <r>
      <rPr>
        <rFont val="Arial, sans-serif"/>
        <color rgb="FF1155CC"/>
        <sz val="15.0"/>
        <u/>
      </rPr>
      <t>Ruta por la Ribeira Sacra ourensana</t>
    </r>
    <r>
      <rPr>
        <rFont val="Arial, sans-serif"/>
        <color rgb="FF1155CC"/>
        <sz val="11.0"/>
        <u/>
      </rPr>
      <t>Si tienes una cuenta en cualquiera de ellas, tienes una cuenta única de Repsol. Así, podrás acceder a todas con el mismo correo electrónico y contraseña.</t>
    </r>
    <r>
      <rPr>
        <rFont val="Arial, sans-serif"/>
        <color rgb="FF1155CC"/>
        <sz val="12.0"/>
        <u/>
      </rPr>
      <t>.</t>
    </r>
    <r>
      <rPr>
        <rFont val="Arial, sans-serif"/>
        <color rgb="FF1155CC"/>
        <sz val="11.0"/>
        <u/>
      </rPr>
      <t>12 dic 2024</t>
    </r>
  </si>
  <si>
    <t>Ruta por la Ribeira Sacra ourensana</t>
  </si>
  <si>
    <t>Route through the Ribeira Sacra of Ourense</t>
  </si>
  <si>
    <r>
      <rPr>
        <rFont val="Arial, sans-serif"/>
        <color rgb="FF1155CC"/>
        <sz val="9.0"/>
        <u/>
      </rPr>
      <t>El Español</t>
    </r>
    <r>
      <rPr>
        <rFont val="Arial, sans-serif"/>
        <color rgb="FF1155CC"/>
        <sz val="15.0"/>
        <u/>
      </rPr>
      <t>El restaurante de Majadahonda recomendado por la Guía Repsol con un menú de 17€: "Hacemos casi de psicólogos"</t>
    </r>
    <r>
      <rPr>
        <rFont val="Arial, sans-serif"/>
        <color rgb="FF1155CC"/>
        <sz val="11.0"/>
        <u/>
      </rPr>
      <t>Hace sólo unos días que El Toque ha sido uno de los ganadores de la primera edición de los Premios Lito a la excelencia en el servicio de sala en Madrid.</t>
    </r>
    <r>
      <rPr>
        <rFont val="Arial, sans-serif"/>
        <color rgb="FF1155CC"/>
        <sz val="12.0"/>
        <u/>
      </rPr>
      <t>.</t>
    </r>
    <r>
      <rPr>
        <rFont val="Arial, sans-serif"/>
        <color rgb="FF1155CC"/>
        <sz val="11.0"/>
        <u/>
      </rPr>
      <t>12 dic 2024</t>
    </r>
  </si>
  <si>
    <t>El restaurante de Majadahonda recomendado por la Guía Repsol con un menú de 17€: "Hacemos casi de psicólogos"</t>
  </si>
  <si>
    <t>"Hacemos casi de psicólogos"</t>
  </si>
  <si>
    <t>The Majadahonda restaurant recommended by the Repsol Guide with a €17 menu: "We almost act as psychologists"</t>
  </si>
  <si>
    <t>We almost act as psychologists</t>
  </si>
  <si>
    <r>
      <rPr>
        <rFont val="Arial, sans-serif"/>
        <color rgb="FF1155CC"/>
        <sz val="9.0"/>
        <u/>
      </rPr>
      <t>www.fundacionrepsol.com</t>
    </r>
    <r>
      <rPr>
        <rFont val="Arial, sans-serif"/>
        <color rgb="FF1155CC"/>
        <sz val="15.0"/>
        <u/>
      </rPr>
      <t>Finaliza la primera edición de Futuro Verde em Ação en Portugal</t>
    </r>
    <r>
      <rPr>
        <rFont val="Arial, sans-serif"/>
        <color rgb="FF1155CC"/>
        <sz val="11.0"/>
        <u/>
      </rPr>
      <t>Los dos proyectos seleccionados han sido "Encosta + Verde" y "Ao reciclar pode plantar". El Proyecto Futuro Verde em Açao impulsado por Fundación Repsol y...</t>
    </r>
    <r>
      <rPr>
        <rFont val="Arial, sans-serif"/>
        <color rgb="FF1155CC"/>
        <sz val="12.0"/>
        <u/>
      </rPr>
      <t>.</t>
    </r>
    <r>
      <rPr>
        <rFont val="Arial, sans-serif"/>
        <color rgb="FF1155CC"/>
        <sz val="11.0"/>
        <u/>
      </rPr>
      <t>12 dic 2024</t>
    </r>
  </si>
  <si>
    <t>Finaliza la primera edición de Futuro Verde em Ação en Portugal</t>
  </si>
  <si>
    <t>Los dos proyectos seleccionados han sido "Encosta + Verde" y "Ao reciclar pode plantar". El Proyecto Futuro Verde em Açao impulsado por Fundación Repsol y....</t>
  </si>
  <si>
    <t>The first edition of Futuro Verde em Ação ends in Portugal</t>
  </si>
  <si>
    <t>The two selected projects have been "Encosta + Verde" and "Ao reciclar pode plantar". The Green Future in Açao Project promoted by the Repsol Foundation and....</t>
  </si>
  <si>
    <r>
      <rPr>
        <rFont val="Arial, sans-serif"/>
        <color rgb="FF1155CC"/>
        <sz val="9.0"/>
        <u/>
      </rPr>
      <t>Merca2.es</t>
    </r>
    <r>
      <rPr>
        <rFont val="Arial, sans-serif"/>
        <color rgb="FF1155CC"/>
        <sz val="15.0"/>
        <u/>
      </rPr>
      <t>Los Cromos de Repsol, una nueva forma de acceder a premios exclusivos</t>
    </r>
    <r>
      <rPr>
        <rFont val="Arial, sans-serif"/>
        <color rgb="FF1155CC"/>
        <sz val="11.0"/>
        <u/>
      </rPr>
      <t>Los usuarios registrados en la app Guía Repsol van a contar con toda una nueva gama de experiencias: los 'Cromos'. A través de este modelo, los.</t>
    </r>
    <r>
      <rPr>
        <rFont val="Arial, sans-serif"/>
        <color rgb="FF1155CC"/>
        <sz val="12.0"/>
        <u/>
      </rPr>
      <t>.</t>
    </r>
    <r>
      <rPr>
        <rFont val="Arial, sans-serif"/>
        <color rgb="FF1155CC"/>
        <sz val="11.0"/>
        <u/>
      </rPr>
      <t>12 dic 2024</t>
    </r>
  </si>
  <si>
    <t>Los Cromos de Repsol, una nueva forma de acceder a premios exclusivos</t>
  </si>
  <si>
    <t>Los usuarios registrados en la app Guía Repsol van a contar con toda una nueva gama de experiencias: los 'Cromos'. A través de este modelo, los..</t>
  </si>
  <si>
    <t>Repsol Trading Cards, a new way to access exclusive prizes</t>
  </si>
  <si>
    <t>Users registered in the Repsol Guide app will have a whole new range of experiences: 'Cromos'. Through this model, the...</t>
  </si>
  <si>
    <r>
      <rPr>
        <rFont val="Arial, sans-serif"/>
        <color rgb="FF1155CC"/>
        <sz val="9.0"/>
        <u/>
      </rPr>
      <t>El Cronista</t>
    </r>
    <r>
      <rPr>
        <rFont val="Arial, sans-serif"/>
        <color rgb="FF1155CC"/>
        <sz val="15.0"/>
        <u/>
      </rPr>
      <t>Repsol: a cuánto cotiza HOY jueves 12 de diciembre y cuánto rinden los dividendos</t>
    </r>
    <r>
      <rPr>
        <rFont val="Arial, sans-serif"/>
        <color rgb="FF1155CC"/>
        <sz val="11.0"/>
        <u/>
      </rPr>
      <t>Este jueves, 12 de diciembre de 2024, la cotización del Repsol (REP) ha cerrado a 11,36 euros en el IBEX 35. Dicha cifra refleja un cambio de 0,66% respecto...</t>
    </r>
    <r>
      <rPr>
        <rFont val="Arial, sans-serif"/>
        <color rgb="FF1155CC"/>
        <sz val="12.0"/>
        <u/>
      </rPr>
      <t>.</t>
    </r>
    <r>
      <rPr>
        <rFont val="Arial, sans-serif"/>
        <color rgb="FF1155CC"/>
        <sz val="11.0"/>
        <u/>
      </rPr>
      <t>12 dic 2024</t>
    </r>
  </si>
  <si>
    <t>Repsol: a cuánto cotiza HOY jueves 12 de diciembre y cuánto rinden los dividendos</t>
  </si>
  <si>
    <t>La cotización del Repsol (REP) ha cerrado a 11,36 euros en el IBEX 35. Dicha cifra refleja un cambio de 0,66% respecto....</t>
  </si>
  <si>
    <t>Repsol: how much it is trading at TODAY, Thursday, December 12, and how much the dividends yield</t>
  </si>
  <si>
    <t>The price of Repsol (REP) closed at 11.36 euros on the IBEX 35. This figure reflects a change of 0.66% with respect to...</t>
  </si>
  <si>
    <t>Neutral sentiment, reporting financial performance.</t>
  </si>
  <si>
    <r>
      <rPr>
        <rFont val="Arial, sans-serif"/>
        <color rgb="FF1155CC"/>
        <sz val="9.0"/>
        <u/>
      </rPr>
      <t>Diario Red</t>
    </r>
    <r>
      <rPr>
        <rFont val="Arial, sans-serif"/>
        <color rgb="FF1155CC"/>
        <sz val="15.0"/>
        <u/>
      </rPr>
      <t>Ione Belarra: "Parece que Josu Jon Imaz, CEO de Repsol, no le deja a Aitor Esteban ir a la reunión de negociación del impuesto a las energéticas"</t>
    </r>
    <r>
      <rPr>
        <rFont val="Arial, sans-serif"/>
        <color rgb="FF1155CC"/>
        <sz val="11.0"/>
        <u/>
      </rPr>
      <t>La líder de Podemos reitera que el apoyo de su formación a los Presupuestos Generales del Estado está condicionado a mantener el impuesto a las energéticas.</t>
    </r>
    <r>
      <rPr>
        <rFont val="Arial, sans-serif"/>
        <color rgb="FF1155CC"/>
        <sz val="12.0"/>
        <u/>
      </rPr>
      <t>.</t>
    </r>
    <r>
      <rPr>
        <rFont val="Arial, sans-serif"/>
        <color rgb="FF1155CC"/>
        <sz val="11.0"/>
        <u/>
      </rPr>
      <t>12 dic 2024</t>
    </r>
  </si>
  <si>
    <t>Parece que Josu Jon Imaz, CEO de Repsol, no le deja a Aitor Esteban ir a la reunión de negociación del impuesto a las energéticas.</t>
  </si>
  <si>
    <t>La líder de Podemos reitera que el apoyo de su formación a los Presupuestos Generales del Estado está condicionado a mantener el impuesto a las energéticas.</t>
  </si>
  <si>
    <t>It seems that Josu Jon Imaz, CEO of Repsol, is not letting Aitor Esteban go to the negotiation meeting for the tax on energy companies.</t>
  </si>
  <si>
    <t>The Podemos leader reiterates that her party's support for the General State Budget is conditional on maintaining the tax on energy companies.</t>
  </si>
  <si>
    <t>Josu Jon Imaz, Aitor Esteban, energy tax</t>
  </si>
  <si>
    <t>Josu Jon Imaz, Aitor Esteban, impuesto energético</t>
  </si>
  <si>
    <t>Negative sentiment, indicating political disputes.</t>
  </si>
  <si>
    <r>
      <rPr>
        <rFont val="Arial, sans-serif"/>
        <color rgb="FF1155CC"/>
        <sz val="9.0"/>
        <u/>
      </rPr>
      <t>Guía Repsol</t>
    </r>
    <r>
      <rPr>
        <rFont val="Arial, sans-serif"/>
        <color rgb="FF1155CC"/>
        <sz val="15.0"/>
        <u/>
      </rPr>
      <t>7 productos de Granada: quesos, vinos, embutidos y algún dulce</t>
    </r>
    <r>
      <rPr>
        <rFont val="Arial, sans-serif"/>
        <color rgb="FF1155CC"/>
        <sz val="11.0"/>
        <u/>
      </rPr>
      <t>La gastronomía granadina es el resultado de siglos de historia. De esa enriquecedora mezcla sale una despensa llena de productos deliciosos.</t>
    </r>
    <r>
      <rPr>
        <rFont val="Arial, sans-serif"/>
        <color rgb="FF1155CC"/>
        <sz val="12.0"/>
        <u/>
      </rPr>
      <t>.</t>
    </r>
    <r>
      <rPr>
        <rFont val="Arial, sans-serif"/>
        <color rgb="FF1155CC"/>
        <sz val="11.0"/>
        <u/>
      </rPr>
      <t>12 dic 2024</t>
    </r>
  </si>
  <si>
    <t>7 productos de Granada: quesos, vinos, embutidos y algún dulce</t>
  </si>
  <si>
    <t>La gastronomía granadina es el resultado de siglos de historia. De esa enriquecedora mezcla sale una despensa llena de productos deliciosos.</t>
  </si>
  <si>
    <t>7 products from Granada: cheeses, wines, sausages and some sweets</t>
  </si>
  <si>
    <t>Granada gastronomy is the result of centuries of history. From that enriching mix comes a pantry full of delicious products.</t>
  </si>
  <si>
    <r>
      <rPr>
        <rFont val="Arial, sans-serif"/>
        <color rgb="FF1155CC"/>
        <sz val="9.0"/>
        <u/>
      </rPr>
      <t>Libertad Digital</t>
    </r>
    <r>
      <rPr>
        <rFont val="Arial, sans-serif"/>
        <color rgb="FF1155CC"/>
        <sz val="15.0"/>
        <u/>
      </rPr>
      <t>El PSOE intenta ganar tiempo repitiendo acuerdo con Podemos para el impuesto energético pese a estar abocado al fracaso</t>
    </r>
    <r>
      <rPr>
        <rFont val="Arial, sans-serif"/>
        <color rgb="FF1155CC"/>
        <sz val="11.0"/>
        <u/>
      </rPr>
      <t>Habrían pactado aprobar un Real Decreto Ley para prorrogar el tributo volviendo así al escenario que se vivió en la caótica comisión de Hacienda.</t>
    </r>
    <r>
      <rPr>
        <rFont val="Arial, sans-serif"/>
        <color rgb="FF1155CC"/>
        <sz val="12.0"/>
        <u/>
      </rPr>
      <t>.</t>
    </r>
    <r>
      <rPr>
        <rFont val="Arial, sans-serif"/>
        <color rgb="FF1155CC"/>
        <sz val="11.0"/>
        <u/>
      </rPr>
      <t>12 dic 2024</t>
    </r>
  </si>
  <si>
    <t>El PSOE intenta ganar tiempo repitiendo acuerdo con Podemos para el impuesto energético pese a estar abocado al fracaso</t>
  </si>
  <si>
    <t>Habrían pactado aprobar un Real Decreto Ley para prorrogar el tributo volviendo así al escenario que se vivió en la caótica comisión de Hacienda.</t>
  </si>
  <si>
    <t>The PSOE tries to buy time by repeating the agreement with Podemos for the energy tax despite being doomed to failure</t>
  </si>
  <si>
    <t>They would have agreed to approve a Royal Decree Law to extend the tax, thus returning to the scenario that occurred in the chaotic Treasury commission.</t>
  </si>
  <si>
    <t>PSOE, Podemos, energy tax</t>
  </si>
  <si>
    <t>PSOE, Podemos, impuesto energético</t>
  </si>
  <si>
    <t>Negative sentiment, emphasizing political instability.</t>
  </si>
  <si>
    <r>
      <rPr>
        <rFont val="Arial, sans-serif"/>
        <color rgb="FF1155CC"/>
        <sz val="9.0"/>
        <u/>
      </rPr>
      <t>360 Radio</t>
    </r>
    <r>
      <rPr>
        <rFont val="Arial, sans-serif"/>
        <color rgb="FF1155CC"/>
        <sz val="15.0"/>
        <u/>
      </rPr>
      <t>Ecopetrol confirma su interés en activos estratégicos de Repsol en la Cuenca de los Llanos</t>
    </r>
    <r>
      <rPr>
        <rFont val="Arial, sans-serif"/>
        <color rgb="FF1155CC"/>
        <sz val="11.0"/>
        <u/>
      </rPr>
      <t>A lo largo de 2024, Repsol inició un proceso de rotación de activos dentro de su portafolio de exploración y producción (E&amp;P) a nivel global, como parte de...</t>
    </r>
    <r>
      <rPr>
        <rFont val="Arial, sans-serif"/>
        <color rgb="FF1155CC"/>
        <sz val="12.0"/>
        <u/>
      </rPr>
      <t>.</t>
    </r>
    <r>
      <rPr>
        <rFont val="Arial, sans-serif"/>
        <color rgb="FF1155CC"/>
        <sz val="11.0"/>
        <u/>
      </rPr>
      <t>12 dic 2024</t>
    </r>
  </si>
  <si>
    <t>Ecopetrol confirma su interés en activos estratégicos de Repsol en la Cuenca de los Llanos</t>
  </si>
  <si>
    <t>A lo largo de 2024, Repsol inició un proceso de rotación de activos dentro de su portafolio de exploración y producción (E&amp;P) a nivel global, como parte de....</t>
  </si>
  <si>
    <t>Ecopetrol confirms its interest in Repsol's strategic assets in the Llanos Basin</t>
  </si>
  <si>
    <t>Throughout 2024, Repsol began a process of asset rotation within its global exploration and production (E&amp;P) portfolio, as part of...</t>
  </si>
  <si>
    <t>Ecopetrol, Repsol, Llanos Basin</t>
  </si>
  <si>
    <t>Ecopetrol, Repsol, Cuenca de los Llanos</t>
  </si>
  <si>
    <t>Positive sentiment, discussing strategic business movements.</t>
  </si>
  <si>
    <t>interés en activos</t>
  </si>
  <si>
    <t>Neutral-negative business tension.</t>
  </si>
  <si>
    <t>Tensión empresarial neutral-negativa.</t>
  </si>
  <si>
    <r>
      <rPr>
        <rFont val="Arial, sans-serif"/>
        <color rgb="FF1155CC"/>
        <sz val="9.0"/>
        <u/>
      </rPr>
      <t>Economía Digital</t>
    </r>
    <r>
      <rPr>
        <rFont val="Arial, sans-serif"/>
        <color rgb="FF1155CC"/>
        <sz val="15.0"/>
        <u/>
      </rPr>
      <t>Navantia vuelve a ser el primer cliente de Amper y aporta el 62% de los ingresos con Endesa y Repsol</t>
    </r>
    <r>
      <rPr>
        <rFont val="Arial, sans-serif"/>
        <color rgb="FF1155CC"/>
        <sz val="11.0"/>
        <u/>
      </rPr>
      <t>Las tres compañías, Navantia, Endesa y Repsol, llevan siendo los principales clientes de Amper durante los últimos tres años y aportaron unos 125 millones...</t>
    </r>
    <r>
      <rPr>
        <rFont val="Arial, sans-serif"/>
        <color rgb="FF1155CC"/>
        <sz val="12.0"/>
        <u/>
      </rPr>
      <t>.</t>
    </r>
    <r>
      <rPr>
        <rFont val="Arial, sans-serif"/>
        <color rgb="FF1155CC"/>
        <sz val="11.0"/>
        <u/>
      </rPr>
      <t>12 dic 2024</t>
    </r>
  </si>
  <si>
    <t>Navantia vuelve a ser el primer cliente de Amper y aporta el 62% de los ingresos con Endesa y Repsol</t>
  </si>
  <si>
    <t>Las tres compañías, Navantia, Endesa y Repsol, llevan siendo los principales clientes de Amper durante los últimos tres años y aportaron unos 125 millones....</t>
  </si>
  <si>
    <t>Navantia is once again Amper's first client and contributes 62% of the income with Endesa and Repsol</t>
  </si>
  <si>
    <t>The three companies, Navantia, Endesa and Repsol, have been Amper's main clients for the last three years and contributed around 125 million....</t>
  </si>
  <si>
    <t>Navantia, Repsol, Amper</t>
  </si>
  <si>
    <t>Positive sentiment, showcasing strong business relationships.</t>
  </si>
  <si>
    <r>
      <rPr>
        <rFont val="Arial, sans-serif"/>
        <color rgb="FF1155CC"/>
        <sz val="9.0"/>
        <u/>
      </rPr>
      <t>Guía Repsol</t>
    </r>
    <r>
      <rPr>
        <rFont val="Arial, sans-serif"/>
        <color rgb="FF1155CC"/>
        <sz val="15.0"/>
        <u/>
      </rPr>
      <t>Empanadicos de Calabaza de la panaderia Ferrando, Siétamo: elaboración tradicional y receta</t>
    </r>
    <r>
      <rPr>
        <rFont val="Arial, sans-serif"/>
        <color rgb="FF1155CC"/>
        <sz val="11.0"/>
        <u/>
      </rPr>
      <t>Este dulce marca la llegada de la Navidad en Huesca. Desde la panadería Ferrando, en Siétamo, nos cuentan todo sobre su elaboración.</t>
    </r>
    <r>
      <rPr>
        <rFont val="Arial, sans-serif"/>
        <color rgb="FF1155CC"/>
        <sz val="12.0"/>
        <u/>
      </rPr>
      <t>.</t>
    </r>
    <r>
      <rPr>
        <rFont val="Arial, sans-serif"/>
        <color rgb="FF1155CC"/>
        <sz val="11.0"/>
        <u/>
      </rPr>
      <t>12 dic 2024</t>
    </r>
  </si>
  <si>
    <t>Empanadicos de Calabaza de la panadería Ferrando, Siétamo: elaboración tradicional y receta</t>
  </si>
  <si>
    <t>Este dulce marca la llegada de la Navidad en Huesca. Desde la panadería Ferrando, en Siétamo, nos cuentan todo sobre su elaboración.</t>
  </si>
  <si>
    <t>Pumpkin Empanadas from the Ferrando bakery, Siétamo: traditional preparation and recipe</t>
  </si>
  <si>
    <t>This sweet marks the arrival of Christmas in Huesca. From the Ferrando bakery, in Siétamo, they tell us everything about its preparation.</t>
  </si>
  <si>
    <r>
      <rPr>
        <rFont val="Arial, sans-serif"/>
        <color rgb="FF1155CC"/>
        <sz val="9.0"/>
        <u/>
      </rPr>
      <t>Guía Repsol</t>
    </r>
    <r>
      <rPr>
        <rFont val="Arial, sans-serif"/>
        <color rgb="FF1155CC"/>
        <sz val="15.0"/>
        <u/>
      </rPr>
      <t>¿Qué es el premio Sol Sostenible Guía Repsol?</t>
    </r>
    <r>
      <rPr>
        <rFont val="Arial, sans-serif"/>
        <color rgb="FF1155CC"/>
        <sz val="11.0"/>
        <u/>
      </rPr>
      <t>El premio Sol Sostenible es un reconocimiento al esfuerzo y compromiso de los restaurantes con la sostenibilidad, en los ámbitos del cambio climático y...</t>
    </r>
    <r>
      <rPr>
        <rFont val="Arial, sans-serif"/>
        <color rgb="FF1155CC"/>
        <sz val="12.0"/>
        <u/>
      </rPr>
      <t>.</t>
    </r>
    <r>
      <rPr>
        <rFont val="Arial, sans-serif"/>
        <color rgb="FF1155CC"/>
        <sz val="11.0"/>
        <u/>
      </rPr>
      <t>13 dic 2024</t>
    </r>
  </si>
  <si>
    <t>¿Qué es el premio Sol Sostenible Guía Repsol?</t>
  </si>
  <si>
    <t>El premio Sol Sostenible es un reconocimiento al esfuerzo y compromiso de los restaurantes con la sostenibilidad, en los ámbitos del cambio climático y....</t>
  </si>
  <si>
    <t>What is the Repsol Guide Sustainable Sun award?</t>
  </si>
  <si>
    <t>The Sol Sostenible award is a recognition of the efforts and commitment of restaurants to sustainability, in the areas of climate change and....</t>
  </si>
  <si>
    <r>
      <rPr>
        <rFont val="Arial, sans-serif"/>
        <color rgb="FF1155CC"/>
        <sz val="9.0"/>
        <u/>
      </rPr>
      <t>heraldo.es</t>
    </r>
    <r>
      <rPr>
        <rFont val="Arial, sans-serif"/>
        <color rgb="FF1155CC"/>
        <sz val="15.0"/>
        <u/>
      </rPr>
      <t>Repsol impulsa un gran centro de datos junto a su central de ciclo combinado de Escatrón</t>
    </r>
    <r>
      <rPr>
        <rFont val="Arial, sans-serif"/>
        <color rgb="FF1155CC"/>
        <sz val="11.0"/>
        <u/>
      </rPr>
      <t>Solicita 402 megavatios de potencia, un tercio de la autorizada a los de AWS. El milmillonario proyecto incluye la hibridación de renovables, que igualaría...</t>
    </r>
    <r>
      <rPr>
        <rFont val="Arial, sans-serif"/>
        <color rgb="FF1155CC"/>
        <sz val="12.0"/>
        <u/>
      </rPr>
      <t>.</t>
    </r>
    <r>
      <rPr>
        <rFont val="Arial, sans-serif"/>
        <color rgb="FF1155CC"/>
        <sz val="11.0"/>
        <u/>
      </rPr>
      <t>13 dic 2024</t>
    </r>
  </si>
  <si>
    <t>Repsol impulsa un gran centro de datos junto a su central de ciclo combinado de Escatrón</t>
  </si>
  <si>
    <t>Repsol impulsa un gran centro de datos junto a su central de ciclo combinado de Escatrón. Solicita 402 megavatios de potencia, un tercio de la autorizada a los de AWS. El milmillonario proyecto incluye la hibridación de renovables, que igualaría....</t>
  </si>
  <si>
    <t>Repsol promotes a large data center next to its Escatrón combined cycle plant</t>
  </si>
  <si>
    <t>Repsol promotes a large data center next to its Escatrón combined cycle plant. It requests 402 megawatts of power, a third of that authorized to AWS. The billion-dollar project includes the hybridization of renewables, which would equal...</t>
  </si>
  <si>
    <t>Repsol, data center, Escatrón, renewables</t>
  </si>
  <si>
    <t>Repsol, centro de datos, Escatrón, renovables</t>
  </si>
  <si>
    <t>Positive sentiment, highlighting innovation and investment.</t>
  </si>
  <si>
    <t>impulsa un gran centro de datos</t>
  </si>
  <si>
    <t>Positive infrastructure investment.</t>
  </si>
  <si>
    <t>Inversión positiva en infraestructura.</t>
  </si>
  <si>
    <r>
      <rPr>
        <rFont val="Arial, sans-serif"/>
        <color rgb="FF1155CC"/>
        <sz val="9.0"/>
        <u/>
      </rPr>
      <t>Guía Repsol</t>
    </r>
    <r>
      <rPr>
        <rFont val="Arial, sans-serif"/>
        <color rgb="FF1155CC"/>
        <sz val="15.0"/>
        <u/>
      </rPr>
      <t>La cocina española deslumbra en Cartagena</t>
    </r>
    <r>
      <rPr>
        <rFont val="Arial, sans-serif"/>
        <color rgb="FF1155CC"/>
        <sz val="11.0"/>
        <u/>
      </rPr>
      <t>Rodeados de una colorida huerta murciana, homenaje al esplendor de los vegetales de esta región, los casi un centenar de cocineros premiados “cosecharon” s.</t>
    </r>
    <r>
      <rPr>
        <rFont val="Arial, sans-serif"/>
        <color rgb="FF1155CC"/>
        <sz val="12.0"/>
        <u/>
      </rPr>
      <t>.</t>
    </r>
    <r>
      <rPr>
        <rFont val="Arial, sans-serif"/>
        <color rgb="FF1155CC"/>
        <sz val="11.0"/>
        <u/>
      </rPr>
      <t>13 dic 2024</t>
    </r>
  </si>
  <si>
    <t>La cocina española deslumbra en Cartagena</t>
  </si>
  <si>
    <t>Rodeados de una colorida huerta murciana, homenaje al esplendor de los vegetales de esta región, los casi un centenar de cocineros premiados “cosecharon” s.</t>
  </si>
  <si>
    <t>Spanish cuisine dazzles in Cartagena</t>
  </si>
  <si>
    <t>Surrounded by a colorful Murcian garden, a tribute to the splendor of the vegetables of this region, the almost a hundred award-winning chefs “harvested” s.</t>
  </si>
  <si>
    <r>
      <rPr>
        <rFont val="Arial, sans-serif"/>
        <color rgb="FF1155CC"/>
        <sz val="9.0"/>
        <u/>
      </rPr>
      <t>Guía Repsol</t>
    </r>
    <r>
      <rPr>
        <rFont val="Arial, sans-serif"/>
        <color rgb="FF1155CC"/>
        <sz val="15.0"/>
        <u/>
      </rPr>
      <t>Guía Repsol y Aenor crean el certificado "Cocina eficiente y sostenible"</t>
    </r>
    <r>
      <rPr>
        <rFont val="Arial, sans-serif"/>
        <color rgb="FF1155CC"/>
        <sz val="11.0"/>
        <u/>
      </rPr>
      <t>Callejeros, mapas, carreteras, rutas, itinerarios o restaurantes en Guia Repsol. Todo lo necesario para planificar tus viajes: callejero de ciudad,...</t>
    </r>
    <r>
      <rPr>
        <rFont val="Arial, sans-serif"/>
        <color rgb="FF1155CC"/>
        <sz val="12.0"/>
        <u/>
      </rPr>
      <t>.</t>
    </r>
    <r>
      <rPr>
        <rFont val="Arial, sans-serif"/>
        <color rgb="FF1155CC"/>
        <sz val="11.0"/>
        <u/>
      </rPr>
      <t>13 dic 2024</t>
    </r>
  </si>
  <si>
    <t>Guía Repsol y Aenor crean el certificado "Cocina eficiente y sostenible"</t>
  </si>
  <si>
    <t>Callejeros, mapas, carreteras, rutas, itinerarios o restaurantes en Guia Repsol. Todo lo necesario para planificar tus viajes: callejero de ciudad,....</t>
  </si>
  <si>
    <t>Repsol Guide and Aenor create the "Efficient and sustainable kitchen" certificate</t>
  </si>
  <si>
    <t>Street maps, maps, roads, routes, itineraries or restaurants in Guia Repsol. Everything you need to plan your trips: city street map,....</t>
  </si>
  <si>
    <r>
      <rPr>
        <rFont val="Arial, sans-serif"/>
        <color rgb="FF1155CC"/>
        <sz val="9.0"/>
        <u/>
      </rPr>
      <t>Guía Repsol</t>
    </r>
    <r>
      <rPr>
        <rFont val="Arial, sans-serif"/>
        <color rgb="FF1155CC"/>
        <sz val="15.0"/>
        <u/>
      </rPr>
      <t>Nuevos restaurantes un Sol Guía Repsol 2023</t>
    </r>
    <r>
      <rPr>
        <rFont val="Arial, sans-serif"/>
        <color rgb="FF1155CC"/>
        <sz val="11.0"/>
        <u/>
      </rPr>
      <t>La apuesta de cocineros que vuelven al pueblo dinamizando el entorno, la cocina que crepita envuelta en el humo de las brasas y el amor entre fogones son...</t>
    </r>
    <r>
      <rPr>
        <rFont val="Arial, sans-serif"/>
        <color rgb="FF1155CC"/>
        <sz val="12.0"/>
        <u/>
      </rPr>
      <t>.</t>
    </r>
    <r>
      <rPr>
        <rFont val="Arial, sans-serif"/>
        <color rgb="FF1155CC"/>
        <sz val="11.0"/>
        <u/>
      </rPr>
      <t>13 dic 2024</t>
    </r>
  </si>
  <si>
    <t>Nuevos restaurantes un Sol Guía Repsol 2023</t>
  </si>
  <si>
    <t>La apuesta de cocineros que vuelven al pueblo dinamizando el entorno, la cocina que crepita envuelta en el humo de las brasas y el amor entre fogones son....</t>
  </si>
  <si>
    <t>New un Sol restaurants Repsol Guide 2023</t>
  </si>
  <si>
    <t>The bet of chefs who return to the town energizing the environment, the kitchen that crackles wrapped in the smoke of the embers and the love between the stoves are...</t>
  </si>
  <si>
    <r>
      <rPr>
        <rFont val="Arial, sans-serif"/>
        <color rgb="FF1155CC"/>
        <sz val="9.0"/>
        <u/>
      </rPr>
      <t>Guía Repsol</t>
    </r>
    <r>
      <rPr>
        <rFont val="Arial, sans-serif"/>
        <color rgb="FF1155CC"/>
        <sz val="15.0"/>
        <u/>
      </rPr>
      <t>Nuevos restaurantes Un Sol Guía Repsol 2024</t>
    </r>
    <r>
      <rPr>
        <rFont val="Arial, sans-serif"/>
        <color rgb="FF1155CC"/>
        <sz val="11.0"/>
        <u/>
      </rPr>
      <t>Entre los nuevos 81 Un Sol Guía Repsol 2024 son muchos los cocineros y cocineras que han decidido volver al barrio, alejándose del centro de las ciudades.</t>
    </r>
    <r>
      <rPr>
        <rFont val="Arial, sans-serif"/>
        <color rgb="FF1155CC"/>
        <sz val="12.0"/>
        <u/>
      </rPr>
      <t>.</t>
    </r>
    <r>
      <rPr>
        <rFont val="Arial, sans-serif"/>
        <color rgb="FF1155CC"/>
        <sz val="11.0"/>
        <u/>
      </rPr>
      <t>13 dic 2024</t>
    </r>
  </si>
  <si>
    <t>Nuevos restaurantes Un Sol Guía Repsol 2024</t>
  </si>
  <si>
    <t>Entre los nuevos 81 Un Sol Guía Repsol 2024 son muchos los cocineros y cocineras que han decidido volver al barrio, alejándose del centro de las ciudades.</t>
  </si>
  <si>
    <t>New Un Sol restaurants Repsol Guide 2024</t>
  </si>
  <si>
    <t>Among the new 81 Un Sol Repsol Guide 2024 there are many chefs who have decided to return to the neighborhood, moving away from the city centers.</t>
  </si>
  <si>
    <r>
      <rPr>
        <rFont val="Arial, sans-serif"/>
        <color rgb="FF1155CC"/>
        <sz val="9.0"/>
        <u/>
      </rPr>
      <t>Guía Repsol</t>
    </r>
    <r>
      <rPr>
        <rFont val="Arial, sans-serif"/>
        <color rgb="FF1155CC"/>
        <sz val="15.0"/>
        <u/>
      </rPr>
      <t>Ruta de Soletes por Ibiza: dónde comer en la isla</t>
    </r>
    <r>
      <rPr>
        <rFont val="Arial, sans-serif"/>
        <color rgb="FF1155CC"/>
        <sz val="11.0"/>
        <u/>
      </rPr>
      <t>Ruta de Soletes por Ibiza: rincones paradisíacos, cocina tradicional y trato cercano. Te proponemos un Solete para cada momento del día.</t>
    </r>
    <r>
      <rPr>
        <rFont val="Arial, sans-serif"/>
        <color rgb="FF1155CC"/>
        <sz val="12.0"/>
        <u/>
      </rPr>
      <t>.</t>
    </r>
    <r>
      <rPr>
        <rFont val="Arial, sans-serif"/>
        <color rgb="FF1155CC"/>
        <sz val="11.0"/>
        <u/>
      </rPr>
      <t>13 dic 2024</t>
    </r>
  </si>
  <si>
    <t>Ruta de Soletes por Ibiza: dónde comer en la isla</t>
  </si>
  <si>
    <t>Ruta de Soletes por Ibiza: rincones paradisíacos, cocina tradicional y trato cercano. Te proponemos un Solete para cada momento del día.</t>
  </si>
  <si>
    <t>Soletes route through Ibiza: where to eat on the island</t>
  </si>
  <si>
    <t>Soletes Route through Ibiza: paradisiacal corners, traditional cuisine and friendly service. We propose a Solete for every moment of the day.</t>
  </si>
  <si>
    <r>
      <rPr>
        <rFont val="Arial, sans-serif"/>
        <color rgb="FF1155CC"/>
        <sz val="9.0"/>
        <u/>
      </rPr>
      <t>Guía Repsol</t>
    </r>
    <r>
      <rPr>
        <rFont val="Arial, sans-serif"/>
        <color rgb="FF1155CC"/>
        <sz val="15.0"/>
        <u/>
      </rPr>
      <t>Gala de los Soles 2024 en Cartagena</t>
    </r>
    <r>
      <rPr>
        <rFont val="Arial, sans-serif"/>
        <color rgb="FF1155CC"/>
        <sz val="11.0"/>
        <u/>
      </rPr>
      <t>El próximo 4 de marzo se celebra la Gala de Soles Guía Repsol 2024 en la ciudad de Cartagena (Región de Murcia). El acto tendrá lugar en el Auditorio y...</t>
    </r>
    <r>
      <rPr>
        <rFont val="Arial, sans-serif"/>
        <color rgb="FF1155CC"/>
        <sz val="12.0"/>
        <u/>
      </rPr>
      <t>.</t>
    </r>
    <r>
      <rPr>
        <rFont val="Arial, sans-serif"/>
        <color rgb="FF1155CC"/>
        <sz val="11.0"/>
        <u/>
      </rPr>
      <t>13 dic 2024</t>
    </r>
  </si>
  <si>
    <t>Gala de los Soles 2024 en Cartagena</t>
  </si>
  <si>
    <t>El próximo 4 de marzo se celebra la Gala de Soles Guía Repsol 2024 en la ciudad de Cartagena (Región de Murcia). El acto tendrá lugar en el Auditorio y....</t>
  </si>
  <si>
    <t>Gala of the Suns 2024 in Cartagena</t>
  </si>
  <si>
    <t>Next March 4, the Repsol Guide Suns Gala 2024 will be held in the city of Cartagena (Region of Murcia). The event will take place in the Auditorium and....</t>
  </si>
  <si>
    <r>
      <rPr>
        <rFont val="Arial, sans-serif"/>
        <color rgb="FF1155CC"/>
        <sz val="9.0"/>
        <u/>
      </rPr>
      <t>Guía Repsol</t>
    </r>
    <r>
      <rPr>
        <rFont val="Arial, sans-serif"/>
        <color rgb="FF1155CC"/>
        <sz val="15.0"/>
        <u/>
      </rPr>
      <t>Todo lo que tienes que saber sobre la Gala de Soles Guía Repsol 2023</t>
    </r>
    <r>
      <rPr>
        <rFont val="Arial, sans-serif"/>
        <color rgb="FF1155CC"/>
        <sz val="11.0"/>
        <u/>
      </rPr>
      <t>El próximo 27 de febrero se celebra en la ciudad de Alicante la Entrega de Soles Guía Repsol, que tendrá lugar en el Auditorio de la Diputación.</t>
    </r>
    <r>
      <rPr>
        <rFont val="Arial, sans-serif"/>
        <color rgb="FF1155CC"/>
        <sz val="12.0"/>
        <u/>
      </rPr>
      <t>.</t>
    </r>
    <r>
      <rPr>
        <rFont val="Arial, sans-serif"/>
        <color rgb="FF1155CC"/>
        <sz val="11.0"/>
        <u/>
      </rPr>
      <t>13 dic 2024</t>
    </r>
  </si>
  <si>
    <t>Todo lo que tienes que saber sobre la Gala de Soles Guía Repsol 2023</t>
  </si>
  <si>
    <t>El próximo 27 de febrero se celebra en la ciudad de Alicante la Entrega de Soles Guía Repsol, que tendrá lugar en el Auditorio de la Diputación.</t>
  </si>
  <si>
    <t>Everything you need to know about the Repsol Guide 2023 Suns Gala</t>
  </si>
  <si>
    <t>On February 27, the Repsol Guide Sun Awards will be held in the city of Alicante, which will take place in the Auditorium of the Provincial Council.</t>
  </si>
  <si>
    <r>
      <rPr>
        <rFont val="Arial, sans-serif"/>
        <color rgb="FF1155CC"/>
        <sz val="9.0"/>
        <u/>
      </rPr>
      <t>Guía Repsol</t>
    </r>
    <r>
      <rPr>
        <rFont val="Arial, sans-serif"/>
        <color rgb="FF1155CC"/>
        <sz val="15.0"/>
        <u/>
      </rPr>
      <t>Encuentro de Tres Soles en el Foro Romano de Cartagena</t>
    </r>
    <r>
      <rPr>
        <rFont val="Arial, sans-serif"/>
        <color rgb="FF1155CC"/>
        <sz val="11.0"/>
        <u/>
      </rPr>
      <t>Las mejores cocineras y cocineros de España se reúnen con motivo de la Gala Guía Repsol 2024. Joan Roca, Elena Arzak, Javier Torres, Ángel León,...</t>
    </r>
    <r>
      <rPr>
        <rFont val="Arial, sans-serif"/>
        <color rgb="FF1155CC"/>
        <sz val="12.0"/>
        <u/>
      </rPr>
      <t>.</t>
    </r>
    <r>
      <rPr>
        <rFont val="Arial, sans-serif"/>
        <color rgb="FF1155CC"/>
        <sz val="11.0"/>
        <u/>
      </rPr>
      <t>13 dic 2024</t>
    </r>
  </si>
  <si>
    <t>Encuentro de Tres Soles en el Foro Romano de Cartagena</t>
  </si>
  <si>
    <t>Las mejores cocineras y cocineros de España se reúnen con motivo de la Gala Guía Repsol 2024. Joan Roca, Elena Arzak, Javier Torres, Ángel León,...</t>
  </si>
  <si>
    <t>Meeting of Three Suns at the Roman Forum of Cartagena</t>
  </si>
  <si>
    <t>The best chefs in Spain meet for the Repsol Guide Gala 2024. Joan Roca, Elena Arzak, Javier Torres, Ángel León,...</t>
  </si>
  <si>
    <r>
      <rPr>
        <rFont val="Arial, sans-serif"/>
        <color rgb="FF1155CC"/>
        <sz val="9.0"/>
        <u/>
      </rPr>
      <t>Guía Repsol</t>
    </r>
    <r>
      <rPr>
        <rFont val="Arial, sans-serif"/>
        <color rgb="FF1155CC"/>
        <sz val="15.0"/>
        <u/>
      </rPr>
      <t>Informe Hábitos y tendencias de la gastronomía responsable</t>
    </r>
    <r>
      <rPr>
        <rFont val="Arial, sans-serif"/>
        <color rgb="FF1155CC"/>
        <sz val="11.0"/>
        <u/>
      </rPr>
      <t>El Ministerio de Agricultura, Pesca y Alimentación y Guía Repsol identifican los hábitos de la gastronomía responsable con los Sol Sostenible .</t>
    </r>
    <r>
      <rPr>
        <rFont val="Arial, sans-serif"/>
        <color rgb="FF1155CC"/>
        <sz val="12.0"/>
        <u/>
      </rPr>
      <t>.</t>
    </r>
    <r>
      <rPr>
        <rFont val="Arial, sans-serif"/>
        <color rgb="FF1155CC"/>
        <sz val="11.0"/>
        <u/>
      </rPr>
      <t>13 dic 2024</t>
    </r>
  </si>
  <si>
    <t>Informe Hábitos y tendencias de la gastronomía responsable</t>
  </si>
  <si>
    <t>El Ministerio de Agricultura, Pesca y Alimentación y Guía Repsol identifican los hábitos de la gastronomía responsable con los Sol Sostenible.</t>
  </si>
  <si>
    <t>Habits and trends of responsible gastronomy report</t>
  </si>
  <si>
    <t>The Ministry of Agriculture, Fisheries and Food and the Repsol Guide identify the habits of responsible gastronomy with the Sustainable Sun.</t>
  </si>
  <si>
    <r>
      <rPr>
        <rFont val="Arial, sans-serif"/>
        <color rgb="FF1155CC"/>
        <sz val="9.0"/>
        <u/>
      </rPr>
      <t>Guía Repsol</t>
    </r>
    <r>
      <rPr>
        <rFont val="Arial, sans-serif"/>
        <color rgb="FF1155CC"/>
        <sz val="15.0"/>
        <u/>
      </rPr>
      <t>Sonrisas llenas de Soles</t>
    </r>
    <r>
      <rPr>
        <rFont val="Arial, sans-serif"/>
        <color rgb="FF1155CC"/>
        <sz val="11.0"/>
        <u/>
      </rPr>
      <t>Nadie quiso perderse la Gala de Entrega de Soles Guía Repsol 2023, la gran fiesta de la gastronomía española celebrada en Alicante. Cocineros y cocineras v.</t>
    </r>
    <r>
      <rPr>
        <rFont val="Arial, sans-serif"/>
        <color rgb="FF1155CC"/>
        <sz val="12.0"/>
        <u/>
      </rPr>
      <t>.</t>
    </r>
    <r>
      <rPr>
        <rFont val="Arial, sans-serif"/>
        <color rgb="FF1155CC"/>
        <sz val="11.0"/>
        <u/>
      </rPr>
      <t>13 dic 2024</t>
    </r>
  </si>
  <si>
    <t>Sonrisas llenas de Soles</t>
  </si>
  <si>
    <t>Nadie quiso perderse la Gala de Entrega de Soles Guía Repsol 2023, la gran fiesta de la gastronomía española celebrada en Alicante. Cocineros y cocineras v..</t>
  </si>
  <si>
    <t>Smiles full of Suns</t>
  </si>
  <si>
    <t>Nobody wanted to miss the 2023 Repsol Guide Suns Awards Gala, the great festival of Spanish gastronomy held in Alicante. Chefs and cooks v..</t>
  </si>
  <si>
    <r>
      <rPr>
        <rFont val="Arial, sans-serif"/>
        <color rgb="FF1155CC"/>
        <sz val="9.0"/>
        <u/>
      </rPr>
      <t>Guía Repsol</t>
    </r>
    <r>
      <rPr>
        <rFont val="Arial, sans-serif"/>
        <color rgb="FF1155CC"/>
        <sz val="15.0"/>
        <u/>
      </rPr>
      <t>Parejas en restaurantes con Soles Guía Repsol</t>
    </r>
    <r>
      <rPr>
        <rFont val="Arial, sans-serif"/>
        <color rgb="FF1155CC"/>
        <sz val="11.0"/>
        <u/>
      </rPr>
      <t>La patata y el huevo, la anchoa y el boquerón o los guisantes con el jamón. Hay dúos que combinan a la perfección en el recetario más clásico.</t>
    </r>
    <r>
      <rPr>
        <rFont val="Arial, sans-serif"/>
        <color rgb="FF1155CC"/>
        <sz val="12.0"/>
        <u/>
      </rPr>
      <t>.</t>
    </r>
    <r>
      <rPr>
        <rFont val="Arial, sans-serif"/>
        <color rgb="FF1155CC"/>
        <sz val="11.0"/>
        <u/>
      </rPr>
      <t>13 dic 2024</t>
    </r>
  </si>
  <si>
    <t>Parejas en restaurantes con Soles Guía Repsol</t>
  </si>
  <si>
    <t>La patata y el huevo, la anchoa y el boquerón o los guisantes con el jamón. Hay dúos que combinan a la perfección en el recetario más clásico.</t>
  </si>
  <si>
    <t>Couples in restaurants with Soles Repsol Guide</t>
  </si>
  <si>
    <t>Potato and egg, anchovy and anchovy or peas with ham. There are duos that combine perfectly in the most classic recipe book.</t>
  </si>
  <si>
    <r>
      <rPr>
        <rFont val="Arial, sans-serif"/>
        <color rgb="FF1155CC"/>
        <sz val="9.0"/>
        <u/>
      </rPr>
      <t>Guía Repsol</t>
    </r>
    <r>
      <rPr>
        <rFont val="Arial, sans-serif"/>
        <color rgb="FF1155CC"/>
        <sz val="15.0"/>
        <u/>
      </rPr>
      <t>Habitos y tendencias para una gastronomía repsonsable</t>
    </r>
    <r>
      <rPr>
        <rFont val="Arial, sans-serif"/>
        <color rgb="FF1155CC"/>
        <sz val="11.0"/>
        <u/>
      </rPr>
      <t>Los Sol Repsol Sostenible nos cuentan qué prácticas llevan a cabo en sus restaurantes para hacer frente a retos como el desperdicio cero.</t>
    </r>
    <r>
      <rPr>
        <rFont val="Arial, sans-serif"/>
        <color rgb="FF1155CC"/>
        <sz val="12.0"/>
        <u/>
      </rPr>
      <t>.</t>
    </r>
    <r>
      <rPr>
        <rFont val="Arial, sans-serif"/>
        <color rgb="FF1155CC"/>
        <sz val="11.0"/>
        <u/>
      </rPr>
      <t>13 dic 2024</t>
    </r>
  </si>
  <si>
    <t>Hábitos y tendencias para una gastronomía responsable</t>
  </si>
  <si>
    <t>Los Sol Repsol Sostenible nos cuentan qué prácticas llevan a cabo en sus restaurantes para hacer frente a retos como el desperdicio cero.</t>
  </si>
  <si>
    <t>Habits and trends for responsible gastronomy</t>
  </si>
  <si>
    <t>The Sol Repsol Sostenible tell us what practices they carry out in their restaurants to face challenges such as zero waste.</t>
  </si>
  <si>
    <r>
      <rPr>
        <rFont val="Arial, sans-serif"/>
        <color rgb="FF1155CC"/>
        <sz val="9.0"/>
        <u/>
      </rPr>
      <t>Guía Repsol</t>
    </r>
    <r>
      <rPr>
        <rFont val="Arial, sans-serif"/>
        <color rgb="FF1155CC"/>
        <sz val="15.0"/>
        <u/>
      </rPr>
      <t>Un año brillante</t>
    </r>
    <r>
      <rPr>
        <rFont val="Arial, sans-serif"/>
        <color rgb="FF1155CC"/>
        <sz val="11.0"/>
        <u/>
      </rPr>
      <t>Cocinas deslumbrantes y urbanitas, barras luminosas que despuntan en mercados y brasas encendidas que te conducen hasta lugares recónditos. La gastronomía,.</t>
    </r>
    <r>
      <rPr>
        <rFont val="Arial, sans-serif"/>
        <color rgb="FF1155CC"/>
        <sz val="12.0"/>
        <u/>
      </rPr>
      <t>.</t>
    </r>
    <r>
      <rPr>
        <rFont val="Arial, sans-serif"/>
        <color rgb="FF1155CC"/>
        <sz val="11.0"/>
        <u/>
      </rPr>
      <t>13 dic 2024</t>
    </r>
  </si>
  <si>
    <t>Dazzling, urban kitchens, glowing bars that shine in markets and burning embers that take you to hidden places. Gastronomy,...</t>
  </si>
  <si>
    <r>
      <rPr>
        <rFont val="Arial, sans-serif"/>
        <color rgb="FF1155CC"/>
        <sz val="9.0"/>
        <u/>
      </rPr>
      <t>Guía Repsol</t>
    </r>
    <r>
      <rPr>
        <rFont val="Arial, sans-serif"/>
        <color rgb="FF1155CC"/>
        <sz val="15.0"/>
        <u/>
      </rPr>
      <t>Nuevos restaurantes 2 Soles Guia Repsol 2024</t>
    </r>
    <r>
      <rPr>
        <rFont val="Arial, sans-serif"/>
        <color rgb="FF1155CC"/>
        <sz val="11.0"/>
        <u/>
      </rPr>
      <t>Los nuevos 2 Soles 2024 destacan por su sólida evolución y una marcada personalidad: 'Almo' (Murcia), 'Ama' (Tolosa, Gipuzkoa), 'Atalaya' (Alcossebre,...</t>
    </r>
    <r>
      <rPr>
        <rFont val="Arial, sans-serif"/>
        <color rgb="FF1155CC"/>
        <sz val="12.0"/>
        <u/>
      </rPr>
      <t>.</t>
    </r>
    <r>
      <rPr>
        <rFont val="Arial, sans-serif"/>
        <color rgb="FF1155CC"/>
        <sz val="11.0"/>
        <u/>
      </rPr>
      <t>13 dic 2024</t>
    </r>
  </si>
  <si>
    <t>Nuevos restaurantes 2 Soles Guia Repsol 2024</t>
  </si>
  <si>
    <t>Los nuevos 2 Soles 2024 destacan por su sólida evolución y una marcada personalidad: 'Almo' (Murcia), 'Ama' (Tolosa, Gipuzkoa), 'Atalaya' (Alcossebre,...</t>
  </si>
  <si>
    <t>New restaurants 2 Soles Repsol Guide 2024</t>
  </si>
  <si>
    <t>The new 2 Soles 2024 stand out for their solid evolution and a marked personality: 'Almo' (Murcia), 'Ama' (Tolosa, Gipuzkoa), 'Atalaya' (Alcossebre,...</t>
  </si>
  <si>
    <r>
      <rPr>
        <rFont val="Arial, sans-serif"/>
        <color rgb="FF1155CC"/>
        <sz val="9.0"/>
        <u/>
      </rPr>
      <t>Guía Repsol</t>
    </r>
    <r>
      <rPr>
        <rFont val="Arial, sans-serif"/>
        <color rgb="FF1155CC"/>
        <sz val="15.0"/>
        <u/>
      </rPr>
      <t>Soletes para quedar en Alicante, ciudad de los Soles Repsol 2023</t>
    </r>
    <r>
      <rPr>
        <rFont val="Arial, sans-serif"/>
        <color rgb="FF1155CC"/>
        <sz val="11.0"/>
        <u/>
      </rPr>
      <t>Son días importantes para la gastronomía en Alicante. La Gala de los Soles Repsol 2023, prevista el próximo lunes 27 de febrero en el Auditorio de la Música...</t>
    </r>
    <r>
      <rPr>
        <rFont val="Arial, sans-serif"/>
        <color rgb="FF1155CC"/>
        <sz val="12.0"/>
        <u/>
      </rPr>
      <t>.</t>
    </r>
    <r>
      <rPr>
        <rFont val="Arial, sans-serif"/>
        <color rgb="FF1155CC"/>
        <sz val="11.0"/>
        <u/>
      </rPr>
      <t>13 dic 2024</t>
    </r>
  </si>
  <si>
    <t>Soletes para quedar en Alicante, ciudad de los Soles Repsol 2023</t>
  </si>
  <si>
    <t>Son días importantes para la gastronomía en Alicante. La Gala de los Soles Repsol 2023, prevista el próximo lunes 27 de febrero en el Auditorio de la Música....</t>
  </si>
  <si>
    <t>Suns to stay in Alicante, city of Suns Repsol 2023</t>
  </si>
  <si>
    <t>These are important days for gastronomy in Alicante. The Repsol 2023 Suns Gala, scheduled for next Monday, February 27 at the Music Auditorium....</t>
  </si>
  <si>
    <r>
      <rPr>
        <rFont val="Arial, sans-serif"/>
        <color rgb="FF1155CC"/>
        <sz val="9.0"/>
        <u/>
      </rPr>
      <t>Guía Repsol</t>
    </r>
    <r>
      <rPr>
        <rFont val="Arial, sans-serif"/>
        <color rgb="FF1155CC"/>
        <sz val="15.0"/>
        <u/>
      </rPr>
      <t>El vigor de la cocina española invade Alicante</t>
    </r>
    <r>
      <rPr>
        <rFont val="Arial, sans-serif"/>
        <color rgb="FF1155CC"/>
        <sz val="11.0"/>
        <u/>
      </rPr>
      <t>Cocineros convertidos en comensales sobre el escenario del Auditorio de Alicante, en la mayor reunión de chefs de España. Alegría, emoción, carcajadas y ga.</t>
    </r>
    <r>
      <rPr>
        <rFont val="Arial, sans-serif"/>
        <color rgb="FF1155CC"/>
        <sz val="12.0"/>
        <u/>
      </rPr>
      <t>.</t>
    </r>
    <r>
      <rPr>
        <rFont val="Arial, sans-serif"/>
        <color rgb="FF1155CC"/>
        <sz val="11.0"/>
        <u/>
      </rPr>
      <t>13 dic 2024</t>
    </r>
  </si>
  <si>
    <t>El vigor de la cocina española invade Alicante</t>
  </si>
  <si>
    <t>Cocineros convertidos en comensales sobre el escenario del Auditorio de Alicante, en la mayor reunión de chefs de España. Alegría, emoción, carcajadas y ga..</t>
  </si>
  <si>
    <t>The vigor of Spanish cuisine invades Alicante</t>
  </si>
  <si>
    <t>Chefs turned into diners on the stage of the Alicante Auditorium, in the largest meeting of chefs in Spain. Joy, excitement, laughter and ga...</t>
  </si>
  <si>
    <r>
      <rPr>
        <rFont val="Arial, sans-serif"/>
        <color rgb="FF1155CC"/>
        <sz val="9.0"/>
        <u/>
      </rPr>
      <t>Guía Repsol</t>
    </r>
    <r>
      <rPr>
        <rFont val="Arial, sans-serif"/>
        <color rgb="FF1155CC"/>
        <sz val="15.0"/>
        <u/>
      </rPr>
      <t>Fotogalería: Gala de los Soles Guía Repsol 2024 en Cartagena</t>
    </r>
    <r>
      <rPr>
        <rFont val="Arial, sans-serif"/>
        <color rgb="FF1155CC"/>
        <sz val="11.0"/>
        <u/>
      </rPr>
      <t>El Auditorio y Palacio de Congresos El Batel de Cartagena ha sido el escenario de la Gala de los Soles Guía Repsol 2024. 98 restaurantes premiados...</t>
    </r>
    <r>
      <rPr>
        <rFont val="Arial, sans-serif"/>
        <color rgb="FF1155CC"/>
        <sz val="12.0"/>
        <u/>
      </rPr>
      <t>.</t>
    </r>
    <r>
      <rPr>
        <rFont val="Arial, sans-serif"/>
        <color rgb="FF1155CC"/>
        <sz val="11.0"/>
        <u/>
      </rPr>
      <t>13 dic 2024</t>
    </r>
  </si>
  <si>
    <t>Gala de los Soles Guía Repsol 2024 en Cartagena</t>
  </si>
  <si>
    <t>El Auditorio y Palacio de Congresos El Batel de Cartagena ha sido el escenario de la Gala de los Soles Guía Repsol 2024. 98 restaurantes premiados.</t>
  </si>
  <si>
    <t>Gala of the Suns Repsol Guide 2024 in Cartagena</t>
  </si>
  <si>
    <t>The El Batel Auditorium and Conference Center in Cartagena has been the setting for the Repsol Guide 2024 Gala of the Suns. 98 award-winning restaurants.</t>
  </si>
  <si>
    <r>
      <rPr>
        <rFont val="Arial, sans-serif"/>
        <color rgb="FF1155CC"/>
        <sz val="9.0"/>
        <u/>
      </rPr>
      <t>Guía Repsol</t>
    </r>
    <r>
      <rPr>
        <rFont val="Arial, sans-serif"/>
        <color rgb="FF1155CC"/>
        <sz val="15.0"/>
        <u/>
      </rPr>
      <t>La empanada gallega de Pepe Solla (3 Soles Guía Repsol) llega a las estaciones de servicio de Repsol</t>
    </r>
    <r>
      <rPr>
        <rFont val="Arial, sans-serif"/>
        <color rgb="FF1155CC"/>
        <sz val="11.0"/>
        <u/>
      </rPr>
      <t>Callejeros, mapas, carreteras, rutas, itinerarios o restaurantes en Guia Repsol. Todo lo necesario para planificar tus viajes: callejero de ciudad,...</t>
    </r>
    <r>
      <rPr>
        <rFont val="Arial, sans-serif"/>
        <color rgb="FF1155CC"/>
        <sz val="12.0"/>
        <u/>
      </rPr>
      <t>.</t>
    </r>
    <r>
      <rPr>
        <rFont val="Arial, sans-serif"/>
        <color rgb="FF1155CC"/>
        <sz val="11.0"/>
        <u/>
      </rPr>
      <t>13 dic 2024</t>
    </r>
  </si>
  <si>
    <t>La empanada gallega de Pepe Solla (3 Soles Guía Repsol) llega a las estaciones de servicio de Repsol</t>
  </si>
  <si>
    <t>La empanada gallega de Pepe Solla (3 Soles Guía Repsol) llega a las estaciones de servicio de Repsol.</t>
  </si>
  <si>
    <t>Pepe Solla's Galician empanada (3 Soles Repsol Guide) arrives at Repsol service stations</t>
  </si>
  <si>
    <t>Pepe Solla's Galician empanada (3 Soles Repsol Guide) arrives at Repsol service stations.</t>
  </si>
  <si>
    <r>
      <rPr>
        <rFont val="Arial, sans-serif"/>
        <color rgb="FF1155CC"/>
        <sz val="9.0"/>
        <u/>
      </rPr>
      <t>Guía Repsol</t>
    </r>
    <r>
      <rPr>
        <rFont val="Arial, sans-serif"/>
        <color rgb="FF1155CC"/>
        <sz val="15.0"/>
        <u/>
      </rPr>
      <t>Brindis de Soles en el Castillo de Santa Bárbara</t>
    </r>
    <r>
      <rPr>
        <rFont val="Arial, sans-serif"/>
        <color rgb="FF1155CC"/>
        <sz val="11.0"/>
        <u/>
      </rPr>
      <t>La fiesta privada de los Soles Guía Repsol 2023 no pudo tener un escenario mejor: el Castillo de Santa Bárbara de Alicante. La fortaleza brilló más que nun.</t>
    </r>
    <r>
      <rPr>
        <rFont val="Arial, sans-serif"/>
        <color rgb="FF1155CC"/>
        <sz val="12.0"/>
        <u/>
      </rPr>
      <t>.</t>
    </r>
    <r>
      <rPr>
        <rFont val="Arial, sans-serif"/>
        <color rgb="FF1155CC"/>
        <sz val="11.0"/>
        <u/>
      </rPr>
      <t>13 dic 2024</t>
    </r>
  </si>
  <si>
    <t>Brindis de Soles en el Castillo de Santa Bárbara</t>
  </si>
  <si>
    <t>La fiesta privada de los Soles Guía Repsol 2023 no pudo tener un escenario mejor: el Castillo de Santa Bárbara de Alicante. La fortaleza brilló más que nunca.</t>
  </si>
  <si>
    <t>Toast of Suns at the Santa Bárbara Castle</t>
  </si>
  <si>
    <t>The private party of the Repsol Guide Suns 2023 could not have had a better setting: the Castle of Santa Bárbara in Alicante. The fortress shone brighter than ever.</t>
  </si>
  <si>
    <t>Events</t>
  </si>
  <si>
    <r>
      <rPr>
        <rFont val="Arial, sans-serif"/>
        <color rgb="FF1155CC"/>
        <sz val="9.0"/>
        <u/>
      </rPr>
      <t>Repsol</t>
    </r>
    <r>
      <rPr>
        <rFont val="Arial, sans-serif"/>
        <color rgb="FF1155CC"/>
        <sz val="15.0"/>
        <u/>
      </rPr>
      <t>Ideas de regalos para Navidad 2024</t>
    </r>
    <r>
      <rPr>
        <rFont val="Arial, sans-serif"/>
        <color rgb="FF1155CC"/>
        <sz val="11.0"/>
        <u/>
      </rPr>
      <t>Buscas las mejores ideas para Navidad este 2024? Descubre en este post todos los regalos que necesitas y que encontrarás en la tienda online de Repsol,...</t>
    </r>
    <r>
      <rPr>
        <rFont val="Arial, sans-serif"/>
        <color rgb="FF1155CC"/>
        <sz val="12.0"/>
        <u/>
      </rPr>
      <t>.</t>
    </r>
    <r>
      <rPr>
        <rFont val="Arial, sans-serif"/>
        <color rgb="FF1155CC"/>
        <sz val="11.0"/>
        <u/>
      </rPr>
      <t>13 dic 2024</t>
    </r>
  </si>
  <si>
    <t>Ideas de regalos para Navidad 2024</t>
  </si>
  <si>
    <t>Buscas las mejores ideas para Navidad este 2024? Descubre en este post todos los regalos que necesitas y que encontrarás en la tienda online de Repsol,....</t>
  </si>
  <si>
    <t>Gift ideas for Christmas 2024</t>
  </si>
  <si>
    <t>Are you looking for the best ideas for Christmas this 2024? Discover in this post all the gifts you need and that you will find in the Repsol online store,....</t>
  </si>
  <si>
    <t>Shopping</t>
  </si>
  <si>
    <r>
      <rPr>
        <rFont val="Arial, sans-serif"/>
        <color rgb="FF1155CC"/>
        <sz val="9.0"/>
        <u/>
      </rPr>
      <t>El Periódico de Aragón</t>
    </r>
    <r>
      <rPr>
        <rFont val="Arial, sans-serif"/>
        <color rgb="FF1155CC"/>
        <sz val="15.0"/>
        <u/>
      </rPr>
      <t>Repsol planea hibridar la central de Escatrón (Zaragoza) para promover un centro de datos</t>
    </r>
    <r>
      <rPr>
        <rFont val="Arial, sans-serif"/>
        <color rgb="FF1155CC"/>
        <sz val="11.0"/>
        <u/>
      </rPr>
      <t>La multinacional espera la luz verde de Red Eléctrica para abrir una posición de consumo de 402 MW que combinaría generación renovable con el ciclo...</t>
    </r>
    <r>
      <rPr>
        <rFont val="Arial, sans-serif"/>
        <color rgb="FF1155CC"/>
        <sz val="12.0"/>
        <u/>
      </rPr>
      <t>.</t>
    </r>
    <r>
      <rPr>
        <rFont val="Arial, sans-serif"/>
        <color rgb="FF1155CC"/>
        <sz val="11.0"/>
        <u/>
      </rPr>
      <t>13 dic 2024</t>
    </r>
  </si>
  <si>
    <t>Repsol planea hibridar la central de Escatrón (Zaragoza) para promover un centro de datos</t>
  </si>
  <si>
    <t>La multinacional espera la luz verde de Red Eléctrica para abrir una posición de consumo de 402 MW que combinaría generación renovable con el ciclo....</t>
  </si>
  <si>
    <t>Repsol plans to hybridize the Escatrón plant (Zaragoza) to promote a data center</t>
  </si>
  <si>
    <t>The multinational is waiting for the green light from Red Eléctrica to open a 402 MW consumption position that would combine renewable generation with the cycle....</t>
  </si>
  <si>
    <t>Business/Technology</t>
  </si>
  <si>
    <t>Repsol, Escatrón plant, data center, hybridization</t>
  </si>
  <si>
    <t>Repsol, planta de Escatrón, centro de datos, hibridación</t>
  </si>
  <si>
    <t>Positive sentiment, highlighting an innovative energy project.</t>
  </si>
  <si>
    <t>Positive for green energy initiative.</t>
  </si>
  <si>
    <t>Positivo para la iniciativa de energía verde.</t>
  </si>
  <si>
    <r>
      <rPr>
        <rFont val="Arial, sans-serif"/>
        <color rgb="FF1155CC"/>
        <sz val="9.0"/>
        <u/>
      </rPr>
      <t>Guía Repsol</t>
    </r>
    <r>
      <rPr>
        <rFont val="Arial, sans-serif"/>
        <color rgb="FF1155CC"/>
        <sz val="15.0"/>
        <u/>
      </rPr>
      <t>Campaña 'Soles que son amores'</t>
    </r>
    <r>
      <rPr>
        <rFont val="Arial, sans-serif"/>
        <color rgb="FF1155CC"/>
        <sz val="11.0"/>
        <u/>
      </rPr>
      <t>El amor y la gastronomía se unen por San Valentín en la campaña 'Soles son amores', en la que 80 restaurantes y bares de toda la Comunidad Valenciana...</t>
    </r>
    <r>
      <rPr>
        <rFont val="Arial, sans-serif"/>
        <color rgb="FF1155CC"/>
        <sz val="12.0"/>
        <u/>
      </rPr>
      <t>.</t>
    </r>
    <r>
      <rPr>
        <rFont val="Arial, sans-serif"/>
        <color rgb="FF1155CC"/>
        <sz val="11.0"/>
        <u/>
      </rPr>
      <t>13 dic 2024</t>
    </r>
  </si>
  <si>
    <t>Campaña 'Soles que son amores'</t>
  </si>
  <si>
    <t>El amor y la gastronomía se unen por San Valentín en la campaña 'Soles son amores', en la que 80 restaurantes y bares de toda la Comunidad Valenciana....</t>
  </si>
  <si>
    <t>'Suns that are loves' campaign</t>
  </si>
  <si>
    <t>Love and gastronomy come together for Valentine's Day in the 'Soles son amores' campaign, in which 80 restaurants and bars throughout the Valencian Community...</t>
  </si>
  <si>
    <t>Marketing/Gastronomy</t>
  </si>
  <si>
    <r>
      <rPr>
        <rFont val="Arial, sans-serif"/>
        <color rgb="FF1155CC"/>
        <sz val="9.0"/>
        <u/>
      </rPr>
      <t>Guía Repsol</t>
    </r>
    <r>
      <rPr>
        <rFont val="Arial, sans-serif"/>
        <color rgb="FF1155CC"/>
        <sz val="15.0"/>
        <u/>
      </rPr>
      <t>¿Adónde van los mejores cocineros a tomar una cerveza artesanal?</t>
    </r>
    <r>
      <rPr>
        <rFont val="Arial, sans-serif"/>
        <color rgb="FF1155CC"/>
        <sz val="11.0"/>
        <u/>
      </rPr>
      <t>Lleida, Zaragoza, Madrid y muchas más paradas que te enseñamos para que descubras donde tomar auténticas cervezas artesanas en nuestro país.</t>
    </r>
    <r>
      <rPr>
        <rFont val="Arial, sans-serif"/>
        <color rgb="FF1155CC"/>
        <sz val="12.0"/>
        <u/>
      </rPr>
      <t>.</t>
    </r>
    <r>
      <rPr>
        <rFont val="Arial, sans-serif"/>
        <color rgb="FF1155CC"/>
        <sz val="11.0"/>
        <u/>
      </rPr>
      <t>13 dic 2024</t>
    </r>
  </si>
  <si>
    <t>¿Adónde van los mejores cocineros a tomar una cerveza artesanal?</t>
  </si>
  <si>
    <t>Lleida, Zaragoza, Madrid y muchas más paradas que te enseñamos para que descubras donde tomar auténticas cervezas artesanas en nuestro país.</t>
  </si>
  <si>
    <t>Where do the best chefs go to have a craft beer?</t>
  </si>
  <si>
    <t>Lleida, Zaragoza, Madrid and many more stops that we show you so you can discover where to drink authentic craft beers in our country.</t>
  </si>
  <si>
    <r>
      <rPr>
        <rFont val="Arial, sans-serif"/>
        <color rgb="FF1155CC"/>
        <sz val="9.0"/>
        <u/>
      </rPr>
      <t>Guía Repsol</t>
    </r>
    <r>
      <rPr>
        <rFont val="Arial, sans-serif"/>
        <color rgb="FF1155CC"/>
        <sz val="15.0"/>
        <u/>
      </rPr>
      <t>Restaurante 'In-Pulso': la cocina castiza que vuelve al barrio</t>
    </r>
    <r>
      <rPr>
        <rFont val="Arial, sans-serif"/>
        <color rgb="FF1155CC"/>
        <sz val="11.0"/>
        <u/>
      </rPr>
      <t>Dos chicos de barrio, dos gatos de pies a cabeza. Los hermanos Alex y Adrián García de la Fuente regresan a Legazpi, el barrio madrileño que les vió crecer,...</t>
    </r>
    <r>
      <rPr>
        <rFont val="Arial, sans-serif"/>
        <color rgb="FF1155CC"/>
        <sz val="12.0"/>
        <u/>
      </rPr>
      <t>.</t>
    </r>
    <r>
      <rPr>
        <rFont val="Arial, sans-serif"/>
        <color rgb="FF1155CC"/>
        <sz val="11.0"/>
        <u/>
      </rPr>
      <t>13 dic 2024</t>
    </r>
  </si>
  <si>
    <t>Restaurante 'In-Pulso': la cocina castiza que vuelve al barrio</t>
  </si>
  <si>
    <t>Dos chicos de barrio, dos gatos de pies a cabeza. Los hermanos Alex y Adrián García de la Fuente regresan a Legazpi, el barrio madrileño que les vió crecer,....</t>
  </si>
  <si>
    <t>'In-Pulso' Restaurant: traditional cuisine returning to the neighborhood</t>
  </si>
  <si>
    <t>Two neighborhood kids, two cats from head to toe. The brothers Alex and Adrián García de la Fuente return to Legazpi, the Madrid neighborhood where they grew up....</t>
  </si>
  <si>
    <r>
      <rPr>
        <rFont val="Arial, sans-serif"/>
        <color rgb="FF1155CC"/>
        <sz val="9.0"/>
        <u/>
      </rPr>
      <t>elDiario.es</t>
    </r>
    <r>
      <rPr>
        <rFont val="Arial, sans-serif"/>
        <color rgb="FF1155CC"/>
        <sz val="15.0"/>
        <u/>
      </rPr>
      <t>Cromos que 'salen' del álbum: comer, viajar y ganar recompensas con la app de Guía Repsol</t>
    </r>
    <r>
      <rPr>
        <rFont val="Arial, sans-serif"/>
        <color rgb="FF1155CC"/>
        <sz val="11.0"/>
        <u/>
      </rPr>
      <t>La colección de cromos de la app de Guía Repsol ofrece recompensas en forma de experiencias gastronómicas.</t>
    </r>
    <r>
      <rPr>
        <rFont val="Arial, sans-serif"/>
        <color rgb="FF1155CC"/>
        <sz val="12.0"/>
        <u/>
      </rPr>
      <t>.</t>
    </r>
    <r>
      <rPr>
        <rFont val="Arial, sans-serif"/>
        <color rgb="FF1155CC"/>
        <sz val="11.0"/>
        <u/>
      </rPr>
      <t>13 dic 2024</t>
    </r>
  </si>
  <si>
    <t>Cromos que 'salen' del álbum: comer, viajar y ganar recompensas con la app de Guía Repsol</t>
  </si>
  <si>
    <t>La colección de cromos de la app de Guía Repsol ofrece recompensas en forma de experiencias gastronómicas.</t>
  </si>
  <si>
    <t>Stickers that 'come out' of the album: eat, travel and earn rewards with the Repsol Guide app</t>
  </si>
  <si>
    <t>The collection of stickers in the Repsol Guide app offers rewards in the form of gastronomic experiences.</t>
  </si>
  <si>
    <t>Technology/Gastronomy</t>
  </si>
  <si>
    <r>
      <rPr>
        <rFont val="Arial, sans-serif"/>
        <color rgb="FF1155CC"/>
        <sz val="9.0"/>
        <u/>
      </rPr>
      <t>Guía Repsol</t>
    </r>
    <r>
      <rPr>
        <rFont val="Arial, sans-serif"/>
        <color rgb="FF1155CC"/>
        <sz val="15.0"/>
        <u/>
      </rPr>
      <t>Los 7 mejores restaurantes mexicanos de Madrid</t>
    </r>
    <r>
      <rPr>
        <rFont val="Arial, sans-serif"/>
        <color rgb="FF1155CC"/>
        <sz val="11.0"/>
        <u/>
      </rPr>
      <t>Te proponemos una ruta mexicana por los siete mexicanos de Madrid donde degustar la gastronomía del país azteca.</t>
    </r>
    <r>
      <rPr>
        <rFont val="Arial, sans-serif"/>
        <color rgb="FF1155CC"/>
        <sz val="12.0"/>
        <u/>
      </rPr>
      <t>.</t>
    </r>
    <r>
      <rPr>
        <rFont val="Arial, sans-serif"/>
        <color rgb="FF1155CC"/>
        <sz val="11.0"/>
        <u/>
      </rPr>
      <t>13 dic 2024</t>
    </r>
  </si>
  <si>
    <t>Los 7 mejores restaurantes mexicanos de Madrid</t>
  </si>
  <si>
    <t>Te proponemos una ruta mexicana por los siete mexicanos de Madrid donde degustar la gastronomía del país azteca.</t>
  </si>
  <si>
    <t>The 7 best Mexican restaurants in Madrid</t>
  </si>
  <si>
    <t>We propose a Mexican route through the seven Mexicans of Madrid where you can taste the gastronomy of the Aztec country.</t>
  </si>
  <si>
    <r>
      <rPr>
        <rFont val="Arial, sans-serif"/>
        <color rgb="FF1155CC"/>
        <sz val="9.0"/>
        <u/>
      </rPr>
      <t>Guía Repsol</t>
    </r>
    <r>
      <rPr>
        <rFont val="Arial, sans-serif"/>
        <color rgb="FF1155CC"/>
        <sz val="15.0"/>
        <u/>
      </rPr>
      <t>'MasterChef' cocina para los Soles en la gala de Cartagena 2024</t>
    </r>
    <r>
      <rPr>
        <rFont val="Arial, sans-serif"/>
        <color rgb="FF1155CC"/>
        <sz val="11.0"/>
        <u/>
      </rPr>
      <t>Las cocinas de 'MasterChef' se trasladan a Cartagena (Región de Murcia), en plena fiesta de la gastronomía: la entrega de los Soles Guía Repsol 2024,...</t>
    </r>
    <r>
      <rPr>
        <rFont val="Arial, sans-serif"/>
        <color rgb="FF1155CC"/>
        <sz val="12.0"/>
        <u/>
      </rPr>
      <t>.</t>
    </r>
    <r>
      <rPr>
        <rFont val="Arial, sans-serif"/>
        <color rgb="FF1155CC"/>
        <sz val="11.0"/>
        <u/>
      </rPr>
      <t>13 dic 2024</t>
    </r>
  </si>
  <si>
    <t>'MasterChef' cocina para los Soles en la gala de Cartagena 2024</t>
  </si>
  <si>
    <t>Las cocinas de 'MasterChef' se trasladan a Cartagena (Región de Murcia), en plena fiesta de la gastronomía: la entrega de los Soles Guía Repsol 2024,....</t>
  </si>
  <si>
    <t>'MasterChef' cooks for the Soles at the Cartagena 2024 gala</t>
  </si>
  <si>
    <t>The 'MasterChef' kitchens move to Cartagena (Region of Murcia), in the midst of a gastronomy festival: the delivery of the Repsol Guide Suns 2024,....</t>
  </si>
  <si>
    <t>Events/Gastronomy</t>
  </si>
  <si>
    <r>
      <rPr>
        <rFont val="Arial, sans-serif"/>
        <color rgb="FF1155CC"/>
        <sz val="9.0"/>
        <u/>
      </rPr>
      <t>Guía Repsol</t>
    </r>
    <r>
      <rPr>
        <rFont val="Arial, sans-serif"/>
        <color rgb="FF1155CC"/>
        <sz val="15.0"/>
        <u/>
      </rPr>
      <t>Guía Repsol se va de cañas con Sacha y Juanjo López por los bares más castizos</t>
    </r>
    <r>
      <rPr>
        <rFont val="Arial, sans-serif"/>
        <color rgb="FF1155CC"/>
        <sz val="11.0"/>
        <u/>
      </rPr>
      <t>Los cocineros han desvelado a Guía Repsol por qué estos establecimientos son especiales para ellos. En el caso de Sacha, son lugares de visita obligada...</t>
    </r>
    <r>
      <rPr>
        <rFont val="Arial, sans-serif"/>
        <color rgb="FF1155CC"/>
        <sz val="12.0"/>
        <u/>
      </rPr>
      <t>.</t>
    </r>
    <r>
      <rPr>
        <rFont val="Arial, sans-serif"/>
        <color rgb="FF1155CC"/>
        <sz val="11.0"/>
        <u/>
      </rPr>
      <t>13 dic 2024</t>
    </r>
  </si>
  <si>
    <t>Guía Repsol se va de cañas con Sacha y Juanjo López por los bares más castizos</t>
  </si>
  <si>
    <t>Los cocineros han desvelado a Guía Repsol por qué estos establecimientos son especiales para ellos. En el caso de Sacha, son lugares de visita obligada.</t>
  </si>
  <si>
    <t>Repsol Guide goes partying with Sacha and Juanjo López in the most traditional bars</t>
  </si>
  <si>
    <t>The chefs have revealed to the Repsol Guide why these establishments are special to them. In the case of Sacha, they are must-see places.</t>
  </si>
  <si>
    <r>
      <rPr>
        <rFont val="Arial, sans-serif"/>
        <color rgb="FF1155CC"/>
        <sz val="9.0"/>
        <u/>
      </rPr>
      <t>Guía Repsol</t>
    </r>
    <r>
      <rPr>
        <rFont val="Arial, sans-serif"/>
        <color rgb="FF1155CC"/>
        <sz val="15.0"/>
        <u/>
      </rPr>
      <t>Nuevos restaurantes 2 Soles Guía Repsol 2023</t>
    </r>
    <r>
      <rPr>
        <rFont val="Arial, sans-serif"/>
        <color rgb="FF1155CC"/>
        <sz val="11.0"/>
        <u/>
      </rPr>
      <t>Los nuevos 2 Soles Guía Repsol destacan por sus sólidas propuestas con marcada identidad propia, en las que el arraigo, la modernidad y los paisajes que les...</t>
    </r>
    <r>
      <rPr>
        <rFont val="Arial, sans-serif"/>
        <color rgb="FF1155CC"/>
        <sz val="12.0"/>
        <u/>
      </rPr>
      <t>.</t>
    </r>
    <r>
      <rPr>
        <rFont val="Arial, sans-serif"/>
        <color rgb="FF1155CC"/>
        <sz val="11.0"/>
        <u/>
      </rPr>
      <t>13 dic 2024</t>
    </r>
  </si>
  <si>
    <t>Nuevos restaurantes 2 Soles Guía Repsol 2023</t>
  </si>
  <si>
    <t>Los nuevos 2 Soles Guía Repsol destacan por sus sólidas propuestas con marcada identidad propia, en las que el arraigo, la modernidad y los paisajes que les....</t>
  </si>
  <si>
    <t>New restaurants 2 Soles Repsol Guide 2023</t>
  </si>
  <si>
    <t>The new 2 Soles Repsol Guide stand out for their solid proposals with a marked identity, in which the roots, modernity and landscapes that...</t>
  </si>
  <si>
    <r>
      <rPr>
        <rFont val="Arial, sans-serif"/>
        <color rgb="FF1155CC"/>
        <sz val="9.0"/>
        <u/>
      </rPr>
      <t>Guía Repsol</t>
    </r>
    <r>
      <rPr>
        <rFont val="Arial, sans-serif"/>
        <color rgb="FF1155CC"/>
        <sz val="15.0"/>
        <u/>
      </rPr>
      <t>Guía Repsol presenta Cinema Cocina, la sección gastronómica del Festival de Málaga</t>
    </r>
    <r>
      <rPr>
        <rFont val="Arial, sans-serif"/>
        <color rgb="FF1155CC"/>
        <sz val="11.0"/>
        <u/>
      </rPr>
      <t>Con la actividad “Cine y Gastronomía”, el público tendrá la oportunidad de asistir a un ciclo cinematográfico en el que se proyectarán documentales,...</t>
    </r>
    <r>
      <rPr>
        <rFont val="Arial, sans-serif"/>
        <color rgb="FF1155CC"/>
        <sz val="12.0"/>
        <u/>
      </rPr>
      <t>.</t>
    </r>
    <r>
      <rPr>
        <rFont val="Arial, sans-serif"/>
        <color rgb="FF1155CC"/>
        <sz val="11.0"/>
        <u/>
      </rPr>
      <t>13 dic 2024</t>
    </r>
  </si>
  <si>
    <t>Guía Repsol presenta Cinema Cocina, la sección gastronómica del Festival de Málaga</t>
  </si>
  <si>
    <t>Con la actividad “Cine y Gastronomía”, el público tendrá la oportunidad de asistir a un ciclo cinematográfico en el que se proyectarán documentales,...</t>
  </si>
  <si>
    <t>Repsol Guide presents Cinema Cocina, the gastronomic section of the Malaga Festival</t>
  </si>
  <si>
    <t>With the “Cinema and Gastronomy” activity, the public will have the opportunity to attend a film series in which documentaries,...</t>
  </si>
  <si>
    <r>
      <rPr>
        <rFont val="Arial, sans-serif"/>
        <color rgb="FF1155CC"/>
        <sz val="9.0"/>
        <u/>
      </rPr>
      <t>Guía Repsol</t>
    </r>
    <r>
      <rPr>
        <rFont val="Arial, sans-serif"/>
        <color rgb="FF1155CC"/>
        <sz val="15.0"/>
        <u/>
      </rPr>
      <t>Si vas a Calatayud, pregunta por el Mesón de la Dolores</t>
    </r>
    <r>
      <rPr>
        <rFont val="Arial, sans-serif"/>
        <color rgb="FF1155CC"/>
        <sz val="11.0"/>
        <u/>
      </rPr>
      <t>La Dolores, un Solete con Soltera, se ha asentado como uno de los establecimientos que mejor representa la tradición gastronómica de Aragón.</t>
    </r>
    <r>
      <rPr>
        <rFont val="Arial, sans-serif"/>
        <color rgb="FF1155CC"/>
        <sz val="12.0"/>
        <u/>
      </rPr>
      <t>.</t>
    </r>
    <r>
      <rPr>
        <rFont val="Arial, sans-serif"/>
        <color rgb="FF1155CC"/>
        <sz val="11.0"/>
        <u/>
      </rPr>
      <t>13 dic 2024</t>
    </r>
  </si>
  <si>
    <t>Si vas a Calatayud, pregunta por el Mesón de la Dolores</t>
  </si>
  <si>
    <t>La Dolores, un Solete con Soltera, se ha asentado como uno de los establecimientos que mejor representa la tradición gastronómica de Aragón.</t>
  </si>
  <si>
    <t>If you go to Calatayud, ask for Mesón de la Dolores</t>
  </si>
  <si>
    <t>La Dolores, a Solete con Soltera, has established itself as one of the establishments that best represents the gastronomic tradition of Aragon.</t>
  </si>
  <si>
    <r>
      <rPr>
        <rFont val="Arial, sans-serif"/>
        <color rgb="FF1155CC"/>
        <sz val="9.0"/>
        <u/>
      </rPr>
      <t>Guía Repsol</t>
    </r>
    <r>
      <rPr>
        <rFont val="Arial, sans-serif"/>
        <color rgb="FF1155CC"/>
        <sz val="15.0"/>
        <u/>
      </rPr>
      <t>Dónde comer en Sitges: recomendaciones del chef Oriol Castro</t>
    </r>
    <r>
      <rPr>
        <rFont val="Arial, sans-serif"/>
        <color rgb="FF1155CC"/>
        <sz val="11.0"/>
        <u/>
      </rPr>
      <t>Descubre los mejores restaurantes de Sitges según Oriol Castro. El reconocido chef te revela sus rincones favoritos para disfrutar de la gastronomía local.</t>
    </r>
    <r>
      <rPr>
        <rFont val="Arial, sans-serif"/>
        <color rgb="FF1155CC"/>
        <sz val="12.0"/>
        <u/>
      </rPr>
      <t>.</t>
    </r>
    <r>
      <rPr>
        <rFont val="Arial, sans-serif"/>
        <color rgb="FF1155CC"/>
        <sz val="11.0"/>
        <u/>
      </rPr>
      <t>13 dic 2024</t>
    </r>
  </si>
  <si>
    <t>Dónde comer en Sitges: recomendaciones del chef Oriol Castro</t>
  </si>
  <si>
    <t>Descubre los mejores restaurantes de Sitges según Oriol Castro. El reconocido chef te revela sus rincones favoritos para disfrutar de la gastronomía local.</t>
  </si>
  <si>
    <t>Where to eat in Sitges: recommendations from chef Oriol Castro</t>
  </si>
  <si>
    <t>Discover the best restaurants in Sitges according to Oriol Castro. The renowned chef reveals his favorite places to enjoy local cuisine.</t>
  </si>
  <si>
    <r>
      <rPr>
        <rFont val="Arial, sans-serif"/>
        <color rgb="FF1155CC"/>
        <sz val="9.0"/>
        <u/>
      </rPr>
      <t>Guía Repsol</t>
    </r>
    <r>
      <rPr>
        <rFont val="Arial, sans-serif"/>
        <color rgb="FF1155CC"/>
        <sz val="15.0"/>
        <u/>
      </rPr>
      <t>RESTAURANTES DE VALENCIA: 'LA SUCURSAL', 'LA MARÍTIMA' Y 'MALABAR'</t>
    </r>
    <r>
      <rPr>
        <rFont val="Arial, sans-serif"/>
        <color rgb="FF1155CC"/>
        <sz val="11.0"/>
        <u/>
      </rPr>
      <t>Nos adentramos en tres de los cinco restaurantes de la saga cocinera valenciana de Andrés, 'La Sucursal', 'La Marítima' y 'Malabar', que tienen en La Marina...</t>
    </r>
    <r>
      <rPr>
        <rFont val="Arial, sans-serif"/>
        <color rgb="FF1155CC"/>
        <sz val="12.0"/>
        <u/>
      </rPr>
      <t>.</t>
    </r>
    <r>
      <rPr>
        <rFont val="Arial, sans-serif"/>
        <color rgb="FF1155CC"/>
        <sz val="11.0"/>
        <u/>
      </rPr>
      <t>13 dic 2024</t>
    </r>
  </si>
  <si>
    <t>RESTAURANTES DE VALENCIA: 'LA SUCURSAL', 'LA MARÍTIMA' Y 'MALABAR'</t>
  </si>
  <si>
    <t>Nos adentramos en tres de los cinco restaurantes de la saga cocinera valenciana de Andrés, 'La Sucursal', 'La Marítima' y 'Malabar', que tienen en La Marina....</t>
  </si>
  <si>
    <t>RESTAURANTS IN VALENCIA: 'LA SUCURSAL', 'LA MARÍTIMA' AND 'MALABAR'</t>
  </si>
  <si>
    <t>We delve into three of the five restaurants in Andrés' Valencian cooking saga, 'La Sucursal', 'La Marítima' and 'Malabar', which they have in La Marina....</t>
  </si>
  <si>
    <r>
      <rPr>
        <rFont val="Arial, sans-serif"/>
        <color rgb="FF1155CC"/>
        <sz val="9.0"/>
        <u/>
      </rPr>
      <t>Diario de León</t>
    </r>
    <r>
      <rPr>
        <rFont val="Arial, sans-serif"/>
        <color rgb="FF1155CC"/>
        <sz val="15.0"/>
        <u/>
      </rPr>
      <t>Páramo del Sil planta cara a los molinos de Repsol y esta pone el Ponfeblino como moneda de cambio</t>
    </r>
    <r>
      <rPr>
        <rFont val="Arial, sans-serif"/>
        <color rgb="FF1155CC"/>
        <sz val="11.0"/>
        <u/>
      </rPr>
      <t>El Ayuntamiento rechaza el desarrollo de varios proyectos eólicos que comprometen un espacio de alto valor ecológico, con presencia de oso pardo y urogallo,...</t>
    </r>
    <r>
      <rPr>
        <rFont val="Arial, sans-serif"/>
        <color rgb="FF1155CC"/>
        <sz val="12.0"/>
        <u/>
      </rPr>
      <t>.</t>
    </r>
    <r>
      <rPr>
        <rFont val="Arial, sans-serif"/>
        <color rgb="FF1155CC"/>
        <sz val="11.0"/>
        <u/>
      </rPr>
      <t>13 dic 2024</t>
    </r>
  </si>
  <si>
    <t>Páramo del Sil planta cara a los molinos de Repsol y esta pone el Ponfeblino como moneda de cambio</t>
  </si>
  <si>
    <t>El Ayuntamiento rechaza el desarrollo de varios proyectos eólicos que comprometen un espacio de alto valor ecológico, con presencia de oso pardo y urogallo.</t>
  </si>
  <si>
    <t>Páramo del Sil stands up to Repsol's mills and it uses the Ponfeblino as a currency</t>
  </si>
  <si>
    <t>The City Council rejects the development of several wind projects that compromise an area of ​​high ecological value, with the presence of brown bear and capercaillie.</t>
  </si>
  <si>
    <t>Repsol, wind projects, Ponfeblino, ecological impact</t>
  </si>
  <si>
    <t>Repsol, proyectos eólicos, Ponfeblino, impacto ecológico</t>
  </si>
  <si>
    <t>Negative sentiment, emphasizing opposition to Repsol’s projects.</t>
  </si>
  <si>
    <t>planta cara</t>
  </si>
  <si>
    <t>Negative for local opposition to projects.</t>
  </si>
  <si>
    <t>Negativo para la oposición local a los proyectos.</t>
  </si>
  <si>
    <r>
      <rPr>
        <rFont val="Arial, sans-serif"/>
        <color rgb="FF1155CC"/>
        <sz val="9.0"/>
        <u/>
      </rPr>
      <t>Guía Repsol</t>
    </r>
    <r>
      <rPr>
        <rFont val="Arial, sans-serif"/>
        <color rgb="FF1155CC"/>
        <sz val="15.0"/>
        <u/>
      </rPr>
      <t>Soletes Guía Respol: Los mejores restaurantes para comer barato en el centro de Santander</t>
    </r>
    <r>
      <rPr>
        <rFont val="Arial, sans-serif"/>
        <color rgb="FF1155CC"/>
        <sz val="11.0"/>
        <u/>
      </rPr>
      <t>Tomar un café con vistas a una de las bahías más bellas de España y descubrir platos audaces que sorprenden de verdad. Arroz con almejas, rabas bien fritas...</t>
    </r>
    <r>
      <rPr>
        <rFont val="Arial, sans-serif"/>
        <color rgb="FF1155CC"/>
        <sz val="12.0"/>
        <u/>
      </rPr>
      <t>.</t>
    </r>
    <r>
      <rPr>
        <rFont val="Arial, sans-serif"/>
        <color rgb="FF1155CC"/>
        <sz val="11.0"/>
        <u/>
      </rPr>
      <t>13 dic 2024</t>
    </r>
  </si>
  <si>
    <t>Soletes Guía Repsol: Los mejores restaurantes para comer barato en el centro de Santander</t>
  </si>
  <si>
    <t>Tomar un café con vistas a una de las bahías más bellas de España y descubrir platos audaces que sorprenden de verdad. Arroz con almejas, rabas bien fritas....</t>
  </si>
  <si>
    <t>Soletes Repsol Guide: The best restaurants to eat cheaply in the center of Santander</t>
  </si>
  <si>
    <t>Have a coffee with views of one of the most beautiful bays in Spain and discover bold dishes that truly surprise. Rice with clams, fried tails...</t>
  </si>
  <si>
    <r>
      <rPr>
        <rFont val="Arial, sans-serif"/>
        <color rgb="FF1155CC"/>
        <sz val="9.0"/>
        <u/>
      </rPr>
      <t>Bolsamania</t>
    </r>
    <r>
      <rPr>
        <rFont val="Arial, sans-serif"/>
        <color rgb="FF1155CC"/>
        <sz val="15.0"/>
        <u/>
      </rPr>
      <t>Consultorio de análisis técnico: Repsol, BBVA, IAG, Amper, Elecnor, S&amp;P 500, Grenergy...</t>
    </r>
    <r>
      <rPr>
        <rFont val="Arial, sans-serif"/>
        <color rgb="FF1155CC"/>
        <sz val="11.0"/>
        <u/>
      </rPr>
      <t>A continuación, damos respuesta a los valores por los que más han preguntado este jueves a César Nuez, analista técnico de 'Bolsamanía', que pone bajo la...</t>
    </r>
    <r>
      <rPr>
        <rFont val="Arial, sans-serif"/>
        <color rgb="FF1155CC"/>
        <sz val="12.0"/>
        <u/>
      </rPr>
      <t>.</t>
    </r>
    <r>
      <rPr>
        <rFont val="Arial, sans-serif"/>
        <color rgb="FF1155CC"/>
        <sz val="11.0"/>
        <u/>
      </rPr>
      <t>13 dic 2024</t>
    </r>
  </si>
  <si>
    <t>Consultorio de análisis técnico: Repsol, BBVA, IAG, Amper, Elecnor, S&amp;P 500, Grenergy...</t>
  </si>
  <si>
    <t>Technical analysis consultancy: Repsol, BBVA, IAG, Amper, Elecnor, S&amp;P 500, Grenergy...</t>
  </si>
  <si>
    <t>Repsol, BBVA, stocks, technical analysis</t>
  </si>
  <si>
    <t>Repsol, BBVA, bolsas, análisis técnico</t>
  </si>
  <si>
    <t>Positive sentiment, providing investment insights.</t>
  </si>
  <si>
    <t>Neutral (financial).</t>
  </si>
  <si>
    <t>Neutral (financiero).</t>
  </si>
  <si>
    <r>
      <rPr>
        <rFont val="Arial, sans-serif"/>
        <color rgb="FF1155CC"/>
        <sz val="9.0"/>
        <u/>
      </rPr>
      <t>Guía Repsol</t>
    </r>
    <r>
      <rPr>
        <rFont val="Arial, sans-serif"/>
        <color rgb="FF1155CC"/>
        <sz val="15.0"/>
        <u/>
      </rPr>
      <t>Los restaurantes favoritos de los reyes y las infantas</t>
    </r>
    <r>
      <rPr>
        <rFont val="Arial, sans-serif"/>
        <color rgb="FF1155CC"/>
        <sz val="11.0"/>
        <u/>
      </rPr>
      <t>Seguimos la pista de todos esos restaurantes donde el rey Felipe VI y su familia se han dejado ver en los últimos meses. Y no sólo en Madrid, su residencia,...</t>
    </r>
    <r>
      <rPr>
        <rFont val="Arial, sans-serif"/>
        <color rgb="FF1155CC"/>
        <sz val="12.0"/>
        <u/>
      </rPr>
      <t>.</t>
    </r>
    <r>
      <rPr>
        <rFont val="Arial, sans-serif"/>
        <color rgb="FF1155CC"/>
        <sz val="11.0"/>
        <u/>
      </rPr>
      <t>13 dic 2024</t>
    </r>
  </si>
  <si>
    <t>Los restaurantes favoritos de los reyes y las infantas</t>
  </si>
  <si>
    <t>Seguimos la pista de todos esos restaurantes donde el rey Felipe VI y su familia se han dejado ver en los últimos meses. Y no sólo en Madrid, su residencia,...</t>
  </si>
  <si>
    <t>The favorite restaurants of the kings and princesses</t>
  </si>
  <si>
    <t>We keep track of all those restaurants where King Felipe VI and his family have been seen in recent months. And not only in Madrid, his residence,...</t>
  </si>
  <si>
    <r>
      <rPr>
        <rFont val="Arial, sans-serif"/>
        <color rgb="FF1155CC"/>
        <sz val="9.0"/>
        <u/>
      </rPr>
      <t>elDiario.es</t>
    </r>
    <r>
      <rPr>
        <rFont val="Arial, sans-serif"/>
        <color rgb="FF1155CC"/>
        <sz val="15.0"/>
        <u/>
      </rPr>
      <t>El Alto Sil alerta al Ministerio de que tres proyectos eólicos de Repsol en Gistredo amenazan al urogallo cantábrico</t>
    </r>
    <r>
      <rPr>
        <rFont val="Arial, sans-serif"/>
        <color rgb="FF1155CC"/>
        <sz val="11.0"/>
        <u/>
      </rPr>
      <t>El Ayuntamiento, pedanías y colectivos piden la máxima sensibilidad al Ministerio para la Transición Ecológica y el Reto Demográfico, que en pocas semanas...</t>
    </r>
    <r>
      <rPr>
        <rFont val="Arial, sans-serif"/>
        <color rgb="FF1155CC"/>
        <sz val="12.0"/>
        <u/>
      </rPr>
      <t>.</t>
    </r>
    <r>
      <rPr>
        <rFont val="Arial, sans-serif"/>
        <color rgb="FF1155CC"/>
        <sz val="11.0"/>
        <u/>
      </rPr>
      <t>13 dic 2024</t>
    </r>
  </si>
  <si>
    <t>El Alto Sil alerta al Ministerio de que tres proyectos eólicos de Repsol en Gistredo amenazan al urogallo cantábrico</t>
  </si>
  <si>
    <t>El Ayuntamiento, pedanías y colectivos piden la máxima sensibilidad al Ministerio para la Transición Ecológica y el Reto Demográfico, que en pocas semanas....</t>
  </si>
  <si>
    <t>Alto Sil alerts the Ministry that three Repsol wind projects in Gistredo threaten the Cantabrian capercaillie</t>
  </si>
  <si>
    <t>The City Council, districts and groups ask for maximum sensitivity from the Ministry for the Ecological Transition and the Demographic Challenge, which in a few weeks...</t>
  </si>
  <si>
    <t>Repsol, wind projects, Cantabrian capercaillie</t>
  </si>
  <si>
    <t>Repsol, proyectos eólicos, urogallo cantábrico</t>
  </si>
  <si>
    <t>Negative sentiment, opposing environmental risks posed by Repsol projects.</t>
  </si>
  <si>
    <t>Negative for ecological concerns.</t>
  </si>
  <si>
    <t>Negativo por motivos ecológicos.</t>
  </si>
  <si>
    <r>
      <rPr>
        <rFont val="Arial, sans-serif"/>
        <color rgb="FF1155CC"/>
        <sz val="9.0"/>
        <u/>
      </rPr>
      <t>Guía Repsol</t>
    </r>
    <r>
      <rPr>
        <rFont val="Arial, sans-serif"/>
        <color rgb="FF1155CC"/>
        <sz val="15.0"/>
        <u/>
      </rPr>
      <t>El festival Chefs on fire llega a Madrid</t>
    </r>
    <r>
      <rPr>
        <rFont val="Arial, sans-serif"/>
        <color rgb="FF1155CC"/>
        <sz val="11.0"/>
        <u/>
      </rPr>
      <t>Chefs on Fire enciende Madrid. Disfruta de un fin de semana lleno de fuego, música y alta cocina en el Real Jardín Botánico. Fuego, música y gastronomía...</t>
    </r>
    <r>
      <rPr>
        <rFont val="Arial, sans-serif"/>
        <color rgb="FF1155CC"/>
        <sz val="12.0"/>
        <u/>
      </rPr>
      <t>.</t>
    </r>
    <r>
      <rPr>
        <rFont val="Arial, sans-serif"/>
        <color rgb="FF1155CC"/>
        <sz val="11.0"/>
        <u/>
      </rPr>
      <t>13 dic 2024</t>
    </r>
  </si>
  <si>
    <t>El festival Chefs on fire llega a Madrid</t>
  </si>
  <si>
    <t>Disfruta de un fin de semana lleno de fuego, música y alta cocina en el Real Jardín Botánico. Fuego, música y gastronomía....</t>
  </si>
  <si>
    <t>The Chefs on Fire festival arrives in Madrid</t>
  </si>
  <si>
    <t>Enjoy a weekend full of fire, music and haute cuisine at the Royal Botanical Garden. Fire, music and gastronomy....</t>
  </si>
  <si>
    <r>
      <rPr>
        <rFont val="Arial, sans-serif"/>
        <color rgb="FF1155CC"/>
        <sz val="9.0"/>
        <u/>
      </rPr>
      <t>Bolsamania</t>
    </r>
    <r>
      <rPr>
        <rFont val="Arial, sans-serif"/>
        <color rgb="FF1155CC"/>
        <sz val="15.0"/>
        <u/>
      </rPr>
      <t>Economía.- Repsol, gran vencedora de los 'Oscar' energéticos con tres galardones, incluido el de Empresa del Año</t>
    </r>
    <r>
      <rPr>
        <rFont val="Arial, sans-serif"/>
        <color rgb="FF1155CC"/>
        <sz val="11.0"/>
        <u/>
      </rPr>
      <t>MADRID, 13 (EUROPA PRESS) Repsol ha sido la gran vencedora de los 'Platts' Global Energy Awards, considerados los 'Oscar' del sector energético,...</t>
    </r>
    <r>
      <rPr>
        <rFont val="Arial, sans-serif"/>
        <color rgb="FF1155CC"/>
        <sz val="12.0"/>
        <u/>
      </rPr>
      <t>.</t>
    </r>
    <r>
      <rPr>
        <rFont val="Arial, sans-serif"/>
        <color rgb="FF1155CC"/>
        <sz val="11.0"/>
        <u/>
      </rPr>
      <t>13 dic 2024</t>
    </r>
  </si>
  <si>
    <t>Repsol, gran vencedora de los 'Oscar' energéticos con tres galardones, incluido el de Empresa del Año</t>
  </si>
  <si>
    <t>Repsol ha sido la gran vencedora de los 'Platts' Global Energy Awards, considerados los 'Oscar' del sector energético.</t>
  </si>
  <si>
    <t>Repsol, big winner of the energy 'Oscars' with three awards, including Company of the Year</t>
  </si>
  <si>
    <t>Repsol has been the great winner of the 'Platts' Global Energy Awards, considered the 'Oscars' of the energy sector.</t>
  </si>
  <si>
    <t>Repsol, Platts Global Energy Awards</t>
  </si>
  <si>
    <t>Repsol, Premios Platts Global Energy</t>
  </si>
  <si>
    <t>Strongly positive sentiment, recognizing Repsol’s achievements.</t>
  </si>
  <si>
    <t>vencedora, "galardones"</t>
  </si>
  <si>
    <t>Highly positive for industry awards.</t>
  </si>
  <si>
    <t>Muy positivo para los premios del sector.</t>
  </si>
  <si>
    <r>
      <rPr>
        <rFont val="Arial, sans-serif"/>
        <color rgb="FF1155CC"/>
        <sz val="9.0"/>
        <u/>
      </rPr>
      <t>Guía Repsol</t>
    </r>
    <r>
      <rPr>
        <rFont val="Arial, sans-serif"/>
        <color rgb="FF1155CC"/>
        <sz val="15.0"/>
        <u/>
      </rPr>
      <t>Nunca creerías que estos establecimiento albergan un restaurante donde comer así de rico y barato</t>
    </r>
    <r>
      <rPr>
        <rFont val="Arial, sans-serif"/>
        <color rgb="FF1155CC"/>
        <sz val="11.0"/>
        <u/>
      </rPr>
      <t>Hay bares, restaurantes y pastelerías que merecen una parada en el viaje solo por el pasado del local que los albergan: una coctelería en una cueva,...</t>
    </r>
    <r>
      <rPr>
        <rFont val="Arial, sans-serif"/>
        <color rgb="FF1155CC"/>
        <sz val="12.0"/>
        <u/>
      </rPr>
      <t>.</t>
    </r>
    <r>
      <rPr>
        <rFont val="Arial, sans-serif"/>
        <color rgb="FF1155CC"/>
        <sz val="11.0"/>
        <u/>
      </rPr>
      <t>13 dic 2024</t>
    </r>
  </si>
  <si>
    <t>Nunca creerías que estos establecimiento albergan un restaurante donde comer así de rico y barato</t>
  </si>
  <si>
    <t>Nunca creerías que estos establecimiento albergan un restaurante donde comer así de rico y barato. Hay bares, restaurantes y pastelerías que merecen una parada en el viaje solo por el pasado del local que los albergan: una coctelería en una cueva,....</t>
  </si>
  <si>
    <t>You would never believe that these establishments house a restaurant where you can eat this delicious and cheap.</t>
  </si>
  <si>
    <t>You would never believe that these establishments house a restaurant where you can eat this delicious and cheap. There are bars, restaurants and pastry shops that deserve a stop on the trip just because of the past of the place that houses them: a cocktail bar in a cave,...</t>
  </si>
  <si>
    <r>
      <rPr>
        <rFont val="Arial, sans-serif"/>
        <color rgb="FF1155CC"/>
        <sz val="9.0"/>
        <u/>
      </rPr>
      <t>Guía Repsol</t>
    </r>
    <r>
      <rPr>
        <rFont val="Arial, sans-serif"/>
        <color rgb="FF1155CC"/>
        <sz val="15.0"/>
        <u/>
      </rPr>
      <t>Hotel 'Finca Micalas' (Bocairent, Valencia)</t>
    </r>
    <r>
      <rPr>
        <rFont val="Arial, sans-serif"/>
        <color rgb="FF1155CC"/>
        <sz val="11.0"/>
        <u/>
      </rPr>
      <t>A poco más de una hora de Valencia y de Alicante está la 'Finca Micalas', una masía apartada y silenciosa de siete habitaciones cuyas vistas a la Serra de...</t>
    </r>
    <r>
      <rPr>
        <rFont val="Arial, sans-serif"/>
        <color rgb="FF1155CC"/>
        <sz val="12.0"/>
        <u/>
      </rPr>
      <t>.</t>
    </r>
    <r>
      <rPr>
        <rFont val="Arial, sans-serif"/>
        <color rgb="FF1155CC"/>
        <sz val="11.0"/>
        <u/>
      </rPr>
      <t>13 dic 2024</t>
    </r>
  </si>
  <si>
    <t>Finca Micalas: un refugio silencioso en la Serra de......</t>
  </si>
  <si>
    <t>A poco más de una hora de Valencia y de Alicante está la 'Finca Micalas', una masía apartada y silenciosa de siete habitaciones cuyas vistas a la Serra de....</t>
  </si>
  <si>
    <t>Finca Micalas: a silent refuge in the Serra de......</t>
  </si>
  <si>
    <t>Just over an hour from Valencia and Alicante is 'Finca Micalas', a secluded and silent farmhouse with seven rooms with views of the Serra de...</t>
  </si>
  <si>
    <r>
      <rPr>
        <rFont val="Arial, sans-serif"/>
        <color rgb="FF1155CC"/>
        <sz val="9.0"/>
        <u/>
      </rPr>
      <t>Guía Repsol</t>
    </r>
    <r>
      <rPr>
        <rFont val="Arial, sans-serif"/>
        <color rgb="FF1155CC"/>
        <sz val="15.0"/>
        <u/>
      </rPr>
      <t>8 excursiones desde Málaga para hacer en familia y animar a los más peques</t>
    </r>
    <r>
      <rPr>
        <rFont val="Arial, sans-serif"/>
        <color rgb="FF1155CC"/>
        <sz val="11.0"/>
        <u/>
      </rPr>
      <t>Ponemos rumbo al sur para conocer algunas de las rutas senderistas y espacios naturales de la provincia de Málaga para visitar en familia.</t>
    </r>
    <r>
      <rPr>
        <rFont val="Arial, sans-serif"/>
        <color rgb="FF1155CC"/>
        <sz val="12.0"/>
        <u/>
      </rPr>
      <t>.</t>
    </r>
    <r>
      <rPr>
        <rFont val="Arial, sans-serif"/>
        <color rgb="FF1155CC"/>
        <sz val="11.0"/>
        <u/>
      </rPr>
      <t>13 dic 2024</t>
    </r>
  </si>
  <si>
    <t>8 excursiones desde Málaga para hacer en familia y animar a los más peques</t>
  </si>
  <si>
    <t>Ponemos rumbo al sur para conocer algunas de las rutas senderistas y espacios naturales de la provincia de Málaga para visitar en familia.</t>
  </si>
  <si>
    <t>8 excursions from Malaga to do with the family and encourage the little ones</t>
  </si>
  <si>
    <t>We head south to discover some of the hiking routes and natural spaces in the province of Malaga to visit with the family.</t>
  </si>
  <si>
    <r>
      <rPr>
        <rFont val="Arial, sans-serif"/>
        <color rgb="FF1155CC"/>
        <sz val="9.0"/>
        <u/>
      </rPr>
      <t>Guía Repsol</t>
    </r>
    <r>
      <rPr>
        <rFont val="Arial, sans-serif"/>
        <color rgb="FF1155CC"/>
        <sz val="15.0"/>
        <u/>
      </rPr>
      <t>El irrepetible restaurante de Inma y Chicote: Restaurante ‘Omeraki’</t>
    </r>
    <r>
      <rPr>
        <rFont val="Arial, sans-serif"/>
        <color rgb="FF1155CC"/>
        <sz val="11.0"/>
        <u/>
      </rPr>
      <t>37 años después de empezar a trabajar con solo 17, Alberto Chicote ha construido junto con su socia y pareja, Inma Nuñez, el restaurante que siempre...</t>
    </r>
    <r>
      <rPr>
        <rFont val="Arial, sans-serif"/>
        <color rgb="FF1155CC"/>
        <sz val="12.0"/>
        <u/>
      </rPr>
      <t>.</t>
    </r>
    <r>
      <rPr>
        <rFont val="Arial, sans-serif"/>
        <color rgb="FF1155CC"/>
        <sz val="11.0"/>
        <u/>
      </rPr>
      <t>13 dic 2024</t>
    </r>
  </si>
  <si>
    <t>El irrepetible restaurante de Inma y Chicote: Restaurante ‘Omeraki’</t>
  </si>
  <si>
    <t>37 años después de empezar a trabajar con solo 17, Alberto Chicote ha construido junto con su socia y pareja, Inma Nuñez, el restaurante que siempre....</t>
  </si>
  <si>
    <t>The unrepeatable restaurant of Inma and Chicote: 'Omeraki' Restaurant</t>
  </si>
  <si>
    <t>37 years after starting to work at just 17, Alberto Chicote has built, together with his partner and partner, Inma Nuñez, the restaurant that has always...</t>
  </si>
  <si>
    <r>
      <rPr>
        <rFont val="Arial, sans-serif"/>
        <color rgb="FF1155CC"/>
        <sz val="9.0"/>
        <u/>
      </rPr>
      <t>Guía Repsol</t>
    </r>
    <r>
      <rPr>
        <rFont val="Arial, sans-serif"/>
        <color rgb="FF1155CC"/>
        <sz val="15.0"/>
        <u/>
      </rPr>
      <t>Restaurante ‘Atempo’ (Barcelona)</t>
    </r>
    <r>
      <rPr>
        <rFont val="Arial, sans-serif"/>
        <color rgb="FF1155CC"/>
        <sz val="11.0"/>
        <u/>
      </rPr>
      <t>Jordi Cruz devolvió en 2021 a Barcelona su restaurante emplazado en La Fortalesa de Sant Julià de Ramis (Girona). La nueva mirada de este tercer 'Atempo'...</t>
    </r>
    <r>
      <rPr>
        <rFont val="Arial, sans-serif"/>
        <color rgb="FF1155CC"/>
        <sz val="12.0"/>
        <u/>
      </rPr>
      <t>.</t>
    </r>
    <r>
      <rPr>
        <rFont val="Arial, sans-serif"/>
        <color rgb="FF1155CC"/>
        <sz val="11.0"/>
        <u/>
      </rPr>
      <t>13 dic 2024</t>
    </r>
  </si>
  <si>
    <t>Restaurante ‘Atempo’ devuelve su esencia a Barcelona con una nueva mirada.</t>
  </si>
  <si>
    <t>La nueva mirada de este tercer 'Atempo'....</t>
  </si>
  <si>
    <t>Restaurant 'Atempo' returns its essence to Barcelona with a new look.</t>
  </si>
  <si>
    <t>The new look of this third 'Atempo'....</t>
  </si>
  <si>
    <r>
      <rPr>
        <rFont val="Arial, sans-serif"/>
        <color rgb="FF1155CC"/>
        <sz val="9.0"/>
        <u/>
      </rPr>
      <t>Guía Repsol</t>
    </r>
    <r>
      <rPr>
        <rFont val="Arial, sans-serif"/>
        <color rgb="FF1155CC"/>
        <sz val="15.0"/>
        <u/>
      </rPr>
      <t>Las mejores heladerías en Tenerife según los chefs</t>
    </r>
    <r>
      <rPr>
        <rFont val="Arial, sans-serif"/>
        <color rgb="FF1155CC"/>
        <sz val="11.0"/>
        <u/>
      </rPr>
      <t>La Gelateria by Royal Hidway en Santa Cruz de Tenerife, Il Gelato del Mercato en Los Cristianos y Picacho en El Médano son las heladerías de Tenerife...</t>
    </r>
    <r>
      <rPr>
        <rFont val="Arial, sans-serif"/>
        <color rgb="FF1155CC"/>
        <sz val="12.0"/>
        <u/>
      </rPr>
      <t>.</t>
    </r>
    <r>
      <rPr>
        <rFont val="Arial, sans-serif"/>
        <color rgb="FF1155CC"/>
        <sz val="11.0"/>
        <u/>
      </rPr>
      <t>13 dic 2024</t>
    </r>
  </si>
  <si>
    <t>La Gelateria by Royal Hidway en Santa Cruz de Tenerife, Il Gelato del Mercato en Los Cristianos y Picacho en El Médano son las heladerías de Tenerife.</t>
  </si>
  <si>
    <t>La Gelateria by Royal Hidway in Santa Cruz de Tenerife, Il Gelato del Mercato in Los Cristianos and Picacho in El Médano are the ice cream shops in Tenerife.</t>
  </si>
  <si>
    <r>
      <rPr>
        <rFont val="Arial, sans-serif"/>
        <color rgb="FF1155CC"/>
        <sz val="9.0"/>
        <u/>
      </rPr>
      <t>Guía Repsol</t>
    </r>
    <r>
      <rPr>
        <rFont val="Arial, sans-serif"/>
        <color rgb="FF1155CC"/>
        <sz val="15.0"/>
        <u/>
      </rPr>
      <t>Soletes: dónde comer rico y barato en Santiago de Compostela</t>
    </r>
    <r>
      <rPr>
        <rFont val="Arial, sans-serif"/>
        <color rgb="FF1155CC"/>
        <sz val="11.0"/>
        <u/>
      </rPr>
      <t>El 25 de julio, Santiago Apóstol, es un día grande en el santoral patrio y especialmente para los gallegos, con la celebración del Día de Galicia.</t>
    </r>
    <r>
      <rPr>
        <rFont val="Arial, sans-serif"/>
        <color rgb="FF1155CC"/>
        <sz val="12.0"/>
        <u/>
      </rPr>
      <t>.</t>
    </r>
    <r>
      <rPr>
        <rFont val="Arial, sans-serif"/>
        <color rgb="FF1155CC"/>
        <sz val="11.0"/>
        <u/>
      </rPr>
      <t>13 dic 2024</t>
    </r>
  </si>
  <si>
    <t>Soletes: dónde comer rico y barato en Santiago de Compostela</t>
  </si>
  <si>
    <t>El 25 de julio, Santiago Apóstol, es un día grande en el santoral patrio y especialmente para los gallegos, con la celebración del Día de Galicia.</t>
  </si>
  <si>
    <t>Soletes: where to eat delicious and cheap in Santiago de Compostela</t>
  </si>
  <si>
    <t>July 25, Santiago Apóstol, is a big day in the national saints and especially for Galicians, with the celebration of Galicia Day.</t>
  </si>
  <si>
    <r>
      <rPr>
        <rFont val="Arial, sans-serif"/>
        <color rgb="FF1155CC"/>
        <sz val="9.0"/>
        <u/>
      </rPr>
      <t>Guía Repsol</t>
    </r>
    <r>
      <rPr>
        <rFont val="Arial, sans-serif"/>
        <color rgb="FF1155CC"/>
        <sz val="15.0"/>
        <u/>
      </rPr>
      <t>Los nuevos platos de 'El Campero' (Barbate, Cádiz)</t>
    </r>
    <r>
      <rPr>
        <rFont val="Arial, sans-serif"/>
        <color rgb="FF1155CC"/>
        <sz val="11.0"/>
        <u/>
      </rPr>
      <t>Julio Vázquez estrena nuevo menú en 'El Campero', una propuesta llena de sorpresas entre gildas de tarantelo, carpaccios o tiraditos de descargado.</t>
    </r>
    <r>
      <rPr>
        <rFont val="Arial, sans-serif"/>
        <color rgb="FF1155CC"/>
        <sz val="12.0"/>
        <u/>
      </rPr>
      <t>.</t>
    </r>
    <r>
      <rPr>
        <rFont val="Arial, sans-serif"/>
        <color rgb="FF1155CC"/>
        <sz val="11.0"/>
        <u/>
      </rPr>
      <t>13 dic 2024</t>
    </r>
  </si>
  <si>
    <t>Los nuevos platos de 'El Campero' (Barbate, Cádiz)</t>
  </si>
  <si>
    <t>Julio Vázquez estrena nuevo menú en 'El Campero', una propuesta llena de sorpresas entre gildas de tarantelo, carpaccios o tiraditos de descargado.</t>
  </si>
  <si>
    <t>The new dishes from 'El Campero' (Barbate, Cádiz)</t>
  </si>
  <si>
    <t>Julio Vázquez debuts a new menu at 'El Campero', a proposal full of surprises between tarantelo gildas, carpaccios or discharged tiraditos.</t>
  </si>
  <si>
    <r>
      <rPr>
        <rFont val="Arial, sans-serif"/>
        <color rgb="FF1155CC"/>
        <sz val="9.0"/>
        <u/>
      </rPr>
      <t>Guía Repsol</t>
    </r>
    <r>
      <rPr>
        <rFont val="Arial, sans-serif"/>
        <color rgb="FF1155CC"/>
        <sz val="15.0"/>
        <u/>
      </rPr>
      <t>15 lugares donde comer el mejor pulpo de Galicia</t>
    </r>
    <r>
      <rPr>
        <rFont val="Arial, sans-serif"/>
        <color rgb="FF1155CC"/>
        <sz val="11.0"/>
        <u/>
      </rPr>
      <t>Años de tradición, oficio y maestría. Estos es la ruta de 15 lugares que Guía Repsol ha seleccionado para disfrutar del pulpo en Galicia.</t>
    </r>
    <r>
      <rPr>
        <rFont val="Arial, sans-serif"/>
        <color rgb="FF1155CC"/>
        <sz val="12.0"/>
        <u/>
      </rPr>
      <t>.</t>
    </r>
    <r>
      <rPr>
        <rFont val="Arial, sans-serif"/>
        <color rgb="FF1155CC"/>
        <sz val="11.0"/>
        <u/>
      </rPr>
      <t>13 dic 2024</t>
    </r>
  </si>
  <si>
    <t>15 lugares donde comer el mejor pulpo de Galicia</t>
  </si>
  <si>
    <t>Años de tradición, oficio y maestría. Estos es la ruta de 15 lugares que Guía Repsol ha seleccionado para disfrutar del pulpo en Galicia.</t>
  </si>
  <si>
    <t>15 places to eat the best octopus in Galicia</t>
  </si>
  <si>
    <t>Years of tradition, craft and mastery. These are the route of 15 places that the Repsol Guide has selected to enjoy octopus in Galicia.</t>
  </si>
  <si>
    <r>
      <rPr>
        <rFont val="Arial, sans-serif"/>
        <color rgb="FF1155CC"/>
        <sz val="9.0"/>
        <u/>
      </rPr>
      <t>Guía Repsol</t>
    </r>
    <r>
      <rPr>
        <rFont val="Arial, sans-serif"/>
        <color rgb="FF1155CC"/>
        <sz val="15.0"/>
        <u/>
      </rPr>
      <t>Un menú para Nochevieja al gusto de todos</t>
    </r>
    <r>
      <rPr>
        <rFont val="Arial, sans-serif"/>
        <color rgb="FF1155CC"/>
        <sz val="11.0"/>
        <u/>
      </rPr>
      <t>No está nada mal pensar en un menú navideño con los platos que más les gustan a la familia y allegados que se vayan a reunir. En lugar de los platos...</t>
    </r>
    <r>
      <rPr>
        <rFont val="Arial, sans-serif"/>
        <color rgb="FF1155CC"/>
        <sz val="12.0"/>
        <u/>
      </rPr>
      <t>.</t>
    </r>
    <r>
      <rPr>
        <rFont val="Arial, sans-serif"/>
        <color rgb="FF1155CC"/>
        <sz val="11.0"/>
        <u/>
      </rPr>
      <t>13 dic 2024</t>
    </r>
  </si>
  <si>
    <t>Un menú para Nochevieja al gusto de todos</t>
  </si>
  <si>
    <t>No está nada mal pensar en un menú navideño con los platos que más les gustan a la familia y allegados que se vayan a reunir. En lugar de los platos....</t>
  </si>
  <si>
    <t>A menu for New Year's Eve to everyone's taste</t>
  </si>
  <si>
    <t>It's not bad at all to think about a Christmas menu with the dishes that the family and friends who are going to gather like the most. Instead of plates....</t>
  </si>
  <si>
    <r>
      <rPr>
        <rFont val="Arial, sans-serif"/>
        <color rgb="FF1155CC"/>
        <sz val="9.0"/>
        <u/>
      </rPr>
      <t>Guía Repsol</t>
    </r>
    <r>
      <rPr>
        <rFont val="Arial, sans-serif"/>
        <color rgb="FF1155CC"/>
        <sz val="15.0"/>
        <u/>
      </rPr>
      <t>Los restaurantes favoritos de Andreu Genestra (Mallorca)</t>
    </r>
    <r>
      <rPr>
        <rFont val="Arial, sans-serif"/>
        <color rgb="FF1155CC"/>
        <sz val="11.0"/>
        <u/>
      </rPr>
      <t>Andreu Genestra es un enamorado de Mallorca y cuando sale de la cocina de sus restaurantes, se lanza a recorrer la isla en busca de sitios auténticos.</t>
    </r>
    <r>
      <rPr>
        <rFont val="Arial, sans-serif"/>
        <color rgb="FF1155CC"/>
        <sz val="12.0"/>
        <u/>
      </rPr>
      <t>.</t>
    </r>
    <r>
      <rPr>
        <rFont val="Arial, sans-serif"/>
        <color rgb="FF1155CC"/>
        <sz val="11.0"/>
        <u/>
      </rPr>
      <t>13 dic 2024</t>
    </r>
  </si>
  <si>
    <t>Los restaurantes favoritos de Andreu Genestra (Mallorca)</t>
  </si>
  <si>
    <t>Andreu Genestra es un enamorado de Mallorca y cuando sale de la cocina de sus restaurantes, se lanza a recorrer la isla en busca de sitios auténticos.</t>
  </si>
  <si>
    <t>Andreu Genestra's favorite restaurants (Mallorca)</t>
  </si>
  <si>
    <t>Andreu Genestra is in love with Mallorca and when he leaves the kitchen of his restaurants, he sets off to explore the island in search of authentic places.</t>
  </si>
  <si>
    <r>
      <rPr>
        <rFont val="Arial, sans-serif"/>
        <color rgb="FF1155CC"/>
        <sz val="9.0"/>
        <u/>
      </rPr>
      <t>Guía Repsol</t>
    </r>
    <r>
      <rPr>
        <rFont val="Arial, sans-serif"/>
        <color rgb="FF1155CC"/>
        <sz val="15.0"/>
        <u/>
      </rPr>
      <t>Qué ver en O’Grove: 11 sitios imprescindibles para visitar</t>
    </r>
    <r>
      <rPr>
        <rFont val="Arial, sans-serif"/>
        <color rgb="FF1155CC"/>
        <sz val="11.0"/>
        <u/>
      </rPr>
      <t>La península de O Grove, situada en el corazón de las Rías Baixas, en la entrada de la Ría de Arousa, es la combinación perfecta de turismo gastronómico, c.</t>
    </r>
    <r>
      <rPr>
        <rFont val="Arial, sans-serif"/>
        <color rgb="FF1155CC"/>
        <sz val="12.0"/>
        <u/>
      </rPr>
      <t>.</t>
    </r>
    <r>
      <rPr>
        <rFont val="Arial, sans-serif"/>
        <color rgb="FF1155CC"/>
        <sz val="11.0"/>
        <u/>
      </rPr>
      <t>13 dic 2024</t>
    </r>
  </si>
  <si>
    <t>Qué ver en O’Grove: 11 sitios imprescindibles para visitar</t>
  </si>
  <si>
    <t>La península de O Grove, situada en el corazón de las Rías Baixas, en la entrada de la Ría de Arousa, es la combinación perfecta de turismo gastronómico, c.</t>
  </si>
  <si>
    <t>What to see in O'Grove: 11 essential places to visit</t>
  </si>
  <si>
    <t>The O Grove peninsula, located in the heart of the Rías Baixas, at the entrance to the Ría de Arousa, is the perfect combination of gastronomic tourism, c.</t>
  </si>
  <si>
    <r>
      <rPr>
        <rFont val="Arial, sans-serif"/>
        <color rgb="FF1155CC"/>
        <sz val="9.0"/>
        <u/>
      </rPr>
      <t>Guía Repsol</t>
    </r>
    <r>
      <rPr>
        <rFont val="Arial, sans-serif"/>
        <color rgb="FF1155CC"/>
        <sz val="15.0"/>
        <u/>
      </rPr>
      <t>Dónde celebrar el día del orgullo en Madrid</t>
    </r>
    <r>
      <rPr>
        <rFont val="Arial, sans-serif"/>
        <color rgb="FF1155CC"/>
        <sz val="11.0"/>
        <u/>
      </rPr>
      <t>Te recomendamos nuestros mejores soletes para desayunar, comer y cenar en la semana del orgullo en Madrid, todos ellos en la zona clave de la celebración.</t>
    </r>
    <r>
      <rPr>
        <rFont val="Arial, sans-serif"/>
        <color rgb="FF1155CC"/>
        <sz val="12.0"/>
        <u/>
      </rPr>
      <t>.</t>
    </r>
    <r>
      <rPr>
        <rFont val="Arial, sans-serif"/>
        <color rgb="FF1155CC"/>
        <sz val="11.0"/>
        <u/>
      </rPr>
      <t>13 dic 2024</t>
    </r>
  </si>
  <si>
    <t>Dónde celebrar el día del orgullo en Madrid</t>
  </si>
  <si>
    <t>Te recomendamos nuestros mejores soletes para desayunar, comer y cenar en la semana del orgullo en Madrid, todos ellos en la zona clave de la celebración.</t>
  </si>
  <si>
    <t>Where to celebrate Pride Day in Madrid</t>
  </si>
  <si>
    <t>We recommend our best soletes for breakfast, lunch and dinner during Pride Week in Madrid, all of them in the key area of ​​the celebration.</t>
  </si>
  <si>
    <r>
      <rPr>
        <rFont val="Arial, sans-serif"/>
        <color rgb="FF1155CC"/>
        <sz val="9.0"/>
        <u/>
      </rPr>
      <t>Guía Repsol</t>
    </r>
    <r>
      <rPr>
        <rFont val="Arial, sans-serif"/>
        <color rgb="FF1155CC"/>
        <sz val="15.0"/>
        <u/>
      </rPr>
      <t>Córdoba es mucho más que su capital y estos pueblos bonitos son la prueba más clara</t>
    </r>
    <r>
      <rPr>
        <rFont val="Arial, sans-serif"/>
        <color rgb="FF1155CC"/>
        <sz val="11.0"/>
        <u/>
      </rPr>
      <t>Vive una experiencia única recorriendo los pueblos más bonitos de Córdoba. Desde cascos históricos llenos de encanto hasta paisajes de ensueño,...</t>
    </r>
    <r>
      <rPr>
        <rFont val="Arial, sans-serif"/>
        <color rgb="FF1155CC"/>
        <sz val="12.0"/>
        <u/>
      </rPr>
      <t>.</t>
    </r>
    <r>
      <rPr>
        <rFont val="Arial, sans-serif"/>
        <color rgb="FF1155CC"/>
        <sz val="11.0"/>
        <u/>
      </rPr>
      <t>13 dic 2024</t>
    </r>
  </si>
  <si>
    <t>Córdoba es mucho más que su capital y estos pueblos bonitos son la prueba más clara</t>
  </si>
  <si>
    <t>Vive una experiencia única recorriendo los pueblos más bonitos de Córdoba. Desde cascos históricos llenos de encanto hasta paisajes de ensueño,....</t>
  </si>
  <si>
    <t>Córdoba is much more than its capital and these beautiful towns are the clearest proof</t>
  </si>
  <si>
    <t>Live a unique experience touring the most beautiful towns in Córdoba. From historic centers full of charm to dream landscapes,...</t>
  </si>
  <si>
    <r>
      <rPr>
        <rFont val="Arial, sans-serif"/>
        <color rgb="FF1155CC"/>
        <sz val="9.0"/>
        <u/>
      </rPr>
      <t>Guía Repsol</t>
    </r>
    <r>
      <rPr>
        <rFont val="Arial, sans-serif"/>
        <color rgb="FF1155CC"/>
        <sz val="15.0"/>
        <u/>
      </rPr>
      <t>Dónde comer en Mallorca según la chef Maca de Castro</t>
    </r>
    <r>
      <rPr>
        <rFont val="Arial, sans-serif"/>
        <color rgb="FF1155CC"/>
        <sz val="11.0"/>
        <u/>
      </rPr>
      <t>La chef mallorquina, que luce 3 Soles Guía Repsol en su restaurante 'Maca de Castro', nos recomienda dónde probar el mejor pa amb olí de Alcudia,...</t>
    </r>
    <r>
      <rPr>
        <rFont val="Arial, sans-serif"/>
        <color rgb="FF1155CC"/>
        <sz val="12.0"/>
        <u/>
      </rPr>
      <t>.</t>
    </r>
    <r>
      <rPr>
        <rFont val="Arial, sans-serif"/>
        <color rgb="FF1155CC"/>
        <sz val="11.0"/>
        <u/>
      </rPr>
      <t>13 dic 2024</t>
    </r>
  </si>
  <si>
    <t>Dónde comer en Mallorca según la chef Maca de Castro</t>
  </si>
  <si>
    <t>La chef mallorquina, que luce 3 Soles Guía Repsol en su restaurante 'Maca de Castro', nos recomienda dónde probar el mejor pa amb olí de Alcudia,....</t>
  </si>
  <si>
    <t>Where to eat in Mallorca according to chef Maca de Castro</t>
  </si>
  <si>
    <t>The Mallorcan chef, who has 3 Repsol Guide Suns in her restaurant 'Maca de Castro', recommends where to try the best pa amb olí in Alcudia....</t>
  </si>
  <si>
    <r>
      <rPr>
        <rFont val="Arial, sans-serif"/>
        <color rgb="FF1155CC"/>
        <sz val="9.0"/>
        <u/>
      </rPr>
      <t>Guía Repsol</t>
    </r>
    <r>
      <rPr>
        <rFont val="Arial, sans-serif"/>
        <color rgb="FF1155CC"/>
        <sz val="15.0"/>
        <u/>
      </rPr>
      <t>Planes para un puente en Madrid: la ciudad que siembre vibra</t>
    </r>
    <r>
      <rPr>
        <rFont val="Arial, sans-serif"/>
        <color rgb="FF1155CC"/>
        <sz val="11.0"/>
        <u/>
      </rPr>
      <t>Madrid está on fire! Las calles de la capital vibran con el otoño y hay pocas excusas para quedarse en casa. Porque en Madrid siempre hay planes para todos:...</t>
    </r>
    <r>
      <rPr>
        <rFont val="Arial, sans-serif"/>
        <color rgb="FF1155CC"/>
        <sz val="12.0"/>
        <u/>
      </rPr>
      <t>.</t>
    </r>
    <r>
      <rPr>
        <rFont val="Arial, sans-serif"/>
        <color rgb="FF1155CC"/>
        <sz val="11.0"/>
        <u/>
      </rPr>
      <t>13 dic 2024</t>
    </r>
  </si>
  <si>
    <t>Planes para un puente en Madrid: la ciudad que siembre vibra</t>
  </si>
  <si>
    <t>Madrid está on fire! Las calles de la capital vibran con el otoño y hay pocas excusas para quedarse en casa. Porque en Madrid siempre hay planes para todos:....</t>
  </si>
  <si>
    <t>Plans for a bridge in Madrid: the city that always vibrates</t>
  </si>
  <si>
    <t>Madrid is on fire! The streets of the capital vibrate with autumn and there are few excuses to stay home. Because in Madrid there are always plans for everyone:....</t>
  </si>
  <si>
    <r>
      <rPr>
        <rFont val="Arial, sans-serif"/>
        <color rgb="FF1155CC"/>
        <sz val="9.0"/>
        <u/>
      </rPr>
      <t>Guía Repsol</t>
    </r>
    <r>
      <rPr>
        <rFont val="Arial, sans-serif"/>
        <color rgb="FF1155CC"/>
        <sz val="15.0"/>
        <u/>
      </rPr>
      <t>Pastelería ‘Manu Jara’ (Sevilla)</t>
    </r>
    <r>
      <rPr>
        <rFont val="Arial, sans-serif"/>
        <color rgb="FF1155CC"/>
        <sz val="11.0"/>
        <u/>
      </rPr>
      <t>Manu Jara, francés afincado en Triana desde hace 23 años, llegó al sur decidido a revolucionar la pastelería en Sevilla con sus hojaldres y panettones.</t>
    </r>
    <r>
      <rPr>
        <rFont val="Arial, sans-serif"/>
        <color rgb="FF1155CC"/>
        <sz val="12.0"/>
        <u/>
      </rPr>
      <t>.</t>
    </r>
    <r>
      <rPr>
        <rFont val="Arial, sans-serif"/>
        <color rgb="FF1155CC"/>
        <sz val="11.0"/>
        <u/>
      </rPr>
      <t>13 dic 2024</t>
    </r>
  </si>
  <si>
    <t>Pastelería ‘Manu Jara’ revoluciona la pastelería en Sevilla con sus hojaldres y panettones.</t>
  </si>
  <si>
    <t>Manu Jara, francés afincado en Triana desde hace 23 años, llegó al sur decidido a revolucionar la pastelería en Sevilla con sus hojaldres y panettones.</t>
  </si>
  <si>
    <t>Pastry shop 'Manu Jara' revolutionizes pastry in Seville with its puff pastries and panettones</t>
  </si>
  <si>
    <t>Manu Jara, a Frenchman who has lived in Triana for 23 years, came to the south determined to revolutionize pastry in Seville with his puff pastries and panettones.</t>
  </si>
  <si>
    <t>Food/Gastronomy</t>
  </si>
  <si>
    <r>
      <rPr>
        <rFont val="Arial, sans-serif"/>
        <color rgb="FF1155CC"/>
        <sz val="9.0"/>
        <u/>
      </rPr>
      <t>Guía Repsol</t>
    </r>
    <r>
      <rPr>
        <rFont val="Arial, sans-serif"/>
        <color rgb="FF1155CC"/>
        <sz val="15.0"/>
        <u/>
      </rPr>
      <t>Qué ver en La Alberca: 5 imprescindibles</t>
    </r>
    <r>
      <rPr>
        <rFont val="Arial, sans-serif"/>
        <color rgb="FF1155CC"/>
        <sz val="11.0"/>
        <u/>
      </rPr>
      <t>Busca una excusa genial para conocer este coqueto municipio de la Sierra de Francia y degustar productos tan icónicos como su turrón autóctono,...</t>
    </r>
    <r>
      <rPr>
        <rFont val="Arial, sans-serif"/>
        <color rgb="FF1155CC"/>
        <sz val="12.0"/>
        <u/>
      </rPr>
      <t>.</t>
    </r>
    <r>
      <rPr>
        <rFont val="Arial, sans-serif"/>
        <color rgb="FF1155CC"/>
        <sz val="11.0"/>
        <u/>
      </rPr>
      <t>13 dic 2024</t>
    </r>
  </si>
  <si>
    <t>Qué ver en La Alberca: 5 imprescindibles</t>
  </si>
  <si>
    <t>Busca una excusa genial para conocer este coqueto municipio de la Sierra de Francia y degustar productos tan icónicos como su turrón autóctono,....</t>
  </si>
  <si>
    <t>What to see in La Alberca: 5 essentials</t>
  </si>
  <si>
    <t>Find a great excuse to get to know this charming municipality in the Sierra de Francia and taste such iconic products as its native nougat,....</t>
  </si>
  <si>
    <r>
      <rPr>
        <rFont val="Arial, sans-serif"/>
        <color rgb="FF1155CC"/>
        <sz val="9.0"/>
        <u/>
      </rPr>
      <t>Guía Repsol</t>
    </r>
    <r>
      <rPr>
        <rFont val="Arial, sans-serif"/>
        <color rgb="FF1155CC"/>
        <sz val="15.0"/>
        <u/>
      </rPr>
      <t>'Paraíso Travel' (Valencia): la taberna colombiana de Junior Franco</t>
    </r>
    <r>
      <rPr>
        <rFont val="Arial, sans-serif"/>
        <color rgb="FF1155CC"/>
        <sz val="11.0"/>
        <u/>
      </rPr>
      <t>'Paraíso Travel' es un taberna especial, la que salió de 'Origen Clandestino', el primer restaurante que montó en Valencia el joven chef colombiano, Junior.</t>
    </r>
    <r>
      <rPr>
        <rFont val="Arial, sans-serif"/>
        <color rgb="FF1155CC"/>
        <sz val="12.0"/>
        <u/>
      </rPr>
      <t>.</t>
    </r>
    <r>
      <rPr>
        <rFont val="Arial, sans-serif"/>
        <color rgb="FF1155CC"/>
        <sz val="11.0"/>
        <u/>
      </rPr>
      <t>13 dic 2024</t>
    </r>
  </si>
  <si>
    <t>'Paraíso Travel' (Valencia): la taberna colombiana de Junior Franco</t>
  </si>
  <si>
    <t>'Paraíso Travel' es un taberna especial, la que salió de 'Origen Clandestino', el primer restaurante que montó en Valencia el joven chef colombiano, Junior.</t>
  </si>
  <si>
    <t>'Paraíso Travel' (Valencia): Junior Franco's Colombian tavern</t>
  </si>
  <si>
    <t>'Paraíso Travel' is a special tavern, the one that came out of 'Origen Clandestino', the first restaurant that the young Colombian chef, Junior, set up in Valencia.</t>
  </si>
  <si>
    <r>
      <rPr>
        <rFont val="Arial, sans-serif"/>
        <color rgb="FF1155CC"/>
        <sz val="9.0"/>
        <u/>
      </rPr>
      <t>Guía Repsol</t>
    </r>
    <r>
      <rPr>
        <rFont val="Arial, sans-serif"/>
        <color rgb="FF1155CC"/>
        <sz val="15.0"/>
        <u/>
      </rPr>
      <t>10 planes de Navidad para hacer con niños en Madrid</t>
    </r>
    <r>
      <rPr>
        <rFont val="Arial, sans-serif"/>
        <color rgb="FF1155CC"/>
        <sz val="11.0"/>
        <u/>
      </rPr>
      <t>Encuentra 10 planes perfectos para hacer con niños en Navidad. Visitar mercadillos, parques de atracciones y mucho más.</t>
    </r>
    <r>
      <rPr>
        <rFont val="Arial, sans-serif"/>
        <color rgb="FF1155CC"/>
        <sz val="12.0"/>
        <u/>
      </rPr>
      <t>.</t>
    </r>
    <r>
      <rPr>
        <rFont val="Arial, sans-serif"/>
        <color rgb="FF1155CC"/>
        <sz val="11.0"/>
        <u/>
      </rPr>
      <t>13 dic 2024</t>
    </r>
  </si>
  <si>
    <t>10 planes de Navidad para hacer con niños en Madrid</t>
  </si>
  <si>
    <t>Encuentra 10 planes perfectos para hacer con niños en Navidad. Visitar mercadillos, parques de atracciones y mucho más.</t>
  </si>
  <si>
    <t>10 Christmas plans to do with children in Madrid</t>
  </si>
  <si>
    <t>Find 10 perfect plans to do with children at Christmas. Visit flea markets, amusement parks and much more.</t>
  </si>
  <si>
    <r>
      <rPr>
        <rFont val="Arial, sans-serif"/>
        <color rgb="FF1155CC"/>
        <sz val="9.0"/>
        <u/>
      </rPr>
      <t>Guía Repsol</t>
    </r>
    <r>
      <rPr>
        <rFont val="Arial, sans-serif"/>
        <color rgb="FF1155CC"/>
        <sz val="15.0"/>
        <u/>
      </rPr>
      <t>Kayak, SUP y rafting en el río Noguera Pallaresa</t>
    </r>
    <r>
      <rPr>
        <rFont val="Arial, sans-serif"/>
        <color rgb="FF1155CC"/>
        <sz val="11.0"/>
        <u/>
      </rPr>
      <t>El río Segre de 176 kilómetros ofrece lugares únicos para disfrutar subido en un kayak, haciendo rafting o relajándose sobre una tabla de SUP.</t>
    </r>
    <r>
      <rPr>
        <rFont val="Arial, sans-serif"/>
        <color rgb="FF1155CC"/>
        <sz val="12.0"/>
        <u/>
      </rPr>
      <t>.</t>
    </r>
    <r>
      <rPr>
        <rFont val="Arial, sans-serif"/>
        <color rgb="FF1155CC"/>
        <sz val="11.0"/>
        <u/>
      </rPr>
      <t>13 dic 2024</t>
    </r>
  </si>
  <si>
    <t>Kayak, SUP y rafting en el río Noguera Pallaresa</t>
  </si>
  <si>
    <t>El río Segre de 176 kilómetros ofrece lugares únicos para disfrutar subido en un kayak, haciendo rafting o relajándose sobre una tabla de SUP.</t>
  </si>
  <si>
    <t>Kayak, SUP and rafting on the Noguera Pallaresa River</t>
  </si>
  <si>
    <t>The 176-kilometer Segre River offers unique places to enjoy kayaking, rafting or relaxing on a SUP board.</t>
  </si>
  <si>
    <r>
      <rPr>
        <rFont val="Arial, sans-serif"/>
        <color rgb="FF1155CC"/>
        <sz val="9.0"/>
        <u/>
      </rPr>
      <t>Guía Repsol</t>
    </r>
    <r>
      <rPr>
        <rFont val="Arial, sans-serif"/>
        <color rgb="FF1155CC"/>
        <sz val="15.0"/>
        <u/>
      </rPr>
      <t>Ruta por la Barcelona Olímpica</t>
    </r>
    <r>
      <rPr>
        <rFont val="Arial, sans-serif"/>
        <color rgb="FF1155CC"/>
        <sz val="11.0"/>
        <u/>
      </rPr>
      <t>Barcelona cambió para siempre con los Juegos Olímpicos de 1982, que cumplen 30 años. Recorremos una parte del legado que dejaron las olimpiadas.</t>
    </r>
    <r>
      <rPr>
        <rFont val="Arial, sans-serif"/>
        <color rgb="FF1155CC"/>
        <sz val="12.0"/>
        <u/>
      </rPr>
      <t>.</t>
    </r>
    <r>
      <rPr>
        <rFont val="Arial, sans-serif"/>
        <color rgb="FF1155CC"/>
        <sz val="11.0"/>
        <u/>
      </rPr>
      <t>13 dic 2024</t>
    </r>
  </si>
  <si>
    <t>Barcelona cambió para siempre con los Juegos Olímpicos de 1982, que cumplen 30 años.</t>
  </si>
  <si>
    <t>Barcelona cambió para siempre con los Juegos Olímpicos de 1982, que cumplen 30 años. Recorremos una parte del legado que dejaron las olimpiadas.</t>
  </si>
  <si>
    <t>Barcelona changed forever with the 1982 Olympic Games, which are celebrating their 30th anniversary.</t>
  </si>
  <si>
    <t>Barcelona changed forever with the 1982 Olympic Games, which are celebrating their 30th anniversary. We walk through part of the legacy left by the Olympics.</t>
  </si>
  <si>
    <t>History/Tourism</t>
  </si>
  <si>
    <r>
      <rPr>
        <rFont val="Arial, sans-serif"/>
        <color rgb="FF1155CC"/>
        <sz val="9.0"/>
        <u/>
      </rPr>
      <t>Guía Repsol</t>
    </r>
    <r>
      <rPr>
        <rFont val="Arial, sans-serif"/>
        <color rgb="FF1155CC"/>
        <sz val="15.0"/>
        <u/>
      </rPr>
      <t>Descubre el poblado navideño de Allariz, una decoración con materiales reciclados</t>
    </r>
    <r>
      <rPr>
        <rFont val="Arial, sans-serif"/>
        <color rgb="FF1155CC"/>
        <sz val="11.0"/>
        <u/>
      </rPr>
      <t>Con la bajada de las temperaturas, Allariz se convierte en un escenario de cuento. ¡Disfruta de sus adornos, luces y decoración de Navidad!</t>
    </r>
    <r>
      <rPr>
        <rFont val="Arial, sans-serif"/>
        <color rgb="FF1155CC"/>
        <sz val="12.0"/>
        <u/>
      </rPr>
      <t>.</t>
    </r>
    <r>
      <rPr>
        <rFont val="Arial, sans-serif"/>
        <color rgb="FF1155CC"/>
        <sz val="11.0"/>
        <u/>
      </rPr>
      <t>13 dic 2024</t>
    </r>
  </si>
  <si>
    <t>Descubre el poblado navideño de Allariz, una decoración con materiales reciclados</t>
  </si>
  <si>
    <t>Con la bajada de las temperaturas, Allariz se convierte en un escenario de cuento. ¡Disfruta de sus adornos, luces y decoración de Navidad!.</t>
  </si>
  <si>
    <t>Discover the Christmas village of Allariz, a decoration with recycled materials</t>
  </si>
  <si>
    <t>With the drop in temperatures, Allariz becomes a fairytale setting. Enjoy your Christmas decorations, lights and decorations!</t>
  </si>
  <si>
    <r>
      <rPr>
        <rFont val="Arial, sans-serif"/>
        <color rgb="FF1155CC"/>
        <sz val="9.0"/>
        <u/>
      </rPr>
      <t>Guía Repsol</t>
    </r>
    <r>
      <rPr>
        <rFont val="Arial, sans-serif"/>
        <color rgb="FF1155CC"/>
        <sz val="15.0"/>
        <u/>
      </rPr>
      <t>Taberna Triciclo (Madrid)</t>
    </r>
    <r>
      <rPr>
        <rFont val="Arial, sans-serif"/>
        <color rgb="FF1155CC"/>
        <sz val="11.0"/>
        <u/>
      </rPr>
      <t>La Taberna Triciclo presenta un rincón súper apetecible para combatir el calor de la capital a orillas del Lago. ¡Ven a probarla!</t>
    </r>
    <r>
      <rPr>
        <rFont val="Arial, sans-serif"/>
        <color rgb="FF1155CC"/>
        <sz val="12.0"/>
        <u/>
      </rPr>
      <t>.</t>
    </r>
    <r>
      <rPr>
        <rFont val="Arial, sans-serif"/>
        <color rgb="FF1155CC"/>
        <sz val="11.0"/>
        <u/>
      </rPr>
      <t>13 dic 2024</t>
    </r>
  </si>
  <si>
    <t>La Taberna Triciclo presenta un rincón súper apetecible para combatir el calor de la capital a orillas del Lago.</t>
  </si>
  <si>
    <t>La Taberna Triciclo presenta un rincón súper apetecible para combatir el calor de la capital a orillas del Lago. ¡Ven a probarla!</t>
  </si>
  <si>
    <t>The Tricycle Tavern presents a super inviting corner to combat the heat of the capital on the shores of the Lake.</t>
  </si>
  <si>
    <t>The Tricycle Tavern presents a super inviting corner to combat the heat of the capital on the shores of the Lake. Come try it!</t>
  </si>
  <si>
    <r>
      <rPr>
        <rFont val="Arial, sans-serif"/>
        <color rgb="FF1155CC"/>
        <sz val="9.0"/>
        <u/>
      </rPr>
      <t>Guía Repsol</t>
    </r>
    <r>
      <rPr>
        <rFont val="Arial, sans-serif"/>
        <color rgb="FF1155CC"/>
        <sz val="15.0"/>
        <u/>
      </rPr>
      <t>Comer en Valencia: Restaurante 'Pelayo Gastro Trinquet'</t>
    </r>
    <r>
      <rPr>
        <rFont val="Arial, sans-serif"/>
        <color rgb="FF1155CC"/>
        <sz val="11.0"/>
        <u/>
      </rPr>
      <t>El 'Trinquet de Pelayo' era un lugar mítico de Valencia donde se jugaba la 'pilota', y en cuya barra típica se podía picar algo básico mientras se...</t>
    </r>
    <r>
      <rPr>
        <rFont val="Arial, sans-serif"/>
        <color rgb="FF1155CC"/>
        <sz val="12.0"/>
        <u/>
      </rPr>
      <t>.</t>
    </r>
    <r>
      <rPr>
        <rFont val="Arial, sans-serif"/>
        <color rgb="FF1155CC"/>
        <sz val="11.0"/>
        <u/>
      </rPr>
      <t>13 dic 2024</t>
    </r>
  </si>
  <si>
    <t>Restaurante 'Pelayo Gastro Trinquet'</t>
  </si>
  <si>
    <t>El 'Trinquet de Pelayo' era un lugar mítico de Valencia donde se jugaba la 'pilota', y en cuya barra típica se podía picar algo básico mientras se....</t>
  </si>
  <si>
    <t>Restaurant 'Pelayo Gastro Trinquet'</t>
  </si>
  <si>
    <t>The 'Trinquet de Pelayo' was a mythical place in Valencia where the 'pilota' was played, and in whose typical bar you could snack on something basic while...</t>
  </si>
  <si>
    <r>
      <rPr>
        <rFont val="Arial, sans-serif"/>
        <color rgb="FF1155CC"/>
        <sz val="9.0"/>
        <u/>
      </rPr>
      <t>Guía Repsol</t>
    </r>
    <r>
      <rPr>
        <rFont val="Arial, sans-serif"/>
        <color rgb="FF1155CC"/>
        <sz val="15.0"/>
        <u/>
      </rPr>
      <t>Soletes y chiringuitos en Ibiza</t>
    </r>
    <r>
      <rPr>
        <rFont val="Arial, sans-serif"/>
        <color rgb="FF1155CC"/>
        <sz val="11.0"/>
        <u/>
      </rPr>
      <t>'Pou Des Lleó', 'Can Pagés' o 'Atzaró Beach' son, entre otros, soletes y chiringuitos distinguidos por la Guía Repsol en la zona este de Ibiza.</t>
    </r>
    <r>
      <rPr>
        <rFont val="Arial, sans-serif"/>
        <color rgb="FF1155CC"/>
        <sz val="12.0"/>
        <u/>
      </rPr>
      <t>.</t>
    </r>
    <r>
      <rPr>
        <rFont val="Arial, sans-serif"/>
        <color rgb="FF1155CC"/>
        <sz val="11.0"/>
        <u/>
      </rPr>
      <t>13 dic 2024</t>
    </r>
  </si>
  <si>
    <t>Soletes y chiringuitos en Ibiza</t>
  </si>
  <si>
    <t>'Pou Des Lleó', 'Can Pagés' o 'Atzaró Beach' son, entre otros, soletes y chiringuitos distinguidos por la Guía Repsol en la zona este de Ibiza.</t>
  </si>
  <si>
    <t>Soletes and beach bars in Ibiza</t>
  </si>
  <si>
    <t>'Pou Des Lleó', 'Can Pagés' or 'Atzaró Beach' are, among others, soletes and beach bars distinguished by the Repsol Guide in the eastern area of ​​Ibiza.</t>
  </si>
  <si>
    <r>
      <rPr>
        <rFont val="Arial, sans-serif"/>
        <color rgb="FF1155CC"/>
        <sz val="9.0"/>
        <u/>
      </rPr>
      <t>Guía Repsol</t>
    </r>
    <r>
      <rPr>
        <rFont val="Arial, sans-serif"/>
        <color rgb="FF1155CC"/>
        <sz val="15.0"/>
        <u/>
      </rPr>
      <t>'Fresco y del Mar', de la ría a casa en 24h</t>
    </r>
    <r>
      <rPr>
        <rFont val="Arial, sans-serif"/>
        <color rgb="FF1155CC"/>
        <sz val="11.0"/>
        <u/>
      </rPr>
      <t>En el puerto de Muros observamos el proceso desde que descargan los barcos hasta que llegan a tu casa, como parte del proceso de la pesca sostenible.</t>
    </r>
    <r>
      <rPr>
        <rFont val="Arial, sans-serif"/>
        <color rgb="FF1155CC"/>
        <sz val="12.0"/>
        <u/>
      </rPr>
      <t>.</t>
    </r>
    <r>
      <rPr>
        <rFont val="Arial, sans-serif"/>
        <color rgb="FF1155CC"/>
        <sz val="11.0"/>
        <u/>
      </rPr>
      <t>13 dic 2024</t>
    </r>
  </si>
  <si>
    <t>Fresco y del Mar, de la ría a casa en 24h</t>
  </si>
  <si>
    <t>En el puerto de Muros observamos el proceso desde que descargan los barcos hasta que llegan a tu casa, como parte del proceso de la pesca sostenible.</t>
  </si>
  <si>
    <t>Fresh and from the Sea, from the estuary to home in 24 hours</t>
  </si>
  <si>
    <t>In the port of Muros we observe the process from when the boats are unloaded until they arrive at your house, as part of the sustainable fishing process.</t>
  </si>
  <si>
    <t>Gastronomy/Environment</t>
  </si>
  <si>
    <r>
      <rPr>
        <rFont val="Arial, sans-serif"/>
        <color rgb="FF1155CC"/>
        <sz val="9.0"/>
        <u/>
      </rPr>
      <t>Guía Repsol</t>
    </r>
    <r>
      <rPr>
        <rFont val="Arial, sans-serif"/>
        <color rgb="FF1155CC"/>
        <sz val="15.0"/>
        <u/>
      </rPr>
      <t>Dulces 'Iesu Communio' hechos por monjas (Godella, Valencia)</t>
    </r>
    <r>
      <rPr>
        <rFont val="Arial, sans-serif"/>
        <color rgb="FF1155CC"/>
        <sz val="11.0"/>
        <u/>
      </rPr>
      <t>Tartas, tartaletas, hojaldres, pastas de té, de mantequilla, chocolates, bombones, brownies, dulce de membrillo… Es el listado de la repostería sencilla y...</t>
    </r>
    <r>
      <rPr>
        <rFont val="Arial, sans-serif"/>
        <color rgb="FF1155CC"/>
        <sz val="12.0"/>
        <u/>
      </rPr>
      <t>.</t>
    </r>
    <r>
      <rPr>
        <rFont val="Arial, sans-serif"/>
        <color rgb="FF1155CC"/>
        <sz val="11.0"/>
        <u/>
      </rPr>
      <t>13 dic 2024</t>
    </r>
  </si>
  <si>
    <t>Dulces 'Iesu Communio' hechos por monjas (Godella, Valencia)</t>
  </si>
  <si>
    <t>Tartas, tartaletas, hojaldres, pastas de té, de mantequilla, chocolates, bombones, brownies, dulce de membrillo… Es el listado de la repostería sencilla y....</t>
  </si>
  <si>
    <t>'Iesu Communio' sweets made by nuns (Godella, Valencia)</t>
  </si>
  <si>
    <t>Cakes, tartlets, puff pastries, tea pastries, butter pastries, chocolates, bonbons, brownies, quince paste... This is the list of simple pastries and...</t>
  </si>
  <si>
    <r>
      <rPr>
        <rFont val="Arial, sans-serif"/>
        <color rgb="FF1155CC"/>
        <sz val="9.0"/>
        <u/>
      </rPr>
      <t>Guía Repsol</t>
    </r>
    <r>
      <rPr>
        <rFont val="Arial, sans-serif"/>
        <color rgb="FF1155CC"/>
        <sz val="15.0"/>
        <u/>
      </rPr>
      <t>¡Viva la tradición! 9 platos clásicos para Navidad</t>
    </r>
    <r>
      <rPr>
        <rFont val="Arial, sans-serif"/>
        <color rgb="FF1155CC"/>
        <sz val="11.0"/>
        <u/>
      </rPr>
      <t>Nochebuena, Navidad, Nochevieja, Año Nuevo o Reyes. Son tantas las fechas para celebrar como motivos para hacerlo mientras las propuestas gastronómicas...</t>
    </r>
    <r>
      <rPr>
        <rFont val="Arial, sans-serif"/>
        <color rgb="FF1155CC"/>
        <sz val="12.0"/>
        <u/>
      </rPr>
      <t>.</t>
    </r>
    <r>
      <rPr>
        <rFont val="Arial, sans-serif"/>
        <color rgb="FF1155CC"/>
        <sz val="11.0"/>
        <u/>
      </rPr>
      <t>13 dic 2024</t>
    </r>
  </si>
  <si>
    <t>¡Viva la tradición! 9 platos clásicos para Navidad</t>
  </si>
  <si>
    <t>Nochebuena, Navidad, Nochevieja, Año Nuevo o Reyes. Son tantas las fechas para celebrar como motivos para hacerlo mientras las propuestas gastronómicas....</t>
  </si>
  <si>
    <t>Long live tradition! 9 classic dishes for Christmas</t>
  </si>
  <si>
    <t>Christmas Eve, Christmas, New Year's Eve, New Year or Three Kings. There are as many dates to celebrate as there are reasons to do so while the gastronomic proposals...</t>
  </si>
  <si>
    <r>
      <rPr>
        <rFont val="Arial, sans-serif"/>
        <color rgb="FF1155CC"/>
        <sz val="9.0"/>
        <u/>
      </rPr>
      <t>Guía Repsol</t>
    </r>
    <r>
      <rPr>
        <rFont val="Arial, sans-serif"/>
        <color rgb="FF1155CC"/>
        <sz val="15.0"/>
        <u/>
      </rPr>
      <t>Ivan Cerdeños (Toledo) y el Rincón de Juan Carlos (Tenerife), nuevos Tres Soles Guía Repsol en el año del Renacimiento Gastronómico</t>
    </r>
    <r>
      <rPr>
        <rFont val="Arial, sans-serif"/>
        <color rgb="FF1155CC"/>
        <sz val="11.0"/>
        <u/>
      </rPr>
      <t>La directora de Guía Repsol, María Ritter, ha señalado durante el acto que “nos gusta formar parte de este ambiente efervescente y estamos orgullosos de...</t>
    </r>
    <r>
      <rPr>
        <rFont val="Arial, sans-serif"/>
        <color rgb="FF1155CC"/>
        <sz val="12.0"/>
        <u/>
      </rPr>
      <t>.</t>
    </r>
    <r>
      <rPr>
        <rFont val="Arial, sans-serif"/>
        <color rgb="FF1155CC"/>
        <sz val="11.0"/>
        <u/>
      </rPr>
      <t>13 dic 2024</t>
    </r>
  </si>
  <si>
    <t>Ivan Cerdeños (Toledo) y el Rincón de Juan Carlos (Tenerife), nuevos Tres Soles Guía Repsol en el año del Renacimiento Gastronómico</t>
  </si>
  <si>
    <t>nos gusta formar parte de este ambiente efervescente y estamos orgullosos de....</t>
  </si>
  <si>
    <t>Ivan Cerdeños (Toledo) and Rincón de Juan Carlos (Tenerife), new Tres Soles Repsol Guide in the year of the Gastronomic Renaissance</t>
  </si>
  <si>
    <t>We like to be part of this effervescent environment and we are proud of....</t>
  </si>
  <si>
    <r>
      <rPr>
        <rFont val="Arial, sans-serif"/>
        <color rgb="FF1155CC"/>
        <sz val="9.0"/>
        <u/>
      </rPr>
      <t>Guía Repsol</t>
    </r>
    <r>
      <rPr>
        <rFont val="Arial, sans-serif"/>
        <color rgb="FF1155CC"/>
        <sz val="15.0"/>
        <u/>
      </rPr>
      <t>De lo astro a lo gastro</t>
    </r>
    <r>
      <rPr>
        <rFont val="Arial, sans-serif"/>
        <color rgb="FF1155CC"/>
        <sz val="11.0"/>
        <u/>
      </rPr>
      <t>A unos 100 kilómetros de Valencia, en plena comarca de Los Serranos, se alzan cuatro municipios, Aras de los Olmos, Alpuente, Titaguas y la Yesa, cuyos hab.</t>
    </r>
    <r>
      <rPr>
        <rFont val="Arial, sans-serif"/>
        <color rgb="FF1155CC"/>
        <sz val="12.0"/>
        <u/>
      </rPr>
      <t>.</t>
    </r>
    <r>
      <rPr>
        <rFont val="Arial, sans-serif"/>
        <color rgb="FF1155CC"/>
        <sz val="11.0"/>
        <u/>
      </rPr>
      <t>13 dic 2024</t>
    </r>
  </si>
  <si>
    <t>De lo astro a lo gastro</t>
  </si>
  <si>
    <t>A unos 100 kilómetros de Valencia, en plena comarca de Los Serranos, se alzan cuatro municipios, Aras de los Olmos, Alpuente, Titaguas y la Yesa, cuyos habitantes han logrado preservar un rico patrimonio cultural y gastronómico.</t>
  </si>
  <si>
    <t>From astro to gastro</t>
  </si>
  <si>
    <t>About 100 kilometers from Valencia, in the heart of the Los Serranos region, there are four municipalities, Aras de los Olmos, Alpuente, Titaguas and La Yesa, whose inhabitants have managed to preserve a rich cultural and gastronomic heritage.</t>
  </si>
  <si>
    <r>
      <rPr>
        <rFont val="Arial, sans-serif"/>
        <color rgb="FF1155CC"/>
        <sz val="9.0"/>
        <u/>
      </rPr>
      <t>OkDiario</t>
    </r>
    <r>
      <rPr>
        <rFont val="Arial, sans-serif"/>
        <color rgb="FF1155CC"/>
        <sz val="15.0"/>
        <u/>
      </rPr>
      <t>300 bares en España dicen tener la mejor tortilla de patatas: según la Guía Repsol, solo este lleva razón</t>
    </r>
    <r>
      <rPr>
        <rFont val="Arial, sans-serif"/>
        <color rgb="FF1155CC"/>
        <sz val="11.0"/>
        <u/>
      </rPr>
      <t>Descubre el bar en León que ha conquistado a la Guía Repsol con su tortilla de patatas, una receta que combina tradición y calidad.</t>
    </r>
    <r>
      <rPr>
        <rFont val="Arial, sans-serif"/>
        <color rgb="FF1155CC"/>
        <sz val="12.0"/>
        <u/>
      </rPr>
      <t>.</t>
    </r>
    <r>
      <rPr>
        <rFont val="Arial, sans-serif"/>
        <color rgb="FF1155CC"/>
        <sz val="11.0"/>
        <u/>
      </rPr>
      <t>13 dic 2024</t>
    </r>
  </si>
  <si>
    <t>dicen tener la mejor tortilla de patatas: según la Guía Repsol, solo este lleva razón</t>
  </si>
  <si>
    <t>Descubre el bar en León que ha conquistado a la Guía Repsol con su tortilla de patatas, una receta que combina tradición y calidad.</t>
  </si>
  <si>
    <t>They say they have the best potato omelette: according to the Repsol Guide, only this one is right</t>
  </si>
  <si>
    <t>Discover the bar in León that has conquered the Repsol Guide with its potato omelette, a recipe that combines tradition and quality.</t>
  </si>
  <si>
    <r>
      <rPr>
        <rFont val="Arial, sans-serif"/>
        <color rgb="FF1155CC"/>
        <sz val="9.0"/>
        <u/>
      </rPr>
      <t>Guía Repsol</t>
    </r>
    <r>
      <rPr>
        <rFont val="Arial, sans-serif"/>
        <color rgb="FF1155CC"/>
        <sz val="15.0"/>
        <u/>
      </rPr>
      <t>Los platos de cuchara de ‘Casa Adela’ (Langreo) triunfan como el Solete más apetecible de invierno</t>
    </r>
    <r>
      <rPr>
        <rFont val="Arial, sans-serif"/>
        <color rgb="FF1155CC"/>
        <sz val="11.0"/>
        <u/>
      </rPr>
      <t>Callejeros, mapas, carreteras, rutas, itinerarios o restaurantes en Guia Repsol. Todo lo necesario para planificar tus viajes: callejero de ciudad,...</t>
    </r>
    <r>
      <rPr>
        <rFont val="Arial, sans-serif"/>
        <color rgb="FF1155CC"/>
        <sz val="12.0"/>
        <u/>
      </rPr>
      <t>.</t>
    </r>
    <r>
      <rPr>
        <rFont val="Arial, sans-serif"/>
        <color rgb="FF1155CC"/>
        <sz val="11.0"/>
        <u/>
      </rPr>
      <t>13 dic 2024</t>
    </r>
  </si>
  <si>
    <t>Los platos de cuchara de ‘Casa Adela’ (Langreo) triunfan como el Solete más apetecible de invierno</t>
  </si>
  <si>
    <t>Los platos de cuchara de ‘Casa Adela’ (Langreo) triunfan como el Solete más apetecible de invierno.</t>
  </si>
  <si>
    <t>The spoon dishes from 'Casa Adela' (Langreo) triumph as the most appetizing winter Solete</t>
  </si>
  <si>
    <t>The spoon dishes from 'Casa Adela' (Langreo) triumph as the most appetizing winter Solete.</t>
  </si>
  <si>
    <r>
      <rPr>
        <rFont val="Arial, sans-serif"/>
        <color rgb="FF1155CC"/>
        <sz val="9.0"/>
        <u/>
      </rPr>
      <t>Guía Repsol</t>
    </r>
    <r>
      <rPr>
        <rFont val="Arial, sans-serif"/>
        <color rgb="FF1155CC"/>
        <sz val="15.0"/>
        <u/>
      </rPr>
      <t>Dónde comer padrísimo en Donosti</t>
    </r>
    <r>
      <rPr>
        <rFont val="Arial, sans-serif"/>
        <color rgb="FF1155CC"/>
        <sz val="11.0"/>
        <u/>
      </rPr>
      <t>No hace falta salir de Donostia para descubrir los sabores de México. Anota estos tres establecimientos singulares: 'Taquería Santo Remedio', 'Gatxupa' y '.</t>
    </r>
    <r>
      <rPr>
        <rFont val="Arial, sans-serif"/>
        <color rgb="FF1155CC"/>
        <sz val="12.0"/>
        <u/>
      </rPr>
      <t>.</t>
    </r>
    <r>
      <rPr>
        <rFont val="Arial, sans-serif"/>
        <color rgb="FF1155CC"/>
        <sz val="11.0"/>
        <u/>
      </rPr>
      <t>13 dic 2024</t>
    </r>
  </si>
  <si>
    <t>Dónde comer padrísimo en Donosti</t>
  </si>
  <si>
    <t>No hace falta salir de Donostia para descubrir los sabores de México. Anota estos tres establecimientos singulares: 'Taquería Santo Remedio', 'Gatxupa' y '..</t>
  </si>
  <si>
    <t>Where to eat great in Donosti</t>
  </si>
  <si>
    <t>You don't have to leave Donostia to discover the flavors of Mexico. Write down these three unique establishments: 'Taquería Santo Remedio', 'Gatxupa' and '..</t>
  </si>
  <si>
    <r>
      <rPr>
        <rFont val="Arial, sans-serif"/>
        <color rgb="FF1155CC"/>
        <sz val="9.0"/>
        <u/>
      </rPr>
      <t>Guía Repsol</t>
    </r>
    <r>
      <rPr>
        <rFont val="Arial, sans-serif"/>
        <color rgb="FF1155CC"/>
        <sz val="15.0"/>
        <u/>
      </rPr>
      <t>Cooperativa lechera ‘Sen Máis’ (A Cernada, Lugo)</t>
    </r>
    <r>
      <rPr>
        <rFont val="Arial, sans-serif"/>
        <color rgb="FF1155CC"/>
        <sz val="11.0"/>
        <u/>
      </rPr>
      <t>Recuperar la sana costumbre de beber leche pasteurizada en envase de cristal. Ana Corredoira ('Granxa A Cernada') y Marta Álvarez ('Granxa Maruxa'),...</t>
    </r>
    <r>
      <rPr>
        <rFont val="Arial, sans-serif"/>
        <color rgb="FF1155CC"/>
        <sz val="12.0"/>
        <u/>
      </rPr>
      <t>.</t>
    </r>
    <r>
      <rPr>
        <rFont val="Arial, sans-serif"/>
        <color rgb="FF1155CC"/>
        <sz val="11.0"/>
        <u/>
      </rPr>
      <t>13 dic 2024</t>
    </r>
  </si>
  <si>
    <t>Recuperar la sana costumbre de beber leche pasteurizada en envase de cristal.</t>
  </si>
  <si>
    <t>Recuperar la sana costumbre de beber leche pasteurizada en envase de cristal. Ana Corredoira ('Granxa A Cernada') y Marta Álvarez ('Granxa Maruxa'),....</t>
  </si>
  <si>
    <t>Recover the healthy habit of drinking pasteurized milk in glass containers.</t>
  </si>
  <si>
    <t>Recover the healthy habit of drinking pasteurized milk in glass containers. Ana Corredoira ('Granxa A Cernada') and Marta Álvarez ('Granxa Maruxa'),....</t>
  </si>
  <si>
    <t>Environment/Gastronomy</t>
  </si>
  <si>
    <r>
      <rPr>
        <rFont val="Arial, sans-serif"/>
        <color rgb="FF1155CC"/>
        <sz val="9.0"/>
        <u/>
      </rPr>
      <t>Guía Repsol</t>
    </r>
    <r>
      <rPr>
        <rFont val="Arial, sans-serif"/>
        <color rgb="FF1155CC"/>
        <sz val="15.0"/>
        <u/>
      </rPr>
      <t>RECETA DE BLINIS EN 'BIRIUKOV BISTRÓ'</t>
    </r>
    <r>
      <rPr>
        <rFont val="Arial, sans-serif"/>
        <color rgb="FF1155CC"/>
        <sz val="11.0"/>
        <u/>
      </rPr>
      <t>El célebre exjugador de baloncesto Chechu Biriukov nos invita a su restaurante en Las Tablas (Madrid), 'Biriukov Bistró', para enseñarnos a preparar un pla.</t>
    </r>
    <r>
      <rPr>
        <rFont val="Arial, sans-serif"/>
        <color rgb="FF1155CC"/>
        <sz val="12.0"/>
        <u/>
      </rPr>
      <t>.</t>
    </r>
    <r>
      <rPr>
        <rFont val="Arial, sans-serif"/>
        <color rgb="FF1155CC"/>
        <sz val="11.0"/>
        <u/>
      </rPr>
      <t>13 dic 2024</t>
    </r>
  </si>
  <si>
    <t>RECETA DE BLINIS EN 'BIRIUKOV BISTRÓ'</t>
  </si>
  <si>
    <t>El célebre exjugador de baloncesto Chechu Biriukov nos invita a su restaurante en Las Tablas (Madrid), 'Biriukov Bistró', para enseñarnos a preparar un pla..</t>
  </si>
  <si>
    <t>BLINIS RECIPE AT 'BIRIUKOV BISTRÓ'</t>
  </si>
  <si>
    <t>The famous former basketball player Chechu Biriukov invites us to his restaurant in Las Tablas (Madrid), 'Biriukov Bistró', to teach us how to prepare a dish..</t>
  </si>
  <si>
    <r>
      <rPr>
        <rFont val="Arial, sans-serif"/>
        <color rgb="FF1155CC"/>
        <sz val="9.0"/>
        <u/>
      </rPr>
      <t>Guía Repsol</t>
    </r>
    <r>
      <rPr>
        <rFont val="Arial, sans-serif"/>
        <color rgb="FF1155CC"/>
        <sz val="15.0"/>
        <u/>
      </rPr>
      <t>'Horno de San Bartolomé' de Jesús Machí (Valencia)</t>
    </r>
    <r>
      <rPr>
        <rFont val="Arial, sans-serif"/>
        <color rgb="FF1155CC"/>
        <sz val="11.0"/>
        <u/>
      </rPr>
      <t>A los ocho años Jesús Machi dijo, “quiero ser panadero”. Y aquí está, décadas después, amasando pan y regentando cuatro locales en Valencia,...</t>
    </r>
    <r>
      <rPr>
        <rFont val="Arial, sans-serif"/>
        <color rgb="FF1155CC"/>
        <sz val="12.0"/>
        <u/>
      </rPr>
      <t>.</t>
    </r>
    <r>
      <rPr>
        <rFont val="Arial, sans-serif"/>
        <color rgb="FF1155CC"/>
        <sz val="11.0"/>
        <u/>
      </rPr>
      <t>13 dic 2024</t>
    </r>
  </si>
  <si>
    <t>'Horno de San Bartolomé' de Jesús Machí (Valencia)</t>
  </si>
  <si>
    <t>A los ocho años Jesús Machi dijo, “quiero ser panadero”. Y aquí está, décadas después, amasando pan y regentando cuatro locales en Valencia,....</t>
  </si>
  <si>
    <t>'Horno de San Bartolomé' by Jesús Machí (Valencia)</t>
  </si>
  <si>
    <t>At eight years old Jesús Machi said, “I want to be a baker.” And here he is, decades later, kneading bread and running four stores in Valencia,....</t>
  </si>
  <si>
    <r>
      <rPr>
        <rFont val="Arial, sans-serif"/>
        <color rgb="FF1155CC"/>
        <sz val="9.0"/>
        <u/>
      </rPr>
      <t>Guía Repsol</t>
    </r>
    <r>
      <rPr>
        <rFont val="Arial, sans-serif"/>
        <color rgb="FF1155CC"/>
        <sz val="15.0"/>
        <u/>
      </rPr>
      <t>Las Noches del Hipódromo 2023 (Madrid)</t>
    </r>
    <r>
      <rPr>
        <rFont val="Arial, sans-serif"/>
        <color rgb="FF1155CC"/>
        <sz val="11.0"/>
        <u/>
      </rPr>
      <t>Las Noches del Hipódromo de Madrid se han convertido en un referente de ocio en las calurosas noches de jueves y sábados estivales madrileñas.</t>
    </r>
    <r>
      <rPr>
        <rFont val="Arial, sans-serif"/>
        <color rgb="FF1155CC"/>
        <sz val="12.0"/>
        <u/>
      </rPr>
      <t>.</t>
    </r>
    <r>
      <rPr>
        <rFont val="Arial, sans-serif"/>
        <color rgb="FF1155CC"/>
        <sz val="11.0"/>
        <u/>
      </rPr>
      <t>13 dic 2024</t>
    </r>
  </si>
  <si>
    <t>Las Noches del Hipódromo 2023 (Madrid)</t>
  </si>
  <si>
    <t>Las Noches del Hipódromo de Madrid se han convertido en un referente de ocio en las calurosas noches de jueves y sábados estivales madrileñas.</t>
  </si>
  <si>
    <t>The Nights of the Hippodrome 2023 (Madrid)</t>
  </si>
  <si>
    <t>The Madrid Hippodrome Nights have become a leisure benchmark on the hot summer Thursday and Saturday nights in Madrid.</t>
  </si>
  <si>
    <r>
      <rPr>
        <rFont val="Arial, sans-serif"/>
        <color rgb="FF1155CC"/>
        <sz val="9.0"/>
        <u/>
      </rPr>
      <t>Guía Repsol</t>
    </r>
    <r>
      <rPr>
        <rFont val="Arial, sans-serif"/>
        <color rgb="FF1155CC"/>
        <sz val="15.0"/>
        <u/>
      </rPr>
      <t>Dónde come Alberto Chicote</t>
    </r>
    <r>
      <rPr>
        <rFont val="Arial, sans-serif"/>
        <color rgb="FF1155CC"/>
        <sz val="11.0"/>
        <u/>
      </rPr>
      <t>Alberto Chicote es fiel a sus amigos de toda la vida cuando sale a tomar el aperitivo, a comer o a cenar. Estos son sitios donde le puedes encontrar entre...</t>
    </r>
    <r>
      <rPr>
        <rFont val="Arial, sans-serif"/>
        <color rgb="FF1155CC"/>
        <sz val="12.0"/>
        <u/>
      </rPr>
      <t>.</t>
    </r>
    <r>
      <rPr>
        <rFont val="Arial, sans-serif"/>
        <color rgb="FF1155CC"/>
        <sz val="11.0"/>
        <u/>
      </rPr>
      <t>13 dic 2024</t>
    </r>
  </si>
  <si>
    <t>Dónde come Alberto Chicote</t>
  </si>
  <si>
    <t>Alberto Chicote es fiel a sus amigos de toda la vida cuando sale a tomar el aperitivo, a comer o a cenar. Estos son sitios donde le puedes encontrar entre....</t>
  </si>
  <si>
    <t>Where Alberto Chicote eats</t>
  </si>
  <si>
    <t>Alberto Chicote is faithful to his lifelong friends when he goes out for an aperitif, lunch or dinner. These are places where you can find him among....</t>
  </si>
  <si>
    <r>
      <rPr>
        <rFont val="Arial, sans-serif"/>
        <color rgb="FF1155CC"/>
        <sz val="9.0"/>
        <u/>
      </rPr>
      <t>Guía Repsol</t>
    </r>
    <r>
      <rPr>
        <rFont val="Arial, sans-serif"/>
        <color rgb="FF1155CC"/>
        <sz val="15.0"/>
        <u/>
      </rPr>
      <t>La 'Naturaleza Encendida' más esperada de la Navidad se traslada al Parque Enrique Tierno Galván</t>
    </r>
    <r>
      <rPr>
        <rFont val="Arial, sans-serif"/>
        <color rgb="FF1155CC"/>
        <sz val="11.0"/>
        <u/>
      </rPr>
      <t>Las luces más famosas de la Navidad regresan este año a Madrid con un homenaje a los pequeños animales invertebrados que equilibran el ecosistema: los...</t>
    </r>
    <r>
      <rPr>
        <rFont val="Arial, sans-serif"/>
        <color rgb="FF1155CC"/>
        <sz val="12.0"/>
        <u/>
      </rPr>
      <t>.</t>
    </r>
    <r>
      <rPr>
        <rFont val="Arial, sans-serif"/>
        <color rgb="FF1155CC"/>
        <sz val="11.0"/>
        <u/>
      </rPr>
      <t>13 dic 2024</t>
    </r>
  </si>
  <si>
    <t>La 'Naturaleza Encendida' más esperada de la Navidad se traslada al Parque Enrique Tierno Galván</t>
  </si>
  <si>
    <t>Las luces más famosas de la Navidad regresan este año a Madrid con un homenaje a los pequeños animales invertebrados que equilibran el ecosistema: los....</t>
  </si>
  <si>
    <t>The most anticipated 'Naturaleza Encendida' of Christmas moves to Enrique Tierno Galván Park</t>
  </si>
  <si>
    <t>The most famous Christmas lights return this year to Madrid with a tribute to the small invertebrate animals that balance the ecosystem: the...</t>
  </si>
  <si>
    <r>
      <rPr>
        <rFont val="Arial, sans-serif"/>
        <color rgb="FF1155CC"/>
        <sz val="9.0"/>
        <u/>
      </rPr>
      <t>El Confidencial</t>
    </r>
    <r>
      <rPr>
        <rFont val="Arial, sans-serif"/>
        <color rgb="FF1155CC"/>
        <sz val="15.0"/>
        <u/>
      </rPr>
      <t>Marc Márquez sugirió el fichaje de Lorenzo por Honda… ¡Para evitar que les ganara con Ducati!</t>
    </r>
    <r>
      <rPr>
        <rFont val="Arial, sans-serif"/>
        <color rgb="FF1155CC"/>
        <sz val="11.0"/>
        <u/>
      </rPr>
      <t>En 2019, el equipo de Repsol Honda tuvo en su parrilla de MotoGP a dos de los mejores pilotos de toda la historia: Marc Márquez y Jorge Lorenzo.</t>
    </r>
    <r>
      <rPr>
        <rFont val="Arial, sans-serif"/>
        <color rgb="FF1155CC"/>
        <sz val="12.0"/>
        <u/>
      </rPr>
      <t>.</t>
    </r>
    <r>
      <rPr>
        <rFont val="Arial, sans-serif"/>
        <color rgb="FF1155CC"/>
        <sz val="11.0"/>
        <u/>
      </rPr>
      <t>13 dic 2024</t>
    </r>
  </si>
  <si>
    <t>Marc Márquez sugirió el fichaje de Lorenzo por Honda… ¡Para evitar que les ganara con Ducati!</t>
  </si>
  <si>
    <t>En 2019, el equipo de Repsol Honda tuvo en su parrilla de MotoGP a dos de los mejores pilotos de toda la historia: Marc Márquez y Jorge Lorenzo.</t>
  </si>
  <si>
    <t>Marc Márquez suggested Lorenzo's signing for Honda... To prevent him from beating them with Ducati!</t>
  </si>
  <si>
    <t>In 2019, the Repsol Honda team had two of the best riders in history on its MotoGP grid: Marc Márquez and Jorge Lorenzo.</t>
  </si>
  <si>
    <r>
      <rPr>
        <rFont val="Arial, sans-serif"/>
        <color rgb="FF1155CC"/>
        <sz val="9.0"/>
        <u/>
      </rPr>
      <t>Guía Repsol</t>
    </r>
    <r>
      <rPr>
        <rFont val="Arial, sans-serif"/>
        <color rgb="FF1155CC"/>
        <sz val="15.0"/>
        <u/>
      </rPr>
      <t>Restaurantes mexicanos en Valencia</t>
    </r>
    <r>
      <rPr>
        <rFont val="Arial, sans-serif"/>
        <color rgb="FF1155CC"/>
        <sz val="11.0"/>
        <u/>
      </rPr>
      <t>Antojo de México en Valencia? Descubre los mejores restaurantes mexicanos de la ciudad. ¡Saborea la auténtica cocina mexicana!</t>
    </r>
    <r>
      <rPr>
        <rFont val="Arial, sans-serif"/>
        <color rgb="FF1155CC"/>
        <sz val="12.0"/>
        <u/>
      </rPr>
      <t>.</t>
    </r>
    <r>
      <rPr>
        <rFont val="Arial, sans-serif"/>
        <color rgb="FF1155CC"/>
        <sz val="11.0"/>
        <u/>
      </rPr>
      <t>13 dic 2024</t>
    </r>
  </si>
  <si>
    <t>Restaurantes mexicanos en Valencia</t>
  </si>
  <si>
    <t>Antojo de México en Valencia? Descubre los mejores restaurantes mexicanos de la ciudad. ¡Saborea la auténtica cocina mexicana!.</t>
  </si>
  <si>
    <t>Mexican restaurants in Valencia</t>
  </si>
  <si>
    <t>Craving Mexico in Valencia? Discover the best Mexican restaurants in the city. Taste authentic Mexican cuisine!</t>
  </si>
  <si>
    <r>
      <rPr>
        <rFont val="Arial, sans-serif"/>
        <color rgb="FF1155CC"/>
        <sz val="9.0"/>
        <u/>
      </rPr>
      <t>Guía Repsol</t>
    </r>
    <r>
      <rPr>
        <rFont val="Arial, sans-serif"/>
        <color rgb="FF1155CC"/>
        <sz val="15.0"/>
        <u/>
      </rPr>
      <t>¿Te vas de viaje este verano? No te olvides de cuidar tu alimentación también en la carretera</t>
    </r>
    <r>
      <rPr>
        <rFont val="Arial, sans-serif"/>
        <color rgb="FF1155CC"/>
        <sz val="11.0"/>
        <u/>
      </rPr>
      <t>La Directora de la Guía Repsol, María Ritter nos recuerda que “la Guía lleva 40 años en la carretera y para nosotros el trayecto forma parte del viaje.</t>
    </r>
    <r>
      <rPr>
        <rFont val="Arial, sans-serif"/>
        <color rgb="FF1155CC"/>
        <sz val="12.0"/>
        <u/>
      </rPr>
      <t>.</t>
    </r>
    <r>
      <rPr>
        <rFont val="Arial, sans-serif"/>
        <color rgb="FF1155CC"/>
        <sz val="11.0"/>
        <u/>
      </rPr>
      <t>13 dic 2024</t>
    </r>
  </si>
  <si>
    <t>¿Te vas de viaje este verano? No te olvides de cuidar tu alimentación también en la carretera</t>
  </si>
  <si>
    <t>No te olvides de cuidar tu alimentación también en la carretera.</t>
  </si>
  <si>
    <t>Are you going on a trip this summer? Don't forget to take care of your diet on the road too.</t>
  </si>
  <si>
    <t>Don't forget to take care of your diet on the road too.</t>
  </si>
  <si>
    <r>
      <rPr>
        <rFont val="Arial, sans-serif"/>
        <color rgb="FF1155CC"/>
        <sz val="9.0"/>
        <u/>
      </rPr>
      <t>Guía Repsol</t>
    </r>
    <r>
      <rPr>
        <rFont val="Arial, sans-serif"/>
        <color rgb="FF1155CC"/>
        <sz val="15.0"/>
        <u/>
      </rPr>
      <t>Un huerto hecho museo: Todolí nos enseña su Hort Botànic Citrícola el Bartolí</t>
    </r>
    <r>
      <rPr>
        <rFont val="Arial, sans-serif"/>
        <color rgb="FF1155CC"/>
        <sz val="11.0"/>
        <u/>
      </rPr>
      <t>Para el comisario de arte Vicent Todolí, la belleza extrema que alberga la Tate Modern de Londres, el museo que dirigió, y la que se encuentra en su finca.</t>
    </r>
    <r>
      <rPr>
        <rFont val="Arial, sans-serif"/>
        <color rgb="FF1155CC"/>
        <sz val="12.0"/>
        <u/>
      </rPr>
      <t>.</t>
    </r>
    <r>
      <rPr>
        <rFont val="Arial, sans-serif"/>
        <color rgb="FF1155CC"/>
        <sz val="11.0"/>
        <u/>
      </rPr>
      <t>13 dic 2024</t>
    </r>
  </si>
  <si>
    <t>Un huerto hecho museo: Todolí nos enseña su Hort Botànic Citrícola el Bartolí</t>
  </si>
  <si>
    <t>Un huerto hecho museo: Todolí nos enseña su Hort Botànic Citrícola el Bartolí. Para el comisario de arte Vicent Todolí, la belleza extrema que alberga la Tate Modern de Londres, el museo que dirigió, y la que se encuentra en su finca.</t>
  </si>
  <si>
    <t>An orchard turned into a museum: Todolí shows us its Hort Botànic Citrícola el Bartolí</t>
  </si>
  <si>
    <t>An orchard turned into a museum: Todolí shows us its Hort Botànic Citrícola el Bartolí. For the art curator Vicent Todolí, the extreme beauty that houses the Tate Modern in London, the museum he directed, and that which is located on his estate.</t>
  </si>
  <si>
    <r>
      <rPr>
        <rFont val="Arial, sans-serif"/>
        <color rgb="FF1155CC"/>
        <sz val="9.0"/>
        <u/>
      </rPr>
      <t>Guía Repsol</t>
    </r>
    <r>
      <rPr>
        <rFont val="Arial, sans-serif"/>
        <color rgb="FF1155CC"/>
        <sz val="15.0"/>
        <u/>
      </rPr>
      <t>Manualidades de Navidad fáciles y rápidas para decorar tu hogar</t>
    </r>
    <r>
      <rPr>
        <rFont val="Arial, sans-serif"/>
        <color rgb="FF1155CC"/>
        <sz val="11.0"/>
        <u/>
      </rPr>
      <t>Aprende a hacer decoraciones de Navidad para tu hogar: postales, bolas de Navidad o un centro de mesa. ¡Diversión para toda la familia!</t>
    </r>
    <r>
      <rPr>
        <rFont val="Arial, sans-serif"/>
        <color rgb="FF1155CC"/>
        <sz val="12.0"/>
        <u/>
      </rPr>
      <t>.</t>
    </r>
    <r>
      <rPr>
        <rFont val="Arial, sans-serif"/>
        <color rgb="FF1155CC"/>
        <sz val="11.0"/>
        <u/>
      </rPr>
      <t>13 dic 2024</t>
    </r>
  </si>
  <si>
    <t>Manualidades de Navidad fáciles y rápidas para decorar tu hogar</t>
  </si>
  <si>
    <t>Aprende a hacer decoraciones de Navidad para tu hogar: postales, bolas de Navidad o un centro de mesa. ¡Diversión para toda la familia!</t>
  </si>
  <si>
    <t>Easy and quick Christmas crafts to decorate your home</t>
  </si>
  <si>
    <t>Learn how to make Christmas decorations for your home: postcards, Christmas balls or a centerpiece. Fun for the whole family!</t>
  </si>
  <si>
    <r>
      <rPr>
        <rFont val="Arial, sans-serif"/>
        <color rgb="FF1155CC"/>
        <sz val="9.0"/>
        <u/>
      </rPr>
      <t>Guía Repsol</t>
    </r>
    <r>
      <rPr>
        <rFont val="Arial, sans-serif"/>
        <color rgb="FF1155CC"/>
        <sz val="15.0"/>
        <u/>
      </rPr>
      <t>Qué ver y hacer en Sitges: la villa marinera 'non-stop'</t>
    </r>
    <r>
      <rPr>
        <rFont val="Arial, sans-serif"/>
        <color rgb="FF1155CC"/>
        <sz val="11.0"/>
        <u/>
      </rPr>
      <t>Sitges: mucho más que playa. Descubre qué ver y hacer en esta vibrante villa marinera: playas, cultura, gastronomía y una animada vida nocturna.</t>
    </r>
    <r>
      <rPr>
        <rFont val="Arial, sans-serif"/>
        <color rgb="FF1155CC"/>
        <sz val="12.0"/>
        <u/>
      </rPr>
      <t>.</t>
    </r>
    <r>
      <rPr>
        <rFont val="Arial, sans-serif"/>
        <color rgb="FF1155CC"/>
        <sz val="11.0"/>
        <u/>
      </rPr>
      <t>13 dic 2024</t>
    </r>
  </si>
  <si>
    <t>Qué ver y hacer en Sitges: la villa marinera 'non-stop'</t>
  </si>
  <si>
    <t>Sitges: mucho más que playa. Descubre qué ver y hacer en esta vibrante villa marinera: playas, cultura, gastronomía y una animada vida nocturna.</t>
  </si>
  <si>
    <t>What to see and do in Sitges: the 'non-stop' fishing village</t>
  </si>
  <si>
    <t>Sitges: much more than a beach. Discover what to see and do in this vibrant fishing village: beaches, culture, gastronomy and lively nightlife.</t>
  </si>
  <si>
    <r>
      <rPr>
        <rFont val="Arial, sans-serif"/>
        <color rgb="FF1155CC"/>
        <sz val="9.0"/>
        <u/>
      </rPr>
      <t>bierzotv</t>
    </r>
    <r>
      <rPr>
        <rFont val="Arial, sans-serif"/>
        <color rgb="FF1155CC"/>
        <sz val="15.0"/>
        <u/>
      </rPr>
      <t>Páramo del Sil teme que la instalación de 43 aerogeneradores afecte a la biodiversidad de Gistredo y del Alto Sil</t>
    </r>
    <r>
      <rPr>
        <rFont val="Arial, sans-serif"/>
        <color rgb="FF1155CC"/>
        <sz val="11.0"/>
        <u/>
      </rPr>
      <t>Son 43 aerogeneradores para ser instalados en la Sierra de Gistredo y en el Alto Sil, de los cuales, 20 tienen una altura de 200 metros.</t>
    </r>
    <r>
      <rPr>
        <rFont val="Arial, sans-serif"/>
        <color rgb="FF1155CC"/>
        <sz val="12.0"/>
        <u/>
      </rPr>
      <t>.</t>
    </r>
    <r>
      <rPr>
        <rFont val="Arial, sans-serif"/>
        <color rgb="FF1155CC"/>
        <sz val="11.0"/>
        <u/>
      </rPr>
      <t>13 dic 2024</t>
    </r>
  </si>
  <si>
    <t>Páramo del Sil teme que la instalación de 43 aerogeneradores afecte a la biodiversidad de Gistredo y del Alto Sil</t>
  </si>
  <si>
    <t>Páramo del Sil teme que la instalación de 43 aerogeneradores afecte a la biodiversidad de Gistredo y del Alto Sil. Son 43 aerogeneradores para ser instalados en la Sierra de Gistredo y en el Alto Sil, de los cuales, 20 tienen una altura de 200 metros.</t>
  </si>
  <si>
    <t>Páramo del Sil fears that the installation of 43 wind turbines will affect the biodiversity of Gistredo and Alto Sil</t>
  </si>
  <si>
    <t>Páramo del Sil fears that the installation of 43 wind turbines will affect the biodiversity of Gistredo and Alto Sil. There are 43 wind turbines to be installed in the Sierra de Gistredo and Alto Sil, of which 20 have a height of 200 meters.</t>
  </si>
  <si>
    <t>Páramo del Sil, wind turbines, biodiversity</t>
  </si>
  <si>
    <t>Páramo del Sil, aerogeneradores, biodiversidad</t>
  </si>
  <si>
    <t>Negative, highlights concerns over environmental impact and biodiversity loss.</t>
  </si>
  <si>
    <t>afecte</t>
  </si>
  <si>
    <r>
      <rPr>
        <rFont val="Arial, sans-serif"/>
        <color rgb="FF1155CC"/>
        <sz val="9.0"/>
        <u/>
      </rPr>
      <t>LexLatin</t>
    </r>
    <r>
      <rPr>
        <rFont val="Arial, sans-serif"/>
        <color rgb="FF1155CC"/>
        <sz val="15.0"/>
        <u/>
      </rPr>
      <t>Geopark adquiere activos de petróleo y gas de Repsol en Colombia por USD 530 millones</t>
    </r>
    <r>
      <rPr>
        <rFont val="Arial, sans-serif"/>
        <color rgb="FF1155CC"/>
        <sz val="11.0"/>
        <u/>
      </rPr>
      <t>Geopark adquirió activos de exploración y producción (upstream) de petróleo y gas de Repsol en la cuenca de Los Llanos, en Colombia, por 530 millones de...</t>
    </r>
    <r>
      <rPr>
        <rFont val="Arial, sans-serif"/>
        <color rgb="FF1155CC"/>
        <sz val="12.0"/>
        <u/>
      </rPr>
      <t>.</t>
    </r>
    <r>
      <rPr>
        <rFont val="Arial, sans-serif"/>
        <color rgb="FF1155CC"/>
        <sz val="11.0"/>
        <u/>
      </rPr>
      <t>13 dic 2024</t>
    </r>
  </si>
  <si>
    <t>Geopark</t>
  </si>
  <si>
    <t>Geopark adquiere activos de petróleo y gas de Repsol en Colombia por USD 530 millones</t>
  </si>
  <si>
    <t>Geopark adquirió activos de exploración y producción (upstream) de petróleo y gas de Repsol en la cuenca de Los Llanos, en Colombia, por 530 millones de....</t>
  </si>
  <si>
    <t>Geopark acquires Repsol oil and gas assets in Colombia for USD 530 million</t>
  </si>
  <si>
    <t>Geopark acquired oil and gas exploration and production (upstream) assets from Repsol in the Los Llanos basin, in Colombia, for €530 million....</t>
  </si>
  <si>
    <t>Geopark, Repsol, Colombia, acquisition</t>
  </si>
  <si>
    <t>Geoparque, Repsol, Colombia, adquisición</t>
  </si>
  <si>
    <t>Neutral-positive, focuses on a significant business transaction in the energy sector.</t>
  </si>
  <si>
    <t>Neutral (transactional).</t>
  </si>
  <si>
    <t>Neutral (transaccional).</t>
  </si>
  <si>
    <r>
      <rPr>
        <rFont val="Arial, sans-serif"/>
        <color rgb="FF1155CC"/>
        <sz val="9.0"/>
        <u/>
      </rPr>
      <t>Guía Repsol</t>
    </r>
    <r>
      <rPr>
        <rFont val="Arial, sans-serif"/>
        <color rgb="FF1155CC"/>
        <sz val="15.0"/>
        <u/>
      </rPr>
      <t>Receta de sopa paraguaya de la serie 'Nada' con Robert de Niro y Brandoni</t>
    </r>
    <r>
      <rPr>
        <rFont val="Arial, sans-serif"/>
        <color rgb="FF1155CC"/>
        <sz val="11.0"/>
        <u/>
      </rPr>
      <t>Esta paraguaya es la sopa nacional del país, ahora famosa por su aparición en la serie 'Nada' de Disney. En realidad no es una sopa, al menos no al servirla...</t>
    </r>
    <r>
      <rPr>
        <rFont val="Arial, sans-serif"/>
        <color rgb="FF1155CC"/>
        <sz val="12.0"/>
        <u/>
      </rPr>
      <t>.</t>
    </r>
    <r>
      <rPr>
        <rFont val="Arial, sans-serif"/>
        <color rgb="FF1155CC"/>
        <sz val="11.0"/>
        <u/>
      </rPr>
      <t>13 dic 2024</t>
    </r>
  </si>
  <si>
    <t>Receta de sopa paraguaya de la serie 'Nada' con Robert de Niro y Brandoni</t>
  </si>
  <si>
    <t>Esta paraguaya es la sopa nacional del país, ahora famosa por su aparición en la serie 'Nada' de Disney. En realidad no es una sopa, al menos no al servirla....</t>
  </si>
  <si>
    <t>Paraguayan soup recipe from the series 'Nada' with Robert de Niro and Brandoni</t>
  </si>
  <si>
    <t>This Paraguayan soup is the country's national soup, now famous for its appearance in the Disney series 'Nada'. It's not really a soup, at least not when served....</t>
  </si>
  <si>
    <r>
      <rPr>
        <rFont val="Arial, sans-serif"/>
        <color rgb="FF1155CC"/>
        <sz val="9.0"/>
        <u/>
      </rPr>
      <t>Guía Repsol</t>
    </r>
    <r>
      <rPr>
        <rFont val="Arial, sans-serif"/>
        <color rgb="FF1155CC"/>
        <sz val="15.0"/>
        <u/>
      </rPr>
      <t>‘Font de la Canya’ (Penedès, Barcelona): el hotel que homenajea a los orígenes de la vid</t>
    </r>
    <r>
      <rPr>
        <rFont val="Arial, sans-serif"/>
        <color rgb="FF1155CC"/>
        <sz val="11.0"/>
        <u/>
      </rPr>
      <t>Rodeado de olivos y viñedos, con la majestuosa silueta del macizo de Montserrat al fondo -cuando las nubes y la bruma lo dejan ver- y completamente aislado,...</t>
    </r>
    <r>
      <rPr>
        <rFont val="Arial, sans-serif"/>
        <color rgb="FF1155CC"/>
        <sz val="12.0"/>
        <u/>
      </rPr>
      <t>.</t>
    </r>
    <r>
      <rPr>
        <rFont val="Arial, sans-serif"/>
        <color rgb="FF1155CC"/>
        <sz val="11.0"/>
        <u/>
      </rPr>
      <t>13 dic 2024</t>
    </r>
  </si>
  <si>
    <t>'Font de la Canya’ (Penedès, Barcelona): el hotel que homenajea a los orígenes de la vid</t>
  </si>
  <si>
    <t>Rodeado de olivos y viñedos, con la majestuosa silueta del macizo de Montserrat al fondo -cuando las nubes y la bruma lo dejan ver- y completamente aislado,....</t>
  </si>
  <si>
    <t>'Font de la Canya' (Penedès, Barcelona): the hotel that pays tribute to the origins of the vine</t>
  </si>
  <si>
    <t>Surrounded by olive trees and vineyards, with the majestic silhouette of the Montserrat massif in the background - when the clouds and mist reveal it - and completely isolated,...</t>
  </si>
  <si>
    <r>
      <rPr>
        <rFont val="Arial, sans-serif"/>
        <color rgb="FF1155CC"/>
        <sz val="9.0"/>
        <u/>
      </rPr>
      <t>Guía Repsol</t>
    </r>
    <r>
      <rPr>
        <rFont val="Arial, sans-serif"/>
        <color rgb="FF1155CC"/>
        <sz val="15.0"/>
        <u/>
      </rPr>
      <t>Foodtrucks en Navarra: ‘Basque Truck’ (Zizur Mayor) y ‘Foodtruck de Fermín Paularena’ (Puerto de Erro)</t>
    </r>
    <r>
      <rPr>
        <rFont val="Arial, sans-serif"/>
        <color rgb="FF1155CC"/>
        <sz val="11.0"/>
        <u/>
      </rPr>
      <t>Quien piense que el movimiento foodtruck está destinado solo a la carretera, es que no ha visto qué se cuece en Navarra. Dos ejemplos vivos deleitan desde...</t>
    </r>
    <r>
      <rPr>
        <rFont val="Arial, sans-serif"/>
        <color rgb="FF1155CC"/>
        <sz val="12.0"/>
        <u/>
      </rPr>
      <t>.</t>
    </r>
    <r>
      <rPr>
        <rFont val="Arial, sans-serif"/>
        <color rgb="FF1155CC"/>
        <sz val="11.0"/>
        <u/>
      </rPr>
      <t>13 dic 2024</t>
    </r>
  </si>
  <si>
    <t>Foodtrucks en Navarra: ‘Basque Truck’ (Zizur Mayor) y ‘Foodtruck de Fermín Paularena’ (Puerto de Erro)</t>
  </si>
  <si>
    <t>Quien piense que el movimiento foodtruck está destinado solo a la carretera, es que no ha visto qué se cuece en Navarra. Dos ejemplos vivos deleitan desde....</t>
  </si>
  <si>
    <t>Foodtrucks in Navarra: ‘Basque Truck’ (Zizur Mayor) and ‘Foodtruck de Fermín Paularena’ (Puerto de Erro)</t>
  </si>
  <si>
    <t>Anyone who thinks that the foodtruck movement is intended only for the road has not seen what is happening in Navarra. Two living examples delight from....</t>
  </si>
  <si>
    <r>
      <rPr>
        <rFont val="Arial, sans-serif"/>
        <color rgb="FF1155CC"/>
        <sz val="9.0"/>
        <u/>
      </rPr>
      <t>Diario Palentino</t>
    </r>
    <r>
      <rPr>
        <rFont val="Arial, sans-serif"/>
        <color rgb="FF1155CC"/>
        <sz val="15.0"/>
        <u/>
      </rPr>
      <t>El BBVA confirma que David Sánchez tenía acciones en la entidad</t>
    </r>
    <r>
      <rPr>
        <rFont val="Arial, sans-serif"/>
        <color rgb="FF1155CC"/>
        <sz val="11.0"/>
        <u/>
      </rPr>
      <t>El banco asegura a la jueza que el hermano del presidente del Gobierno contaba con un total de 71.411,16 euros en operaciones en junio de 2023.</t>
    </r>
    <r>
      <rPr>
        <rFont val="Arial, sans-serif"/>
        <color rgb="FF1155CC"/>
        <sz val="12.0"/>
        <u/>
      </rPr>
      <t>.</t>
    </r>
    <r>
      <rPr>
        <rFont val="Arial, sans-serif"/>
        <color rgb="FF1155CC"/>
        <sz val="11.0"/>
        <u/>
      </rPr>
      <t>13 dic 2024</t>
    </r>
  </si>
  <si>
    <t>El BBVA confirma que David Sánchez tenía acciones en la entidad</t>
  </si>
  <si>
    <t>El banco asegura a la jueza que el hermano del presidente del Gobierno contaba con un total de 71.411,16 euros en operaciones en junio de 2023.</t>
  </si>
  <si>
    <t>BBVA confirms that David Sánchez had shares in the entity</t>
  </si>
  <si>
    <t>The bank assures the judge that the brother of the President of the Government had a total of 71,411.16 euros in operations in June 2023.</t>
  </si>
  <si>
    <r>
      <rPr>
        <rFont val="Arial, sans-serif"/>
        <color rgb="FF1155CC"/>
        <sz val="9.0"/>
        <u/>
      </rPr>
      <t>Bloomberg Línea</t>
    </r>
    <r>
      <rPr>
        <rFont val="Arial, sans-serif"/>
        <color rgb="FF1155CC"/>
        <sz val="15.0"/>
        <u/>
      </rPr>
      <t>Así están las apuestas por la mayor petrolera privada que opera en Colombia</t>
    </r>
    <r>
      <rPr>
        <rFont val="Arial, sans-serif"/>
        <color rgb="FF1155CC"/>
        <sz val="11.0"/>
        <u/>
      </rPr>
      <t>Bogotá — A finales de noviembre GeoPark anunció que compraría los bloques de Repsol en Colombia y desde entonces sus acciones venían ganando terreno en...</t>
    </r>
    <r>
      <rPr>
        <rFont val="Arial, sans-serif"/>
        <color rgb="FF1155CC"/>
        <sz val="12.0"/>
        <u/>
      </rPr>
      <t>.</t>
    </r>
    <r>
      <rPr>
        <rFont val="Arial, sans-serif"/>
        <color rgb="FF1155CC"/>
        <sz val="11.0"/>
        <u/>
      </rPr>
      <t>13 dic 2024</t>
    </r>
  </si>
  <si>
    <t>Bloomberg Línea</t>
  </si>
  <si>
    <t>Así están las apuestas por la mayor petrolera privada que opera en Colombia</t>
  </si>
  <si>
    <t>A finales de noviembre GeoPark anunció que compraría los bloques de Repsol en Colombia y desde entonces sus acciones venían ganando terreno en....</t>
  </si>
  <si>
    <t>These are the bets for the largest private oil company operating in Colombia</t>
  </si>
  <si>
    <t>At the end of November GeoPark announced that it would buy Repsol's blocks in Colombia and since then its shares have been gaining ground in...</t>
  </si>
  <si>
    <t>GeoPark, Repsol, oil, Colombia</t>
  </si>
  <si>
    <t>GeoPark, Repsol, petróleo, Colombia</t>
  </si>
  <si>
    <t>Neutral-positive, focuses on the strategic acquisition within the energy sector.</t>
  </si>
  <si>
    <t>Irrelevant.</t>
  </si>
  <si>
    <t>Irrelevante.</t>
  </si>
  <si>
    <r>
      <rPr>
        <rFont val="Arial, sans-serif"/>
        <color rgb="FF1155CC"/>
        <sz val="9.0"/>
        <u/>
      </rPr>
      <t>El Periódico de la Energía</t>
    </r>
    <r>
      <rPr>
        <rFont val="Arial, sans-serif"/>
        <color rgb="FF1155CC"/>
        <sz val="15.0"/>
        <u/>
      </rPr>
      <t>Repsol, gran vencedora de los 'Oscar' energéticos con tres galardones, incluido el de Empresa del Año</t>
    </r>
    <r>
      <rPr>
        <rFont val="Arial, sans-serif"/>
        <color rgb="FF1155CC"/>
        <sz val="11.0"/>
        <u/>
      </rPr>
      <t>La multinacional española dirigida por Josu Jon Imaz fue la vencedora además en los apartados de mejor compañía de 'Downstream' y en el de Acuerdo...</t>
    </r>
    <r>
      <rPr>
        <rFont val="Arial, sans-serif"/>
        <color rgb="FF1155CC"/>
        <sz val="12.0"/>
        <u/>
      </rPr>
      <t>.</t>
    </r>
    <r>
      <rPr>
        <rFont val="Arial, sans-serif"/>
        <color rgb="FF1155CC"/>
        <sz val="11.0"/>
        <u/>
      </rPr>
      <t>14 dic 2024</t>
    </r>
  </si>
  <si>
    <t>La multinacional española dirigida por Josu Jon Imaz fue la vencedora además en los apartados de mejor compañía de 'Downstream' y en el de Acuerdo....</t>
  </si>
  <si>
    <t>The Spanish multinational directed by Josu Jon Imaz was also the winner in the sections of best company of 'Downstream' and in Agreement....</t>
  </si>
  <si>
    <t>Repsol, awards, energy</t>
  </si>
  <si>
    <t>Repsol, premios, energía</t>
  </si>
  <si>
    <t>Positive, celebrates Repsol's achievements in the energy sector.</t>
  </si>
  <si>
    <t>Repeated highly positive sentiment.</t>
  </si>
  <si>
    <t>Sentimiento muy positivo repetido.</t>
  </si>
  <si>
    <r>
      <rPr>
        <rFont val="Arial, sans-serif"/>
        <color rgb="FF1155CC"/>
        <sz val="9.0"/>
        <u/>
      </rPr>
      <t>Finanzas.com</t>
    </r>
    <r>
      <rPr>
        <rFont val="Arial, sans-serif"/>
        <color rgb="FF1155CC"/>
        <sz val="15.0"/>
        <u/>
      </rPr>
      <t>BBVA, Repsol, Telefónica... ¿replicarías la cartera de acciones del hermano de Pedro Sánchez?</t>
    </r>
    <r>
      <rPr>
        <rFont val="Arial, sans-serif"/>
        <color rgb="FF1155CC"/>
        <sz val="11.0"/>
        <u/>
      </rPr>
      <t>La cartera de acciones de David Sánchez Castejón está integrada exclusivamente por valores españoles, con clara inclinación hacia el sector energético.</t>
    </r>
    <r>
      <rPr>
        <rFont val="Arial, sans-serif"/>
        <color rgb="FF1155CC"/>
        <sz val="12.0"/>
        <u/>
      </rPr>
      <t>.</t>
    </r>
    <r>
      <rPr>
        <rFont val="Arial, sans-serif"/>
        <color rgb="FF1155CC"/>
        <sz val="11.0"/>
        <u/>
      </rPr>
      <t>14 dic 2024</t>
    </r>
  </si>
  <si>
    <t>¿Replicarías la cartera de acciones del hermano de Pedro Sánchez?</t>
  </si>
  <si>
    <t>La cartera de acciones de David Sánchez Castejón está integrada exclusivamente por valores españoles, con clara inclinación hacia el sector energético.</t>
  </si>
  <si>
    <t>Would you replicate Pedro Sánchez's brother's stock portfolio?</t>
  </si>
  <si>
    <t>David Sánchez Castejón's stock portfolio is made up exclusively of Spanish securities, with a clear inclination towards the energy sector.</t>
  </si>
  <si>
    <r>
      <rPr>
        <rFont val="Arial, sans-serif"/>
        <color rgb="FF1155CC"/>
        <sz val="9.0"/>
        <u/>
      </rPr>
      <t>Onda Cero</t>
    </r>
    <r>
      <rPr>
        <rFont val="Arial, sans-serif"/>
        <color rgb="FF1155CC"/>
        <sz val="15.0"/>
        <u/>
      </rPr>
      <t>Podemos dice que el 'lawfare' continuará si al PSOE solo le preocupa cuando le afecta</t>
    </r>
    <r>
      <rPr>
        <rFont val="Arial, sans-serif"/>
        <color rgb="FF1155CC"/>
        <sz val="11.0"/>
        <u/>
      </rPr>
      <t>Ione Belarra cree que los socialistas no atajarán la "corrupción judicial" mientras rechace denunciarla todo el tiempo y en todos los casos.</t>
    </r>
    <r>
      <rPr>
        <rFont val="Arial, sans-serif"/>
        <color rgb="FF1155CC"/>
        <sz val="12.0"/>
        <u/>
      </rPr>
      <t>.</t>
    </r>
    <r>
      <rPr>
        <rFont val="Arial, sans-serif"/>
        <color rgb="FF1155CC"/>
        <sz val="11.0"/>
        <u/>
      </rPr>
      <t>14 dic 2024</t>
    </r>
  </si>
  <si>
    <t>Podemos dice que el 'lawfare' continuará si al PSOE solo le preocupa cuando le afecta</t>
  </si>
  <si>
    <t>Ione Belarra cree que los socialistas no atajarán la "corrupción judicial" mientras rechace denunciarla todo el tiempo y en todos los casos.</t>
  </si>
  <si>
    <t>Podemos says that the 'lawfare' will continue if the PSOE is only concerned when it affects it</t>
  </si>
  <si>
    <t>Ione Belarra believes that the socialists will not stop "judicial corruption" as long as they refuse to denounce it all the time and in all cases.</t>
  </si>
  <si>
    <r>
      <rPr>
        <rFont val="Arial, sans-serif"/>
        <color rgb="FF1155CC"/>
        <sz val="9.0"/>
        <u/>
      </rPr>
      <t>Gizmodo en Español | Tecnología, ciencia y cultura digital</t>
    </r>
    <r>
      <rPr>
        <rFont val="Arial, sans-serif"/>
        <color rgb="FF1155CC"/>
        <sz val="15.0"/>
        <u/>
      </rPr>
      <t>Descubren energía fluyendo bajo el centro de Madrid: La capital española se convierte en referente de la geotermia</t>
    </r>
    <r>
      <rPr>
        <rFont val="Arial, sans-serif"/>
        <color rgb="FF1155CC"/>
        <sz val="11.0"/>
        <u/>
      </rPr>
      <t>Un sorprendente hallazgo bajo el centro de Madrid podría cambiar el panorama energético de España y marcar un hito en la transición hacia fuentes de energía...</t>
    </r>
    <r>
      <rPr>
        <rFont val="Arial, sans-serif"/>
        <color rgb="FF1155CC"/>
        <sz val="12.0"/>
        <u/>
      </rPr>
      <t>.</t>
    </r>
    <r>
      <rPr>
        <rFont val="Arial, sans-serif"/>
        <color rgb="FF1155CC"/>
        <sz val="11.0"/>
        <u/>
      </rPr>
      <t>14 dic 2024</t>
    </r>
  </si>
  <si>
    <t>Gizmodo en Español</t>
  </si>
  <si>
    <t>Descubren energía fluyendo bajo el centro de Madrid: La capital española se convierte en referente de la geotermia</t>
  </si>
  <si>
    <t>Un sorprendente hallazgo bajo el centro de Madrid podría cambiar el panorama energético de España y marcar un hito en la transición hacia fuentes de energía.</t>
  </si>
  <si>
    <t>They discover energy flowing under the center of Madrid: The Spanish capital becomes a reference for geothermal energy</t>
  </si>
  <si>
    <t>A surprising discovery under the center of Madrid could change Spain's energy landscape and mark a milestone in the transition towards energy sources.</t>
  </si>
  <si>
    <t>Madrid, geothermal energy, discovery</t>
  </si>
  <si>
    <t>Madrid, geotermia, descubrimiento</t>
  </si>
  <si>
    <t>Positive, highlights a major energy breakthrough with potential for sustainability.</t>
  </si>
  <si>
    <r>
      <rPr>
        <rFont val="Arial, sans-serif"/>
        <color rgb="FF1155CC"/>
        <sz val="9.0"/>
        <u/>
      </rPr>
      <t>mallorcadiario.com</t>
    </r>
    <r>
      <rPr>
        <rFont val="Arial, sans-serif"/>
        <color rgb="FF1155CC"/>
        <sz val="15.0"/>
        <u/>
      </rPr>
      <t>Un centenar de personas y once prestigiosos chefs, protagonistas de una cena benéfica por Valencia</t>
    </r>
    <r>
      <rPr>
        <rFont val="Arial, sans-serif"/>
        <color rgb="FF1155CC"/>
        <sz val="11.0"/>
        <u/>
      </rPr>
      <t>Cien personas han comprado el cubierto de la cena solidaria protagonizada durante la noche del viernes por once prestigiosos chefs de Mallorca.</t>
    </r>
    <r>
      <rPr>
        <rFont val="Arial, sans-serif"/>
        <color rgb="FF1155CC"/>
        <sz val="12.0"/>
        <u/>
      </rPr>
      <t>.</t>
    </r>
    <r>
      <rPr>
        <rFont val="Arial, sans-serif"/>
        <color rgb="FF1155CC"/>
        <sz val="11.0"/>
        <u/>
      </rPr>
      <t>14 dic 2024</t>
    </r>
  </si>
  <si>
    <t>mallorcadiario.com</t>
  </si>
  <si>
    <t>Un centenar de personas y once prestigiosos chefs, protagonistas de una cena benéfica por Valencia</t>
  </si>
  <si>
    <t>Cien personas han comprado el cubierto de la cena solidaria protagonizada durante la noche del viernes por once prestigiosos chefs de Mallorca.</t>
  </si>
  <si>
    <t>A hundred people and eleven prestigious chefs, protagonists of a charity dinner in Valencia</t>
  </si>
  <si>
    <t>One hundred people bought the cutlery for the charity dinner hosted on Friday night by eleven prestigious chefs from Mallorca.</t>
  </si>
  <si>
    <r>
      <rPr>
        <rFont val="Arial, sans-serif"/>
        <color rgb="FF1155CC"/>
        <sz val="9.0"/>
        <u/>
      </rPr>
      <t>INFORMACION</t>
    </r>
    <r>
      <rPr>
        <rFont val="Arial, sans-serif"/>
        <color rgb="FF1155CC"/>
        <sz val="15.0"/>
        <u/>
      </rPr>
      <t>Los depósitos de Campsa del puerto de Alicante dejaron más de 41.000 m² de terreno contaminado</t>
    </r>
    <r>
      <rPr>
        <rFont val="Arial, sans-serif"/>
        <color rgb="FF1155CC"/>
        <sz val="11.0"/>
        <u/>
      </rPr>
      <t>La compañía responsable de los tanques pidió en junio permiso a Medio Ambiente para limpiar la zona tras detectarse en el subsuelo una concentración de...</t>
    </r>
    <r>
      <rPr>
        <rFont val="Arial, sans-serif"/>
        <color rgb="FF1155CC"/>
        <sz val="12.0"/>
        <u/>
      </rPr>
      <t>.</t>
    </r>
    <r>
      <rPr>
        <rFont val="Arial, sans-serif"/>
        <color rgb="FF1155CC"/>
        <sz val="11.0"/>
        <u/>
      </rPr>
      <t>14 dic 2024</t>
    </r>
  </si>
  <si>
    <t>Los depósitos de Campsa del puerto de Alicante dejaron más de 41.000 m² de terreno contaminado</t>
  </si>
  <si>
    <t>La compañía responsable de los tanques pidió en junio permiso a Medio Ambiente para limpiar la zona tras detectarse en el subsuelo una concentración de....</t>
  </si>
  <si>
    <t>The Campsa warehouses in the port of Alicante left more than 41,000 m² of contaminated land</t>
  </si>
  <si>
    <t>The company responsible for the tanks requested permission from the Environment in June to clean the area after a concentration of...</t>
  </si>
  <si>
    <t>contaminated, Campsa, pollution, cleanup</t>
  </si>
  <si>
    <t>contaminados, Campsa, contaminación, limpieza</t>
  </si>
  <si>
    <t>Negative, focuses on environmental contamination.</t>
  </si>
  <si>
    <t>contaminado</t>
  </si>
  <si>
    <t>Negative for environmental impact (indirect link to Repsol).</t>
  </si>
  <si>
    <t>Negativo de impacto ambiental (enlace indirecto a Repsol).</t>
  </si>
  <si>
    <r>
      <rPr>
        <rFont val="Arial, sans-serif"/>
        <color rgb="FF1155CC"/>
        <sz val="9.0"/>
        <u/>
      </rPr>
      <t>Infobae</t>
    </r>
    <r>
      <rPr>
        <rFont val="Arial, sans-serif"/>
        <color rgb="FF1155CC"/>
        <sz val="15.0"/>
        <u/>
      </rPr>
      <t>Gobierno de Bengasi: las injerencias internacionales impiden solucionar la crisisl libia</t>
    </r>
    <r>
      <rPr>
        <rFont val="Arial, sans-serif"/>
        <color rgb="FF1155CC"/>
        <sz val="11.0"/>
        <u/>
      </rPr>
      <t>Al Huaich denuncia las contradicciones internacionales que dificultan elecciones en Libia, acusa al Gobierno de Trípoli de ilegitimidad y resalta el impacto...</t>
    </r>
    <r>
      <rPr>
        <rFont val="Arial, sans-serif"/>
        <color rgb="FF1155CC"/>
        <sz val="12.0"/>
        <u/>
      </rPr>
      <t>.</t>
    </r>
    <r>
      <rPr>
        <rFont val="Arial, sans-serif"/>
        <color rgb="FF1155CC"/>
        <sz val="11.0"/>
        <u/>
      </rPr>
      <t>14 dic 2024</t>
    </r>
  </si>
  <si>
    <t>Gobierno de Bengasi: las injerencias internacionales impiden solucionar la crisis en Libia</t>
  </si>
  <si>
    <t>Al Huaich denuncia las contradicciones internacionales que dificultan elecciones en Libia, acusa al Gobierno de Trípoli de ilegitimidad y resalta el impacto....</t>
  </si>
  <si>
    <t>Benghazi Government: international interference prevents solving the crisis in Libya</t>
  </si>
  <si>
    <t>Al Huaich denounces the international contradictions that make elections difficult in Libya, accuses the Tripoli Government of illegitimacy and highlights the impact...</t>
  </si>
  <si>
    <r>
      <rPr>
        <rFont val="Arial, sans-serif"/>
        <color rgb="FF1155CC"/>
        <sz val="9.0"/>
        <u/>
      </rPr>
      <t>Merca2.es</t>
    </r>
    <r>
      <rPr>
        <rFont val="Arial, sans-serif"/>
        <color rgb="FF1155CC"/>
        <sz val="15.0"/>
        <u/>
      </rPr>
      <t>Coca-Cola, Haribo y Pringles sacan tajada de las estaciones de servicio de Repsol, BP y Galp</t>
    </r>
    <r>
      <rPr>
        <rFont val="Arial, sans-serif"/>
        <color rgb="FF1155CC"/>
        <sz val="11.0"/>
        <u/>
      </rPr>
      <t>Las estaciones de servicio de Repsol, BP, Shell y Galp, entre otras, cada vez se vuelven más atractivas para los principales grupos de distribución.</t>
    </r>
    <r>
      <rPr>
        <rFont val="Arial, sans-serif"/>
        <color rgb="FF1155CC"/>
        <sz val="12.0"/>
        <u/>
      </rPr>
      <t>.</t>
    </r>
    <r>
      <rPr>
        <rFont val="Arial, sans-serif"/>
        <color rgb="FF1155CC"/>
        <sz val="11.0"/>
        <u/>
      </rPr>
      <t>15 dic 2024</t>
    </r>
  </si>
  <si>
    <t>Coca-Cola, Haribo y Pringles sacan tajada de las estaciones de servicio de Repsol, BP y Galp</t>
  </si>
  <si>
    <t>Las estaciones de servicio de Repsol, BP, Shell y Galp, entre otras, cada vez se vuelven más atractivas para los principales grupos de distribución.</t>
  </si>
  <si>
    <t>Coca-Cola, Haribo and Pringles take a cut from Repsol, BP and Galp service stations</t>
  </si>
  <si>
    <t>The service stations of Repsol, BP, Shell and Galp, among others, are increasingly becoming more attractive for the main distribution groups.</t>
  </si>
  <si>
    <t>distribution, expansion, attraction, service stations</t>
  </si>
  <si>
    <t>distribución, expansión, atracción, estaciones de servicio</t>
  </si>
  <si>
    <t>Neutral-positive, discusses growing distribution channels for major brands.</t>
  </si>
  <si>
    <t>Neutral (business strategy).</t>
  </si>
  <si>
    <t>Neutral (estrategia de negocio).</t>
  </si>
  <si>
    <r>
      <rPr>
        <rFont val="Arial, sans-serif"/>
        <color rgb="FF1155CC"/>
        <sz val="9.0"/>
        <u/>
      </rPr>
      <t>El Español</t>
    </r>
    <r>
      <rPr>
        <rFont val="Arial, sans-serif"/>
        <color rgb="FF1155CC"/>
        <sz val="15.0"/>
        <u/>
      </rPr>
      <t>El adiós de un conocido bar con un solete Repsol en un pueblo de León: sus tortillas enamoran</t>
    </r>
    <r>
      <rPr>
        <rFont val="Arial, sans-serif"/>
        <color rgb="FF1155CC"/>
        <sz val="11.0"/>
        <u/>
      </rPr>
      <t>El establecimiento, que es una parada imprescindible para los moteros, baja la persiana por jubilación y está en venta. Más sobre bares: Un bar propiedad de...</t>
    </r>
    <r>
      <rPr>
        <rFont val="Arial, sans-serif"/>
        <color rgb="FF1155CC"/>
        <sz val="12.0"/>
        <u/>
      </rPr>
      <t>.</t>
    </r>
    <r>
      <rPr>
        <rFont val="Arial, sans-serif"/>
        <color rgb="FF1155CC"/>
        <sz val="11.0"/>
        <u/>
      </rPr>
      <t>15 dic 2024</t>
    </r>
  </si>
  <si>
    <t>El adiós de un conocido bar con un solete Repsol en un pueblo de León: sus tortillas enamoran</t>
  </si>
  <si>
    <t>El establecimiento, que es una parada imprescindible para los moteros, baja la persiana por jubilación y está en venta.</t>
  </si>
  <si>
    <t>The goodbye of a well-known bar with a Repsol solete in a town in León: its tortillas make you fall in love</t>
  </si>
  <si>
    <t>The establishment, which is an essential stop for bikers, is closing its shutters for retirement and is for sale.</t>
  </si>
  <si>
    <r>
      <rPr>
        <rFont val="Arial, sans-serif"/>
        <color rgb="FF1155CC"/>
        <sz val="9.0"/>
        <u/>
      </rPr>
      <t>Cambio Colombia</t>
    </r>
    <r>
      <rPr>
        <rFont val="Arial, sans-serif"/>
        <color rgb="FF1155CC"/>
        <sz val="15.0"/>
        <u/>
      </rPr>
      <t>Ecopetrol y las malas decisiones</t>
    </r>
    <r>
      <rPr>
        <rFont val="Arial, sans-serif"/>
        <color rgb="FF1155CC"/>
        <sz val="11.0"/>
        <u/>
      </rPr>
      <t>La española Repsol decidió vender sus activos en Colombia. La compañía energética y petroquímica, fundada en 1987, no tendrá más participación en los campos...</t>
    </r>
    <r>
      <rPr>
        <rFont val="Arial, sans-serif"/>
        <color rgb="FF1155CC"/>
        <sz val="12.0"/>
        <u/>
      </rPr>
      <t>.</t>
    </r>
    <r>
      <rPr>
        <rFont val="Arial, sans-serif"/>
        <color rgb="FF1155CC"/>
        <sz val="11.0"/>
        <u/>
      </rPr>
      <t>15 dic 2024</t>
    </r>
  </si>
  <si>
    <t>Cambio Colombia</t>
  </si>
  <si>
    <t>Ecopetrol y las malas decisiones</t>
  </si>
  <si>
    <t>La española Repsol decidió vender sus activos en Colombia. La compañía energética y petroquímica, fundada en 1987, no tendrá más participación en los campos....</t>
  </si>
  <si>
    <t>Ecopetrol and bad decisions</t>
  </si>
  <si>
    <t>The Spanish Repsol decided to sell its assets in Colombia. The energy and petrochemical company, founded in 1987, will no longer have participation in the fields....</t>
  </si>
  <si>
    <t>bad decisions, losses, Repsol, Ecopetrol</t>
  </si>
  <si>
    <t>malas decisiones, pérdidas, Repsol, Ecopetrol</t>
  </si>
  <si>
    <t>Negative, critiques poor decisions by Ecopetrol regarding the Repsol deal.</t>
  </si>
  <si>
    <t>malas decisiones</t>
  </si>
  <si>
    <t>Mildly negative (indirect link).</t>
  </si>
  <si>
    <t>Ligeramente negativo (enlace indirecto).</t>
  </si>
  <si>
    <r>
      <rPr>
        <rFont val="Arial, sans-serif"/>
        <color rgb="FF1155CC"/>
        <sz val="9.0"/>
        <u/>
      </rPr>
      <t>Levante-EMV</t>
    </r>
    <r>
      <rPr>
        <rFont val="Arial, sans-serif"/>
        <color rgb="FF1155CC"/>
        <sz val="15.0"/>
        <u/>
      </rPr>
      <t>Aviso del Gobierno: Multas de 100 euros por ponerte tú la gasolina</t>
    </r>
    <r>
      <rPr>
        <rFont val="Arial, sans-serif"/>
        <color rgb="FF1155CC"/>
        <sz val="11.0"/>
        <u/>
      </rPr>
      <t>El Reglamento General de Circulación especifica el motivo de la sanción.</t>
    </r>
    <r>
      <rPr>
        <rFont val="Arial, sans-serif"/>
        <color rgb="FF1155CC"/>
        <sz val="12.0"/>
        <u/>
      </rPr>
      <t>.</t>
    </r>
    <r>
      <rPr>
        <rFont val="Arial, sans-serif"/>
        <color rgb="FF1155CC"/>
        <sz val="11.0"/>
        <u/>
      </rPr>
      <t>15 dic 2024</t>
    </r>
  </si>
  <si>
    <t>Multas de 100 euros por ponerte tú la gasolina</t>
  </si>
  <si>
    <t>Multas de 100 euros por ponerte tú la gasolina.</t>
  </si>
  <si>
    <t>Fines of 100 euros for filling yourself with gasoline</t>
  </si>
  <si>
    <t>Fines of 100 euros for filling the gas yourself.</t>
  </si>
  <si>
    <t>Legal/Regulatory</t>
  </si>
  <si>
    <t>fines, self-service, penalty</t>
  </si>
  <si>
    <t>multas, autoservicio, sanción</t>
  </si>
  <si>
    <t>Negative, discusses the imposition of fines for self-fueling.</t>
  </si>
  <si>
    <t>multas</t>
  </si>
  <si>
    <t>Negative for customer penalties.</t>
  </si>
  <si>
    <t>Negativo por sanciones al cliente.</t>
  </si>
  <si>
    <r>
      <rPr>
        <rFont val="Arial, sans-serif"/>
        <color rgb="FF1155CC"/>
        <sz val="9.0"/>
        <u/>
      </rPr>
      <t>20Minutos</t>
    </r>
    <r>
      <rPr>
        <rFont val="Arial, sans-serif"/>
        <color rgb="FF1155CC"/>
        <sz val="15.0"/>
        <u/>
      </rPr>
      <t>Las cinco pruebas que debe afrontar el Ibex 35 en 2025 para no derrumbarse</t>
    </r>
    <r>
      <rPr>
        <rFont val="Arial, sans-serif"/>
        <color rgb="FF1155CC"/>
        <sz val="11.0"/>
        <u/>
      </rPr>
      <t>El selectivo español ha logrado superar la barrera de los 12.000 puntos este año, impulsado por la banca, el turismo y el consumo, pero esto no le garantiza...</t>
    </r>
    <r>
      <rPr>
        <rFont val="Arial, sans-serif"/>
        <color rgb="FF1155CC"/>
        <sz val="12.0"/>
        <u/>
      </rPr>
      <t>.</t>
    </r>
    <r>
      <rPr>
        <rFont val="Arial, sans-serif"/>
        <color rgb="FF1155CC"/>
        <sz val="11.0"/>
        <u/>
      </rPr>
      <t>15 dic 2024</t>
    </r>
  </si>
  <si>
    <t>Las cinco pruebas que debe afrontar el Ibex 35 en 2025 para no derrumbarse</t>
  </si>
  <si>
    <t>El selectivo español ha logrado superar la barrera de los 12.000 puntos este año, impulsado por la banca, el turismo y el consumo, pero esto no le garantiza....</t>
  </si>
  <si>
    <t>The five tests that the Ibex 35 must face in 2025 to avoid collapsing</t>
  </si>
  <si>
    <t>The Spanish selective has managed to overcome the barrier of 12,000 points this year, driven by banking, tourism and consumption, but this does not guarantee it...</t>
  </si>
  <si>
    <t>Market</t>
  </si>
  <si>
    <t>tests, hurdles, collapse, risk</t>
  </si>
  <si>
    <t>pruebas, obstáculos, colapso, riesgo</t>
  </si>
  <si>
    <t>Neutral-negative, outlines potential challenges for Spain’s stock index.</t>
  </si>
  <si>
    <r>
      <rPr>
        <rFont val="Arial, sans-serif"/>
        <color rgb="FF1155CC"/>
        <sz val="9.0"/>
        <u/>
      </rPr>
      <t>Diario de Valderrueda</t>
    </r>
    <r>
      <rPr>
        <rFont val="Arial, sans-serif"/>
        <color rgb="FF1155CC"/>
        <sz val="15.0"/>
        <u/>
      </rPr>
      <t>Cierra el histórico Bar El Mentidero de Riaño (León)</t>
    </r>
    <r>
      <rPr>
        <rFont val="Arial, sans-serif"/>
        <color rgb="FF1155CC"/>
        <sz val="11.0"/>
        <u/>
      </rPr>
      <t>Diario de Valderrueda - Reconocido con un Solete Repsol, y después de más de 30 años ofreciendo los mejores pinchos de tortilla, se vende por jubilación...</t>
    </r>
    <r>
      <rPr>
        <rFont val="Arial, sans-serif"/>
        <color rgb="FF1155CC"/>
        <sz val="12.0"/>
        <u/>
      </rPr>
      <t>.</t>
    </r>
    <r>
      <rPr>
        <rFont val="Arial, sans-serif"/>
        <color rgb="FF1155CC"/>
        <sz val="11.0"/>
        <u/>
      </rPr>
      <t>15 dic 2024</t>
    </r>
  </si>
  <si>
    <t>Cierra el histórico Bar El Mentidero de Riaño (León)</t>
  </si>
  <si>
    <t>Reconocido con un Solete Repsol, y después de más de 30 años ofreciendo los mejores pinchos de tortilla, se vende por jubilación....</t>
  </si>
  <si>
    <t>The historic El Mentidero Bar in Riaño (León) closes</t>
  </si>
  <si>
    <t>Recognized with a Solete Repsol, and after more than 30 years offering the best tortilla skewers, it is being sold due to retirement....</t>
  </si>
  <si>
    <r>
      <rPr>
        <rFont val="Arial, sans-serif"/>
        <color rgb="FF1155CC"/>
        <sz val="9.0"/>
        <u/>
      </rPr>
      <t>La Razón</t>
    </r>
    <r>
      <rPr>
        <rFont val="Arial, sans-serif"/>
        <color rgb="FF1155CC"/>
        <sz val="15.0"/>
        <u/>
      </rPr>
      <t>Muere Javier Echenique, vicepresidente de Telefónica, tras un derrame cerebral</t>
    </r>
    <r>
      <rPr>
        <rFont val="Arial, sans-serif"/>
        <color rgb="FF1155CC"/>
        <sz val="11.0"/>
        <u/>
      </rPr>
      <t>Javier Echenique, consejero y vicepresidente de Telefónica, ha muerto hoy a los 74 años de edad, según ha confirmado el propio presidente de la compañía,...</t>
    </r>
    <r>
      <rPr>
        <rFont val="Arial, sans-serif"/>
        <color rgb="FF1155CC"/>
        <sz val="12.0"/>
        <u/>
      </rPr>
      <t>.</t>
    </r>
    <r>
      <rPr>
        <rFont val="Arial, sans-serif"/>
        <color rgb="FF1155CC"/>
        <sz val="11.0"/>
        <u/>
      </rPr>
      <t>15 dic 2024</t>
    </r>
  </si>
  <si>
    <t>Muere Javier Echenique, vicepresidente de Telefónica, tras un derrame cerebral</t>
  </si>
  <si>
    <t>Javier Echenique, consejero y vicepresidente de Telefónica, ha muerto hoy a los 74 años de edad, según ha confirmado el propio presidente de la compañía,....</t>
  </si>
  <si>
    <t>Javier Echenique, vice president of Telefónica, dies after a stroke</t>
  </si>
  <si>
    <t>Javier Echenique, director and vice president of Telefónica, died today at the age of 74, as confirmed by the company's president himself....</t>
  </si>
  <si>
    <r>
      <rPr>
        <rFont val="Arial, sans-serif"/>
        <color rgb="FF1155CC"/>
        <sz val="9.0"/>
        <u/>
      </rPr>
      <t>Artículo 14</t>
    </r>
    <r>
      <rPr>
        <rFont val="Arial, sans-serif"/>
        <color rgb="FF1155CC"/>
        <sz val="15.0"/>
        <u/>
      </rPr>
      <t>Muere Javier Echenique, vicepresidente de Telefónica, a los 74 años</t>
    </r>
    <r>
      <rPr>
        <rFont val="Arial, sans-serif"/>
        <color rgb="FF1155CC"/>
        <sz val="11.0"/>
        <u/>
      </rPr>
      <t>Álvarez-Pallete ha lamentado la muerte de Echenique, que sufrió este sábado un derrame cerebral, al que ha señalado como un "referente" empresarial y un...</t>
    </r>
    <r>
      <rPr>
        <rFont val="Arial, sans-serif"/>
        <color rgb="FF1155CC"/>
        <sz val="12.0"/>
        <u/>
      </rPr>
      <t>.</t>
    </r>
    <r>
      <rPr>
        <rFont val="Arial, sans-serif"/>
        <color rgb="FF1155CC"/>
        <sz val="11.0"/>
        <u/>
      </rPr>
      <t>15 dic 2024</t>
    </r>
  </si>
  <si>
    <t>Muere Javier Echenique, vicepresidente de Telefónica, a los 74 años</t>
  </si>
  <si>
    <t>Álvarez-Pallete ha lamentado la muerte de Echenique, que sufrió este sábado un derrame cerebral, al que ha señalado como un "referente" empresarial y un....</t>
  </si>
  <si>
    <t>Javier Echenique, vice president of Telefónica, dies at 74</t>
  </si>
  <si>
    <t>Álvarez-Pallete has mourned the death of Echenique, who suffered a stroke this Saturday, whom he has pointed out as a business "reference" and a...</t>
  </si>
  <si>
    <r>
      <rPr>
        <rFont val="Arial, sans-serif"/>
        <color rgb="FF1155CC"/>
        <sz val="9.0"/>
        <u/>
      </rPr>
      <t>El Triangle</t>
    </r>
    <r>
      <rPr>
        <rFont val="Arial, sans-serif"/>
        <color rgb="FF1155CC"/>
        <sz val="15.0"/>
        <u/>
      </rPr>
      <t>Muere Javier Echenique, vicepresidente de Telefónica, tras sufrir un derrame cerebral</t>
    </r>
    <r>
      <rPr>
        <rFont val="Arial, sans-serif"/>
        <color rgb="FF1155CC"/>
        <sz val="11.0"/>
        <u/>
      </rPr>
      <t>El vicepresidente de Teléfonica, Javier Echenique, ha fallecido. Así lo ha comunicado el presidente ejecutivo de la compañía, José María Álvarez-Pallete,</t>
    </r>
    <r>
      <rPr>
        <rFont val="Arial, sans-serif"/>
        <color rgb="FF1155CC"/>
        <sz val="12.0"/>
        <u/>
      </rPr>
      <t>.</t>
    </r>
    <r>
      <rPr>
        <rFont val="Arial, sans-serif"/>
        <color rgb="FF1155CC"/>
        <sz val="11.0"/>
        <u/>
      </rPr>
      <t>15 dic 2024</t>
    </r>
  </si>
  <si>
    <t>El Triangle</t>
  </si>
  <si>
    <t>Muere Javier Echenique, vicepresidente de Telefónica, tras sufrir un derrame cerebral</t>
  </si>
  <si>
    <t>El vicepresidente de Teléfonica, Javier Echenique, ha fallecido. Así lo ha comunicado el presidente ejecutivo de la compañía, José María Álvarez-Pallete.</t>
  </si>
  <si>
    <t>Javier Echenique, vice president of Telefónica, dies after suffering a stroke</t>
  </si>
  <si>
    <t>The vice president of Telefonica, Javier Echenique, has died. This was announced by the company's executive president, José María Álvarez-Pallete.</t>
  </si>
  <si>
    <r>
      <rPr>
        <rFont val="Arial, sans-serif"/>
        <color rgb="FF1155CC"/>
        <sz val="9.0"/>
        <u/>
      </rPr>
      <t>Diari de Tarragona</t>
    </r>
    <r>
      <rPr>
        <rFont val="Arial, sans-serif"/>
        <color rgb="FF1155CC"/>
        <sz val="15.0"/>
        <u/>
      </rPr>
      <t>Muere Javier Echenique, vicepresidente y consejero de Telefónica</t>
    </r>
    <r>
      <rPr>
        <rFont val="Arial, sans-serif"/>
        <color rgb="FF1155CC"/>
        <sz val="11.0"/>
        <u/>
      </rPr>
      <t>El vicepresidente y consejero de Telefónica Javier Echenique ha fallecido este domingo, según ha publicado el presidente de la compañía, José María Ál...</t>
    </r>
    <r>
      <rPr>
        <rFont val="Arial, sans-serif"/>
        <color rgb="FF1155CC"/>
        <sz val="12.0"/>
        <u/>
      </rPr>
      <t>.</t>
    </r>
    <r>
      <rPr>
        <rFont val="Arial, sans-serif"/>
        <color rgb="FF1155CC"/>
        <sz val="11.0"/>
        <u/>
      </rPr>
      <t>15 dic 2024</t>
    </r>
  </si>
  <si>
    <t>Muere Javier Echenique, vicepresidente y consejero de Telefónica</t>
  </si>
  <si>
    <t>El vicepresidente y consejero de Telefónica Javier Echenique ha fallecido este domingo, según ha publicado el presidente de la compañía, José María Ál....</t>
  </si>
  <si>
    <t>Javier Echenique, vice president and director of Telefónica, dies</t>
  </si>
  <si>
    <t>The vice president and director of Telefónica Javier Echenique died this Sunday, as published by the president of the company, José María Ál....</t>
  </si>
  <si>
    <r>
      <rPr>
        <rFont val="Arial, sans-serif"/>
        <color rgb="FF1155CC"/>
        <sz val="9.0"/>
        <u/>
      </rPr>
      <t>Faconauto</t>
    </r>
    <r>
      <rPr>
        <rFont val="Arial, sans-serif"/>
        <color rgb="FF1155CC"/>
        <sz val="15.0"/>
        <u/>
      </rPr>
      <t>Repsol da hasta 150 euros en repostaje para los afectados por la DANA</t>
    </r>
    <r>
      <rPr>
        <rFont val="Arial, sans-serif"/>
        <color rgb="FF1155CC"/>
        <sz val="11.0"/>
        <u/>
      </rPr>
      <t>El plazo para canjear esta bonificación se extiende hasta el 31 de diciembre de 2026, ofreciendo a los beneficiarios tiempo suficiente para aprovecharla.</t>
    </r>
    <r>
      <rPr>
        <rFont val="Arial, sans-serif"/>
        <color rgb="FF1155CC"/>
        <sz val="12.0"/>
        <u/>
      </rPr>
      <t>.</t>
    </r>
    <r>
      <rPr>
        <rFont val="Arial, sans-serif"/>
        <color rgb="FF1155CC"/>
        <sz val="11.0"/>
        <u/>
      </rPr>
      <t>16 dic 2024</t>
    </r>
  </si>
  <si>
    <t>Repsol da hasta 150 euros en repostaje para los afectados por la DANA</t>
  </si>
  <si>
    <t>Repsol da hasta 150 euros en repostaje para los afectados por la DANA. El plazo para canjear esta bonificación se extiende hasta el 31 de diciembre de 2026, ofreciendo a los beneficiarios tiempo suficiente para aprovecharla.</t>
  </si>
  <si>
    <t>Repsol gives up to 150 euros in refueling for those affected by DANA</t>
  </si>
  <si>
    <t>Repsol gives up to 150 euros in refueling for those affected by DANA. The deadline to redeem this bonus is extended until December 31, 2026, offering beneficiaries enough time to take advantage of it.</t>
  </si>
  <si>
    <t>CSR/Business</t>
  </si>
  <si>
    <t>refueling, discount, DANA, help</t>
  </si>
  <si>
    <t>repostaje, descuento, DANA, ayuda</t>
  </si>
  <si>
    <t>Positive, highlights Repsol's support for storm victims through financial assistance.</t>
  </si>
  <si>
    <r>
      <rPr>
        <rFont val="Arial, sans-serif"/>
        <color rgb="FF1155CC"/>
        <sz val="9.0"/>
        <u/>
      </rPr>
      <t>Guía Repsol</t>
    </r>
    <r>
      <rPr>
        <rFont val="Arial, sans-serif"/>
        <color rgb="FF1155CC"/>
        <sz val="15.0"/>
        <u/>
      </rPr>
      <t>Cesta de productos de la Tienda Gourmet de Guía Repsol</t>
    </r>
    <r>
      <rPr>
        <rFont val="Arial, sans-serif"/>
        <color rgb="FF1155CC"/>
        <sz val="11.0"/>
        <u/>
      </rPr>
      <t>Llegan las fiestas y los momentos de celebrar! Con esta selección de productos de la Tienda de Guía Repsol, tendrás la cesta perfecta.</t>
    </r>
    <r>
      <rPr>
        <rFont val="Arial, sans-serif"/>
        <color rgb="FF1155CC"/>
        <sz val="12.0"/>
        <u/>
      </rPr>
      <t>.</t>
    </r>
    <r>
      <rPr>
        <rFont val="Arial, sans-serif"/>
        <color rgb="FF1155CC"/>
        <sz val="11.0"/>
        <u/>
      </rPr>
      <t>16 dic 2024</t>
    </r>
  </si>
  <si>
    <t>Cesta de productos de la Tienda Gourmet de Guía Repsol</t>
  </si>
  <si>
    <t>Llegan las fiestas y los momentos de celebrar! Con esta selección de productos de la Tienda de Guía Repsol, tendrás la cesta perfecta.</t>
  </si>
  <si>
    <t>Basket of products from the Guía Repsol Gourmet Store</t>
  </si>
  <si>
    <t>The holidays are coming and the time to celebrate! With this selection of products from the Repsol Guide Store, you will have the perfect basket.</t>
  </si>
  <si>
    <t>Retail/Gastronomy</t>
  </si>
  <si>
    <r>
      <rPr>
        <rFont val="Arial, sans-serif"/>
        <color rgb="FF1155CC"/>
        <sz val="9.0"/>
        <u/>
      </rPr>
      <t>elDiario.es</t>
    </r>
    <r>
      <rPr>
        <rFont val="Arial, sans-serif"/>
        <color rgb="FF1155CC"/>
        <sz val="15.0"/>
        <u/>
      </rPr>
      <t>Los alcaldes de Bembibre, Noceda e Igüeña apuestan por sacrificar por dinero de Repsol la sierra de Gistredo y el Alto Sil</t>
    </r>
    <r>
      <rPr>
        <rFont val="Arial, sans-serif"/>
        <color rgb="FF1155CC"/>
        <sz val="11.0"/>
        <u/>
      </rPr>
      <t>Los tres regidores piden participar de las negociaciones con el Ministerio de Transición Ecológica ante la postura contraria al proyecto eólico de Repsol...</t>
    </r>
    <r>
      <rPr>
        <rFont val="Arial, sans-serif"/>
        <color rgb="FF1155CC"/>
        <sz val="12.0"/>
        <u/>
      </rPr>
      <t>.</t>
    </r>
    <r>
      <rPr>
        <rFont val="Arial, sans-serif"/>
        <color rgb="FF1155CC"/>
        <sz val="11.0"/>
        <u/>
      </rPr>
      <t>16 dic 2024</t>
    </r>
  </si>
  <si>
    <t>Los alcaldes de Bembibre, Noceda e Igüeña apuestan por sacrificar por dinero de Repsol la sierra de Gistredo y el Alto Sil</t>
  </si>
  <si>
    <t>Los tres regidores piden participar de las negociaciones con el Ministerio de Transición Ecológica ante la postura contraria al proyecto eólico de Repsol.</t>
  </si>
  <si>
    <t>The mayors of Bembibre, Noceda and Igüeña are committed to sacrificing the Gistredo and Alto Sil mountains for Repsol money</t>
  </si>
  <si>
    <t>The three councilors ask to participate in the negotiations with the Ministry of Ecological Transition given the position against the Repsol wind project.</t>
  </si>
  <si>
    <t>Politics/Environment</t>
  </si>
  <si>
    <t>sacrifice, money, wind project, Gistredo</t>
  </si>
  <si>
    <t>sacrificio, dinero, proyecto eólico, Gistredo</t>
  </si>
  <si>
    <t>Negative, emphasizes the environmental compromise for economic gain.</t>
  </si>
  <si>
    <t>sacrificar, "dinero de Repsol"</t>
  </si>
  <si>
    <t>Negative environmental and community impact.</t>
  </si>
  <si>
    <t>Impacto ambiental y comunitario negativo.</t>
  </si>
  <si>
    <r>
      <rPr>
        <rFont val="Arial, sans-serif"/>
        <color rgb="FF1155CC"/>
        <sz val="9.0"/>
        <u/>
      </rPr>
      <t>La Nueva Crónica</t>
    </r>
    <r>
      <rPr>
        <rFont val="Arial, sans-serif"/>
        <color rgb="FF1155CC"/>
        <sz val="15.0"/>
        <u/>
      </rPr>
      <t>Igüeña, Bembibre y Noceda se desmarcan de Páramo y ven "una oportunidad" en el proyecto eólico de Repsol</t>
    </r>
    <r>
      <rPr>
        <rFont val="Arial, sans-serif"/>
        <color rgb="FF1155CC"/>
        <sz val="11.0"/>
        <u/>
      </rPr>
      <t>Los alcaldes de los tres municipios aseguran que el parque Alto Bierzo-Sil cumple con la normativa y significaría un impulso económico "muy necesario"</t>
    </r>
    <r>
      <rPr>
        <rFont val="Arial, sans-serif"/>
        <color rgb="FF1155CC"/>
        <sz val="12.0"/>
        <u/>
      </rPr>
      <t>.</t>
    </r>
    <r>
      <rPr>
        <rFont val="Arial, sans-serif"/>
        <color rgb="FF1155CC"/>
        <sz val="11.0"/>
        <u/>
      </rPr>
      <t>16 dic 2024</t>
    </r>
  </si>
  <si>
    <t>Igüeña y Noceda se desmarcan de Páramo y ven "una oportunidad" en el proyecto eólico de Repsol</t>
  </si>
  <si>
    <t>Los alcaldes de los tres municipios aseguran que el parque Alto Bierzo-Sil cumple con la normativa y significaría un impulso económico "muy necesario".</t>
  </si>
  <si>
    <t>Igüeña and Noceda distance themselves from Páramo and see "an opportunity" in the Repsol wind project</t>
  </si>
  <si>
    <t>The mayors of the three municipalities assure that the Alto Bierzo-Sil park complies with the regulations and would mean a "very necessary" economic boost.</t>
  </si>
  <si>
    <t>Politics/Business</t>
  </si>
  <si>
    <t>opportunity, support, wind project, economic boost</t>
  </si>
  <si>
    <t>oportunidad, apoyo, proyecto eólico, impulso económico</t>
  </si>
  <si>
    <t>Neutral-positive, presents local support for the project with economic expectations.</t>
  </si>
  <si>
    <t>una oportunidad</t>
  </si>
  <si>
    <t>Mixed sentiment (local support vs. opposition).</t>
  </si>
  <si>
    <t>Sentimiento mixto (apoyo local versus oposición).</t>
  </si>
  <si>
    <r>
      <rPr>
        <rFont val="Arial, sans-serif"/>
        <color rgb="FF1155CC"/>
        <sz val="9.0"/>
        <u/>
      </rPr>
      <t>Bembibre Digital</t>
    </r>
    <r>
      <rPr>
        <rFont val="Arial, sans-serif"/>
        <color rgb="FF1155CC"/>
        <sz val="15.0"/>
        <u/>
      </rPr>
      <t>Igüeña, Noceda y Bembibre apoyan el parque eólico promovido por Repsol frente a la oposición de Páramo del</t>
    </r>
    <r>
      <rPr>
        <rFont val="Arial, sans-serif"/>
        <color rgb="FF1155CC"/>
        <sz val="11.0"/>
        <u/>
      </rPr>
      <t>Los municipios de Igüeña, Noceda del Bierzo y Bembibre han expresado su firme respaldo al proyecto del parque eólico Alto Bierzo-Sil, promovido por Repsol.</t>
    </r>
    <r>
      <rPr>
        <rFont val="Arial, sans-serif"/>
        <color rgb="FF1155CC"/>
        <sz val="12.0"/>
        <u/>
      </rPr>
      <t>.</t>
    </r>
    <r>
      <rPr>
        <rFont val="Arial, sans-serif"/>
        <color rgb="FF1155CC"/>
        <sz val="11.0"/>
        <u/>
      </rPr>
      <t>16 dic 2024</t>
    </r>
  </si>
  <si>
    <t>Bembibre Digital</t>
  </si>
  <si>
    <t>Igüeña, Noceda y Bembibre apoyan el parque eólico promovido por Repsol frente a la oposición de Páramo del</t>
  </si>
  <si>
    <t>Los municipios de Igüeña, Noceda del Bierzo y Bembibre han expresado su firme respaldo al proyecto del parque eólico Alto Bierzo-Sil, promovido por Repsol.</t>
  </si>
  <si>
    <t>Igüeña, Noceda and Bembibre support the wind farm promoted by Repsol in the face of opposition from Páramo del</t>
  </si>
  <si>
    <t>The municipalities of Igüeña, Noceda del Bierzo and Bembibre have expressed their firm support for the Alto Bierzo-Sil wind farm project, promoted by Repsol.</t>
  </si>
  <si>
    <t>support, wind farm, Repsol, economic opportunity</t>
  </si>
  <si>
    <t>apoyo, parque eólico, Repsol, oportunidad económica</t>
  </si>
  <si>
    <t>Neutral-positive, emphasizes support for economic development through the wind farm.</t>
  </si>
  <si>
    <t>apoyan</t>
  </si>
  <si>
    <t>Positive local support for Repsol's project.</t>
  </si>
  <si>
    <t>Positivo apoyo local al proyecto de Repsol.</t>
  </si>
  <si>
    <r>
      <rPr>
        <rFont val="Arial, sans-serif"/>
        <color rgb="FF1155CC"/>
        <sz val="9.0"/>
        <u/>
      </rPr>
      <t>Infobae</t>
    </r>
    <r>
      <rPr>
        <rFont val="Arial, sans-serif"/>
        <color rgb="FF1155CC"/>
        <sz val="15.0"/>
        <u/>
      </rPr>
      <t>El restaurante recomendado por Repsol y TripAdvisor donde comió Broncano en Salamanca: menú degustación por 45 € y unas vistas a la catedral</t>
    </r>
    <r>
      <rPr>
        <rFont val="Arial, sans-serif"/>
        <color rgb="FF1155CC"/>
        <sz val="11.0"/>
        <u/>
      </rPr>
      <t>El presentador de 'La Revuelta' visitó la ciudad con su pareja, la actriz Silvia Alonso, junto a la que disfrutó de una comida en uno de los restaurantes...</t>
    </r>
    <r>
      <rPr>
        <rFont val="Arial, sans-serif"/>
        <color rgb="FF1155CC"/>
        <sz val="12.0"/>
        <u/>
      </rPr>
      <t>.</t>
    </r>
    <r>
      <rPr>
        <rFont val="Arial, sans-serif"/>
        <color rgb="FF1155CC"/>
        <sz val="11.0"/>
        <u/>
      </rPr>
      <t>16 dic 2024</t>
    </r>
  </si>
  <si>
    <t>El restaurante recomendado por Repsol y TripAdvisor donde comió Broncano en Salamanca: menú degustación por 45 € y unas vistas a la catedral</t>
  </si>
  <si>
    <t>El presentador de 'La Revuelta' visitó la ciudad con su pareja, la actriz Silvia Alonso, junto a la que disfrutó de una comida en uno de los restaurantes.</t>
  </si>
  <si>
    <t>The restaurant recommended by Repsol and TripAdvisor where Broncano ate in Salamanca: tasting menu for €45 and views of the cathedral</t>
  </si>
  <si>
    <t>The presenter of 'La Revuelta' visited the city with his partner, actress Silvia Alonso, with whom he enjoyed a meal in one of the restaurants.</t>
  </si>
  <si>
    <r>
      <rPr>
        <rFont val="Arial, sans-serif"/>
        <color rgb="FF1155CC"/>
        <sz val="9.0"/>
        <u/>
      </rPr>
      <t>El Cronista</t>
    </r>
    <r>
      <rPr>
        <rFont val="Arial, sans-serif"/>
        <color rgb="FF1155CC"/>
        <sz val="15.0"/>
        <u/>
      </rPr>
      <t>Repsol: a cuánto cotiza HOY lunes 16 de diciembre y cuánto rinden los dividendos</t>
    </r>
    <r>
      <rPr>
        <rFont val="Arial, sans-serif"/>
        <color rgb="FF1155CC"/>
        <sz val="11.0"/>
        <u/>
      </rPr>
      <t>Al cierre de los mercados de este lunes, 16 de diciembre de 2024, la cotización del Repsol (REP) en el IBEX 35 ha cerrado a 11,26 euros.</t>
    </r>
    <r>
      <rPr>
        <rFont val="Arial, sans-serif"/>
        <color rgb="FF1155CC"/>
        <sz val="12.0"/>
        <u/>
      </rPr>
      <t>.</t>
    </r>
    <r>
      <rPr>
        <rFont val="Arial, sans-serif"/>
        <color rgb="FF1155CC"/>
        <sz val="11.0"/>
        <u/>
      </rPr>
      <t>16 dic 2024</t>
    </r>
  </si>
  <si>
    <t>Repsol: a cuánto cotiza HOY lunes 16 de diciembre y cuánto rinden los dividendos</t>
  </si>
  <si>
    <t>Al cierre de los mercados de este lunes, 16 de diciembre de 2024, la cotización del Repsol (REP) en el IBEX 35 ha cerrado a 11,26 euros.</t>
  </si>
  <si>
    <t>Repsol: how much it is trading at TODAY, Monday, December 16, and how much the dividends yield</t>
  </si>
  <si>
    <t>At the close of the markets this Monday, December 16, 2024, the price of Repsol (REP) on the IBEX 35 has closed at 11.26 euros.</t>
  </si>
  <si>
    <t>stock market, decline, Repsol, IBEX 35</t>
  </si>
  <si>
    <t>bolsa, baja, Repsol, IBEX 35</t>
  </si>
  <si>
    <t>Negative, reflects a decline in Repsol's stock performance.</t>
  </si>
  <si>
    <r>
      <rPr>
        <rFont val="Arial, sans-serif"/>
        <color rgb="FF1155CC"/>
        <sz val="9.0"/>
        <u/>
      </rPr>
      <t>Diari de Tarragona</t>
    </r>
    <r>
      <rPr>
        <rFont val="Arial, sans-serif"/>
        <color rgb="FF1155CC"/>
        <sz val="15.0"/>
        <u/>
      </rPr>
      <t>Las grandes inversiones en Tarragona que se mantienen en pie</t>
    </r>
    <r>
      <rPr>
        <rFont val="Arial, sans-serif"/>
        <color rgb="FF1155CC"/>
        <sz val="11.0"/>
        <u/>
      </rPr>
      <t>Grandes inversiones siguen adelante en Tarragona, lideradas por Repsol, Lotte Energy Materials y Kronospan. Repsol mantiene sobre la mesa sus dos proyectos...</t>
    </r>
    <r>
      <rPr>
        <rFont val="Arial, sans-serif"/>
        <color rgb="FF1155CC"/>
        <sz val="12.0"/>
        <u/>
      </rPr>
      <t>.</t>
    </r>
    <r>
      <rPr>
        <rFont val="Arial, sans-serif"/>
        <color rgb="FF1155CC"/>
        <sz val="11.0"/>
        <u/>
      </rPr>
      <t>16 dic 2024</t>
    </r>
  </si>
  <si>
    <t>Las grandes inversiones en Tarragona que se mantienen en pie</t>
  </si>
  <si>
    <t>Grandes inversiones siguen adelante en Tarragona, lideradas por Repsol, Lotte Energy Materials y Kronospan. Repsol mantiene sobre la mesa sus dos proyectos....</t>
  </si>
  <si>
    <t>The great investments in Tarragona that remain standing</t>
  </si>
  <si>
    <t>Large investments continue in Tarragona, led by Repsol, Lotte Energy Materials and Kronospan. Repsol keeps its two projects on the table....</t>
  </si>
  <si>
    <t>investments, Tarragona, Repsol, Lotte Energy Materials, Kronospan</t>
  </si>
  <si>
    <t>inversiones, Tarragona, Repsol, Lotte Energy Materials, Kronospan</t>
  </si>
  <si>
    <t>Positive, highlights sustained investments in Tarragona despite challenges.</t>
  </si>
  <si>
    <t>grandes inversiones</t>
  </si>
  <si>
    <t>Positive economic impact.</t>
  </si>
  <si>
    <t>Impacto económico positivo.</t>
  </si>
  <si>
    <r>
      <rPr>
        <rFont val="Arial, sans-serif"/>
        <color rgb="FF1155CC"/>
        <sz val="9.0"/>
        <u/>
      </rPr>
      <t>Radio Intereconomía</t>
    </r>
    <r>
      <rPr>
        <rFont val="Arial, sans-serif"/>
        <color rgb="FF1155CC"/>
        <sz val="15.0"/>
        <u/>
      </rPr>
      <t>Tres municipios de El Bierzo a favor y uno en contra de un parque eólico promovido por Repsol</t>
    </r>
    <r>
      <rPr>
        <rFont val="Arial, sans-serif"/>
        <color rgb="FF1155CC"/>
        <sz val="11.0"/>
        <u/>
      </rPr>
      <t>Los ayuntamientos de Bembibre, Igüeña y Noceda del Bierzo (León) defendieron esta mañana el parque eólico Alto Bierzo-Sil, impulsado por Repsol, después de...</t>
    </r>
    <r>
      <rPr>
        <rFont val="Arial, sans-serif"/>
        <color rgb="FF1155CC"/>
        <sz val="12.0"/>
        <u/>
      </rPr>
      <t>.</t>
    </r>
    <r>
      <rPr>
        <rFont val="Arial, sans-serif"/>
        <color rgb="FF1155CC"/>
        <sz val="11.0"/>
        <u/>
      </rPr>
      <t>16 dic 2024</t>
    </r>
  </si>
  <si>
    <t>Tres municipios de El Bierzo a favor y uno en contra de un parque eólico promovido por Repsol</t>
  </si>
  <si>
    <t>Los ayuntamientos de Bembibre, Igüeña y Noceda del Bierzo (León) defendieron esta mañana el parque eólico Alto Bierzo-Sil, impulsado por Repsol, después de....</t>
  </si>
  <si>
    <t>Three municipalities of El Bierzo in favor and one against a wind farm promoted by Repsol</t>
  </si>
  <si>
    <t>The municipalities of Bembibre, Igüeña and Noceda del Bierzo (León) defended this morning the Alto Bierzo-Sil wind farm, promoted by Repsol, after....</t>
  </si>
  <si>
    <t>municipalities, wind farm, Repsol, support, opposition</t>
  </si>
  <si>
    <t>ayuntamientos, parque eólico, Repsol, apoyo, oposición</t>
  </si>
  <si>
    <t>Neutral, presents both support and opposition to Repsol’s wind project.</t>
  </si>
  <si>
    <r>
      <rPr>
        <rFont val="Arial, sans-serif"/>
        <color rgb="FF1155CC"/>
        <sz val="9.0"/>
        <u/>
      </rPr>
      <t>Diario Digital de León</t>
    </r>
    <r>
      <rPr>
        <rFont val="Arial, sans-serif"/>
        <color rgb="FF1155CC"/>
        <sz val="15.0"/>
        <u/>
      </rPr>
      <t>Cierra un bar leonés reconocido con un Solete Repsol</t>
    </r>
    <r>
      <rPr>
        <rFont val="Arial, sans-serif"/>
        <color rgb="FF1155CC"/>
        <sz val="11.0"/>
        <u/>
      </rPr>
      <t>El cierre de El Mentidero llega por jubilación tras 30 años sirviendo en Riaño y obteniendo un Solete Repsol.</t>
    </r>
    <r>
      <rPr>
        <rFont val="Arial, sans-serif"/>
        <color rgb="FF1155CC"/>
        <sz val="12.0"/>
        <u/>
      </rPr>
      <t>.</t>
    </r>
    <r>
      <rPr>
        <rFont val="Arial, sans-serif"/>
        <color rgb="FF1155CC"/>
        <sz val="11.0"/>
        <u/>
      </rPr>
      <t>16 dic 2024</t>
    </r>
  </si>
  <si>
    <t>Diario Digital de León</t>
  </si>
  <si>
    <t>Cierra un bar leonés reconocido con un Solete Repsol</t>
  </si>
  <si>
    <t>El cierre de El Mentidero llega por jubilación tras 30 años sirviendo en Riaño y obteniendo un Solete Repsol.</t>
  </si>
  <si>
    <t>A well-known Leonese bar closes with a Solete Repsol</t>
  </si>
  <si>
    <t>The closure of El Mentidero comes due to retirement after 30 years serving in Riaño and obtaining a Solete Repsol.</t>
  </si>
  <si>
    <r>
      <rPr>
        <rFont val="Arial, sans-serif"/>
        <color rgb="FF1155CC"/>
        <sz val="9.0"/>
        <u/>
      </rPr>
      <t>20Minutos</t>
    </r>
    <r>
      <rPr>
        <rFont val="Arial, sans-serif"/>
        <color rgb="FF1155CC"/>
        <sz val="15.0"/>
        <u/>
      </rPr>
      <t>El restaurante que sirve el mejor pollo de Madrid según la Guía Repsol: un menú por 9 euros la ración</t>
    </r>
    <r>
      <rPr>
        <rFont val="Arial, sans-serif"/>
        <color rgb="FF1155CC"/>
        <sz val="11.0"/>
        <u/>
      </rPr>
      <t>En el mismo distrito de Moncloa, es muy conocido este popular restaurante que data del año 1888 y su pollo asado lo ha convertido en uno de los 'places to...</t>
    </r>
    <r>
      <rPr>
        <rFont val="Arial, sans-serif"/>
        <color rgb="FF1155CC"/>
        <sz val="12.0"/>
        <u/>
      </rPr>
      <t>.</t>
    </r>
    <r>
      <rPr>
        <rFont val="Arial, sans-serif"/>
        <color rgb="FF1155CC"/>
        <sz val="11.0"/>
        <u/>
      </rPr>
      <t>16 dic 2024</t>
    </r>
  </si>
  <si>
    <t>El restaurante que sirve el mejor pollo de Madrid según la Guía Repsol: un menú por 9 euros la ración</t>
  </si>
  <si>
    <t>En el mismo distrito de Moncloa, es muy conocido este popular restaurante que data del año 1888 y su pollo asado lo ha convertido en uno de los 'places to....</t>
  </si>
  <si>
    <t>The restaurant that serves the best chicken in Madrid according to the Repsol Guide: a menu for 9 euros per portion</t>
  </si>
  <si>
    <t>In the same district of Moncloa, this popular restaurant that dates back to 1888 is very well known and its roast chicken has made it one of the 'places to....</t>
  </si>
  <si>
    <r>
      <rPr>
        <rFont val="Arial, sans-serif"/>
        <color rgb="FF1155CC"/>
        <sz val="9.0"/>
        <u/>
      </rPr>
      <t>El Observador</t>
    </r>
    <r>
      <rPr>
        <rFont val="Arial, sans-serif"/>
        <color rgb="FF1155CC"/>
        <sz val="15.0"/>
        <u/>
      </rPr>
      <t>Repsol, Iberdrola y Telefónica, las compañías de España que más facturaron en 2024</t>
    </r>
    <r>
      <rPr>
        <rFont val="Arial, sans-serif"/>
        <color rgb="FF1155CC"/>
        <sz val="11.0"/>
        <u/>
      </rPr>
      <t>La petrolera, la energética y la empresa de comunicacion y tecnología se ubicaron al frente del un ránking dado a conocer por el diario El Mundo.</t>
    </r>
    <r>
      <rPr>
        <rFont val="Arial, sans-serif"/>
        <color rgb="FF1155CC"/>
        <sz val="12.0"/>
        <u/>
      </rPr>
      <t>.</t>
    </r>
    <r>
      <rPr>
        <rFont val="Arial, sans-serif"/>
        <color rgb="FF1155CC"/>
        <sz val="11.0"/>
        <u/>
      </rPr>
      <t>16 dic 2024</t>
    </r>
  </si>
  <si>
    <t>Repsol, Iberdrola y Telefónica, las compañías de España que más facturaron en 2024</t>
  </si>
  <si>
    <t>La petrolera, la energética y la empresa de comunicacion y tecnología se ubicaron al frente del un ránking dado a conocer por el diario El Mundo.</t>
  </si>
  <si>
    <t>Repsol, Iberdrola and Telefónica, the Spanish companies with the most turnover in 2024</t>
  </si>
  <si>
    <t>The oil company, the energy company and the communication and technology company were at the top of a ranking released by the newspaper El Mundo.</t>
  </si>
  <si>
    <t>Repsol, Iberdrola, Telefónica, turnover</t>
  </si>
  <si>
    <t>Repsol, Iberdrola, Telefónica, facturación</t>
  </si>
  <si>
    <t>Positive, highlights the financial success of major Spanish companies.</t>
  </si>
  <si>
    <t>más facturaron</t>
  </si>
  <si>
    <t>Neutral-positive financial performance.</t>
  </si>
  <si>
    <t>Desempeño financiero neutral-positivo.</t>
  </si>
  <si>
    <r>
      <rPr>
        <rFont val="Arial, sans-serif"/>
        <color rgb="FF1155CC"/>
        <sz val="9.0"/>
        <u/>
      </rPr>
      <t>alimente.elconfidencial.com</t>
    </r>
    <r>
      <rPr>
        <rFont val="Arial, sans-serif"/>
        <color rgb="FF1155CC"/>
        <sz val="15.0"/>
        <u/>
      </rPr>
      <t>El restaurante de la Guía Repsol donde ha comido este fin de semana David Broncano: tiene un menú degustación por 45 euros</t>
    </r>
    <r>
      <rPr>
        <rFont val="Arial, sans-serif"/>
        <color rgb="FF1155CC"/>
        <sz val="11.0"/>
        <u/>
      </rPr>
      <t>El establecimiento recibió la visita del cómico y su pareja, Silvia Alonso, que aprovecharon la ocasión para disfrutar de una buena comida en uno de los...</t>
    </r>
    <r>
      <rPr>
        <rFont val="Arial, sans-serif"/>
        <color rgb="FF1155CC"/>
        <sz val="12.0"/>
        <u/>
      </rPr>
      <t>.</t>
    </r>
    <r>
      <rPr>
        <rFont val="Arial, sans-serif"/>
        <color rgb="FF1155CC"/>
        <sz val="11.0"/>
        <u/>
      </rPr>
      <t>16 dic 2024</t>
    </r>
  </si>
  <si>
    <t>El restaurante de la Guía Repsol donde ha comido este fin de semana David Broncano: tiene un menú degustación por 45 euros</t>
  </si>
  <si>
    <t>El establecimiento recibió la visita del cómico y su pareja, Silvia Alonso, que aprovecharon la ocasión para disfrutar de una buena comida en uno de los....</t>
  </si>
  <si>
    <t>The Repsol Guide restaurant where David Broncano ate this weekend: it has a tasting menu for 45 euros</t>
  </si>
  <si>
    <t>The establishment received a visit from the comedian and his partner, Silvia Alonso, who took advantage of the opportunity to enjoy a good meal in one of the...</t>
  </si>
  <si>
    <r>
      <rPr>
        <rFont val="Arial, sans-serif"/>
        <color rgb="FF1155CC"/>
        <sz val="9.0"/>
        <u/>
      </rPr>
      <t>El Bierzo Digital</t>
    </r>
    <r>
      <rPr>
        <rFont val="Arial, sans-serif"/>
        <color rgb="FF1155CC"/>
        <sz val="15.0"/>
        <u/>
      </rPr>
      <t>Bembibre, Igüeña y Noceda defienden el parque eólico Alto Bierzo-Sil como una oportunidad económica</t>
    </r>
    <r>
      <rPr>
        <rFont val="Arial, sans-serif"/>
        <color rgb="FF1155CC"/>
        <sz val="11.0"/>
        <u/>
      </rPr>
      <t>Los tres ayuntamientos destacan los beneficios del proyecto de Repsol frente a las críticas por su impacto medioambiental.</t>
    </r>
    <r>
      <rPr>
        <rFont val="Arial, sans-serif"/>
        <color rgb="FF1155CC"/>
        <sz val="12.0"/>
        <u/>
      </rPr>
      <t>.</t>
    </r>
    <r>
      <rPr>
        <rFont val="Arial, sans-serif"/>
        <color rgb="FF1155CC"/>
        <sz val="11.0"/>
        <u/>
      </rPr>
      <t>16 dic 2024</t>
    </r>
  </si>
  <si>
    <t>Bembibre, Igüeña y Noceda defienden el parque eólico Alto Bierzo-Sil como una oportunidad económica</t>
  </si>
  <si>
    <t>Los tres ayuntamientos destacan los beneficios del proyecto de Repsol frente a las críticas por su impacto medioambiental.</t>
  </si>
  <si>
    <t>Bembibre, Igüeña and Noceda defend the Alto Bierzo-Sil wind farm as an economic opportunity</t>
  </si>
  <si>
    <t>The three town councils highlight the benefits of the Repsol project in the face of criticism for its environmental impact.</t>
  </si>
  <si>
    <t>support, wind farm, economic opportunity, Repsol</t>
  </si>
  <si>
    <t>apoyo, parque eólico, oportunidad económica, Repsol</t>
  </si>
  <si>
    <t>Neutral-positive, presents local support for economic benefits through renewable energy.</t>
  </si>
  <si>
    <t>oportunidad económica</t>
  </si>
  <si>
    <t>Positive local economic impact.</t>
  </si>
  <si>
    <t>Impacto económico local positivo.</t>
  </si>
  <si>
    <r>
      <rPr>
        <rFont val="Arial, sans-serif"/>
        <color rgb="FF1155CC"/>
        <sz val="9.0"/>
        <u/>
      </rPr>
      <t>La Vanguardia</t>
    </r>
    <r>
      <rPr>
        <rFont val="Arial, sans-serif"/>
        <color rgb="FF1155CC"/>
        <sz val="15.0"/>
        <u/>
      </rPr>
      <t>Javier Echenique: Un currículum empresarial “inabarcable”</t>
    </r>
    <r>
      <rPr>
        <rFont val="Arial, sans-serif"/>
        <color rgb="FF1155CC"/>
        <sz val="11.0"/>
        <u/>
      </rPr>
      <t>Un currículum inabarcable” fue la expresión utilizada ayer por Telefónica para describir la trayectoria de su consejero Javier Echenique, fallecido unas...</t>
    </r>
    <r>
      <rPr>
        <rFont val="Arial, sans-serif"/>
        <color rgb="FF1155CC"/>
        <sz val="12.0"/>
        <u/>
      </rPr>
      <t>.</t>
    </r>
    <r>
      <rPr>
        <rFont val="Arial, sans-serif"/>
        <color rgb="FF1155CC"/>
        <sz val="11.0"/>
        <u/>
      </rPr>
      <t>16 dic 2024</t>
    </r>
  </si>
  <si>
    <t>Javier Echenique: Un currículum empresarial “inabarcable”</t>
  </si>
  <si>
    <t>Un currículum inabarcable” fue la expresión utilizada ayer por Telefónica para describir la trayectoria de su consejero Javier Echenique, fallecido unas....</t>
  </si>
  <si>
    <t>Javier Echenique: An “incomprehensible” business resume</t>
  </si>
  <si>
    <t>“An unfathomable resume” was the expression used yesterday by Telefónica to describe the career of its director Javier Echenique, who died some...</t>
  </si>
  <si>
    <r>
      <rPr>
        <rFont val="Arial, sans-serif"/>
        <color rgb="FF1155CC"/>
        <sz val="9.0"/>
        <u/>
      </rPr>
      <t>Guía Repsol</t>
    </r>
    <r>
      <rPr>
        <rFont val="Arial, sans-serif"/>
        <color rgb="FF1155CC"/>
        <sz val="15.0"/>
        <u/>
      </rPr>
      <t>De ruta de bares por Granada más alla de las tapas</t>
    </r>
    <r>
      <rPr>
        <rFont val="Arial, sans-serif"/>
        <color rgb="FF1155CC"/>
        <sz val="11.0"/>
        <u/>
      </rPr>
      <t>Además de tapas, hay numerosos bares y tascas en Granada que pueden presumir de raciones y platos deliciosos. ¡Estos son los mejores!</t>
    </r>
    <r>
      <rPr>
        <rFont val="Arial, sans-serif"/>
        <color rgb="FF1155CC"/>
        <sz val="12.0"/>
        <u/>
      </rPr>
      <t>.</t>
    </r>
    <r>
      <rPr>
        <rFont val="Arial, sans-serif"/>
        <color rgb="FF1155CC"/>
        <sz val="11.0"/>
        <u/>
      </rPr>
      <t>16 dic 2024</t>
    </r>
  </si>
  <si>
    <t>De ruta de bares por Granada más alla de las tapas</t>
  </si>
  <si>
    <t>Además de tapas, hay numerosos bares y tascas en Granada que pueden presumir de raciones y platos deliciosos. ¡Estos son los mejores!</t>
  </si>
  <si>
    <t>On a bar crawl through Granada beyond tapas</t>
  </si>
  <si>
    <t>In addition to tapas, there are numerous bars and taverns in Granada that can boast delicious portions and dishes. These are the best!</t>
  </si>
  <si>
    <r>
      <rPr>
        <rFont val="Arial, sans-serif"/>
        <color rgb="FF1155CC"/>
        <sz val="9.0"/>
        <u/>
      </rPr>
      <t>elDiario.es</t>
    </r>
    <r>
      <rPr>
        <rFont val="Arial, sans-serif"/>
        <color rgb="FF1155CC"/>
        <sz val="15.0"/>
        <u/>
      </rPr>
      <t>Coalición por El Bierzo denuncia trato de favor del Ayuntamiento de Igüeña con Repsol por un macroparque eólico</t>
    </r>
    <r>
      <rPr>
        <rFont val="Arial, sans-serif"/>
        <color rgb="FF1155CC"/>
        <sz val="11.0"/>
        <u/>
      </rPr>
      <t>Coalición por El Bierzo denuncia trato de favor del Ayuntamiento de Igüeña con Repsol por un macroparque eólico en la sierra de Gistredo y el Alto Sil.</t>
    </r>
    <r>
      <rPr>
        <rFont val="Arial, sans-serif"/>
        <color rgb="FF1155CC"/>
        <sz val="12.0"/>
        <u/>
      </rPr>
      <t>.</t>
    </r>
    <r>
      <rPr>
        <rFont val="Arial, sans-serif"/>
        <color rgb="FF1155CC"/>
        <sz val="11.0"/>
        <u/>
      </rPr>
      <t>16 dic 2024</t>
    </r>
  </si>
  <si>
    <t>Coalición por El Bierzo denuncia trato de favor del Ayuntamiento de Igüeña con Repsol por un macroparque eólico</t>
  </si>
  <si>
    <t>Coalición por El Bierzo denuncia trato de favor del Ayuntamiento de Igüeña con Repsol por un macroparque eólico en la sierra de Gistredo y el Alto Sil.</t>
  </si>
  <si>
    <t>Coalition for El Bierzo denounces favored treatment of the Igüeña City Council with Repsol for a macro wind park</t>
  </si>
  <si>
    <t>Coalition for El Bierzo denounces favored treatment by the Igüeña City Council with Repsol for a macro wind farm in the Gistredo mountain range and Alto Sil.</t>
  </si>
  <si>
    <t>favored treatment, Igüeña City Council, Repsol, wind farm</t>
  </si>
  <si>
    <t>trato de favor, Ayuntamiento de Igüeña, Repsol, parque eólico</t>
  </si>
  <si>
    <t>Negative, discusses allegations of preferential treatment for wind farm approval.</t>
  </si>
  <si>
    <t>trato de favor, "denuncia"</t>
  </si>
  <si>
    <t>Negative political and environmental criticism.</t>
  </si>
  <si>
    <t>Críticas políticas y medioambientales negativas.</t>
  </si>
  <si>
    <r>
      <rPr>
        <rFont val="Arial, sans-serif"/>
        <color rgb="FF1155CC"/>
        <sz val="9.0"/>
        <u/>
      </rPr>
      <t>Cadena SER</t>
    </r>
    <r>
      <rPr>
        <rFont val="Arial, sans-serif"/>
        <color rgb="FF1155CC"/>
        <sz val="15.0"/>
        <u/>
      </rPr>
      <t>La guía más reconocida se rinde ante el restaurante con el mejor pollo de todo Madrid</t>
    </r>
    <r>
      <rPr>
        <rFont val="Arial, sans-serif"/>
        <color rgb="FF1155CC"/>
        <sz val="11.0"/>
        <u/>
      </rPr>
      <t>El pollo asado y su sidra artesanal son muy populares, tanto que ahora han recibido un gran reconocimiento.</t>
    </r>
    <r>
      <rPr>
        <rFont val="Arial, sans-serif"/>
        <color rgb="FF1155CC"/>
        <sz val="12.0"/>
        <u/>
      </rPr>
      <t>.</t>
    </r>
    <r>
      <rPr>
        <rFont val="Arial, sans-serif"/>
        <color rgb="FF1155CC"/>
        <sz val="11.0"/>
        <u/>
      </rPr>
      <t>16 dic 2024</t>
    </r>
  </si>
  <si>
    <t>La guía más reconocida se rinde ante el restaurante con el mejor pollo de todo Madrid</t>
  </si>
  <si>
    <t>El pollo asado y su sidra artesanal son muy populares, tanto que ahora han recibido un gran reconocimiento.</t>
  </si>
  <si>
    <t>The most recognized guide surrenders to the restaurant with the best chicken in all of Madrid</t>
  </si>
  <si>
    <t>The roast chicken and its artisanal cider are very popular, so much so that they have now received great recognition.</t>
  </si>
  <si>
    <r>
      <rPr>
        <rFont val="Arial, sans-serif"/>
        <color rgb="FF1155CC"/>
        <sz val="9.0"/>
        <u/>
      </rPr>
      <t>Guía Repsol</t>
    </r>
    <r>
      <rPr>
        <rFont val="Arial, sans-serif"/>
        <color rgb="FF1155CC"/>
        <sz val="15.0"/>
        <u/>
      </rPr>
      <t>Dónde comprar roscón en Madrid</t>
    </r>
    <r>
      <rPr>
        <rFont val="Arial, sans-serif"/>
        <color rgb="FF1155CC"/>
        <sz val="11.0"/>
        <u/>
      </rPr>
      <t>Semanas antes de la noche de Reyes en los obradores ya comienza a oler a agua de azahar Luca de Tena: los tres días que precisan algunas masas, el progresi.</t>
    </r>
    <r>
      <rPr>
        <rFont val="Arial, sans-serif"/>
        <color rgb="FF1155CC"/>
        <sz val="12.0"/>
        <u/>
      </rPr>
      <t>.</t>
    </r>
    <r>
      <rPr>
        <rFont val="Arial, sans-serif"/>
        <color rgb="FF1155CC"/>
        <sz val="11.0"/>
        <u/>
      </rPr>
      <t>16 dic 2024</t>
    </r>
  </si>
  <si>
    <t>Dónde comprar roscón en Madrid</t>
  </si>
  <si>
    <t>Semanas antes de la noche de Reyes en los obradores ya comienza a oler a agua de azahar Luca de Tena: los tres días que precisan algunas masas, el progresi..</t>
  </si>
  <si>
    <t>Where to buy roscón in Madrid</t>
  </si>
  <si>
    <t>Weeks before Twelfth Night in the workshops Luca de Tena already begins to smell like orange blossom water: the three days that some masses need, the progress..</t>
  </si>
  <si>
    <r>
      <rPr>
        <rFont val="Arial, sans-serif"/>
        <color rgb="FF1155CC"/>
        <sz val="9.0"/>
        <u/>
      </rPr>
      <t>Guía Repsol</t>
    </r>
    <r>
      <rPr>
        <rFont val="Arial, sans-serif"/>
        <color rgb="FF1155CC"/>
        <sz val="15.0"/>
        <u/>
      </rPr>
      <t>Mercado de Vallehermoso</t>
    </r>
    <r>
      <rPr>
        <rFont val="Arial, sans-serif"/>
        <color rgb="FF1155CC"/>
        <sz val="11.0"/>
        <u/>
      </rPr>
      <t>Guía Repsol conecta a las personas con las mejores experiencias gastronómicas de España. Más que una guía de restaurantes, somos un ecosistema que celebra...</t>
    </r>
    <r>
      <rPr>
        <rFont val="Arial, sans-serif"/>
        <color rgb="FF1155CC"/>
        <sz val="12.0"/>
        <u/>
      </rPr>
      <t>.</t>
    </r>
    <r>
      <rPr>
        <rFont val="Arial, sans-serif"/>
        <color rgb="FF1155CC"/>
        <sz val="11.0"/>
        <u/>
      </rPr>
      <t>17 dic 2024</t>
    </r>
  </si>
  <si>
    <t>Mercado de Vallehermoso</t>
  </si>
  <si>
    <t>Guía Repsol conecta a las personas con las mejores experiencias gastronómicas de España. Más que una guía de restaurantes, somos un ecosistema que celebra....</t>
  </si>
  <si>
    <t>Vallehermoso Market</t>
  </si>
  <si>
    <t>Repsol Guide connects people with the best gastronomic experiences in Spain. More than a restaurant guide, we are an ecosystem that celebrates....</t>
  </si>
  <si>
    <r>
      <rPr>
        <rFont val="Arial, sans-serif"/>
        <color rgb="FF1155CC"/>
        <sz val="9.0"/>
        <u/>
      </rPr>
      <t>Infoveritas</t>
    </r>
    <r>
      <rPr>
        <rFont val="Arial, sans-serif"/>
        <color rgb="FF1155CC"/>
        <sz val="15.0"/>
        <u/>
      </rPr>
      <t>Repsol no regala un comprensor de aire portátil para neumáticos</t>
    </r>
    <r>
      <rPr>
        <rFont val="Arial, sans-serif"/>
        <color rgb="FF1155CC"/>
        <sz val="11.0"/>
        <u/>
      </rPr>
      <t>Suplantan la identidad de la multinacional energética Repsol para obtener datos bancarios e información sensible de los usuarios.</t>
    </r>
    <r>
      <rPr>
        <rFont val="Arial, sans-serif"/>
        <color rgb="FF1155CC"/>
        <sz val="12.0"/>
        <u/>
      </rPr>
      <t>.</t>
    </r>
    <r>
      <rPr>
        <rFont val="Arial, sans-serif"/>
        <color rgb="FF1155CC"/>
        <sz val="11.0"/>
        <u/>
      </rPr>
      <t>17 dic 2024</t>
    </r>
  </si>
  <si>
    <t>Repsol no regala un compresor de aire portátil para neumáticos</t>
  </si>
  <si>
    <t>Suplantan la identidad de la multinacional energética Repsol para obtener datos bancarios e información sensible de los usuarios.</t>
  </si>
  <si>
    <t>Repsol does not give away a portable air compressor for tires</t>
  </si>
  <si>
    <t>They impersonate the identity of the energy multinational Repsol to obtain bank details and sensitive information from users.</t>
  </si>
  <si>
    <t>Fraud/Business</t>
  </si>
  <si>
    <t>scam, Repsol, air compressor</t>
  </si>
  <si>
    <t>estafa, Repsol, compresor de aire</t>
  </si>
  <si>
    <t>Negative, highlights a scam impersonating Repsol.</t>
  </si>
  <si>
    <t>no regala</t>
  </si>
  <si>
    <t>Negative (scam warning).</t>
  </si>
  <si>
    <t>Negativo (advertencia de estafa).</t>
  </si>
  <si>
    <r>
      <rPr>
        <rFont val="Arial, sans-serif"/>
        <color rgb="FF1155CC"/>
        <sz val="9.0"/>
        <u/>
      </rPr>
      <t>Diario de León</t>
    </r>
    <r>
      <rPr>
        <rFont val="Arial, sans-serif"/>
        <color rgb="FF1155CC"/>
        <sz val="15.0"/>
        <u/>
      </rPr>
      <t>El parque eólico de Repsol divide a los municipios del Bierzo</t>
    </r>
    <r>
      <rPr>
        <rFont val="Arial, sans-serif"/>
        <color rgb="FF1155CC"/>
        <sz val="11.0"/>
        <u/>
      </rPr>
      <t>El parque eólico que promueve Repsol en el Valle del Sil y el Bierzo Alto divide a los alcaldes. Mientras la alcaldesa de Páramo del Sil, la socialista...</t>
    </r>
    <r>
      <rPr>
        <rFont val="Arial, sans-serif"/>
        <color rgb="FF1155CC"/>
        <sz val="12.0"/>
        <u/>
      </rPr>
      <t>.</t>
    </r>
    <r>
      <rPr>
        <rFont val="Arial, sans-serif"/>
        <color rgb="FF1155CC"/>
        <sz val="11.0"/>
        <u/>
      </rPr>
      <t>17 dic 2024</t>
    </r>
  </si>
  <si>
    <t>El parque eólico de Repsol divide a los municipios del Bierzo</t>
  </si>
  <si>
    <t>El parque eólico que promueve Repsol en el Valle del Sil y el Bierzo Alto divide a los alcaldes. Mientras la alcaldesa de Páramo del Sil, la socialista....</t>
  </si>
  <si>
    <t>The Repsol wind farm divides the municipalities of Bierzo</t>
  </si>
  <si>
    <t>The wind farm promoted by Repsol in the Sil Valley and Bierzo Alto divides the mayors. While the mayor of Páramo del Sil, the socialist....</t>
  </si>
  <si>
    <t>wind farm, divided opinions, Repsol, environmental impact</t>
  </si>
  <si>
    <t>parque eólico, opiniones divididas, Repsol, impacto ambiental</t>
  </si>
  <si>
    <t>Negative, shows division among local municipalities regarding environmental concerns.</t>
  </si>
  <si>
    <t>divide</t>
  </si>
  <si>
    <r>
      <rPr>
        <rFont val="Arial, sans-serif"/>
        <color rgb="FF1155CC"/>
        <sz val="9.0"/>
        <u/>
      </rPr>
      <t>elDiario.es</t>
    </r>
    <r>
      <rPr>
        <rFont val="Arial, sans-serif"/>
        <color rgb="FF1155CC"/>
        <sz val="15.0"/>
        <u/>
      </rPr>
      <t>Otra Plataforma clama contra el grave impacto de tres macroparques eólicos de Repsol al oso pardo y el urogallo en extinción</t>
    </r>
    <r>
      <rPr>
        <rFont val="Arial, sans-serif"/>
        <color rgb="FF1155CC"/>
        <sz val="11.0"/>
        <u/>
      </rPr>
      <t>Los proyectos de instalación de tres macroparques eólicos en la Sierra de Gistredo y el Alto Sil, promovidos por la multinacional Repsol, sigue recabando...</t>
    </r>
    <r>
      <rPr>
        <rFont val="Arial, sans-serif"/>
        <color rgb="FF1155CC"/>
        <sz val="12.0"/>
        <u/>
      </rPr>
      <t>.</t>
    </r>
    <r>
      <rPr>
        <rFont val="Arial, sans-serif"/>
        <color rgb="FF1155CC"/>
        <sz val="11.0"/>
        <u/>
      </rPr>
      <t>17 dic 2024</t>
    </r>
  </si>
  <si>
    <t>Otra Plataforma clama contra el grave impacto de tres macroparques eólicos de Repsol al oso pardo y el urogallo en extinción</t>
  </si>
  <si>
    <t>Otra Plataforma clama contra el grave impacto de tres macroparques eólicos de Repsol al oso pardo y el urogallo en extinción. Los proyectos de instalación de tres macroparques eólicos en la Sierra de Gistredo y el Alto Sil, promovidos por la multinacional Repsol, sigue recabando....</t>
  </si>
  <si>
    <t>Another Platform cries out against the serious impact of three Repsol wind farms on the brown bear and the endangered capercaillie</t>
  </si>
  <si>
    <t>Another Platform cries out against the serious impact of three Repsol wind farms on the brown bear and the endangered capercaillie. The installation projects of three macro wind farms in the Sierra de Gistredo and Alto Sil, promoted by the multinational Repsol, continue to collect....</t>
  </si>
  <si>
    <t>environmental impact, brown bear, capercaillie, Repsol</t>
  </si>
  <si>
    <t>impacto ambiental, oso pardo, urogallo, Repsol</t>
  </si>
  <si>
    <t>Negative, highlights concerns about wildlife impact due to wind farm installations.</t>
  </si>
  <si>
    <t>grave impacto</t>
  </si>
  <si>
    <t>Strong negative environmental criticism.</t>
  </si>
  <si>
    <t>Fuertes críticas medioambientales negativas.</t>
  </si>
  <si>
    <r>
      <rPr>
        <rFont val="Arial, sans-serif"/>
        <color rgb="FF1155CC"/>
        <sz val="9.0"/>
        <u/>
      </rPr>
      <t>El Bierzo Digital</t>
    </r>
    <r>
      <rPr>
        <rFont val="Arial, sans-serif"/>
        <color rgb="FF1155CC"/>
        <sz val="15.0"/>
        <u/>
      </rPr>
      <t>Ramón ve "compatibles" las reacciones opuestas de los ayuntamientos socialistas al parque eólico de Repsol</t>
    </r>
    <r>
      <rPr>
        <rFont val="Arial, sans-serif"/>
        <color rgb="FF1155CC"/>
        <sz val="11.0"/>
        <u/>
      </rPr>
      <t>El presidente del Consejo Comarcal recuerda que la institución ya aprobó por unanimidad una moción respecto a infraestructuras de energías renovables.</t>
    </r>
    <r>
      <rPr>
        <rFont val="Arial, sans-serif"/>
        <color rgb="FF1155CC"/>
        <sz val="12.0"/>
        <u/>
      </rPr>
      <t>.</t>
    </r>
    <r>
      <rPr>
        <rFont val="Arial, sans-serif"/>
        <color rgb="FF1155CC"/>
        <sz val="11.0"/>
        <u/>
      </rPr>
      <t>17 dic 2024</t>
    </r>
  </si>
  <si>
    <t>Ramón ve "compatibles" las reacciones opuestas de los ayuntamientos socialistas al parque eólico de Repsol</t>
  </si>
  <si>
    <t>El presidente del Consejo Comarcal recuerda que la institución ya aprobó por unanimidad una moción respecto a infraestructuras de energías renovables.</t>
  </si>
  <si>
    <t>Ramón sees "compatible" the opposite reactions of the socialist town councils to the Repsol wind farm</t>
  </si>
  <si>
    <t>The president of the Regional Council recalls that the institution has already unanimously approved a motion regarding renewable energy infrastructure.</t>
  </si>
  <si>
    <t>opposite reactions, wind farm, Repsol, socialist</t>
  </si>
  <si>
    <t>Reacciones opuestas, parque eólico, Repsol, socialista</t>
  </si>
  <si>
    <t>Neutral, points out differing opinions on Repsol's wind farm project.</t>
  </si>
  <si>
    <t>compatibles</t>
  </si>
  <si>
    <t>Neutral-political.</t>
  </si>
  <si>
    <t>Neutral-político.</t>
  </si>
  <si>
    <r>
      <rPr>
        <rFont val="Arial, sans-serif"/>
        <color rgb="FF1155CC"/>
        <sz val="9.0"/>
        <u/>
      </rPr>
      <t>Bolsamania</t>
    </r>
    <r>
      <rPr>
        <rFont val="Arial, sans-serif"/>
        <color rgb="FF1155CC"/>
        <sz val="15.0"/>
        <u/>
      </rPr>
      <t>Repsol y dos valores más que han perforado soportes o resistencias este martes</t>
    </r>
    <r>
      <rPr>
        <rFont val="Arial, sans-serif"/>
        <color rgb="FF1155CC"/>
        <sz val="11.0"/>
        <u/>
      </rPr>
      <t>Muy mal aspecto técnico en Repsol que confirma el abandono del soporte de los 11174 euros, mínimos anuales.</t>
    </r>
    <r>
      <rPr>
        <rFont val="Arial, sans-serif"/>
        <color rgb="FF1155CC"/>
        <sz val="12.0"/>
        <u/>
      </rPr>
      <t>.</t>
    </r>
    <r>
      <rPr>
        <rFont val="Arial, sans-serif"/>
        <color rgb="FF1155CC"/>
        <sz val="11.0"/>
        <u/>
      </rPr>
      <t>17 dic 2024</t>
    </r>
  </si>
  <si>
    <t>Repsol y dos valores más que han perforado soportes o resistencias este martes</t>
  </si>
  <si>
    <t>Muy mal aspecto técnico en Repsol que confirma el abandono del soporte de los 11174 euros, mínimos anuales.</t>
  </si>
  <si>
    <t>Repsol and two more values ​​that have pierced supports or resistances this Tuesday</t>
  </si>
  <si>
    <t>Very bad technical aspect in Repsol that confirms the abandonment of the support of 11,174 euros, annual minimum.</t>
  </si>
  <si>
    <t>Repsol, stocks, resistance levels</t>
  </si>
  <si>
    <t>Repsol, cepo, niveles de resistencia</t>
  </si>
  <si>
    <t>Negative, discusses Repsol's poor stock performance and technical market analysis.</t>
  </si>
  <si>
    <t>perforado soportes</t>
  </si>
  <si>
    <r>
      <rPr>
        <rFont val="Arial, sans-serif"/>
        <color rgb="FF1155CC"/>
        <sz val="9.0"/>
        <u/>
      </rPr>
      <t>Innovaspain</t>
    </r>
    <r>
      <rPr>
        <rFont val="Arial, sans-serif"/>
        <color rgb="FF1155CC"/>
        <sz val="15.0"/>
        <u/>
      </rPr>
      <t>Waylet, la app que se ha convertido en la mejor aliada para ir a la gasolinera</t>
    </r>
    <r>
      <rPr>
        <rFont val="Arial, sans-serif"/>
        <color rgb="FF1155CC"/>
        <sz val="11.0"/>
        <u/>
      </rPr>
      <t>Según Marta Salvador, CMO de la aplicación de Repsol que ya cuenta con casi diez millones de clientes, esta ofrece una experiencia de compra fácil,...</t>
    </r>
    <r>
      <rPr>
        <rFont val="Arial, sans-serif"/>
        <color rgb="FF1155CC"/>
        <sz val="12.0"/>
        <u/>
      </rPr>
      <t>.</t>
    </r>
    <r>
      <rPr>
        <rFont val="Arial, sans-serif"/>
        <color rgb="FF1155CC"/>
        <sz val="11.0"/>
        <u/>
      </rPr>
      <t>17 dic 2024</t>
    </r>
  </si>
  <si>
    <t>Waylet, la app que se ha convertido en la mejor aliada para ir a la gasolinera</t>
  </si>
  <si>
    <t>Según Marta Salvador, CMO de la aplicación de Repsol que ya cuenta con casi diez millones de clientes, esta ofrece una experiencia de compra fácil,....</t>
  </si>
  <si>
    <t>Waylet, the app that has become the best ally for going to the gas station</t>
  </si>
  <si>
    <t>According to Marta Salvador, CMO of the Repsol application, which already has almost ten million customers, it offers an easy purchasing experience,...</t>
  </si>
  <si>
    <t>Technology/Business</t>
  </si>
  <si>
    <t>Waylet app, gas station, convenience</t>
  </si>
  <si>
    <t>Aplicación Waylet, gasolinera, conveniencia</t>
  </si>
  <si>
    <t>Positive, promotes the ease and utility of the Waylet app for consumers.</t>
  </si>
  <si>
    <t>Positive product utility.</t>
  </si>
  <si>
    <t>Utilidad positiva del producto.</t>
  </si>
  <si>
    <r>
      <rPr>
        <rFont val="Arial, sans-serif"/>
        <color rgb="FF1155CC"/>
        <sz val="9.0"/>
        <u/>
      </rPr>
      <t>Expansión</t>
    </r>
    <r>
      <rPr>
        <rFont val="Arial, sans-serif"/>
        <color rgb="FF1155CC"/>
        <sz val="15.0"/>
        <u/>
      </rPr>
      <t>La Primera de Expansión sobre Repsol, Iberdrola, Mango, banca de inversión, TikTok, Javier Milei y el dólar</t>
    </r>
    <r>
      <rPr>
        <rFont val="Arial, sans-serif"/>
        <color rgb="FF1155CC"/>
        <sz val="11.0"/>
        <u/>
      </rPr>
      <t>También hablaremos de los siete grandes retos de Mango tras el fallecimiento de su fundados, Isak Andic, y sobre que España lidera el crecimiento de la...</t>
    </r>
    <r>
      <rPr>
        <rFont val="Arial, sans-serif"/>
        <color rgb="FF1155CC"/>
        <sz val="12.0"/>
        <u/>
      </rPr>
      <t>.</t>
    </r>
    <r>
      <rPr>
        <rFont val="Arial, sans-serif"/>
        <color rgb="FF1155CC"/>
        <sz val="11.0"/>
        <u/>
      </rPr>
      <t>17 dic 2024</t>
    </r>
  </si>
  <si>
    <t>Repsol, Iberdrola, Mango, banca de inversión, TikTok, Javier Milei y el dólar</t>
  </si>
  <si>
    <t>También hablaremos de los siete grandes retos de Mango tras el fallecimiento de su fundados, Isak Andic, y sobre que España lidera el crecimiento de la....</t>
  </si>
  <si>
    <t>Repsol, Iberdrola, Mango, investment banking, TikTok, Javier Milei and the dollar</t>
  </si>
  <si>
    <t>We will also talk about Mango's seven great challenges after the death of its founder, Isak Andic, and about Spain leading the growth of the...</t>
  </si>
  <si>
    <t>Business/Finance</t>
  </si>
  <si>
    <t>Repsol, Iberdrola, investment, market</t>
  </si>
  <si>
    <t>Repsol, Iberdrola, inversión, mercado</t>
  </si>
  <si>
    <t>Neutral, covers a broad spectrum of businesses and economic topics without a strong opinion.</t>
  </si>
  <si>
    <r>
      <rPr>
        <rFont val="Arial, sans-serif"/>
        <color rgb="FF1155CC"/>
        <sz val="9.0"/>
        <u/>
      </rPr>
      <t>Leonoticias</t>
    </r>
    <r>
      <rPr>
        <rFont val="Arial, sans-serif"/>
        <color rgb="FF1155CC"/>
        <sz val="15.0"/>
        <u/>
      </rPr>
      <t>Adiós al Mentidero de Riaño</t>
    </r>
    <r>
      <rPr>
        <rFont val="Arial, sans-serif"/>
        <color rgb="FF1155CC"/>
        <sz val="11.0"/>
        <u/>
      </rPr>
      <t>El emblemático bar, reconocido con un Solete Repsol, se despide tras más de 30 años como un referente de la gastronomía tradicional en la Montaña de León.</t>
    </r>
    <r>
      <rPr>
        <rFont val="Arial, sans-serif"/>
        <color rgb="FF1155CC"/>
        <sz val="12.0"/>
        <u/>
      </rPr>
      <t>.</t>
    </r>
    <r>
      <rPr>
        <rFont val="Arial, sans-serif"/>
        <color rgb="FF1155CC"/>
        <sz val="11.0"/>
        <u/>
      </rPr>
      <t>17 dic 2024</t>
    </r>
  </si>
  <si>
    <t>Adiós al Mentidero de Riaño</t>
  </si>
  <si>
    <t>El emblemático bar, reconocido con un Solete Repsol, se despide tras más de 30 años como un referente de la gastronomía tradicional en la Montaña de León.</t>
  </si>
  <si>
    <t>Goodbye to the Riaño Mentidero</t>
  </si>
  <si>
    <t>The emblematic bar, recognized with a Solete Repsol, says goodbye after more than 30 years as a benchmark for traditional gastronomy in the Montaña de León.</t>
  </si>
  <si>
    <r>
      <rPr>
        <rFont val="Arial, sans-serif"/>
        <color rgb="FF1155CC"/>
        <sz val="9.0"/>
        <u/>
      </rPr>
      <t>Reason Why</t>
    </r>
    <r>
      <rPr>
        <rFont val="Arial, sans-serif"/>
        <color rgb="FF1155CC"/>
        <sz val="15.0"/>
        <u/>
      </rPr>
      <t>La radiografía del “ecopostureo” en España, en el Anuario del Greenwashing</t>
    </r>
    <r>
      <rPr>
        <rFont val="Arial, sans-serif"/>
        <color rgb="FF1155CC"/>
        <sz val="11.0"/>
        <u/>
      </rPr>
      <t>El colectivo Alerta Greenwashing analiza los fallos y los avances en materia de comunicación sostenible; El documento incluye los casos que han marcado el...</t>
    </r>
    <r>
      <rPr>
        <rFont val="Arial, sans-serif"/>
        <color rgb="FF1155CC"/>
        <sz val="12.0"/>
        <u/>
      </rPr>
      <t>.</t>
    </r>
    <r>
      <rPr>
        <rFont val="Arial, sans-serif"/>
        <color rgb="FF1155CC"/>
        <sz val="11.0"/>
        <u/>
      </rPr>
      <t>17 dic 2024</t>
    </r>
  </si>
  <si>
    <t>El colectivo Alerta Greenwashing</t>
  </si>
  <si>
    <t>La radiografía del “ecopostureo” en España, en el Anuario del Greenwashing</t>
  </si>
  <si>
    <t>El colectivo Alerta Greenwashing analiza los fallos y los avances en materia de comunicación sostenible; El documento incluye los casos que han marcado el....</t>
  </si>
  <si>
    <t>The x-ray of “ecopostureo” in Spain, in the Greenwashing Yearbook</t>
  </si>
  <si>
    <t>The Alerta Greenwashing collective analyzes the failures and advances in sustainable communication; The document includes the cases that have marked the...</t>
  </si>
  <si>
    <t>ecopostureo, Greenwashing, sustainable communication, Alerta Greenwashing</t>
  </si>
  <si>
    <t>ecopostureo, “Greenwashing”, “comunicación sostenible”, “Alerta Greenwashing”</t>
  </si>
  <si>
    <t>Neutral-negative, discussing the shortcomings of sustainable communication.</t>
  </si>
  <si>
    <r>
      <rPr>
        <rFont val="Arial, sans-serif"/>
        <color rgb="FF1155CC"/>
        <sz val="9.0"/>
        <u/>
      </rPr>
      <t>El Adelantado</t>
    </r>
    <r>
      <rPr>
        <rFont val="Arial, sans-serif"/>
        <color rgb="FF1155CC"/>
        <sz val="15.0"/>
        <u/>
      </rPr>
      <t>Los coches diésel podrían tener una segunda vida gracias al Diésel Nexa</t>
    </r>
    <r>
      <rPr>
        <rFont val="Arial, sans-serif"/>
        <color rgb="FF1155CC"/>
        <sz val="11.0"/>
        <u/>
      </rPr>
      <t>Con la bajada en picado de las ventas de vehículos diésel debido a las restricciones, muchas petroleras están en búsqueda de alternativas. De hecho, están.</t>
    </r>
    <r>
      <rPr>
        <rFont val="Arial, sans-serif"/>
        <color rgb="FF1155CC"/>
        <sz val="12.0"/>
        <u/>
      </rPr>
      <t>.</t>
    </r>
    <r>
      <rPr>
        <rFont val="Arial, sans-serif"/>
        <color rgb="FF1155CC"/>
        <sz val="11.0"/>
        <u/>
      </rPr>
      <t>17 dic 2024</t>
    </r>
  </si>
  <si>
    <t>El Adelantado</t>
  </si>
  <si>
    <t>Los coches diésel podrían tener una segunda vida gracias al Diésel Nexa</t>
  </si>
  <si>
    <t>Los coches diésel podrían tener una segunda vida gracias al Diésel Nexa. Con la bajada en picado de las ventas de vehículos diésel debido a las restricciones, muchas petroleras están en búsqueda de alternativas. De hecho, están..</t>
  </si>
  <si>
    <t>Diesel cars could have a second life thanks to the Nexa Diesel</t>
  </si>
  <si>
    <t>Diesel cars could have a second life thanks to the Nexa Diesel. With sales of diesel vehicles plummeting due to restrictions, many oil companies are looking for alternatives. In fact, they are...</t>
  </si>
  <si>
    <t>Diesel cars, Nexa Diesel, oil companies, alternative fuels</t>
  </si>
  <si>
    <t>Coches diésel, Nexa Diesel, compañías petroleras, combustibles alternativos</t>
  </si>
  <si>
    <t>Neutral-positive, presents a potential new life for diesel cars.</t>
  </si>
  <si>
    <r>
      <rPr>
        <rFont val="Arial, sans-serif"/>
        <color rgb="FF1155CC"/>
        <sz val="9.0"/>
        <u/>
      </rPr>
      <t>La Nueva Crónica</t>
    </r>
    <r>
      <rPr>
        <rFont val="Arial, sans-serif"/>
        <color rgb="FF1155CC"/>
        <sz val="15.0"/>
        <u/>
      </rPr>
      <t>La Plataforma para la Defensa de la Cordillera Cantábrica desaconseja los proyectos eólicos de Repsol en la Sierra de Gistredo</t>
    </r>
    <r>
      <rPr>
        <rFont val="Arial, sans-serif"/>
        <color rgb="FF1155CC"/>
        <sz val="11.0"/>
        <u/>
      </rPr>
      <t>Asegura que son proyectos que "amenazan" el hábitat de especies en peligro de extinción y su recuperación.</t>
    </r>
    <r>
      <rPr>
        <rFont val="Arial, sans-serif"/>
        <color rgb="FF1155CC"/>
        <sz val="12.0"/>
        <u/>
      </rPr>
      <t>.</t>
    </r>
    <r>
      <rPr>
        <rFont val="Arial, sans-serif"/>
        <color rgb="FF1155CC"/>
        <sz val="11.0"/>
        <u/>
      </rPr>
      <t>17 dic 2024</t>
    </r>
  </si>
  <si>
    <t>La Plataforma para la Defensa de la Cordillera Cantábrica desaconseja los proyectos eólicos de Repsol en la Sierra de Gistredo</t>
  </si>
  <si>
    <t>Asegura que son proyectos que "amenazan" el hábitat de especies en peligro de extinción y su recuperación.</t>
  </si>
  <si>
    <t>The Platform for the Defense of the Cantabrian Mountains advises against Repsol's wind projects in the Sierra de Gistredo</t>
  </si>
  <si>
    <t>He assures that they are projects that "threaten" the habitat of endangered species and their recovery.</t>
  </si>
  <si>
    <t>Cantabrian Mountains, Repsol, wind projects, endangered species</t>
  </si>
  <si>
    <t>Cordillera Cantábrica, Repsol, proyectos eólicos, especies en peligro de extinción</t>
  </si>
  <si>
    <t>Negative, environmental concerns about wind projects.</t>
  </si>
  <si>
    <t>desaconseja</t>
  </si>
  <si>
    <t>Strong negative environmental opposition.</t>
  </si>
  <si>
    <t>Fuerte oposición ambiental negativa.</t>
  </si>
  <si>
    <r>
      <rPr>
        <rFont val="Arial, sans-serif"/>
        <color rgb="FF1155CC"/>
        <sz val="9.0"/>
        <u/>
      </rPr>
      <t>Crónica Global</t>
    </r>
    <r>
      <rPr>
        <rFont val="Arial, sans-serif"/>
        <color rgb="FF1155CC"/>
        <sz val="15.0"/>
        <u/>
      </rPr>
      <t>Este es el restaurante catalán que enamoró a Mick Jagger: tiene dos soles Repsol y está especializado en marisco</t>
    </r>
    <r>
      <rPr>
        <rFont val="Arial, sans-serif"/>
        <color rgb="FF1155CC"/>
        <sz val="11.0"/>
        <u/>
      </rPr>
      <t>Un establecimiento ubicado en la ciudad Condal y regentado por uno de los mejores chefs españoles.</t>
    </r>
    <r>
      <rPr>
        <rFont val="Arial, sans-serif"/>
        <color rgb="FF1155CC"/>
        <sz val="12.0"/>
        <u/>
      </rPr>
      <t>.</t>
    </r>
    <r>
      <rPr>
        <rFont val="Arial, sans-serif"/>
        <color rgb="FF1155CC"/>
        <sz val="11.0"/>
        <u/>
      </rPr>
      <t>17 dic 2024</t>
    </r>
  </si>
  <si>
    <t>Este es el restaurante catalán que enamoró a Mick Jagger: tiene dos soles Repsol y está especializado en marisco</t>
  </si>
  <si>
    <t>Un establecimiento ubicado en la ciudad Condal y regentado por uno de los mejores chefs españoles.</t>
  </si>
  <si>
    <t>This is the Catalan restaurant that Mick Jagger fell in love with: it has two Repsol soles and specializes in seafood</t>
  </si>
  <si>
    <t>An establishment located in Barcelona and run by one of the best Spanish chefs.</t>
  </si>
  <si>
    <r>
      <rPr>
        <rFont val="Arial, sans-serif"/>
        <color rgb="FF1155CC"/>
        <sz val="9.0"/>
        <u/>
      </rPr>
      <t>Guía Repsol</t>
    </r>
    <r>
      <rPr>
        <rFont val="Arial, sans-serif"/>
        <color rgb="FF1155CC"/>
        <sz val="15.0"/>
        <u/>
      </rPr>
      <t>Actividades en el mercado Vallehermoso: gospel y roscón</t>
    </r>
    <r>
      <rPr>
        <rFont val="Arial, sans-serif"/>
        <color rgb="FF1155CC"/>
        <sz val="11.0"/>
        <u/>
      </rPr>
      <t>Las fiestas ya están aquí y Guía Repsol ha preparado una serie de actividades navideñas en el mercado de Vallehermoso. ¡No te lo pierdas!</t>
    </r>
    <r>
      <rPr>
        <rFont val="Arial, sans-serif"/>
        <color rgb="FF1155CC"/>
        <sz val="12.0"/>
        <u/>
      </rPr>
      <t>.</t>
    </r>
    <r>
      <rPr>
        <rFont val="Arial, sans-serif"/>
        <color rgb="FF1155CC"/>
        <sz val="11.0"/>
        <u/>
      </rPr>
      <t>17 dic 2024</t>
    </r>
  </si>
  <si>
    <t>Actividades en el mercado Vallehermoso: gospel y roscón</t>
  </si>
  <si>
    <t>Las fiestas ya están aquí y Guía Repsol ha preparado una serie de actividades navideñas en el mercado de Vallehermoso. ¡No te lo pierdas!.</t>
  </si>
  <si>
    <t>Activities in the Vallehermoso market: gospel and roscón</t>
  </si>
  <si>
    <t>The holidays are here and the Repsol Guide has prepared a series of Christmas activities in the Vallehermoso market. Don't miss it!</t>
  </si>
  <si>
    <t>Community Events</t>
  </si>
  <si>
    <r>
      <rPr>
        <rFont val="Arial, sans-serif"/>
        <color rgb="FF1155CC"/>
        <sz val="9.0"/>
        <u/>
      </rPr>
      <t>Mundo Deportivo</t>
    </r>
    <r>
      <rPr>
        <rFont val="Arial, sans-serif"/>
        <color rgb="FF1155CC"/>
        <sz val="15.0"/>
        <u/>
      </rPr>
      <t>La gastronomía catalana recauda más de 210.000 euros por Valencia</t>
    </r>
    <r>
      <rPr>
        <rFont val="Arial, sans-serif"/>
        <color rgb="FF1155CC"/>
        <sz val="11.0"/>
        <u/>
      </rPr>
      <t>En tan solo unas semanas, los chefs catalanes se sumaron a la iniciativa solidaria 'Desde Valencia para Valencia' para recaudar fondos para los damnificados...</t>
    </r>
    <r>
      <rPr>
        <rFont val="Arial, sans-serif"/>
        <color rgb="FF1155CC"/>
        <sz val="12.0"/>
        <u/>
      </rPr>
      <t>.</t>
    </r>
    <r>
      <rPr>
        <rFont val="Arial, sans-serif"/>
        <color rgb="FF1155CC"/>
        <sz val="11.0"/>
        <u/>
      </rPr>
      <t>17 dic 2024</t>
    </r>
  </si>
  <si>
    <t>La gastronomía catalana recauda más de 210.000 euros por Valencia</t>
  </si>
  <si>
    <t>En tan solo unas semanas, los chefs catalanes se sumaron a la iniciativa solidaria 'Desde Valencia para Valencia' para recaudar fondos para los damnificados....</t>
  </si>
  <si>
    <t>Catalan gastronomy raises more than 210,000 euros for Valencia</t>
  </si>
  <si>
    <t>In just a few weeks, Catalan chefs joined the solidarity initiative 'From Valencia to Valencia' to raise funds for the victims....</t>
  </si>
  <si>
    <r>
      <rPr>
        <rFont val="Arial, sans-serif"/>
        <color rgb="FF1155CC"/>
        <sz val="9.0"/>
        <u/>
      </rPr>
      <t>Guía Repsol</t>
    </r>
    <r>
      <rPr>
        <rFont val="Arial, sans-serif"/>
        <color rgb="FF1155CC"/>
        <sz val="15.0"/>
        <u/>
      </rPr>
      <t>Descubre el panettone de 'Forn Mariu' (Ibi, Alicante) y no querrás probar otro</t>
    </r>
    <r>
      <rPr>
        <rFont val="Arial, sans-serif"/>
        <color rgb="FF1155CC"/>
        <sz val="11.0"/>
        <u/>
      </rPr>
      <t>Viajamos a Alicante para conocer 'Forn Mariu' y el proceso de elaboración de su panettone. ¡4 generaciones de pasteleros que endulzan Ibi!</t>
    </r>
    <r>
      <rPr>
        <rFont val="Arial, sans-serif"/>
        <color rgb="FF1155CC"/>
        <sz val="12.0"/>
        <u/>
      </rPr>
      <t>.</t>
    </r>
    <r>
      <rPr>
        <rFont val="Arial, sans-serif"/>
        <color rgb="FF1155CC"/>
        <sz val="11.0"/>
        <u/>
      </rPr>
      <t>17 dic 2024</t>
    </r>
  </si>
  <si>
    <t>Descubre el panettone de 'Forn Mariu' (Ibi, Alicante) y no querrás probar otro</t>
  </si>
  <si>
    <t>Viajamos a Alicante para conocer 'Forn Mariu' y el proceso de elaboración de su panettone. ¡4 generaciones de pasteleros que endulzan Ibi!.</t>
  </si>
  <si>
    <t>Discover the panettone from 'Forn Mariu' (Ibi, Alicante) and you will not want to try another</t>
  </si>
  <si>
    <t>We traveled to Alicante to learn about 'Forn Mariu' and the process of making its panettone. 4 generations of pastry chefs who sweeten Ibi!</t>
  </si>
  <si>
    <r>
      <rPr>
        <rFont val="Arial, sans-serif"/>
        <color rgb="FF1155CC"/>
        <sz val="9.0"/>
        <u/>
      </rPr>
      <t>Guía Repsol</t>
    </r>
    <r>
      <rPr>
        <rFont val="Arial, sans-serif"/>
        <color rgb="FF1155CC"/>
        <sz val="15.0"/>
        <u/>
      </rPr>
      <t>Descubre el Cava Extremeño, las bodegas de Almendralejo y su historia</t>
    </r>
    <r>
      <rPr>
        <rFont val="Arial, sans-serif"/>
        <color rgb="FF1155CC"/>
        <sz val="11.0"/>
        <u/>
      </rPr>
      <t>Almendralejo lleva más de 40 años elaborando este espumoso. Descubre la historia de las 5 bodegas de cava extremeño y su elaboración.</t>
    </r>
    <r>
      <rPr>
        <rFont val="Arial, sans-serif"/>
        <color rgb="FF1155CC"/>
        <sz val="12.0"/>
        <u/>
      </rPr>
      <t>.</t>
    </r>
    <r>
      <rPr>
        <rFont val="Arial, sans-serif"/>
        <color rgb="FF1155CC"/>
        <sz val="11.0"/>
        <u/>
      </rPr>
      <t>17 dic 2024</t>
    </r>
  </si>
  <si>
    <t>Descubre el Cava Extremeño, las bodegas de Almendralejo y su historia</t>
  </si>
  <si>
    <t>Almendralejo lleva más de 40 años elaborando este espumoso. Descubre la historia de las 5 bodegas de cava extremeño y su elaboración.</t>
  </si>
  <si>
    <t>Discover Cava Extremeño, the wineries of Almendralejo and its history</t>
  </si>
  <si>
    <t>Almendralejo has been making this sparkling wine for more than 40 years. Discover the history of the 5 Extremaduran cava wineries and their production.</t>
  </si>
  <si>
    <r>
      <rPr>
        <rFont val="Arial, sans-serif"/>
        <color rgb="FF1155CC"/>
        <sz val="9.0"/>
        <u/>
      </rPr>
      <t>Guía Repsol</t>
    </r>
    <r>
      <rPr>
        <rFont val="Arial, sans-serif"/>
        <color rgb="FF1155CC"/>
        <sz val="15.0"/>
        <u/>
      </rPr>
      <t>Con estas novedades en las estaciones de esquí españolas no querrás dejar de esquiar en todo el año</t>
    </r>
    <r>
      <rPr>
        <rFont val="Arial, sans-serif"/>
        <color rgb="FF1155CC"/>
        <sz val="11.0"/>
        <u/>
      </rPr>
      <t>Ya sea norte o sur, Pirineo o Penibético, la mayoría de las estaciones españolas de esquí acaban de inaugurar la temporada de nieve haciendo realidad los...</t>
    </r>
    <r>
      <rPr>
        <rFont val="Arial, sans-serif"/>
        <color rgb="FF1155CC"/>
        <sz val="12.0"/>
        <u/>
      </rPr>
      <t>.</t>
    </r>
    <r>
      <rPr>
        <rFont val="Arial, sans-serif"/>
        <color rgb="FF1155CC"/>
        <sz val="11.0"/>
        <u/>
      </rPr>
      <t>17 dic 2024</t>
    </r>
  </si>
  <si>
    <t>Con estas novedades en las estaciones de esquí españolas no querrás dejar de esquiar en todo el año</t>
  </si>
  <si>
    <t>Con estas novedades en las estaciones de esquí españolas no querrás dejar de esquiar en todo el año.</t>
  </si>
  <si>
    <t>With these new features in Spanish ski resorts you won't want to stop skiing all year round</t>
  </si>
  <si>
    <t>With these new features in Spanish ski resorts you won't want to stop skiing all year round.</t>
  </si>
  <si>
    <r>
      <rPr>
        <rFont val="Arial, sans-serif"/>
        <color rgb="FF1155CC"/>
        <sz val="9.0"/>
        <u/>
      </rPr>
      <t>Expansión</t>
    </r>
    <r>
      <rPr>
        <rFont val="Arial, sans-serif"/>
        <color rgb="FF1155CC"/>
        <sz val="15.0"/>
        <u/>
      </rPr>
      <t>Repsol dispara sus clientes de luz y gas en plena batalla con Iberdrola</t>
    </r>
    <r>
      <rPr>
        <rFont val="Arial, sans-serif"/>
        <color rgb="FF1155CC"/>
        <sz val="11.0"/>
        <u/>
      </rPr>
      <t>La sede de Repsol ayer en Madrid era una fiesta interna. No era la copa navideña. Según ha podido saber EXPANSIÓN, el motivo de la celebración era festejar...</t>
    </r>
    <r>
      <rPr>
        <rFont val="Arial, sans-serif"/>
        <color rgb="FF1155CC"/>
        <sz val="12.0"/>
        <u/>
      </rPr>
      <t>.</t>
    </r>
    <r>
      <rPr>
        <rFont val="Arial, sans-serif"/>
        <color rgb="FF1155CC"/>
        <sz val="11.0"/>
        <u/>
      </rPr>
      <t>18 dic 2024</t>
    </r>
  </si>
  <si>
    <t>Repsol dispara sus clientes de luz y gas en plena batalla con Iberdrola</t>
  </si>
  <si>
    <t>La sede de Repsol ayer en Madrid era una fiesta interna. No era la copa navideña. Según ha podido saber EXPANSIÓN, el motivo de la celebración era festejar....</t>
  </si>
  <si>
    <t>Repsol fires its electricity and gas customers in the middle of the battle with Iberdrola</t>
  </si>
  <si>
    <t>The Repsol headquarters yesterday in Madrid was an internal party. It wasn't the Christmas drink. As EXPANSIÓN has learned, the reason for the celebration was to celebrate....</t>
  </si>
  <si>
    <t>Repsol, Iberdrola, electricity and gas customers</t>
  </si>
  <si>
    <t>Repsol, Iberdrola, clientes de luz y gas</t>
  </si>
  <si>
    <t>Negative, reports on Repsol's customer loss amidst competition.</t>
  </si>
  <si>
    <t>dispara sus clientes</t>
  </si>
  <si>
    <r>
      <rPr>
        <rFont val="Arial, sans-serif"/>
        <color rgb="FF1155CC"/>
        <sz val="9.0"/>
        <u/>
      </rPr>
      <t>Interempresas.net</t>
    </r>
    <r>
      <rPr>
        <rFont val="Arial, sans-serif"/>
        <color rgb="FF1155CC"/>
        <sz val="15.0"/>
        <u/>
      </rPr>
      <t>Repsol, un nuevo modelo de estación de servicio para adaptarse a los retos del futuro</t>
    </r>
    <r>
      <rPr>
        <rFont val="Arial, sans-serif"/>
        <color rgb="FF1155CC"/>
        <sz val="11.0"/>
        <u/>
      </rPr>
      <t>El sector de las estaciones de servicio, tradicionalmente asociado con la venta de carburantes, no ha experimentado grandes cambios en el último siglo.</t>
    </r>
    <r>
      <rPr>
        <rFont val="Arial, sans-serif"/>
        <color rgb="FF1155CC"/>
        <sz val="12.0"/>
        <u/>
      </rPr>
      <t>.</t>
    </r>
    <r>
      <rPr>
        <rFont val="Arial, sans-serif"/>
        <color rgb="FF1155CC"/>
        <sz val="11.0"/>
        <u/>
      </rPr>
      <t>18 dic 2024</t>
    </r>
  </si>
  <si>
    <t>Repsol, un nuevo modelo de estación de servicio para adaptarse a los retos del futuro</t>
  </si>
  <si>
    <t>El sector de las estaciones de servicio, tradicionalmente asociado con la venta de carburantes, no ha experimentado grandes cambios en el último siglo.</t>
  </si>
  <si>
    <t>Repsol, a new service station model to adapt to the challenges of the future</t>
  </si>
  <si>
    <t>The service station sector, traditionally associated with the sale of fuel, has not experienced major changes in the last century.</t>
  </si>
  <si>
    <t>Repsol, service station model, future challenges</t>
  </si>
  <si>
    <t>Repsol, modelo de estación de servicio, retos de futuro</t>
  </si>
  <si>
    <t>Neutral-positive, discusses Repsol's innovative approach to service stations.</t>
  </si>
  <si>
    <t>nuevo modelo</t>
  </si>
  <si>
    <r>
      <rPr>
        <rFont val="Arial, sans-serif"/>
        <color rgb="FF1155CC"/>
        <sz val="9.0"/>
        <u/>
      </rPr>
      <t>El Economista</t>
    </r>
    <r>
      <rPr>
        <rFont val="Arial, sans-serif"/>
        <color rgb="FF1155CC"/>
        <sz val="15.0"/>
        <u/>
      </rPr>
      <t>El fondo de litigios King Street prepara una demanda contra Repsol, Moeve y BP</t>
    </r>
    <r>
      <rPr>
        <rFont val="Arial, sans-serif"/>
        <color rgb="FF1155CC"/>
        <sz val="11.0"/>
        <u/>
      </rPr>
      <t>La batalla entre estaciones de servicio y petroleras se recrudece. La asociación Afectados por las Petroleras junto con el fondo de ...</t>
    </r>
    <r>
      <rPr>
        <rFont val="Arial, sans-serif"/>
        <color rgb="FF1155CC"/>
        <sz val="12.0"/>
        <u/>
      </rPr>
      <t>.</t>
    </r>
    <r>
      <rPr>
        <rFont val="Arial, sans-serif"/>
        <color rgb="FF1155CC"/>
        <sz val="11.0"/>
        <u/>
      </rPr>
      <t>18 dic 2024</t>
    </r>
  </si>
  <si>
    <t>El fondo de litigios King Street prepara una demanda contra Repsol, Moeve y BP</t>
  </si>
  <si>
    <t>La batalla entre estaciones de servicio y petroleras se recrudece. La asociación Afectados por las Petroleras junto con el fondo de ....</t>
  </si>
  <si>
    <t>The King Street litigation fund prepares a lawsuit against Repsol, Moeve and BP</t>
  </si>
  <si>
    <t>The battle between service stations and oil companies intensifies. The association Affected by Oil Companies together with the fund of....</t>
  </si>
  <si>
    <t>Business/Legal</t>
  </si>
  <si>
    <t>King Street litigation fund, lawsuit, Repsol, BP</t>
  </si>
  <si>
    <t>Fondo de litigios King Street, demanda, Repsol, BP</t>
  </si>
  <si>
    <t>Negative, reports on the litigation involving major oil companies.</t>
  </si>
  <si>
    <t>Negative legal threat.</t>
  </si>
  <si>
    <t>Amenaza jurídica negativa.</t>
  </si>
  <si>
    <r>
      <rPr>
        <rFont val="Arial, sans-serif"/>
        <color rgb="FF1155CC"/>
        <sz val="9.0"/>
        <u/>
      </rPr>
      <t>elDiario.es</t>
    </r>
    <r>
      <rPr>
        <rFont val="Arial, sans-serif"/>
        <color rgb="FF1155CC"/>
        <sz val="15.0"/>
        <u/>
      </rPr>
      <t>El Consorcio del Ponfeblino negociará con Repsol, que condiciona su apoyo a cambio de sus parques eólicos</t>
    </r>
    <r>
      <rPr>
        <rFont val="Arial, sans-serif"/>
        <color rgb="FF1155CC"/>
        <sz val="11.0"/>
        <u/>
      </rPr>
      <t>El Consorcio del Tren Turístico Ponfeblino aceptó este miércoles abrir negociaciones con la empresa Repsol para poder colaborar en un futuro.</t>
    </r>
    <r>
      <rPr>
        <rFont val="Arial, sans-serif"/>
        <color rgb="FF1155CC"/>
        <sz val="12.0"/>
        <u/>
      </rPr>
      <t>.</t>
    </r>
    <r>
      <rPr>
        <rFont val="Arial, sans-serif"/>
        <color rgb="FF1155CC"/>
        <sz val="11.0"/>
        <u/>
      </rPr>
      <t>18 dic 2024</t>
    </r>
  </si>
  <si>
    <t>El Consorcio del Ponfeblino negociará con Repsol, que condiciona su apoyo a cambio de sus parques eólicos</t>
  </si>
  <si>
    <t>El Consorcio del Tren Turístico Ponfeblino aceptó este miércoles abrir negociaciones con la empresa Repsol para poder colaborar en un futuro.</t>
  </si>
  <si>
    <t>The Ponfeblino Consortium will negotiate with Repsol, which conditions its support in exchange for its wind farms</t>
  </si>
  <si>
    <t>The Ponfeblino Tourist Train Consortium agreed this Wednesday to open negotiations with the Repsol company to be able to collaborate in the future.</t>
  </si>
  <si>
    <t>Business/Environment</t>
  </si>
  <si>
    <t>Ponfeblino Consortium, Repsol, wind farms, negotiation</t>
  </si>
  <si>
    <t>Consorcio Ponfeblino, Repsol, parques eólicos, negociación</t>
  </si>
  <si>
    <t>Neutral-positive, discusses future collaboration over wind farms.</t>
  </si>
  <si>
    <t>condiciona su apoyo</t>
  </si>
  <si>
    <t>Negative negotiation stance.</t>
  </si>
  <si>
    <t>Postura negociadora negativa.</t>
  </si>
  <si>
    <r>
      <rPr>
        <rFont val="Arial, sans-serif"/>
        <color rgb="FF1155CC"/>
        <sz val="9.0"/>
        <u/>
      </rPr>
      <t>Guía Repsol</t>
    </r>
    <r>
      <rPr>
        <rFont val="Arial, sans-serif"/>
        <color rgb="FF1155CC"/>
        <sz val="15.0"/>
        <u/>
      </rPr>
      <t>Con estos vinos, destilados y cócteles 0,0 no echarás de menos el alcohol</t>
    </r>
    <r>
      <rPr>
        <rFont val="Arial, sans-serif"/>
        <color rgb="FF1155CC"/>
        <sz val="11.0"/>
        <u/>
      </rPr>
      <t>Cada vez son más las bodegas que se han sumado a la tendencia de elaborar productos desalcoholizados, pero cuidadosamente desarrollados.</t>
    </r>
    <r>
      <rPr>
        <rFont val="Arial, sans-serif"/>
        <color rgb="FF1155CC"/>
        <sz val="12.0"/>
        <u/>
      </rPr>
      <t>.</t>
    </r>
    <r>
      <rPr>
        <rFont val="Arial, sans-serif"/>
        <color rgb="FF1155CC"/>
        <sz val="11.0"/>
        <u/>
      </rPr>
      <t>18 dic 2024</t>
    </r>
  </si>
  <si>
    <t>Con estos vinos, destilados y cócteles 0,0 no echarás de menos el alcohol</t>
  </si>
  <si>
    <t>Con estos vinos, destilados y cócteles 0,0 no echarás de menos el alcohol. Cada vez son más las bodegas que se han sumado a la tendencia de elaborar productos desalcoholizados, pero cuidadosamente desarrollados.</t>
  </si>
  <si>
    <t>With these wines, spirits and cocktails 0.0 you won't miss alcohol</t>
  </si>
  <si>
    <t>With these wines, spirits and cocktails 0.0 you won't miss alcohol. More and more wineries have joined the trend of producing alcohol-free, but carefully developed products.</t>
  </si>
  <si>
    <r>
      <rPr>
        <rFont val="Arial, sans-serif"/>
        <color rgb="FF1155CC"/>
        <sz val="9.0"/>
        <u/>
      </rPr>
      <t>Vozpópuli</t>
    </r>
    <r>
      <rPr>
        <rFont val="Arial, sans-serif"/>
        <color rgb="FF1155CC"/>
        <sz val="15.0"/>
        <u/>
      </rPr>
      <t>Zasca a Teresa Ribera en Wall Street: Repsol, ejemplo de transición energética</t>
    </r>
    <r>
      <rPr>
        <rFont val="Arial, sans-serif"/>
        <color rgb="FF1155CC"/>
        <sz val="11.0"/>
        <u/>
      </rPr>
      <t>La agencia Platts, propiedad de S&amp;P, pone como ejemplo la estrategia desplegada por Imaz, a quien la exministra llamó "negacionista"</t>
    </r>
    <r>
      <rPr>
        <rFont val="Arial, sans-serif"/>
        <color rgb="FF1155CC"/>
        <sz val="12.0"/>
        <u/>
      </rPr>
      <t>.</t>
    </r>
    <r>
      <rPr>
        <rFont val="Arial, sans-serif"/>
        <color rgb="FF1155CC"/>
        <sz val="11.0"/>
        <u/>
      </rPr>
      <t>18 dic 2024</t>
    </r>
  </si>
  <si>
    <t>Zasca a Teresa Ribera en Wall Street: Repsol, ejemplo de transición energética</t>
  </si>
  <si>
    <t>La agencia Platts, propiedad de S&amp;P, pone como ejemplo la estrategia desplegada por Imaz, a quien la exministra llamó "negacionista".</t>
  </si>
  <si>
    <t>Zasca to Teresa Ribera on Wall Street: Repsol, an example of energy transition</t>
  </si>
  <si>
    <t>The Platts agency, owned by S&amp;P, gives as an example the strategy deployed by Imaz, whom the former minister called "denialist."</t>
  </si>
  <si>
    <t>Teresa Ribera, Repsol, energy transition, Wall Street</t>
  </si>
  <si>
    <t>Teresa Ribera, Repsol, transición energética, Wall Street</t>
  </si>
  <si>
    <t>Neutral, discusses political commentary and Repsol’s strategy in energy transition.</t>
  </si>
  <si>
    <t>ejemplo de transición energética</t>
  </si>
  <si>
    <t>Strong positive sustainability recognition.</t>
  </si>
  <si>
    <t>Fuerte reconocimiento positivo a la sostenibilidad.</t>
  </si>
  <si>
    <r>
      <rPr>
        <rFont val="Arial, sans-serif"/>
        <color rgb="FF1155CC"/>
        <sz val="9.0"/>
        <u/>
      </rPr>
      <t>Expansión</t>
    </r>
    <r>
      <rPr>
        <rFont val="Arial, sans-serif"/>
        <color rgb="FF1155CC"/>
        <sz val="15.0"/>
        <u/>
      </rPr>
      <t>La Primera de Expansión sobre Repsol, Santander, Navantia, Nissan, Honda, Elon Musk y Microsoft</t>
    </r>
    <r>
      <rPr>
        <rFont val="Arial, sans-serif"/>
        <color rgb="FF1155CC"/>
        <sz val="11.0"/>
        <u/>
      </rPr>
      <t>Este miércoles les contamos que Repsol dispara su número de clientes de luz y gas en plena batalla con Iberdrola. También hablaremos de Santander,...</t>
    </r>
    <r>
      <rPr>
        <rFont val="Arial, sans-serif"/>
        <color rgb="FF1155CC"/>
        <sz val="12.0"/>
        <u/>
      </rPr>
      <t>.</t>
    </r>
    <r>
      <rPr>
        <rFont val="Arial, sans-serif"/>
        <color rgb="FF1155CC"/>
        <sz val="11.0"/>
        <u/>
      </rPr>
      <t>18 dic 2024</t>
    </r>
  </si>
  <si>
    <t>Repsol dispara su número de clientes de luz y gas en plena batalla con Iberdrola.</t>
  </si>
  <si>
    <t>Repsol dispara su número de clientes de luz y gas en plena batalla con Iberdrola. También hablaremos de Santander,....</t>
  </si>
  <si>
    <t>Repsol increases its number of electricity and gas customers in the midst of a battle with Iberdrola.</t>
  </si>
  <si>
    <t>Repsol increases its number of electricity and gas customers in the midst of a battle with Iberdrola. We will also talk about Santander,....</t>
  </si>
  <si>
    <t>Positive, focuses on Repsol’s customer growth amidst competition.</t>
  </si>
  <si>
    <t>dispara su número de clientes</t>
  </si>
  <si>
    <r>
      <rPr>
        <rFont val="Arial, sans-serif"/>
        <color rgb="FF1155CC"/>
        <sz val="9.0"/>
        <u/>
      </rPr>
      <t>Diari de Tarragona</t>
    </r>
    <r>
      <rPr>
        <rFont val="Arial, sans-serif"/>
        <color rgb="FF1155CC"/>
        <sz val="15.0"/>
        <u/>
      </rPr>
      <t>La petroquímica de Tarragona alerta sobre un ‘efecto dominó’ con el ‘impuestazo’</t>
    </r>
    <r>
      <rPr>
        <rFont val="Arial, sans-serif"/>
        <color rgb="FF1155CC"/>
        <sz val="11.0"/>
        <u/>
      </rPr>
      <t>Si una empresa no invierte, por la razón que sea, sufrimos los demás. Si Repsol no invierte, tenemos un problema como sector. Porque no son ellos sol...</t>
    </r>
    <r>
      <rPr>
        <rFont val="Arial, sans-serif"/>
        <color rgb="FF1155CC"/>
        <sz val="12.0"/>
        <u/>
      </rPr>
      <t>.</t>
    </r>
    <r>
      <rPr>
        <rFont val="Arial, sans-serif"/>
        <color rgb="FF1155CC"/>
        <sz val="11.0"/>
        <u/>
      </rPr>
      <t>18 dic 2024</t>
    </r>
  </si>
  <si>
    <t>La petroquímica de Tarragona alerta sobre un ‘efecto dominó’ con el ‘impuestazo’</t>
  </si>
  <si>
    <t>Si una empresa no invierte, por la razón que sea, sufrimos los demás. Si Repsol no invierte, tenemos un problema como sector. Porque no son ellos sol....</t>
  </si>
  <si>
    <t>The Tarragona petrochemical company warns about a 'domino effect' with the 'tax'</t>
  </si>
  <si>
    <t>If a company does not invest, for whatever reason, the rest of us suffer. If Repsol does not invest, we have a problem as a sector. Because they are not the sun...</t>
  </si>
  <si>
    <t>Tarragona, petrochemical company, Repsol, investment</t>
  </si>
  <si>
    <t>Tarragona, petroquímica, Repsol, inversión</t>
  </si>
  <si>
    <t>Negative, warns about a negative impact on the sector from lack of investment.</t>
  </si>
  <si>
    <t>efecto dominó</t>
  </si>
  <si>
    <r>
      <rPr>
        <rFont val="Arial, sans-serif"/>
        <color rgb="FF1155CC"/>
        <sz val="9.0"/>
        <u/>
      </rPr>
      <t>Guía Repsol</t>
    </r>
    <r>
      <rPr>
        <rFont val="Arial, sans-serif"/>
        <color rgb="FF1155CC"/>
        <sz val="15.0"/>
        <u/>
      </rPr>
      <t>Si visitas Villanueva de los Infantes esta navidad, te sentirás en pleno Siglo de Oro</t>
    </r>
    <r>
      <rPr>
        <rFont val="Arial, sans-serif"/>
        <color rgb="FF1155CC"/>
        <sz val="11.0"/>
        <u/>
      </rPr>
      <t>Todavía rezuma aires capitalinos esta joya monumental del Campo de Montiel, que fue un foco espiritual y literario durante el Siglo de Oro español,...</t>
    </r>
    <r>
      <rPr>
        <rFont val="Arial, sans-serif"/>
        <color rgb="FF1155CC"/>
        <sz val="12.0"/>
        <u/>
      </rPr>
      <t>.</t>
    </r>
    <r>
      <rPr>
        <rFont val="Arial, sans-serif"/>
        <color rgb="FF1155CC"/>
        <sz val="11.0"/>
        <u/>
      </rPr>
      <t>18 dic 2024</t>
    </r>
  </si>
  <si>
    <t>Si visitas Villanueva de los Infantes esta navidad, te sentirás en pleno Siglo de Oro</t>
  </si>
  <si>
    <t>Si visitas Villanueva de los Infantes esta navidad, te sentirás en pleno Siglo de Oro. Todavía rezuma aires capitalinos esta joya monumental del Campo de Montiel, que fue un foco espiritual y literario durante el Siglo de Oro español.</t>
  </si>
  <si>
    <t>If you visit Villanueva de los Infantes this Christmas, you will feel like you are in the Golden Age</t>
  </si>
  <si>
    <t>If you visit Villanueva de los Infantes this Christmas, you will feel like you are in the middle of the Golden Age. This monumental jewel of Campo de Montiel, which was a spiritual and literary focus during the Spanish Golden Age, still exudes the air of the capital.</t>
  </si>
  <si>
    <r>
      <rPr>
        <rFont val="Arial, sans-serif"/>
        <color rgb="FF1155CC"/>
        <sz val="9.0"/>
        <u/>
      </rPr>
      <t>ELTIEMPO.COM</t>
    </r>
    <r>
      <rPr>
        <rFont val="Arial, sans-serif"/>
        <color rgb="FF1155CC"/>
        <sz val="15.0"/>
        <u/>
      </rPr>
      <t>'Queremos seguir sumando a la seguridad energética de Colombia': Andrés Ocampo, CEO de GeoPark</t>
    </r>
    <r>
      <rPr>
        <rFont val="Arial, sans-serif"/>
        <color rgb="FF1155CC"/>
        <sz val="11.0"/>
        <u/>
      </rPr>
      <t>El directivo de GeoPark habló de las motivaciones de la empresa para redoblar su apuesta en el país.</t>
    </r>
    <r>
      <rPr>
        <rFont val="Arial, sans-serif"/>
        <color rgb="FF1155CC"/>
        <sz val="12.0"/>
        <u/>
      </rPr>
      <t>.</t>
    </r>
    <r>
      <rPr>
        <rFont val="Arial, sans-serif"/>
        <color rgb="FF1155CC"/>
        <sz val="11.0"/>
        <u/>
      </rPr>
      <t>18 dic 2024</t>
    </r>
  </si>
  <si>
    <t>'Queremos seguir sumando a la seguridad energética de Colombia': Andrés Ocampo, CEO de GeoPark</t>
  </si>
  <si>
    <t>El directivo de GeoPark habló de las motivaciones de la empresa para redoblar su apuesta en el país.</t>
  </si>
  <si>
    <t>'We want to continue adding to Colombia's energy security': Andrés Ocampo, CEO of GeoPark</t>
  </si>
  <si>
    <t>The GeoPark manager spoke about the company's motivations to redouble its commitment to the country.</t>
  </si>
  <si>
    <r>
      <rPr>
        <rFont val="Arial, sans-serif"/>
        <color rgb="FF1155CC"/>
        <sz val="9.0"/>
        <u/>
      </rPr>
      <t>Guía Repsol</t>
    </r>
    <r>
      <rPr>
        <rFont val="Arial, sans-serif"/>
        <color rgb="FF1155CC"/>
        <sz val="15.0"/>
        <u/>
      </rPr>
      <t>En estas tiendas de Pamplona encontrarás el regalo perfecto para estas Navidades</t>
    </r>
    <r>
      <rPr>
        <rFont val="Arial, sans-serif"/>
        <color rgb="FF1155CC"/>
        <sz val="11.0"/>
        <u/>
      </rPr>
      <t>Sin ideas para los regalos de Navidad? Descubre las mejores tiendas de Pamplona donde encontrarás el regalo perfecto o un capricho para ti.</t>
    </r>
    <r>
      <rPr>
        <rFont val="Arial, sans-serif"/>
        <color rgb="FF1155CC"/>
        <sz val="12.0"/>
        <u/>
      </rPr>
      <t>.</t>
    </r>
    <r>
      <rPr>
        <rFont val="Arial, sans-serif"/>
        <color rgb="FF1155CC"/>
        <sz val="11.0"/>
        <u/>
      </rPr>
      <t>18 dic 2024</t>
    </r>
  </si>
  <si>
    <t>En estas tiendas de Pamplona encontrarás el regalo perfecto para estas Navidades</t>
  </si>
  <si>
    <t>Sin ideas para los regalos de Navidad? Descubre las mejores tiendas de Pamplona donde encontrarás el regalo perfecto o un capricho para ti.</t>
  </si>
  <si>
    <t>In these stores in Pamplona you will find the perfect gift for this Christmas</t>
  </si>
  <si>
    <t>No ideas for Christmas gifts? Discover the best shops in Pamplona where you will find the perfect gift or treat for yourself.</t>
  </si>
  <si>
    <r>
      <rPr>
        <rFont val="Arial, sans-serif"/>
        <color rgb="FF1155CC"/>
        <sz val="9.0"/>
        <u/>
      </rPr>
      <t>Guía Repsol</t>
    </r>
    <r>
      <rPr>
        <rFont val="Arial, sans-serif"/>
        <color rgb="FF1155CC"/>
        <sz val="15.0"/>
        <u/>
      </rPr>
      <t>Estos son los 5 belenes de Sevilla que no puedes perderte esta Navidad</t>
    </r>
    <r>
      <rPr>
        <rFont val="Arial, sans-serif"/>
        <color rgb="FF1155CC"/>
        <sz val="11.0"/>
        <u/>
      </rPr>
      <t>Las calles sevillanas ya están repletas de luces, pero no hay nada más tradicional que recorrer los belenes más bonitos de la ciudad.</t>
    </r>
    <r>
      <rPr>
        <rFont val="Arial, sans-serif"/>
        <color rgb="FF1155CC"/>
        <sz val="12.0"/>
        <u/>
      </rPr>
      <t>.</t>
    </r>
    <r>
      <rPr>
        <rFont val="Arial, sans-serif"/>
        <color rgb="FF1155CC"/>
        <sz val="11.0"/>
        <u/>
      </rPr>
      <t>18 dic 2024</t>
    </r>
  </si>
  <si>
    <t>Estos son los 5 belenes de Sevilla que no puedes perderte esta Navidad</t>
  </si>
  <si>
    <t>Las calles sevillanas ya están repletas de luces, pero no hay nada más tradicional que recorrer los belenes más bonitos de la ciudad.</t>
  </si>
  <si>
    <t>These are the 5 nativity scenes in Seville that you cannot miss this Christmas</t>
  </si>
  <si>
    <t>The streets of Seville are already full of lights, but there is nothing more traditional than visiting the most beautiful nativity scenes in the city.</t>
  </si>
  <si>
    <r>
      <rPr>
        <rFont val="Arial, sans-serif"/>
        <color rgb="FF1155CC"/>
        <sz val="9.0"/>
        <u/>
      </rPr>
      <t>Dircomfidencial</t>
    </r>
    <r>
      <rPr>
        <rFont val="Arial, sans-serif"/>
        <color rgb="FF1155CC"/>
        <sz val="15.0"/>
        <u/>
      </rPr>
      <t>Repsol adjudica su cuenta de medios a Carat</t>
    </r>
    <r>
      <rPr>
        <rFont val="Arial, sans-serif"/>
        <color rgb="FF1155CC"/>
        <sz val="11.0"/>
        <u/>
      </rPr>
      <t>Carat se impone en el concurso de Repsol, en el que se ha enfrentado a otros grandes grupos publicitarios.</t>
    </r>
    <r>
      <rPr>
        <rFont val="Arial, sans-serif"/>
        <color rgb="FF1155CC"/>
        <sz val="12.0"/>
        <u/>
      </rPr>
      <t>.</t>
    </r>
    <r>
      <rPr>
        <rFont val="Arial, sans-serif"/>
        <color rgb="FF1155CC"/>
        <sz val="11.0"/>
        <u/>
      </rPr>
      <t>19 dic 2024</t>
    </r>
  </si>
  <si>
    <t>Repsol adjudica su cuenta de medios a Carat</t>
  </si>
  <si>
    <t>Carat se impone en el concurso de Repsol, en el que se ha enfrentado a otros grandes grupos publicitarios.</t>
  </si>
  <si>
    <t>Repsol awards its media account to Carat</t>
  </si>
  <si>
    <t>Carat wins the Repsol competition, in which it has faced other large advertising groups.</t>
  </si>
  <si>
    <t>Repsol, media account, Carat</t>
  </si>
  <si>
    <t>Repsol, cuenta de medios, Quilate</t>
  </si>
  <si>
    <t>Neutral, a change in Repsol’s media strategy.</t>
  </si>
  <si>
    <r>
      <rPr>
        <rFont val="Arial, sans-serif"/>
        <color rgb="FF1155CC"/>
        <sz val="9.0"/>
        <u/>
      </rPr>
      <t>El Periódico de la Energía</t>
    </r>
    <r>
      <rPr>
        <rFont val="Arial, sans-serif"/>
        <color rgb="FF1155CC"/>
        <sz val="15.0"/>
        <u/>
      </rPr>
      <t>Repsol cierra financiación por 348 millones para impulsar su cartera de proyectos renovables en España</t>
    </r>
    <r>
      <rPr>
        <rFont val="Arial, sans-serif"/>
        <color rgb="FF1155CC"/>
        <sz val="11.0"/>
        <u/>
      </rPr>
      <t>La energética Repsol ha cerrado financiación por 348 millones de euros con un grupo de bancos para el impulso de su cartera de proyectos renovables en...</t>
    </r>
    <r>
      <rPr>
        <rFont val="Arial, sans-serif"/>
        <color rgb="FF1155CC"/>
        <sz val="12.0"/>
        <u/>
      </rPr>
      <t>.</t>
    </r>
    <r>
      <rPr>
        <rFont val="Arial, sans-serif"/>
        <color rgb="FF1155CC"/>
        <sz val="11.0"/>
        <u/>
      </rPr>
      <t>19 dic 2024</t>
    </r>
  </si>
  <si>
    <t>Repsol cierra financiación por 348 millones para impulsar su cartera de proyectos renovables en España</t>
  </si>
  <si>
    <t>La energética Repsol ha cerrado financiación por 348 millones de euros con un grupo de bancos para el impulso de su cartera de proyectos renovables en....</t>
  </si>
  <si>
    <t>Repsol closes financing for 348 million to boost its portfolio of renewable projects in Spain</t>
  </si>
  <si>
    <t>The energy company Repsol has closed financing for 348 million euros with a group of banks to promote its portfolio of renewable projects in...</t>
  </si>
  <si>
    <t>Repsol, financing, renewable projects, Spain</t>
  </si>
  <si>
    <t>Repsol, financiación, proyectos renovables, España</t>
  </si>
  <si>
    <t>Positive, Repsol’s investment in renewable energy.</t>
  </si>
  <si>
    <t>financiación, "proyectos renovables"</t>
  </si>
  <si>
    <t>Strong positive sustainability investment.</t>
  </si>
  <si>
    <t>Fuerte inversión positiva en sostenibilidad.</t>
  </si>
  <si>
    <r>
      <rPr>
        <rFont val="Arial, sans-serif"/>
        <color rgb="FF1155CC"/>
        <sz val="9.0"/>
        <u/>
      </rPr>
      <t>Finanzas.com</t>
    </r>
    <r>
      <rPr>
        <rFont val="Arial, sans-serif"/>
        <color rgb="FF1155CC"/>
        <sz val="15.0"/>
        <u/>
      </rPr>
      <t>Claves para cobrar el dividendo de 0,475€ de Repsol</t>
    </r>
    <r>
      <rPr>
        <rFont val="Arial, sans-serif"/>
        <color rgb="FF1155CC"/>
        <sz val="11.0"/>
        <u/>
      </rPr>
      <t>El 9 de enero será el último día que coticen las acciones de Repsol con derecho al cobro del dividendo de 0475€ por acción que pagará la petrolera el 14 de...</t>
    </r>
    <r>
      <rPr>
        <rFont val="Arial, sans-serif"/>
        <color rgb="FF1155CC"/>
        <sz val="12.0"/>
        <u/>
      </rPr>
      <t>.</t>
    </r>
    <r>
      <rPr>
        <rFont val="Arial, sans-serif"/>
        <color rgb="FF1155CC"/>
        <sz val="11.0"/>
        <u/>
      </rPr>
      <t>19 dic 2024</t>
    </r>
  </si>
  <si>
    <t>Claves para cobrar el dividendo de 0,475€ de Repsol</t>
  </si>
  <si>
    <t>El 9 de enero será el último día que coticen las acciones de Repsol con derecho al cobro del dividendo de 0,475€ por acción que pagará la petrolera el 14 de....</t>
  </si>
  <si>
    <t>Keys to collecting Repsol's €0.475 dividend</t>
  </si>
  <si>
    <t>January 9 will be the last day that Repsol shares are listed with the right to receive the dividend of €0.475 per share that the oil company will pay on January 14....</t>
  </si>
  <si>
    <t>Repsol, dividend, €0.475</t>
  </si>
  <si>
    <t>Repsol, dividendo, 0,475€</t>
  </si>
  <si>
    <t>Positive, details about Repsol’s dividend payout.</t>
  </si>
  <si>
    <t>Neutral-positive shareholder benefit.</t>
  </si>
  <si>
    <t>Beneficio para accionistas neutral-positivo.</t>
  </si>
  <si>
    <r>
      <rPr>
        <rFont val="Arial, sans-serif"/>
        <color rgb="FF1155CC"/>
        <sz val="9.0"/>
        <u/>
      </rPr>
      <t>Europa Press</t>
    </r>
    <r>
      <rPr>
        <rFont val="Arial, sans-serif"/>
        <color rgb="FF1155CC"/>
        <sz val="15.0"/>
        <u/>
      </rPr>
      <t>Repsol se adhiere al Pacto por la IA de la Unión Europea</t>
    </r>
    <r>
      <rPr>
        <rFont val="Arial, sans-serif"/>
        <color rgb="FF1155CC"/>
        <sz val="11.0"/>
        <u/>
      </rPr>
      <t>MADRID 19 Dic. (EUROPA PRESS) -. Repsol se ha adherido al Pacto por la Inteligencia Artificial (IA) de la Unión Europea, comprometiéndose así a continuar...</t>
    </r>
    <r>
      <rPr>
        <rFont val="Arial, sans-serif"/>
        <color rgb="FF1155CC"/>
        <sz val="12.0"/>
        <u/>
      </rPr>
      <t>.</t>
    </r>
    <r>
      <rPr>
        <rFont val="Arial, sans-serif"/>
        <color rgb="FF1155CC"/>
        <sz val="11.0"/>
        <u/>
      </rPr>
      <t>19 dic 2024</t>
    </r>
  </si>
  <si>
    <t>Repsol se adhiere al Pacto por la IA de la Unión Europea</t>
  </si>
  <si>
    <t>Repsol se ha adherido al Pacto por la Inteligencia Artificial (IA) de la Unión Europea, comprometiéndose así a continuar....</t>
  </si>
  <si>
    <t>Repsol joins the European Union's AI Pact</t>
  </si>
  <si>
    <t>Repsol has joined the European Union's Artificial Intelligence (AI) Pact, thus committing to continue...</t>
  </si>
  <si>
    <t>Repsol, EU, AI Pact</t>
  </si>
  <si>
    <t>Repsol, UE, Pacto IA</t>
  </si>
  <si>
    <t>Positive, Repsol's commitment to advancing in AI.</t>
  </si>
  <si>
    <t>Pacto por la IA</t>
  </si>
  <si>
    <t>Positive corporate responsibility.</t>
  </si>
  <si>
    <t>Responsabilidad corporativa positiva.</t>
  </si>
  <si>
    <r>
      <rPr>
        <rFont val="Arial, sans-serif"/>
        <color rgb="FF1155CC"/>
        <sz val="9.0"/>
        <u/>
      </rPr>
      <t>Bolsamania</t>
    </r>
    <r>
      <rPr>
        <rFont val="Arial, sans-serif"/>
        <color rgb="FF1155CC"/>
        <sz val="15.0"/>
        <u/>
      </rPr>
      <t>El Consejo de Repsol aprueba el dividendo a cuenta que la petrolera pagará en enero</t>
    </r>
    <r>
      <rPr>
        <rFont val="Arial, sans-serif"/>
        <color rgb="FF1155CC"/>
        <sz val="11.0"/>
        <u/>
      </rPr>
      <t>El Consejo de Administración de Repsol, en su reunión celebrada este miércoles, ha acordado la aprobación formal del dividendo a cuenta de los resultados...</t>
    </r>
    <r>
      <rPr>
        <rFont val="Arial, sans-serif"/>
        <color rgb="FF1155CC"/>
        <sz val="12.0"/>
        <u/>
      </rPr>
      <t>.</t>
    </r>
    <r>
      <rPr>
        <rFont val="Arial, sans-serif"/>
        <color rgb="FF1155CC"/>
        <sz val="11.0"/>
        <u/>
      </rPr>
      <t>19 dic 2024</t>
    </r>
  </si>
  <si>
    <t>El Consejo de Repsol aprueba el dividendo a cuenta que la petrolera pagará en enero</t>
  </si>
  <si>
    <t>El Consejo de Administración de Repsol, en su reunión celebrada este miércoles, ha acordado la aprobación formal del dividendo a cuenta de los resultados....</t>
  </si>
  <si>
    <t>The Repsol Board approves the interim dividend that the oil company will pay in January</t>
  </si>
  <si>
    <t>The Board of Directors of Repsol, at its meeting held this Wednesday, agreed to formally approve the interim dividend based on results....</t>
  </si>
  <si>
    <t>Repsol, interim dividend, January</t>
  </si>
  <si>
    <t>Repsol, dividendo a cuenta, enero</t>
  </si>
  <si>
    <t>Positive, focuses on Repsol’s board decisions regarding dividends.</t>
  </si>
  <si>
    <r>
      <rPr>
        <rFont val="Arial, sans-serif"/>
        <color rgb="FF1155CC"/>
        <sz val="9.0"/>
        <u/>
      </rPr>
      <t>Estrategias de Inversión</t>
    </r>
    <r>
      <rPr>
        <rFont val="Arial, sans-serif"/>
        <color rgb="FF1155CC"/>
        <sz val="15.0"/>
        <u/>
      </rPr>
      <t>La petrolera Repsol pagará un dividendo de 0,475 euros por acción el 14 de enero</t>
    </r>
    <r>
      <rPr>
        <rFont val="Arial, sans-serif"/>
        <color rgb="FF1155CC"/>
        <sz val="11.0"/>
        <u/>
      </rPr>
      <t>Repsol informa que el próximo 14 de enero repartirá un dividendo de 0475 euros por acción, un 18,7% superior al del año pasado. Conoce todos los detalles...</t>
    </r>
    <r>
      <rPr>
        <rFont val="Arial, sans-serif"/>
        <color rgb="FF1155CC"/>
        <sz val="12.0"/>
        <u/>
      </rPr>
      <t>.</t>
    </r>
    <r>
      <rPr>
        <rFont val="Arial, sans-serif"/>
        <color rgb="FF1155CC"/>
        <sz val="11.0"/>
        <u/>
      </rPr>
      <t>19 dic 2024</t>
    </r>
  </si>
  <si>
    <t>La petrolera Repsol pagará un dividendo de 0,475 euros por acción el 14 de enero</t>
  </si>
  <si>
    <t>Repsol informa que el próximo 14 de enero repartirá un dividendo de 0,475 euros por acción, un 18,7% superior al del año pasado. Conoce todos los detalles....</t>
  </si>
  <si>
    <t>The oil company Repsol will pay a dividend of 0.475 euros per share on January 14</t>
  </si>
  <si>
    <t>Repsol reports that on January 14 it will distribute a dividend of 0.475 euros per share, 18.7% higher than last year. Know all the details....</t>
  </si>
  <si>
    <t>Positive, details on Repsol's higher dividend.</t>
  </si>
  <si>
    <r>
      <rPr>
        <rFont val="Arial, sans-serif"/>
        <color rgb="FF1155CC"/>
        <sz val="9.0"/>
        <u/>
      </rPr>
      <t>Kippel01</t>
    </r>
    <r>
      <rPr>
        <rFont val="Arial, sans-serif"/>
        <color rgb="FF1155CC"/>
        <sz val="15.0"/>
        <u/>
      </rPr>
      <t>Repsol incrementa un 18,7% su dividendo respecto al año anterior</t>
    </r>
    <r>
      <rPr>
        <rFont val="Arial, sans-serif"/>
        <color rgb="FF1155CC"/>
        <sz val="11.0"/>
        <u/>
      </rPr>
      <t>Repsol incrementará su dividendo a 0,475 euros por acción en enero de 2025, lo que supone un aumento del 18,7% respecto al año anterior. Redacción Kippel01.</t>
    </r>
    <r>
      <rPr>
        <rFont val="Arial, sans-serif"/>
        <color rgb="FF1155CC"/>
        <sz val="12.0"/>
        <u/>
      </rPr>
      <t>.</t>
    </r>
    <r>
      <rPr>
        <rFont val="Arial, sans-serif"/>
        <color rgb="FF1155CC"/>
        <sz val="11.0"/>
        <u/>
      </rPr>
      <t>19 dic 2024</t>
    </r>
  </si>
  <si>
    <t>Kippel01</t>
  </si>
  <si>
    <t>Repsol incrementa un 18,7% su dividendo respecto al año anterior</t>
  </si>
  <si>
    <t>Repsol incrementará su dividendo a 0,475 euros por acción en enero de 2025, lo que supone un aumento del 18,7% respecto al año anterior.</t>
  </si>
  <si>
    <t>Repsol increases its dividend by 18.7% compared to the previous year</t>
  </si>
  <si>
    <t>Repsol will increase its dividend to 0.475 euros per share in January 2025, which represents an increase of 18.7% compared to the previous year.</t>
  </si>
  <si>
    <t>Repsol, dividend, 18.7% increase</t>
  </si>
  <si>
    <t>Repsol, dividendo, aumento del 18,7%</t>
  </si>
  <si>
    <t>Positive, highlights Repsol’s increased dividend payout.</t>
  </si>
  <si>
    <t>incrementa dividendo</t>
  </si>
  <si>
    <t>Positive shareholder benefit.</t>
  </si>
  <si>
    <t>Beneficio positivo para los accionistas.</t>
  </si>
  <si>
    <r>
      <rPr>
        <rFont val="Arial, sans-serif"/>
        <color rgb="FF1155CC"/>
        <sz val="9.0"/>
        <u/>
      </rPr>
      <t>Diari de Tarragona</t>
    </r>
    <r>
      <rPr>
        <rFont val="Arial, sans-serif"/>
        <color rgb="FF1155CC"/>
        <sz val="15.0"/>
        <u/>
      </rPr>
      <t>El Nàstic de Tarragona y Repsol extienden su acuerdo de colaboración</t>
    </r>
    <r>
      <rPr>
        <rFont val="Arial, sans-serif"/>
        <color rgb="FF1155CC"/>
        <sz val="11.0"/>
        <u/>
      </rPr>
      <t>Repsol y el Nàstic de Tarragona anunciaron la renovación de su convenio de colaboración por otras dos temporadas, alargando una relación que supera la...</t>
    </r>
    <r>
      <rPr>
        <rFont val="Arial, sans-serif"/>
        <color rgb="FF1155CC"/>
        <sz val="12.0"/>
        <u/>
      </rPr>
      <t>.</t>
    </r>
    <r>
      <rPr>
        <rFont val="Arial, sans-serif"/>
        <color rgb="FF1155CC"/>
        <sz val="11.0"/>
        <u/>
      </rPr>
      <t>19 dic 2024</t>
    </r>
  </si>
  <si>
    <t>El Nàstic de Tarragona y Repsol extienden su acuerdo de colaboración</t>
  </si>
  <si>
    <t>Repsol y el Nàstic de Tarragona anunciaron la renovación de su convenio de colaboración por otras dos temporadas, alargando una relación que supera la....</t>
  </si>
  <si>
    <t>Nàstic de Tarragona and Repsol extend their collaboration agreement</t>
  </si>
  <si>
    <t>Repsol and Nàstic de Tarragona announced the renewal of their collaboration agreement for another two seasons, extending a relationship that exceeds...</t>
  </si>
  <si>
    <r>
      <rPr>
        <rFont val="Arial, sans-serif"/>
        <color rgb="FF1155CC"/>
        <sz val="9.0"/>
        <u/>
      </rPr>
      <t>elDiario.es</t>
    </r>
    <r>
      <rPr>
        <rFont val="Arial, sans-serif"/>
        <color rgb="FF1155CC"/>
        <sz val="15.0"/>
        <u/>
      </rPr>
      <t>La Junta no acepta que Repsol condicione inversiones como el Ponfeblino a que el Gobierno le apruebe tres parques eólicos</t>
    </r>
    <r>
      <rPr>
        <rFont val="Arial, sans-serif"/>
        <color rgb="FF1155CC"/>
        <sz val="11.0"/>
        <u/>
      </rPr>
      <t>El presidente de la Diputación y lider del PSOE comarcal de El Bierzo también pide que los proyectos energéticos tengan un "equilibrio" entre la...</t>
    </r>
    <r>
      <rPr>
        <rFont val="Arial, sans-serif"/>
        <color rgb="FF1155CC"/>
        <sz val="12.0"/>
        <u/>
      </rPr>
      <t>.</t>
    </r>
    <r>
      <rPr>
        <rFont val="Arial, sans-serif"/>
        <color rgb="FF1155CC"/>
        <sz val="11.0"/>
        <u/>
      </rPr>
      <t>19 dic 2024</t>
    </r>
  </si>
  <si>
    <t>La Junta no acepta que Repsol condicione inversiones como el Ponfeblino a que el Gobierno le apruebe tres parques eólicos</t>
  </si>
  <si>
    <t>La Junta no acepta que Repsol condicione inversiones como el Ponfeblino a que el Gobierno le apruebe tres parques eólicos.</t>
  </si>
  <si>
    <t>The Board does not accept that Repsol makes investments like Ponfeblino conditional on the Government approving three wind farms</t>
  </si>
  <si>
    <t>The Board does not accept that Repsol makes investments like Ponfeblino conditional on the Government approving three wind farms.</t>
  </si>
  <si>
    <t>Repsol, Ponfeblino, wind farms</t>
  </si>
  <si>
    <t>Repsol, Ponfeblino, parques eólicos</t>
  </si>
  <si>
    <t>Negative, discusses Repsol’s conditions for investment.</t>
  </si>
  <si>
    <t>no acepta, "condicione"</t>
  </si>
  <si>
    <t>Negative political tension.</t>
  </si>
  <si>
    <t>Tensión política negativa.</t>
  </si>
  <si>
    <r>
      <rPr>
        <rFont val="Arial, sans-serif"/>
        <color rgb="FF1155CC"/>
        <sz val="9.0"/>
        <u/>
      </rPr>
      <t>www.posventa.info</t>
    </r>
    <r>
      <rPr>
        <rFont val="Arial, sans-serif"/>
        <color rgb="FF1155CC"/>
        <sz val="15.0"/>
        <u/>
      </rPr>
      <t>Faconauto colabora con Repsol para apoyar a los damnificados por la DANA</t>
    </r>
    <r>
      <rPr>
        <rFont val="Arial, sans-serif"/>
        <color rgb="FF1155CC"/>
        <sz val="11.0"/>
        <u/>
      </rPr>
      <t>Faconauto, la patronal que agrupa a más de 2.000 concesionarios en toda España, se ha unido a Repsol en una iniciativa para apoyar a las personas afectadas...</t>
    </r>
    <r>
      <rPr>
        <rFont val="Arial, sans-serif"/>
        <color rgb="FF1155CC"/>
        <sz val="12.0"/>
        <u/>
      </rPr>
      <t>.</t>
    </r>
    <r>
      <rPr>
        <rFont val="Arial, sans-serif"/>
        <color rgb="FF1155CC"/>
        <sz val="11.0"/>
        <u/>
      </rPr>
      <t>19 dic 2024</t>
    </r>
  </si>
  <si>
    <t>www.posventa.info</t>
  </si>
  <si>
    <t>Faconauto colabora con Repsol para apoyar a los damnificados por la DANA</t>
  </si>
  <si>
    <t>Faconauto, la patronal que agrupa a más de 2.000 concesionarios en toda España, se ha unido a Repsol en una iniciativa para apoyar a las personas afectadas.</t>
  </si>
  <si>
    <t>Faconauto collaborates with Repsol to support those affected by DANA</t>
  </si>
  <si>
    <t>Faconauto, the employer's association that brings together more than 2,000 dealers throughout Spain, has joined Repsol in an initiative to support affected people.</t>
  </si>
  <si>
    <t>Faconauto, Repsol, DANA, support</t>
  </si>
  <si>
    <t>Faconauto, Repsol, DANA, soporte</t>
  </si>
  <si>
    <t>Positive, highlights collaboration for a humanitarian cause.</t>
  </si>
  <si>
    <t>colabora, "apoyar"</t>
  </si>
  <si>
    <r>
      <rPr>
        <rFont val="Arial, sans-serif"/>
        <color rgb="FF1155CC"/>
        <sz val="9.0"/>
        <u/>
      </rPr>
      <t>La Razón</t>
    </r>
    <r>
      <rPr>
        <rFont val="Arial, sans-serif"/>
        <color rgb="FF1155CC"/>
        <sz val="15.0"/>
        <u/>
      </rPr>
      <t>Repsol repartirá el próximo 14 de enero un dividendo de 0,475 euros por acción</t>
    </r>
    <r>
      <rPr>
        <rFont val="Arial, sans-serif"/>
        <color rgb="FF1155CC"/>
        <sz val="11.0"/>
        <u/>
      </rPr>
      <t>Repsol pagará el próximo mes de enero un dividendo de 0,025 euros por acción a cuenta de los resultados que obtenga en 2024, según ha comunicado este jueves...</t>
    </r>
    <r>
      <rPr>
        <rFont val="Arial, sans-serif"/>
        <color rgb="FF1155CC"/>
        <sz val="12.0"/>
        <u/>
      </rPr>
      <t>.</t>
    </r>
    <r>
      <rPr>
        <rFont val="Arial, sans-serif"/>
        <color rgb="FF1155CC"/>
        <sz val="11.0"/>
        <u/>
      </rPr>
      <t>19 dic 2024</t>
    </r>
  </si>
  <si>
    <t>Repsol repartirá el próximo 14 de enero un dividendo de 0,475 euros por acción</t>
  </si>
  <si>
    <t>Repsol pagará el próximo mes de enero un dividendo de 0,025 euros por acción a cuenta de los resultados que obtenga en 2024, según ha comunicado este jueves.</t>
  </si>
  <si>
    <t>Repsol will distribute a dividend of 0.475 euros per share on January 14</t>
  </si>
  <si>
    <t>Repsol will pay a dividend of 0.025 euros per share next January based on the results it obtains in 2024, as announced this Thursday.</t>
  </si>
  <si>
    <t>Repsol, dividend, January 14</t>
  </si>
  <si>
    <t>Repsol, dividendo, 14 de enero</t>
  </si>
  <si>
    <t>Positive, confirms dividend payment details.</t>
  </si>
  <si>
    <r>
      <rPr>
        <rFont val="Arial, sans-serif"/>
        <color rgb="FF1155CC"/>
        <sz val="9.0"/>
        <u/>
      </rPr>
      <t>Guía Repsol</t>
    </r>
    <r>
      <rPr>
        <rFont val="Arial, sans-serif"/>
        <color rgb="FF1155CC"/>
        <sz val="15.0"/>
        <u/>
      </rPr>
      <t>Casa Bernardi a habierto su propia panadería y no podrás evitar llevarte todo</t>
    </r>
    <r>
      <rPr>
        <rFont val="Arial, sans-serif"/>
        <color rgb="FF1155CC"/>
        <sz val="11.0"/>
        <u/>
      </rPr>
      <t>'Casa Bernardi' (1 Sol Guía Repsol) ha abierto su propia panadería, adyacente al restaurante, en la que no solamente elaboran panes para acompañar a los...</t>
    </r>
    <r>
      <rPr>
        <rFont val="Arial, sans-serif"/>
        <color rgb="FF1155CC"/>
        <sz val="12.0"/>
        <u/>
      </rPr>
      <t>.</t>
    </r>
    <r>
      <rPr>
        <rFont val="Arial, sans-serif"/>
        <color rgb="FF1155CC"/>
        <sz val="11.0"/>
        <u/>
      </rPr>
      <t>19 dic 2024</t>
    </r>
  </si>
  <si>
    <t>Casa Bernardi ha abierto su propia panadería y no podrás evitar llevarte todo</t>
  </si>
  <si>
    <t>Casa Bernardi ha abierto su propia panadería, adyacente al restaurante, en la que no solamente elaboran panes para acompañar a los....</t>
  </si>
  <si>
    <t>Casa Bernardi has opened its own bakery and you won't be able to avoid taking everything</t>
  </si>
  <si>
    <t>Casa Bernardi has opened its own bakery, adjacent to the restaurant, where they not only make breads to accompany the...</t>
  </si>
  <si>
    <r>
      <rPr>
        <rFont val="Arial, sans-serif"/>
        <color rgb="FF1155CC"/>
        <sz val="9.0"/>
        <u/>
      </rPr>
      <t>Anuncios.com</t>
    </r>
    <r>
      <rPr>
        <rFont val="Arial, sans-serif"/>
        <color rgb="FF1155CC"/>
        <sz val="15.0"/>
        <u/>
      </rPr>
      <t>Carat gana Repsol</t>
    </r>
    <r>
      <rPr>
        <rFont val="Arial, sans-serif"/>
        <color rgb="FF1155CC"/>
        <sz val="11.0"/>
        <u/>
      </rPr>
      <t>Tras un concurso que se ha desarrollado en los últimos meses, Carat se ha convertido en la nueva agencia de medios de Repsol, tras imponerse al resto de las...</t>
    </r>
    <r>
      <rPr>
        <rFont val="Arial, sans-serif"/>
        <color rgb="FF1155CC"/>
        <sz val="12.0"/>
        <u/>
      </rPr>
      <t>.</t>
    </r>
    <r>
      <rPr>
        <rFont val="Arial, sans-serif"/>
        <color rgb="FF1155CC"/>
        <sz val="11.0"/>
        <u/>
      </rPr>
      <t>19 dic 2024</t>
    </r>
  </si>
  <si>
    <t>Anuncios.com</t>
  </si>
  <si>
    <t>Carat gana Repsol</t>
  </si>
  <si>
    <t>Tras un concurso que se ha desarrollado en los últimos meses, Carat se ha convertido en la nueva agencia de medios de Repsol, tras imponerse al resto de las....</t>
  </si>
  <si>
    <t>Carat wins Repsol</t>
  </si>
  <si>
    <t>After a contest that has been held in recent months, Carat has become Repsol's new media agency, after beating the rest of the...</t>
  </si>
  <si>
    <t>Carat, Repsol, media agency</t>
  </si>
  <si>
    <t>Carat, Repsol, agencia de medios</t>
  </si>
  <si>
    <t>Neutral, reports Carat’s victory in the media agency competition.</t>
  </si>
  <si>
    <r>
      <rPr>
        <rFont val="Arial, sans-serif"/>
        <color rgb="FF1155CC"/>
        <sz val="9.0"/>
        <u/>
      </rPr>
      <t>Global Energy</t>
    </r>
    <r>
      <rPr>
        <rFont val="Arial, sans-serif"/>
        <color rgb="FF1155CC"/>
        <sz val="15.0"/>
        <u/>
      </rPr>
      <t>Repsol asegura 348 mde para proyectos renovables en España</t>
    </r>
    <r>
      <rPr>
        <rFont val="Arial, sans-serif"/>
        <color rgb="FF1155CC"/>
        <sz val="11.0"/>
        <u/>
      </rPr>
      <t>Repsol ha concretado una financiación de 348 millones de euros con un grupo de bancos para fortalecer su cartera de proyectos renovables en España.</t>
    </r>
    <r>
      <rPr>
        <rFont val="Arial, sans-serif"/>
        <color rgb="FF1155CC"/>
        <sz val="12.0"/>
        <u/>
      </rPr>
      <t>.</t>
    </r>
    <r>
      <rPr>
        <rFont val="Arial, sans-serif"/>
        <color rgb="FF1155CC"/>
        <sz val="11.0"/>
        <u/>
      </rPr>
      <t>19 dic 2024</t>
    </r>
  </si>
  <si>
    <t>Repsol asegura 348 mde para proyectos renovables en España</t>
  </si>
  <si>
    <t>Repsol ha concretado una financiación de 348 millones de euros con un grupo de bancos para fortalecer su cartera de proyectos renovables en España.</t>
  </si>
  <si>
    <t>Repsol secures 348 million euros for renewable projects in Spain</t>
  </si>
  <si>
    <t>Repsol has secured financing of 348 million euros with a group of banks to strengthen its portfolio of renewable projects in Spain.</t>
  </si>
  <si>
    <t>Repsol, 348 million euros, renewable projects</t>
  </si>
  <si>
    <t>Repsol, 348 millones de euros, proyectos renovables</t>
  </si>
  <si>
    <t>Positive, discusses Repsol’s financing for renewable projects.</t>
  </si>
  <si>
    <t>proyectos renovables</t>
  </si>
  <si>
    <r>
      <rPr>
        <rFont val="Arial, sans-serif"/>
        <color rgb="FF1155CC"/>
        <sz val="9.0"/>
        <u/>
      </rPr>
      <t>Gimnàstic de Tarragona</t>
    </r>
    <r>
      <rPr>
        <rFont val="Arial, sans-serif"/>
        <color rgb="FF1155CC"/>
        <sz val="15.0"/>
        <u/>
      </rPr>
      <t>Repsol y Nàstic, más de una década compartiendo sinergias</t>
    </r>
    <r>
      <rPr>
        <rFont val="Arial, sans-serif"/>
        <color rgb="FF1155CC"/>
        <sz val="11.0"/>
        <u/>
      </rPr>
      <t>Repsol y el Gimnàstic de Tarragona han anunciado hoy la renovación de su convenio de colaboración por otras dos temporadas, alargando una relación que...</t>
    </r>
    <r>
      <rPr>
        <rFont val="Arial, sans-serif"/>
        <color rgb="FF1155CC"/>
        <sz val="12.0"/>
        <u/>
      </rPr>
      <t>.</t>
    </r>
    <r>
      <rPr>
        <rFont val="Arial, sans-serif"/>
        <color rgb="FF1155CC"/>
        <sz val="11.0"/>
        <u/>
      </rPr>
      <t>19 dic 2024</t>
    </r>
  </si>
  <si>
    <t>Gimnàstic de Tarragona</t>
  </si>
  <si>
    <t>Repsol y Nàstic, más de una década compartiendo sinergias</t>
  </si>
  <si>
    <t>Repsol y el Gimnàstic de Tarragona han anunciado hoy la renovación de su convenio de colaboración por otras dos temporadas, alargando una relación que....</t>
  </si>
  <si>
    <t>Repsol and Nàstic, more than a decade sharing synergies</t>
  </si>
  <si>
    <t>Repsol and Gimnàstic de Tarragona have announced today the renewal of their collaboration agreement for another two seasons, extending a relationship that...</t>
  </si>
  <si>
    <r>
      <rPr>
        <rFont val="Arial, sans-serif"/>
        <color rgb="FF1155CC"/>
        <sz val="9.0"/>
        <u/>
      </rPr>
      <t>Bembibre Digital</t>
    </r>
    <r>
      <rPr>
        <rFont val="Arial, sans-serif"/>
        <color rgb="FF1155CC"/>
        <sz val="15.0"/>
        <u/>
      </rPr>
      <t>UPL-Bierzo muestra su rechazo a los parques eólicos que proyecta Repsol en la sierra de Gistredo y el Alto</t>
    </r>
    <r>
      <rPr>
        <rFont val="Arial, sans-serif"/>
        <color rgb="FF1155CC"/>
        <sz val="11.0"/>
        <u/>
      </rPr>
      <t>UPL-Bierzo muestra su rechazo ante los proyectos eólicos 'Alto Bierzo-Sil', 'El Páramo' y 'Ampliación El Páramo', con un total de 43 aerogeneradores,</t>
    </r>
    <r>
      <rPr>
        <rFont val="Arial, sans-serif"/>
        <color rgb="FF1155CC"/>
        <sz val="12.0"/>
        <u/>
      </rPr>
      <t>.</t>
    </r>
    <r>
      <rPr>
        <rFont val="Arial, sans-serif"/>
        <color rgb="FF1155CC"/>
        <sz val="11.0"/>
        <u/>
      </rPr>
      <t>19 dic 2024</t>
    </r>
  </si>
  <si>
    <t>UPL-Bierzo muestra su rechazo a los parques eólicos que proyecta Repsol en la sierra de Gistredo y el Alto</t>
  </si>
  <si>
    <t>UPL-Bierzo muestra su rechazo ante los proyectos eólicos 'Alto Bierzo-Sil', 'El Páramo' y 'Ampliación El Páramo', con un total de 43 aerogeneradores.</t>
  </si>
  <si>
    <t>UPL-Bierzo shows its rejection of the wind farms planned by Repsol in the Gistredo and Alto mountains</t>
  </si>
  <si>
    <t>UPL-Bierzo shows its rejection of the wind projects 'Alto Bierzo-Sil', 'El Páramo' and 'Ampliación El Páramo', with a total of 43 wind turbines.</t>
  </si>
  <si>
    <t>UPL-Bierzo, Repsol, wind farms, rejection</t>
  </si>
  <si>
    <t>UPL-Bierzo, Repsol, parques eólicos, rechazo</t>
  </si>
  <si>
    <t>Negative, expresses opposition to Repsol’s wind projects.</t>
  </si>
  <si>
    <t>rechazo</t>
  </si>
  <si>
    <t>Negative environmental opposition.</t>
  </si>
  <si>
    <t>Oposición ambiental negativa.</t>
  </si>
  <si>
    <r>
      <rPr>
        <rFont val="Arial, sans-serif"/>
        <color rgb="FF1155CC"/>
        <sz val="9.0"/>
        <u/>
      </rPr>
      <t>Info Bierzo</t>
    </r>
    <r>
      <rPr>
        <rFont val="Arial, sans-serif"/>
        <color rgb="FF1155CC"/>
        <sz val="15.0"/>
        <u/>
      </rPr>
      <t>La Junta lamenta que Repsol condicione sus inversiones en el Alto Sil a que salga adelante su proyecto eóli...</t>
    </r>
    <r>
      <rPr>
        <rFont val="Arial, sans-serif"/>
        <color rgb="FF1155CC"/>
        <sz val="11.0"/>
        <u/>
      </rPr>
      <t>El portavoz de la Junta, Carlos Fernández Carriedo, lamentó que la empresa multinacional de energía Repsol condicione sus inversiones turísticas en la coma.</t>
    </r>
    <r>
      <rPr>
        <rFont val="Arial, sans-serif"/>
        <color rgb="FF1155CC"/>
        <sz val="12.0"/>
        <u/>
      </rPr>
      <t>.</t>
    </r>
    <r>
      <rPr>
        <rFont val="Arial, sans-serif"/>
        <color rgb="FF1155CC"/>
        <sz val="11.0"/>
        <u/>
      </rPr>
      <t>19 dic 2024</t>
    </r>
  </si>
  <si>
    <t>Repsol condiciona sus inversiones en el Alto Sil a que salga adelante su proyecto eólico.</t>
  </si>
  <si>
    <t>La Junta lamenta que Repsol condicione sus inversiones en el Alto Sil a que salga adelante su proyecto eólico.</t>
  </si>
  <si>
    <t>Repsol conditions its investments in Alto Sil on the success of its wind project.</t>
  </si>
  <si>
    <t>The Board regrets that Repsol conditions its investments in Alto Sil on the success of its wind project.</t>
  </si>
  <si>
    <t>Repsol, Alto Sil, investments, wind project</t>
  </si>
  <si>
    <t>Repsol, Alto Sil, inversiones, proyecto eólico</t>
  </si>
  <si>
    <t>Negative, concerns about conditional investment strategies.</t>
  </si>
  <si>
    <t>condiciona</t>
  </si>
  <si>
    <r>
      <rPr>
        <rFont val="Arial, sans-serif"/>
        <color rgb="FF1155CC"/>
        <sz val="9.0"/>
        <u/>
      </rPr>
      <t>Europa Press</t>
    </r>
    <r>
      <rPr>
        <rFont val="Arial, sans-serif"/>
        <color rgb="FF1155CC"/>
        <sz val="15.0"/>
        <u/>
      </rPr>
      <t>Faconauto colabora con Repsol para apoyar a los damnificados por la DANA con 150 euros en repostaje</t>
    </r>
    <r>
      <rPr>
        <rFont val="Arial, sans-serif"/>
        <color rgb="FF1155CC"/>
        <sz val="11.0"/>
        <u/>
      </rPr>
      <t>La patronal de concesionarios en España Faconauto, ha anunciado este jueves que junto con Repsol ha lanzado...</t>
    </r>
    <r>
      <rPr>
        <rFont val="Arial, sans-serif"/>
        <color rgb="FF1155CC"/>
        <sz val="12.0"/>
        <u/>
      </rPr>
      <t>.</t>
    </r>
    <r>
      <rPr>
        <rFont val="Arial, sans-serif"/>
        <color rgb="FF1155CC"/>
        <sz val="11.0"/>
        <u/>
      </rPr>
      <t>19 dic 2024</t>
    </r>
  </si>
  <si>
    <t>Faconauto colabora con Repsol para apoyar a los damnificados por la DANA con 150 euros en repostaje</t>
  </si>
  <si>
    <t>Faconauto, ha anunciado este jueves que junto con Repsol ha lanzado....</t>
  </si>
  <si>
    <t>Faconauto collaborates with Repsol to support those affected by DANA with 150 euros in refueling</t>
  </si>
  <si>
    <t>Faconauto, announced this Thursday that together with Repsol it has launched....</t>
  </si>
  <si>
    <t>Faconauto, Repsol, DANA, refueling support</t>
  </si>
  <si>
    <t>Faconauto, Repsol, DANA, apoyo al repostaje</t>
  </si>
  <si>
    <t>Positive, focuses on humanitarian collaboration for disaster relief.</t>
  </si>
  <si>
    <r>
      <rPr>
        <rFont val="Arial, sans-serif"/>
        <color rgb="FF1155CC"/>
        <sz val="9.0"/>
        <u/>
      </rPr>
      <t>Bolsamania</t>
    </r>
    <r>
      <rPr>
        <rFont val="Arial, sans-serif"/>
        <color rgb="FF1155CC"/>
        <sz val="15.0"/>
        <u/>
      </rPr>
      <t>Repsol obtiene un préstamo de 348 millones para su cartera de renovables en España</t>
    </r>
    <r>
      <rPr>
        <rFont val="Arial, sans-serif"/>
        <color rgb="FF1155CC"/>
        <sz val="11.0"/>
        <u/>
      </rPr>
      <t>Repsol ha obtenido un préstamo por importe de 348 millones de euros que empleará para potenciar su cartera de proyectos renovables en España,...</t>
    </r>
    <r>
      <rPr>
        <rFont val="Arial, sans-serif"/>
        <color rgb="FF1155CC"/>
        <sz val="12.0"/>
        <u/>
      </rPr>
      <t>.</t>
    </r>
    <r>
      <rPr>
        <rFont val="Arial, sans-serif"/>
        <color rgb="FF1155CC"/>
        <sz val="11.0"/>
        <u/>
      </rPr>
      <t>19 dic 2024</t>
    </r>
  </si>
  <si>
    <t>Repsol obtiene un préstamo de 348 millones para su cartera de renovables en España</t>
  </si>
  <si>
    <t>Repsol ha obtenido un préstamo por importe de 348 millones de euros que empleará para potenciar su cartera de proyectos renovables en España.</t>
  </si>
  <si>
    <t>Repsol obtains a loan of 348 million for its renewable portfolio in Spain</t>
  </si>
  <si>
    <t>Repsol has obtained a loan for the amount of 348 million euros that it will use to boost its portfolio of renewable projects in Spain.</t>
  </si>
  <si>
    <t>Repsol, loan, 348 million, renewable projects, Spain</t>
  </si>
  <si>
    <t>Repsol, préstamo, 348 millones, proyectos renovables, España</t>
  </si>
  <si>
    <t>Positive, shows Repsol’s commitment to renewable energy investment.</t>
  </si>
  <si>
    <t>préstamo, "renovables"</t>
  </si>
  <si>
    <r>
      <rPr>
        <rFont val="Arial, sans-serif"/>
        <color rgb="FF1155CC"/>
        <sz val="9.0"/>
        <u/>
      </rPr>
      <t>Xataka</t>
    </r>
    <r>
      <rPr>
        <rFont val="Arial, sans-serif"/>
        <color rgb="FF1155CC"/>
        <sz val="15.0"/>
        <u/>
      </rPr>
      <t>Se acabó el impuesto a las energéticas: el gravamen se cae en el Congreso por el peso de Repsol y...</t>
    </r>
    <r>
      <rPr>
        <rFont val="Arial, sans-serif"/>
        <color rgb="FF1155CC"/>
        <sz val="11.0"/>
        <u/>
      </rPr>
      <t>El Gobierno había alcanzado un acuerdo para prorrogarlo, pero el PP lo ha tumbado con el apoyo de Junts y el PNV. Repsol había suspendido sus inversiones en...</t>
    </r>
    <r>
      <rPr>
        <rFont val="Arial, sans-serif"/>
        <color rgb="FF1155CC"/>
        <sz val="12.0"/>
        <u/>
      </rPr>
      <t>.</t>
    </r>
    <r>
      <rPr>
        <rFont val="Arial, sans-serif"/>
        <color rgb="FF1155CC"/>
        <sz val="11.0"/>
        <u/>
      </rPr>
      <t>19 dic 2024</t>
    </r>
  </si>
  <si>
    <t>Se acabó el impuesto a las energéticas: el gravamen se cae en el Congreso por el peso de Repsol y...</t>
  </si>
  <si>
    <t>El Gobierno había alcanzado un acuerdo para prorrogarlo, pero el PP lo ha tumbado con el apoyo de Junts y el PNV. Repsol había suspendido sus inversiones en....</t>
  </si>
  <si>
    <t>The tax on energy companies is over: the tax falls in Congress due to the weight of Repsol and...</t>
  </si>
  <si>
    <t>The Government had reached an agreement to extend it, but the PP has overturned it with the support of Junts and the PNV. Repsol had suspended its investments in...</t>
  </si>
  <si>
    <t>Repsol, tax, Congress, energy companies</t>
  </si>
  <si>
    <t>Repsol, impuestos, Congreso, empresas energéticas</t>
  </si>
  <si>
    <t>Negative, talks about the political consequences of tax decisions on Repsol.</t>
  </si>
  <si>
    <t>impuesto, "gravamen"</t>
  </si>
  <si>
    <t>Positive financial relief.</t>
  </si>
  <si>
    <t>Alivio financiero positivo.</t>
  </si>
  <si>
    <r>
      <rPr>
        <rFont val="Arial, sans-serif"/>
        <color rgb="FF1155CC"/>
        <sz val="9.0"/>
        <u/>
      </rPr>
      <t>Diario de Transporte</t>
    </r>
    <r>
      <rPr>
        <rFont val="Arial, sans-serif"/>
        <color rgb="FF1155CC"/>
        <sz val="15.0"/>
        <u/>
      </rPr>
      <t>Faconauto colabora con Repsol para apoyar a los damnificados por la DANA que adquieran un vehículo nuevo o usado</t>
    </r>
    <r>
      <rPr>
        <rFont val="Arial, sans-serif"/>
        <color rgb="FF1155CC"/>
        <sz val="11.0"/>
        <u/>
      </rPr>
      <t>Repsol ofrece un cupón de 150 euros en carburante a quienes se estén viendo obligados a adquirir un vehículo nuevo o de ocasión.</t>
    </r>
    <r>
      <rPr>
        <rFont val="Arial, sans-serif"/>
        <color rgb="FF1155CC"/>
        <sz val="12.0"/>
        <u/>
      </rPr>
      <t>.</t>
    </r>
    <r>
      <rPr>
        <rFont val="Arial, sans-serif"/>
        <color rgb="FF1155CC"/>
        <sz val="11.0"/>
        <u/>
      </rPr>
      <t>19 dic 2024</t>
    </r>
  </si>
  <si>
    <t>Faconauto colabora con Repsol para apoyar a los damnificados por la DANA que adquieran un vehículo nuevo o usado</t>
  </si>
  <si>
    <t>Repsol ofrece un cupón de 150 euros en carburante a quienes se estén viendo obligados a adquirir un vehículo nuevo o de ocasión.</t>
  </si>
  <si>
    <t>Faconauto collaborates with Repsol to support those affected by DANA who purchase a new or used vehicle</t>
  </si>
  <si>
    <t>Repsol offers a coupon of 150 euros in fuel to those who are forced to purchase a new or used vehicle.</t>
  </si>
  <si>
    <t>Faconauto, Repsol, DANA, new vehicle, refueling</t>
  </si>
  <si>
    <t>Faconauto, Repsol, DANA, vehículo nuevo, repostaje</t>
  </si>
  <si>
    <t>Positive, highlights humanitarian efforts to support those affected by DANA.</t>
  </si>
  <si>
    <r>
      <rPr>
        <rFont val="Arial, sans-serif"/>
        <color rgb="FF1155CC"/>
        <sz val="9.0"/>
        <u/>
      </rPr>
      <t>Info Bierzo</t>
    </r>
    <r>
      <rPr>
        <rFont val="Arial, sans-serif"/>
        <color rgb="FF1155CC"/>
        <sz val="15.0"/>
        <u/>
      </rPr>
      <t>Páramo del Sil rechaza tres proyectos eólicos de Repsol que "amenazan directamente" la supervivencia del ur...</t>
    </r>
    <r>
      <rPr>
        <rFont val="Arial, sans-serif"/>
        <color rgb="FF1155CC"/>
        <sz val="11.0"/>
        <u/>
      </rPr>
      <t>Rechazo unánime a los proyectos eólicos “Alto Bierzo-Sil”, “El Páramo” y “ampliación El Páramo”, con un total de 43 aerogeneradores, propuestos por Repsol.</t>
    </r>
    <r>
      <rPr>
        <rFont val="Arial, sans-serif"/>
        <color rgb="FF1155CC"/>
        <sz val="12.0"/>
        <u/>
      </rPr>
      <t>.</t>
    </r>
    <r>
      <rPr>
        <rFont val="Arial, sans-serif"/>
        <color rgb="FF1155CC"/>
        <sz val="11.0"/>
        <u/>
      </rPr>
      <t>19 dic 2024</t>
    </r>
  </si>
  <si>
    <t>Páramo del Sil rechaza tres proyectos eólicos de Repsol que "amenazan directamente" la supervivencia del ur...</t>
  </si>
  <si>
    <t>Rechazo unánime a los proyectos eólicos “Alto Bierzo-Sil”, “El Páramo” y “ampliación El Páramo”, con un total de 43 aerogeneradores, propuestos por Repsol.</t>
  </si>
  <si>
    <t>Páramo del Sil rejects three Repsol wind projects that "directly threaten" the survival of the ur...</t>
  </si>
  <si>
    <t>Unanimous rejection of the “Alto Bierzo-Sil”, “El Páramo” and “El Páramo expansion” wind projects, with a total of 43 wind turbines, proposed by Repsol.</t>
  </si>
  <si>
    <t>Páramo del Sil, Repsol, wind projects, rejection</t>
  </si>
  <si>
    <t>Páramo del Sil, Repsol, proyectos eólicos, rechazo</t>
  </si>
  <si>
    <t>Negative, local opposition to Repsol’s wind energy projects.</t>
  </si>
  <si>
    <t>rechaza, "amenazan"</t>
  </si>
  <si>
    <r>
      <rPr>
        <rFont val="Arial, sans-serif"/>
        <color rgb="FF1155CC"/>
        <sz val="9.0"/>
        <u/>
      </rPr>
      <t>elDiario.es</t>
    </r>
    <r>
      <rPr>
        <rFont val="Arial, sans-serif"/>
        <color rgb="FF1155CC"/>
        <sz val="15.0"/>
        <u/>
      </rPr>
      <t>Ione Belarra llama a Aitor Esteban "diputado de Repsol" después de que el portavoz del PNV acusase a Podemos de estar "a favor de la okupación"</t>
    </r>
    <r>
      <rPr>
        <rFont val="Arial, sans-serif"/>
        <color rgb="FF1155CC"/>
        <sz val="11.0"/>
        <u/>
      </rPr>
      <t>Begoña Gómez ha ido al juzgado por cuarta vez y ha comparecido ante el juez Peinado. La esposa del presidente del Gobierno ha contestado a las preguntas de...</t>
    </r>
    <r>
      <rPr>
        <rFont val="Arial, sans-serif"/>
        <color rgb="FF1155CC"/>
        <sz val="12.0"/>
        <u/>
      </rPr>
      <t>.</t>
    </r>
    <r>
      <rPr>
        <rFont val="Arial, sans-serif"/>
        <color rgb="FF1155CC"/>
        <sz val="11.0"/>
        <u/>
      </rPr>
      <t>19 dic 2024</t>
    </r>
  </si>
  <si>
    <t>Ione Belarra llama a Aitor Esteban "diputado de Repsol" después de que el portavoz del PNV acusase a Podemos de estar "a favor de la okupación"</t>
  </si>
  <si>
    <t>Begoña Gómez ha ido al juzgado por cuarta vez y ha comparecido ante el juez Peinado. La esposa del presidente del Gobierno ha contestado a las preguntas de....</t>
  </si>
  <si>
    <t>Ione Belarra calls Aitor Esteban a "Repsol deputy" after the PNV spokesperson accused Podemos of being "in favor of squatting"</t>
  </si>
  <si>
    <t>Begoña Gómez has gone to court for the fourth time and appeared before Judge Peinado. The wife of the President of the Government has answered the questions of....</t>
  </si>
  <si>
    <r>
      <rPr>
        <rFont val="Arial, sans-serif"/>
        <color rgb="FF1155CC"/>
        <sz val="9.0"/>
        <u/>
      </rPr>
      <t>La Nueva Crónica</t>
    </r>
    <r>
      <rPr>
        <rFont val="Arial, sans-serif"/>
        <color rgb="FF1155CC"/>
        <sz val="15.0"/>
        <u/>
      </rPr>
      <t>El Consorcio del Ponfeblino acepta hablar con Repsol sobre futuras colaboraciones, con la oposición de Páramo del Sil</t>
    </r>
    <r>
      <rPr>
        <rFont val="Arial, sans-serif"/>
        <color rgb="FF1155CC"/>
        <sz val="11.0"/>
        <u/>
      </rPr>
      <t>El Consorcio del tren turístico Ponfeblino aceptó abrir negociaciones con la empresa Repsol para poder colaborar en un futuro. La compañía aportaría dinero...</t>
    </r>
    <r>
      <rPr>
        <rFont val="Arial, sans-serif"/>
        <color rgb="FF1155CC"/>
        <sz val="12.0"/>
        <u/>
      </rPr>
      <t>.</t>
    </r>
    <r>
      <rPr>
        <rFont val="Arial, sans-serif"/>
        <color rgb="FF1155CC"/>
        <sz val="11.0"/>
        <u/>
      </rPr>
      <t>19 dic 2024</t>
    </r>
  </si>
  <si>
    <t>El Consorcio del Ponfeblino acepta hablar con Repsol sobre futuras colaboraciones, con la oposición de Páramo del Sil</t>
  </si>
  <si>
    <t>El Consorcio del tren turístico Ponfeblino aceptó abrir negociaciones con la empresa Repsol para poder colaborar en un futuro. La compañía aportaría dinero....</t>
  </si>
  <si>
    <t>The Ponfeblino Consortium agrees to speak with Repsol about future collaborations, with the opposition of Páramo del Sil</t>
  </si>
  <si>
    <t>The Ponfeblino tourist train Consortium agreed to open negotiations with the Repsol company to be able to collaborate in the future. The company would contribute money...</t>
  </si>
  <si>
    <t>Ponfeblino Consortium, Repsol, collaboration</t>
  </si>
  <si>
    <t>Consorcio Ponfeblino, Repsol, colaboración</t>
  </si>
  <si>
    <t>Neutral, discusses potential future collaboration between Repsol and Ponfeblino.</t>
  </si>
  <si>
    <t>acepta hablar</t>
  </si>
  <si>
    <r>
      <rPr>
        <rFont val="Arial, sans-serif"/>
        <color rgb="FF1155CC"/>
        <sz val="9.0"/>
        <u/>
      </rPr>
      <t>Info Bierzo</t>
    </r>
    <r>
      <rPr>
        <rFont val="Arial, sans-serif"/>
        <color rgb="FF1155CC"/>
        <sz val="15.0"/>
        <u/>
      </rPr>
      <t>Bembibre, Igüeña y Noceda oficializan el apoyo a Repsol en su proyecto eólico y de hidrógeno verde que impu...</t>
    </r>
    <r>
      <rPr>
        <rFont val="Arial, sans-serif"/>
        <color rgb="FF1155CC"/>
        <sz val="11.0"/>
        <u/>
      </rPr>
      <t>Los alcaldes de Igüeña, Antonio Alider Presa, Noceda del Bierzo, Andrés Arias, y Bembibre, Silvia María Cao, han mostrado este lunes su posicionamiento res.</t>
    </r>
    <r>
      <rPr>
        <rFont val="Arial, sans-serif"/>
        <color rgb="FF1155CC"/>
        <sz val="12.0"/>
        <u/>
      </rPr>
      <t>.</t>
    </r>
    <r>
      <rPr>
        <rFont val="Arial, sans-serif"/>
        <color rgb="FF1155CC"/>
        <sz val="11.0"/>
        <u/>
      </rPr>
      <t>19 dic 2024</t>
    </r>
  </si>
  <si>
    <t>Bembibre, Igüeña y Noceda oficializan el apoyo a Repsol en su proyecto eólico y de hidrógeno verde</t>
  </si>
  <si>
    <t>Los alcaldes de Igüeña, Antonio Alider Presa, Noceda del Bierzo, Andrés Arias, y Bembibre, Silvia María Cao, han mostrado este lunes su posicionamiento respecto al proyecto eólico y de hidrógeno verde de Repsol.</t>
  </si>
  <si>
    <t>Bembibre, Igüeña and Noceda make official their support for Repsol in its wind and green hydrogen project</t>
  </si>
  <si>
    <t>The mayors of Igüeña, Antonio Alider Presa, Noceda del Bierzo, Andrés Arias, and Bembibre, Silvia María Cao, have shown this Monday their position regarding Repsol's wind and green hydrogen project.</t>
  </si>
  <si>
    <t>Bembibre, Igüeña, Noceda, Repsol, wind project, green hydrogen</t>
  </si>
  <si>
    <t>Bembibre, Igüeña, Noceda, Repsol, proyecto eólico, hidrógeno verde</t>
  </si>
  <si>
    <t>Positive, shows support for Repsol’s renewable projects from local authorities.</t>
  </si>
  <si>
    <t>apoyo</t>
  </si>
  <si>
    <t>Positive local support.</t>
  </si>
  <si>
    <t>Apoyo local positivo.</t>
  </si>
  <si>
    <r>
      <rPr>
        <rFont val="Arial, sans-serif"/>
        <color rgb="FF1155CC"/>
        <sz val="9.0"/>
        <u/>
      </rPr>
      <t>Investing.com España</t>
    </r>
    <r>
      <rPr>
        <rFont val="Arial, sans-serif"/>
        <color rgb="FF1155CC"/>
        <sz val="15.0"/>
        <u/>
      </rPr>
      <t>Repsol pagará en enero un dividendo bruto de 0,025 euros por los resultados de 2024 Por EFE</t>
    </r>
    <r>
      <rPr>
        <rFont val="Arial, sans-serif"/>
        <color rgb="FF1155CC"/>
        <sz val="11.0"/>
        <u/>
      </rPr>
      <t>Madrid, 19 dic (.).- Repsol (BME:REP) pagará el próximo mes de enero un dividendo de 0,025 euros por acción a cuenta de los resultados que obtenga en 2024,...</t>
    </r>
    <r>
      <rPr>
        <rFont val="Arial, sans-serif"/>
        <color rgb="FF1155CC"/>
        <sz val="12.0"/>
        <u/>
      </rPr>
      <t>.</t>
    </r>
    <r>
      <rPr>
        <rFont val="Arial, sans-serif"/>
        <color rgb="FF1155CC"/>
        <sz val="11.0"/>
        <u/>
      </rPr>
      <t>19 dic 2024</t>
    </r>
  </si>
  <si>
    <t>Repsol pagará en enero un dividendo bruto de 0,025 euros por los resultados de 2024</t>
  </si>
  <si>
    <t>Repsol pagará el próximo mes de enero un dividendo de 0,025 euros por acción a cuenta de los resultados que obtenga en 2024.</t>
  </si>
  <si>
    <t>Repsol will pay a gross dividend of 0.025 euros in January for 2024 results</t>
  </si>
  <si>
    <t>Next January, Repsol will pay a dividend of 0.025 euros per share based on the results obtained in 2024.</t>
  </si>
  <si>
    <t>Repsol, dividend, January, 2024 results</t>
  </si>
  <si>
    <t>Repsol, dividendo, enero, Resultados 2024</t>
  </si>
  <si>
    <r>
      <rPr>
        <rFont val="Arial, sans-serif"/>
        <color rgb="FF1155CC"/>
        <sz val="9.0"/>
        <u/>
      </rPr>
      <t>El Correo</t>
    </r>
    <r>
      <rPr>
        <rFont val="Arial, sans-serif"/>
        <color rgb="FF1155CC"/>
        <sz val="15.0"/>
        <u/>
      </rPr>
      <t>No hay tregua entre Esteban y Belarra: «Sois los cachorritos de Repsol»</t>
    </r>
    <r>
      <rPr>
        <rFont val="Arial, sans-serif"/>
        <color rgb="FF1155CC"/>
        <sz val="11.0"/>
        <u/>
      </rPr>
      <t>PNV y Podemos no disimulan sus diferencias ideológicas y profundizan en su guerra dialéctica. Si hace una semana Ione Belarra acusó a los jeltzales de ser...</t>
    </r>
    <r>
      <rPr>
        <rFont val="Arial, sans-serif"/>
        <color rgb="FF1155CC"/>
        <sz val="12.0"/>
        <u/>
      </rPr>
      <t>.</t>
    </r>
    <r>
      <rPr>
        <rFont val="Arial, sans-serif"/>
        <color rgb="FF1155CC"/>
        <sz val="11.0"/>
        <u/>
      </rPr>
      <t>19 dic 2024</t>
    </r>
  </si>
  <si>
    <t>No hay tregua entre Esteban y Belarra: «Sois los cachorritos de Repsol»</t>
  </si>
  <si>
    <t>PNV y Podemos no disimulan sus diferencias ideológicas y profundizan en su guerra dialéctica. Si hace una semana Ione Belarra acusó a los jeltzales de ser....</t>
  </si>
  <si>
    <t>There is no truce between Esteban and Belarra: "You are Repsol's puppies"</t>
  </si>
  <si>
    <t>PNV and Podemos do not hide their ideological differences and deepen their dialectical war. If a week ago Ione Belarra accused the Jeltzales of being...</t>
  </si>
  <si>
    <r>
      <rPr>
        <rFont val="Arial, sans-serif"/>
        <color rgb="FF1155CC"/>
        <sz val="9.0"/>
        <u/>
      </rPr>
      <t>Guía Repsol</t>
    </r>
    <r>
      <rPr>
        <rFont val="Arial, sans-serif"/>
        <color rgb="FF1155CC"/>
        <sz val="15.0"/>
        <u/>
      </rPr>
      <t>Dulces de Navidad: Vas a pecar… ¡y lo sabes!</t>
    </r>
    <r>
      <rPr>
        <rFont val="Arial, sans-serif"/>
        <color rgb="FF1155CC"/>
        <sz val="11.0"/>
        <u/>
      </rPr>
      <t>Por muy buenas intenciones que le pongas al arrancar diciembre, sabes que vas a pecar. Aquí te dejamos una selección de dulces de Navidad artesanos para...</t>
    </r>
    <r>
      <rPr>
        <rFont val="Arial, sans-serif"/>
        <color rgb="FF1155CC"/>
        <sz val="12.0"/>
        <u/>
      </rPr>
      <t>.</t>
    </r>
    <r>
      <rPr>
        <rFont val="Arial, sans-serif"/>
        <color rgb="FF1155CC"/>
        <sz val="11.0"/>
        <u/>
      </rPr>
      <t>19 dic 2024</t>
    </r>
  </si>
  <si>
    <t>Dulces de Navidad: Vas a pecar… ¡y lo sabes!</t>
  </si>
  <si>
    <t>Por muy buenas intenciones que le pongas al arrancar diciembre, sabes que vas a pecar. Aquí te dejamos una selección de dulces de Navidad artesanos para....</t>
  </si>
  <si>
    <t>Christmas Candy: You are going to sin… and you know it!</t>
  </si>
  <si>
    <t>No matter how good your intentions are at the start of December, you know you are going to sin. Here we leave you a selection of artisan Christmas sweets for....</t>
  </si>
  <si>
    <r>
      <rPr>
        <rFont val="Arial, sans-serif"/>
        <color rgb="FF1155CC"/>
        <sz val="9.0"/>
        <u/>
      </rPr>
      <t>Info Bierzo</t>
    </r>
    <r>
      <rPr>
        <rFont val="Arial, sans-serif"/>
        <color rgb="FF1155CC"/>
        <sz val="15.0"/>
        <u/>
      </rPr>
      <t>El Consejo Comarcal del Bierzo apuesta por las energías renovables siempre que se proteja el medio ambiente</t>
    </r>
    <r>
      <rPr>
        <rFont val="Arial, sans-serif"/>
        <color rgb="FF1155CC"/>
        <sz val="11.0"/>
        <u/>
      </rPr>
      <t>El presidente del Consejo Comarcal del Bierzo, Olegario Ramón, mostró este martes su opinión respecto a la polémica abierta entre los ayuntamientos de...</t>
    </r>
    <r>
      <rPr>
        <rFont val="Arial, sans-serif"/>
        <color rgb="FF1155CC"/>
        <sz val="12.0"/>
        <u/>
      </rPr>
      <t>.</t>
    </r>
    <r>
      <rPr>
        <rFont val="Arial, sans-serif"/>
        <color rgb="FF1155CC"/>
        <sz val="11.0"/>
        <u/>
      </rPr>
      <t>19 dic 2024</t>
    </r>
  </si>
  <si>
    <t>El Consejo Comarcal del Bierzo apuesta por las energías renovables siempre que se proteja el medio ambiente</t>
  </si>
  <si>
    <t>El presidente del Consejo Comarcal del Bierzo, Olegario Ramón, mostró este martes su opinión respecto a la polémica abierta entre los ayuntamientos de....</t>
  </si>
  <si>
    <t>The Bierzo Regional Council is committed to renewable energies as long as the environment is protected</t>
  </si>
  <si>
    <t>The president of the Bierzo Regional Council, Olegario Ramón, expressed this Tuesday his opinion regarding the open controversy between the town councils of...</t>
  </si>
  <si>
    <t>Environment/Politics</t>
  </si>
  <si>
    <t>Bierzo, renewable energies, environment protection</t>
  </si>
  <si>
    <t>Bierzo, energías renovables, protección del medio ambiente</t>
  </si>
  <si>
    <t>Positive, supports the integration of renewable energy with environmental considerations.</t>
  </si>
  <si>
    <r>
      <rPr>
        <rFont val="Arial, sans-serif"/>
        <color rgb="FF1155CC"/>
        <sz val="9.0"/>
        <u/>
      </rPr>
      <t>El Economista</t>
    </r>
    <r>
      <rPr>
        <rFont val="Arial, sans-serif"/>
        <color rgb="FF1155CC"/>
        <sz val="15.0"/>
        <u/>
      </rPr>
      <t>"La bala mágica": un pódcast sobre la búsqueda de la verdad a ritmo de thriller</t>
    </r>
    <r>
      <rPr>
        <rFont val="Arial, sans-serif"/>
        <color rgb="FF1155CC"/>
        <sz val="11.0"/>
        <u/>
      </rPr>
      <t>El fin de año siempre trae consigo un deseo de cambio. Es el momento de reflexionar, de soltar aquello que ya no aporta y de buscar nuevas oportunidades.</t>
    </r>
    <r>
      <rPr>
        <rFont val="Arial, sans-serif"/>
        <color rgb="FF1155CC"/>
        <sz val="12.0"/>
        <u/>
      </rPr>
      <t>.</t>
    </r>
    <r>
      <rPr>
        <rFont val="Arial, sans-serif"/>
        <color rgb="FF1155CC"/>
        <sz val="11.0"/>
        <u/>
      </rPr>
      <t>19 dic 2024</t>
    </r>
  </si>
  <si>
    <t>"La bala mágica": un pódcast sobre la búsqueda de la verdad a ritmo de thriller</t>
  </si>
  <si>
    <t>El fin de año siempre trae consigo un deseo de cambio. Es el momento de reflexionar, de soltar aquello que ya no aporta y de buscar nuevas oportunidades.</t>
  </si>
  <si>
    <t>The magic bullet: a podcast about the search for the truth at the pace of a thriller</t>
  </si>
  <si>
    <t>The end of the year always brings with it a desire for change. It is time to reflect, to let go of what no longer contributes and to look for new opportunities.</t>
  </si>
  <si>
    <r>
      <rPr>
        <rFont val="Arial, sans-serif"/>
        <color rgb="FF1155CC"/>
        <sz val="9.0"/>
        <u/>
      </rPr>
      <t>Crónica Global</t>
    </r>
    <r>
      <rPr>
        <rFont val="Arial, sans-serif"/>
        <color rgb="FF1155CC"/>
        <sz val="15.0"/>
        <u/>
      </rPr>
      <t>Junts y PP se alían en el Congreso para tumbar el impuesto a las energéticas</t>
    </r>
    <r>
      <rPr>
        <rFont val="Arial, sans-serif"/>
        <color rgb="FF1155CC"/>
        <sz val="11.0"/>
        <u/>
      </rPr>
      <t>La caída del gravamen supone un respiro para las futuras inversiones de Repsol en Tarragona, valoradas en más de 1.000 millones de euros Más información: La...</t>
    </r>
    <r>
      <rPr>
        <rFont val="Arial, sans-serif"/>
        <color rgb="FF1155CC"/>
        <sz val="12.0"/>
        <u/>
      </rPr>
      <t>.</t>
    </r>
    <r>
      <rPr>
        <rFont val="Arial, sans-serif"/>
        <color rgb="FF1155CC"/>
        <sz val="11.0"/>
        <u/>
      </rPr>
      <t>19 dic 2024</t>
    </r>
  </si>
  <si>
    <t>Junts y PP se alían en el Congreso para tumbar el impuesto a las energéticas</t>
  </si>
  <si>
    <t>La caída del gravamen supone un respiro para las futuras inversiones de Repsol en Tarragona, valoradas en más de 1.000 millones de euros Más información: La....</t>
  </si>
  <si>
    <t>Junts and PP join forces in Congress to overthrow the tax on energy companies</t>
  </si>
  <si>
    <t>The fall of the tax represents a respite for Repsol's future investments in Tarragona, valued at more than 1,000 million euros. More information: The...</t>
  </si>
  <si>
    <t>Junts, PP, energy tax, Repsol</t>
  </si>
  <si>
    <t>Junts, PP, impuesto energético, Repsol</t>
  </si>
  <si>
    <t>Negative, discusses the political conflict over energy taxes affecting Repsol.</t>
  </si>
  <si>
    <t>tumbar el impuesto</t>
  </si>
  <si>
    <r>
      <rPr>
        <rFont val="Arial, sans-serif"/>
        <color rgb="FF1155CC"/>
        <sz val="9.0"/>
        <u/>
      </rPr>
      <t>Info Bierzo</t>
    </r>
    <r>
      <rPr>
        <rFont val="Arial, sans-serif"/>
        <color rgb="FF1155CC"/>
        <sz val="15.0"/>
        <u/>
      </rPr>
      <t>El presidente de la Diputación de León pide que los proyectos de energía renovable tengan un "equilibrio" e...</t>
    </r>
    <r>
      <rPr>
        <rFont val="Arial, sans-serif"/>
        <color rgb="FF1155CC"/>
        <sz val="11.0"/>
        <u/>
      </rPr>
      <t>El presidente de la Diputación de León, Gerardo Álvarez Courel, terció este jueves en la polémica abierta entre los municipios de Bembibre, Noceda del Bier.</t>
    </r>
    <r>
      <rPr>
        <rFont val="Arial, sans-serif"/>
        <color rgb="FF1155CC"/>
        <sz val="12.0"/>
        <u/>
      </rPr>
      <t>.</t>
    </r>
    <r>
      <rPr>
        <rFont val="Arial, sans-serif"/>
        <color rgb="FF1155CC"/>
        <sz val="11.0"/>
        <u/>
      </rPr>
      <t>19 dic 2024</t>
    </r>
  </si>
  <si>
    <t>El presidente de la Diputación de León pide que los proyectos de energía renovable tengan un "equilibrio" e...</t>
  </si>
  <si>
    <t>El presidente de la Diputación de León, Gerardo Álvarez Courel, terció este jueves en la polémica abierta entre los municipios de Bembibre, Noceda del Bier..</t>
  </si>
  <si>
    <t>The president of the León Provincial Council asks that renewable energy projects have a "balance" and...</t>
  </si>
  <si>
    <t>The president of the Provincial Council of León, Gerardo Álvarez Courel, intervened this Thursday in the open controversy between the municipalities of Bembibre, Noceda del Bier..</t>
  </si>
  <si>
    <t>León Provincial Council, renewable energy, balance</t>
  </si>
  <si>
    <t>Diputación de León, energías renovables, equilibrio</t>
  </si>
  <si>
    <t>Neutral, emphasizes balance in renewable energy development.</t>
  </si>
  <si>
    <r>
      <rPr>
        <rFont val="Arial, sans-serif"/>
        <color rgb="FF1155CC"/>
        <sz val="9.0"/>
        <u/>
      </rPr>
      <t>PressDigital</t>
    </r>
    <r>
      <rPr>
        <rFont val="Arial, sans-serif"/>
        <color rgb="FF1155CC"/>
        <sz val="15.0"/>
        <u/>
      </rPr>
      <t>Belarra replica a las críticas del portavoz del PNV y le tilda de "diputado de Repsol"</t>
    </r>
    <r>
      <rPr>
        <rFont val="Arial, sans-serif"/>
        <color rgb="FF1155CC"/>
        <sz val="11.0"/>
        <u/>
      </rPr>
      <t>La secretaria general de Podemos, Ione Belarra, ha respondido a las críticas que le ha dirigido el portavoz del PNV, Aitor Esteban, al que ha tildado de...</t>
    </r>
    <r>
      <rPr>
        <rFont val="Arial, sans-serif"/>
        <color rgb="FF1155CC"/>
        <sz val="12.0"/>
        <u/>
      </rPr>
      <t>.</t>
    </r>
    <r>
      <rPr>
        <rFont val="Arial, sans-serif"/>
        <color rgb="FF1155CC"/>
        <sz val="11.0"/>
        <u/>
      </rPr>
      <t>19 dic 2024</t>
    </r>
  </si>
  <si>
    <t>PressDigital</t>
  </si>
  <si>
    <t>Belarra replica a las críticas del portavoz del PNV y le tilda de "diputado de Repsol"</t>
  </si>
  <si>
    <t>La secretaria general de Podemos, Ione Belarra, ha respondido a las críticas que le ha dirigido el portavoz del PNV, Aitor Esteban, al que ha tildado de "diputado de Repsol".</t>
  </si>
  <si>
    <t>Belarra responds to the criticism of the PNV spokesperson and calls him a "Repsol deputy"</t>
  </si>
  <si>
    <t>The general secretary of Podemos, Ione Belarra, has responded to the criticism directed at her by the PNV spokesperson, Aitor Esteban, whom she has called a "Repsol deputy."</t>
  </si>
  <si>
    <r>
      <rPr>
        <rFont val="Arial, sans-serif"/>
        <color rgb="FF1155CC"/>
        <sz val="9.0"/>
        <u/>
      </rPr>
      <t>Diari de Tarragona</t>
    </r>
    <r>
      <rPr>
        <rFont val="Arial, sans-serif"/>
        <color rgb="FF1155CC"/>
        <sz val="15.0"/>
        <u/>
      </rPr>
      <t>El Congreso deroga el gravamen extraordinario a las grandes energéticas</t>
    </r>
    <r>
      <rPr>
        <rFont val="Arial, sans-serif"/>
        <color rgb="FF1155CC"/>
        <sz val="11.0"/>
        <u/>
      </rPr>
      <t>Fin al gravamen extraordinario a grandes energéticas y banca... aunque sin descartar futuros epílogos. El Congreso de los Diputados aprobó hoy el paqu...</t>
    </r>
    <r>
      <rPr>
        <rFont val="Arial, sans-serif"/>
        <color rgb="FF1155CC"/>
        <sz val="12.0"/>
        <u/>
      </rPr>
      <t>.</t>
    </r>
    <r>
      <rPr>
        <rFont val="Arial, sans-serif"/>
        <color rgb="FF1155CC"/>
        <sz val="11.0"/>
        <u/>
      </rPr>
      <t>19 dic 2024</t>
    </r>
  </si>
  <si>
    <t>El Congreso deroga el gravamen extraordinario a las grandes energéticas</t>
  </si>
  <si>
    <t>Fin al gravamen extraordinario a grandes energéticas y banca... aunque sin descartar futuros epílogos. El Congreso de los Diputados aprobó hoy el paqu....</t>
  </si>
  <si>
    <t>Congress repeals the extraordinary tax on large energy companies</t>
  </si>
  <si>
    <t>End to the extraordinary tax on large energy and banking companies... although without ruling out future epilogues. The Congress of Deputies today approved the package....</t>
  </si>
  <si>
    <t>Congress, extraordinary tax, energy companies</t>
  </si>
  <si>
    <t>Congreso, impuesto extraordinario, empresas energéticas</t>
  </si>
  <si>
    <t>Negative, discusses the repeal of the energy tax affecting Repsol.</t>
  </si>
  <si>
    <t>deroga el gravamen</t>
  </si>
  <si>
    <r>
      <rPr>
        <rFont val="Arial, sans-serif"/>
        <color rgb="FF1155CC"/>
        <sz val="9.0"/>
        <u/>
      </rPr>
      <t>ElPlural.com</t>
    </r>
    <r>
      <rPr>
        <rFont val="Arial, sans-serif"/>
        <color rgb="FF1155CC"/>
        <sz val="15.0"/>
        <u/>
      </rPr>
      <t>Belarra y Aitor Esteban cruzan reproches en los pasillos del Congreso y en redes: "Solo les interesa su pulso con Sumar"</t>
    </r>
    <r>
      <rPr>
        <rFont val="Arial, sans-serif"/>
        <color rgb="FF1155CC"/>
        <sz val="11.0"/>
        <u/>
      </rPr>
      <t>La diputada morada y el jeltzale se han enfrentado a colación de diferentes enmiendas parlamentarias.</t>
    </r>
    <r>
      <rPr>
        <rFont val="Arial, sans-serif"/>
        <color rgb="FF1155CC"/>
        <sz val="12.0"/>
        <u/>
      </rPr>
      <t>.</t>
    </r>
    <r>
      <rPr>
        <rFont val="Arial, sans-serif"/>
        <color rgb="FF1155CC"/>
        <sz val="11.0"/>
        <u/>
      </rPr>
      <t>19 dic 2024</t>
    </r>
  </si>
  <si>
    <t>Belarra y Aitor Esteban cruzan reproches en los pasillos del Congreso y en redes: "Solo les interesa su pulso con Sumar"</t>
  </si>
  <si>
    <t>La diputada morada y el jeltzale se han enfrentado a colación de diferentes enmiendas parlamentarias.</t>
  </si>
  <si>
    <t>Belarra and Aitor Esteban exchange reproaches in the halls of Congress and on networks: "They are only interested in their fight with Sumar"</t>
  </si>
  <si>
    <t>The purple deputy and the jeltzale have faced each other over the discussion of different parliamentary amendments.</t>
  </si>
  <si>
    <r>
      <rPr>
        <rFont val="Arial, sans-serif"/>
        <color rgb="FF1155CC"/>
        <sz val="9.0"/>
        <u/>
      </rPr>
      <t>Repsol</t>
    </r>
    <r>
      <rPr>
        <rFont val="Arial, sans-serif"/>
        <color rgb="FF1155CC"/>
        <sz val="15.0"/>
        <u/>
      </rPr>
      <t>Como en Casa</t>
    </r>
    <r>
      <rPr>
        <rFont val="Arial, sans-serif"/>
        <color rgb="FF1155CC"/>
        <sz val="11.0"/>
        <u/>
      </rPr>
      <t>Historias con Toni Acosta y reconocidas personalidades que comparten su visión con el hogar como centro de nuestras vidas.</t>
    </r>
    <r>
      <rPr>
        <rFont val="Arial, sans-serif"/>
        <color rgb="FF1155CC"/>
        <sz val="12.0"/>
        <u/>
      </rPr>
      <t>.</t>
    </r>
    <r>
      <rPr>
        <rFont val="Arial, sans-serif"/>
        <color rgb="FF1155CC"/>
        <sz val="11.0"/>
        <u/>
      </rPr>
      <t>20 dic 2024</t>
    </r>
  </si>
  <si>
    <t>Historias con Toni Acosta y reconocidas personalidades que comparten su visión con el hogar como centro de nuestras vidas.</t>
  </si>
  <si>
    <t>Stories with Toni Acosta and renowned personalities who share their vision with the home as the center of our lives.</t>
  </si>
  <si>
    <r>
      <rPr>
        <rFont val="Arial, sans-serif"/>
        <color rgb="FF1155CC"/>
        <sz val="9.0"/>
        <u/>
      </rPr>
      <t>CEOE</t>
    </r>
    <r>
      <rPr>
        <rFont val="Arial, sans-serif"/>
        <color rgb="FF1155CC"/>
        <sz val="15.0"/>
        <u/>
      </rPr>
      <t>Repsol rehabilita el entorno del pantano de Gaià para fomentar la biodiversidad</t>
    </r>
    <r>
      <rPr>
        <rFont val="Arial, sans-serif"/>
        <color rgb="FF1155CC"/>
        <sz val="11.0"/>
        <u/>
      </rPr>
      <t>Desde 2015, Repsol ha estado llevando a cabo acciones de gestión de la biodiversidad en el área de la que es propietaria en el entorno del pantano de Gaià,...</t>
    </r>
    <r>
      <rPr>
        <rFont val="Arial, sans-serif"/>
        <color rgb="FF1155CC"/>
        <sz val="12.0"/>
        <u/>
      </rPr>
      <t>.</t>
    </r>
    <r>
      <rPr>
        <rFont val="Arial, sans-serif"/>
        <color rgb="FF1155CC"/>
        <sz val="11.0"/>
        <u/>
      </rPr>
      <t>20 dic 2024</t>
    </r>
  </si>
  <si>
    <t>CEOE</t>
  </si>
  <si>
    <t>Repsol rehabilita el entorno del pantano de Gaià para fomentar la biodiversidad</t>
  </si>
  <si>
    <t>Repsol ha estado llevando a cabo acciones de gestión de la biodiversidad en el área de la que es propietaria en el entorno del pantano de Gaià.</t>
  </si>
  <si>
    <t>Repsol rehabilitates the environment of the Gaià reservoir to promote biodiversity</t>
  </si>
  <si>
    <t>Repsol has been carrying out biodiversity management actions in the area it owns around the Gaià reservoir.</t>
  </si>
  <si>
    <t>Repsol, Gaià reservoir, biodiversity</t>
  </si>
  <si>
    <t>Repsol, embalse de Gaià, biodiversidad</t>
  </si>
  <si>
    <t>Positive, highlights Repsol's efforts in environmental conservation.</t>
  </si>
  <si>
    <t>rehabilita, "biodiversidad"</t>
  </si>
  <si>
    <t>Positive environmental effort.</t>
  </si>
  <si>
    <t>Esfuerzo ambiental positivo.</t>
  </si>
  <si>
    <r>
      <rPr>
        <rFont val="Arial, sans-serif"/>
        <color rgb="FF1155CC"/>
        <sz val="9.0"/>
        <u/>
      </rPr>
      <t>CapitalMadrid</t>
    </r>
    <r>
      <rPr>
        <rFont val="Arial, sans-serif"/>
        <color rgb="FF1155CC"/>
        <sz val="15.0"/>
        <u/>
      </rPr>
      <t>Repsol, Iberdrola, Endesa y Naturgy se ahorran 800 millones por la caída del ‘impuestazo’</t>
    </r>
    <r>
      <rPr>
        <rFont val="Arial, sans-serif"/>
        <color rgb="FF1155CC"/>
        <sz val="11.0"/>
        <u/>
      </rPr>
      <t>El Gobierno ha despedido el año parlamentario con uno de los mayores 'revolcones' que se recuerdan. Después de varias semanas de intensas negociaciones con...</t>
    </r>
    <r>
      <rPr>
        <rFont val="Arial, sans-serif"/>
        <color rgb="FF1155CC"/>
        <sz val="12.0"/>
        <u/>
      </rPr>
      <t>.</t>
    </r>
    <r>
      <rPr>
        <rFont val="Arial, sans-serif"/>
        <color rgb="FF1155CC"/>
        <sz val="11.0"/>
        <u/>
      </rPr>
      <t>20 dic 2024</t>
    </r>
  </si>
  <si>
    <t>Repsol, Iberdrola, Endesa y Naturgy se ahorran 800 millones por la caída del ‘impuestazo’</t>
  </si>
  <si>
    <t>Repsol, Iberdrola, Endesa and Naturgy save 800 million due to the fall of the 'tax'</t>
  </si>
  <si>
    <t>Repsol, Iberdrola, tax, savings</t>
  </si>
  <si>
    <t>Repsol, Iberdrola, impuestos, ahorro</t>
  </si>
  <si>
    <t>Positive, financial benefit for Repsol from tax repeal.</t>
  </si>
  <si>
    <t>se ahorran</t>
  </si>
  <si>
    <r>
      <rPr>
        <rFont val="Arial, sans-serif"/>
        <color rgb="FF1155CC"/>
        <sz val="9.0"/>
        <u/>
      </rPr>
      <t>Málaga Hoy</t>
    </r>
    <r>
      <rPr>
        <rFont val="Arial, sans-serif"/>
        <color rgb="FF1155CC"/>
        <sz val="15.0"/>
        <u/>
      </rPr>
      <t>El Gobierno cuestiona la conexión que necesitan las torres de Repsol con la autovía de Málaga</t>
    </r>
    <r>
      <rPr>
        <rFont val="Arial, sans-serif"/>
        <color rgb="FF1155CC"/>
        <sz val="11.0"/>
        <u/>
      </rPr>
      <t>Carreteras asegura que en estos momentos sigue se incumpliendo la normativa y no trabaja en un convenio con el Ayuntamiento a una pregunta de Bosque Urbano.</t>
    </r>
    <r>
      <rPr>
        <rFont val="Arial, sans-serif"/>
        <color rgb="FF1155CC"/>
        <sz val="12.0"/>
        <u/>
      </rPr>
      <t>.</t>
    </r>
    <r>
      <rPr>
        <rFont val="Arial, sans-serif"/>
        <color rgb="FF1155CC"/>
        <sz val="11.0"/>
        <u/>
      </rPr>
      <t>20 dic 2024</t>
    </r>
  </si>
  <si>
    <t>El Gobierno cuestiona la conexión que necesitan las torres de Repsol con la autovía de Málaga</t>
  </si>
  <si>
    <t>Carreteras asegura que en estos momentos sigue se incumpliendo la normativa y no trabaja en un convenio con el Ayuntamiento a una pregunta de Bosque Urbano.</t>
  </si>
  <si>
    <t>The Government questions the connection that the Repsol towers need with the Malaga highway</t>
  </si>
  <si>
    <t>Carreteras assures that at this time the regulations continue to be violated and are not working on an agreement with the City Council in response to a question from Bosque Urbano.</t>
  </si>
  <si>
    <t>Repsol, connection, Malaga highway, government</t>
  </si>
  <si>
    <t>Repsol, conexión, autovía de Málaga, gobierno</t>
  </si>
  <si>
    <t>Negative, government questioning of Repsol's project.</t>
  </si>
  <si>
    <t>cuestiona</t>
  </si>
  <si>
    <t>Negative regulatory tension.</t>
  </si>
  <si>
    <t>Tensión regulatoria negativa.</t>
  </si>
  <si>
    <r>
      <rPr>
        <rFont val="Arial, sans-serif"/>
        <color rgb="FF1155CC"/>
        <sz val="9.0"/>
        <u/>
      </rPr>
      <t>Radio Intereconomía</t>
    </r>
    <r>
      <rPr>
        <rFont val="Arial, sans-serif"/>
        <color rgb="FF1155CC"/>
        <sz val="15.0"/>
        <u/>
      </rPr>
      <t>Repsol: dividendo a cuenta de 0,025 euros</t>
    </r>
    <r>
      <rPr>
        <rFont val="Arial, sans-serif"/>
        <color rgb="FF1155CC"/>
        <sz val="11.0"/>
        <u/>
      </rPr>
      <t>Repsol pagará el próximo mes de enero un dividendo de 0025 euros por acción a cuenta de los resultados que obtenga en 2024.</t>
    </r>
    <r>
      <rPr>
        <rFont val="Arial, sans-serif"/>
        <color rgb="FF1155CC"/>
        <sz val="12.0"/>
        <u/>
      </rPr>
      <t>.</t>
    </r>
    <r>
      <rPr>
        <rFont val="Arial, sans-serif"/>
        <color rgb="FF1155CC"/>
        <sz val="11.0"/>
        <u/>
      </rPr>
      <t>20 dic 2024</t>
    </r>
  </si>
  <si>
    <t>Repsol: dividendo a cuenta de 0,025 euros</t>
  </si>
  <si>
    <t>Repsol: interim dividend of 0.025 euros</t>
  </si>
  <si>
    <t>Repsol, interim dividend, 0.025 euros</t>
  </si>
  <si>
    <t>Repsol, dividendo a cuenta, 0,025 euros</t>
  </si>
  <si>
    <t>Positive, dividend payout for Repsol shareholders.</t>
  </si>
  <si>
    <r>
      <rPr>
        <rFont val="Arial, sans-serif"/>
        <color rgb="FF1155CC"/>
        <sz val="9.0"/>
        <u/>
      </rPr>
      <t>Motor EL PAÍS</t>
    </r>
    <r>
      <rPr>
        <rFont val="Arial, sans-serif"/>
        <color rgb="FF1155CC"/>
        <sz val="15.0"/>
        <u/>
      </rPr>
      <t>Los afectados por la dana podrán disfrutar de hasta 150 euros para repostar: así se consiguen</t>
    </r>
    <r>
      <rPr>
        <rFont val="Arial, sans-serif"/>
        <color rgb="FF1155CC"/>
        <sz val="11.0"/>
        <u/>
      </rPr>
      <t>Repsol y Faconauto repartirán bonos de 150 euros para gastar en los repostajes y recargas de coches de los afectados por la dana.</t>
    </r>
    <r>
      <rPr>
        <rFont val="Arial, sans-serif"/>
        <color rgb="FF1155CC"/>
        <sz val="12.0"/>
        <u/>
      </rPr>
      <t>.</t>
    </r>
    <r>
      <rPr>
        <rFont val="Arial, sans-serif"/>
        <color rgb="FF1155CC"/>
        <sz val="11.0"/>
        <u/>
      </rPr>
      <t>20 dic 2024</t>
    </r>
  </si>
  <si>
    <t>Los afectados por la dana podrán disfrutar de hasta 150 euros para repostar: así se consiguen</t>
  </si>
  <si>
    <t>Repsol y Faconauto repartirán bonos de 150 euros para gastar en los repostajes y recargas de coches de los afectados por la dana.</t>
  </si>
  <si>
    <t>Those affected by the dana will be able to enjoy up to 150 euros to refuel: this is how they are achieved</t>
  </si>
  <si>
    <t>Repsol and Faconauto will distribute bonuses of 150 euros to spend on refueling and recharging cars for those affected by the damage.</t>
  </si>
  <si>
    <t>DANA, 150 euros, refueling, Repsol, Faconauto</t>
  </si>
  <si>
    <t>DANA, 150 euros, repostaje, Repsol, Faconauto</t>
  </si>
  <si>
    <t>Positive, financial support for DANA-affected individuals.</t>
  </si>
  <si>
    <t>150 euros para repostar</t>
  </si>
  <si>
    <r>
      <rPr>
        <rFont val="Arial, sans-serif"/>
        <color rgb="FF1155CC"/>
        <sz val="9.0"/>
        <u/>
      </rPr>
      <t>diarimes.com</t>
    </r>
    <r>
      <rPr>
        <rFont val="Arial, sans-serif"/>
        <color rgb="FF1155CC"/>
        <sz val="15.0"/>
        <u/>
      </rPr>
      <t>Repsol y el Nàstic renuevan su convenio por dos años</t>
    </r>
    <r>
      <rPr>
        <rFont val="Arial, sans-serif"/>
        <color rgb="FF1155CC"/>
        <sz val="11.0"/>
        <u/>
      </rPr>
      <t>La compañía aportará un apoyo|soporte económico por|para el fútbol base grana.</t>
    </r>
    <r>
      <rPr>
        <rFont val="Arial, sans-serif"/>
        <color rgb="FF1155CC"/>
        <sz val="12.0"/>
        <u/>
      </rPr>
      <t>.</t>
    </r>
    <r>
      <rPr>
        <rFont val="Arial, sans-serif"/>
        <color rgb="FF1155CC"/>
        <sz val="11.0"/>
        <u/>
      </rPr>
      <t>20 dic 2024</t>
    </r>
  </si>
  <si>
    <t>Repsol y el Nàstic renuevan su convenio por dos años</t>
  </si>
  <si>
    <t>La compañía aportará un apoyo económico para el fútbol base grana.</t>
  </si>
  <si>
    <t>Repsol and Nàstic renew their agreement for two years</t>
  </si>
  <si>
    <t>The company will provide financial support for Grana grassroots football.</t>
  </si>
  <si>
    <t>Business/Sports</t>
  </si>
  <si>
    <r>
      <rPr>
        <rFont val="Arial, sans-serif"/>
        <color rgb="FF1155CC"/>
        <sz val="9.0"/>
        <u/>
      </rPr>
      <t>La Nueva Crónica</t>
    </r>
    <r>
      <rPr>
        <rFont val="Arial, sans-serif"/>
        <color rgb="FF1155CC"/>
        <sz val="15.0"/>
        <u/>
      </rPr>
      <t>Podemos-IU tiende la mano a Páramo del Sil en su lucha contra los parques eólicos de Repsol</t>
    </r>
    <r>
      <rPr>
        <rFont val="Arial, sans-serif"/>
        <color rgb="FF1155CC"/>
        <sz val="11.0"/>
        <u/>
      </rPr>
      <t>La coalición formada por Podemos e Izquierda Unida en Laciana se suma al Ayuntamiento de Páramo del Sil en su oposición a los proyectos eólicos de Repsol...</t>
    </r>
    <r>
      <rPr>
        <rFont val="Arial, sans-serif"/>
        <color rgb="FF1155CC"/>
        <sz val="12.0"/>
        <u/>
      </rPr>
      <t>.</t>
    </r>
    <r>
      <rPr>
        <rFont val="Arial, sans-serif"/>
        <color rgb="FF1155CC"/>
        <sz val="11.0"/>
        <u/>
      </rPr>
      <t>20 dic 2024</t>
    </r>
  </si>
  <si>
    <t>Podemos-IU tiende la mano a Páramo del Sil en su lucha contra los parques eólicos de Repsol</t>
  </si>
  <si>
    <t>La coalición formada por Podemos e Izquierda Unida en Laciana se suma al Ayuntamiento de Páramo del Sil en su oposición a los proyectos eólicos de Repsol.</t>
  </si>
  <si>
    <t>Podemos-IU reaches out to Páramo del Sil in its fight against Repsol's wind farms</t>
  </si>
  <si>
    <t>The coalition formed by Podemos and Izquierda Unida in Laciana joins the Páramo del Sil City Council in its opposition to Repsol's wind projects.</t>
  </si>
  <si>
    <t>Podemos-IU, Páramo del Sil, Repsol, wind farms</t>
  </si>
  <si>
    <t>Podemos-IU, Páramo del Sil, Repsol, parques eólicos</t>
  </si>
  <si>
    <t>Negative, political opposition to Repsol’s wind projects.</t>
  </si>
  <si>
    <t>Negative political opposition.</t>
  </si>
  <si>
    <t>Oposición política negativa.</t>
  </si>
  <si>
    <r>
      <rPr>
        <rFont val="Arial, sans-serif"/>
        <color rgb="FF1155CC"/>
        <sz val="9.0"/>
        <u/>
      </rPr>
      <t>Mundo Deportivo</t>
    </r>
    <r>
      <rPr>
        <rFont val="Arial, sans-serif"/>
        <color rgb="FF1155CC"/>
        <sz val="15.0"/>
        <u/>
      </rPr>
      <t>Gabriel Marcelli renueva con el Repsol Honda Team hasta el 2027</t>
    </r>
    <r>
      <rPr>
        <rFont val="Arial, sans-serif"/>
        <color rgb="FF1155CC"/>
        <sz val="11.0"/>
        <u/>
      </rPr>
      <t>En 2022 comenzó la relación entre Gabriel Marcelli y el Repsol Honda Team, aunque desde el 2016 el joven piloto ha estado vinculado al fabricante formando...</t>
    </r>
    <r>
      <rPr>
        <rFont val="Arial, sans-serif"/>
        <color rgb="FF1155CC"/>
        <sz val="12.0"/>
        <u/>
      </rPr>
      <t>.</t>
    </r>
    <r>
      <rPr>
        <rFont val="Arial, sans-serif"/>
        <color rgb="FF1155CC"/>
        <sz val="11.0"/>
        <u/>
      </rPr>
      <t>20 dic 2024</t>
    </r>
  </si>
  <si>
    <t>Gabriel Marcelli renueva con el Repsol Honda Team hasta el 2027</t>
  </si>
  <si>
    <t>En 2022 comenzó la relación entre Gabriel Marcelli y el Repsol Honda Team, aunque desde el 2016 el joven piloto ha estado vinculado al fabricante formando....</t>
  </si>
  <si>
    <t>Gabriel Marcelli renews with the Repsol Honda Team until 2027</t>
  </si>
  <si>
    <t>In 2022 the relationship between Gabriel Marcelli and the Repsol Honda Team began, although since 2016 the young rider has been linked to the manufacturer forming...</t>
  </si>
  <si>
    <r>
      <rPr>
        <rFont val="Arial, sans-serif"/>
        <color rgb="FF1155CC"/>
        <sz val="9.0"/>
        <u/>
      </rPr>
      <t>Bolsamania</t>
    </r>
    <r>
      <rPr>
        <rFont val="Arial, sans-serif"/>
        <color rgb="FF1155CC"/>
        <sz val="15.0"/>
        <u/>
      </rPr>
      <t>Repsol y dos valores más que han perforado soportes o resistencias este viernes</t>
    </r>
    <r>
      <rPr>
        <rFont val="Arial, sans-serif"/>
        <color rgb="FF1155CC"/>
        <sz val="11.0"/>
        <u/>
      </rPr>
      <t>Magnífica señal en Grupo Empresarial San José que consigue pulverizar la resistencia de los 5,04 euros.</t>
    </r>
    <r>
      <rPr>
        <rFont val="Arial, sans-serif"/>
        <color rgb="FF1155CC"/>
        <sz val="12.0"/>
        <u/>
      </rPr>
      <t>.</t>
    </r>
    <r>
      <rPr>
        <rFont val="Arial, sans-serif"/>
        <color rgb="FF1155CC"/>
        <sz val="11.0"/>
        <u/>
      </rPr>
      <t>20 dic 2024</t>
    </r>
  </si>
  <si>
    <t>Repsol y dos valores más que han perforado soportes o resistencias este viernes</t>
  </si>
  <si>
    <t>Magnífica señal en Grupo Empresarial San José que consigue pulverizar la resistencia de los 5,04 euros.</t>
  </si>
  <si>
    <t>Repsol and two more values ​​that have pierced supports or resistances this Friday</t>
  </si>
  <si>
    <t>Magnificent signal in Grupo Empresarial San José that manages to pulverize the resistance of 5.04 euros.</t>
  </si>
  <si>
    <t>Repsol, resistance, stocks, Grupo Empresarial San José</t>
  </si>
  <si>
    <t>Repsol, resistencia, cepo, Grupo Empresarial San José</t>
  </si>
  <si>
    <t>Neutral, stock market analysis involving Repsol.</t>
  </si>
  <si>
    <r>
      <rPr>
        <rFont val="Arial, sans-serif"/>
        <color rgb="FF1155CC"/>
        <sz val="9.0"/>
        <u/>
      </rPr>
      <t>La Voz de Galicia</t>
    </r>
    <r>
      <rPr>
        <rFont val="Arial, sans-serif"/>
        <color rgb="FF1155CC"/>
        <sz val="15.0"/>
        <u/>
      </rPr>
      <t>Gabriel Marcelli renueva con Repsol Honda hasta el 2027</t>
    </r>
    <r>
      <rPr>
        <rFont val="Arial, sans-serif"/>
        <color rgb="FF1155CC"/>
        <sz val="11.0"/>
        <u/>
      </rPr>
      <t>Gabriel Marcelli ha renovado su compromiso con Repsol Honda hasta el 2027. La relación entre las partes comenzó en el 2022, aunque el joven piloto había...</t>
    </r>
    <r>
      <rPr>
        <rFont val="Arial, sans-serif"/>
        <color rgb="FF1155CC"/>
        <sz val="12.0"/>
        <u/>
      </rPr>
      <t>.</t>
    </r>
    <r>
      <rPr>
        <rFont val="Arial, sans-serif"/>
        <color rgb="FF1155CC"/>
        <sz val="11.0"/>
        <u/>
      </rPr>
      <t>20 dic 2024</t>
    </r>
  </si>
  <si>
    <t>Gabriel Marcelli renueva con Repsol Honda hasta el 2027</t>
  </si>
  <si>
    <t>Gabriel Marcelli ha renovado su compromiso con Repsol Honda hasta el 2027. La relación entre las partes comenzó en el 2022, aunque el joven piloto había....</t>
  </si>
  <si>
    <t>Gabriel Marcelli renews with Repsol Honda until 2027</t>
  </si>
  <si>
    <t>Gabriel Marcelli has renewed his commitment to Repsol Honda until 2027. The relationship between the parties began in 2022, although the young driver had...</t>
  </si>
  <si>
    <r>
      <rPr>
        <rFont val="Arial, sans-serif"/>
        <color rgb="FF1155CC"/>
        <sz val="9.0"/>
        <u/>
      </rPr>
      <t>Consenso del Mercado</t>
    </r>
    <r>
      <rPr>
        <rFont val="Arial, sans-serif"/>
        <color rgb="FF1155CC"/>
        <sz val="15.0"/>
        <u/>
      </rPr>
      <t>Repsol aprueba un dividendo de 0,025 eur brutos/acc; los accionistas percibirán en enero de 2025 una retribución de 0,475 eur brutos/acc</t>
    </r>
    <r>
      <rPr>
        <rFont val="Arial, sans-serif"/>
        <color rgb="FF1155CC"/>
        <sz val="11.0"/>
        <u/>
      </rPr>
      <t>Link Securities | El Consejo de Administración de Repsol (REP), en su reunión celebrada el miércoles, acordó la aprobación formal del dividendo a cuenta de.</t>
    </r>
    <r>
      <rPr>
        <rFont val="Arial, sans-serif"/>
        <color rgb="FF1155CC"/>
        <sz val="12.0"/>
        <u/>
      </rPr>
      <t>.</t>
    </r>
    <r>
      <rPr>
        <rFont val="Arial, sans-serif"/>
        <color rgb="FF1155CC"/>
        <sz val="11.0"/>
        <u/>
      </rPr>
      <t>20 dic 2024</t>
    </r>
  </si>
  <si>
    <t>Repsol aprueba un dividendo de 0,025 eur brutos/acc; los accionistas percibirán en enero de 2025 una retribución de 0,475 eur brutos/acc</t>
  </si>
  <si>
    <t>Repsol approves a dividend of 0.025 euros gross/share; In January 2025, shareholders will receive a remuneration of 0.475 euros gross/share</t>
  </si>
  <si>
    <t>Repsol, dividend, 0.025 euros, 0.475 euros</t>
  </si>
  <si>
    <t>Repsol, dividendo, 0,025 euros, 0,475 euros</t>
  </si>
  <si>
    <t>Positive, confirms future dividend payout.</t>
  </si>
  <si>
    <r>
      <rPr>
        <rFont val="Arial, sans-serif"/>
        <color rgb="FF1155CC"/>
        <sz val="9.0"/>
        <u/>
      </rPr>
      <t>PressDigital</t>
    </r>
    <r>
      <rPr>
        <rFont val="Arial, sans-serif"/>
        <color rgb="FF1155CC"/>
        <sz val="15.0"/>
        <u/>
      </rPr>
      <t>GVC Gaesco se decanta al cierre de año por valores como CaixaBank, Repsol, eDreams y Técnicas Reunidas</t>
    </r>
    <r>
      <rPr>
        <rFont val="Arial, sans-serif"/>
        <color rgb="FF1155CC"/>
        <sz val="11.0"/>
        <u/>
      </rPr>
      <t>La gestora GVC Gaesco ha expresado este viernes sus preferencias a corto plazo de cara a final de año por valores como CaixaBank, Técnicas Reunidas,...</t>
    </r>
    <r>
      <rPr>
        <rFont val="Arial, sans-serif"/>
        <color rgb="FF1155CC"/>
        <sz val="12.0"/>
        <u/>
      </rPr>
      <t>.</t>
    </r>
    <r>
      <rPr>
        <rFont val="Arial, sans-serif"/>
        <color rgb="FF1155CC"/>
        <sz val="11.0"/>
        <u/>
      </rPr>
      <t>20 dic 2024</t>
    </r>
  </si>
  <si>
    <t>GVC Gaesco se decanta al cierre de año por valores como CaixaBank, Repsol, eDreams y Técnicas Reunidas</t>
  </si>
  <si>
    <t>La gestora GVC Gaesco ha expresado este viernes sus preferencias a corto plazo de cara a final de año por valores como CaixaBank, Técnicas Reunidas,....</t>
  </si>
  <si>
    <t>GVC Gaesco opts at the end of the year for values ​​such as CaixaBank, Repsol, eDreams and Técnicas Reunidas</t>
  </si>
  <si>
    <t>The manager GVC Gaesco has expressed this Friday its short-term preferences for the end of the year for securities such as CaixaBank, Técnicas Reunidas,...</t>
  </si>
  <si>
    <t>GVC Gaesco, Repsol, CaixaBank, eDreams, Técnicas Reunidas</t>
  </si>
  <si>
    <t>Positive, mentions Repsol among preferred stocks.</t>
  </si>
  <si>
    <r>
      <rPr>
        <rFont val="Arial, sans-serif"/>
        <color rgb="FF1155CC"/>
        <sz val="9.0"/>
        <u/>
      </rPr>
      <t>Diario de León</t>
    </r>
    <r>
      <rPr>
        <rFont val="Arial, sans-serif"/>
        <color rgb="FF1155CC"/>
        <sz val="15.0"/>
        <u/>
      </rPr>
      <t>La Junta y UPL rechazan la estrategia de Repsol para lograr sus propósitos eólicos en Alto Sil y Gistredo</t>
    </r>
    <r>
      <rPr>
        <rFont val="Arial, sans-serif"/>
        <color rgb="FF1155CC"/>
        <sz val="11.0"/>
        <u/>
      </rPr>
      <t>El debate sobre la estrategia que, hasta el momento, ha seguido la multinacional Repsol para tratar de conseguir sus propósitos eólicos, con la instalación...</t>
    </r>
    <r>
      <rPr>
        <rFont val="Arial, sans-serif"/>
        <color rgb="FF1155CC"/>
        <sz val="12.0"/>
        <u/>
      </rPr>
      <t>.</t>
    </r>
    <r>
      <rPr>
        <rFont val="Arial, sans-serif"/>
        <color rgb="FF1155CC"/>
        <sz val="11.0"/>
        <u/>
      </rPr>
      <t>20 dic 2024</t>
    </r>
  </si>
  <si>
    <t>La Junta y UPL rechazan la estrategia de Repsol para lograr sus propósitos eólicos en Alto Sil y Gistredo</t>
  </si>
  <si>
    <t>El debate sobre la estrategia que, hasta el momento, ha seguido la multinacional Repsol para tratar de conseguir sus propósitos eólicos, con la instalación....</t>
  </si>
  <si>
    <t>The Board and UPL reject Repsol's strategy to achieve its wind goals in Alto Sil and Gistredo</t>
  </si>
  <si>
    <t>The debate on the strategy that, until now, the multinational Repsol has followed to try to achieve its wind energy goals, with the installation...</t>
  </si>
  <si>
    <t>Board, UPL, Repsol, wind goals</t>
  </si>
  <si>
    <t>Junta, UPL, Repsol, metas de viento</t>
  </si>
  <si>
    <t>Negative, local opposition to Repsol's wind strategy.</t>
  </si>
  <si>
    <t>rechazan</t>
  </si>
  <si>
    <t>Negative due to political/community opposition.</t>
  </si>
  <si>
    <t>Negativo debido a oposición política/comunitaria.</t>
  </si>
  <si>
    <r>
      <rPr>
        <rFont val="Arial, sans-serif"/>
        <color rgb="FF1155CC"/>
        <sz val="9.0"/>
        <u/>
      </rPr>
      <t>El Cronista</t>
    </r>
    <r>
      <rPr>
        <rFont val="Arial, sans-serif"/>
        <color rgb="FF1155CC"/>
        <sz val="15.0"/>
        <u/>
      </rPr>
      <t>Repsol: así abre la cotización hoy viernes 20 de diciembre, ¿cuánto rinden los dividendos?</t>
    </r>
    <r>
      <rPr>
        <rFont val="Arial, sans-serif"/>
        <color rgb="FF1155CC"/>
        <sz val="11.0"/>
        <u/>
      </rPr>
      <t>Esta es la cotización del día y los datos más importantes de Repsol a tener en cuenta.</t>
    </r>
    <r>
      <rPr>
        <rFont val="Arial, sans-serif"/>
        <color rgb="FF1155CC"/>
        <sz val="12.0"/>
        <u/>
      </rPr>
      <t>.</t>
    </r>
    <r>
      <rPr>
        <rFont val="Arial, sans-serif"/>
        <color rgb="FF1155CC"/>
        <sz val="11.0"/>
        <u/>
      </rPr>
      <t>20 dic 2024</t>
    </r>
  </si>
  <si>
    <t>Repsol: así abre la cotización hoy viernes 20 de diciembre, ¿cuánto rinden los dividendos?</t>
  </si>
  <si>
    <t>Esta es la cotización del día y los datos más importantes de Repsol a tener en cuenta.</t>
  </si>
  <si>
    <t>Repsol: this is how the price opens today, Friday, December 20, how much do the dividends yield?</t>
  </si>
  <si>
    <t>This is the price of the day and the most important Repsol data to take into account.</t>
  </si>
  <si>
    <t>Repsol, price, dividends</t>
  </si>
  <si>
    <t>Repsol, precio, dividendos</t>
  </si>
  <si>
    <t>Neutral, provides stock market information.</t>
  </si>
  <si>
    <t>Neutral (financial update).</t>
  </si>
  <si>
    <t>Neutral (actualización financiera).</t>
  </si>
  <si>
    <r>
      <rPr>
        <rFont val="Arial, sans-serif"/>
        <color rgb="FF1155CC"/>
        <sz val="9.0"/>
        <u/>
      </rPr>
      <t>El Español</t>
    </r>
    <r>
      <rPr>
        <rFont val="Arial, sans-serif"/>
        <color rgb="FF1155CC"/>
        <sz val="15.0"/>
        <u/>
      </rPr>
      <t>Un menú navideño de las Estrellas Michelin y Soles Repsol para los afectados por la riada en Valencia</t>
    </r>
    <r>
      <rPr>
        <rFont val="Arial, sans-serif"/>
        <color rgb="FF1155CC"/>
        <sz val="11.0"/>
        <u/>
      </rPr>
      <t>Alicante Gastronómica Solidaria prepara la versión más especial de sus comidas para que estén en estas fiestas. Más información: Alicante con Valencia: la...</t>
    </r>
    <r>
      <rPr>
        <rFont val="Arial, sans-serif"/>
        <color rgb="FF1155CC"/>
        <sz val="12.0"/>
        <u/>
      </rPr>
      <t>.</t>
    </r>
    <r>
      <rPr>
        <rFont val="Arial, sans-serif"/>
        <color rgb="FF1155CC"/>
        <sz val="11.0"/>
        <u/>
      </rPr>
      <t>20 dic 2024</t>
    </r>
  </si>
  <si>
    <t>Un menú navideño de las Estrellas Michelin y Soles Repsol para los afectados por la riada en Valencia</t>
  </si>
  <si>
    <t>Alicante Gastronómica Solidaria prepara la versión más especial de sus comidas para que estén en estas fiestas. Más información: Alicante con Valencia: la....</t>
  </si>
  <si>
    <t>A Christmas menu with Michelin Stars and Repsol Suns for those affected by the flood in Valencia</t>
  </si>
  <si>
    <t>Alicante Gastronómica Solidaria prepares the most special version of its meals for these holidays. More information: Alicante with Valencia: the....</t>
  </si>
  <si>
    <r>
      <rPr>
        <rFont val="Arial, sans-serif"/>
        <color rgb="FF1155CC"/>
        <sz val="9.0"/>
        <u/>
      </rPr>
      <t>Motor16</t>
    </r>
    <r>
      <rPr>
        <rFont val="Arial, sans-serif"/>
        <color rgb="FF1155CC"/>
        <sz val="15.0"/>
        <u/>
      </rPr>
      <t>DANA: la compañía que regala 150 euros en repostajes a los afectados</t>
    </r>
    <r>
      <rPr>
        <rFont val="Arial, sans-serif"/>
        <color rgb="FF1155CC"/>
        <sz val="11.0"/>
        <u/>
      </rPr>
      <t>Repsol ha puesto en marcha una iniciativa destinada a ayudar a los conductores cuyos coches resultaron afectados por la DANA el pasado 29 de octubre en.</t>
    </r>
    <r>
      <rPr>
        <rFont val="Arial, sans-serif"/>
        <color rgb="FF1155CC"/>
        <sz val="12.0"/>
        <u/>
      </rPr>
      <t>.</t>
    </r>
    <r>
      <rPr>
        <rFont val="Arial, sans-serif"/>
        <color rgb="FF1155CC"/>
        <sz val="11.0"/>
        <u/>
      </rPr>
      <t>20 dic 2024</t>
    </r>
  </si>
  <si>
    <t>DANA: la compañía que regala 150 euros en repostajes a los afectados</t>
  </si>
  <si>
    <t>Repsol ha puesto en marcha una iniciativa destinada a ayudar a los conductores cuyos coches resultaron afectados por la DANA el pasado 29 de octubre en..</t>
  </si>
  <si>
    <t>DANA: the company that gives away 150 euros in refueling to those affected</t>
  </si>
  <si>
    <t>Repsol has launched an initiative aimed at helping drivers whose cars were affected by DANA on October 29 in...</t>
  </si>
  <si>
    <t>Repsol, DANA, refueling, 150 euros</t>
  </si>
  <si>
    <t>Repsol, DANA, repostaje, 150 euros</t>
  </si>
  <si>
    <t>Positive, supporting those affected by DANA with financial aid.</t>
  </si>
  <si>
    <t>Positive for customer support.</t>
  </si>
  <si>
    <t>Positivo para la atención al cliente.</t>
  </si>
  <si>
    <r>
      <rPr>
        <rFont val="Arial, sans-serif"/>
        <color rgb="FF1155CC"/>
        <sz val="9.0"/>
        <u/>
      </rPr>
      <t>elDiario.es</t>
    </r>
    <r>
      <rPr>
        <rFont val="Arial, sans-serif"/>
        <color rgb="FF1155CC"/>
        <sz val="15.0"/>
        <u/>
      </rPr>
      <t>El PNV y Podemos se declaran la guerra y enredan aún más los equilibrios parlamentarios del Gobierno</t>
    </r>
    <r>
      <rPr>
        <rFont val="Arial, sans-serif"/>
        <color rgb="FF1155CC"/>
        <sz val="11.0"/>
        <u/>
      </rPr>
      <t>El partido de Belarra y los nacionalistas vascos chocan a cuenta de los impuestos a las grandes empresas energéticas y de una iniciativa sobre desahucios y...</t>
    </r>
    <r>
      <rPr>
        <rFont val="Arial, sans-serif"/>
        <color rgb="FF1155CC"/>
        <sz val="12.0"/>
        <u/>
      </rPr>
      <t>.</t>
    </r>
    <r>
      <rPr>
        <rFont val="Arial, sans-serif"/>
        <color rgb="FF1155CC"/>
        <sz val="11.0"/>
        <u/>
      </rPr>
      <t>20 dic 2024</t>
    </r>
  </si>
  <si>
    <t>El PNV y Podemos se declaran la guerra y enredan aún más los equilibrios parlamentarios del Gobierno</t>
  </si>
  <si>
    <t>El partido de Belarra y los nacionalistas vascos chocan a cuenta de los impuestos a las grandes empresas energéticas y de una iniciativa sobre desahucios y....</t>
  </si>
  <si>
    <t>The PNV and Podemos declare war and further entangle the parliamentary balances of the Government</t>
  </si>
  <si>
    <t>Belarra's party and the Basque nationalists clash over taxes on large energy companies and an initiative on evictions and...</t>
  </si>
  <si>
    <r>
      <rPr>
        <rFont val="Arial, sans-serif"/>
        <color rgb="FF1155CC"/>
        <sz val="9.0"/>
        <u/>
      </rPr>
      <t>Diario de León</t>
    </r>
    <r>
      <rPr>
        <rFont val="Arial, sans-serif"/>
        <color rgb="FF1155CC"/>
        <sz val="15.0"/>
        <u/>
      </rPr>
      <t>Podemos-IU Laciana exige al Consorcio del Ponfeblino que rompa cualquier acuerdo con Repsol</t>
    </r>
    <r>
      <rPr>
        <rFont val="Arial, sans-serif"/>
        <color rgb="FF1155CC"/>
        <sz val="11.0"/>
        <u/>
      </rPr>
      <t>Alaba que Páramo del Sil haya sabido anteponer los intereses de sus vecinos y del medio ambiente a los de una multinacional y critica que haya instituciones...</t>
    </r>
    <r>
      <rPr>
        <rFont val="Arial, sans-serif"/>
        <color rgb="FF1155CC"/>
        <sz val="12.0"/>
        <u/>
      </rPr>
      <t>.</t>
    </r>
    <r>
      <rPr>
        <rFont val="Arial, sans-serif"/>
        <color rgb="FF1155CC"/>
        <sz val="11.0"/>
        <u/>
      </rPr>
      <t>20 dic 2024</t>
    </r>
  </si>
  <si>
    <t>Podemos-IU Laciana exige al Consorcio del Ponfeblino que rompa cualquier acuerdo con Repsol</t>
  </si>
  <si>
    <t>Alaba que Páramo del Sil haya sabido anteponer los intereses de sus vecinos y del medio ambiente a los de una multinacional y critica que haya instituciones....</t>
  </si>
  <si>
    <t>Podemos-IU Laciana demands that the Ponfeblino Consortium break any agreement with Repsol</t>
  </si>
  <si>
    <t>He praises that Páramo del Sil has been able to put the interests of its neighbors and the environment before those of a multinational and criticizes the fact that there are institutions...</t>
  </si>
  <si>
    <t>Podemos-IU, Ponfeblino Consortium, Repsol, Páramo del Sil</t>
  </si>
  <si>
    <t>Podemos-IU, Consorcio Ponfeblino, Repsol, Páramo del Sil</t>
  </si>
  <si>
    <t>Negative, opposition to Repsol’s involvement in local projects.</t>
  </si>
  <si>
    <t>exige, "rompa"</t>
  </si>
  <si>
    <t>Strong negative for local opposition.</t>
  </si>
  <si>
    <t>Fuerte negativo para la oposición local.</t>
  </si>
  <si>
    <r>
      <rPr>
        <rFont val="Arial, sans-serif"/>
        <color rgb="FF1155CC"/>
        <sz val="9.0"/>
        <u/>
      </rPr>
      <t>MSN</t>
    </r>
    <r>
      <rPr>
        <rFont val="Arial, sans-serif"/>
        <color rgb="FF1155CC"/>
        <sz val="15.0"/>
        <u/>
      </rPr>
      <t>Repsol capta casi 350 ‘kilos’ para las inversiones que ha amenazado con retirar</t>
    </r>
    <r>
      <rPr>
        <rFont val="Arial, sans-serif"/>
        <color rgb="FF1155CC"/>
        <sz val="11.0"/>
        <u/>
      </rPr>
      <t>Repsol ha recibido una millonada en forma de préstamo bancario, que invertirá en diversas iniciativas productivas en el sector energético español.</t>
    </r>
    <r>
      <rPr>
        <rFont val="Arial, sans-serif"/>
        <color rgb="FF1155CC"/>
        <sz val="12.0"/>
        <u/>
      </rPr>
      <t>.</t>
    </r>
    <r>
      <rPr>
        <rFont val="Arial, sans-serif"/>
        <color rgb="FF1155CC"/>
        <sz val="11.0"/>
        <u/>
      </rPr>
      <t>21 dic 2024</t>
    </r>
  </si>
  <si>
    <t>Repsol capta casi 350 ‘kilos’ para las inversiones que ha amenazado con retirar</t>
  </si>
  <si>
    <t>Repsol ha recibido una millonada en forma de préstamo bancario, que invertirá en diversas iniciativas productivas en el sector energético español.</t>
  </si>
  <si>
    <t>Repsol raises almost 350 'kilos' for the investments it has threatened to withdraw</t>
  </si>
  <si>
    <t>Repsol has received a million in the form of a bank loan, which will invest in various productive initiatives in the Spanish energy sector.</t>
  </si>
  <si>
    <t>Repsol, 350 million, investment, loan</t>
  </si>
  <si>
    <t>Repsol, 350 millones, inversión, préstamo</t>
  </si>
  <si>
    <t>Positive, securing funding for future investments.</t>
  </si>
  <si>
    <t>amenazado</t>
  </si>
  <si>
    <t>Negative due to implied threats.</t>
  </si>
  <si>
    <t>Negativo por amenazas implícitas.</t>
  </si>
  <si>
    <r>
      <rPr>
        <rFont val="Arial, sans-serif"/>
        <color rgb="FF1155CC"/>
        <sz val="9.0"/>
        <u/>
      </rPr>
      <t>LaSexta</t>
    </r>
    <r>
      <rPr>
        <rFont val="Arial, sans-serif"/>
        <color rgb="FF1155CC"/>
        <sz val="15.0"/>
        <u/>
      </rPr>
      <t>Repsol ayudará con 150 euros de repostaje para los afectados por la DANA</t>
    </r>
    <r>
      <rPr>
        <rFont val="Arial, sans-serif"/>
        <color rgb="FF1155CC"/>
        <sz val="11.0"/>
        <u/>
      </rPr>
      <t>Faconauto ha anunciado, junto a Repsol, una nueva iniciativa de colaboración para los afectados por la DANA. Ofrecerán un cupón de 150 euros de ayuda al...</t>
    </r>
    <r>
      <rPr>
        <rFont val="Arial, sans-serif"/>
        <color rgb="FF1155CC"/>
        <sz val="12.0"/>
        <u/>
      </rPr>
      <t>.</t>
    </r>
    <r>
      <rPr>
        <rFont val="Arial, sans-serif"/>
        <color rgb="FF1155CC"/>
        <sz val="11.0"/>
        <u/>
      </rPr>
      <t>21 dic 2024</t>
    </r>
  </si>
  <si>
    <t>Repsol ayudará con 150 euros de repostaje para los afectados por la DANA</t>
  </si>
  <si>
    <t>Ofrecerán un cupón de 150 euros de ayuda al....</t>
  </si>
  <si>
    <t>Repsol will help with 150 euros of refueling for those affected by DANA</t>
  </si>
  <si>
    <t>They will offer a coupon of 150 euros to help....</t>
  </si>
  <si>
    <t>Repsol, DANA, 150 euros, refueling</t>
  </si>
  <si>
    <t>Repsol, DANA, 150 euros, repostaje</t>
  </si>
  <si>
    <t>Positive, helping victims of DANA with fuel support.</t>
  </si>
  <si>
    <t>ayudará</t>
  </si>
  <si>
    <t>Positive for crisis response.</t>
  </si>
  <si>
    <t>Positivo para la respuesta a la crisis.</t>
  </si>
  <si>
    <r>
      <rPr>
        <rFont val="Arial, sans-serif"/>
        <color rgb="FF1155CC"/>
        <sz val="9.0"/>
        <u/>
      </rPr>
      <t>Diario de León</t>
    </r>
    <r>
      <rPr>
        <rFont val="Arial, sans-serif"/>
        <color rgb="FF1155CC"/>
        <sz val="15.0"/>
        <u/>
      </rPr>
      <t>Repsol completa su macroplan eólico en el Bierzo</t>
    </r>
    <r>
      <rPr>
        <rFont val="Arial, sans-serif"/>
        <color rgb="FF1155CC"/>
        <sz val="11.0"/>
        <u/>
      </rPr>
      <t>El mismo día que, por la mañana, el Consorcio del Ponfeblino le firmó a Repsol una carta blanca a cambio de alguna inversión en el tren turístico;...</t>
    </r>
    <r>
      <rPr>
        <rFont val="Arial, sans-serif"/>
        <color rgb="FF1155CC"/>
        <sz val="12.0"/>
        <u/>
      </rPr>
      <t>.</t>
    </r>
    <r>
      <rPr>
        <rFont val="Arial, sans-serif"/>
        <color rgb="FF1155CC"/>
        <sz val="11.0"/>
        <u/>
      </rPr>
      <t>21 dic 2024</t>
    </r>
  </si>
  <si>
    <t>Repsol completa su macroplan eólico en el Bierzo</t>
  </si>
  <si>
    <t>El mismo día que, por la mañana, el Consorcio del Ponfeblino le firmó a Repsol una carta blanca a cambio de alguna inversión en el tren turístico;....</t>
  </si>
  <si>
    <t>Repsol completes its wind macroplan in Bierzo</t>
  </si>
  <si>
    <t>The same day that, in the morning, the Ponfeblino Consortium signed a carte blanche to Repsol in exchange for some investment in the tourist train;...</t>
  </si>
  <si>
    <t>Environment/Business</t>
  </si>
  <si>
    <t>Repsol, wind macroplan, Bierzo</t>
  </si>
  <si>
    <t>Repsol, macroplan eólico, Bierzo</t>
  </si>
  <si>
    <t>Positive, completion of wind energy projects in Bierzo.</t>
  </si>
  <si>
    <t>Neutral (strategic update).</t>
  </si>
  <si>
    <t>Neutral (actualización estratégica).</t>
  </si>
  <si>
    <r>
      <rPr>
        <rFont val="Arial, sans-serif"/>
        <color rgb="FF1155CC"/>
        <sz val="9.0"/>
        <u/>
      </rPr>
      <t>elDiario.es</t>
    </r>
    <r>
      <rPr>
        <rFont val="Arial, sans-serif"/>
        <color rgb="FF1155CC"/>
        <sz val="15.0"/>
        <u/>
      </rPr>
      <t>Podemos-IU de Laciana ataca la negociación del Ponfeblino con Repsol: “Que no nos vendan por un puñado de euros”</t>
    </r>
    <r>
      <rPr>
        <rFont val="Arial, sans-serif"/>
        <color rgb="FF1155CC"/>
        <sz val="11.0"/>
        <u/>
      </rPr>
      <t>La coalición Podemos-Izquierda Unida de la comarca de Laciana ha mostrado su rechazo frontal a las pretensiones del consorcio del Ponfeblino de abrirse a...</t>
    </r>
    <r>
      <rPr>
        <rFont val="Arial, sans-serif"/>
        <color rgb="FF1155CC"/>
        <sz val="12.0"/>
        <u/>
      </rPr>
      <t>.</t>
    </r>
    <r>
      <rPr>
        <rFont val="Arial, sans-serif"/>
        <color rgb="FF1155CC"/>
        <sz val="11.0"/>
        <u/>
      </rPr>
      <t>21 dic 2024</t>
    </r>
  </si>
  <si>
    <t>Podemos-IU de Laciana ataca la negociación del Ponfeblino con Repsol: “Que no nos vendan por un puñado de euros”</t>
  </si>
  <si>
    <t>La coalición Podemos-Izquierda Unida de la comarca de Laciana ha mostrado su rechazo frontal a las pretensiones del consorcio del Ponfeblino de abrirse a....</t>
  </si>
  <si>
    <t>Podemos-IU of Laciana attacks Ponfeblino's negotiation with Repsol: “Don't let them sell us for a handful of euros”</t>
  </si>
  <si>
    <t>The Podemos-Izquierda Unida coalition of the Laciana region has shown its frontal rejection of the Ponfeblino consortium's claims to open up to...</t>
  </si>
  <si>
    <t>Podemos-IU, Ponfeblino, Repsol, negotiation</t>
  </si>
  <si>
    <t>Podemos-IU, Ponfeblino, Repsol, negociación</t>
  </si>
  <si>
    <t>Negative, criticism of negotiations with Repsol.</t>
  </si>
  <si>
    <t>ataca</t>
  </si>
  <si>
    <t>Strong negative for political backlash.</t>
  </si>
  <si>
    <t>Fuerte negativo para la reacción política.</t>
  </si>
  <si>
    <r>
      <rPr>
        <rFont val="Arial, sans-serif"/>
        <color rgb="FF1155CC"/>
        <sz val="9.0"/>
        <u/>
      </rPr>
      <t>OkDiario</t>
    </r>
    <r>
      <rPr>
        <rFont val="Arial, sans-serif"/>
        <color rgb="FF1155CC"/>
        <sz val="15.0"/>
        <u/>
      </rPr>
      <t>La guía Repsol elige los tres mejores bares de Madrid para comer un bocadillo de calamares en 2024</t>
    </r>
    <r>
      <rPr>
        <rFont val="Arial, sans-serif"/>
        <color rgb="FF1155CC"/>
        <sz val="11.0"/>
        <u/>
      </rPr>
      <t>El bocadillo de calamares es uno de los platos más típicos de Madrid. Según la guía Repsol, debes ir a estos bares si quieres probarlo.</t>
    </r>
    <r>
      <rPr>
        <rFont val="Arial, sans-serif"/>
        <color rgb="FF1155CC"/>
        <sz val="12.0"/>
        <u/>
      </rPr>
      <t>.</t>
    </r>
    <r>
      <rPr>
        <rFont val="Arial, sans-serif"/>
        <color rgb="FF1155CC"/>
        <sz val="11.0"/>
        <u/>
      </rPr>
      <t>21 dic 2024</t>
    </r>
  </si>
  <si>
    <t>La guía Repsol elige los tres mejores bares de Madrid para comer un bocadillo de calamares en 2024</t>
  </si>
  <si>
    <t>El bocadillo de calamares es uno de los platos más típicos de Madrid. Según la guía Repsol, debes ir a estos bares si quieres probarlo.</t>
  </si>
  <si>
    <t>The Repsol guide chooses the three best bars in Madrid to eat a calamari sandwich in 2024</t>
  </si>
  <si>
    <t>The squid sandwich is one of the most typical dishes in Madrid. According to the Repsol guide, you should go to these bars if you want to try it.</t>
  </si>
  <si>
    <r>
      <rPr>
        <rFont val="Arial, sans-serif"/>
        <color rgb="FF1155CC"/>
        <sz val="9.0"/>
        <u/>
      </rPr>
      <t>Merca2.es</t>
    </r>
    <r>
      <rPr>
        <rFont val="Arial, sans-serif"/>
        <color rgb="FF1155CC"/>
        <sz val="15.0"/>
        <u/>
      </rPr>
      <t>Repsol capta casi 350 ‘kilos’ para las inversiones que ha amenazado con retirar</t>
    </r>
    <r>
      <rPr>
        <rFont val="Arial, sans-serif"/>
        <color rgb="FF1155CC"/>
        <sz val="11.0"/>
        <u/>
      </rPr>
      <t>Repsol ha recibido una millonada en forma de préstamo bancario, que invertirá en diversas iniciativas productivas en el sector energético español.</t>
    </r>
    <r>
      <rPr>
        <rFont val="Arial, sans-serif"/>
        <color rgb="FF1155CC"/>
        <sz val="12.0"/>
        <u/>
      </rPr>
      <t>.</t>
    </r>
    <r>
      <rPr>
        <rFont val="Arial, sans-serif"/>
        <color rgb="FF1155CC"/>
        <sz val="11.0"/>
        <u/>
      </rPr>
      <t>21 dic 2024</t>
    </r>
  </si>
  <si>
    <t>Repsol, 350 million, loan, investment</t>
  </si>
  <si>
    <t>Repsol, 350 millones, préstamo, inversión</t>
  </si>
  <si>
    <r>
      <rPr>
        <rFont val="Arial, sans-serif"/>
        <color rgb="FF1155CC"/>
        <sz val="9.0"/>
        <u/>
      </rPr>
      <t>Diario Red</t>
    </r>
    <r>
      <rPr>
        <rFont val="Arial, sans-serif"/>
        <color rgb="FF1155CC"/>
        <sz val="15.0"/>
        <u/>
      </rPr>
      <t>Repsol vota en el Congreso #ElCierre</t>
    </r>
    <r>
      <rPr>
        <rFont val="Arial, sans-serif"/>
        <color rgb="FF1155CC"/>
        <sz val="11.0"/>
        <u/>
      </rPr>
      <t>Repsol está en el Congreso, sabemos quiénes son sus diputados. Necesitamos que en las urnas dejen de ser mayoría quienes legislan para los intereses del c.</t>
    </r>
    <r>
      <rPr>
        <rFont val="Arial, sans-serif"/>
        <color rgb="FF1155CC"/>
        <sz val="12.0"/>
        <u/>
      </rPr>
      <t>.</t>
    </r>
    <r>
      <rPr>
        <rFont val="Arial, sans-serif"/>
        <color rgb="FF1155CC"/>
        <sz val="11.0"/>
        <u/>
      </rPr>
      <t>21 dic 2024</t>
    </r>
  </si>
  <si>
    <t>Repsol vota en el Congreso</t>
  </si>
  <si>
    <t>sabemos quiénes son sus diputados. Necesitamos que en las urnas dejen de ser mayoría quienes legislan para los intereses del c.</t>
  </si>
  <si>
    <t>Repsol votes in Congress</t>
  </si>
  <si>
    <t>We know who their deputies are. We need those who legislate for the interests of the c to cease to be the majority at the polls.</t>
  </si>
  <si>
    <r>
      <rPr>
        <rFont val="Arial, sans-serif"/>
        <color rgb="FF1155CC"/>
        <sz val="9.0"/>
        <u/>
      </rPr>
      <t>Box Repsol</t>
    </r>
    <r>
      <rPr>
        <rFont val="Arial, sans-serif"/>
        <color rgb="FF1155CC"/>
        <sz val="15.0"/>
        <u/>
      </rPr>
      <t>Resultados y resumen del X-Trial de Madrid 2025</t>
    </r>
    <r>
      <rPr>
        <rFont val="Arial, sans-serif"/>
        <color rgb="FF1155CC"/>
        <sz val="11.0"/>
        <u/>
      </rPr>
      <t>Primer podio de la temporada de X-Trial 2025 para el Repsol Honda HRC. Toni Bou fue segundo y Gabri Marcelli quinto en una prueba que experimentó por...</t>
    </r>
    <r>
      <rPr>
        <rFont val="Arial, sans-serif"/>
        <color rgb="FF1155CC"/>
        <sz val="12.0"/>
        <u/>
      </rPr>
      <t>.</t>
    </r>
    <r>
      <rPr>
        <rFont val="Arial, sans-serif"/>
        <color rgb="FF1155CC"/>
        <sz val="11.0"/>
        <u/>
      </rPr>
      <t>21 dic 2024</t>
    </r>
  </si>
  <si>
    <t>Primer podio de la temporada de X-Trial 2025 para el Repsol Honda HRC. Toni Bou fue segundo y Gabri Marcelli quinto en una prueba que experimentó por....</t>
  </si>
  <si>
    <t>First podium of the 2025 X-Trial season for the Repsol Honda HRC. Toni Bou was second and Gabri Marcelli fifth in a test that he experienced for....</t>
  </si>
  <si>
    <r>
      <rPr>
        <rFont val="Arial, sans-serif"/>
        <color rgb="FF1155CC"/>
        <sz val="9.0"/>
        <u/>
      </rPr>
      <t>Finanzas.com</t>
    </r>
    <r>
      <rPr>
        <rFont val="Arial, sans-serif"/>
        <color rgb="FF1155CC"/>
        <sz val="15.0"/>
        <u/>
      </rPr>
      <t>Seis valores de la bolsa española para hacer cartera estas Navidades</t>
    </r>
    <r>
      <rPr>
        <rFont val="Arial, sans-serif"/>
        <color rgb="FF1155CC"/>
        <sz val="11.0"/>
        <u/>
      </rPr>
      <t>El IBEX 35 se revaloriza más de un 12 por ciento en 2024 y apunta a cerrar el año con alzas de doble dígito, lo que colocará a la bolsa española entre las...</t>
    </r>
    <r>
      <rPr>
        <rFont val="Arial, sans-serif"/>
        <color rgb="FF1155CC"/>
        <sz val="12.0"/>
        <u/>
      </rPr>
      <t>.</t>
    </r>
    <r>
      <rPr>
        <rFont val="Arial, sans-serif"/>
        <color rgb="FF1155CC"/>
        <sz val="11.0"/>
        <u/>
      </rPr>
      <t>21 dic 2024</t>
    </r>
  </si>
  <si>
    <t>Seis valores de la bolsa española para hacer cartera estas Navidades</t>
  </si>
  <si>
    <t>El IBEX 35 se revaloriza más de un 12 por ciento en 2024 y apunta a cerrar el año con alzas de doble dígito, lo que colocará a la bolsa española entre las....</t>
  </si>
  <si>
    <t>Six values ​​from the Spanish stock market to make a portfolio this Christmas</t>
  </si>
  <si>
    <t>The IBEX 35 appreciates more than 12 percent in 2024 and aims to close the year with double-digit increases, which will place the Spanish stock market among the...</t>
  </si>
  <si>
    <t>IBEX 35, Repsol, portfolio, stocks</t>
  </si>
  <si>
    <t>IBEX 35, Repsol, cartera, acciones</t>
  </si>
  <si>
    <t>Positive, recommending Repsol as a potential stock pick.</t>
  </si>
  <si>
    <r>
      <rPr>
        <rFont val="Arial, sans-serif"/>
        <color rgb="FF1155CC"/>
        <sz val="9.0"/>
        <u/>
      </rPr>
      <t>Diario de Avisos</t>
    </r>
    <r>
      <rPr>
        <rFont val="Arial, sans-serif"/>
        <color rgb="FF1155CC"/>
        <sz val="15.0"/>
        <u/>
      </rPr>
      <t>La Lotería de Navidad se cita con La Chasnera, el surtidor de la fortuna</t>
    </r>
    <r>
      <rPr>
        <rFont val="Arial, sans-serif"/>
        <color rgb="FF1155CC"/>
        <sz val="11.0"/>
        <u/>
      </rPr>
      <t>José Miguel González, gerente de La Chasnera cuenta con orgullo que casi todos sus trabajadores siguen con él once años después. Lotería Navidad Tenerife...</t>
    </r>
    <r>
      <rPr>
        <rFont val="Arial, sans-serif"/>
        <color rgb="FF1155CC"/>
        <sz val="12.0"/>
        <u/>
      </rPr>
      <t>.</t>
    </r>
    <r>
      <rPr>
        <rFont val="Arial, sans-serif"/>
        <color rgb="FF1155CC"/>
        <sz val="11.0"/>
        <u/>
      </rPr>
      <t>21 dic 2024</t>
    </r>
  </si>
  <si>
    <t>La Lotería de Navidad se cita con La Chasnera, el surtidor de la fortuna</t>
  </si>
  <si>
    <t>José Miguel González, gerente de La Chasnera cuenta con orgullo que casi todos sus trabajadores siguen con él once años después. Lotería Navidad Tenerife.</t>
  </si>
  <si>
    <t>The Christmas Lottery meets with La Chasnera, the fountain of fortune</t>
  </si>
  <si>
    <t>José Miguel González, manager of La Chasnera, proudly says that almost all of his workers are still with him eleven years later. Tenerife Christmas Lottery.</t>
  </si>
  <si>
    <t>Social</t>
  </si>
  <si>
    <r>
      <rPr>
        <rFont val="Arial, sans-serif"/>
        <color rgb="FF1155CC"/>
        <sz val="9.0"/>
        <u/>
      </rPr>
      <t>La Razón</t>
    </r>
    <r>
      <rPr>
        <rFont val="Arial, sans-serif"/>
        <color rgb="FF1155CC"/>
        <sz val="15.0"/>
        <u/>
      </rPr>
      <t>Estos son los 46 restaurantes de Castilla-La Mancha recomendados por los chefs más top de España</t>
    </r>
    <r>
      <rPr>
        <rFont val="Arial, sans-serif"/>
        <color rgb="FF1155CC"/>
        <sz val="11.0"/>
        <u/>
      </rPr>
      <t>Un total de 125 cocineros, entre ellos Ángel León, Joan Roca, Begoña Rodrigo, los hermanos Torres, Diego Guerrero, Elena Arzak, o Pepe Solla han desvelado a...</t>
    </r>
    <r>
      <rPr>
        <rFont val="Arial, sans-serif"/>
        <color rgb="FF1155CC"/>
        <sz val="12.0"/>
        <u/>
      </rPr>
      <t>.</t>
    </r>
    <r>
      <rPr>
        <rFont val="Arial, sans-serif"/>
        <color rgb="FF1155CC"/>
        <sz val="11.0"/>
        <u/>
      </rPr>
      <t>21 dic 2024</t>
    </r>
  </si>
  <si>
    <t>Estos son los 46 restaurantes de Castilla-La Mancha recomendados por los chefs más top de España</t>
  </si>
  <si>
    <t>Un total de 125 cocineros, entre ellos Ángel León, Joan Roca, Begoña Rodrigo, los hermanos Torres, Diego Guerrero, Elena Arzak, o Pepe Solla han desvelado a....</t>
  </si>
  <si>
    <t>These are the 46 restaurants in Castilla-La Mancha recommended by the top chefs in Spain</t>
  </si>
  <si>
    <t>A total of 125 chefs, including Ángel León, Joan Roca, Begoña Rodrigo, the Torres brothers, Diego Guerrero, Elena Arzak, and Pepe Solla, have unveiled...</t>
  </si>
  <si>
    <r>
      <rPr>
        <rFont val="Arial, sans-serif"/>
        <color rgb="FF1155CC"/>
        <sz val="9.0"/>
        <u/>
      </rPr>
      <t>Diario Red</t>
    </r>
    <r>
      <rPr>
        <rFont val="Arial, sans-serif"/>
        <color rgb="FF1155CC"/>
        <sz val="15.0"/>
        <u/>
      </rPr>
      <t>La semana en la que el PNV se alió con PP y VOX para derogar el gravamen a las energéticas tal y como pedía Josu Jon Imaz desde Repsol</t>
    </r>
    <r>
      <rPr>
        <rFont val="Arial, sans-serif"/>
        <color rgb="FF1155CC"/>
        <sz val="11.0"/>
        <u/>
      </rPr>
      <t>El partido de Andoni Ortuzar con Aitor Esteban a la cabeza en Madrid se ha posicionado con Feijóo y Abascal para eliminar la tasa aprobada hace dos años.</t>
    </r>
    <r>
      <rPr>
        <rFont val="Arial, sans-serif"/>
        <color rgb="FF1155CC"/>
        <sz val="12.0"/>
        <u/>
      </rPr>
      <t>.</t>
    </r>
    <r>
      <rPr>
        <rFont val="Arial, sans-serif"/>
        <color rgb="FF1155CC"/>
        <sz val="11.0"/>
        <u/>
      </rPr>
      <t>21 dic 2024</t>
    </r>
  </si>
  <si>
    <t>La semana en la que el PNV se alió con PP y VOX para derogar el gravamen a las energéticas tal y como pedía Josu Jon Imaz desde Repsol</t>
  </si>
  <si>
    <t>El partido de Andoni Ortuzar con Aitor Esteban a la cabeza en Madrid se ha posicionado con Feijóo y Abascal para eliminar la tasa aprobada hace dos años.</t>
  </si>
  <si>
    <t>The week in which the PNV allied with PP and VOX to repeal the tax on energy companies as requested by Josu Jon Imaz from Repsol</t>
  </si>
  <si>
    <t>Andoni Ortuzar's party with Aitor Esteban at the head in Madrid has positioned itself with Feijóo and Abascal to eliminate the rate approved two years ago.</t>
  </si>
  <si>
    <t>PNV, Repsol, tax, energy companies</t>
  </si>
  <si>
    <t>PNV, Repsol, fiscal, empresas energéticas</t>
  </si>
  <si>
    <t>Negative, political maneuvering linked to Repsol.</t>
  </si>
  <si>
    <t>gravamen</t>
  </si>
  <si>
    <t>Negative for tax policy conflict.</t>
  </si>
  <si>
    <t>Negativo por conflicto de política fiscal.</t>
  </si>
  <si>
    <r>
      <rPr>
        <rFont val="Arial, sans-serif"/>
        <color rgb="FF1155CC"/>
        <sz val="9.0"/>
        <u/>
      </rPr>
      <t>OkDiario</t>
    </r>
    <r>
      <rPr>
        <rFont val="Arial, sans-serif"/>
        <color rgb="FF1155CC"/>
        <sz val="15.0"/>
        <u/>
      </rPr>
      <t>Uno de los mejores bares de carretera de España está en pleno Camino de Santiago: no tiene carta y lo recom...</t>
    </r>
    <r>
      <rPr>
        <rFont val="Arial, sans-serif"/>
        <color rgb="FF1155CC"/>
        <sz val="11.0"/>
        <u/>
      </rPr>
      <t>Descubre en el Camino de Santiago uno de los mejores bares de carretera de España, sin carta fija y recomendado por la Guía Repsol.</t>
    </r>
    <r>
      <rPr>
        <rFont val="Arial, sans-serif"/>
        <color rgb="FF1155CC"/>
        <sz val="12.0"/>
        <u/>
      </rPr>
      <t>.</t>
    </r>
    <r>
      <rPr>
        <rFont val="Arial, sans-serif"/>
        <color rgb="FF1155CC"/>
        <sz val="11.0"/>
        <u/>
      </rPr>
      <t>21 dic 2024</t>
    </r>
  </si>
  <si>
    <t>Uno de los mejores bares de carretera de España está en pleno Camino de Santiago: no tiene carta y lo recom...</t>
  </si>
  <si>
    <t>Descubre en el Camino de Santiago uno de los mejores bares de carretera de España, sin carta fija y recomendado por la Guía Repsol.</t>
  </si>
  <si>
    <t>One of the best roadside bars in Spain is on the Camino de Santiago: it does not have a menu and we recommend it...</t>
  </si>
  <si>
    <t>Discover on the Camino de Santiago one of the best roadside bars in Spain, without a fixed menu and recommended by the Repsol Guide.</t>
  </si>
  <si>
    <r>
      <rPr>
        <rFont val="Arial, sans-serif"/>
        <color rgb="FF1155CC"/>
        <sz val="9.0"/>
        <u/>
      </rPr>
      <t>Finanzas.com</t>
    </r>
    <r>
      <rPr>
        <rFont val="Arial, sans-serif"/>
        <color rgb="FF1155CC"/>
        <sz val="15.0"/>
        <u/>
      </rPr>
      <t>Iberdrola, Repsol... las compañías españolas repartirán 3.000M€ de dividendos en enero</t>
    </r>
    <r>
      <rPr>
        <rFont val="Arial, sans-serif"/>
        <color rgb="FF1155CC"/>
        <sz val="11.0"/>
        <u/>
      </rPr>
      <t>Iberdrola, Endesa, Repsol, Amadeus o Redeia, entre las empresas más importantes que pagarán dividendos en el primer mes del año.</t>
    </r>
    <r>
      <rPr>
        <rFont val="Arial, sans-serif"/>
        <color rgb="FF1155CC"/>
        <sz val="12.0"/>
        <u/>
      </rPr>
      <t>.</t>
    </r>
    <r>
      <rPr>
        <rFont val="Arial, sans-serif"/>
        <color rgb="FF1155CC"/>
        <sz val="11.0"/>
        <u/>
      </rPr>
      <t>22 dic 2024</t>
    </r>
  </si>
  <si>
    <t>Iberdrola, Repsol... las compañías españolas repartirán 3.000M€ de dividendos en enero</t>
  </si>
  <si>
    <t>Iberdrola, Endesa, Repsol, Amadeus o Redeia, entre las empresas más importantes que pagarán dividendos en el primer mes del año.</t>
  </si>
  <si>
    <t>Iberdrola, Repsol... Spanish companies will distribute €3,000M in dividends in January</t>
  </si>
  <si>
    <t>Iberdrola, Endesa, Repsol, Amadeus or Redeia, among the most important companies that will pay dividends in the first month of the year.</t>
  </si>
  <si>
    <t>Iberdrola, Repsol, dividends, companies</t>
  </si>
  <si>
    <t>Iberdrola, Repsol, dividendos, empresas</t>
  </si>
  <si>
    <t>Positive, Repsol part of major dividend payout.</t>
  </si>
  <si>
    <r>
      <rPr>
        <rFont val="Arial, sans-serif"/>
        <color rgb="FF1155CC"/>
        <sz val="9.0"/>
        <u/>
      </rPr>
      <t>Estrategias de Inversión</t>
    </r>
    <r>
      <rPr>
        <rFont val="Arial, sans-serif"/>
        <color rgb="FF1155CC"/>
        <sz val="15.0"/>
        <u/>
      </rPr>
      <t>IAG, Repsol, Tesla, Solaria y Nvida, entre las acciones más destacadas de 2024</t>
    </r>
    <r>
      <rPr>
        <rFont val="Arial, sans-serif"/>
        <color rgb="FF1155CC"/>
        <sz val="11.0"/>
        <u/>
      </rPr>
      <t>IAG, Repsol, Tesla, Solaria y Nvida, entre las acciones más destacadas de 2024.</t>
    </r>
    <r>
      <rPr>
        <rFont val="Arial, sans-serif"/>
        <color rgb="FF1155CC"/>
        <sz val="12.0"/>
        <u/>
      </rPr>
      <t>.</t>
    </r>
    <r>
      <rPr>
        <rFont val="Arial, sans-serif"/>
        <color rgb="FF1155CC"/>
        <sz val="11.0"/>
        <u/>
      </rPr>
      <t>22 dic 2024</t>
    </r>
  </si>
  <si>
    <t>IAG, Repsol, Tesla, Solaria y Nvida, entre las acciones más destacadas de 2024</t>
  </si>
  <si>
    <t>IAG, Repsol, Tesla, Solaria y Nvida, entre las acciones más destacadas de 2024.</t>
  </si>
  <si>
    <t>IAG, Repsol, Tesla, Solaria and Nvida, among the most notable stocks of 2024</t>
  </si>
  <si>
    <t>IAG, Repsol, Tesla, Solaria and Nvida, among the most notable stocks of 2024.</t>
  </si>
  <si>
    <t>IAG, Repsol, stocks, 2024</t>
  </si>
  <si>
    <t>IAG, Repsol, acciones, 2024</t>
  </si>
  <si>
    <t>Positive, Repsol among recommended stocks.</t>
  </si>
  <si>
    <r>
      <rPr>
        <rFont val="Arial, sans-serif"/>
        <color rgb="FF1155CC"/>
        <sz val="9.0"/>
        <u/>
      </rPr>
      <t>Banca y Negocios</t>
    </r>
    <r>
      <rPr>
        <rFont val="Arial, sans-serif"/>
        <color rgb="FF1155CC"/>
        <sz val="15.0"/>
        <u/>
      </rPr>
      <t>Petroperú confirma derrame de crudo en terminal submarino de la refinería de Talara</t>
    </r>
    <r>
      <rPr>
        <rFont val="Arial, sans-serif"/>
        <color rgb="FF1155CC"/>
        <sz val="11.0"/>
        <u/>
      </rPr>
      <t>El último derrame de crudo de magnitud en Perú ocurrió en 2022 con la descarga de unos 12.000 barriles de un buque petrolero que abastecía a la refinería de...</t>
    </r>
    <r>
      <rPr>
        <rFont val="Arial, sans-serif"/>
        <color rgb="FF1155CC"/>
        <sz val="12.0"/>
        <u/>
      </rPr>
      <t>.</t>
    </r>
    <r>
      <rPr>
        <rFont val="Arial, sans-serif"/>
        <color rgb="FF1155CC"/>
        <sz val="11.0"/>
        <u/>
      </rPr>
      <t>22 dic 2024</t>
    </r>
  </si>
  <si>
    <t>Petroperú confirma derrame de crudo en terminal submarino de la refinería de Talara</t>
  </si>
  <si>
    <t>El último derrame de crudo de magnitud en Perú ocurrió en 2022 con la descarga de unos 12.000 barriles de un buque petrolero que abastecía a la refinería de....</t>
  </si>
  <si>
    <t>Petroperú confirms crude oil spill at the underwater terminal of the Talara refinery</t>
  </si>
  <si>
    <t>The last major crude oil spill in Peru occurred in 2022 with the unloading of about 12,000 barrels from an oil tanker that supplied the refinery of...</t>
  </si>
  <si>
    <t>Petroperú, crude oil spill, Talara refinery</t>
  </si>
  <si>
    <t>Petroperú, derrame de crudo, refinería de Talara</t>
  </si>
  <si>
    <t>Negative, environmental disaster involving oil.</t>
  </si>
  <si>
    <t>Highly negative (environmental damage).</t>
  </si>
  <si>
    <t>Altamente negativo (daño ambiental).</t>
  </si>
  <si>
    <r>
      <rPr>
        <rFont val="Arial, sans-serif"/>
        <color rgb="FF1155CC"/>
        <sz val="9.0"/>
        <u/>
      </rPr>
      <t>Diario de Avisos</t>
    </r>
    <r>
      <rPr>
        <rFont val="Arial, sans-serif"/>
        <color rgb="FF1155CC"/>
        <sz val="15.0"/>
        <u/>
      </rPr>
      <t>La Chasnera no deja de sorprender: además de varios premios de la Lotería de Navidad, da La Primitiva</t>
    </r>
    <r>
      <rPr>
        <rFont val="Arial, sans-serif"/>
        <color rgb="FF1155CC"/>
        <sz val="11.0"/>
        <u/>
      </rPr>
      <t>La Chasnera se quedó hoy sin dar el Gordo de la Lotería de Navidad, pero logró repartir varios premios por valor de más de 1,5 millones.</t>
    </r>
    <r>
      <rPr>
        <rFont val="Arial, sans-serif"/>
        <color rgb="FF1155CC"/>
        <sz val="12.0"/>
        <u/>
      </rPr>
      <t>.</t>
    </r>
    <r>
      <rPr>
        <rFont val="Arial, sans-serif"/>
        <color rgb="FF1155CC"/>
        <sz val="11.0"/>
        <u/>
      </rPr>
      <t>22 dic 2024</t>
    </r>
  </si>
  <si>
    <t>La Chasnera no deja de sorprender: además de varios premios de la Lotería de Navidad, da La Primitiva</t>
  </si>
  <si>
    <t>La Chasnera se quedó hoy sin dar el Gordo de la Lotería de Navidad, pero logró repartir varios premios por valor de más de 1,5 millones.</t>
  </si>
  <si>
    <t>La Chasnera never ceases to surprise: in addition to several prizes from the Christmas Lottery, La Primitiva gives</t>
  </si>
  <si>
    <t>La Chasnera was left without winning the Christmas Lottery today, but managed to distribute several prizes worth more than 1.5 million.</t>
  </si>
  <si>
    <r>
      <rPr>
        <rFont val="Arial, sans-serif"/>
        <color rgb="FF1155CC"/>
        <sz val="9.0"/>
        <u/>
      </rPr>
      <t>La Vanguardia</t>
    </r>
    <r>
      <rPr>
        <rFont val="Arial, sans-serif"/>
        <color rgb="FF1155CC"/>
        <sz val="15.0"/>
        <u/>
      </rPr>
      <t>A Pedro Sánchez solo le queda la política, pero no la económica</t>
    </r>
    <r>
      <rPr>
        <rFont val="Arial, sans-serif"/>
        <color rgb="FF1155CC"/>
        <sz val="11.0"/>
        <u/>
      </rPr>
      <t>La operación parlamentaria que ha concluido enterrando el impuesto a las energéticas tiene un aliento que va más allá de la simple materia fiscal.</t>
    </r>
    <r>
      <rPr>
        <rFont val="Arial, sans-serif"/>
        <color rgb="FF1155CC"/>
        <sz val="12.0"/>
        <u/>
      </rPr>
      <t>.</t>
    </r>
    <r>
      <rPr>
        <rFont val="Arial, sans-serif"/>
        <color rgb="FF1155CC"/>
        <sz val="11.0"/>
        <u/>
      </rPr>
      <t>22 dic 2024</t>
    </r>
  </si>
  <si>
    <t>A Pedro Sánchez solo le queda la política, pero no la económica</t>
  </si>
  <si>
    <t>La operación parlamentaria que ha concluido enterrando el impuesto a las energéticas tiene un aliento que va más allá de la simple materia fiscal.</t>
  </si>
  <si>
    <t>Pedro Sánchez only has politics left, but not economics</t>
  </si>
  <si>
    <t>The parliamentary operation that has concluded by burying the tax on energy companies has a breath that goes beyond simple fiscal matters.</t>
  </si>
  <si>
    <r>
      <rPr>
        <rFont val="Arial, sans-serif"/>
        <color rgb="FF1155CC"/>
        <sz val="9.0"/>
        <u/>
      </rPr>
      <t>RTVE.es</t>
    </r>
    <r>
      <rPr>
        <rFont val="Arial, sans-serif"/>
        <color rgb="FF1155CC"/>
        <sz val="15.0"/>
        <u/>
      </rPr>
      <t>Toni Bou cae ante Busto en la prueba de trail indoor de Madrid</t>
    </r>
    <r>
      <rPr>
        <rFont val="Arial, sans-serif"/>
        <color rgb="FF1155CC"/>
        <sz val="11.0"/>
        <u/>
      </rPr>
      <t>El español Jaime Busto se convirtió en el primer líder del Mundial de X-Trial al imponerse en la prueba disputada en el Palacio Vistalegre de Madrid a Toni...</t>
    </r>
    <r>
      <rPr>
        <rFont val="Arial, sans-serif"/>
        <color rgb="FF1155CC"/>
        <sz val="12.0"/>
        <u/>
      </rPr>
      <t>.</t>
    </r>
    <r>
      <rPr>
        <rFont val="Arial, sans-serif"/>
        <color rgb="FF1155CC"/>
        <sz val="11.0"/>
        <u/>
      </rPr>
      <t>22 dic 2024</t>
    </r>
  </si>
  <si>
    <t>Toni Bou cae ante Busto en la prueba de trail indoor de Madrid</t>
  </si>
  <si>
    <t>El español Jaime Busto se convirtió en el primer líder del Mundial de X-Trial al imponerse en la prueba disputada en el Palacio Vistalegre de Madrid a Toni.</t>
  </si>
  <si>
    <t>Toni Bou falls to Busto in the indoor trail test in Madrid</t>
  </si>
  <si>
    <t>The Spanish Jaime Busto became the first leader of the X-Trial World Championship by winning the test held at the Palacio Vistalegre in Madrid over Toni.</t>
  </si>
  <si>
    <r>
      <rPr>
        <rFont val="Arial, sans-serif"/>
        <color rgb="FF1155CC"/>
        <sz val="9.0"/>
        <u/>
      </rPr>
      <t>Infobae</t>
    </r>
    <r>
      <rPr>
        <rFont val="Arial, sans-serif"/>
        <color rgb="FF1155CC"/>
        <sz val="15.0"/>
        <u/>
      </rPr>
      <t>Derrame de petróleo en Lobitos, Piura: claves para comprender la magnitud de esta emergencia ambiental que impacta fauna, playas y medios de vida</t>
    </r>
    <r>
      <rPr>
        <rFont val="Arial, sans-serif"/>
        <color rgb="FF1155CC"/>
        <sz val="11.0"/>
        <u/>
      </rPr>
      <t>Al menos 10.000 metros cuadrados de mar están contaminados, con playas y fauna marina gravemente afectadas. Las autoridades investigan las causas mientras...</t>
    </r>
    <r>
      <rPr>
        <rFont val="Arial, sans-serif"/>
        <color rgb="FF1155CC"/>
        <sz val="12.0"/>
        <u/>
      </rPr>
      <t>.</t>
    </r>
    <r>
      <rPr>
        <rFont val="Arial, sans-serif"/>
        <color rgb="FF1155CC"/>
        <sz val="11.0"/>
        <u/>
      </rPr>
      <t>22 dic 2024</t>
    </r>
  </si>
  <si>
    <t>Derrame de petróleo en Lobitos, Piura: claves para comprender la magnitud de esta emergencia ambiental que impacta fauna, playas y medios de vida</t>
  </si>
  <si>
    <t>Al menos 10.000 metros cuadrados de mar están contaminados, con playas y fauna marina gravemente afectadas. Las autoridades investigan las causas mientras....</t>
  </si>
  <si>
    <t>Oil spill in Lobitos, Piura: keys to understanding the magnitude of this environmental emergency that impacts fauna, beaches and livelihoods</t>
  </si>
  <si>
    <t>At least 10,000 square meters of sea are contaminated, with beaches and marine fauna seriously affected. Authorities are investigating the causes while...</t>
  </si>
  <si>
    <t>Oil spill, Lobitos, Piura, environmental emergency</t>
  </si>
  <si>
    <t>Derrame de petróleo, Lobitos, Piura, emergencia ambiental</t>
  </si>
  <si>
    <t>Negative, oil spill and its severe environmental consequences.</t>
  </si>
  <si>
    <t>derrame, "emergencia"</t>
  </si>
  <si>
    <t>Highly negative (ecological crisis).</t>
  </si>
  <si>
    <t>Altamente negativo (crisis ecológica).</t>
  </si>
  <si>
    <r>
      <rPr>
        <rFont val="Arial, sans-serif"/>
        <color rgb="FF1155CC"/>
        <sz val="9.0"/>
        <u/>
      </rPr>
      <t>La Vanguardia</t>
    </r>
    <r>
      <rPr>
        <rFont val="Arial, sans-serif"/>
        <color rgb="FF1155CC"/>
        <sz val="15.0"/>
        <u/>
      </rPr>
      <t>Toni Bou comienza el Mundial 2025 de trial con derrota ante Jaime Busto</t>
    </r>
    <r>
      <rPr>
        <rFont val="Arial, sans-serif"/>
        <color rgb="FF1155CC"/>
        <sz val="11.0"/>
        <u/>
      </rPr>
      <t>Toni Bou (Repsol Montesa) no ha empezado con buen pie el camino hacia su 37.º título mundial de trial. El piloto de Piera cedió en la final del Trial de...</t>
    </r>
    <r>
      <rPr>
        <rFont val="Arial, sans-serif"/>
        <color rgb="FF1155CC"/>
        <sz val="12.0"/>
        <u/>
      </rPr>
      <t>.</t>
    </r>
    <r>
      <rPr>
        <rFont val="Arial, sans-serif"/>
        <color rgb="FF1155CC"/>
        <sz val="11.0"/>
        <u/>
      </rPr>
      <t>22 dic 2024</t>
    </r>
  </si>
  <si>
    <t>Toni Bou comienza el Mundial 2025 de trial con derrota ante Jaime Busto</t>
  </si>
  <si>
    <t>Toni Bou (Repsol Montesa) no ha empezado con buen pie el camino hacia su 37.º título mundial de trial. El piloto de Piera cedió en la final del Trial de....</t>
  </si>
  <si>
    <t>Toni Bou begins the 2025 World Trial Championship with a defeat against Jaime Busto</t>
  </si>
  <si>
    <t>Toni Bou (Repsol Montesa) has not started on the right foot on the road to his 37th trial world title. Piera's driver lost in the final of the Trial of...</t>
  </si>
  <si>
    <r>
      <rPr>
        <rFont val="Arial, sans-serif"/>
        <color rgb="FF1155CC"/>
        <sz val="9.0"/>
        <u/>
      </rPr>
      <t>Energías Renovables, el periodismo de las energías limpias.</t>
    </r>
    <r>
      <rPr>
        <rFont val="Arial, sans-serif"/>
        <color rgb="FF1155CC"/>
        <sz val="15.0"/>
        <u/>
      </rPr>
      <t>Repsol, la petrolera del no al impuesto a las energéticas que ha recibido 1.500 millones de euros de fondos públicos en el último bienio</t>
    </r>
    <r>
      <rPr>
        <rFont val="Arial, sans-serif"/>
        <color rgb="FF1155CC"/>
        <sz val="11.0"/>
        <u/>
      </rPr>
      <t>Repsol (Imaz), que ha recibido en dos años 1.500 millones de euros en fondos públicos, amenaza con deslocalizarse si sale adelante el impuesto a las...</t>
    </r>
    <r>
      <rPr>
        <rFont val="Arial, sans-serif"/>
        <color rgb="FF1155CC"/>
        <sz val="12.0"/>
        <u/>
      </rPr>
      <t>.</t>
    </r>
    <r>
      <rPr>
        <rFont val="Arial, sans-serif"/>
        <color rgb="FF1155CC"/>
        <sz val="11.0"/>
        <u/>
      </rPr>
      <t>23 dic 2024</t>
    </r>
  </si>
  <si>
    <t>Repsol amenaza con deslocalizarse si sale adelante el impuesto a las energéticas.</t>
  </si>
  <si>
    <t>Repsol (Imaz), que ha recibido en dos años 1.500 millones de euros en fondos públicos, amenaza con deslocalizarse si sale adelante el impuesto a las....</t>
  </si>
  <si>
    <t>Repsol threatens to relocate if the tax on energy companies goes ahead.</t>
  </si>
  <si>
    <t>Repsol (Imaz), which has received 1.5 billion euros in public funds in two years, threatens to relocate if the tax on...</t>
  </si>
  <si>
    <t>Repsol, relocate, tax, energy companies, public funds</t>
  </si>
  <si>
    <t>Repsol, deslocalizar, imponer impuestos, empresas energéticas, fondos públicos</t>
  </si>
  <si>
    <t>Negative, Repsol threatening to relocate due to tax.</t>
  </si>
  <si>
    <t>Negative for threatening relocation.</t>
  </si>
  <si>
    <t>Negativo por amenaza de reubicación.</t>
  </si>
  <si>
    <r>
      <rPr>
        <rFont val="Arial, sans-serif"/>
        <color rgb="FF1155CC"/>
        <sz val="9.0"/>
        <u/>
      </rPr>
      <t>El Economista</t>
    </r>
    <r>
      <rPr>
        <rFont val="Arial, sans-serif"/>
        <color rgb="FF1155CC"/>
        <sz val="15.0"/>
        <u/>
      </rPr>
      <t>Repsol tira la toalla con la geotermia canaria y abandona el concurso de La Palma</t>
    </r>
    <r>
      <rPr>
        <rFont val="Arial, sans-serif"/>
        <color rgb="FF1155CC"/>
        <sz val="11.0"/>
        <u/>
      </rPr>
      <t>Repsol ha abandonado las prospecciones de geotermia en las Íslas Canarias. Después de que la multienergética rechazase varias zonas de ...</t>
    </r>
    <r>
      <rPr>
        <rFont val="Arial, sans-serif"/>
        <color rgb="FF1155CC"/>
        <sz val="12.0"/>
        <u/>
      </rPr>
      <t>.</t>
    </r>
    <r>
      <rPr>
        <rFont val="Arial, sans-serif"/>
        <color rgb="FF1155CC"/>
        <sz val="11.0"/>
        <u/>
      </rPr>
      <t>23 dic 2024</t>
    </r>
  </si>
  <si>
    <t>Repsol tira la toalla con la geotermia canaria y abandona el concurso de La Palma</t>
  </si>
  <si>
    <t>Repsol ha abandonado las prospecciones de geotermia en las Íslas Canarias. Después de que la multienergética rechazase varias zonas de ....</t>
  </si>
  <si>
    <t>Repsol throws in the towel with Canarian geothermal energy and abandons the La Palma tender</t>
  </si>
  <si>
    <t>Repsol has abandoned geothermal prospecting in the Canary Islands. After multi-energy rejected several areas of....</t>
  </si>
  <si>
    <t>Repsol, Canarian geothermal, La Palma, tender, energy project</t>
  </si>
  <si>
    <t>Repsol, Geotermia canaria, La Palma, licitación, proyecto energético</t>
  </si>
  <si>
    <t>Negative, abandonment of geothermal energy project.</t>
  </si>
  <si>
    <t>abandona</t>
  </si>
  <si>
    <t>Negative for project withdrawal.</t>
  </si>
  <si>
    <t>Negativo por retiro del proyecto.</t>
  </si>
  <si>
    <r>
      <rPr>
        <rFont val="Arial, sans-serif"/>
        <color rgb="FF1155CC"/>
        <sz val="9.0"/>
        <u/>
      </rPr>
      <t>EL ASOMBRARIO &amp; Co.</t>
    </r>
    <r>
      <rPr>
        <rFont val="Arial, sans-serif"/>
        <color rgb="FF1155CC"/>
        <sz val="15.0"/>
        <u/>
      </rPr>
      <t>Gistredo: el negocio eólico de Repsol o el oso pardo y el urogallo</t>
    </r>
    <r>
      <rPr>
        <rFont val="Arial, sans-serif"/>
        <color rgb="FF1155CC"/>
        <sz val="11.0"/>
        <u/>
      </rPr>
      <t>La leonesa Sierra de Gistredo lleva más de 20 años soportando una espada de Damocles en forma de codicia de diferentes promotores energéticos: proyectos de...</t>
    </r>
    <r>
      <rPr>
        <rFont val="Arial, sans-serif"/>
        <color rgb="FF1155CC"/>
        <sz val="12.0"/>
        <u/>
      </rPr>
      <t>.</t>
    </r>
    <r>
      <rPr>
        <rFont val="Arial, sans-serif"/>
        <color rgb="FF1155CC"/>
        <sz val="11.0"/>
        <u/>
      </rPr>
      <t>23 dic 2024</t>
    </r>
  </si>
  <si>
    <t>EL ASOMBRARIO &amp; Co.</t>
  </si>
  <si>
    <t>Gistredo: el negocio eólico de Repsol o el oso pardo y el urogallo</t>
  </si>
  <si>
    <t>La leonesa Sierra de Gistredo lleva más de 20 años soportando una espada de Damocles en forma de codicia de diferentes promotores energéticos: proyectos de....</t>
  </si>
  <si>
    <t>Gistredo: Repsol's wind business or the brown bear and the capercaillie</t>
  </si>
  <si>
    <t>The Leonese Sierra de Gistredo has been enduring a sword of Damocles for more than 20 years in the form of greed from different energy developers: energy projects....</t>
  </si>
  <si>
    <t>Repsol, wind business, Gistredo, brown bear, capercaillie, environmental impact</t>
  </si>
  <si>
    <t>Repsol, negocio eólico, Gistredo, oso pardo, urogallo, impacto ambiental</t>
  </si>
  <si>
    <t>Negative, environmental concerns about Repsol's wind project.</t>
  </si>
  <si>
    <r>
      <rPr>
        <rFont val="Arial, sans-serif"/>
        <color rgb="FF1155CC"/>
        <sz val="9.0"/>
        <u/>
      </rPr>
      <t>El Periódico de la Energía</t>
    </r>
    <r>
      <rPr>
        <rFont val="Arial, sans-serif"/>
        <color rgb="FF1155CC"/>
        <sz val="15.0"/>
        <u/>
      </rPr>
      <t>Repsol ha recibido 183 millones de fondos europeos gestionados por un organismo de Transición Ecológica</t>
    </r>
    <r>
      <rPr>
        <rFont val="Arial, sans-serif"/>
        <color rgb="FF1155CC"/>
        <sz val="11.0"/>
        <u/>
      </rPr>
      <t>La energética Repsol ha recibido 4.778,5 millones de euros procedentes de los fondos europeos del Plan de Recuperación que son gestionados por el IDAE.</t>
    </r>
    <r>
      <rPr>
        <rFont val="Arial, sans-serif"/>
        <color rgb="FF1155CC"/>
        <sz val="12.0"/>
        <u/>
      </rPr>
      <t>.</t>
    </r>
    <r>
      <rPr>
        <rFont val="Arial, sans-serif"/>
        <color rgb="FF1155CC"/>
        <sz val="11.0"/>
        <u/>
      </rPr>
      <t>23 dic 2024</t>
    </r>
  </si>
  <si>
    <t>Repsol ha recibido 183 millones de fondos europeos gestionados por un organismo de Transición Ecológica</t>
  </si>
  <si>
    <t>La energética Repsol ha recibido 4.778,5 millones de euros procedentes de los fondos europeos del Plan de Recuperación que son gestionados por el IDAE.</t>
  </si>
  <si>
    <t>Repsol has received 183 million European funds managed by an Ecological Transition organization</t>
  </si>
  <si>
    <t>The energy company Repsol has received 4,778.5 million euros from the European funds of the Recovery Plan that are managed by the IDAE.</t>
  </si>
  <si>
    <t>Repsol, European funds, Ecological Transition</t>
  </si>
  <si>
    <t>Repsol, Fondos europeos, Transición Ecológica</t>
  </si>
  <si>
    <t>Positive, securing significant funding for renewable projects.</t>
  </si>
  <si>
    <t>Mildly positive (funding for green transition).</t>
  </si>
  <si>
    <t>Ligeramente positivo (financiación para la transición verde).</t>
  </si>
  <si>
    <r>
      <rPr>
        <rFont val="Arial, sans-serif"/>
        <color rgb="FF1155CC"/>
        <sz val="9.0"/>
        <u/>
      </rPr>
      <t>PressDigital</t>
    </r>
    <r>
      <rPr>
        <rFont val="Arial, sans-serif"/>
        <color rgb="FF1155CC"/>
        <sz val="15.0"/>
        <u/>
      </rPr>
      <t>Repsol recibe 4.779 millones de fondos europeos gestionados por un organismo de Transición Ecológica</t>
    </r>
    <r>
      <rPr>
        <rFont val="Arial, sans-serif"/>
        <color rgb="FF1155CC"/>
        <sz val="11.0"/>
        <u/>
      </rPr>
      <t>La cifra supone el 36% de los fondos europeos asignados al Instituto para la Diversificación y Ahorro de la Energía (Idae) ...</t>
    </r>
    <r>
      <rPr>
        <rFont val="Arial, sans-serif"/>
        <color rgb="FF1155CC"/>
        <sz val="12.0"/>
        <u/>
      </rPr>
      <t>.</t>
    </r>
    <r>
      <rPr>
        <rFont val="Arial, sans-serif"/>
        <color rgb="FF1155CC"/>
        <sz val="11.0"/>
        <u/>
      </rPr>
      <t>23 dic 2024</t>
    </r>
  </si>
  <si>
    <t>Repsol recibe 4.779 millones de fondos europeos gestionados por un organismo de Transición Ecológica</t>
  </si>
  <si>
    <t>Repsol recibe 4.779 millones de fondos europeos gestionados por un organismo de Transición Ecológica. La cifra supone el 36% de los fondos europeos asignados al Instituto para la Diversificación y Ahorro de la Energía (Idae).</t>
  </si>
  <si>
    <t>Repsol receives 4,779 million European funds managed by an Ecological Transition organization</t>
  </si>
  <si>
    <t>Repsol receives 4,779 million European funds managed by an Ecological Transition body. The figure represents 36% of the European funds allocated to the Institute for Energy Diversification and Saving (Idae).</t>
  </si>
  <si>
    <t>Positive, large funding secured for renewable initiatives.</t>
  </si>
  <si>
    <t>Repeated positive for funding.</t>
  </si>
  <si>
    <t>Positivo repetido para financiación.</t>
  </si>
  <si>
    <r>
      <rPr>
        <rFont val="Arial, sans-serif"/>
        <color rgb="FF1155CC"/>
        <sz val="9.0"/>
        <u/>
      </rPr>
      <t>elpublicista.es</t>
    </r>
    <r>
      <rPr>
        <rFont val="Arial, sans-serif"/>
        <color rgb="FF1155CC"/>
        <sz val="15.0"/>
        <u/>
      </rPr>
      <t>Repsol te permte crear tu felicitación navideña con IA</t>
    </r>
    <r>
      <rPr>
        <rFont val="Arial, sans-serif"/>
        <color rgb="FF1155CC"/>
        <sz val="11.0"/>
        <u/>
      </rPr>
      <t>La marca ha confiado en la agencia DDB España y en la tecnología de SuperReal para este innovador proyecto que permite crear invitaciones personalizadas...</t>
    </r>
    <r>
      <rPr>
        <rFont val="Arial, sans-serif"/>
        <color rgb="FF1155CC"/>
        <sz val="12.0"/>
        <u/>
      </rPr>
      <t>.</t>
    </r>
    <r>
      <rPr>
        <rFont val="Arial, sans-serif"/>
        <color rgb="FF1155CC"/>
        <sz val="11.0"/>
        <u/>
      </rPr>
      <t>23 dic 2024</t>
    </r>
  </si>
  <si>
    <t>Repsol te permite crear tu felicitación navideña con IA</t>
  </si>
  <si>
    <t>La marca ha confiado en la agencia DDB España y en la tecnología de SuperReal para este innovador proyecto que permite crear invitaciones personalizadas.</t>
  </si>
  <si>
    <t>Repsol allows you to create your Christmas greeting with AI</t>
  </si>
  <si>
    <t>The brand has trusted the DDB Spain agency and SuperReal technology for this innovative project that allows creating personalized invitations.</t>
  </si>
  <si>
    <r>
      <rPr>
        <rFont val="Arial, sans-serif"/>
        <color rgb="FF1155CC"/>
        <sz val="9.0"/>
        <u/>
      </rPr>
      <t>Guía Repsol</t>
    </r>
    <r>
      <rPr>
        <rFont val="Arial, sans-serif"/>
        <color rgb="FF1155CC"/>
        <sz val="15.0"/>
        <u/>
      </rPr>
      <t>Dulces de navidad hechos de torezno de Soria, descubre el polvorrezno o turrezno</t>
    </r>
    <r>
      <rPr>
        <rFont val="Arial, sans-serif"/>
        <color rgb="FF1155CC"/>
        <sz val="11.0"/>
        <u/>
      </rPr>
      <t>Ya hace más de tres años que Dulces El Beato sorprendió con sus primeros dulces elaborados con torreznos de Soria, nos colamos en su obrador.</t>
    </r>
    <r>
      <rPr>
        <rFont val="Arial, sans-serif"/>
        <color rgb="FF1155CC"/>
        <sz val="12.0"/>
        <u/>
      </rPr>
      <t>.</t>
    </r>
    <r>
      <rPr>
        <rFont val="Arial, sans-serif"/>
        <color rgb="FF1155CC"/>
        <sz val="11.0"/>
        <u/>
      </rPr>
      <t>23 dic 2024</t>
    </r>
  </si>
  <si>
    <t>Dulces de navidad hechos de torezno de Soria, descubre el polvorrezno o turrezno</t>
  </si>
  <si>
    <t>Ya hace más de tres años que Dulces El Beato sorprendió con sus primeros dulces elaborados con torreznos de Soria, nos colamos en su obrador.</t>
  </si>
  <si>
    <t>Christmas sweets made from torezno from Soria, discover the Polvorrezno or Turrezno</t>
  </si>
  <si>
    <t>It's been more than three years since Dulces El Beato surprised us with its first sweets made with torreznos from Soria, we sneaked into their workshop.</t>
  </si>
  <si>
    <r>
      <rPr>
        <rFont val="Arial, sans-serif"/>
        <color rgb="FF1155CC"/>
        <sz val="9.0"/>
        <u/>
      </rPr>
      <t>Periodico PublicidAD</t>
    </r>
    <r>
      <rPr>
        <rFont val="Arial, sans-serif"/>
        <color rgb="FF1155CC"/>
        <sz val="15.0"/>
        <u/>
      </rPr>
      <t>La primera felicitación navideña con Inteligencia Artificial</t>
    </r>
    <r>
      <rPr>
        <rFont val="Arial, sans-serif"/>
        <color rgb="FF1155CC"/>
        <sz val="11.0"/>
        <u/>
      </rPr>
      <t>Repsol da un importante paso hacia la innovación con el lanzamiento de su primera felicitación navideña personalizada creada con inteligenci.</t>
    </r>
    <r>
      <rPr>
        <rFont val="Arial, sans-serif"/>
        <color rgb="FF1155CC"/>
        <sz val="12.0"/>
        <u/>
      </rPr>
      <t>.</t>
    </r>
    <r>
      <rPr>
        <rFont val="Arial, sans-serif"/>
        <color rgb="FF1155CC"/>
        <sz val="11.0"/>
        <u/>
      </rPr>
      <t>23 dic 2024</t>
    </r>
  </si>
  <si>
    <t>La primera felicitación navideña con Inteligencia Artificial</t>
  </si>
  <si>
    <t>Repsol da un importante paso hacia la innovación con el lanzamiento de su primera felicitación navideña personalizada creada con inteligencia artificial.</t>
  </si>
  <si>
    <t>The first Christmas greeting with Artificial Intelligence</t>
  </si>
  <si>
    <t>Repsol takes an important step towards innovation with the launch of its first personalized Christmas greeting created with artificial intelligence.</t>
  </si>
  <si>
    <r>
      <rPr>
        <rFont val="Arial, sans-serif"/>
        <color rgb="FF1155CC"/>
        <sz val="9.0"/>
        <u/>
      </rPr>
      <t>Moto1Pro</t>
    </r>
    <r>
      <rPr>
        <rFont val="Arial, sans-serif"/>
        <color rgb="FF1155CC"/>
        <sz val="15.0"/>
        <u/>
      </rPr>
      <t>Gabriel Marcelli renueva con el Repsol Honda Team hasta el 2027</t>
    </r>
    <r>
      <rPr>
        <rFont val="Arial, sans-serif"/>
        <color rgb="FF1155CC"/>
        <sz val="11.0"/>
        <u/>
      </rPr>
      <t>En el 2022 comenzó la relación entre Gabriel Marcelli y el Repsol Honda Team, aunque desde el 2016 el joven piloto ha estado vinculado al fabricante...</t>
    </r>
    <r>
      <rPr>
        <rFont val="Arial, sans-serif"/>
        <color rgb="FF1155CC"/>
        <sz val="12.0"/>
        <u/>
      </rPr>
      <t>.</t>
    </r>
    <r>
      <rPr>
        <rFont val="Arial, sans-serif"/>
        <color rgb="FF1155CC"/>
        <sz val="11.0"/>
        <u/>
      </rPr>
      <t>23 dic 2024</t>
    </r>
  </si>
  <si>
    <t>En el 2022 comenzó la relación entre Gabriel Marcelli y el Repsol Honda Team, aunque desde el 2016 el joven piloto ha estado vinculado al fabricante....</t>
  </si>
  <si>
    <t>In 2022 the relationship between Gabriel Marcelli and the Repsol Honda Team began, although since 2016 the young driver has been linked to the manufacturer....</t>
  </si>
  <si>
    <r>
      <rPr>
        <rFont val="Arial, sans-serif"/>
        <color rgb="FF1155CC"/>
        <sz val="9.0"/>
        <u/>
      </rPr>
      <t>El Cronista</t>
    </r>
    <r>
      <rPr>
        <rFont val="Arial, sans-serif"/>
        <color rgb="FF1155CC"/>
        <sz val="15.0"/>
        <u/>
      </rPr>
      <t>Repsol: así abre la cotización hoy lunes 23 de diciembre, ¿cuánto rinden los dividendos?</t>
    </r>
    <r>
      <rPr>
        <rFont val="Arial, sans-serif"/>
        <color rgb="FF1155CC"/>
        <sz val="11.0"/>
        <u/>
      </rPr>
      <t>Este lunes, 23 de diciembre de 2024, en España, las acciones de la compañía de petróleo, gas y combustibles consumibles Repsol (REP) se negocian a 11,06...</t>
    </r>
    <r>
      <rPr>
        <rFont val="Arial, sans-serif"/>
        <color rgb="FF1155CC"/>
        <sz val="12.0"/>
        <u/>
      </rPr>
      <t>.</t>
    </r>
    <r>
      <rPr>
        <rFont val="Arial, sans-serif"/>
        <color rgb="FF1155CC"/>
        <sz val="11.0"/>
        <u/>
      </rPr>
      <t>23 dic 2024</t>
    </r>
  </si>
  <si>
    <t>Repsol: así abre la cotización hoy lunes 23 de diciembre, ¿cuánto rinden los dividendos?</t>
  </si>
  <si>
    <t>Este lunes, 23 de diciembre de 2024, en España, las acciones de la compañía de petróleo, gas y combustibles consumibles Repsol (REP) se negocian a 11,06....</t>
  </si>
  <si>
    <t>Repsol: this is how the price opens today, Monday, December 23, how much do the dividends yield?</t>
  </si>
  <si>
    <t>This Monday, December 23, 2024, in Spain, the shares of the oil, gas and consumable fuels company Repsol (REP) are trading at 11.06....</t>
  </si>
  <si>
    <t>Neutral, providing stock market details.</t>
  </si>
  <si>
    <r>
      <rPr>
        <rFont val="Arial, sans-serif"/>
        <color rgb="FF1155CC"/>
        <sz val="9.0"/>
        <u/>
      </rPr>
      <t>Guía Repsol</t>
    </r>
    <r>
      <rPr>
        <rFont val="Arial, sans-serif"/>
        <color rgb="FF1155CC"/>
        <sz val="15.0"/>
        <u/>
      </rPr>
      <t>El roscón artesanal que te quitarán de las manos este año</t>
    </r>
    <r>
      <rPr>
        <rFont val="Arial, sans-serif"/>
        <color rgb="FF1155CC"/>
        <sz val="11.0"/>
        <u/>
      </rPr>
      <t>Si tienes una cuenta en cualquiera de ellas, tienes una cuenta única de Repsol. Así, podrás acceder a todas con el mismo correo electrónico y contraseña.</t>
    </r>
    <r>
      <rPr>
        <rFont val="Arial, sans-serif"/>
        <color rgb="FF1155CC"/>
        <sz val="12.0"/>
        <u/>
      </rPr>
      <t>.</t>
    </r>
    <r>
      <rPr>
        <rFont val="Arial, sans-serif"/>
        <color rgb="FF1155CC"/>
        <sz val="11.0"/>
        <u/>
      </rPr>
      <t>23 dic 2024</t>
    </r>
  </si>
  <si>
    <t>El roscón artesanal que te quitarán de las manos este año</t>
  </si>
  <si>
    <t>The artisanal roscón that will be taken off your hands this year</t>
  </si>
  <si>
    <r>
      <rPr>
        <rFont val="Arial, sans-serif"/>
        <color rgb="FF1155CC"/>
        <sz val="9.0"/>
        <u/>
      </rPr>
      <t>El Economista</t>
    </r>
    <r>
      <rPr>
        <rFont val="Arial, sans-serif"/>
        <color rgb="FF1155CC"/>
        <sz val="15.0"/>
        <u/>
      </rPr>
      <t>Repsol, ACS, Vidrala, Amadeus, Acerinox, Neinor... las últimas novedades en dividendos</t>
    </r>
    <r>
      <rPr>
        <rFont val="Arial, sans-serif"/>
        <color rgb="FF1155CC"/>
        <sz val="11.0"/>
        <u/>
      </rPr>
      <t>Es de sobra conocida la generosidad de las compañías españolas en materia de dividendos, y ya cerca de terminar el año algunas firmas ...</t>
    </r>
    <r>
      <rPr>
        <rFont val="Arial, sans-serif"/>
        <color rgb="FF1155CC"/>
        <sz val="12.0"/>
        <u/>
      </rPr>
      <t>.</t>
    </r>
    <r>
      <rPr>
        <rFont val="Arial, sans-serif"/>
        <color rgb="FF1155CC"/>
        <sz val="11.0"/>
        <u/>
      </rPr>
      <t>23 dic 2024</t>
    </r>
  </si>
  <si>
    <t>Repsol, ACS, Vidrala, Amadeus, Acerinox, Neinor... las últimas novedades en dividendos</t>
  </si>
  <si>
    <t>Es de sobra conocida la generosidad de las compañías españolas en materia de dividendos, y ya cerca de terminar el año algunas firmas ....</t>
  </si>
  <si>
    <t>Repsol, ACS, Vidrala, Amadeus, Acerinox, Neinor... the latest news on dividends</t>
  </si>
  <si>
    <t>The generosity of Spanish companies in terms of dividends is well known, and some firms are already close to the end of the year...</t>
  </si>
  <si>
    <t>Repsol, dividends, Spanish companies</t>
  </si>
  <si>
    <t>Repsol, dividendos, empresas españolas</t>
  </si>
  <si>
    <t>Positive, showcasing Repsol's strong dividend performance.</t>
  </si>
  <si>
    <r>
      <rPr>
        <rFont val="Arial, sans-serif"/>
        <color rgb="FF1155CC"/>
        <sz val="9.0"/>
        <u/>
      </rPr>
      <t>ABC</t>
    </r>
    <r>
      <rPr>
        <rFont val="Arial, sans-serif"/>
        <color rgb="FF1155CC"/>
        <sz val="15.0"/>
        <u/>
      </rPr>
      <t>La vida de Javier Capitán, presentador de 'El Informal', tras desaparecer de la televisión: su relación con...</t>
    </r>
    <r>
      <rPr>
        <rFont val="Arial, sans-serif"/>
        <color rgb="FF1155CC"/>
        <sz val="11.0"/>
        <u/>
      </rPr>
      <t>Aunque se formó como economista, el presentador desarrolló una fructífera y popular carrera en los medios de comunicación.</t>
    </r>
    <r>
      <rPr>
        <rFont val="Arial, sans-serif"/>
        <color rgb="FF1155CC"/>
        <sz val="12.0"/>
        <u/>
      </rPr>
      <t>.</t>
    </r>
    <r>
      <rPr>
        <rFont val="Arial, sans-serif"/>
        <color rgb="FF1155CC"/>
        <sz val="11.0"/>
        <u/>
      </rPr>
      <t>23 dic 2024</t>
    </r>
  </si>
  <si>
    <t>La vida de Javier Capitán, presentador de 'El Informal', tras desaparecer de la televisión: su relación con...</t>
  </si>
  <si>
    <t>Aunque se formó como economista, el presentador desarrolló una fructífera y popular carrera en los medios de comunicación.</t>
  </si>
  <si>
    <t>The life of Javier Capitán, presenter of 'El Informal', after disappearing from television: his relationship with...</t>
  </si>
  <si>
    <t>Although he trained as an economist, the presenter developed a fruitful and popular career in the media.</t>
  </si>
  <si>
    <r>
      <rPr>
        <rFont val="Arial, sans-serif"/>
        <color rgb="FF1155CC"/>
        <sz val="9.0"/>
        <u/>
      </rPr>
      <t>Guía Repsol</t>
    </r>
    <r>
      <rPr>
        <rFont val="Arial, sans-serif"/>
        <color rgb="FF1155CC"/>
        <sz val="15.0"/>
        <u/>
      </rPr>
      <t>Con estos 12 destinos no necesitarás salir de España en 2025</t>
    </r>
    <r>
      <rPr>
        <rFont val="Arial, sans-serif"/>
        <color rgb="FF1155CC"/>
        <sz val="11.0"/>
        <u/>
      </rPr>
      <t>Planeando tus próximos viajes? Desde Guía Repsol seleccionamos 12 destinos con los que no necesitarás salir fuera de España.</t>
    </r>
    <r>
      <rPr>
        <rFont val="Arial, sans-serif"/>
        <color rgb="FF1155CC"/>
        <sz val="12.0"/>
        <u/>
      </rPr>
      <t>.</t>
    </r>
    <r>
      <rPr>
        <rFont val="Arial, sans-serif"/>
        <color rgb="FF1155CC"/>
        <sz val="11.0"/>
        <u/>
      </rPr>
      <t>23 dic 2024</t>
    </r>
  </si>
  <si>
    <t>Con estos 12 destinos no necesitarás salir de España en 2025</t>
  </si>
  <si>
    <t>Planeando tus próximos viajes? Desde Guía Repsol seleccionamos 12 destinos con los que no necesitarás salir fuera de España.</t>
  </si>
  <si>
    <t>With these 12 destinations you will not need to leave Spain in 2025</t>
  </si>
  <si>
    <t>Planning your next trips? From the Repsol Guide we select 12 destinations with which you will not need to leave Spain.</t>
  </si>
  <si>
    <r>
      <rPr>
        <rFont val="Arial, sans-serif"/>
        <color rgb="FF1155CC"/>
        <sz val="9.0"/>
        <u/>
      </rPr>
      <t>Buena Pepa</t>
    </r>
    <r>
      <rPr>
        <rFont val="Arial, sans-serif"/>
        <color rgb="FF1155CC"/>
        <sz val="15.0"/>
        <u/>
      </rPr>
      <t>Derrame de petróleo en Talara afectó 10 mil metros cuadrados de playa: ¿qué dice Petroperú sobre daños?</t>
    </r>
    <r>
      <rPr>
        <rFont val="Arial, sans-serif"/>
        <color rgb="FF1155CC"/>
        <sz val="11.0"/>
        <u/>
      </rPr>
      <t>Petroperú confirmó un derrame de hidrocarburos en el terminal submarino de la refinería de Talara, en la costa norte del Perú. Según el comunicado emitido...</t>
    </r>
    <r>
      <rPr>
        <rFont val="Arial, sans-serif"/>
        <color rgb="FF1155CC"/>
        <sz val="12.0"/>
        <u/>
      </rPr>
      <t>.</t>
    </r>
    <r>
      <rPr>
        <rFont val="Arial, sans-serif"/>
        <color rgb="FF1155CC"/>
        <sz val="11.0"/>
        <u/>
      </rPr>
      <t>23 dic 2024</t>
    </r>
  </si>
  <si>
    <t>Buena Pepa</t>
  </si>
  <si>
    <t>Derrame de petróleo en Talara afectó 10 mil metros cuadrados de playa: ¿qué dice Petroperú sobre daños?</t>
  </si>
  <si>
    <t>Petroperú confirmó un derrame de hidrocarburos en el terminal submarino de la refinería de Talara, en la costa norte del Perú. Según el comunicado emitido....</t>
  </si>
  <si>
    <t>Oil spill in Talara affected 10 thousand square meters of beach: what does Petroperú say about the damage?</t>
  </si>
  <si>
    <t>Petroperú confirmed a hydrocarbon spill at the underwater terminal of the Talara refinery, on the northern coast of Peru. According to the statement issued...</t>
  </si>
  <si>
    <t>Petroperú, oil spill, Talara refinery</t>
  </si>
  <si>
    <t>Petroperú, derrame de petróleo, refinería de Talara</t>
  </si>
  <si>
    <t>Negative, discussing the environmental impact of an oil spill.</t>
  </si>
  <si>
    <t>derrame, "afectó"</t>
  </si>
  <si>
    <r>
      <rPr>
        <rFont val="Arial, sans-serif"/>
        <color rgb="FF1155CC"/>
        <sz val="9.0"/>
        <u/>
      </rPr>
      <t>Gráfico al día</t>
    </r>
    <r>
      <rPr>
        <rFont val="Arial, sans-serif"/>
        <color rgb="FF1155CC"/>
        <sz val="15.0"/>
        <u/>
      </rPr>
      <t>Repsol “las Potrancas” y “la fontana” realizan posada navideña a los niños</t>
    </r>
    <r>
      <rPr>
        <rFont val="Arial, sans-serif"/>
        <color rgb="FF1155CC"/>
        <sz val="11.0"/>
        <u/>
      </rPr>
      <t>#Papantla. Como cada año, Repsol «Las Potrancas» de Grupo Gasolinero Carreón, festejan a lo grande en estas Posadas Navideñas, con los niños y adultos...</t>
    </r>
    <r>
      <rPr>
        <rFont val="Arial, sans-serif"/>
        <color rgb="FF1155CC"/>
        <sz val="12.0"/>
        <u/>
      </rPr>
      <t>.</t>
    </r>
    <r>
      <rPr>
        <rFont val="Arial, sans-serif"/>
        <color rgb="FF1155CC"/>
        <sz val="11.0"/>
        <u/>
      </rPr>
      <t>23 dic 2024</t>
    </r>
  </si>
  <si>
    <t>Gráfico al día</t>
  </si>
  <si>
    <t>Repsol “las Potrancas” y “la fontana” realizan posada navideña a los niños</t>
  </si>
  <si>
    <t>Como cada año, Repsol «Las Potrancas» de Grupo Gasolinero Carreón, festejan a lo grande en estas Posadas Navideñas, con los niños y adultos....</t>
  </si>
  <si>
    <t>Repsol “las Potrancas” and “la fontana” hold a Christmas party for the children</t>
  </si>
  <si>
    <t>Like every year, Repsol "Las Potrancas" from Grupo Gasolinero Carreón, celebrate in style at these Christmas Posadas, with children and adults....</t>
  </si>
  <si>
    <r>
      <rPr>
        <rFont val="Arial, sans-serif"/>
        <color rgb="FF1155CC"/>
        <sz val="9.0"/>
        <u/>
      </rPr>
      <t>Control Publicidad</t>
    </r>
    <r>
      <rPr>
        <rFont val="Arial, sans-serif"/>
        <color rgb="FF1155CC"/>
        <sz val="15.0"/>
        <u/>
      </rPr>
      <t>Repsol Lanza Una Felicitación Navideña Con Inteligencia Artificial</t>
    </r>
    <r>
      <rPr>
        <rFont val="Arial, sans-serif"/>
        <color rgb="FF1155CC"/>
        <sz val="11.0"/>
        <u/>
      </rPr>
      <t>Repsol, de la mano de la agencia creativa DDB, pone a disposición de los usuarios una "landing page" para personalizar una felicitación navideña con la...</t>
    </r>
    <r>
      <rPr>
        <rFont val="Arial, sans-serif"/>
        <color rgb="FF1155CC"/>
        <sz val="12.0"/>
        <u/>
      </rPr>
      <t>.</t>
    </r>
    <r>
      <rPr>
        <rFont val="Arial, sans-serif"/>
        <color rgb="FF1155CC"/>
        <sz val="11.0"/>
        <u/>
      </rPr>
      <t>24 dic 2024</t>
    </r>
  </si>
  <si>
    <t>Repsol Lanza Una Felicitación Navideña Con Inteligencia Artificial</t>
  </si>
  <si>
    <t>Repsol, de la mano de la agencia creativa DDB, pone a disposición de los usuarios una "landing page" para personalizar una felicitación navideña con la....</t>
  </si>
  <si>
    <t>Repsol Launches A Christmas Card With Artificial Intelligence</t>
  </si>
  <si>
    <t>Repsol, together with the creative agency DDB, makes available to users a "landing page" to personalize a Christmas greeting with the...</t>
  </si>
  <si>
    <r>
      <rPr>
        <rFont val="Arial, sans-serif"/>
        <color rgb="FF1155CC"/>
        <sz val="9.0"/>
        <u/>
      </rPr>
      <t>Business Insider España</t>
    </r>
    <r>
      <rPr>
        <rFont val="Arial, sans-serif"/>
        <color rgb="FF1155CC"/>
        <sz val="15.0"/>
        <u/>
      </rPr>
      <t>Qué opinan del teletrabajo y la flexibilidad líderes de RRHH en McDonald's, Telefónica, BBVA y Repsol: No es para 'freír croquetas o poner lavadoras'</t>
    </r>
    <r>
      <rPr>
        <rFont val="Arial, sans-serif"/>
        <color rgb="FF1155CC"/>
        <sz val="11.0"/>
        <u/>
      </rPr>
      <t>Responsables de recursos humanos en grandes compañías en España como Telefónica, Repsol, BBVA y McDonald's comparten las claves del teletrabajo y la...</t>
    </r>
    <r>
      <rPr>
        <rFont val="Arial, sans-serif"/>
        <color rgb="FF1155CC"/>
        <sz val="12.0"/>
        <u/>
      </rPr>
      <t>.</t>
    </r>
    <r>
      <rPr>
        <rFont val="Arial, sans-serif"/>
        <color rgb="FF1155CC"/>
        <sz val="11.0"/>
        <u/>
      </rPr>
      <t>24 dic 2024</t>
    </r>
  </si>
  <si>
    <t>¿Qué opinan del teletrabajo y la flexibilidad líderes de RRHH en McDonald's, Telefónica, BBVA y Repsol: No es para 'freír croquetas o poner lavadoras'?</t>
  </si>
  <si>
    <t>Responsables de recursos humanos en grandes compañías en España como Telefónica, Repsol, BBVA y McDonald's comparten las claves del teletrabajo y la....</t>
  </si>
  <si>
    <t>What do HR leaders at McDonald's, Telefónica, BBVA and Repsol think about teleworking and flexibility: It's not for 'frying croquettes or using washing machines'?</t>
  </si>
  <si>
    <t>Human resources managers in large companies in Spain such as Telefónica, Repsol, BBVA and McDonald's share the keys to teleworking and...</t>
  </si>
  <si>
    <r>
      <rPr>
        <rFont val="Arial, sans-serif"/>
        <color rgb="FF1155CC"/>
        <sz val="9.0"/>
        <u/>
      </rPr>
      <t>ILEON</t>
    </r>
    <r>
      <rPr>
        <rFont val="Arial, sans-serif"/>
        <color rgb="FF1155CC"/>
        <sz val="15.0"/>
        <u/>
      </rPr>
      <t>La Sierra de Gistredo, Repsol y el PSOE</t>
    </r>
    <r>
      <rPr>
        <rFont val="Arial, sans-serif"/>
        <color rgb="FF1155CC"/>
        <sz val="11.0"/>
        <u/>
      </rPr>
      <t>Luis Álvarez manifiesta su estupor ante la defensa de los alcaldes socialistas de Bembibre, Noceda e Igueña del proyecto de macroparque eólico en una de las...</t>
    </r>
    <r>
      <rPr>
        <rFont val="Arial, sans-serif"/>
        <color rgb="FF1155CC"/>
        <sz val="12.0"/>
        <u/>
      </rPr>
      <t>.</t>
    </r>
    <r>
      <rPr>
        <rFont val="Arial, sans-serif"/>
        <color rgb="FF1155CC"/>
        <sz val="11.0"/>
        <u/>
      </rPr>
      <t>24 dic 2024</t>
    </r>
  </si>
  <si>
    <t>Repsol y el PSOE defienden el proyecto de macroparque eólico en la Sierra de Gistredo</t>
  </si>
  <si>
    <t>Luis Álvarez manifiesta su estupor ante la defensa de los alcaldes socialistas de Bembibre, Noceda e Igueña del proyecto de macroparque eólico en una de las....</t>
  </si>
  <si>
    <t>Repsol and the PSOE defend the macro wind farm project in the Sierra de Gistredo</t>
  </si>
  <si>
    <t>Luis Álvarez expresses his astonishment at the defense of the socialist mayors of Bembibre, Noceda and Igueña of the macro wind farm project in one of the...</t>
  </si>
  <si>
    <t>Repsol, wind farm, Sierra de Gistredo</t>
  </si>
  <si>
    <t>Repsol, parque eólico, Sierra de Gistredo</t>
  </si>
  <si>
    <t>Negative, discussing the controversy over wind farm projects.</t>
  </si>
  <si>
    <t>Mildly positive (political support).</t>
  </si>
  <si>
    <t>Ligeramente positivo (apoyo político).</t>
  </si>
  <si>
    <r>
      <rPr>
        <rFont val="Arial, sans-serif"/>
        <color rgb="FF1155CC"/>
        <sz val="9.0"/>
        <u/>
      </rPr>
      <t>El Periódico Extremadura</t>
    </r>
    <r>
      <rPr>
        <rFont val="Arial, sans-serif"/>
        <color rgb="FF1155CC"/>
        <sz val="15.0"/>
        <u/>
      </rPr>
      <t>Este es el pueblo de 41 habitantes de Cáceres con un Solete de la Guía Repsol</t>
    </r>
    <r>
      <rPr>
        <rFont val="Arial, sans-serif"/>
        <color rgb="FF1155CC"/>
        <sz val="11.0"/>
        <u/>
      </rPr>
      <t>El restaurante Doña Tomasa de Solana de Cabañas entra de lleno entre los más destacados de la gastronomía nacional al estar incluido en el listado de...</t>
    </r>
    <r>
      <rPr>
        <rFont val="Arial, sans-serif"/>
        <color rgb="FF1155CC"/>
        <sz val="12.0"/>
        <u/>
      </rPr>
      <t>.</t>
    </r>
    <r>
      <rPr>
        <rFont val="Arial, sans-serif"/>
        <color rgb="FF1155CC"/>
        <sz val="11.0"/>
        <u/>
      </rPr>
      <t>24 dic 2024</t>
    </r>
  </si>
  <si>
    <t>Este es el pueblo de 41 habitantes de Cáceres con un Solete de la Guía Repsol</t>
  </si>
  <si>
    <t>El restaurante Doña Tomasa de Solana de Cabañas entra de lleno entre los más destacados de la gastronomía nacional al estar incluido en el listado de....</t>
  </si>
  <si>
    <t>This is the town of 41 inhabitants of Cáceres with a Solete from the Repsol Guide</t>
  </si>
  <si>
    <t>The Doña Tomasa restaurant in Solana de Cabañas is fully among the most outstanding in national gastronomy as it is included in the list of...</t>
  </si>
  <si>
    <r>
      <rPr>
        <rFont val="Arial, sans-serif"/>
        <color rgb="FF1155CC"/>
        <sz val="9.0"/>
        <u/>
      </rPr>
      <t>El Confidencial</t>
    </r>
    <r>
      <rPr>
        <rFont val="Arial, sans-serif"/>
        <color rgb="FF1155CC"/>
        <sz val="15.0"/>
        <u/>
      </rPr>
      <t>Proyectos de eficiencia energética que están ayudando a mejorar la vida de las personas</t>
    </r>
    <r>
      <rPr>
        <rFont val="Arial, sans-serif"/>
        <color rgb="FF1155CC"/>
        <sz val="11.0"/>
        <u/>
      </rPr>
      <t>Voluntarios Repsol colaboran con entidades como Banco de Alimentos o Mensajeros de la Paz no solo para generar conciencia ambiental, sino también bienestar...</t>
    </r>
    <r>
      <rPr>
        <rFont val="Arial, sans-serif"/>
        <color rgb="FF1155CC"/>
        <sz val="12.0"/>
        <u/>
      </rPr>
      <t>.</t>
    </r>
    <r>
      <rPr>
        <rFont val="Arial, sans-serif"/>
        <color rgb="FF1155CC"/>
        <sz val="11.0"/>
        <u/>
      </rPr>
      <t>24 dic 2024</t>
    </r>
  </si>
  <si>
    <t>Proyectos de eficiencia energética que están ayudando a mejorar la vida de las personas</t>
  </si>
  <si>
    <t>Voluntarios Repsol colaboran con entidades como Banco de Alimentos o Mensajeros de la Paz no solo para generar conciencia ambiental, sino también bienestar....</t>
  </si>
  <si>
    <t>Energy efficiency projects that are helping to improve people's lives</t>
  </si>
  <si>
    <t>Repsol volunteers collaborate with entities such as the Food Bank or Messengers of Peace not only to generate environmental awareness, but also well-being...</t>
  </si>
  <si>
    <t>Social/Environment</t>
  </si>
  <si>
    <r>
      <rPr>
        <rFont val="Arial, sans-serif"/>
        <color rgb="FF1155CC"/>
        <sz val="9.0"/>
        <u/>
      </rPr>
      <t>Economía Digital</t>
    </r>
    <r>
      <rPr>
        <rFont val="Arial, sans-serif"/>
        <color rgb="FF1155CC"/>
        <sz val="15.0"/>
        <u/>
      </rPr>
      <t>Iberdrola, Repsol, Endesa y Naturgy podrán deducirse hasta un 60% del nuevo impuesto</t>
    </r>
    <r>
      <rPr>
        <rFont val="Arial, sans-serif"/>
        <color rgb="FF1155CC"/>
        <sz val="11.0"/>
        <u/>
      </rPr>
      <t>Las energéticas tendrán que presentar un plan de inversiones estratégicas que valorará el Ministerio de Transición Ecológica.</t>
    </r>
    <r>
      <rPr>
        <rFont val="Arial, sans-serif"/>
        <color rgb="FF1155CC"/>
        <sz val="12.0"/>
        <u/>
      </rPr>
      <t>.</t>
    </r>
    <r>
      <rPr>
        <rFont val="Arial, sans-serif"/>
        <color rgb="FF1155CC"/>
        <sz val="11.0"/>
        <u/>
      </rPr>
      <t>24 dic 2024</t>
    </r>
  </si>
  <si>
    <t>Iberdrola, Repsol, Endesa y Naturgy podrán deducirse hasta un 60% del nuevo impuesto</t>
  </si>
  <si>
    <t>Las energéticas tendrán que presentar un plan de inversiones estratégicas que valorará el Ministerio de Transición Ecológica.</t>
  </si>
  <si>
    <t>Iberdrola, Repsol, Endesa and Naturgy may deduct up to 60% of the new tax</t>
  </si>
  <si>
    <t>Energy companies will have to present a strategic investment plan that will be evaluated by the Ministry of Ecological Transition.</t>
  </si>
  <si>
    <t>Repsol, tax, energy companies</t>
  </si>
  <si>
    <t>Repsol, impuestos, empresas energéticas</t>
  </si>
  <si>
    <t>Negative, discussing tax impacts on Repsol and others.</t>
  </si>
  <si>
    <t>Neutral (tax policy).</t>
  </si>
  <si>
    <t>Neutral (política fiscal).</t>
  </si>
  <si>
    <r>
      <rPr>
        <rFont val="Arial, sans-serif"/>
        <color rgb="FF1155CC"/>
        <sz val="9.0"/>
        <u/>
      </rPr>
      <t>Crónica Vasca</t>
    </r>
    <r>
      <rPr>
        <rFont val="Arial, sans-serif"/>
        <color rgb="FF1155CC"/>
        <sz val="15.0"/>
        <u/>
      </rPr>
      <t>2025, ¿otro año en ‘standby’ para los 220 millones de inversiones de Petronor en Euskadi?</t>
    </r>
    <r>
      <rPr>
        <rFont val="Arial, sans-serif"/>
        <color rgb="FF1155CC"/>
        <sz val="11.0"/>
        <u/>
      </rPr>
      <t>La filial vasca de Repsol sigue pendiente de la prórroga del impuesto a las energéticas que planea el Gobierno central y que amenaza con retrasar la carrera...</t>
    </r>
    <r>
      <rPr>
        <rFont val="Arial, sans-serif"/>
        <color rgb="FF1155CC"/>
        <sz val="12.0"/>
        <u/>
      </rPr>
      <t>.</t>
    </r>
    <r>
      <rPr>
        <rFont val="Arial, sans-serif"/>
        <color rgb="FF1155CC"/>
        <sz val="11.0"/>
        <u/>
      </rPr>
      <t>24 dic 2024</t>
    </r>
  </si>
  <si>
    <t>¿Otro año en ‘standby’ para los 220 millones de inversiones de Petronor en Euskadi?</t>
  </si>
  <si>
    <t>La filial vasca de Repsol sigue pendiente de la prórroga del impuesto a las energéticas que planea el Gobierno central y que amenaza con retrasar la carrera....</t>
  </si>
  <si>
    <t>Another year on standby for Petronor's 220 million investments in Euskadi?</t>
  </si>
  <si>
    <t>The Basque subsidiary of Repsol is still pending the extension of the tax on energy companies planned by the central government and which threatens to delay the race....</t>
  </si>
  <si>
    <t>Petronor, 220 million, investments, Euskadi, tax on energy companies, government policies</t>
  </si>
  <si>
    <t>Petronor, 220 millones, inversiones, Euskadi, impuesto a las empresas energéticas, políticas gubernamentales</t>
  </si>
  <si>
    <t>Negative, discussing the delay of important investments due to government policies.</t>
  </si>
  <si>
    <t>standby</t>
  </si>
  <si>
    <t>Negative for delayed investments.</t>
  </si>
  <si>
    <t>Negativo para inversiones retrasadas.</t>
  </si>
  <si>
    <r>
      <rPr>
        <rFont val="Arial, sans-serif"/>
        <color rgb="FF1155CC"/>
        <sz val="9.0"/>
        <u/>
      </rPr>
      <t>Guía Repsol</t>
    </r>
    <r>
      <rPr>
        <rFont val="Arial, sans-serif"/>
        <color rgb="FF1155CC"/>
        <sz val="15.0"/>
        <u/>
      </rPr>
      <t>El mercado que apuesta por dar un futuro a los jóvenes con riesgo de exclusión social</t>
    </r>
    <r>
      <rPr>
        <rFont val="Arial, sans-serif"/>
        <color rgb="FF1155CC"/>
        <sz val="11.0"/>
        <u/>
      </rPr>
      <t>Descubre el Mercado de San Cristóbal, un espacio que fusiona tradición y futuro. Conoce un proyecto en Madrid que combina productos frescos con formación...</t>
    </r>
    <r>
      <rPr>
        <rFont val="Arial, sans-serif"/>
        <color rgb="FF1155CC"/>
        <sz val="12.0"/>
        <u/>
      </rPr>
      <t>.</t>
    </r>
    <r>
      <rPr>
        <rFont val="Arial, sans-serif"/>
        <color rgb="FF1155CC"/>
        <sz val="11.0"/>
        <u/>
      </rPr>
      <t>24 dic 2024</t>
    </r>
  </si>
  <si>
    <t>El mercado que apuesta por dar un futuro a los jóvenes con riesgo de exclusión social</t>
  </si>
  <si>
    <t>Descubre el Mercado de San Cristóbal, un espacio que fusiona tradición y futuro. Conoce un proyecto en Madrid que combina productos frescos con formación.</t>
  </si>
  <si>
    <t>The market that is committed to giving a future to young people at risk of social exclusion</t>
  </si>
  <si>
    <t>Discover the San Cristóbal Market, a space that fuses tradition and future. Learn about a project in Madrid that combines fresh products with training.</t>
  </si>
  <si>
    <r>
      <rPr>
        <rFont val="Arial, sans-serif"/>
        <color rgb="FF1155CC"/>
        <sz val="9.0"/>
        <u/>
      </rPr>
      <t>El Cronista</t>
    </r>
    <r>
      <rPr>
        <rFont val="Arial, sans-serif"/>
        <color rgb="FF1155CC"/>
        <sz val="15.0"/>
        <u/>
      </rPr>
      <t>Repsol: así abre la cotización hoy martes 24 de diciembre, ¿cuánto rinden los dividendos?</t>
    </r>
    <r>
      <rPr>
        <rFont val="Arial, sans-serif"/>
        <color rgb="FF1155CC"/>
        <sz val="11.0"/>
        <u/>
      </rPr>
      <t>La cotización de las activos de la compañía de petróleo, gas y combustibles consumibles Repsol (REP) en la apertura de mercados en España este martes, 24 de...</t>
    </r>
    <r>
      <rPr>
        <rFont val="Arial, sans-serif"/>
        <color rgb="FF1155CC"/>
        <sz val="12.0"/>
        <u/>
      </rPr>
      <t>.</t>
    </r>
    <r>
      <rPr>
        <rFont val="Arial, sans-serif"/>
        <color rgb="FF1155CC"/>
        <sz val="11.0"/>
        <u/>
      </rPr>
      <t>24 dic 2024</t>
    </r>
  </si>
  <si>
    <t>Repsol: así abre la cotización hoy martes 24 de diciembre, ¿cuánto rinden los dividendos?</t>
  </si>
  <si>
    <t>La cotización de las activos de la compañía de petróleo, gas y combustibles Repsol (REP) en la apertura de mercados en España este martes, 24 de....</t>
  </si>
  <si>
    <t>Repsol: this is how the price opens today, Tuesday, December 24, how much do the dividends yield?</t>
  </si>
  <si>
    <t>The price of the assets of the oil, gas and fuel company Repsol (REP) at the opening of markets in Spain this Tuesday, 24...</t>
  </si>
  <si>
    <t>Neutral, providing stock market data on Repsol.</t>
  </si>
  <si>
    <r>
      <rPr>
        <rFont val="Arial, sans-serif"/>
        <color rgb="FF1155CC"/>
        <sz val="9.0"/>
        <u/>
      </rPr>
      <t>El Debate</t>
    </r>
    <r>
      <rPr>
        <rFont val="Arial, sans-serif"/>
        <color rgb="FF1155CC"/>
        <sz val="15.0"/>
        <u/>
      </rPr>
      <t>El bar de Madrid con el mejor bocata de calamares, según la Guía Repsol</t>
    </r>
    <r>
      <rPr>
        <rFont val="Arial, sans-serif"/>
        <color rgb="FF1155CC"/>
        <sz val="11.0"/>
        <u/>
      </rPr>
      <t>El brillante asegura que ha creado los bocadillos más famosos del mundo. Y razón no le falta. Su historia se remonta a los años 30 y, a día de hoy,...</t>
    </r>
    <r>
      <rPr>
        <rFont val="Arial, sans-serif"/>
        <color rgb="FF1155CC"/>
        <sz val="12.0"/>
        <u/>
      </rPr>
      <t>.</t>
    </r>
    <r>
      <rPr>
        <rFont val="Arial, sans-serif"/>
        <color rgb="FF1155CC"/>
        <sz val="11.0"/>
        <u/>
      </rPr>
      <t>24 dic 2024</t>
    </r>
  </si>
  <si>
    <t>El bar de Madrid con el mejor bocata de calamares, según la Guía Repsol</t>
  </si>
  <si>
    <t>El brillante asegura que ha creado los bocadillos más famosos del mundo. Y razón no le falta. Su historia se remonta a los años 30 y, a día de hoy,....</t>
  </si>
  <si>
    <t>The bar in Madrid with the best calamari sandwich, according to the Repsol Guide</t>
  </si>
  <si>
    <t>The brilliant man claims to have created the most famous sandwiches in the world. And there is no lack of reason. Its history dates back to the 1930s and, today,....</t>
  </si>
  <si>
    <r>
      <rPr>
        <rFont val="Arial, sans-serif"/>
        <color rgb="FF1155CC"/>
        <sz val="9.0"/>
        <u/>
      </rPr>
      <t>Economía Digital</t>
    </r>
    <r>
      <rPr>
        <rFont val="Arial, sans-serif"/>
        <color rgb="FF1155CC"/>
        <sz val="15.0"/>
        <u/>
      </rPr>
      <t>Un impuesto edulcorado: Iberdrola, Repsol, Endesa y Naturgy podrán deducirse las inversiones en hidrógeno</t>
    </r>
    <r>
      <rPr>
        <rFont val="Arial, sans-serif"/>
        <color rgb="FF1155CC"/>
        <sz val="11.0"/>
        <u/>
      </rPr>
      <t>El Gobierno ha anunciado la prórroga del impuesto a las grandes energéticas como Iberdrola, Repsol, Endesa y Naturgy en 2025.</t>
    </r>
    <r>
      <rPr>
        <rFont val="Arial, sans-serif"/>
        <color rgb="FF1155CC"/>
        <sz val="12.0"/>
        <u/>
      </rPr>
      <t>.</t>
    </r>
    <r>
      <rPr>
        <rFont val="Arial, sans-serif"/>
        <color rgb="FF1155CC"/>
        <sz val="11.0"/>
        <u/>
      </rPr>
      <t>24 dic 2024</t>
    </r>
  </si>
  <si>
    <t>Un impuesto edulcorado: Iberdrola, Repsol, Endesa y Naturgy podrán deducirse las inversiones en hidrógeno</t>
  </si>
  <si>
    <t>Un impuesto edulcorado: Iberdrola, Repsol, Endesa y Naturgy podrán deducirse las inversiones en hidrógeno.</t>
  </si>
  <si>
    <t>A sweetened tax: Iberdrola, Repsol, Endesa and Naturgy will be able to deduct investments in hydrogen</t>
  </si>
  <si>
    <t>A sweetened tax: Iberdrola, Repsol, Endesa and Naturgy will be able to deduct investments in hydrogen.</t>
  </si>
  <si>
    <t>Repsol, tax, hydrogen</t>
  </si>
  <si>
    <t>Repsol, impuesto, hidrógeno</t>
  </si>
  <si>
    <t>Neutral, discussing tax deductions for energy companies.</t>
  </si>
  <si>
    <r>
      <rPr>
        <rFont val="Arial, sans-serif"/>
        <color rgb="FF1155CC"/>
        <sz val="9.0"/>
        <u/>
      </rPr>
      <t>El Español</t>
    </r>
    <r>
      <rPr>
        <rFont val="Arial, sans-serif"/>
        <color rgb="FF1155CC"/>
        <sz val="15.0"/>
        <u/>
      </rPr>
      <t>Las energéticas, convencidas de que PNV y Junts frenarán el ‘impuestazo’ y salvarán 30.000 millones de inversión</t>
    </r>
    <r>
      <rPr>
        <rFont val="Arial, sans-serif"/>
        <color rgb="FF1155CC"/>
        <sz val="11.0"/>
        <u/>
      </rPr>
      <t>El sector alerta que el gravamen es "enemigo" de las inversiones y confía en que decaiga en el Pleno "sin ser necesario un recurso" ante los tribunales.</t>
    </r>
    <r>
      <rPr>
        <rFont val="Arial, sans-serif"/>
        <color rgb="FF1155CC"/>
        <sz val="12.0"/>
        <u/>
      </rPr>
      <t>.</t>
    </r>
    <r>
      <rPr>
        <rFont val="Arial, sans-serif"/>
        <color rgb="FF1155CC"/>
        <sz val="11.0"/>
        <u/>
      </rPr>
      <t>24 dic 2024</t>
    </r>
  </si>
  <si>
    <t>Las energéticas, convencidas de que PNV y Junts frenarán el ‘impuestazo’ y salvarán 30.000 millones de inversión</t>
  </si>
  <si>
    <t>El sector alerta que el gravamen es "enemigo" de las inversiones y confía en que decaiga en el Pleno "sin ser necesario un recurso" ante los tribunales.</t>
  </si>
  <si>
    <t>Energy companies, convinced that PNV and Junts will stop the 'tax' and save 30,000 million in investment</t>
  </si>
  <si>
    <t>The sector warns that the tax is the "enemy" of investments and hopes that it will fall in plenary session "without requiring an appeal" to the courts.</t>
  </si>
  <si>
    <t>PNV, Junts, energy companies, tax</t>
  </si>
  <si>
    <t>PNV, Junts, empresas energéticas, fiscal</t>
  </si>
  <si>
    <t>Negative, discussing potential financial impacts of the tax.</t>
  </si>
  <si>
    <r>
      <rPr>
        <rFont val="Arial, sans-serif"/>
        <color rgb="FF1155CC"/>
        <sz val="9.0"/>
        <u/>
      </rPr>
      <t>Infobae</t>
    </r>
    <r>
      <rPr>
        <rFont val="Arial, sans-serif"/>
        <color rgb="FF1155CC"/>
        <sz val="15.0"/>
        <u/>
      </rPr>
      <t>Derrame de petróleo en Piura: 2.500 familias de pescadores artesanales fueron afectadas por hidrocarburos en el mar</t>
    </r>
    <r>
      <rPr>
        <rFont val="Arial, sans-serif"/>
        <color rgb="FF1155CC"/>
        <sz val="11.0"/>
        <u/>
      </rPr>
      <t>Infobae Perú se comunicó con Elsa Vega, presidenta de la Sociedad Nacional de Pesca Artesanal del Perú (Sonapescal), quien indicó que la economía familiar...</t>
    </r>
    <r>
      <rPr>
        <rFont val="Arial, sans-serif"/>
        <color rgb="FF1155CC"/>
        <sz val="12.0"/>
        <u/>
      </rPr>
      <t>.</t>
    </r>
    <r>
      <rPr>
        <rFont val="Arial, sans-serif"/>
        <color rgb="FF1155CC"/>
        <sz val="11.0"/>
        <u/>
      </rPr>
      <t>24 dic 2024</t>
    </r>
  </si>
  <si>
    <t>Derrame de petróleo en Piura: 2.500 familias de pescadores artesanales fueron afectadas por hidrocarburos en el mar</t>
  </si>
  <si>
    <t>2.500 familias de pescadores artesanales fueron afectadas por hidrocarburos en el mar.</t>
  </si>
  <si>
    <t>Oil spill in Piura: 2,500 families of artisanal fishermen were affected by hydrocarbons in the sea</t>
  </si>
  <si>
    <t>2,500 families of artisanal fishermen were affected by hydrocarbons in the sea.</t>
  </si>
  <si>
    <t>oil spill, Piura, fishermen, environment</t>
  </si>
  <si>
    <t>derrame de petróleo, Piura, pescadores, medio ambiente</t>
  </si>
  <si>
    <t>Negative, highlighting the environmental and social impact of an oil spill.</t>
  </si>
  <si>
    <t>derrame, "afectadas"</t>
  </si>
  <si>
    <t>Highly negative (ecological/social impact).</t>
  </si>
  <si>
    <t>Altamente negativo (impacto ecológico/social).</t>
  </si>
  <si>
    <r>
      <rPr>
        <rFont val="Arial, sans-serif"/>
        <color rgb="FF1155CC"/>
        <sz val="9.0"/>
        <u/>
      </rPr>
      <t>La Comarca</t>
    </r>
    <r>
      <rPr>
        <rFont val="Arial, sans-serif"/>
        <color rgb="FF1155CC"/>
        <sz val="15.0"/>
        <u/>
      </rPr>
      <t>El Bajo Aragón Histórico se ilumina con cinco nuevos 'Soletes con Solera' de la Guía Repsol</t>
    </r>
    <r>
      <rPr>
        <rFont val="Arial, sans-serif"/>
        <color rgb="FF1155CC"/>
        <sz val="11.0"/>
        <u/>
      </rPr>
      <t>Los establecimientos han sido reconocidos por su autenticidad y esencia, reivindicando el alma de la tradición gastronómica en Valderrobres, Alcañiz,...</t>
    </r>
    <r>
      <rPr>
        <rFont val="Arial, sans-serif"/>
        <color rgb="FF1155CC"/>
        <sz val="12.0"/>
        <u/>
      </rPr>
      <t>.</t>
    </r>
    <r>
      <rPr>
        <rFont val="Arial, sans-serif"/>
        <color rgb="FF1155CC"/>
        <sz val="11.0"/>
        <u/>
      </rPr>
      <t>25 dic 2024</t>
    </r>
  </si>
  <si>
    <t>La Comarca</t>
  </si>
  <si>
    <t>El Bajo Aragón Histórico se ilumina con cinco nuevos 'Soletes con Solera' de la Guía Repsol</t>
  </si>
  <si>
    <t>Los establecimientos han sido reconocidos por su autenticidad y esencia, reivindicando el alma de la tradición gastronómica en Valderrobres, Alcañiz,....</t>
  </si>
  <si>
    <t>The Historic Lower Aragón is illuminated with five new 'Soletes con Solera' from the Repsol Guide</t>
  </si>
  <si>
    <t>The establishments have been recognized for their authenticity and essence, reclaiming the soul of the gastronomic tradition in Valderrobres, Alcañiz,....</t>
  </si>
  <si>
    <r>
      <rPr>
        <rFont val="Arial, sans-serif"/>
        <color rgb="FF1155CC"/>
        <sz val="9.0"/>
        <u/>
      </rPr>
      <t>Merca2.es</t>
    </r>
    <r>
      <rPr>
        <rFont val="Arial, sans-serif"/>
        <color rgb="FF1155CC"/>
        <sz val="15.0"/>
        <u/>
      </rPr>
      <t>Acerinox, Redeia, Iberdrola, Repsol, Amadeus y Endesa alegrarán enero con su dividendo</t>
    </r>
    <r>
      <rPr>
        <rFont val="Arial, sans-serif"/>
        <color rgb="FF1155CC"/>
        <sz val="11.0"/>
        <u/>
      </rPr>
      <t>En los próximos días, se mantendrá la lluvia de dividendos gracias a Acerinox, Redeia, Iberdrola, Repsol, Amadeus y Endesa, en el Ibex 35.</t>
    </r>
    <r>
      <rPr>
        <rFont val="Arial, sans-serif"/>
        <color rgb="FF1155CC"/>
        <sz val="12.0"/>
        <u/>
      </rPr>
      <t>.</t>
    </r>
    <r>
      <rPr>
        <rFont val="Arial, sans-serif"/>
        <color rgb="FF1155CC"/>
        <sz val="11.0"/>
        <u/>
      </rPr>
      <t>25 dic 2024</t>
    </r>
  </si>
  <si>
    <t>Acerinox, Redeia, Iberdrola, Repsol, Amadeus y Endesa alegrarán enero con su dividendo</t>
  </si>
  <si>
    <t>En los próximos días, se mantendrá la lluvia de dividendos gracias a Acerinox, Redeia, Iberdrola, Repsol, Amadeus y Endesa, en el Ibex 35.</t>
  </si>
  <si>
    <t>Acerinox, Redeia, Iberdrola, Repsol, Amadeus and Endesa will brighten January with their dividend</t>
  </si>
  <si>
    <t>In the coming days, the rain of dividends will continue thanks to Acerinox, Redeia, Iberdrola, Repsol, Amadeus and Endesa, on the Ibex 35.</t>
  </si>
  <si>
    <t>Repsol, dividends, Ibex 35</t>
  </si>
  <si>
    <t>Repsol, dividendos, Ibex 35</t>
  </si>
  <si>
    <t>Positive, highlighting Repsol’s role in the strong dividend performance.</t>
  </si>
  <si>
    <r>
      <rPr>
        <rFont val="Arial, sans-serif"/>
        <color rgb="FF1155CC"/>
        <sz val="9.0"/>
        <u/>
      </rPr>
      <t>Cinco Días</t>
    </r>
    <r>
      <rPr>
        <rFont val="Arial, sans-serif"/>
        <color rgb="FF1155CC"/>
        <sz val="15.0"/>
        <u/>
      </rPr>
      <t>Las claves: el gris debate sobre la inversión verde</t>
    </r>
    <r>
      <rPr>
        <rFont val="Arial, sans-serif"/>
        <color rgb="FF1155CC"/>
        <sz val="11.0"/>
        <u/>
      </rPr>
      <t>En materia de inversión verde, el debate tiende a plantearse en términos absolutos, sobre todo en Estados Unidos, pero la realidad es más gris.</t>
    </r>
    <r>
      <rPr>
        <rFont val="Arial, sans-serif"/>
        <color rgb="FF1155CC"/>
        <sz val="12.0"/>
        <u/>
      </rPr>
      <t>.</t>
    </r>
    <r>
      <rPr>
        <rFont val="Arial, sans-serif"/>
        <color rgb="FF1155CC"/>
        <sz val="11.0"/>
        <u/>
      </rPr>
      <t>25 dic 2024</t>
    </r>
  </si>
  <si>
    <t>Las claves: el gris debate sobre la inversión verde</t>
  </si>
  <si>
    <t>En materia de inversión verde, el debate tiende a plantearse en términos absolutos, sobre todo en Estados Unidos, pero la realidad es más gris.</t>
  </si>
  <si>
    <t>The keys: the gray debate on green investment</t>
  </si>
  <si>
    <t>When it comes to green investment, the debate tends to be raised in absolute terms, especially in the United States, but the reality is grayer.</t>
  </si>
  <si>
    <r>
      <rPr>
        <rFont val="Arial, sans-serif"/>
        <color rgb="FF1155CC"/>
        <sz val="9.0"/>
        <u/>
      </rPr>
      <t>El Español</t>
    </r>
    <r>
      <rPr>
        <rFont val="Arial, sans-serif"/>
        <color rgb="FF1155CC"/>
        <sz val="15.0"/>
        <u/>
      </rPr>
      <t>Los mejores restaurantes de Ferrol revelan la clave de su éxito: honestidad y producto local</t>
    </r>
    <r>
      <rPr>
        <rFont val="Arial, sans-serif"/>
        <color rgb="FF1155CC"/>
        <sz val="11.0"/>
        <u/>
      </rPr>
      <t>O Camiño do Inglés, A Gabeira y Bacelo se han convertido en restaurantes de referencia en Ferrol, pero también en toda Galicia. Con Soles Repsol y menciones...</t>
    </r>
    <r>
      <rPr>
        <rFont val="Arial, sans-serif"/>
        <color rgb="FF1155CC"/>
        <sz val="12.0"/>
        <u/>
      </rPr>
      <t>.</t>
    </r>
    <r>
      <rPr>
        <rFont val="Arial, sans-serif"/>
        <color rgb="FF1155CC"/>
        <sz val="11.0"/>
        <u/>
      </rPr>
      <t>25 dic 2024</t>
    </r>
  </si>
  <si>
    <t>Los mejores restaurantes de Ferrol revelan la clave de su éxito: honestidad y producto local</t>
  </si>
  <si>
    <t>O Camiño do Inglés, A Gabeira y Bacelo se han convertido en restaurantes de referencia en Ferrol, pero también en toda Galicia. Con Soles Repsol y menciones....</t>
  </si>
  <si>
    <t>The best restaurants in Ferrol reveal the key to their success: honesty and local products</t>
  </si>
  <si>
    <t>O Camiño do Inglés, A Gabeira and Bacelo have become reference restaurants in Ferrol, but also throughout Galicia. With Repsol Soles and mentions....</t>
  </si>
  <si>
    <r>
      <rPr>
        <rFont val="Arial, sans-serif"/>
        <color rgb="FF1155CC"/>
        <sz val="9.0"/>
        <u/>
      </rPr>
      <t>Plusmoto</t>
    </r>
    <r>
      <rPr>
        <rFont val="Arial, sans-serif"/>
        <color rgb="FF1155CC"/>
        <sz val="15.0"/>
        <u/>
      </rPr>
      <t>Confirmadas fechas definitivas de los test 2025 de MotoGP, Moto2 y Moto3</t>
    </r>
    <r>
      <rPr>
        <rFont val="Arial, sans-serif"/>
        <color rgb="FF1155CC"/>
        <sz val="11.0"/>
        <u/>
      </rPr>
      <t>Confirmadas fechas definitivas de los test MotoGP, Moto2 y Moto3 para la temporada 2025.</t>
    </r>
    <r>
      <rPr>
        <rFont val="Arial, sans-serif"/>
        <color rgb="FF1155CC"/>
        <sz val="12.0"/>
        <u/>
      </rPr>
      <t>.</t>
    </r>
    <r>
      <rPr>
        <rFont val="Arial, sans-serif"/>
        <color rgb="FF1155CC"/>
        <sz val="11.0"/>
        <u/>
      </rPr>
      <t>25 dic 2024</t>
    </r>
  </si>
  <si>
    <t>Plusmoto</t>
  </si>
  <si>
    <t>Confirmadas fechas definitivas de los test 2025 de MotoGP, Moto2 y Moto3</t>
  </si>
  <si>
    <t>Confirmadas fechas definitivas de los test MotoGP, Moto2 y Moto3 para la temporada 2025.</t>
  </si>
  <si>
    <t>Final dates confirmed for the 2025 MotoGP, Moto2 and Moto3 tests</t>
  </si>
  <si>
    <t>Final dates confirmed for the MotoGP, Moto2 and Moto3 tests for the 2025 season.</t>
  </si>
  <si>
    <r>
      <rPr>
        <rFont val="Arial, sans-serif"/>
        <color rgb="FF1155CC"/>
        <sz val="9.0"/>
        <u/>
      </rPr>
      <t>Europa Sur</t>
    </r>
    <r>
      <rPr>
        <rFont val="Arial, sans-serif"/>
        <color rgb="FF1155CC"/>
        <sz val="15.0"/>
        <u/>
      </rPr>
      <t>El Gobierno aprueba una tasa a las energéticas para 2025 que pone en peligro la inversión de Moeve en San Roque</t>
    </r>
    <r>
      <rPr>
        <rFont val="Arial, sans-serif"/>
        <color rgb="FF1155CC"/>
        <sz val="11.0"/>
        <u/>
      </rPr>
      <t>Las grandes empresas podrán deducir hasta el 60% del impuesto con inversiones verdes, según el decreto del Gobierno, que intenta así.</t>
    </r>
    <r>
      <rPr>
        <rFont val="Arial, sans-serif"/>
        <color rgb="FF1155CC"/>
        <sz val="12.0"/>
        <u/>
      </rPr>
      <t>.</t>
    </r>
    <r>
      <rPr>
        <rFont val="Arial, sans-serif"/>
        <color rgb="FF1155CC"/>
        <sz val="11.0"/>
        <u/>
      </rPr>
      <t>25 dic 2024</t>
    </r>
  </si>
  <si>
    <t>El Gobierno aprueba una tasa a las energéticas para 2025 que pone en peligro la inversión de Moeve en San Roque</t>
  </si>
  <si>
    <t>Las grandes empresas podrán deducir hasta el 60% del impuesto con inversiones verdes, según el decreto del Gobierno, que intenta así..</t>
  </si>
  <si>
    <t>The Government approves a tax on energy companies for 2025 that puts Moeve's investment in San Roque at risk</t>
  </si>
  <si>
    <t>Large companies will be able to deduct up to 60% of the tax with green investments, according to the Government decree, which attempts to...</t>
  </si>
  <si>
    <t>energy companies, tax, Moeve, investment</t>
  </si>
  <si>
    <t>empresas de energía, impuestos, Moeve, inversión</t>
  </si>
  <si>
    <t>Negative, discussing the impact of new taxes on investments.</t>
  </si>
  <si>
    <t>tasa, "peligro"</t>
  </si>
  <si>
    <t>Negative for tax policy.</t>
  </si>
  <si>
    <t>Negativo para la política fiscal.</t>
  </si>
  <si>
    <r>
      <rPr>
        <rFont val="Arial, sans-serif"/>
        <color rgb="FF1155CC"/>
        <sz val="9.0"/>
        <u/>
      </rPr>
      <t>Diario Público</t>
    </r>
    <r>
      <rPr>
        <rFont val="Arial, sans-serif"/>
        <color rgb="FF1155CC"/>
        <sz val="15.0"/>
        <u/>
      </rPr>
      <t>Los diputados de Repsol</t>
    </r>
    <r>
      <rPr>
        <rFont val="Arial, sans-serif"/>
        <color rgb="FF1155CC"/>
        <sz val="11.0"/>
        <u/>
      </rPr>
      <t>El otro día Aitor Esteban se puso hecho un basilisco. Le plantaron los micrófonos en el pasillo del Congreso y cantó de lo lindo contra Ione Belarra.</t>
    </r>
    <r>
      <rPr>
        <rFont val="Arial, sans-serif"/>
        <color rgb="FF1155CC"/>
        <sz val="12.0"/>
        <u/>
      </rPr>
      <t>.</t>
    </r>
    <r>
      <rPr>
        <rFont val="Arial, sans-serif"/>
        <color rgb="FF1155CC"/>
        <sz val="11.0"/>
        <u/>
      </rPr>
      <t>26 dic 2024</t>
    </r>
  </si>
  <si>
    <t>Los diputados de Repsol</t>
  </si>
  <si>
    <t>El otro día Aitor Esteban se puso hecho un basilisco. Le plantaron los micrófonos en el pasillo del Congreso y cantó de lo lindo contra Ione Belarra.</t>
  </si>
  <si>
    <t>Repsol deputies</t>
  </si>
  <si>
    <t>The other day Aitor Esteban became a basilisk. They planted microphones in the Congress hall and he sang beautifully against Ione Belarra.</t>
  </si>
  <si>
    <r>
      <rPr>
        <rFont val="Arial, sans-serif"/>
        <color rgb="FF1155CC"/>
        <sz val="9.0"/>
        <u/>
      </rPr>
      <t>Interempresas.net</t>
    </r>
    <r>
      <rPr>
        <rFont val="Arial, sans-serif"/>
        <color rgb="FF1155CC"/>
        <sz val="15.0"/>
        <u/>
      </rPr>
      <t>Faconauto y Repsol lanzan una iniciativa para apoyar a los damnificados por la DANA que adquieran un vehículo nuevo</t>
    </r>
    <r>
      <rPr>
        <rFont val="Arial, sans-serif"/>
        <color rgb="FF1155CC"/>
        <sz val="11.0"/>
        <u/>
      </rPr>
      <t>Faconauto, la patronal que agrupa a más de 2.000 concesionarios en toda España, se ha unido a Repsol en una iniciativa para apoyar a las personas afectadas...</t>
    </r>
    <r>
      <rPr>
        <rFont val="Arial, sans-serif"/>
        <color rgb="FF1155CC"/>
        <sz val="12.0"/>
        <u/>
      </rPr>
      <t>.</t>
    </r>
    <r>
      <rPr>
        <rFont val="Arial, sans-serif"/>
        <color rgb="FF1155CC"/>
        <sz val="11.0"/>
        <u/>
      </rPr>
      <t>26 dic 2024</t>
    </r>
  </si>
  <si>
    <t>Faconauto y Repsol lanzan una iniciativa para apoyar a los damnificados por la DANA que adquieran un vehículo nuevo</t>
  </si>
  <si>
    <t>Faconauto, la patronal que agrupa a más de 2.000 concesionarios en toda España, se ha unido a Repsol en una iniciativa para apoyar a las personas afectadas....</t>
  </si>
  <si>
    <t>Faconauto and Repsol launch an initiative to support those affected by DANA to acquire a new vehicle</t>
  </si>
  <si>
    <t>Faconauto, the employer's association that brings together more than 2,000 dealers throughout Spain, has joined Repsol in an initiative to support affected people....</t>
  </si>
  <si>
    <t>Repsol, DANA, new vehicle</t>
  </si>
  <si>
    <t>Repsol, DANA, vehículo nuevo</t>
  </si>
  <si>
    <t>Positive, showcasing a community initiative to help those affected by DANA.</t>
  </si>
  <si>
    <t>apoyar</t>
  </si>
  <si>
    <t>Positive for CSR.</t>
  </si>
  <si>
    <t>Positivo para la RSE.</t>
  </si>
  <si>
    <r>
      <rPr>
        <rFont val="Arial, sans-serif"/>
        <color rgb="FF1155CC"/>
        <sz val="9.0"/>
        <u/>
      </rPr>
      <t>20Minutos</t>
    </r>
    <r>
      <rPr>
        <rFont val="Arial, sans-serif"/>
        <color rgb="FF1155CC"/>
        <sz val="15.0"/>
        <u/>
      </rPr>
      <t>Iberdrola, Endesa, Naturgy, Repsol y Moeve tendrían que invertir 4.100 millones para reducir al mínimo el 'impuestazo'</t>
    </r>
    <r>
      <rPr>
        <rFont val="Arial, sans-serif"/>
        <color rgb="FF1155CC"/>
        <sz val="11.0"/>
        <u/>
      </rPr>
      <t>Las inversiones serían multimillonarias si se toma como referencia lo que han pagado los grupos por el gravamen en 2024 y aplicando el máximo de las...</t>
    </r>
    <r>
      <rPr>
        <rFont val="Arial, sans-serif"/>
        <color rgb="FF1155CC"/>
        <sz val="12.0"/>
        <u/>
      </rPr>
      <t>.</t>
    </r>
    <r>
      <rPr>
        <rFont val="Arial, sans-serif"/>
        <color rgb="FF1155CC"/>
        <sz val="11.0"/>
        <u/>
      </rPr>
      <t>26 dic 2024</t>
    </r>
  </si>
  <si>
    <t>Iberdrola, Endesa, Naturgy, Repsol y Moeve tendrían que invertir 4.100 millones para reducir al mínimo el 'impuestazo'</t>
  </si>
  <si>
    <t>Las inversiones serían multimillonarias si se toma como referencia lo que han pagado los grupos por el gravamen en 2024 y aplicando el máximo de las....</t>
  </si>
  <si>
    <t>Iberdrola, Endesa, Naturgy, Repsol and Moeve would have to invest 4.1 billion to reduce the 'tax' to a minimum</t>
  </si>
  <si>
    <t>The investments would be multimillion-dollar if what the groups have paid for the tax in 2024 is taken as a reference and applying the maximum of the...</t>
  </si>
  <si>
    <t>Repsol, tax, investment</t>
  </si>
  <si>
    <t>Repsol, impuesto, inversión</t>
  </si>
  <si>
    <t>Negative, discussing the financial burden of the new tax.</t>
  </si>
  <si>
    <t>Negative for tax burden.</t>
  </si>
  <si>
    <t>Negativo para la carga fiscal.</t>
  </si>
  <si>
    <r>
      <rPr>
        <rFont val="Arial, sans-serif"/>
        <color rgb="FF1155CC"/>
        <sz val="9.0"/>
        <u/>
      </rPr>
      <t>Comunicación &amp; Marketing</t>
    </r>
    <r>
      <rPr>
        <rFont val="Arial, sans-serif"/>
        <color rgb="FF1155CC"/>
        <sz val="15.0"/>
        <u/>
      </rPr>
      <t>Repsol personaliza con IA su felicitación navideña</t>
    </r>
    <r>
      <rPr>
        <rFont val="Arial, sans-serif"/>
        <color rgb="FF1155CC"/>
        <sz val="11.0"/>
        <u/>
      </rPr>
      <t>Esta iniciativa, desarrollada por DDB España en la parte creativa y SuperReal como socio tecnológico, refuerza la apuesta de la compañía por el uso de...</t>
    </r>
    <r>
      <rPr>
        <rFont val="Arial, sans-serif"/>
        <color rgb="FF1155CC"/>
        <sz val="12.0"/>
        <u/>
      </rPr>
      <t>.</t>
    </r>
    <r>
      <rPr>
        <rFont val="Arial, sans-serif"/>
        <color rgb="FF1155CC"/>
        <sz val="11.0"/>
        <u/>
      </rPr>
      <t>26 dic 2024</t>
    </r>
  </si>
  <si>
    <t>Comunicación &amp; Marketing</t>
  </si>
  <si>
    <t>Repsol personaliza con IA su felicitación navideña</t>
  </si>
  <si>
    <t>Esta iniciativa, desarrollada por DDB España en la parte creativa y SuperReal como socio tecnológico, refuerza la apuesta de la compañía por el uso de....</t>
  </si>
  <si>
    <t>Repsol personalizes your Christmas greeting with AI</t>
  </si>
  <si>
    <t>This initiative, developed by DDB Spain in the creative part and SuperReal as a technological partner, reinforces the company's commitment to the use of...</t>
  </si>
  <si>
    <r>
      <rPr>
        <rFont val="Arial, sans-serif"/>
        <color rgb="FF1155CC"/>
        <sz val="9.0"/>
        <u/>
      </rPr>
      <t>MiCiudadReal.es</t>
    </r>
    <r>
      <rPr>
        <rFont val="Arial, sans-serif"/>
        <color rgb="FF1155CC"/>
        <sz val="15.0"/>
        <u/>
      </rPr>
      <t>Abre sus puertas «La Central de los Sueños», la gran feria navideña de Puertollano patrocinada por Repsol</t>
    </r>
    <r>
      <rPr>
        <rFont val="Arial, sans-serif"/>
        <color rgb="FF1155CC"/>
        <sz val="11.0"/>
        <u/>
      </rPr>
      <t>'La Central de los Sueños' ha abierto este jueves sus puertas en el pabellón ferial La Central de Puertollano hasta el próximo 3 de enero.</t>
    </r>
    <r>
      <rPr>
        <rFont val="Arial, sans-serif"/>
        <color rgb="FF1155CC"/>
        <sz val="12.0"/>
        <u/>
      </rPr>
      <t>.</t>
    </r>
    <r>
      <rPr>
        <rFont val="Arial, sans-serif"/>
        <color rgb="FF1155CC"/>
        <sz val="11.0"/>
        <u/>
      </rPr>
      <t>26 dic 2024</t>
    </r>
  </si>
  <si>
    <t>Abre sus puertas «La Central de los Sueños», la gran feria navideña de Puertollano patrocinada por Repsol</t>
  </si>
  <si>
    <t>'La Central de los Sueños' ha abierto este jueves sus puertas en el pabellón ferial La Central de Puertollano hasta el próximo 3 de enero.</t>
  </si>
  <si>
    <t>“La Central de los Sueños” opens its doors, the great Puertollano Christmas fair sponsored by Repsol</t>
  </si>
  <si>
    <t>'La Central de los Sueños' opened its doors this Thursday at the La Central fair pavilion in Puertollano until next January 3.</t>
  </si>
  <si>
    <r>
      <rPr>
        <rFont val="Arial, sans-serif"/>
        <color rgb="FF1155CC"/>
        <sz val="9.0"/>
        <u/>
      </rPr>
      <t>El Confidencial</t>
    </r>
    <r>
      <rPr>
        <rFont val="Arial, sans-serif"/>
        <color rgb="FF1155CC"/>
        <sz val="15.0"/>
        <u/>
      </rPr>
      <t>'La Bala Mágica': si te gustan las teorías de la conspiración, tienes que escuchar este pódcast</t>
    </r>
    <r>
      <rPr>
        <rFont val="Arial, sans-serif"/>
        <color rgb="FF1155CC"/>
        <sz val="11.0"/>
        <u/>
      </rPr>
      <t>Esta ficción sonora narra la historia de una periodista envuelta en una conspiración: las energéticas pueden crear combustibles a partir de residuos...</t>
    </r>
    <r>
      <rPr>
        <rFont val="Arial, sans-serif"/>
        <color rgb="FF1155CC"/>
        <sz val="12.0"/>
        <u/>
      </rPr>
      <t>.</t>
    </r>
    <r>
      <rPr>
        <rFont val="Arial, sans-serif"/>
        <color rgb="FF1155CC"/>
        <sz val="11.0"/>
        <u/>
      </rPr>
      <t>26 dic 2024</t>
    </r>
  </si>
  <si>
    <t>'La Bala Mágica': si te gustan las teorías de la conspiración, tienes que escuchar este pódcast</t>
  </si>
  <si>
    <t>Esta ficción sonora narra la historia de una periodista envuelta en una conspiración: las energéticas pueden crear combustibles a partir de residuos.</t>
  </si>
  <si>
    <t>'The Magic Bullet': if you like conspiracy theories, you have to listen to this podcast</t>
  </si>
  <si>
    <t>This sound fiction tells the story of a journalist involved in a conspiracy: energy companies can create fuel from waste.</t>
  </si>
  <si>
    <r>
      <rPr>
        <rFont val="Arial, sans-serif"/>
        <color rgb="FF1155CC"/>
        <sz val="9.0"/>
        <u/>
      </rPr>
      <t>Petronor</t>
    </r>
    <r>
      <rPr>
        <rFont val="Arial, sans-serif"/>
        <color rgb="FF1155CC"/>
        <sz val="15.0"/>
        <u/>
      </rPr>
      <t>Se incorporan 3 robots para colaborar con los equipos de seguridad de Petronor</t>
    </r>
    <r>
      <rPr>
        <rFont val="Arial, sans-serif"/>
        <color rgb="FF1155CC"/>
        <sz val="11.0"/>
        <u/>
      </rPr>
      <t>Recientemente, Petronor ha incorporado tres robots en la refinería dentro del Proyecto IRIA 5G, que han pasado de manera satisfactoria las pruebas...</t>
    </r>
    <r>
      <rPr>
        <rFont val="Arial, sans-serif"/>
        <color rgb="FF1155CC"/>
        <sz val="12.0"/>
        <u/>
      </rPr>
      <t>.</t>
    </r>
    <r>
      <rPr>
        <rFont val="Arial, sans-serif"/>
        <color rgb="FF1155CC"/>
        <sz val="11.0"/>
        <u/>
      </rPr>
      <t>26 dic 2024</t>
    </r>
  </si>
  <si>
    <t>Se incorporan 3 robots para colaborar con los equipos de seguridad de Petronor</t>
  </si>
  <si>
    <t>Recientemente, Petronor ha incorporado tres robots en la refinería dentro del Proyecto IRIA 5G, que han pasado de manera satisfactoria las pruebas....</t>
  </si>
  <si>
    <t>3 robots are incorporated to collaborate with Petronor security teams</t>
  </si>
  <si>
    <t>Recently, Petronor has incorporated three robots in the refinery within the IRIA 5G Project, which have satisfactorily passed the tests....</t>
  </si>
  <si>
    <t>Petronor, robots, security</t>
  </si>
  <si>
    <t>Petronor, robots, seguridad</t>
  </si>
  <si>
    <t>Positive, showing innovation with robotic integration in Petronor.</t>
  </si>
  <si>
    <t>Mildly positive (innovation).</t>
  </si>
  <si>
    <t>Ligeramente positivo (innovación).</t>
  </si>
  <si>
    <r>
      <rPr>
        <rFont val="Arial, sans-serif"/>
        <color rgb="FF1155CC"/>
        <sz val="9.0"/>
        <u/>
      </rPr>
      <t>La Tribuna de Ciudad Real</t>
    </r>
    <r>
      <rPr>
        <rFont val="Arial, sans-serif"/>
        <color rgb="FF1155CC"/>
        <sz val="15.0"/>
        <u/>
      </rPr>
      <t>'La Central de los Sueños' abre hasta el 3 de enero</t>
    </r>
    <r>
      <rPr>
        <rFont val="Arial, sans-serif"/>
        <color rgb="FF1155CC"/>
        <sz val="11.0"/>
        <u/>
      </rPr>
      <t>Repsol recuerda que este 2024 ha impulsado el deporte, la educación y el ocio de los niños y jóvenes de Puertollano con diferentes acciones, incluyendo esta...</t>
    </r>
    <r>
      <rPr>
        <rFont val="Arial, sans-serif"/>
        <color rgb="FF1155CC"/>
        <sz val="12.0"/>
        <u/>
      </rPr>
      <t>.</t>
    </r>
    <r>
      <rPr>
        <rFont val="Arial, sans-serif"/>
        <color rgb="FF1155CC"/>
        <sz val="11.0"/>
        <u/>
      </rPr>
      <t>26 dic 2024</t>
    </r>
  </si>
  <si>
    <t>'La Central de los Sueños' abre hasta el 3 de enero</t>
  </si>
  <si>
    <t>Repsol recuerda que este 2024 ha impulsado el deporte, la educación y el ocio de los niños y jóvenes de Puertollano con diferentes acciones, incluyendo esta....</t>
  </si>
  <si>
    <t>'La Central de los Sueños' opens until January 3</t>
  </si>
  <si>
    <t>Repsol remembers that in 2024 it has promoted sports, education and leisure for the children and young people of Puertollano with different actions, including this one....</t>
  </si>
  <si>
    <r>
      <rPr>
        <rFont val="Arial, sans-serif"/>
        <color rgb="FF1155CC"/>
        <sz val="9.0"/>
        <u/>
      </rPr>
      <t>Ayuntamiento de Puertollano</t>
    </r>
    <r>
      <rPr>
        <rFont val="Arial, sans-serif"/>
        <color rgb="FF1155CC"/>
        <sz val="15.0"/>
        <u/>
      </rPr>
      <t>El parque temático de la Navidad "La Central de los Sueños" abre sus puertas a la diversión de niños y jóvenes</t>
    </r>
    <r>
      <rPr>
        <rFont val="Arial, sans-serif"/>
        <color rgb="FF1155CC"/>
        <sz val="11.0"/>
        <u/>
      </rPr>
      <t>El gran parque temático de la Navidad ha abierto sus puertas en Puertollano hasta el 3 de enero en “La Central de los Sueños”, gracias al patrocinio del...</t>
    </r>
    <r>
      <rPr>
        <rFont val="Arial, sans-serif"/>
        <color rgb="FF1155CC"/>
        <sz val="12.0"/>
        <u/>
      </rPr>
      <t>.</t>
    </r>
    <r>
      <rPr>
        <rFont val="Arial, sans-serif"/>
        <color rgb="FF1155CC"/>
        <sz val="11.0"/>
        <u/>
      </rPr>
      <t>26 dic 2024</t>
    </r>
  </si>
  <si>
    <t>El parque temático de la Navidad "La Central de los Sueños" abre sus puertas a la diversión de niños y jóvenes</t>
  </si>
  <si>
    <t>El gran parque temático de la Navidad ha abierto sus puertas en Puertollano hasta el 3 de enero en “La Central de los Sueños”, gracias al patrocinio del....</t>
  </si>
  <si>
    <t>The Christmas theme park "La Central de los Sueños" opens its doors to the fun of children and young people</t>
  </si>
  <si>
    <t>The great Christmas theme park has opened its doors in Puertollano until January 3 at “La Central de los Sueños”, thanks to the sponsorship of...</t>
  </si>
  <si>
    <r>
      <rPr>
        <rFont val="Arial, sans-serif"/>
        <color rgb="FF1155CC"/>
        <sz val="9.0"/>
        <u/>
      </rPr>
      <t>Car and Driver</t>
    </r>
    <r>
      <rPr>
        <rFont val="Arial, sans-serif"/>
        <color rgb="FF1155CC"/>
        <sz val="15.0"/>
        <u/>
      </rPr>
      <t>Desvelado el cambio de estrategia que Cepsa ya prueba en Madrid... y que busca desbancar a Repsol</t>
    </r>
    <r>
      <rPr>
        <rFont val="Arial, sans-serif"/>
        <color rgb="FF1155CC"/>
        <sz val="11.0"/>
        <u/>
      </rPr>
      <t>Se trata del cambio más importante de la que es la segunda cadena de gasolineras de España tras Repsol.</t>
    </r>
    <r>
      <rPr>
        <rFont val="Arial, sans-serif"/>
        <color rgb="FF1155CC"/>
        <sz val="12.0"/>
        <u/>
      </rPr>
      <t>.</t>
    </r>
    <r>
      <rPr>
        <rFont val="Arial, sans-serif"/>
        <color rgb="FF1155CC"/>
        <sz val="11.0"/>
        <u/>
      </rPr>
      <t>27 dic 2024</t>
    </r>
  </si>
  <si>
    <t>Desvelado el cambio de estrategia que Cepsa ya prueba en Madrid... y que busca desbancar a Repsol</t>
  </si>
  <si>
    <t>Se trata del cambio más importante de la que es la segunda cadena de gasolineras de España tras Repsol.</t>
  </si>
  <si>
    <t>Revealed the change in strategy that Cepsa is already testing in Madrid... and that seeks to unseat Repsol</t>
  </si>
  <si>
    <t>This is the most important change for what is the second largest gas station chain in Spain after Repsol.</t>
  </si>
  <si>
    <t>Cepsa, strategy, Madrid, Repsol</t>
  </si>
  <si>
    <t>Cepsa, estrategia, Madrid, Repsol</t>
  </si>
  <si>
    <t>Negative, indicating competition from Cepsa against Repsol.</t>
  </si>
  <si>
    <t>desbancar</t>
  </si>
  <si>
    <t>Negative for competitive threat.</t>
  </si>
  <si>
    <t>Negativo para amenaza competitiva.</t>
  </si>
  <si>
    <r>
      <rPr>
        <rFont val="Arial, sans-serif"/>
        <color rgb="FF1155CC"/>
        <sz val="9.0"/>
        <u/>
      </rPr>
      <t>Guía Repsol</t>
    </r>
    <r>
      <rPr>
        <rFont val="Arial, sans-serif"/>
        <color rgb="FF1155CC"/>
        <sz val="15.0"/>
        <u/>
      </rPr>
      <t>Descubre los restaurantes nuevos en Madrid 2023 : Guía actualizada</t>
    </r>
    <r>
      <rPr>
        <rFont val="Arial, sans-serif"/>
        <color rgb="FF1155CC"/>
        <sz val="11.0"/>
        <u/>
      </rPr>
      <t>El ritmo continúa imparable en lo relativo a restaurantes nuevos en Madrid, haciendo las delicias de vecinos y turistas que encuentran su particular templo.</t>
    </r>
    <r>
      <rPr>
        <rFont val="Arial, sans-serif"/>
        <color rgb="FF1155CC"/>
        <sz val="12.0"/>
        <u/>
      </rPr>
      <t>.</t>
    </r>
    <r>
      <rPr>
        <rFont val="Arial, sans-serif"/>
        <color rgb="FF1155CC"/>
        <sz val="11.0"/>
        <u/>
      </rPr>
      <t>27 dic 2024</t>
    </r>
  </si>
  <si>
    <t>Descubre los restaurantes nuevos en Madrid 2023 : Guía actualizada</t>
  </si>
  <si>
    <t>El ritmo continúa imparable en lo relativo a restaurantes nuevos en Madrid, haciendo las delicias de vecinos y turistas que encuentran su particular templo.</t>
  </si>
  <si>
    <t>Discover the new restaurants in Madrid 2023: Updated guide</t>
  </si>
  <si>
    <t>The pace continues unstoppable when it comes to new restaurants in Madrid, delighting neighbors and tourists who find their particular temple.</t>
  </si>
  <si>
    <r>
      <rPr>
        <rFont val="Arial, sans-serif"/>
        <color rgb="FF1155CC"/>
        <sz val="9.0"/>
        <u/>
      </rPr>
      <t>Economía Digital</t>
    </r>
    <r>
      <rPr>
        <rFont val="Arial, sans-serif"/>
        <color rgb="FF1155CC"/>
        <sz val="15.0"/>
        <u/>
      </rPr>
      <t>Iberdrola, Forestal del Atlántico, Lence y Repsol captan 178 millones en ayudas para sus proyectos renovables</t>
    </r>
    <r>
      <rPr>
        <rFont val="Arial, sans-serif"/>
        <color rgb="FF1155CC"/>
        <sz val="11.0"/>
        <u/>
      </rPr>
      <t>El fondo de innovación de la Unión Europea respaldará cinco proyectos en Galicia y concede la ayuda más importante en toda España, 123 millones, a la...</t>
    </r>
    <r>
      <rPr>
        <rFont val="Arial, sans-serif"/>
        <color rgb="FF1155CC"/>
        <sz val="12.0"/>
        <u/>
      </rPr>
      <t>.</t>
    </r>
    <r>
      <rPr>
        <rFont val="Arial, sans-serif"/>
        <color rgb="FF1155CC"/>
        <sz val="11.0"/>
        <u/>
      </rPr>
      <t>27 dic 2024</t>
    </r>
  </si>
  <si>
    <t>Iberdrola, Forestal del Atlántico, Lence y Repsol captan 178 millones en ayudas para sus proyectos renovables</t>
  </si>
  <si>
    <t>El fondo de innovación de la Unión Europea respaldará cinco proyectos en Galicia y concede la ayuda más importante en toda España, 123 millones, a la....</t>
  </si>
  <si>
    <t>Iberdrola, Forestal del Atlántico, Lence and Repsol raise 178 million in aid for their renewable projects</t>
  </si>
  <si>
    <t>The European Union innovation fund will support five projects in Galicia and grants the most important aid in all of Spain, 123 million, to the...</t>
  </si>
  <si>
    <t>Iberdrola, Repsol, renewable projects, EU fund</t>
  </si>
  <si>
    <t>Iberdrola, Repsol, proyectos renovables, fondo UE</t>
  </si>
  <si>
    <t>Positive, showcasing major renewable energy investments.</t>
  </si>
  <si>
    <t>Positive for green funding.</t>
  </si>
  <si>
    <t>Positivo para la financiación verde.</t>
  </si>
  <si>
    <r>
      <rPr>
        <rFont val="Arial, sans-serif"/>
        <color rgb="FF1155CC"/>
        <sz val="9.0"/>
        <u/>
      </rPr>
      <t>FormulaRapida.net</t>
    </r>
    <r>
      <rPr>
        <rFont val="Arial, sans-serif"/>
        <color rgb="FF1155CC"/>
        <sz val="15.0"/>
        <u/>
      </rPr>
      <t>Txema Villalobos, el ángel de la guarda del Repsol Toyota Rally Team</t>
    </r>
    <r>
      <rPr>
        <rFont val="Arial, sans-serif"/>
        <color rgb="FF1155CC"/>
        <sz val="11.0"/>
        <u/>
      </rPr>
      <t>El copiloto de Calonge es una pieza fundamental del equipo liderado por Isidre Esteve. Su pericia a la hora de salvar situaciones complicadas e idear...</t>
    </r>
    <r>
      <rPr>
        <rFont val="Arial, sans-serif"/>
        <color rgb="FF1155CC"/>
        <sz val="12.0"/>
        <u/>
      </rPr>
      <t>.</t>
    </r>
    <r>
      <rPr>
        <rFont val="Arial, sans-serif"/>
        <color rgb="FF1155CC"/>
        <sz val="11.0"/>
        <u/>
      </rPr>
      <t>27 dic 2024</t>
    </r>
  </si>
  <si>
    <t>Txema Villalobos, el ángel de la guarda del Repsol Toyota Rally Team</t>
  </si>
  <si>
    <t>El copiloto de Calonge es una pieza fundamental del equipo liderado por Isidre Esteve. Su pericia a la hora de salvar situaciones complicadas e idear....</t>
  </si>
  <si>
    <t>Txema Villalobos, the guardian angel of the Repsol Toyota Rally Team</t>
  </si>
  <si>
    <t>Calonge's co-pilot is a fundamental piece of the team led by Isidre Esteve. His expertise in overcoming complicated situations and devising....</t>
  </si>
  <si>
    <r>
      <rPr>
        <rFont val="Arial, sans-serif"/>
        <color rgb="FF1155CC"/>
        <sz val="9.0"/>
        <u/>
      </rPr>
      <t>El Cronista</t>
    </r>
    <r>
      <rPr>
        <rFont val="Arial, sans-serif"/>
        <color rgb="FF1155CC"/>
        <sz val="15.0"/>
        <u/>
      </rPr>
      <t>Repsol: a cuánto cotiza HOY viernes 27 de diciembre y cuánto rinden los dividendos</t>
    </r>
    <r>
      <rPr>
        <rFont val="Arial, sans-serif"/>
        <color rgb="FF1155CC"/>
        <sz val="11.0"/>
        <u/>
      </rPr>
      <t>Este viernes, 27 de diciembre de 2024, la cotización del Repsol (REP) ha cerrado a 11,28 euros en el IBEX 35. Dicha cifra refleja un cambio de 0,91%...</t>
    </r>
    <r>
      <rPr>
        <rFont val="Arial, sans-serif"/>
        <color rgb="FF1155CC"/>
        <sz val="12.0"/>
        <u/>
      </rPr>
      <t>.</t>
    </r>
    <r>
      <rPr>
        <rFont val="Arial, sans-serif"/>
        <color rgb="FF1155CC"/>
        <sz val="11.0"/>
        <u/>
      </rPr>
      <t>27 dic 2024</t>
    </r>
  </si>
  <si>
    <t>Repsol: a cuánto cotiza HOY viernes 27 de diciembre y cuánto rinden los dividendos</t>
  </si>
  <si>
    <t>Este viernes, 27 de diciembre de 2024, la cotización del Repsol (REP) ha cerrado a 11,28 euros en el IBEX 35. Dicha cifra refleja un cambio de 0,91%.</t>
  </si>
  <si>
    <t>Repsol: how much it is trading at TODAY, Friday, December 27, and how much the dividends yield</t>
  </si>
  <si>
    <t>This Friday, December 27, 2024, the price of Repsol (REP) closed at 11.28 euros on the IBEX 35. This figure reflects a change of 0.91%.</t>
  </si>
  <si>
    <r>
      <rPr>
        <rFont val="Arial, sans-serif"/>
        <color rgb="FF1155CC"/>
        <sz val="9.0"/>
        <u/>
      </rPr>
      <t>Marca.com</t>
    </r>
    <r>
      <rPr>
        <rFont val="Arial, sans-serif"/>
        <color rgb="FF1155CC"/>
        <sz val="15.0"/>
        <u/>
      </rPr>
      <t>El "perfume" con el que Toyota y Repsol quieren hacer historia en el Dakar</t>
    </r>
    <r>
      <rPr>
        <rFont val="Arial, sans-serif"/>
        <color rgb="FF1155CC"/>
        <sz val="11.0"/>
        <u/>
      </rPr>
      <t>Su coche lleva un 70 por ciento de combustible renovable y serían los primeros en ganar con este carburante. Los Toyota del Dakar 2025.REPSOL.</t>
    </r>
    <r>
      <rPr>
        <rFont val="Arial, sans-serif"/>
        <color rgb="FF1155CC"/>
        <sz val="12.0"/>
        <u/>
      </rPr>
      <t>.</t>
    </r>
    <r>
      <rPr>
        <rFont val="Arial, sans-serif"/>
        <color rgb="FF1155CC"/>
        <sz val="11.0"/>
        <u/>
      </rPr>
      <t>27 dic 2024</t>
    </r>
  </si>
  <si>
    <t>El "perfume" con el que Toyota y Repsol quieren hacer historia en el Dakar</t>
  </si>
  <si>
    <t>Su coche lleva un 70 por ciento de combustible renovable y serían los primeros en ganar con este carburante.</t>
  </si>
  <si>
    <t>The "perfume" with which Toyota and Repsol want to make history in the Dakar</t>
  </si>
  <si>
    <t>Their car uses 70 percent renewable fuel and they would be the first to win with this fuel.</t>
  </si>
  <si>
    <t>Toyota, Repsol, Dakar, renewable fuel</t>
  </si>
  <si>
    <t>Toyota, Repsol, Dakar, combustibles renovables</t>
  </si>
  <si>
    <t>Positive, promoting innovation in the Dakar race.</t>
  </si>
  <si>
    <r>
      <rPr>
        <rFont val="Arial, sans-serif"/>
        <color rgb="FF1155CC"/>
        <sz val="9.0"/>
        <u/>
      </rPr>
      <t>Crónica Vasca</t>
    </r>
    <r>
      <rPr>
        <rFont val="Arial, sans-serif"/>
        <color rgb="FF1155CC"/>
        <sz val="15.0"/>
        <u/>
      </rPr>
      <t>Este restaurante de Euskadi sirve uno de los mejores chuletones del mundo: recomendado por la Guía Repsol</t>
    </r>
    <r>
      <rPr>
        <rFont val="Arial, sans-serif"/>
        <color rgb="FF1155CC"/>
        <sz val="11.0"/>
        <u/>
      </rPr>
      <t>Entre sus joyas culinarias, los chuletones ocupan un lugar especial, representando la pasión por los sabores auténticos y el respeto por la materia prima de...</t>
    </r>
    <r>
      <rPr>
        <rFont val="Arial, sans-serif"/>
        <color rgb="FF1155CC"/>
        <sz val="12.0"/>
        <u/>
      </rPr>
      <t>.</t>
    </r>
    <r>
      <rPr>
        <rFont val="Arial, sans-serif"/>
        <color rgb="FF1155CC"/>
        <sz val="11.0"/>
        <u/>
      </rPr>
      <t>27 dic 2024</t>
    </r>
  </si>
  <si>
    <t>Este restaurante de Euskadi sirve uno de los mejores chuletones del mundo: recomendado por la Guía Repsol</t>
  </si>
  <si>
    <t>Entre sus joyas culinarias, los chuletones ocupan un lugar especial, representando la pasión por los sabores auténticos y el respeto por la materia prima de....</t>
  </si>
  <si>
    <t>This restaurant in Euskadi serves one of the best steaks in the world: recommended by the Repsol Guide</t>
  </si>
  <si>
    <t>Among their culinary jewels, steaks occupy a special place, representing the passion for authentic flavors and respect for the raw materials of...</t>
  </si>
  <si>
    <r>
      <rPr>
        <rFont val="Arial, sans-serif"/>
        <color rgb="FF1155CC"/>
        <sz val="9.0"/>
        <u/>
      </rPr>
      <t>Mundo Deportivo</t>
    </r>
    <r>
      <rPr>
        <rFont val="Arial, sans-serif"/>
        <color rgb="FF1155CC"/>
        <sz val="15.0"/>
        <u/>
      </rPr>
      <t>La 'magia' de Isidre Esteve al volante_ así pilota su Toyota Hilux del Team Repsol en el Dakar</t>
    </r>
    <r>
      <rPr>
        <rFont val="Arial, sans-serif"/>
        <color rgb="FF1155CC"/>
        <sz val="11.0"/>
        <u/>
      </rPr>
      <t>Isidre Esteve desvela para MD los secretos de los mandos adaptados de su Toyota del Dakar y muestra dentro del habitáculo la sincronización y velocidad de...</t>
    </r>
    <r>
      <rPr>
        <rFont val="Arial, sans-serif"/>
        <color rgb="FF1155CC"/>
        <sz val="12.0"/>
        <u/>
      </rPr>
      <t>.</t>
    </r>
    <r>
      <rPr>
        <rFont val="Arial, sans-serif"/>
        <color rgb="FF1155CC"/>
        <sz val="11.0"/>
        <u/>
      </rPr>
      <t>27 dic 2024</t>
    </r>
  </si>
  <si>
    <t>La 'magia' de Isidre Esteve al volante_ así pilota su Toyota Hilux del Team Repsol en el Dakar</t>
  </si>
  <si>
    <t>Isidre Esteve desvela para MD los secretos de los mandos adaptados de su Toyota del Dakar y muestra dentro del habitáculo la sincronización y velocidad de....</t>
  </si>
  <si>
    <t>The 'magic' of Isidre Esteve behind the wheel_ this is how he drives his Team Repsol Toyota Hilux in the Dakar</t>
  </si>
  <si>
    <t>Isidre Esteve reveals for MD the secrets of the adapted controls of his Dakar Toyota and shows inside the cabin the synchronization and speed of...</t>
  </si>
  <si>
    <r>
      <rPr>
        <rFont val="Arial, sans-serif"/>
        <color rgb="FF1155CC"/>
        <sz val="9.0"/>
        <u/>
      </rPr>
      <t>Diario AS</t>
    </r>
    <r>
      <rPr>
        <rFont val="Arial, sans-serif"/>
        <color rgb="FF1155CC"/>
        <sz val="15.0"/>
        <u/>
      </rPr>
      <t>El fin de una era histórica</t>
    </r>
    <r>
      <rPr>
        <rFont val="Arial, sans-serif"/>
        <color rgb="FF1155CC"/>
        <sz val="11.0"/>
        <u/>
      </rPr>
      <t>Repsol y Honda ponen fin a una relación emblemática que ha durado tres décadas, en las que se han conseguido hasta quince campeonatos del mundo.</t>
    </r>
    <r>
      <rPr>
        <rFont val="Arial, sans-serif"/>
        <color rgb="FF1155CC"/>
        <sz val="12.0"/>
        <u/>
      </rPr>
      <t>.</t>
    </r>
    <r>
      <rPr>
        <rFont val="Arial, sans-serif"/>
        <color rgb="FF1155CC"/>
        <sz val="11.0"/>
        <u/>
      </rPr>
      <t>27 dic 2024</t>
    </r>
  </si>
  <si>
    <t>El fin de una era histórica</t>
  </si>
  <si>
    <t>Repsol y Honda ponen fin a una relación emblemática que ha durado tres décadas, en las que se han conseguido hasta quince campeonatos del mundo.</t>
  </si>
  <si>
    <t>The end of a historical era</t>
  </si>
  <si>
    <t>Repsol and Honda put an end to an emblematic relationship that has lasted three decades, in which up to fifteen world championships have been won.</t>
  </si>
  <si>
    <t>Repsol, Honda, relationship, world championships</t>
  </si>
  <si>
    <t>Repsol, Honda, relación, mundiales</t>
  </si>
  <si>
    <t>Negative, marking the end of a long-standing partnership.</t>
  </si>
  <si>
    <t>Mildly negative (end of partnership).</t>
  </si>
  <si>
    <t>Ligeramente negativo (fin de la asociación).</t>
  </si>
  <si>
    <r>
      <rPr>
        <rFont val="Arial, sans-serif"/>
        <color rgb="FF1155CC"/>
        <sz val="9.0"/>
        <u/>
      </rPr>
      <t>RTVE.es</t>
    </r>
    <r>
      <rPr>
        <rFont val="Arial, sans-serif"/>
        <color rgb="FF1155CC"/>
        <sz val="15.0"/>
        <u/>
      </rPr>
      <t>Masterchef Junior - Temporada 11 - Programa 1</t>
    </r>
    <r>
      <rPr>
        <rFont val="Arial, sans-serif"/>
        <color rgb="FF1155CC"/>
        <sz val="11.0"/>
        <u/>
      </rPr>
      <t>Emisión del programa MasterChef Junior titulado Programa 1. Todos los contenidos de TVE los tienes aquí, en RTVE Play.</t>
    </r>
    <r>
      <rPr>
        <rFont val="Arial, sans-serif"/>
        <color rgb="FF1155CC"/>
        <sz val="12.0"/>
        <u/>
      </rPr>
      <t>.</t>
    </r>
    <r>
      <rPr>
        <rFont val="Arial, sans-serif"/>
        <color rgb="FF1155CC"/>
        <sz val="11.0"/>
        <u/>
      </rPr>
      <t>27 dic 2024</t>
    </r>
  </si>
  <si>
    <t>Masterchef Junior - Temporada 11 - Programa 1</t>
  </si>
  <si>
    <t>Todos los contenidos de TVE los tienes aquí, en RTVE Play.</t>
  </si>
  <si>
    <t>Masterchef Junior - Season 11 - Program 1</t>
  </si>
  <si>
    <t>You have all TVE content here, on RTVE Play.</t>
  </si>
  <si>
    <r>
      <rPr>
        <rFont val="Arial, sans-serif"/>
        <color rgb="FF1155CC"/>
        <sz val="9.0"/>
        <u/>
      </rPr>
      <t>El Mundo</t>
    </r>
    <r>
      <rPr>
        <rFont val="Arial, sans-serif"/>
        <color rgb="FF1155CC"/>
        <sz val="15.0"/>
        <u/>
      </rPr>
      <t>Josu Jon Imaz (Repsol): "Las políticas fiscales no se pueden estar dirimiendo en un bazar. Eso no hay inversor que lo resista"</t>
    </r>
    <r>
      <rPr>
        <rFont val="Arial, sans-serif"/>
        <color rgb="FF1155CC"/>
        <sz val="11.0"/>
        <u/>
      </rPr>
      <t>Acaba de cumplir 10 años como CEO de Repsol, efeméride que apenas ha celebrado en una comida sencilla junto a Antonio Brufau, su "referente" y presidente de...</t>
    </r>
    <r>
      <rPr>
        <rFont val="Arial, sans-serif"/>
        <color rgb="FF1155CC"/>
        <sz val="12.0"/>
        <u/>
      </rPr>
      <t>.</t>
    </r>
    <r>
      <rPr>
        <rFont val="Arial, sans-serif"/>
        <color rgb="FF1155CC"/>
        <sz val="11.0"/>
        <u/>
      </rPr>
      <t>28 dic 2024</t>
    </r>
  </si>
  <si>
    <t>Josu Jon Imaz (Repsol): "Las políticas fiscales no se pueden estar dirimiendo en un bazar. Eso no hay inversor que lo resista"</t>
  </si>
  <si>
    <t>"Las políticas fiscales no se pueden estar dirimiendo en un bazar. Eso no hay inversor que lo resista"</t>
  </si>
  <si>
    <t>Josu Jon Imaz (Repsol): "Fiscal policies cannot be settled in a bazaar. There is no investor who can resist that"</t>
  </si>
  <si>
    <t>Fiscal policies cannot be settled in a bazaar. There is no investor who can resist that</t>
  </si>
  <si>
    <t>Josu Jon Imaz, Repsol, fiscal policies</t>
  </si>
  <si>
    <t>Josu Jon Imaz, Repsol, políticas fiscales</t>
  </si>
  <si>
    <t>Neutral, quoting Imaz on fiscal policies.</t>
  </si>
  <si>
    <t>bazar</t>
  </si>
  <si>
    <t>Negative for fiscal policy criticism.</t>
  </si>
  <si>
    <t>Negativo para las críticas a la política fiscal.</t>
  </si>
  <si>
    <r>
      <rPr>
        <rFont val="Arial, sans-serif"/>
        <color rgb="FF1155CC"/>
        <sz val="9.0"/>
        <u/>
      </rPr>
      <t>Automovilismo Canario</t>
    </r>
    <r>
      <rPr>
        <rFont val="Arial, sans-serif"/>
        <color rgb="FF1155CC"/>
        <sz val="15.0"/>
        <u/>
      </rPr>
      <t>Txema Villalobos, el ángel de la guarda del Repsol Toyota Rally Team</t>
    </r>
    <r>
      <rPr>
        <rFont val="Arial, sans-serif"/>
        <color rgb="FF1155CC"/>
        <sz val="11.0"/>
        <u/>
      </rPr>
      <t>El copiloto de Calonge es una pieza fundamental del equipo liderado por Isidre Esteve.</t>
    </r>
    <r>
      <rPr>
        <rFont val="Arial, sans-serif"/>
        <color rgb="FF1155CC"/>
        <sz val="12.0"/>
        <u/>
      </rPr>
      <t>.</t>
    </r>
    <r>
      <rPr>
        <rFont val="Arial, sans-serif"/>
        <color rgb="FF1155CC"/>
        <sz val="11.0"/>
        <u/>
      </rPr>
      <t>28 dic 2024</t>
    </r>
  </si>
  <si>
    <t>El copiloto de Calonge es una pieza fundamental del equipo liderado por Isidre Esteve.</t>
  </si>
  <si>
    <t>Calonge's co-pilot is a fundamental piece of the team led by Isidre Esteve.</t>
  </si>
  <si>
    <r>
      <rPr>
        <rFont val="Arial, sans-serif"/>
        <color rgb="FF1155CC"/>
        <sz val="9.0"/>
        <u/>
      </rPr>
      <t>Bolsamania</t>
    </r>
    <r>
      <rPr>
        <rFont val="Arial, sans-serif"/>
        <color rgb="FF1155CC"/>
        <sz val="15.0"/>
        <u/>
      </rPr>
      <t>Indra y Repsol lideran la semana en el Ibex, Enagás cae e IAG se toma un respiro</t>
    </r>
    <r>
      <rPr>
        <rFont val="Arial, sans-serif"/>
        <color rgb="FF1155CC"/>
        <sz val="11.0"/>
        <u/>
      </rPr>
      <t>Nueva semana de consolidación alcista en el Ibex 35 (+0,56%), que llega a los últimos compases del año pendiente de superar el hueco bajista de los 11.617...</t>
    </r>
    <r>
      <rPr>
        <rFont val="Arial, sans-serif"/>
        <color rgb="FF1155CC"/>
        <sz val="12.0"/>
        <u/>
      </rPr>
      <t>.</t>
    </r>
    <r>
      <rPr>
        <rFont val="Arial, sans-serif"/>
        <color rgb="FF1155CC"/>
        <sz val="11.0"/>
        <u/>
      </rPr>
      <t>28 dic 2024</t>
    </r>
  </si>
  <si>
    <t>Indra y Repsol lideran la semana en el Ibex, Enagás cae e IAG se toma un respiro</t>
  </si>
  <si>
    <t>Nueva semana de consolidación alcista en el Ibex 35 (+0,56%), que llega a los últimos compases del año pendiente de superar el hueco bajista de los 11.617....</t>
  </si>
  <si>
    <t>Indra and Repsol lead the week on the Ibex, Enagás falls and IAG takes a break</t>
  </si>
  <si>
    <t>New week of bullish consolidation in the Ibex 35 (+0.56%), which reaches the final stages of the year pending overcoming the bearish gap of 11,617....</t>
  </si>
  <si>
    <t>Indra, Repsol, Ibex 35, stocks</t>
  </si>
  <si>
    <t>Indra, Repsol, Ibex 35, acciones</t>
  </si>
  <si>
    <t>Positive, showing Repsol’s strong performance on the stock market.</t>
  </si>
  <si>
    <r>
      <rPr>
        <rFont val="Arial, sans-serif"/>
        <color rgb="FF1155CC"/>
        <sz val="9.0"/>
        <u/>
      </rPr>
      <t>Info Bierzo</t>
    </r>
    <r>
      <rPr>
        <rFont val="Arial, sans-serif"/>
        <color rgb="FF1155CC"/>
        <sz val="15.0"/>
        <u/>
      </rPr>
      <t>Comienza el último plazo de alegaciones contra los parques eólicos de Repsol en El Bierzo</t>
    </r>
    <r>
      <rPr>
        <rFont val="Arial, sans-serif"/>
        <color rgb="FF1155CC"/>
        <sz val="11.0"/>
        <u/>
      </rPr>
      <t>El Boletín Oficial de la Provincia (BOP) publicaba este viernes la orden por la que se somete a información pública las solicitudes de autorización adminis.</t>
    </r>
    <r>
      <rPr>
        <rFont val="Arial, sans-serif"/>
        <color rgb="FF1155CC"/>
        <sz val="12.0"/>
        <u/>
      </rPr>
      <t>.</t>
    </r>
    <r>
      <rPr>
        <rFont val="Arial, sans-serif"/>
        <color rgb="FF1155CC"/>
        <sz val="11.0"/>
        <u/>
      </rPr>
      <t>28 dic 2024</t>
    </r>
  </si>
  <si>
    <t>BierzoComienza</t>
  </si>
  <si>
    <t>Comienza el último plazo de alegaciones contra los parques eólicos de Repsol en El Bierzo</t>
  </si>
  <si>
    <t>Comienza el último plazo de alegaciones contra los parques eólicos de Repsol en El Bierzo. El Boletín Oficial de la Provincia (BOP) publicaba este viernes la orden por la que se somete a información pública las solicitudes de autorización adminis..</t>
  </si>
  <si>
    <t>The last period of allegations against Repsol's wind farms in El Bierzo begins</t>
  </si>
  <si>
    <t>The last period of allegations against Repsol's wind farms in El Bierzo begins. The Official Gazette of the Province (BOP) published this Friday the order by which applications for administrative authorization are submitted to public information.</t>
  </si>
  <si>
    <t>Repsol, wind farms, El Bierzo</t>
  </si>
  <si>
    <t>Repsol, parques eólicos, El Bierzo</t>
  </si>
  <si>
    <t>Negative, discussing opposition to Repsol's wind projects.</t>
  </si>
  <si>
    <t>alegaciones</t>
  </si>
  <si>
    <t>Negative for local opposition.</t>
  </si>
  <si>
    <t>Negativo para la oposición local.</t>
  </si>
  <si>
    <r>
      <rPr>
        <rFont val="Arial, sans-serif"/>
        <color rgb="FF1155CC"/>
        <sz val="9.0"/>
        <u/>
      </rPr>
      <t>20Minutos</t>
    </r>
    <r>
      <rPr>
        <rFont val="Arial, sans-serif"/>
        <color rgb="FF1155CC"/>
        <sz val="15.0"/>
        <u/>
      </rPr>
      <t>El Ibex 35 prepara un estreno de año cargado de dividendos: estos son los imprescindibles</t>
    </r>
    <r>
      <rPr>
        <rFont val="Arial, sans-serif"/>
        <color rgb="FF1155CC"/>
        <sz val="11.0"/>
        <u/>
      </rPr>
      <t>Repsol, que se sitúa entre las firmas que recompensarán a sus accionistas a comienzos del año, destaca por la alta rentabilidad estimada para 2025 y se...</t>
    </r>
    <r>
      <rPr>
        <rFont val="Arial, sans-serif"/>
        <color rgb="FF1155CC"/>
        <sz val="12.0"/>
        <u/>
      </rPr>
      <t>.</t>
    </r>
    <r>
      <rPr>
        <rFont val="Arial, sans-serif"/>
        <color rgb="FF1155CC"/>
        <sz val="11.0"/>
        <u/>
      </rPr>
      <t>28 dic 2024</t>
    </r>
  </si>
  <si>
    <t>El Ibex 35 prepara un estreno de año cargado de dividendos: estos son los imprescindibles</t>
  </si>
  <si>
    <t>Repsol, que se sitúa entre las firmas que recompensarán a sus accionistas a comienzos del año, destaca por la alta rentabilidad estimada para 2025 y se....</t>
  </si>
  <si>
    <t>The Ibex 35 prepares a new year full of dividends: these are the essentials</t>
  </si>
  <si>
    <t>Repsol, which is among the firms that will reward its shareholders at the beginning of the year, stands out for its high estimated profitability for 2025 and...</t>
  </si>
  <si>
    <t>Positive, focusing on Repsol’s strong dividend performance.</t>
  </si>
  <si>
    <r>
      <rPr>
        <rFont val="Arial, sans-serif"/>
        <color rgb="FF1155CC"/>
        <sz val="9.0"/>
        <u/>
      </rPr>
      <t>Diario de León</t>
    </r>
    <r>
      <rPr>
        <rFont val="Arial, sans-serif"/>
        <color rgb="FF1155CC"/>
        <sz val="15.0"/>
        <u/>
      </rPr>
      <t>Lo que esconden los depredadores de la sierra de Gistredo</t>
    </r>
    <r>
      <rPr>
        <rFont val="Arial, sans-serif"/>
        <color rgb="FF1155CC"/>
        <sz val="11.0"/>
        <u/>
      </rPr>
      <t>Un pequeño ayuntamiento del Bierzo, Páramo del Sil, se ha convertido en el David contra los gigantes de la nueva economía que tratan de lograr por tercera...</t>
    </r>
    <r>
      <rPr>
        <rFont val="Arial, sans-serif"/>
        <color rgb="FF1155CC"/>
        <sz val="12.0"/>
        <u/>
      </rPr>
      <t>.</t>
    </r>
    <r>
      <rPr>
        <rFont val="Arial, sans-serif"/>
        <color rgb="FF1155CC"/>
        <sz val="11.0"/>
        <u/>
      </rPr>
      <t>28 dic 2024</t>
    </r>
  </si>
  <si>
    <t>Lo que esconden los depredadores de la sierra de Gistredo</t>
  </si>
  <si>
    <t>Un pequeño ayuntamiento del Bierzo, Páramo del Sil, se ha convertido en el David contra los gigantes de la nueva economía que tratan de lograr por tercera....</t>
  </si>
  <si>
    <t>What the predators of the Gistredo mountain range hide</t>
  </si>
  <si>
    <t>A small town hall in Bierzo, Páramo del Sil, has become David against the giants of the new economy that are trying to achieve a third...</t>
  </si>
  <si>
    <t>Páramo del Sil, Gistredo, predators</t>
  </si>
  <si>
    <t>Páramo del Sil, Gistredo, depredadores</t>
  </si>
  <si>
    <t>Negative, focusing on the environmental debate in Bierzo.</t>
  </si>
  <si>
    <t>depredadores</t>
  </si>
  <si>
    <t>Negative for ecological criticism.</t>
  </si>
  <si>
    <t>Negativo para la crítica ecológica.</t>
  </si>
  <si>
    <r>
      <rPr>
        <rFont val="Arial, sans-serif"/>
        <color rgb="FF1155CC"/>
        <sz val="9.0"/>
        <u/>
      </rPr>
      <t>Noticiastrabajo</t>
    </r>
    <r>
      <rPr>
        <rFont val="Arial, sans-serif"/>
        <color rgb="FF1155CC"/>
        <sz val="15.0"/>
        <u/>
      </rPr>
      <t>Adiós a Plenoil en 2025: la gasolinera ‘low cost’ toma una importante decisión</t>
    </r>
    <r>
      <rPr>
        <rFont val="Arial, sans-serif"/>
        <color rgb="FF1155CC"/>
        <sz val="11.0"/>
        <u/>
      </rPr>
      <t>La conocida cadena de estaciones de servicio con combustible a precio reducido Plenoil, con casi 300 gasolineras por toda España, se adapta a los cambios en...</t>
    </r>
    <r>
      <rPr>
        <rFont val="Arial, sans-serif"/>
        <color rgb="FF1155CC"/>
        <sz val="12.0"/>
        <u/>
      </rPr>
      <t>.</t>
    </r>
    <r>
      <rPr>
        <rFont val="Arial, sans-serif"/>
        <color rgb="FF1155CC"/>
        <sz val="11.0"/>
        <u/>
      </rPr>
      <t>28 dic 2024</t>
    </r>
  </si>
  <si>
    <t>Adiós a Plenoil en 2025: la gasolinera ‘low cost’ toma una importante decisión</t>
  </si>
  <si>
    <t>La conocida cadena de estaciones de servicio con combustible a precio reducido Plenoil, con casi 300 gasolineras por toda España, se adapta a los cambios en....</t>
  </si>
  <si>
    <t>Goodbye to Plenoil in 2025: the 'low cost' gas station makes an important decision</t>
  </si>
  <si>
    <t>The well-known chain of service stations with reduced price fuel Plenoil, with almost 300 gas stations throughout Spain, adapts to the changes in...</t>
  </si>
  <si>
    <t>Plenoil, low cost, gas station, reduced price fuel, Spain, changes in industry</t>
  </si>
  <si>
    <t>Plenoil, low cost, gasolinera, combustible a precio reducido, España, cambios en la industria</t>
  </si>
  <si>
    <t>Negative, discussing changes in the gas station industry.</t>
  </si>
  <si>
    <r>
      <rPr>
        <rFont val="Arial, sans-serif"/>
        <color rgb="FF1155CC"/>
        <sz val="9.0"/>
        <u/>
      </rPr>
      <t>El Economista</t>
    </r>
    <r>
      <rPr>
        <rFont val="Arial, sans-serif"/>
        <color rgb="FF1155CC"/>
        <sz val="15.0"/>
        <u/>
      </rPr>
      <t>'La Cartera' cierra 2024 con un 6% pero espera hasta cuatro dividendos en enero</t>
    </r>
    <r>
      <rPr>
        <rFont val="Arial, sans-serif"/>
        <color rgb="FF1155CC"/>
        <sz val="11.0"/>
        <u/>
      </rPr>
      <t>La última revisión del año en La Cartera Estratégica de elEconomista.es no ha dejado cambios y mantiene, por tanto, a Gestamp, como el ...</t>
    </r>
    <r>
      <rPr>
        <rFont val="Arial, sans-serif"/>
        <color rgb="FF1155CC"/>
        <sz val="12.0"/>
        <u/>
      </rPr>
      <t>.</t>
    </r>
    <r>
      <rPr>
        <rFont val="Arial, sans-serif"/>
        <color rgb="FF1155CC"/>
        <sz val="11.0"/>
        <u/>
      </rPr>
      <t>28 dic 2024</t>
    </r>
  </si>
  <si>
    <t>La Cartera cierra 2024 con un 6% pero espera hasta cuatro dividendos en enero</t>
  </si>
  <si>
    <t>La última revisión del año en La Cartera Estratégica de elEconomista.es no ha dejado cambios y mantiene, por tanto, a Gestamp, como el ....</t>
  </si>
  <si>
    <t>The Portfolio closes 2024 with 6% but expects up to four dividends in January</t>
  </si>
  <si>
    <t>The last review of the year in The Strategic Portfolio of elEconomista.es has left no changes and, therefore, maintains Gestamp, as the...</t>
  </si>
  <si>
    <t>Portfolio, dividends, 2024</t>
  </si>
  <si>
    <t>Cartera, dividendos, 2024</t>
  </si>
  <si>
    <t>Neutral, analyzing the stock market and dividends.</t>
  </si>
  <si>
    <r>
      <rPr>
        <rFont val="Arial, sans-serif"/>
        <color rgb="FF1155CC"/>
        <sz val="9.0"/>
        <u/>
      </rPr>
      <t>Diario Red</t>
    </r>
    <r>
      <rPr>
        <rFont val="Arial, sans-serif"/>
        <color rgb="FF1155CC"/>
        <sz val="15.0"/>
        <u/>
      </rPr>
      <t>Greenwashing en España: Cómo las grandes petroleras siguen engañando al planeta</t>
    </r>
    <r>
      <rPr>
        <rFont val="Arial, sans-serif"/>
        <color rgb="FF1155CC"/>
        <sz val="11.0"/>
        <u/>
      </rPr>
      <t>Las grandes petroleras hacen lobby para evitar la aprobación del impuesto a las energéticas mientras continúan con el greenwashing.</t>
    </r>
    <r>
      <rPr>
        <rFont val="Arial, sans-serif"/>
        <color rgb="FF1155CC"/>
        <sz val="12.0"/>
        <u/>
      </rPr>
      <t>.</t>
    </r>
    <r>
      <rPr>
        <rFont val="Arial, sans-serif"/>
        <color rgb="FF1155CC"/>
        <sz val="11.0"/>
        <u/>
      </rPr>
      <t>28 dic 2024</t>
    </r>
  </si>
  <si>
    <t>Greenwashing en España: Cómo las grandes petroleras siguen engañando al planeta</t>
  </si>
  <si>
    <t>Las grandes petroleras hacen lobby para evitar la aprobación del impuesto a las energéticas mientras continúan con el greenwashing.</t>
  </si>
  <si>
    <t>Greenwashing in Spain: How big oil companies continue to deceive the planet</t>
  </si>
  <si>
    <t>Big oil is lobbying to prevent the approval of the energy tax while continuing greenwashing.</t>
  </si>
  <si>
    <t>greenwashing, oil companies, Spain</t>
  </si>
  <si>
    <t>greenwashing, petroleras, España</t>
  </si>
  <si>
    <t>Negative, criticizing greenwashing practices among oil companies.</t>
  </si>
  <si>
    <r>
      <rPr>
        <rFont val="Arial, sans-serif"/>
        <color rgb="FF1155CC"/>
        <sz val="9.0"/>
        <u/>
      </rPr>
      <t>ABC</t>
    </r>
    <r>
      <rPr>
        <rFont val="Arial, sans-serif"/>
        <color rgb="FF1155CC"/>
        <sz val="15.0"/>
        <u/>
      </rPr>
      <t>Un trabajador de una gasolinera aconseja no repostar siempre combustible low cost: «Cada tres depósitos...»</t>
    </r>
    <r>
      <rPr>
        <rFont val="Arial, sans-serif"/>
        <color rgb="FF1155CC"/>
        <sz val="11.0"/>
        <u/>
      </rPr>
      <t>Gran parte de los conductores desconoce las diferencias entre las gasolinas más económicas y las de mayor calidad.</t>
    </r>
    <r>
      <rPr>
        <rFont val="Arial, sans-serif"/>
        <color rgb="FF1155CC"/>
        <sz val="12.0"/>
        <u/>
      </rPr>
      <t>.</t>
    </r>
    <r>
      <rPr>
        <rFont val="Arial, sans-serif"/>
        <color rgb="FF1155CC"/>
        <sz val="11.0"/>
        <u/>
      </rPr>
      <t>28 dic 2024</t>
    </r>
  </si>
  <si>
    <t>Un trabajador de una gasolinera aconseja no repostar siempre combustible low cost: «Cada tres depósitos...»</t>
  </si>
  <si>
    <t>Gran parte de los conductores desconoce las diferencias entre las gasolinas más económicas y las de mayor calidad.</t>
  </si>
  <si>
    <t>A gas station worker advises not to always refuel with low-cost fuel: "Every three tanks..."</t>
  </si>
  <si>
    <t>Many drivers are unaware of the differences between the cheapest gasoline and the highest quality ones.</t>
  </si>
  <si>
    <t>Consumer Advice</t>
  </si>
  <si>
    <t>gas station, low-cost fuel, refuel</t>
  </si>
  <si>
    <t>gasolinera, combustible barato, repostar</t>
  </si>
  <si>
    <t>Negative, warning about the potential drawbacks of low-cost fuel.</t>
  </si>
  <si>
    <t>Mildly negative (indirect brand impact).</t>
  </si>
  <si>
    <t>Ligeramente negativo (impacto indirecto de la marca).</t>
  </si>
  <si>
    <r>
      <rPr>
        <rFont val="Arial, sans-serif"/>
        <color rgb="FF1155CC"/>
        <sz val="9.0"/>
        <u/>
      </rPr>
      <t>Expansión</t>
    </r>
    <r>
      <rPr>
        <rFont val="Arial, sans-serif"/>
        <color rgb="FF1155CC"/>
        <sz val="15.0"/>
        <u/>
      </rPr>
      <t>Imaz (Repsol) acusa al Gobierno de dirimir las políticas fiscales en un "bazar"</t>
    </r>
    <r>
      <rPr>
        <rFont val="Arial, sans-serif"/>
        <color rgb="FF1155CC"/>
        <sz val="11.0"/>
        <u/>
      </rPr>
      <t>El consejero delegado de Repsol, Josu Jon Imaz, ha acusado al Gobierno de "dirimir las políticas regulatorias y fiscales en un bazar" y ha llamado a...</t>
    </r>
    <r>
      <rPr>
        <rFont val="Arial, sans-serif"/>
        <color rgb="FF1155CC"/>
        <sz val="12.0"/>
        <u/>
      </rPr>
      <t>.</t>
    </r>
    <r>
      <rPr>
        <rFont val="Arial, sans-serif"/>
        <color rgb="FF1155CC"/>
        <sz val="11.0"/>
        <u/>
      </rPr>
      <t>29 dic 2024</t>
    </r>
  </si>
  <si>
    <t>Imaz (Repsol) acusa al Gobierno de dirimir las políticas fiscales en un "bazar"</t>
  </si>
  <si>
    <t>El consejero delegado de Repsol, Josu Jon Imaz, ha acusado al Gobierno de "dirimir las políticas regulatorias y fiscales en un bazar" y ha llamado a....</t>
  </si>
  <si>
    <t>Imaz (Repsol) accuses the Government of settling fiscal policies in a "bazaar"</t>
  </si>
  <si>
    <t>The CEO of Repsol, Josu Jon Imaz, has accused the Government of "settling regulatory and fiscal policies in a bazaar" and has called for...</t>
  </si>
  <si>
    <t>Imaz, Repsol, Government, fiscal policies</t>
  </si>
  <si>
    <t>Imaz, Repsol, Gobierno, políticas fiscales</t>
  </si>
  <si>
    <t>Negative, expressing frustration with fiscal policies.</t>
  </si>
  <si>
    <r>
      <rPr>
        <rFont val="Arial, sans-serif"/>
        <color rgb="FF1155CC"/>
        <sz val="9.0"/>
        <u/>
      </rPr>
      <t>El Periódico de la Energía</t>
    </r>
    <r>
      <rPr>
        <rFont val="Arial, sans-serif"/>
        <color rgb="FF1155CC"/>
        <sz val="15.0"/>
        <u/>
      </rPr>
      <t>Josu Jon Imaz (Repsol) acusa al Gobierno de dirimir las políticas fiscales en un "bazar"</t>
    </r>
    <r>
      <rPr>
        <rFont val="Arial, sans-serif"/>
        <color rgb="FF1155CC"/>
        <sz val="11.0"/>
        <u/>
      </rPr>
      <t>El directivo de Repsol ha llamado a "levantar la voz contra el gravamen o impuestazo a las energéticas" que está "haciendo imposible la inversión en...</t>
    </r>
    <r>
      <rPr>
        <rFont val="Arial, sans-serif"/>
        <color rgb="FF1155CC"/>
        <sz val="12.0"/>
        <u/>
      </rPr>
      <t>.</t>
    </r>
    <r>
      <rPr>
        <rFont val="Arial, sans-serif"/>
        <color rgb="FF1155CC"/>
        <sz val="11.0"/>
        <u/>
      </rPr>
      <t>29 dic 2024</t>
    </r>
  </si>
  <si>
    <t>Josu Jon Imaz (Repsol) acusa al Gobierno de dirimir las políticas fiscales en un "bazar"</t>
  </si>
  <si>
    <t>El directivo de Repsol ha llamado a "levantar la voz contra el gravamen o impuestazo a las energéticas" que está "haciendo imposible la inversión en....</t>
  </si>
  <si>
    <t>Josu Jon Imaz (Repsol) accuses the Government of settling fiscal policies in a "bazaar"</t>
  </si>
  <si>
    <t>The Repsol manager has called to "raise your voice against the tax or imposition on energy companies" that is "making investment in... impossible.</t>
  </si>
  <si>
    <t>Negative, reiterating Imaz’s discontent with the Government’s tax policies.</t>
  </si>
  <si>
    <t>Repeated negative.</t>
  </si>
  <si>
    <t>Negativa repetida.</t>
  </si>
  <si>
    <r>
      <rPr>
        <rFont val="Arial, sans-serif"/>
        <color rgb="FF1155CC"/>
        <sz val="9.0"/>
        <u/>
      </rPr>
      <t>Radio Intereconomía</t>
    </r>
    <r>
      <rPr>
        <rFont val="Arial, sans-serif"/>
        <color rgb="FF1155CC"/>
        <sz val="15.0"/>
        <u/>
      </rPr>
      <t>Imaz, CEO de Repsol, asegura que Sánchez hace imposible la inversión en España por su política de ‘bazar’</t>
    </r>
    <r>
      <rPr>
        <rFont val="Arial, sans-serif"/>
        <color rgb="FF1155CC"/>
        <sz val="11.0"/>
        <u/>
      </rPr>
      <t>El consejero delegado de Repsol, Josu Jon Imaz, ha acusado al Gobierno de PSOE-Sumar, presidido por Pedro Sánchez, de «dirimir las políticas regulatorias y...</t>
    </r>
    <r>
      <rPr>
        <rFont val="Arial, sans-serif"/>
        <color rgb="FF1155CC"/>
        <sz val="12.0"/>
        <u/>
      </rPr>
      <t>.</t>
    </r>
    <r>
      <rPr>
        <rFont val="Arial, sans-serif"/>
        <color rgb="FF1155CC"/>
        <sz val="11.0"/>
        <u/>
      </rPr>
      <t>29 dic 2024</t>
    </r>
  </si>
  <si>
    <t>Imaz, CEO de Repsol, asegura que Sánchez hace imposible la inversión en España por su política de ‘bazar’</t>
  </si>
  <si>
    <t>El consejero delegado de Repsol, Josu Jon Imaz, ha acusado al Gobierno de PSOE-Sumar, presidido por Pedro Sánchez, de «dirimir las políticas regulatorias y....</t>
  </si>
  <si>
    <t>Imaz, CEO of Repsol, assures that Sánchez makes investment in Spain impossible due to his 'bazaar' policy</t>
  </si>
  <si>
    <t>The CEO of Repsol, Josu Jon Imaz, has accused the PSOE-Sumar Government, chaired by Pedro Sánchez, of "settling regulatory policies and...</t>
  </si>
  <si>
    <t>Imaz, Sánchez, Repsol, investment</t>
  </si>
  <si>
    <t>Imaz, Sánchez, Repsol, inversión</t>
  </si>
  <si>
    <t>Negative, criticizing Government policies hindering investment.</t>
  </si>
  <si>
    <t>imposible</t>
  </si>
  <si>
    <t>Strong negative for political criticism.</t>
  </si>
  <si>
    <t>Fuerte negativo para la crítica política.</t>
  </si>
  <si>
    <r>
      <rPr>
        <rFont val="Arial, sans-serif"/>
        <color rgb="FF1155CC"/>
        <sz val="9.0"/>
        <u/>
      </rPr>
      <t>Infobae</t>
    </r>
    <r>
      <rPr>
        <rFont val="Arial, sans-serif"/>
        <color rgb="FF1155CC"/>
        <sz val="15.0"/>
        <u/>
      </rPr>
      <t>Ecopetrol anunció acuerdo de compra de la participación del 45% de Repsol</t>
    </r>
    <r>
      <rPr>
        <rFont val="Arial, sans-serif"/>
        <color rgb="FF1155CC"/>
        <sz val="11.0"/>
        <u/>
      </rPr>
      <t>En la tarde del 29 de diciembre de 2024 la negociación entre Repsol y Ecopetrol llegó al final: el 45% de la participación de la empresa española en la...</t>
    </r>
    <r>
      <rPr>
        <rFont val="Arial, sans-serif"/>
        <color rgb="FF1155CC"/>
        <sz val="12.0"/>
        <u/>
      </rPr>
      <t>.</t>
    </r>
    <r>
      <rPr>
        <rFont val="Arial, sans-serif"/>
        <color rgb="FF1155CC"/>
        <sz val="11.0"/>
        <u/>
      </rPr>
      <t>29 dic 2024</t>
    </r>
  </si>
  <si>
    <t>Ecopetrol anunció acuerdo de compra de la participación del 45% de Repsol</t>
  </si>
  <si>
    <t>En la tarde del 29 de diciembre de 2024 la negociación entre Repsol y Ecopetrol llegó al final: el 45% de la participación de la empresa española en la....</t>
  </si>
  <si>
    <t>Ecopetrol announced purchase agreement for Repsol's 45% stake</t>
  </si>
  <si>
    <t>On the afternoon of December 29, 2024, the negotiation between Repsol and Ecopetrol came to an end: the Spanish company's 45% stake in the...</t>
  </si>
  <si>
    <t>Ecopetrol, Repsol, purchase, 45% stake</t>
  </si>
  <si>
    <t>Ecopetrol, Repsol, compra, 45% de participación</t>
  </si>
  <si>
    <t>Positive, marking a major acquisition by Ecopetrol.</t>
  </si>
  <si>
    <r>
      <rPr>
        <rFont val="Arial, sans-serif"/>
        <color rgb="FF1155CC"/>
        <sz val="9.0"/>
        <u/>
      </rPr>
      <t>Yahoo Finanzas</t>
    </r>
    <r>
      <rPr>
        <rFont val="Arial, sans-serif"/>
        <color rgb="FF1155CC"/>
        <sz val="15.0"/>
        <u/>
      </rPr>
      <t>Ecopetrol logra acuerdo con Repsol para completar el 100 % del bloque CPO-9 en Colombia</t>
    </r>
    <r>
      <rPr>
        <rFont val="Arial, sans-serif"/>
        <color rgb="FF1155CC"/>
        <sz val="11.0"/>
        <u/>
      </rPr>
      <t>Ecopetrol, que ya posee una participación del 55 % del bloque, pasaría a controlar la totalidad de la zona productora.</t>
    </r>
    <r>
      <rPr>
        <rFont val="Arial, sans-serif"/>
        <color rgb="FF1155CC"/>
        <sz val="12.0"/>
        <u/>
      </rPr>
      <t>.</t>
    </r>
    <r>
      <rPr>
        <rFont val="Arial, sans-serif"/>
        <color rgb="FF1155CC"/>
        <sz val="11.0"/>
        <u/>
      </rPr>
      <t>29 dic 2024</t>
    </r>
  </si>
  <si>
    <t>Ecopetrol logra acuerdo con Repsol para completar el 100 % del bloque CPO-9 en Colombia</t>
  </si>
  <si>
    <t>Ecopetrol, que ya posee una participación del 55 % del bloque, pasaría a controlar la totalidad de la zona productora.</t>
  </si>
  <si>
    <t>Ecopetrol reaches agreement with Repsol to complete 100% of the CPO-9 block in Colombia</t>
  </si>
  <si>
    <t>Ecopetrol, which already owns a 55% stake in the block, would control the entire producing area.</t>
  </si>
  <si>
    <t>Ecopetrol, Repsol, CPO-9 block, Colombia</t>
  </si>
  <si>
    <t>Ecopetrol, Repsol, bloque CPO-9, Colombia</t>
  </si>
  <si>
    <t>Positive, highlighting Ecopetrol's expansion in Colombia.</t>
  </si>
  <si>
    <r>
      <rPr>
        <rFont val="Arial, sans-serif"/>
        <color rgb="FF1155CC"/>
        <sz val="9.0"/>
        <u/>
      </rPr>
      <t>La Opinión A Coruña</t>
    </r>
    <r>
      <rPr>
        <rFont val="Arial, sans-serif"/>
        <color rgb="FF1155CC"/>
        <sz val="11.0"/>
        <u/>
      </rPr>
      <t>29 dic 2024</t>
    </r>
  </si>
  <si>
    <t>La Opinión A Coruña: 29 dic 2024</t>
  </si>
  <si>
    <t>Lo siento, pero no puedo proporcionar la información que has solicitado.</t>
  </si>
  <si>
    <t>La Opinion A Coruña: December 29, 2024</t>
  </si>
  <si>
    <t>I'm sorry, but I can't provide the information you've requested.</t>
  </si>
  <si>
    <r>
      <rPr>
        <rFont val="Arial, sans-serif"/>
        <color rgb="FF1155CC"/>
        <sz val="9.0"/>
        <u/>
      </rPr>
      <t>Vozpópuli</t>
    </r>
    <r>
      <rPr>
        <rFont val="Arial, sans-serif"/>
        <color rgb="FF1155CC"/>
        <sz val="15.0"/>
        <u/>
      </rPr>
      <t>Las energéticas cierran 2024 con incertidumbre legal y una batalla entre compañías</t>
    </r>
    <r>
      <rPr>
        <rFont val="Arial, sans-serif"/>
        <color rgb="FF1155CC"/>
        <sz val="11.0"/>
        <u/>
      </rPr>
      <t>El Gobierno insiste en mantener el impuestazo a las energéticas pese a la oposición de los socios.</t>
    </r>
    <r>
      <rPr>
        <rFont val="Arial, sans-serif"/>
        <color rgb="FF1155CC"/>
        <sz val="12.0"/>
        <u/>
      </rPr>
      <t>.</t>
    </r>
    <r>
      <rPr>
        <rFont val="Arial, sans-serif"/>
        <color rgb="FF1155CC"/>
        <sz val="11.0"/>
        <u/>
      </rPr>
      <t>29 dic 2024</t>
    </r>
  </si>
  <si>
    <t>Las energéticas cierran 2024 con incertidumbre legal y una batalla entre compañías</t>
  </si>
  <si>
    <t>El Gobierno insiste en mantener el impuestazo a las energéticas pese a la oposición de los socios.</t>
  </si>
  <si>
    <t>Energy companies close 2024 with legal uncertainty and a battle between companies</t>
  </si>
  <si>
    <t>The Government insists on maintaining the tax on energy companies despite the opposition of its partners.</t>
  </si>
  <si>
    <t>energy companies, tax, legal uncertainty</t>
  </si>
  <si>
    <t>Empresas energéticas, impuestos, inseguridad jurídica</t>
  </si>
  <si>
    <t>Negative, describing the tense situation around energy taxes.</t>
  </si>
  <si>
    <t>incertidumbre</t>
  </si>
  <si>
    <t>Negative for sector instability.</t>
  </si>
  <si>
    <t>Negativo para la inestabilidad del sector.</t>
  </si>
  <si>
    <r>
      <rPr>
        <rFont val="Arial, sans-serif"/>
        <color rgb="FF1155CC"/>
        <sz val="9.0"/>
        <u/>
      </rPr>
      <t>Portafolio</t>
    </r>
    <r>
      <rPr>
        <rFont val="Arial, sans-serif"/>
        <color rgb="FF1155CC"/>
        <sz val="15.0"/>
        <u/>
      </rPr>
      <t>Ecopetrol concluyó negociación con Repsol para adquirir el 100% del bloque CPO-09</t>
    </r>
    <r>
      <rPr>
        <rFont val="Arial, sans-serif"/>
        <color rgb="FF1155CC"/>
        <sz val="11.0"/>
        <u/>
      </rPr>
      <t>Con esta adquisición, se calcula que Ecopetrol añadirá cerca de 41 millones de barriles a sus reservas. | Empresas | Portafolio.co.</t>
    </r>
    <r>
      <rPr>
        <rFont val="Arial, sans-serif"/>
        <color rgb="FF1155CC"/>
        <sz val="12.0"/>
        <u/>
      </rPr>
      <t>.</t>
    </r>
    <r>
      <rPr>
        <rFont val="Arial, sans-serif"/>
        <color rgb="FF1155CC"/>
        <sz val="11.0"/>
        <u/>
      </rPr>
      <t>29 dic 2024</t>
    </r>
  </si>
  <si>
    <t>Portafolio</t>
  </si>
  <si>
    <t>Ecopetrol concluyó negociación con Repsol para adquirir el 100% del bloque CPO-09</t>
  </si>
  <si>
    <t>Con esta adquisición, se calcula que Ecopetrol añadirá cerca de 41 millones de barriles a sus reservas.</t>
  </si>
  <si>
    <t>Ecopetrol concluded negotiations with Repsol to acquire 100% of the CPO-09 block</t>
  </si>
  <si>
    <t>With this acquisition, it is estimated that Ecopetrol will add nearly 41 million barrels to its reserves.</t>
  </si>
  <si>
    <t>Ecopetrol, Repsol, CPO-09 block, reserves</t>
  </si>
  <si>
    <t>Ecopetrol, Repsol, bloque CPO-09, reservas</t>
  </si>
  <si>
    <t>Positive, emphasizing the increase in Ecopetrol’s reserves.</t>
  </si>
  <si>
    <r>
      <rPr>
        <rFont val="Arial, sans-serif"/>
        <color rgb="FF1155CC"/>
        <sz val="9.0"/>
        <u/>
      </rPr>
      <t>Infobae</t>
    </r>
    <r>
      <rPr>
        <rFont val="Arial, sans-serif"/>
        <color rgb="FF1155CC"/>
        <sz val="15.0"/>
        <u/>
      </rPr>
      <t>Ecopetrol logra acuerdo para comprar el 45 % de participación de Repsol en pozo petrolero</t>
    </r>
    <r>
      <rPr>
        <rFont val="Arial, sans-serif"/>
        <color rgb="FF1155CC"/>
        <sz val="11.0"/>
        <u/>
      </rPr>
      <t>Bogotá, 29 dic (EFE).- La estatal colombiana Ecopetrol anunció este domingo que logró un acuerdo para adquirir el 45 % de la participación de Repsol en el...</t>
    </r>
    <r>
      <rPr>
        <rFont val="Arial, sans-serif"/>
        <color rgb="FF1155CC"/>
        <sz val="12.0"/>
        <u/>
      </rPr>
      <t>.</t>
    </r>
    <r>
      <rPr>
        <rFont val="Arial, sans-serif"/>
        <color rgb="FF1155CC"/>
        <sz val="11.0"/>
        <u/>
      </rPr>
      <t>29 dic 2024</t>
    </r>
  </si>
  <si>
    <t>Ecopetrol logra acuerdo para comprar el 45 % de participación de Repsol en pozo petrolero</t>
  </si>
  <si>
    <t>La estatal colombiana Ecopetrol anunció este domingo que logró un acuerdo para adquirir el 45 % de la participación de Repsol en el....</t>
  </si>
  <si>
    <t>Ecopetrol reaches agreement to buy Repsol's 45% stake in an oil well</t>
  </si>
  <si>
    <t>The Colombian state-owned Ecopetrol announced this Sunday that it had reached an agreement to acquire Repsol's 45% stake in the...</t>
  </si>
  <si>
    <t>Ecopetrol, Repsol, oil well</t>
  </si>
  <si>
    <t>Ecopetrol, Repsol, pozo petrolero</t>
  </si>
  <si>
    <t>Positive, highlighting Ecopetrol’s acquisition.</t>
  </si>
  <si>
    <r>
      <rPr>
        <rFont val="Arial, sans-serif"/>
        <color rgb="FF1155CC"/>
        <sz val="9.0"/>
        <u/>
      </rPr>
      <t>Semana.com</t>
    </r>
    <r>
      <rPr>
        <rFont val="Arial, sans-serif"/>
        <color rgb="FF1155CC"/>
        <sz val="15.0"/>
        <u/>
      </rPr>
      <t>Ecopetrol anuncia la compra del 45% de la participación de Repsol en el bloque CPO-09, en Meta</t>
    </r>
    <r>
      <rPr>
        <rFont val="Arial, sans-serif"/>
        <color rgb="FF1155CC"/>
        <sz val="11.0"/>
        <u/>
      </rPr>
      <t>La compañía informó que se convierte en el propietario del 100 % de este “activo estratégico” en el Piedemonte llanero.</t>
    </r>
    <r>
      <rPr>
        <rFont val="Arial, sans-serif"/>
        <color rgb="FF1155CC"/>
        <sz val="12.0"/>
        <u/>
      </rPr>
      <t>.</t>
    </r>
    <r>
      <rPr>
        <rFont val="Arial, sans-serif"/>
        <color rgb="FF1155CC"/>
        <sz val="11.0"/>
        <u/>
      </rPr>
      <t>29 dic 2024</t>
    </r>
  </si>
  <si>
    <t>Semana.com</t>
  </si>
  <si>
    <t>Ecopetrol anuncia la compra del 45% de la participación de Repsol en el bloque CPO-09, en Meta</t>
  </si>
  <si>
    <t>La compañía informó que se convierte en el propietario del 100 % de este “activo estratégico” en el Piedemonte llanero.</t>
  </si>
  <si>
    <t>Ecopetrol announces the purchase of 45% of Repsol's participation in the CPO-09 block, in Meta</t>
  </si>
  <si>
    <t>The company reported that it becomes the owner of 100% of this “strategic asset” in the Plains Foothills.</t>
  </si>
  <si>
    <t>Ecopetrol, Repsol, CPO-09 block, Meta</t>
  </si>
  <si>
    <t>Ecopetrol, Repsol, bloque CPO-09, Meta</t>
  </si>
  <si>
    <t>Positive, reinforcing Ecopetrol’s expanded control over the block.</t>
  </si>
  <si>
    <t>compra del 45%</t>
  </si>
  <si>
    <t>Neutral-negative (divestment).</t>
  </si>
  <si>
    <t>Neutral-negativo (desinversión).</t>
  </si>
  <si>
    <r>
      <rPr>
        <rFont val="Arial, sans-serif"/>
        <color rgb="FF1155CC"/>
        <sz val="9.0"/>
        <u/>
      </rPr>
      <t>Noticias Caracol</t>
    </r>
    <r>
      <rPr>
        <rFont val="Arial, sans-serif"/>
        <color rgb="FF1155CC"/>
        <sz val="15.0"/>
        <u/>
      </rPr>
      <t>Ecopetrol anuncia la compra del 45% de Repsol, en el bloque CPO-09, ubicado en el Meta</t>
    </r>
    <r>
      <rPr>
        <rFont val="Arial, sans-serif"/>
        <color rgb="FF1155CC"/>
        <sz val="11.0"/>
        <u/>
      </rPr>
      <t>Con esta transacción, Ecopetrol añadirá cerca de 41 millones de barriles a sus reservas y proyecta un incremento en su producción diaria de, aproximadamente...</t>
    </r>
    <r>
      <rPr>
        <rFont val="Arial, sans-serif"/>
        <color rgb="FF1155CC"/>
        <sz val="12.0"/>
        <u/>
      </rPr>
      <t>.</t>
    </r>
    <r>
      <rPr>
        <rFont val="Arial, sans-serif"/>
        <color rgb="FF1155CC"/>
        <sz val="11.0"/>
        <u/>
      </rPr>
      <t>29 dic 2024</t>
    </r>
  </si>
  <si>
    <t>Ecopetrol anuncia la compra del 45% de Repsol, en el bloque CPO-09, ubicado en el Meta</t>
  </si>
  <si>
    <t>Con esta transacción, Ecopetrol añadirá cerca de 41 millones de barriles a sus reservas y proyecta un incremento en su producción diaria de, aproximadamente....</t>
  </si>
  <si>
    <t>Ecopetrol announces the purchase of 45% of Repsol, in the CPO-09 block, located in Meta</t>
  </si>
  <si>
    <t>With this transaction, Ecopetrol will add nearly 41 million barrels to its reserves and projects an increase in its daily production of approximately...</t>
  </si>
  <si>
    <t>Ecopetrol, Repsol, CPO-09 block, production</t>
  </si>
  <si>
    <t>Ecopetrol, Repsol, bloque CPO-09, producción</t>
  </si>
  <si>
    <t>Positive, focusing on Ecopetrol’s growth in production and reserves.</t>
  </si>
  <si>
    <r>
      <rPr>
        <rFont val="Arial, sans-serif"/>
        <color rgb="FF1155CC"/>
        <sz val="9.0"/>
        <u/>
      </rPr>
      <t>Caracol Radio</t>
    </r>
    <r>
      <rPr>
        <rFont val="Arial, sans-serif"/>
        <color rgb="FF1155CC"/>
        <sz val="15.0"/>
        <u/>
      </rPr>
      <t>Ecopetrol compró el 45% de participación de la petrolera Repsol</t>
    </r>
    <r>
      <rPr>
        <rFont val="Arial, sans-serif"/>
        <color rgb="FF1155CC"/>
        <sz val="11.0"/>
        <u/>
      </rPr>
      <t>ECONOMÍA. Ecopetrol anunció que compró la participación del 45 % de Repsol, en el bloque CPO-09, ubicado en el departamento del Meta, y con esta transacción...</t>
    </r>
    <r>
      <rPr>
        <rFont val="Arial, sans-serif"/>
        <color rgb="FF1155CC"/>
        <sz val="12.0"/>
        <u/>
      </rPr>
      <t>.</t>
    </r>
    <r>
      <rPr>
        <rFont val="Arial, sans-serif"/>
        <color rgb="FF1155CC"/>
        <sz val="11.0"/>
        <u/>
      </rPr>
      <t>29 dic 2024</t>
    </r>
  </si>
  <si>
    <t>Caracol Radio</t>
  </si>
  <si>
    <t>Ecopetrol compró el 45% de participación de la petrolera Repsol</t>
  </si>
  <si>
    <t>Ecopetrol anunció que compró la participación del 45 % de Repsol, en el bloque CPO-09, ubicado en el departamento del Meta, y con esta transacción....</t>
  </si>
  <si>
    <t>Ecopetrol bought a 45% stake in the oil company Repsol</t>
  </si>
  <si>
    <t>Ecopetrol announced that it purchased Repsol's 45% stake in the CPO-09 block, located in the department of Meta, and with this transaction...</t>
  </si>
  <si>
    <t>Ecopetrol, Repsol, CPO-09 block, purchase</t>
  </si>
  <si>
    <t>Ecopetrol, Repsol, bloque CPO-09, compra</t>
  </si>
  <si>
    <t>Positive, highlighting Ecopetrol’s successful acquisition.</t>
  </si>
  <si>
    <t>compró el 45%</t>
  </si>
  <si>
    <r>
      <rPr>
        <rFont val="Arial, sans-serif"/>
        <color rgb="FF1155CC"/>
        <sz val="9.0"/>
        <u/>
      </rPr>
      <t>W Radio</t>
    </r>
    <r>
      <rPr>
        <rFont val="Arial, sans-serif"/>
        <color rgb="FF1155CC"/>
        <sz val="15.0"/>
        <u/>
      </rPr>
      <t>Ecopetrol adquirió participación de la empresa española Repsol en bloque CPO-09 en el Meta</t>
    </r>
    <r>
      <rPr>
        <rFont val="Arial, sans-serif"/>
        <color rgb="FF1155CC"/>
        <sz val="11.0"/>
        <u/>
      </rPr>
      <t>Ecopetrol adquiere el 45% restante del bloque CPO-09 en el Meta, consolidando el 100% de su propiedad y proyectando un aumento en reservas y producción de...</t>
    </r>
    <r>
      <rPr>
        <rFont val="Arial, sans-serif"/>
        <color rgb="FF1155CC"/>
        <sz val="12.0"/>
        <u/>
      </rPr>
      <t>.</t>
    </r>
    <r>
      <rPr>
        <rFont val="Arial, sans-serif"/>
        <color rgb="FF1155CC"/>
        <sz val="11.0"/>
        <u/>
      </rPr>
      <t>29 dic 2024</t>
    </r>
  </si>
  <si>
    <t>W Radio</t>
  </si>
  <si>
    <t>Ecopetrol adquirió participación de la empresa española Repsol en bloque CPO-09 en el Meta</t>
  </si>
  <si>
    <t>Ecopetrol adquiere el 45% restante del bloque CPO-09 en el Meta, consolidando el 100% de su propiedad y proyectando un aumento en reservas y producción de....</t>
  </si>
  <si>
    <t>Ecopetrol acquired participation from the Spanish company Repsol in block CPO-09 in Meta</t>
  </si>
  <si>
    <t>Ecopetrol acquires the remaining 45% of the CPO-09 block in Meta, consolidating 100% of its ownership and projecting an increase in reserves and production of...</t>
  </si>
  <si>
    <t>Positive, emphasizing Ecopetrol’s strategic acquisition and growth.</t>
  </si>
  <si>
    <t>adquirió participación</t>
  </si>
  <si>
    <r>
      <rPr>
        <rFont val="Arial, sans-serif"/>
        <color rgb="FF1155CC"/>
        <sz val="9.0"/>
        <u/>
      </rPr>
      <t>La FM</t>
    </r>
    <r>
      <rPr>
        <rFont val="Arial, sans-serif"/>
        <color rgb="FF1155CC"/>
        <sz val="15.0"/>
        <u/>
      </rPr>
      <t>Ecopetrol compra 45% de Repsol en bloque petrolero</t>
    </r>
    <r>
      <rPr>
        <rFont val="Arial, sans-serif"/>
        <color rgb="FF1155CC"/>
        <sz val="11.0"/>
        <u/>
      </rPr>
      <t>Ecopetrol adquiere el 45 restante de Repsol en el bloque CPO09 del Meta, sumando 41 millones de barriles a sus reservas.</t>
    </r>
    <r>
      <rPr>
        <rFont val="Arial, sans-serif"/>
        <color rgb="FF1155CC"/>
        <sz val="12.0"/>
        <u/>
      </rPr>
      <t>.</t>
    </r>
    <r>
      <rPr>
        <rFont val="Arial, sans-serif"/>
        <color rgb="FF1155CC"/>
        <sz val="11.0"/>
        <u/>
      </rPr>
      <t>29 dic 2024</t>
    </r>
  </si>
  <si>
    <t>Ecopetrol</t>
  </si>
  <si>
    <t>Ecopetrol compra 45% de Repsol en bloque petrolero</t>
  </si>
  <si>
    <t>Ecopetrol adquiere el 45 restante de Repsol en el bloque CPO09 del Meta, sumando 41 millones de barriles a sus reservas.</t>
  </si>
  <si>
    <t>Ecopetrol buys 45% of Repsol in oil block</t>
  </si>
  <si>
    <t>Ecopetrol acquires the remaining 45 of Repsol in the CPO09 block of Meta, adding 41 million barrels to its reserves.</t>
  </si>
  <si>
    <t>Ecopetrol, Repsol, oil block, Meta</t>
  </si>
  <si>
    <t>Ecopetrol, Repsol, bloque petrolero, Meta</t>
  </si>
  <si>
    <t>Positive, focusing on the acquisition of a major asset.</t>
  </si>
  <si>
    <r>
      <rPr>
        <rFont val="Arial, sans-serif"/>
        <color rgb="FF1155CC"/>
        <sz val="9.0"/>
        <u/>
      </rPr>
      <t>Diario del Norte</t>
    </r>
    <r>
      <rPr>
        <rFont val="Arial, sans-serif"/>
        <color rgb="FF1155CC"/>
        <sz val="15.0"/>
        <u/>
      </rPr>
      <t>Ecopetrol anunció la firma del acuerdo de compra de la participación del 45% de Repsol</t>
    </r>
    <r>
      <rPr>
        <rFont val="Arial, sans-serif"/>
        <color rgb="FF1155CC"/>
        <sz val="11.0"/>
        <u/>
      </rPr>
      <t>La negociación entre Repsol y Ecopetrol llegó al final: el 45% de la participación de la empresa española en la extracción de hidrocarburos ahora será...</t>
    </r>
    <r>
      <rPr>
        <rFont val="Arial, sans-serif"/>
        <color rgb="FF1155CC"/>
        <sz val="12.0"/>
        <u/>
      </rPr>
      <t>.</t>
    </r>
    <r>
      <rPr>
        <rFont val="Arial, sans-serif"/>
        <color rgb="FF1155CC"/>
        <sz val="11.0"/>
        <u/>
      </rPr>
      <t>29 dic 2024</t>
    </r>
  </si>
  <si>
    <t>Diario del Norte</t>
  </si>
  <si>
    <t>Ecopetrol anunció la firma del acuerdo de compra de la participación del 45% de Repsol</t>
  </si>
  <si>
    <t>La negociación entre Repsol y Ecopetrol llegó al final: el 45% de la participación de la empresa española en la extracción de hidrocarburos ahora será....</t>
  </si>
  <si>
    <t>Ecopetrol announced the signing of the purchase agreement for Repsol's 45% stake</t>
  </si>
  <si>
    <t>The negotiation between Repsol and Ecopetrol has come to an end: 45% of the Spanish company's participation in hydrocarbon extraction will now be...</t>
  </si>
  <si>
    <t>Ecopetrol, Repsol, purchase agreement</t>
  </si>
  <si>
    <t>Ecopetrol, Repsol, acuerdo de compra</t>
  </si>
  <si>
    <t>Positive, noting the conclusion of the purchase agreement.</t>
  </si>
  <si>
    <r>
      <rPr>
        <rFont val="Arial, sans-serif"/>
        <color rgb="FF1155CC"/>
        <sz val="9.0"/>
        <u/>
      </rPr>
      <t>El Espectador</t>
    </r>
    <r>
      <rPr>
        <rFont val="Arial, sans-serif"/>
        <color rgb="FF1155CC"/>
        <sz val="15.0"/>
        <u/>
      </rPr>
      <t>Ecopetrol anunció compra a Repsol del 45 % de participación en bloque petrolero</t>
    </r>
    <r>
      <rPr>
        <rFont val="Arial, sans-serif"/>
        <color rgb="FF1155CC"/>
        <sz val="11.0"/>
        <u/>
      </rPr>
      <t>Este domingo 29 de diciembre, Ecopetrol dio a conocer que concluyeron con éxito las negociaciones con la multinacional Repsol para adquirir el 45 % de la...</t>
    </r>
    <r>
      <rPr>
        <rFont val="Arial, sans-serif"/>
        <color rgb="FF1155CC"/>
        <sz val="12.0"/>
        <u/>
      </rPr>
      <t>.</t>
    </r>
    <r>
      <rPr>
        <rFont val="Arial, sans-serif"/>
        <color rgb="FF1155CC"/>
        <sz val="11.0"/>
        <u/>
      </rPr>
      <t>29 dic 2024</t>
    </r>
  </si>
  <si>
    <t>El Espectador</t>
  </si>
  <si>
    <t>Ecopetrol anunció compra a Repsol del 45 % de participación en bloque petrolero</t>
  </si>
  <si>
    <t>Ecopetrol dio a conocer que concluyeron con éxito las negociaciones con la multinacional Repsol para adquirir el 45 % de la....</t>
  </si>
  <si>
    <t>Ecopetrol announced the purchase of Repsol's 45% stake in an oil block</t>
  </si>
  <si>
    <t>Ecopetrol announced that they successfully concluded negotiations with the multinational Repsol to acquire 45% of the...</t>
  </si>
  <si>
    <t>Ecopetrol, Repsol, purchase</t>
  </si>
  <si>
    <t>Ecopetrol, Repsol, compra</t>
  </si>
  <si>
    <t>Positive, marking the completion of a key transaction.</t>
  </si>
  <si>
    <r>
      <rPr>
        <rFont val="Arial, sans-serif"/>
        <color rgb="FF1155CC"/>
        <sz val="9.0"/>
        <u/>
      </rPr>
      <t>El Economista</t>
    </r>
    <r>
      <rPr>
        <rFont val="Arial, sans-serif"/>
        <color rgb="FF1155CC"/>
        <sz val="15.0"/>
        <u/>
      </rPr>
      <t>Ecopetrol arrebata a Geopark los activos de Repsol en Colombia por cerca de 500 millones</t>
    </r>
    <r>
      <rPr>
        <rFont val="Arial, sans-serif"/>
        <color rgb="FF1155CC"/>
        <sz val="11.0"/>
        <u/>
      </rPr>
      <t>Ecopetrol irrumpe en la operación de venta del 45% del yacimiento petrolíferos colombiano CPO-09 que Repsol mantenía en el país y que ...</t>
    </r>
    <r>
      <rPr>
        <rFont val="Arial, sans-serif"/>
        <color rgb="FF1155CC"/>
        <sz val="12.0"/>
        <u/>
      </rPr>
      <t>.</t>
    </r>
    <r>
      <rPr>
        <rFont val="Arial, sans-serif"/>
        <color rgb="FF1155CC"/>
        <sz val="11.0"/>
        <u/>
      </rPr>
      <t>30 dic 2024</t>
    </r>
  </si>
  <si>
    <t>Ecopetrol arrebata a Geopark los activos de Repsol en Colombia por cerca de 500 millones</t>
  </si>
  <si>
    <t>Ecopetrol irrumpe en la operación de venta del 45% del yacimiento petrolíferos colombiano CPO-09 que Repsol mantenía en el país y que ....</t>
  </si>
  <si>
    <t>Ecopetrol snatches Repsol's assets in Colombia from Geopark for nearly 500 million</t>
  </si>
  <si>
    <t>Ecopetrol enters into the sale of 45% of the Colombian CPO-09 oil field that Repsol maintained in the country and which...</t>
  </si>
  <si>
    <t>Ecopetrol, Repsol, Geopark, Colombia</t>
  </si>
  <si>
    <t>Ecopetrol, Repsol, Geoparque, Colombia</t>
  </si>
  <si>
    <t>Positive, showing Ecopetrol’s acquisition of assets in Colombia.</t>
  </si>
  <si>
    <t>arrebata activos</t>
  </si>
  <si>
    <t>Negative (competitive loss).</t>
  </si>
  <si>
    <t>Negativo (pérdida competitiva).</t>
  </si>
  <si>
    <r>
      <rPr>
        <rFont val="Arial, sans-serif"/>
        <color rgb="FF1155CC"/>
        <sz val="9.0"/>
        <u/>
      </rPr>
      <t>MurciaEconomía.com</t>
    </r>
    <r>
      <rPr>
        <rFont val="Arial, sans-serif"/>
        <color rgb="FF1155CC"/>
        <sz val="15.0"/>
        <u/>
      </rPr>
      <t>Repsol lidera la transición energética con más de 800 estaciones de combustible renovable, impulsadas desde Cartagena</t>
    </r>
    <r>
      <rPr>
        <rFont val="Arial, sans-serif"/>
        <color rgb="FF1155CC"/>
        <sz val="11.0"/>
        <u/>
      </rPr>
      <t>Repsol ha cerrado 2024 con más de 800 estaciones de servicio que suministran Diésel Nexa 100% renovable en la Península Ibérica, superando con creces su...</t>
    </r>
    <r>
      <rPr>
        <rFont val="Arial, sans-serif"/>
        <color rgb="FF1155CC"/>
        <sz val="12.0"/>
        <u/>
      </rPr>
      <t>.</t>
    </r>
    <r>
      <rPr>
        <rFont val="Arial, sans-serif"/>
        <color rgb="FF1155CC"/>
        <sz val="11.0"/>
        <u/>
      </rPr>
      <t>30 dic 2024</t>
    </r>
  </si>
  <si>
    <t>Repsol lidera la transición energética con más de 800 estaciones de combustible renovable, impulsadas desde Cartagena</t>
  </si>
  <si>
    <t>Repsol ha cerrado 2024 con más de 800 estaciones de servicio que suministran Diésel Nexa 100% renovable en la Península Ibérica, superando con creces su....</t>
  </si>
  <si>
    <t>Repsol leads the energy transition with more than 800 renewable fuel stations, promoted from Cartagena</t>
  </si>
  <si>
    <t>Repsol has closed 2024 with more than 800 service stations supplying 100% renewable Nexa Diesel in the Iberian Peninsula, far exceeding its...</t>
  </si>
  <si>
    <t>Repsol, renewable fuel, Nexa Diesel</t>
  </si>
  <si>
    <t>Repsol, combustible renovable, Nexa Diesel</t>
  </si>
  <si>
    <t>Positive, highlighting Repsol’s leadership in renewable energy.</t>
  </si>
  <si>
    <t>lidera transición energética, "combustible renovable"</t>
  </si>
  <si>
    <r>
      <rPr>
        <rFont val="Arial, sans-serif"/>
        <color rgb="FF1155CC"/>
        <sz val="9.0"/>
        <u/>
      </rPr>
      <t>Murcia Plaza</t>
    </r>
    <r>
      <rPr>
        <rFont val="Arial, sans-serif"/>
        <color rgb="FF1155CC"/>
        <sz val="15.0"/>
        <u/>
      </rPr>
      <t>La planta de Cartagena posiciona a Repsol como líder europeo en producción de combustibles sostenibles</t>
    </r>
    <r>
      <rPr>
        <rFont val="Arial, sans-serif"/>
        <color rgb="FF1155CC"/>
        <sz val="11.0"/>
        <u/>
      </rPr>
      <t>MADRID (EP). Repsol ha pulverizado sus objetivos y ha cerrado 2024 con más de 800 estaciones de servicio en la Península Ibérica con el suministro de su...</t>
    </r>
    <r>
      <rPr>
        <rFont val="Arial, sans-serif"/>
        <color rgb="FF1155CC"/>
        <sz val="12.0"/>
        <u/>
      </rPr>
      <t>.</t>
    </r>
    <r>
      <rPr>
        <rFont val="Arial, sans-serif"/>
        <color rgb="FF1155CC"/>
        <sz val="11.0"/>
        <u/>
      </rPr>
      <t>30 dic 2024</t>
    </r>
  </si>
  <si>
    <t>La planta de Cartagena posiciona a Repsol como líder europeo en producción de combustibles sostenibles</t>
  </si>
  <si>
    <t>Repsol ha pulverizado sus objetivos y ha cerrado 2024 con más de 800 estaciones de servicio en la Península Ibérica con el suministro de su....</t>
  </si>
  <si>
    <t>The Cartagena plant positions Repsol as a European leader in the production of sustainable fuels</t>
  </si>
  <si>
    <t>Repsol has pulverized its objectives and has closed 2024 with more than 800 service stations in the Iberian Peninsula with the supply of its...</t>
  </si>
  <si>
    <t>Repsol, Cartagena, sustainable fuels</t>
  </si>
  <si>
    <t>Repsol, Cartagena, combustibles sostenibles</t>
  </si>
  <si>
    <t>Positive, reinforcing Repsol’s position in the sustainable energy market.</t>
  </si>
  <si>
    <t>líder europeo, "combustibles sostenibles"</t>
  </si>
  <si>
    <t>Strong positive sustainability leadership.</t>
  </si>
  <si>
    <t>Fuerte liderazgo positivo en sostenibilidad.</t>
  </si>
  <si>
    <r>
      <rPr>
        <rFont val="Arial, sans-serif"/>
        <color rgb="FF1155CC"/>
        <sz val="9.0"/>
        <u/>
      </rPr>
      <t>El Periódico de la Energía</t>
    </r>
    <r>
      <rPr>
        <rFont val="Arial, sans-serif"/>
        <color rgb="FF1155CC"/>
        <sz val="15.0"/>
        <u/>
      </rPr>
      <t>Ecopetrol logra un acuerdo para comprar el 45% de la participación de Repsol en un pozo petrolero</t>
    </r>
    <r>
      <rPr>
        <rFont val="Arial, sans-serif"/>
        <color rgb="FF1155CC"/>
        <sz val="11.0"/>
        <u/>
      </rPr>
      <t>Ecopetrol ha anunciado que logró un acuerdo para adquirir el 45% de la participación de Repsol en el pozo petrolero CPO-09, ubicado en el departamento del...</t>
    </r>
    <r>
      <rPr>
        <rFont val="Arial, sans-serif"/>
        <color rgb="FF1155CC"/>
        <sz val="12.0"/>
        <u/>
      </rPr>
      <t>.</t>
    </r>
    <r>
      <rPr>
        <rFont val="Arial, sans-serif"/>
        <color rgb="FF1155CC"/>
        <sz val="11.0"/>
        <u/>
      </rPr>
      <t>30 dic 2024</t>
    </r>
  </si>
  <si>
    <t>Ecopetrol logra un acuerdo para comprar el 45% de la participación de Repsol en un pozo petrolero</t>
  </si>
  <si>
    <t>Ecopetrol ha anunciado que logró un acuerdo para adquirir el 45% de la participación de Repsol en el pozo petrolero CPO-09, ubicado en el departamento del....</t>
  </si>
  <si>
    <t>Ecopetrol reaches an agreement to buy 45% of Repsol's participation in an oil well</t>
  </si>
  <si>
    <t>Ecopetrol has announced that it has reached an agreement to acquire Repsol's 45% stake in the CPO-09 oil well, located in the department of...</t>
  </si>
  <si>
    <t>Ecopetrol, Repsol, oil well, CPO-09</t>
  </si>
  <si>
    <t>Ecopetrol, “Repsol”, “pozo petrolero”, “CPO-09”</t>
  </si>
  <si>
    <t>Positive, highlighting the agreement between Ecopetrol and Repsol.</t>
  </si>
  <si>
    <r>
      <rPr>
        <rFont val="Arial, sans-serif"/>
        <color rgb="FF1155CC"/>
        <sz val="9.0"/>
        <u/>
      </rPr>
      <t>El Nacional.cat</t>
    </r>
    <r>
      <rPr>
        <rFont val="Arial, sans-serif"/>
        <color rgb="FF1155CC"/>
        <sz val="15.0"/>
        <u/>
      </rPr>
      <t>Imaz (Repsol) advierte que "el impuestazo haría imposible" la inversión de 1.000M en Tarragona</t>
    </r>
    <r>
      <rPr>
        <rFont val="Arial, sans-serif"/>
        <color rgb="FF1155CC"/>
        <sz val="11.0"/>
        <u/>
      </rPr>
      <t>El consejero delegado de Repsol, Josu Jon Imaz, ha insistido en que "el impuestazo haría imposible" la inversión de 1.100 millones de euros en Tarragona...</t>
    </r>
    <r>
      <rPr>
        <rFont val="Arial, sans-serif"/>
        <color rgb="FF1155CC"/>
        <sz val="12.0"/>
        <u/>
      </rPr>
      <t>.</t>
    </r>
    <r>
      <rPr>
        <rFont val="Arial, sans-serif"/>
        <color rgb="FF1155CC"/>
        <sz val="11.0"/>
        <u/>
      </rPr>
      <t>30 dic 2024</t>
    </r>
  </si>
  <si>
    <t>Imaz (Repsol) advierte que "el impuestazo haría imposible" la inversión de 1.000M en Tarragona</t>
  </si>
  <si>
    <t>El consejero delegado de Repsol, Josu Jon Imaz, ha insistido en que "el impuestazo haría imposible" la inversión de 1.100 millones de euros en Tarragona.</t>
  </si>
  <si>
    <t>Imaz (Repsol) warns that "the tax would make impossible" the investment of 1,000M in Tarragona</t>
  </si>
  <si>
    <t>The CEO of Repsol, Josu Jon Imaz, has insisted that "the huge tax would make it impossible" to invest 1.1 billion euros in Tarragona.</t>
  </si>
  <si>
    <t>Imaz, Repsol, tax, investment</t>
  </si>
  <si>
    <t>Imaz, Repsol, impuestos, inversión</t>
  </si>
  <si>
    <t>Negative, expressing concern over the tax policy’s impact on investment.</t>
  </si>
  <si>
    <t>impuestazo, "haría imposible"</t>
  </si>
  <si>
    <r>
      <rPr>
        <rFont val="Arial, sans-serif"/>
        <color rgb="FF1155CC"/>
        <sz val="9.0"/>
        <u/>
      </rPr>
      <t>Málaga Hoy</t>
    </r>
    <r>
      <rPr>
        <rFont val="Arial, sans-serif"/>
        <color rgb="FF1155CC"/>
        <sz val="15.0"/>
        <u/>
      </rPr>
      <t>Estos son los dos mejores Roscones de Reyes de Málaga según la 'Guía Repsol'</t>
    </r>
    <r>
      <rPr>
        <rFont val="Arial, sans-serif"/>
        <color rgb="FF1155CC"/>
        <sz val="11.0"/>
        <u/>
      </rPr>
      <t>Ana La Fantástica, en Málaga capital, y Confitería Daver, en Ronda, dos de los mejores Roscones de Reyes de España según la Guía Repsol.</t>
    </r>
    <r>
      <rPr>
        <rFont val="Arial, sans-serif"/>
        <color rgb="FF1155CC"/>
        <sz val="12.0"/>
        <u/>
      </rPr>
      <t>.</t>
    </r>
    <r>
      <rPr>
        <rFont val="Arial, sans-serif"/>
        <color rgb="FF1155CC"/>
        <sz val="11.0"/>
        <u/>
      </rPr>
      <t>30 dic 2024</t>
    </r>
  </si>
  <si>
    <t>Estos son los dos mejores Roscones de Reyes de Málaga según la 'Guía Repsol'</t>
  </si>
  <si>
    <t>Ana La Fantástica, en Málaga capital, y Confitería Daver, en Ronda, dos de los mejores Roscones de Reyes de España según la Guía Repsol.</t>
  </si>
  <si>
    <t>These are the two best Roscones de Reyes in Malaga according to the 'Repsol Guide'</t>
  </si>
  <si>
    <t>Ana La Fantástica, in Malaga capital, and Confitería Daver, in Ronda, two of the best Roscones de Reyes in Spain according to the Repsol Guide.</t>
  </si>
  <si>
    <r>
      <rPr>
        <rFont val="Arial, sans-serif"/>
        <color rgb="FF1155CC"/>
        <sz val="9.0"/>
        <u/>
      </rPr>
      <t>Yahoo Finanzas</t>
    </r>
    <r>
      <rPr>
        <rFont val="Arial, sans-serif"/>
        <color rgb="FF1155CC"/>
        <sz val="15.0"/>
        <u/>
      </rPr>
      <t>El Ibex 35 cierra plano sobre los 11.500 puntos. Repsol y Solaria cara y cruz al cierre</t>
    </r>
    <r>
      <rPr>
        <rFont val="Arial, sans-serif"/>
        <color rgb="FF1155CC"/>
        <sz val="11.0"/>
        <u/>
      </rPr>
      <t>Entre los valores más alcistas de la sesión, Repsol se coloca a la cabeza del selectivo con subidas del 1,8%, sobre los 11,49 euros.</t>
    </r>
    <r>
      <rPr>
        <rFont val="Arial, sans-serif"/>
        <color rgb="FF1155CC"/>
        <sz val="12.0"/>
        <u/>
      </rPr>
      <t>.</t>
    </r>
    <r>
      <rPr>
        <rFont val="Arial, sans-serif"/>
        <color rgb="FF1155CC"/>
        <sz val="11.0"/>
        <u/>
      </rPr>
      <t>30 dic 2024</t>
    </r>
  </si>
  <si>
    <t>El Ibex 35 cierra plano sobre los 11.500 puntos. Repsol y Solaria cara y cruz al cierre</t>
  </si>
  <si>
    <t>Repsol se coloca a la cabeza del selectivo con subidas del 1,8%, sobre los 11,49 euros.</t>
  </si>
  <si>
    <t>The Ibex 35 closes flat above 11,500 points. Repsol and Solaria head and tail at closing</t>
  </si>
  <si>
    <t>Repsol is at the top of the selective with increases of 1.8%, above 11.49 euros.</t>
  </si>
  <si>
    <t>Ibex 35, Repsol, Solaria</t>
  </si>
  <si>
    <t>Positive, noting Repsol’s strong performance in the stock market.</t>
  </si>
  <si>
    <r>
      <rPr>
        <rFont val="Arial, sans-serif"/>
        <color rgb="FF1155CC"/>
        <sz val="9.0"/>
        <u/>
      </rPr>
      <t>Libre Mercado</t>
    </r>
    <r>
      <rPr>
        <rFont val="Arial, sans-serif"/>
        <color rgb="FF1155CC"/>
        <sz val="15.0"/>
        <u/>
      </rPr>
      <t>Josu Jon Imaz desenmascara a Sánchez: "El impuestazo está haciendo imposible la inversión en España"</t>
    </r>
    <r>
      <rPr>
        <rFont val="Arial, sans-serif"/>
        <color rgb="FF1155CC"/>
        <sz val="11.0"/>
        <u/>
      </rPr>
      <t>El CEO de Repsol concede una entrevista a El Mundo en la que denuncia la actitud del Ejecutivo con el sector energético.</t>
    </r>
    <r>
      <rPr>
        <rFont val="Arial, sans-serif"/>
        <color rgb="FF1155CC"/>
        <sz val="12.0"/>
        <u/>
      </rPr>
      <t>.</t>
    </r>
    <r>
      <rPr>
        <rFont val="Arial, sans-serif"/>
        <color rgb="FF1155CC"/>
        <sz val="11.0"/>
        <u/>
      </rPr>
      <t>30 dic 2024</t>
    </r>
  </si>
  <si>
    <t>"El impuestazo está haciendo imposible la inversión en España"</t>
  </si>
  <si>
    <t>"El CEO de Repsol concede una entrevista a El Mundo en la que denuncia la actitud del Ejecutivo con el sector energético."</t>
  </si>
  <si>
    <t>The tax is making investment in Spain impossible</t>
  </si>
  <si>
    <t>The CEO of Repsol grants an interview to El Mundo in which he denounces the Executive's attitude towards the energy sector.</t>
  </si>
  <si>
    <t>tax, investment, Repsol, Spain</t>
  </si>
  <si>
    <t>impuesto, inversión, Repsol, España</t>
  </si>
  <si>
    <t>Negative, highlighting concerns about the tax policies.</t>
  </si>
  <si>
    <t>imposible la inversión</t>
  </si>
  <si>
    <r>
      <rPr>
        <rFont val="Arial, sans-serif"/>
        <color rgb="FF1155CC"/>
        <sz val="9.0"/>
        <u/>
      </rPr>
      <t>El Periódico de Ceuta</t>
    </r>
    <r>
      <rPr>
        <rFont val="Arial, sans-serif"/>
        <color rgb="FF1155CC"/>
        <sz val="15.0"/>
        <u/>
      </rPr>
      <t>Imaz, CEO de Repsol, critica la política de Sánchez por dificultar la inversión en España</t>
    </r>
    <r>
      <rPr>
        <rFont val="Arial, sans-serif"/>
        <color rgb="FF1155CC"/>
        <sz val="11.0"/>
        <u/>
      </rPr>
      <t>El directivo de la energética asegura que la política económica del Gobierno de Pedro Sánchez crea un clima de incertidumbre que frena la inversión...</t>
    </r>
    <r>
      <rPr>
        <rFont val="Arial, sans-serif"/>
        <color rgb="FF1155CC"/>
        <sz val="12.0"/>
        <u/>
      </rPr>
      <t>.</t>
    </r>
    <r>
      <rPr>
        <rFont val="Arial, sans-serif"/>
        <color rgb="FF1155CC"/>
        <sz val="11.0"/>
        <u/>
      </rPr>
      <t>30 dic 2024</t>
    </r>
  </si>
  <si>
    <t>El Periódico de Ceuta</t>
  </si>
  <si>
    <t>Imaz, CEO de Repsol, critica la política de Sánchez por dificultar la inversión en España</t>
  </si>
  <si>
    <t>El directivo de la energética asegura que la política económica del Gobierno de Pedro Sánchez crea un clima de incertidumbre que frena la inversión....</t>
  </si>
  <si>
    <t>Imaz, CEO of Repsol, criticizes Sánchez's policy for making investment in Spain difficult</t>
  </si>
  <si>
    <t>The director of the energy company assures that the economic policy of the Government of Pedro Sánchez creates a climate of uncertainty that slows down investment....</t>
  </si>
  <si>
    <t>Imaz, Repsol, Sánchez, investment</t>
  </si>
  <si>
    <t>Imaz, Repsol, Sánchez, inversión</t>
  </si>
  <si>
    <t>Negative, criticizing the Government’s policies.</t>
  </si>
  <si>
    <t>critica, "dificultar inversión"</t>
  </si>
  <si>
    <r>
      <rPr>
        <rFont val="Arial, sans-serif"/>
        <color rgb="FF1155CC"/>
        <sz val="9.0"/>
        <u/>
      </rPr>
      <t>Merca2.es</t>
    </r>
    <r>
      <rPr>
        <rFont val="Arial, sans-serif"/>
        <color rgb="FF1155CC"/>
        <sz val="15.0"/>
        <u/>
      </rPr>
      <t>Otro ‘estacazo’ a Endesa, Moeve y Repsol: el Gobierno sube a 1.100 ‘kilos’ la aportación al FNEE</t>
    </r>
    <r>
      <rPr>
        <rFont val="Arial, sans-serif"/>
        <color rgb="FF1155CC"/>
        <sz val="11.0"/>
        <u/>
      </rPr>
      <t>Otro 'estacazo' a Endesa, Moeve y Repsol: el Gobierno sube a 1.100 'kilos' la aportación al FNEE ó Fondo Nacional de Eficicencia Energética.</t>
    </r>
    <r>
      <rPr>
        <rFont val="Arial, sans-serif"/>
        <color rgb="FF1155CC"/>
        <sz val="12.0"/>
        <u/>
      </rPr>
      <t>.</t>
    </r>
    <r>
      <rPr>
        <rFont val="Arial, sans-serif"/>
        <color rgb="FF1155CC"/>
        <sz val="11.0"/>
        <u/>
      </rPr>
      <t>30 dic 2024</t>
    </r>
  </si>
  <si>
    <t>Otro 'estacazo' a Endesa, Moeve y Repsol: el Gobierno sube a 1.100 'kilos' la aportación al FNEE</t>
  </si>
  <si>
    <t>El Gobierno sube a 1.100 'kilos' la aportación al FNEE ó Fondo Nacional de Eficiencia Energética.</t>
  </si>
  <si>
    <t>Another blow to Endesa, Moeve and Repsol: the Government increases the contribution to the FNEE to 1,100 kilos</t>
  </si>
  <si>
    <t>The Government increases the contribution to the FNEE or National Energy Efficiency Fund to 1,100 'kilos'.</t>
  </si>
  <si>
    <t>Endesa, Moeve, Repsol, FNEE</t>
  </si>
  <si>
    <t>Negative, highlighting the increased financial burden on energy companies.</t>
  </si>
  <si>
    <t>estacazo, "sube aportación"</t>
  </si>
  <si>
    <t>Strong negative regulatory impact.</t>
  </si>
  <si>
    <t>Fuerte impacto regulatorio negativo.</t>
  </si>
  <si>
    <r>
      <rPr>
        <rFont val="Arial, sans-serif"/>
        <color rgb="FF1155CC"/>
        <sz val="9.0"/>
        <u/>
      </rPr>
      <t>BNamericas</t>
    </r>
    <r>
      <rPr>
        <rFont val="Arial, sans-serif"/>
        <color rgb="FF1155CC"/>
        <sz val="15.0"/>
        <u/>
      </rPr>
      <t>Ecopetrol adquiere participación del 45% de Repsol en el bloque CPO-9</t>
    </r>
    <r>
      <rPr>
        <rFont val="Arial, sans-serif"/>
        <color rgb="FF1155CC"/>
        <sz val="11.0"/>
        <u/>
      </rPr>
      <t>El domingo 29 de diciembre de 2024 Ecopetrol concluyó exitosamente la negociación con Repsol para adquirir el 45% restante de su participación en el bloque...</t>
    </r>
    <r>
      <rPr>
        <rFont val="Arial, sans-serif"/>
        <color rgb="FF1155CC"/>
        <sz val="12.0"/>
        <u/>
      </rPr>
      <t>.</t>
    </r>
    <r>
      <rPr>
        <rFont val="Arial, sans-serif"/>
        <color rgb="FF1155CC"/>
        <sz val="11.0"/>
        <u/>
      </rPr>
      <t>30 dic 2024</t>
    </r>
  </si>
  <si>
    <t>Ecopetrol adquiere participación del 45% de Repsol en el bloque CPO-9</t>
  </si>
  <si>
    <t>Ecopetrol concluyó exitosamente la negociación con Repsol para adquirir el 45% restante de su participación en el bloque.</t>
  </si>
  <si>
    <t>Ecopetrol acquires Repsol's 45% stake in the CPO-9 block</t>
  </si>
  <si>
    <t>Ecopetrol successfully concluded the negotiation with Repsol to acquire the remaining 45% of its participation in the block.</t>
  </si>
  <si>
    <t>Ecopetrol, Repsol, CPO-9 block</t>
  </si>
  <si>
    <t>Ecopetrol, Repsol, bloque CPO-9</t>
  </si>
  <si>
    <t>Positive, confirming Ecopetrol’s acquisition of a major asset.</t>
  </si>
  <si>
    <t>adquiere participación</t>
  </si>
  <si>
    <r>
      <rPr>
        <rFont val="Arial, sans-serif"/>
        <color rgb="FF1155CC"/>
        <sz val="9.0"/>
        <u/>
      </rPr>
      <t>Cinco Días</t>
    </r>
    <r>
      <rPr>
        <rFont val="Arial, sans-serif"/>
        <color rgb="FF1155CC"/>
        <sz val="15.0"/>
        <u/>
      </rPr>
      <t>El Ibex escapa a las caídas y mantiene a flote los 11.500 puntos</t>
    </r>
    <r>
      <rPr>
        <rFont val="Arial, sans-serif"/>
        <color rgb="FF1155CC"/>
        <sz val="11.0"/>
        <u/>
      </rPr>
      <t>Los inversores dan por cerrado el año y limitan los movimientos.</t>
    </r>
    <r>
      <rPr>
        <rFont val="Arial, sans-serif"/>
        <color rgb="FF1155CC"/>
        <sz val="12.0"/>
        <u/>
      </rPr>
      <t>.</t>
    </r>
    <r>
      <rPr>
        <rFont val="Arial, sans-serif"/>
        <color rgb="FF1155CC"/>
        <sz val="11.0"/>
        <u/>
      </rPr>
      <t>30 dic 2024</t>
    </r>
  </si>
  <si>
    <t>El Ibex escapa a las caídas y mantiene a flote los 11.500 puntos</t>
  </si>
  <si>
    <t>Los inversores dan por cerrado el año y limitan los movimientos.</t>
  </si>
  <si>
    <t>The Ibex escapes falls and keeps 11,500 points afloat</t>
  </si>
  <si>
    <t>Investors consider the year closed and limit movements.</t>
  </si>
  <si>
    <r>
      <rPr>
        <rFont val="Arial, sans-serif"/>
        <color rgb="FF1155CC"/>
        <sz val="9.0"/>
        <u/>
      </rPr>
      <t>Diario Red</t>
    </r>
    <r>
      <rPr>
        <rFont val="Arial, sans-serif"/>
        <color rgb="FF1155CC"/>
        <sz val="15.0"/>
        <u/>
      </rPr>
      <t>El Mundo entrevista a Josu Jon Imaz para disparar contra el impuesto a las energéticas</t>
    </r>
    <r>
      <rPr>
        <rFont val="Arial, sans-serif"/>
        <color rgb="FF1155CC"/>
        <sz val="11.0"/>
        <u/>
      </rPr>
      <t>El CEO de Repsol y ex presidente del PNV ha sido clave para que la derecha vasca y catalana hayan forzado al PSOE a eliminar el gravamen a las grandes...</t>
    </r>
    <r>
      <rPr>
        <rFont val="Arial, sans-serif"/>
        <color rgb="FF1155CC"/>
        <sz val="12.0"/>
        <u/>
      </rPr>
      <t>.</t>
    </r>
    <r>
      <rPr>
        <rFont val="Arial, sans-serif"/>
        <color rgb="FF1155CC"/>
        <sz val="11.0"/>
        <u/>
      </rPr>
      <t>30 dic 2024</t>
    </r>
  </si>
  <si>
    <t>El Mundo entrevista a Josu Jon Imaz para disparar contra el impuesto a las energéticas</t>
  </si>
  <si>
    <t>El CEO de Repsol y ex presidente del PNV ha sido clave para que la derecha vasca y catalana hayan forzado al PSOE a eliminar el gravamen a las grandes....</t>
  </si>
  <si>
    <t>El Mundo interviews Josu Jon Imaz to shoot against the tax on energy companies</t>
  </si>
  <si>
    <t>The CEO of Repsol and former president of the PNV has been key for the Basque and Catalan right to force the PSOE to eliminate the tax on large companies....</t>
  </si>
  <si>
    <t>Imaz, Repsol, tax, energy companies</t>
  </si>
  <si>
    <t>Imaz, Repsol, fiscal, empresas energéticas</t>
  </si>
  <si>
    <t>Negative, Imaz continues to oppose the energy tax.</t>
  </si>
  <si>
    <t>disparar contra el impuesto</t>
  </si>
  <si>
    <r>
      <rPr>
        <rFont val="Arial, sans-serif"/>
        <color rgb="FF1155CC"/>
        <sz val="9.0"/>
        <u/>
      </rPr>
      <t>DF SUD</t>
    </r>
    <r>
      <rPr>
        <rFont val="Arial, sans-serif"/>
        <color rgb="FF1155CC"/>
        <sz val="15.0"/>
        <u/>
      </rPr>
      <t>Colombiana Ecopetrol anuncia la compra de 45% de participación de Repsol en el bloque CPO 09</t>
    </r>
    <r>
      <rPr>
        <rFont val="Arial, sans-serif"/>
        <color rgb="FF1155CC"/>
        <sz val="11.0"/>
        <u/>
      </rPr>
      <t>Colombiana Ecopetrol anuncia la compra de 45% de participación de Repsol en el bloque CPO 09.</t>
    </r>
    <r>
      <rPr>
        <rFont val="Arial, sans-serif"/>
        <color rgb="FF1155CC"/>
        <sz val="12.0"/>
        <u/>
      </rPr>
      <t>.</t>
    </r>
    <r>
      <rPr>
        <rFont val="Arial, sans-serif"/>
        <color rgb="FF1155CC"/>
        <sz val="11.0"/>
        <u/>
      </rPr>
      <t>30 dic 2024</t>
    </r>
  </si>
  <si>
    <t>Colombiana</t>
  </si>
  <si>
    <t>Ecopetrol anuncia la compra de 45% de participación de Repsol en el bloque CPO 09</t>
  </si>
  <si>
    <t>Ecopetrol anuncia la compra de 45% de participación de Repsol en el bloque CPO 09.</t>
  </si>
  <si>
    <t>Ecopetrol announces the purchase of Repsol's 45% stake in the CPO 09 block</t>
  </si>
  <si>
    <t>Ecopetrol announces the purchase of Repsol's 45% stake in the CPO 09 block.</t>
  </si>
  <si>
    <t>Ecopetrol, Repsol, CPO 09 block</t>
  </si>
  <si>
    <t>Ecopetrol, “Repsol”, “bloque CPO 09”</t>
  </si>
  <si>
    <t>Positive, emphasizing Ecopetrol’s acquisition.</t>
  </si>
  <si>
    <r>
      <rPr>
        <rFont val="Arial, sans-serif"/>
        <color rgb="FF1155CC"/>
        <sz val="9.0"/>
        <u/>
      </rPr>
      <t>Box Repsol</t>
    </r>
    <r>
      <rPr>
        <rFont val="Arial, sans-serif"/>
        <color rgb="FF1155CC"/>
        <sz val="15.0"/>
        <u/>
      </rPr>
      <t>¿Cuáles son los mejores ciclomotores de 49 cc en 2024?</t>
    </r>
    <r>
      <rPr>
        <rFont val="Arial, sans-serif"/>
        <color rgb="FF1155CC"/>
        <sz val="11.0"/>
        <u/>
      </rPr>
      <t>Descubre las mejores motos de 49cc para moverte en la ciudad: deportivas, clásicas y económicas. Encuentra la opción ideal para tus desplazamientos urbanos.</t>
    </r>
    <r>
      <rPr>
        <rFont val="Arial, sans-serif"/>
        <color rgb="FF1155CC"/>
        <sz val="12.0"/>
        <u/>
      </rPr>
      <t>.</t>
    </r>
    <r>
      <rPr>
        <rFont val="Arial, sans-serif"/>
        <color rgb="FF1155CC"/>
        <sz val="11.0"/>
        <u/>
      </rPr>
      <t>30 dic 2024</t>
    </r>
  </si>
  <si>
    <t>¿Cuáles son los mejores ciclomotores de 49 cc en 2024?</t>
  </si>
  <si>
    <t>Descubre las mejores motos de 49cc para moverte en la ciudad: deportivas, clásicas y económicas. Encuentra la opción ideal para tus desplazamientos urbanos.</t>
  </si>
  <si>
    <t>What are the best 49cc mopeds in 2024?</t>
  </si>
  <si>
    <t>Discover the best 49cc motorcycles to get around the city: sporty, classic and economical. Find the ideal option for your urban trips.</t>
  </si>
  <si>
    <r>
      <rPr>
        <rFont val="Arial, sans-serif"/>
        <color rgb="FF1155CC"/>
        <sz val="9.0"/>
        <u/>
      </rPr>
      <t>Cambio Colombia</t>
    </r>
    <r>
      <rPr>
        <rFont val="Arial, sans-serif"/>
        <color rgb="FF1155CC"/>
        <sz val="15.0"/>
        <u/>
      </rPr>
      <t>Ecopetrol logra acuerdo con Repsol y se queda con la totalidad del campo CPO-09 en el Meta</t>
    </r>
    <r>
      <rPr>
        <rFont val="Arial, sans-serif"/>
        <color rgb="FF1155CC"/>
        <sz val="11.0"/>
        <u/>
      </rPr>
      <t>Este acuerdo le permitirá a Ecopetrol añadir cerca de 41 millones de barriles a sus reservas y proyectar un incremento en su producción diaria de...</t>
    </r>
    <r>
      <rPr>
        <rFont val="Arial, sans-serif"/>
        <color rgb="FF1155CC"/>
        <sz val="12.0"/>
        <u/>
      </rPr>
      <t>.</t>
    </r>
    <r>
      <rPr>
        <rFont val="Arial, sans-serif"/>
        <color rgb="FF1155CC"/>
        <sz val="11.0"/>
        <u/>
      </rPr>
      <t>30 dic 2024</t>
    </r>
  </si>
  <si>
    <t>Ecopetrol logra acuerdo con Repsol y se queda con la totalidad del campo CPO-09 en el Meta</t>
  </si>
  <si>
    <t>Ecopetrol logrará añadir cerca de 41 millones de barriles a sus reservas y proyectar un incremento en su producción diaria.</t>
  </si>
  <si>
    <t>Ecopetrol reaches agreement with Repsol and takes over the entire CPO-09 field in Meta</t>
  </si>
  <si>
    <t>Ecopetrol will be able to add nearly 41 million barrels to its reserves and project an increase in its daily production.</t>
  </si>
  <si>
    <t>Ecopetrol, Repsol, CPO-09, Meta</t>
  </si>
  <si>
    <t>Positive, detailing Ecopetrol’s growth in reserves and production.</t>
  </si>
  <si>
    <t>se queda con la totalidad</t>
  </si>
  <si>
    <t>Negative (loss of asset control).</t>
  </si>
  <si>
    <t>Negativo (pérdida de control de activos).</t>
  </si>
  <si>
    <r>
      <rPr>
        <rFont val="Arial, sans-serif"/>
        <color rgb="FF1155CC"/>
        <sz val="9.0"/>
        <u/>
      </rPr>
      <t>Las2orillas</t>
    </r>
    <r>
      <rPr>
        <rFont val="Arial, sans-serif"/>
        <color rgb="FF1155CC"/>
        <sz val="15.0"/>
        <u/>
      </rPr>
      <t>Ecopetrol se quedó con lo último de la petrolera española Repsol</t>
    </r>
    <r>
      <rPr>
        <rFont val="Arial, sans-serif"/>
        <color rgb="FF1155CC"/>
        <sz val="11.0"/>
        <u/>
      </rPr>
      <t>El presidente de Ecopetrol, Ricardo Roa, confirmó que ya se compró el otro 45% de Repsol que decidió cerrar sus operaciones en el país.</t>
    </r>
    <r>
      <rPr>
        <rFont val="Arial, sans-serif"/>
        <color rgb="FF1155CC"/>
        <sz val="12.0"/>
        <u/>
      </rPr>
      <t>.</t>
    </r>
    <r>
      <rPr>
        <rFont val="Arial, sans-serif"/>
        <color rgb="FF1155CC"/>
        <sz val="11.0"/>
        <u/>
      </rPr>
      <t>30 dic 2024</t>
    </r>
  </si>
  <si>
    <t>Ecopetrol se quedó con lo último de la petrolera española Repsol</t>
  </si>
  <si>
    <t>El presidente de Ecopetrol, Ricardo Roa, confirmó que ya se compró el otro 45% de Repsol que decidió cerrar sus operaciones en el país.</t>
  </si>
  <si>
    <t>Ecopetrol kept the last of the Spanish oil company Repsol</t>
  </si>
  <si>
    <t>The president of Ecopetrol, Ricardo Roa, confirmed that the other 45% of Repsol has already been purchased and decided to close its operations in the country.</t>
  </si>
  <si>
    <t>Ecopetrol, Repsol, 45% stake</t>
  </si>
  <si>
    <t>Ecopetrol, Repsol, participación del 45%</t>
  </si>
  <si>
    <t>Positive, marking the finalization of the transaction.</t>
  </si>
  <si>
    <t>se quedó con lo último</t>
  </si>
  <si>
    <t>Negative (complete divestment).</t>
  </si>
  <si>
    <t>Negativo (desinversión total).</t>
  </si>
  <si>
    <r>
      <rPr>
        <rFont val="Arial, sans-serif"/>
        <color rgb="FF1155CC"/>
        <sz val="9.0"/>
        <u/>
      </rPr>
      <t>El Colombiano</t>
    </r>
    <r>
      <rPr>
        <rFont val="Arial, sans-serif"/>
        <color rgb="FF1155CC"/>
        <sz val="15.0"/>
        <u/>
      </rPr>
      <t>Ecopetrol compró el 45% de participación de Repsol en bloque petrolero en el Meta</t>
    </r>
    <r>
      <rPr>
        <rFont val="Arial, sans-serif"/>
        <color rgb="FF1155CC"/>
        <sz val="11.0"/>
        <u/>
      </rPr>
      <t>Este domingo 29 de diciembre se concluyó la negociación con Repsol para adquirir el 45% restante de su participación en el bloque CPO-09, ubicado en e...</t>
    </r>
    <r>
      <rPr>
        <rFont val="Arial, sans-serif"/>
        <color rgb="FF1155CC"/>
        <sz val="12.0"/>
        <u/>
      </rPr>
      <t>.</t>
    </r>
    <r>
      <rPr>
        <rFont val="Arial, sans-serif"/>
        <color rgb="FF1155CC"/>
        <sz val="11.0"/>
        <u/>
      </rPr>
      <t>30 dic 2024</t>
    </r>
  </si>
  <si>
    <t>Ecopetrol compró el 45% de participación de Repsol en bloque petrolero en el Meta</t>
  </si>
  <si>
    <t>Ecopetrol compró el 45% de participación de Repsol en bloque petrolero en el Meta. Este domingo 29 de diciembre se concluyó la negociación con Repsol para adquirir el 45% restante de su participación en el bloque CPO-09, ubicado en e....</t>
  </si>
  <si>
    <t>Ecopetrol bought Repsol's 45% stake in the Meta oil block</t>
  </si>
  <si>
    <t>Ecopetrol bought Repsol's 45% stake in the Meta oil block. This Sunday, December 29, the negotiation with Repsol to acquire the remaining 45% of its participation in the CPO-09 block, located in the...</t>
  </si>
  <si>
    <t>Ecopetrol, Repsol, Meta oil block</t>
  </si>
  <si>
    <t>Ecopetrol, Repsol, Meta bloque petrolero</t>
  </si>
  <si>
    <t>Positive, reinforcing Ecopetrol’s successful acquisition.</t>
  </si>
  <si>
    <r>
      <rPr>
        <rFont val="Arial, sans-serif"/>
        <color rgb="FF1155CC"/>
        <sz val="9.0"/>
        <u/>
      </rPr>
      <t>ELTIEMPO.COM</t>
    </r>
    <r>
      <rPr>
        <rFont val="Arial, sans-serif"/>
        <color rgb="FF1155CC"/>
        <sz val="15.0"/>
        <u/>
      </rPr>
      <t>Ecopetrol compró la participación del 45 % de Repsol en el bloque CPO 09</t>
    </r>
    <r>
      <rPr>
        <rFont val="Arial, sans-serif"/>
        <color rgb="FF1155CC"/>
        <sz val="11.0"/>
        <u/>
      </rPr>
      <t>Con esta adquisición, la compañía estatal añadirá cerca de 41 millones de barriles a sus reservas.</t>
    </r>
    <r>
      <rPr>
        <rFont val="Arial, sans-serif"/>
        <color rgb="FF1155CC"/>
        <sz val="12.0"/>
        <u/>
      </rPr>
      <t>.</t>
    </r>
    <r>
      <rPr>
        <rFont val="Arial, sans-serif"/>
        <color rgb="FF1155CC"/>
        <sz val="11.0"/>
        <u/>
      </rPr>
      <t>30 dic 2024</t>
    </r>
  </si>
  <si>
    <t>EL TIEMPO</t>
  </si>
  <si>
    <t>Ecopetrol compró la participación del 45 % de Repsol en el bloque CPO 09</t>
  </si>
  <si>
    <t>Con esta adquisición, la compañía estatal añadirá cerca de 41 millones de barriles a sus reservas.</t>
  </si>
  <si>
    <t>Ecopetrol bought Repsol's 45% stake in the CPO 09 block</t>
  </si>
  <si>
    <t>With this acquisition, the state company will add nearly 41 million barrels to its reserves.</t>
  </si>
  <si>
    <t>Ecopetrol, Repsol, CPO 09 block, reserves</t>
  </si>
  <si>
    <t>Ecopetrol, Repsol, bloque CPO 09, reservas</t>
  </si>
  <si>
    <t>Positive, focusing on the reserves added through the acquisition.</t>
  </si>
  <si>
    <r>
      <rPr>
        <rFont val="Arial, sans-serif"/>
        <color rgb="FF1155CC"/>
        <sz val="9.0"/>
        <u/>
      </rPr>
      <t>Caracol Radio</t>
    </r>
    <r>
      <rPr>
        <rFont val="Arial, sans-serif"/>
        <color rgb="FF1155CC"/>
        <sz val="15.0"/>
        <u/>
      </rPr>
      <t>Ecopetrol adquiere el 100% del bloque CPO-09 tras acuerdo con Repsol</t>
    </r>
    <r>
      <rPr>
        <rFont val="Arial, sans-serif"/>
        <color rgb="FF1155CC"/>
        <sz val="11.0"/>
        <u/>
      </rPr>
      <t>La adquisición añade 41 millones de barriles a las reservas de Ecopetrol y refuerza su presencia en los Llanos Orientales. Ecopetrol adquiere el 100% del...</t>
    </r>
    <r>
      <rPr>
        <rFont val="Arial, sans-serif"/>
        <color rgb="FF1155CC"/>
        <sz val="12.0"/>
        <u/>
      </rPr>
      <t>.</t>
    </r>
    <r>
      <rPr>
        <rFont val="Arial, sans-serif"/>
        <color rgb="FF1155CC"/>
        <sz val="11.0"/>
        <u/>
      </rPr>
      <t>30 dic 2024</t>
    </r>
  </si>
  <si>
    <t>Ecopetrol adquiere el 100% del bloque CPO-09 tras acuerdo con Repsol</t>
  </si>
  <si>
    <t>La adquisición añade 41 millones de barriles a las reservas de Ecopetrol y refuerza su presencia en los Llanos Orientales.</t>
  </si>
  <si>
    <t>Ecopetrol acquires 100% of the CPO-09 block after agreement with Repsol</t>
  </si>
  <si>
    <t>The acquisition adds 41 million barrels to Ecopetrol's reserves and reinforces its presence in the Eastern Llanos.</t>
  </si>
  <si>
    <t>Positive, underscoring Ecopetrol’s dominance over the block.</t>
  </si>
  <si>
    <t>adquiere el 100%</t>
  </si>
  <si>
    <r>
      <rPr>
        <rFont val="Arial, sans-serif"/>
        <color rgb="FF1155CC"/>
        <sz val="9.0"/>
        <u/>
      </rPr>
      <t>El Espectador</t>
    </r>
    <r>
      <rPr>
        <rFont val="Arial, sans-serif"/>
        <color rgb="FF1155CC"/>
        <sz val="15.0"/>
        <u/>
      </rPr>
      <t>Ecopetrol dio detalles de negocio con Repsol: ¿aportará a la seguridad energética?</t>
    </r>
    <r>
      <rPr>
        <color rgb="FF1155CC"/>
        <sz val="11.0"/>
        <u/>
      </rPr>
      <t>La petrolera estatal anunció que asumirá el control total del bloque petrolero CPO-09.</t>
    </r>
    <r>
      <rPr>
        <color rgb="FF1155CC"/>
        <u/>
      </rPr>
      <t>.</t>
    </r>
    <r>
      <rPr>
        <color rgb="FF1155CC"/>
        <sz val="11.0"/>
        <u/>
      </rPr>
      <t>30 dic 2024</t>
    </r>
  </si>
  <si>
    <t>Ecopetrol dio detalles de negocio con Repsol: ¿aportará a la seguridad energética?</t>
  </si>
  <si>
    <t>La petrolera estatal anunció que asumirá el control total del bloque petrolero CPO-09.</t>
  </si>
  <si>
    <t>Ecopetrol gave details of the business with Repsol: will it contribute to energy security?</t>
  </si>
  <si>
    <t>The state oil company announced that it will assume full control of the CPO-09 oil block.</t>
  </si>
  <si>
    <t>Ecopetrol, Repsol, energy security, CPO-09</t>
  </si>
  <si>
    <t>Ecopetrol, Repsol, seguridad energética, CPO-09</t>
  </si>
  <si>
    <t>Positive, showing Ecopetrol’s role in energy security.</t>
  </si>
  <si>
    <t>Neutral (no direct sentiment).</t>
  </si>
  <si>
    <t>Neutral (sin sentimiento directo).</t>
  </si>
  <si>
    <r>
      <rPr>
        <rFont val="Arial, sans-serif"/>
        <color rgb="FF1155CC"/>
        <sz val="9.0"/>
        <u/>
      </rPr>
      <t>Expansión</t>
    </r>
    <r>
      <rPr>
        <rFont val="Arial, sans-serif"/>
        <color rgb="FF1155CC"/>
        <sz val="15.0"/>
        <u/>
      </rPr>
      <t>Repsol reanuda sus actividades de prospección en Libia tras 10 años de suspensión</t>
    </r>
    <r>
      <rPr>
        <rFont val="Arial, sans-serif"/>
        <color rgb="FF1155CC"/>
        <sz val="11.0"/>
        <u/>
      </rPr>
      <t>La compañía energética española Repsol reanudó este martes las prospecciones en Libia, tras una década de suspensión por el conflicto en el país magrebí,...</t>
    </r>
    <r>
      <rPr>
        <rFont val="Arial, sans-serif"/>
        <color rgb="FF1155CC"/>
        <sz val="12.0"/>
        <u/>
      </rPr>
      <t>.</t>
    </r>
    <r>
      <rPr>
        <rFont val="Arial, sans-serif"/>
        <color rgb="FF1155CC"/>
        <sz val="11.0"/>
        <u/>
      </rPr>
      <t>31 dic 2024</t>
    </r>
  </si>
  <si>
    <t>Repsol reanuda sus actividades de prospección en Libia tras 10 años de suspensión</t>
  </si>
  <si>
    <t>La compañía energética española Repsol reanudó este martes las prospecciones en Libia, tras una década de suspensión por el conflicto en el país magrebí,....</t>
  </si>
  <si>
    <t>Repsol resumes its prospecting activities in Libya after 10 years of suspension</t>
  </si>
  <si>
    <t>The Spanish energy company Repsol resumed prospecting in Libya this Tuesday, after a decade of suspension due to the conflict in the Maghreb country....</t>
  </si>
  <si>
    <t>Repsol, Libya, prospecting</t>
  </si>
  <si>
    <t>Repsol, Libia, prospección</t>
  </si>
  <si>
    <t>Positive, marking Repsol’s return to Libya after a long hiatus.</t>
  </si>
  <si>
    <t>reanuda actividades</t>
  </si>
  <si>
    <t>Positive operational restart.</t>
  </si>
  <si>
    <t>Reinicio operativo positivo.</t>
  </si>
  <si>
    <r>
      <rPr>
        <rFont val="Arial, sans-serif"/>
        <color rgb="FF1155CC"/>
        <sz val="9.0"/>
        <u/>
      </rPr>
      <t>RTVE.es</t>
    </r>
    <r>
      <rPr>
        <rFont val="Arial, sans-serif"/>
        <color rgb="FF1155CC"/>
        <sz val="15.0"/>
        <u/>
      </rPr>
      <t>Unas 120 gasolineras agrupadas en 'Afectados por las Petroleras' demandan a Repsol, Moeve y BP por 600 millones</t>
    </r>
    <r>
      <rPr>
        <rFont val="Arial, sans-serif"/>
        <color rgb="FF1155CC"/>
        <sz val="11.0"/>
        <u/>
      </rPr>
      <t>Unas 120 estaciones de servicio, agrupadas en la plataforma 'Afectados por las Petroleras', han interpuesto una demanda contra Repsol, Moeve (antes Cepsa) y...</t>
    </r>
    <r>
      <rPr>
        <rFont val="Arial, sans-serif"/>
        <color rgb="FF1155CC"/>
        <sz val="12.0"/>
        <u/>
      </rPr>
      <t>.</t>
    </r>
    <r>
      <rPr>
        <rFont val="Arial, sans-serif"/>
        <color rgb="FF1155CC"/>
        <sz val="11.0"/>
        <u/>
      </rPr>
      <t>31 dic 2024</t>
    </r>
  </si>
  <si>
    <t>Unas 120 gasolineras agrupadas en 'Afectados por las Petroleras' demandan a Repsol, Moeve y BP por 600 millones</t>
  </si>
  <si>
    <t>Unas 120 estaciones de servicio, agrupadas en la plataforma 'Afectados por las Petroleras', han interpuesto una demanda contra Repsol, Moeve (antes Cepsa) y....</t>
  </si>
  <si>
    <t>Some 120 gas stations grouped in 'Affected by Oil Companies' sue Repsol, Moeve and BP for 600 million</t>
  </si>
  <si>
    <t>Some 120 service stations, grouped in the 'Affected by Oil Companies' platform, have filed a lawsuit against Repsol, Moeve (formerly Cepsa) and...</t>
  </si>
  <si>
    <t>Repsol, lawsuit, oil companies, service stations</t>
  </si>
  <si>
    <t>Repsol, demanda, petroleras, estaciones de servicio</t>
  </si>
  <si>
    <t>Negative, highlighting a lawsuit against Repsol and others in the oil industry.</t>
  </si>
  <si>
    <t>demandan a Repsol</t>
  </si>
  <si>
    <t>Strong negative legal threat.</t>
  </si>
  <si>
    <t>Fuerte amenaza jurídica negativa.</t>
  </si>
  <si>
    <r>
      <rPr>
        <rFont val="Arial, sans-serif"/>
        <color rgb="FF1155CC"/>
        <sz val="9.0"/>
        <u/>
      </rPr>
      <t>Europa Press</t>
    </r>
    <r>
      <rPr>
        <rFont val="Arial, sans-serif"/>
        <color rgb="FF1155CC"/>
        <sz val="15.0"/>
        <u/>
      </rPr>
      <t>Unas 120 gasolineras agrupadas en 'Afectados por las Petroleras' demandan a Repsol, Moeve y BP por 600 millones</t>
    </r>
    <r>
      <rPr>
        <rFont val="Arial, sans-serif"/>
        <color rgb="FF1155CC"/>
        <sz val="11.0"/>
        <u/>
      </rPr>
      <t>MADRID 31 Dic. (EUROPA PRESS) -. Unas 120 estaciones de servicio, agrupadas en la plataforma 'Afectados por las Petroleras', han interpuesto una demanda...</t>
    </r>
    <r>
      <rPr>
        <rFont val="Arial, sans-serif"/>
        <color rgb="FF1155CC"/>
        <sz val="12.0"/>
        <u/>
      </rPr>
      <t>.</t>
    </r>
    <r>
      <rPr>
        <rFont val="Arial, sans-serif"/>
        <color rgb="FF1155CC"/>
        <sz val="11.0"/>
        <u/>
      </rPr>
      <t>31 dic 2024</t>
    </r>
  </si>
  <si>
    <t>Unas 120 estaciones de servicio, agrupadas en la plataforma 'Afectados por las Petroleras', han interpuesto una demanda.</t>
  </si>
  <si>
    <t>Some 120 service stations, grouped in the 'Affected by Oil Companies' platform, have filed a lawsuit.</t>
  </si>
  <si>
    <t>gas stations, Repsol, Moeve, BP, lawsuit</t>
  </si>
  <si>
    <t>gasolineras, Repsol, Moeve, BP, demanda</t>
  </si>
  <si>
    <t>Negative, highlighting the ongoing legal dispute.</t>
  </si>
  <si>
    <t>Repeated strong negative legal threat.</t>
  </si>
  <si>
    <t>Fuerte y repetida amenaza jurídica negativa.</t>
  </si>
  <si>
    <r>
      <rPr>
        <rFont val="Arial, sans-serif"/>
        <color rgb="FF1155CC"/>
        <sz val="9.0"/>
        <u/>
      </rPr>
      <t>20Minutos</t>
    </r>
    <r>
      <rPr>
        <rFont val="Arial, sans-serif"/>
        <color rgb="FF1155CC"/>
        <sz val="15.0"/>
        <u/>
      </rPr>
      <t>Repsol cierra 2024 con nueva potencia renovable para suministrar luz a más de 500.000 hogares</t>
    </r>
    <r>
      <rPr>
        <rFont val="Arial, sans-serif"/>
        <color rgb="FF1155CC"/>
        <sz val="11.0"/>
        <u/>
      </rPr>
      <t>Este año ha puesto en operación 757 MW, de los cuales 405 MW son eólicos, todos ellos en España, y 352 MW solares, la mayor parte en Estados Unidos.</t>
    </r>
    <r>
      <rPr>
        <rFont val="Arial, sans-serif"/>
        <color rgb="FF1155CC"/>
        <sz val="12.0"/>
        <u/>
      </rPr>
      <t>.</t>
    </r>
    <r>
      <rPr>
        <rFont val="Arial, sans-serif"/>
        <color rgb="FF1155CC"/>
        <sz val="11.0"/>
        <u/>
      </rPr>
      <t>31 dic 2024</t>
    </r>
  </si>
  <si>
    <t>Repsol cierra 2024 con nueva potencia renovable para suministrar luz a más de 500.000 hogares</t>
  </si>
  <si>
    <t>Repsol cierra 2024 con nueva potencia renovable para suministrar luz a más de 500.000 hogares. Este año ha puesto en operación 757 MW, de los cuales 405 MW son eólicos, todos ellos en España, y 352 MW solares, la mayor parte en Estados Unidos.</t>
  </si>
  <si>
    <t>Repsol closes 2024 with new renewable power to supply electricity to more than 500,000 homes</t>
  </si>
  <si>
    <t>Repsol closes 2024 with new renewable power to supply electricity to more than 500,000 homes. This year it has put 757 MW into operation, of which 405 MW are wind, all of them in Spain, and 352 MW solar, most of it in the United States.</t>
  </si>
  <si>
    <t>Repsol, renewable power, electricity, 500,000 homes</t>
  </si>
  <si>
    <t>Repsol, energía renovable, electricidad, 500.000 viviendas</t>
  </si>
  <si>
    <t>Positive, showcasing Repsol's renewable energy growth.</t>
  </si>
  <si>
    <t>potencia renovable</t>
  </si>
  <si>
    <r>
      <rPr>
        <rFont val="Arial, sans-serif"/>
        <color rgb="FF1155CC"/>
        <sz val="9.0"/>
        <u/>
      </rPr>
      <t>Radio Intereconomía</t>
    </r>
    <r>
      <rPr>
        <rFont val="Arial, sans-serif"/>
        <color rgb="FF1155CC"/>
        <sz val="15.0"/>
        <u/>
      </rPr>
      <t>La plataforma ‘Afectados por las Petroleras’ demanda a Repsol, Moeve y BP</t>
    </r>
    <r>
      <rPr>
        <rFont val="Arial, sans-serif"/>
        <color rgb="FF1155CC"/>
        <sz val="11.0"/>
        <u/>
      </rPr>
      <t>La plataforma Afectados por las Petroleras ha presentado una demand para reclamar daños y perjuicios a Repsol, Moeve y BP.</t>
    </r>
    <r>
      <rPr>
        <rFont val="Arial, sans-serif"/>
        <color rgb="FF1155CC"/>
        <sz val="12.0"/>
        <u/>
      </rPr>
      <t>.</t>
    </r>
    <r>
      <rPr>
        <rFont val="Arial, sans-serif"/>
        <color rgb="FF1155CC"/>
        <sz val="11.0"/>
        <u/>
      </rPr>
      <t>31 dic 2024</t>
    </r>
  </si>
  <si>
    <t>La plataforma ‘Afectados por las Petroleras’ demanda a Repsol, Moeve y BP</t>
  </si>
  <si>
    <t>La plataforma Afectados por las Petroleras ha presentado una demanda para reclamar daños y perjuicios a Repsol, Moeve y BP.</t>
  </si>
  <si>
    <t>The platform 'Affected by Oil Companies' sues Repsol, Moeve and BP</t>
  </si>
  <si>
    <t>The platform Affected by Oil Companies has filed a lawsuit to claim damages from Repsol, Moeve and BP.</t>
  </si>
  <si>
    <t>lawsuit, Repsol, Moeve, BP</t>
  </si>
  <si>
    <t>demanda, Repsol, Moeve, BP</t>
  </si>
  <si>
    <t>Negative, another mention of the ongoing lawsuit against oil companies.</t>
  </si>
  <si>
    <t>demanda a Repsol</t>
  </si>
  <si>
    <r>
      <rPr>
        <rFont val="Arial, sans-serif"/>
        <color rgb="FF1155CC"/>
        <sz val="9.0"/>
        <u/>
      </rPr>
      <t>El Economista</t>
    </r>
    <r>
      <rPr>
        <rFont val="Arial, sans-serif"/>
        <color rgb="FF1155CC"/>
        <sz val="15.0"/>
        <u/>
      </rPr>
      <t>La plataforma 'Afectados por las Petroleras' demanda a Repsol, Moeve y BP por 600 millones</t>
    </r>
    <r>
      <rPr>
        <rFont val="Arial, sans-serif"/>
        <color rgb="FF1155CC"/>
        <sz val="11.0"/>
        <u/>
      </rPr>
      <t>La plataforma Afectados por las Petroleras, que aglutina a 120 estaciones de servicio, ha presentado una demanda ante el Juzgado de lo ...</t>
    </r>
    <r>
      <rPr>
        <rFont val="Arial, sans-serif"/>
        <color rgb="FF1155CC"/>
        <sz val="12.0"/>
        <u/>
      </rPr>
      <t>.</t>
    </r>
    <r>
      <rPr>
        <rFont val="Arial, sans-serif"/>
        <color rgb="FF1155CC"/>
        <sz val="11.0"/>
        <u/>
      </rPr>
      <t>31 dic 2024</t>
    </r>
  </si>
  <si>
    <t>La plataforma 'Afectados por las Petroleras' demanda a Repsol, Moeve y BP por 600 millones</t>
  </si>
  <si>
    <t>La plataforma Afectados por las Petroleras, que aglutina a 120 estaciones de servicio, ha presentado una demanda ante el Juzgado de lo ....</t>
  </si>
  <si>
    <t>The 'Affected by Oil Companies' platform sues Repsol, Moeve and BP for 600 million</t>
  </si>
  <si>
    <t>The platform Affected by the Oil Companies, which brings together 120 service stations, has filed a lawsuit before the Court of....</t>
  </si>
  <si>
    <t>lawsuit, Repsol, Moeve, BP, 600 million</t>
  </si>
  <si>
    <t>demanda, Repsol, Moeve, BP, 600 millones</t>
  </si>
  <si>
    <t>Negative, emphasizing the legal actions taken against the companies.</t>
  </si>
  <si>
    <r>
      <rPr>
        <rFont val="Arial, sans-serif"/>
        <color rgb="FF1155CC"/>
        <sz val="9.0"/>
        <u/>
      </rPr>
      <t>energelia</t>
    </r>
    <r>
      <rPr>
        <rFont val="Arial, sans-serif"/>
        <color rgb="FF1155CC"/>
        <sz val="15.0"/>
        <u/>
      </rPr>
      <t>Repsol cierra 2024 con una capacidad renovable capaz de abastecer a más de 500.000 hogares</t>
    </r>
    <r>
      <rPr>
        <rFont val="Arial, sans-serif"/>
        <color rgb="FF1155CC"/>
        <sz val="11.0"/>
        <u/>
      </rPr>
      <t>Repsol concluye 2024 consolidando su posición como líder en energías renovables, con 3.500 megavatios (MW) de capacidad instalada en operación y una...</t>
    </r>
    <r>
      <rPr>
        <rFont val="Arial, sans-serif"/>
        <color rgb="FF1155CC"/>
        <sz val="12.0"/>
        <u/>
      </rPr>
      <t>.</t>
    </r>
    <r>
      <rPr>
        <rFont val="Arial, sans-serif"/>
        <color rgb="FF1155CC"/>
        <sz val="11.0"/>
        <u/>
      </rPr>
      <t>31 dic 2024</t>
    </r>
  </si>
  <si>
    <t>Repsol cierra 2024 con una capacidad renovable capaz de abastecer a más de 500.000 hogares</t>
  </si>
  <si>
    <t>Repsol concluye 2024 consolidando su posición como líder en energías renovables, con 3.500 megavatios (MW) de capacidad instalada en operación y una....</t>
  </si>
  <si>
    <t>Repsol closes 2024 with renewable capacity capable of supplying more than 500,000 homes</t>
  </si>
  <si>
    <t>Repsol concludes 2024 consolidating its position as a leader in renewable energies, with 3,500 megawatts (MW) of installed capacity in operation and a...</t>
  </si>
  <si>
    <t>Repsol, renewable capacity, 500,000 homes, leader</t>
  </si>
  <si>
    <t>Repsol, capacidad renovable, 500.000 viviendas, líder</t>
  </si>
  <si>
    <t>Positive, confirming Repsol’s strong position in renewable energy.</t>
  </si>
  <si>
    <t>capacidad renovable</t>
  </si>
  <si>
    <r>
      <rPr>
        <rFont val="Arial, sans-serif"/>
        <color rgb="FF1155CC"/>
        <sz val="9.0"/>
        <u/>
      </rPr>
      <t>El Español</t>
    </r>
    <r>
      <rPr>
        <rFont val="Arial, sans-serif"/>
        <color rgb="FF1155CC"/>
        <sz val="15.0"/>
        <u/>
      </rPr>
      <t>Unas 120 gasolineras agrupadas en 'Afectados por las Petroleras' demanda a Repsol, Moeve y BP por 600 millones</t>
    </r>
    <r>
      <rPr>
        <rFont val="Arial, sans-serif"/>
        <color rgb="FF1155CC"/>
        <sz val="11.0"/>
        <u/>
      </rPr>
      <t>La plataforma indica que el volumen de estaciones de servicio que se han unido es un porcentaje "muy pequeño", en torno al 5%, pero esperan sumar más.</t>
    </r>
    <r>
      <rPr>
        <rFont val="Arial, sans-serif"/>
        <color rgb="FF1155CC"/>
        <sz val="12.0"/>
        <u/>
      </rPr>
      <t>.</t>
    </r>
    <r>
      <rPr>
        <rFont val="Arial, sans-serif"/>
        <color rgb="FF1155CC"/>
        <sz val="11.0"/>
        <u/>
      </rPr>
      <t>31 dic 2024</t>
    </r>
  </si>
  <si>
    <t>Unas 120 gasolineras agrupadas en 'Afectados por las Petroleras' demanda a Repsol, Moeve y BP por 600 millones</t>
  </si>
  <si>
    <t>La plataforma indica que el volumen de estaciones de servicio que se han unido es un porcentaje "muy pequeño", en torno al 5%, pero esperan sumar más.</t>
  </si>
  <si>
    <t>The platform indicates that the volume of service stations that have joined is a "very small" percentage, around 5%, but they hope to add more.</t>
  </si>
  <si>
    <t>gas stations, lawsuit, Repsol, Moeve, BP</t>
  </si>
  <si>
    <t>gasolineras, pleito, Repsol, Moeve, BP</t>
  </si>
  <si>
    <t>Negative, focusing on the lawsuit against the companies.</t>
  </si>
  <si>
    <r>
      <rPr>
        <rFont val="Arial, sans-serif"/>
        <color rgb="FF1155CC"/>
        <sz val="9.0"/>
        <u/>
      </rPr>
      <t>elmercantil.com</t>
    </r>
    <r>
      <rPr>
        <rFont val="Arial, sans-serif"/>
        <color rgb="FF1155CC"/>
        <sz val="15.0"/>
        <u/>
      </rPr>
      <t>Un centenar de gasolineras reclama 600 millones a las tres grandes petroleras en España</t>
    </r>
    <r>
      <rPr>
        <rFont val="Arial, sans-serif"/>
        <color rgb="FF1155CC"/>
        <sz val="11.0"/>
        <u/>
      </rPr>
      <t>Las 120 estaciones han demandado a Repsol, Cepsa y BP por haber "fijado los precios del carburante durante 30 años"</t>
    </r>
    <r>
      <rPr>
        <rFont val="Arial, sans-serif"/>
        <color rgb="FF1155CC"/>
        <sz val="12.0"/>
        <u/>
      </rPr>
      <t>.</t>
    </r>
    <r>
      <rPr>
        <rFont val="Arial, sans-serif"/>
        <color rgb="FF1155CC"/>
        <sz val="11.0"/>
        <u/>
      </rPr>
      <t>31 dic 2024</t>
    </r>
  </si>
  <si>
    <t>Un centenar de gasolineras reclama 600 millones a las tres grandes petroleras en España</t>
  </si>
  <si>
    <t>Las 120 estaciones han demandado a Repsol, Cepsa y BP por haber "fijado los precios del carburante durante 30 años".</t>
  </si>
  <si>
    <t>A hundred gas stations claim 600 million from the three major oil companies in Spain</t>
  </si>
  <si>
    <t>The 120 stations have sued Repsol, Cepsa and BP for having "fixed fuel prices for 30 years."</t>
  </si>
  <si>
    <t>gas stations, lawsuit, Repsol, BP, Cepsa</t>
  </si>
  <si>
    <t>gasolineras, pleito, Repsol, BP, Cepsa</t>
  </si>
  <si>
    <t>Negative, continuing the legal battle with claims of fixed prices.</t>
  </si>
  <si>
    <t>reclama 600 millones</t>
  </si>
  <si>
    <r>
      <rPr>
        <rFont val="Arial, sans-serif"/>
        <color rgb="FF1155CC"/>
        <sz val="9.0"/>
        <u/>
      </rPr>
      <t>MOTOSAN</t>
    </r>
    <r>
      <rPr>
        <rFont val="Arial, sans-serif"/>
        <color rgb="FF1155CC"/>
        <sz val="15.0"/>
        <u/>
      </rPr>
      <t>Repsol seguirá colaborando con Honda</t>
    </r>
    <r>
      <rPr>
        <rFont val="Arial, sans-serif"/>
        <color rgb="FF1155CC"/>
        <sz val="11.0"/>
        <u/>
      </rPr>
      <t>Honda y Repsol no se darán la mano en MotoGP, pero sí en otros ámbitos. En 2024 las cosas se ponían más oscuras si cabe para Honda, que además de llevar.</t>
    </r>
    <r>
      <rPr>
        <rFont val="Arial, sans-serif"/>
        <color rgb="FF1155CC"/>
        <sz val="12.0"/>
        <u/>
      </rPr>
      <t>.</t>
    </r>
    <r>
      <rPr>
        <rFont val="Arial, sans-serif"/>
        <color rgb="FF1155CC"/>
        <sz val="11.0"/>
        <u/>
      </rPr>
      <t>31 dic 2024</t>
    </r>
  </si>
  <si>
    <t>Repsol seguirá colaborando con Honda</t>
  </si>
  <si>
    <t>Honda y Repsol no se darán la mano en MotoGP, pero sí en otros ámbitos. En 2024 las cosas se ponían más oscuras si cabe para Honda, que además de llevar..</t>
  </si>
  <si>
    <t>Repsol will continue collaborating with Honda</t>
  </si>
  <si>
    <t>Honda and Repsol will not shake hands in MotoGP, but they will in other areas. In 2024 things would get even darker for Honda, which in addition to carrying...</t>
  </si>
  <si>
    <r>
      <rPr>
        <rFont val="Arial, sans-serif"/>
        <color rgb="FF1155CC"/>
        <sz val="9.0"/>
        <u/>
      </rPr>
      <t>Info Bierzo</t>
    </r>
    <r>
      <rPr>
        <rFont val="Arial, sans-serif"/>
        <color rgb="FF1155CC"/>
        <sz val="15.0"/>
        <u/>
      </rPr>
      <t>Sale a información pública el proyecto de los parques eólicos de Repsol en El Bierzo</t>
    </r>
    <r>
      <rPr>
        <rFont val="Arial, sans-serif"/>
        <color rgb="FF1155CC"/>
        <sz val="11.0"/>
        <u/>
      </rPr>
      <t>El Boletín Oficial del Estado (BOE) publica el anuncio del Área de Industria y Energía de la Subdelegación del Gobierno en León por el que se someten a inf.</t>
    </r>
    <r>
      <rPr>
        <rFont val="Arial, sans-serif"/>
        <color rgb="FF1155CC"/>
        <sz val="12.0"/>
        <u/>
      </rPr>
      <t>.</t>
    </r>
    <r>
      <rPr>
        <rFont val="Arial, sans-serif"/>
        <color rgb="FF1155CC"/>
        <sz val="11.0"/>
        <u/>
      </rPr>
      <t>31 dic 2024</t>
    </r>
  </si>
  <si>
    <t>El Boletín Oficial del Estado (BOE)</t>
  </si>
  <si>
    <t>Sale a información pública el proyecto de los parques eólicos de Repsol en El Bierzo</t>
  </si>
  <si>
    <t>El Boletín Oficial del Estado (BOE) publica el anuncio del Área de Industria y Energía de la Subdelegación del Gobierno en León por el que se someten a inf..</t>
  </si>
  <si>
    <t>The Repsol wind farm project in El Bierzo is released to public information</t>
  </si>
  <si>
    <t>The Official State Gazette (BOE) publishes the announcement of the Industry and Energy Area of ​​the Government Subdelegation in León for which information is submitted..</t>
  </si>
  <si>
    <t>Repsol, wind farm, El Bierzo, public information</t>
  </si>
  <si>
    <t>Repsol, parque eólico, El Bierzo, información pública</t>
  </si>
  <si>
    <t>Positive, updating the public on the wind farm project.</t>
  </si>
  <si>
    <t>parques eólicos</t>
  </si>
  <si>
    <r>
      <rPr>
        <rFont val="Arial, sans-serif"/>
        <color rgb="FF1155CC"/>
        <sz val="9.0"/>
        <u/>
      </rPr>
      <t>El Cronista</t>
    </r>
    <r>
      <rPr>
        <rFont val="Arial, sans-serif"/>
        <color rgb="FF1155CC"/>
        <sz val="15.0"/>
        <u/>
      </rPr>
      <t>Repsol: a cuánto cotiza HOY martes 31 de diciembre y cuánto rinden los dividendos</t>
    </r>
    <r>
      <rPr>
        <rFont val="Arial, sans-serif"/>
        <color rgb="FF1155CC"/>
        <sz val="11.0"/>
        <u/>
      </rPr>
      <t>Este martes, 31 de diciembre de 2024, la cotización del Repsol (REP) ha cerrado a 11,69 euros en el IBEX 35. Dicha cifra refleja un cambio de 0,8% respecto...</t>
    </r>
    <r>
      <rPr>
        <rFont val="Arial, sans-serif"/>
        <color rgb="FF1155CC"/>
        <sz val="12.0"/>
        <u/>
      </rPr>
      <t>.</t>
    </r>
    <r>
      <rPr>
        <rFont val="Arial, sans-serif"/>
        <color rgb="FF1155CC"/>
        <sz val="11.0"/>
        <u/>
      </rPr>
      <t>31 dic 2024</t>
    </r>
  </si>
  <si>
    <t>Repsol: a cuánto cotiza HOY martes 31 de diciembre y cuánto rinden los dividendos</t>
  </si>
  <si>
    <t>La cotización del Repsol (REP) ha cerrado a 11,69 euros en el IBEX 35. Dicha cifra refleja un cambio de 0,8% respecto....</t>
  </si>
  <si>
    <t>Repsol: how much it is trading at TODAY, Tuesday, December 31, and how much the dividends yield</t>
  </si>
  <si>
    <t>The price of Repsol (REP) closed at 11.69 euros on the IBEX 35. This figure reflects a change of 0.8% with respect to...</t>
  </si>
  <si>
    <t>Repsol, IBEX 35, stock price, dividends</t>
  </si>
  <si>
    <t>Repsol, IBEX 35, cotización de acciones, dividendos</t>
  </si>
  <si>
    <t>Positive, noting Repsol’s performance in the stock market.</t>
  </si>
  <si>
    <r>
      <rPr>
        <rFont val="Arial, sans-serif"/>
        <color rgb="FF1155CC"/>
        <sz val="9.0"/>
        <u/>
      </rPr>
      <t>elDiario.es</t>
    </r>
    <r>
      <rPr>
        <rFont val="Arial, sans-serif"/>
        <color rgb="FF1155CC"/>
        <sz val="15.0"/>
        <u/>
      </rPr>
      <t>Abierto el plazo de alegaciones contra dos de los parques eólicos de Repsol proyectados en la sierra de Gistredo y Alto Sil</t>
    </r>
    <r>
      <rPr>
        <rFont val="Arial, sans-serif"/>
        <color rgb="FF1155CC"/>
        <sz val="11.0"/>
        <u/>
      </rPr>
      <t>'El Páramo' y 'Ampliación El Páramo' se componen de 23 aerogeneradores con pleno impacto en las sierras bercianas hogar del urogallo y el oso pardo.</t>
    </r>
    <r>
      <rPr>
        <rFont val="Arial, sans-serif"/>
        <color rgb="FF1155CC"/>
        <sz val="12.0"/>
        <u/>
      </rPr>
      <t>.</t>
    </r>
    <r>
      <rPr>
        <rFont val="Arial, sans-serif"/>
        <color rgb="FF1155CC"/>
        <sz val="11.0"/>
        <u/>
      </rPr>
      <t>31 dic 2024</t>
    </r>
  </si>
  <si>
    <t>Abierto el plazo de alegaciones contra dos de los parques eólicos de Repsol proyectados en la sierra de Gistredo y Alto Sil</t>
  </si>
  <si>
    <t>Abierto el plazo de alegaciones contra dos de los parques eólicos de Repsol proyectados en la sierra de Gistredo y Alto Sil. 'El Páramo' y 'Ampliación El Páramo' se componen de 23 aerogeneradores con pleno impacto en las sierras bercianas hogar del urogallo y el oso pardo.</t>
  </si>
  <si>
    <t>The period for allegations against two of Repsol's wind farms planned in the Gistredo and Alto Sil mountains is open</t>
  </si>
  <si>
    <t>The period for allegations against two of Repsol's wind farms planned in the Gistredo and Alto Sil mountains is open. 'El Páramo' and 'Ampliación El Páramo' are made up of 23 wind turbines with full impact on the Bercian mountain ranges, home of the capercaillie and the brown bear.</t>
  </si>
  <si>
    <t>Repsol, wind farms, Gistredo, Alto Sil, capercaillie, brown bear</t>
  </si>
  <si>
    <t>Repsol, parques eólicos, Gistredo, Alto Sil, urogallo, oso pardo</t>
  </si>
  <si>
    <t>Negative, due to concerns about environmental impact.</t>
  </si>
  <si>
    <t>alegaciones contra</t>
  </si>
  <si>
    <r>
      <rPr>
        <rFont val="Arial, sans-serif"/>
        <color rgb="FF1155CC"/>
        <sz val="9.0"/>
        <u/>
      </rPr>
      <t>Oil &amp; Gas Magazine</t>
    </r>
    <r>
      <rPr>
        <rFont val="Arial, sans-serif"/>
        <color rgb="FF1155CC"/>
        <sz val="15.0"/>
        <u/>
      </rPr>
      <t>Estaciones de servicio en España demandan a Repsol, BP y Moeve por fijación de precios</t>
    </r>
    <r>
      <rPr>
        <rFont val="Arial, sans-serif"/>
        <color rgb="FF1155CC"/>
        <sz val="11.0"/>
        <u/>
      </rPr>
      <t>120 gasolineras en España demandan a Repsol, BP y Moeve por prácticas colusorias, reclamando 600 millones de euros. Alegan perjuicios económicos durante 30...</t>
    </r>
    <r>
      <rPr>
        <rFont val="Arial, sans-serif"/>
        <color rgb="FF1155CC"/>
        <sz val="12.0"/>
        <u/>
      </rPr>
      <t>.</t>
    </r>
    <r>
      <rPr>
        <rFont val="Arial, sans-serif"/>
        <color rgb="FF1155CC"/>
        <sz val="11.0"/>
        <u/>
      </rPr>
      <t>31 dic 2024</t>
    </r>
  </si>
  <si>
    <t>Estaciones de servicio en España demandan a Repsol, BP y Moeve por fijación de precios</t>
  </si>
  <si>
    <t>120 gasolineras en España demandan a Repsol, BP y Moeve por prácticas colusorias, reclamando 600 millones de euros. Alegan perjuicios económicos durante 30 años.</t>
  </si>
  <si>
    <t>Service stations in Spain sue Repsol, BP and Moeve for price fixing</t>
  </si>
  <si>
    <t>120 gas stations in Spain sue Repsol, BP and Moeve for collusive practices, claiming 600 million euros. They allege economic damages for 30 years.</t>
  </si>
  <si>
    <t>Repsol, BP, Moeve, lawsuit, price fixing</t>
  </si>
  <si>
    <t>Repsol, BP, Moeve, demanda, fijación de precios</t>
  </si>
  <si>
    <t>Negative, focusing on the price-fixing lawsuit.</t>
  </si>
  <si>
    <r>
      <rPr>
        <rFont val="Arial, sans-serif"/>
        <color rgb="FF1155CC"/>
        <sz val="9.0"/>
        <u/>
      </rPr>
      <t>A Todo Motor</t>
    </r>
    <r>
      <rPr>
        <rFont val="Arial, sans-serif"/>
        <color rgb="FF1155CC"/>
        <sz val="15.0"/>
        <u/>
      </rPr>
      <t>Isidre Esteve y Txema Villalobos preparados para el Rally Dakar 2025</t>
    </r>
    <r>
      <rPr>
        <rFont val="Arial, sans-serif"/>
        <color rgb="FF1155CC"/>
        <sz val="11.0"/>
        <u/>
      </rPr>
      <t>Empezar un nuevo año y arrancar un nuevo Dakar es todo uno para Isidre Esteve. El piloto ilerdense viaja este martes, día 31, hacia Arabia Saudí, junto a su...</t>
    </r>
    <r>
      <rPr>
        <rFont val="Arial, sans-serif"/>
        <color rgb="FF1155CC"/>
        <sz val="12.0"/>
        <u/>
      </rPr>
      <t>.</t>
    </r>
    <r>
      <rPr>
        <rFont val="Arial, sans-serif"/>
        <color rgb="FF1155CC"/>
        <sz val="11.0"/>
        <u/>
      </rPr>
      <t>31 dic 2024</t>
    </r>
  </si>
  <si>
    <t>Isidre Esteve y Txema Villalobos preparados para el Rally Dakar 2025</t>
  </si>
  <si>
    <t>Empezar un nuevo año y arrancar un nuevo Dakar es todo uno para Isidre Esteve. El piloto ilerdense viaja este martes, día 31, hacia Arabia Saudí, junto a su....</t>
  </si>
  <si>
    <t>Isidre Esteve and Txema Villalobos prepared for the 2025 Dakar Rally</t>
  </si>
  <si>
    <t>Starting a new year and starting a new Dakar is all one for Isidre Esteve. The pilot from Ilerda travels this Tuesday, the 31st, to Saudi Arabia, along with his...</t>
  </si>
  <si>
    <r>
      <rPr>
        <rFont val="Arial, sans-serif"/>
        <color rgb="FF1155CC"/>
        <sz val="9.0"/>
        <u/>
      </rPr>
      <t>MotorcycleSports</t>
    </r>
    <r>
      <rPr>
        <rFont val="Arial, sans-serif"/>
        <color rgb="FF1155CC"/>
        <sz val="15.0"/>
        <u/>
      </rPr>
      <t>Repsol Honda: El último año de una asociación icónica en MotoGP.</t>
    </r>
    <r>
      <rPr>
        <rFont val="Arial, sans-serif"/>
        <color rgb="FF1155CC"/>
        <sz val="11.0"/>
        <u/>
      </rPr>
      <t>Este martes marca el final de 2024, lo que también significa la conclusión de una asociación icónica en MotoGP: entre Repsol y Honda HRC.</t>
    </r>
    <r>
      <rPr>
        <rFont val="Arial, sans-serif"/>
        <color rgb="FF1155CC"/>
        <sz val="12.0"/>
        <u/>
      </rPr>
      <t>.</t>
    </r>
    <r>
      <rPr>
        <rFont val="Arial, sans-serif"/>
        <color rgb="FF1155CC"/>
        <sz val="11.0"/>
        <u/>
      </rPr>
      <t>31 dic 2024</t>
    </r>
  </si>
  <si>
    <t>Repsol Honda: El último año de una asociación icónica en MotoGP.</t>
  </si>
  <si>
    <t>Este martes marca el final de 2024, lo que también significa la conclusión de una asociación icónica en MotoGP: entre Repsol y Honda HRC.</t>
  </si>
  <si>
    <t>Repsol Honda: The last year of an iconic partnership in MotoGP.</t>
  </si>
  <si>
    <t>This Tuesday marks the end of 2024, which also means the conclusion of an iconic partnership in MotoGP: between Repsol and Honda HRC.</t>
  </si>
  <si>
    <r>
      <rPr>
        <rFont val="Arial, sans-serif"/>
        <color rgb="FF1155CC"/>
        <sz val="9.0"/>
        <u/>
      </rPr>
      <t>Expansión</t>
    </r>
    <r>
      <rPr>
        <rFont val="Arial, sans-serif"/>
        <color rgb="FF1155CC"/>
        <sz val="15.0"/>
        <u/>
      </rPr>
      <t>Endesa, Repsol e Iberdrola, los reyes del dividendo en enero</t>
    </r>
    <r>
      <rPr>
        <rFont val="Arial, sans-serif"/>
        <color rgb="FF1155CC"/>
        <sz val="11.0"/>
        <u/>
      </rPr>
      <t>Diez compañías de la Bolsa española remuneran a sus accionistas en enero. Entre ellas, Iberdrola, Endesa y Repsol destacan por repartir los mayores importes...</t>
    </r>
    <r>
      <rPr>
        <rFont val="Arial, sans-serif"/>
        <color rgb="FF1155CC"/>
        <sz val="12.0"/>
        <u/>
      </rPr>
      <t>.</t>
    </r>
    <r>
      <rPr>
        <rFont val="Arial, sans-serif"/>
        <color rgb="FF1155CC"/>
        <sz val="11.0"/>
        <u/>
      </rPr>
      <t>31 dic 2024</t>
    </r>
  </si>
  <si>
    <t>Endesa, Repsol e Iberdrola, los reyes del dividendo en enero</t>
  </si>
  <si>
    <t>Diez compañías de la Bolsa española remuneran a sus accionistas en enero. Entre ellas, Iberdrola, Endesa y Repsol destacan por repartir los mayores importes.</t>
  </si>
  <si>
    <t>Endesa, Repsol and Iberdrola, the kings of the dividend in January</t>
  </si>
  <si>
    <t>Ten companies on the Spanish stock market remunerate their shareholders in January. Among them, Iberdrola, Endesa and Repsol stand out for distributing the largest amounts.</t>
  </si>
  <si>
    <t>Endesa, Repsol, Iberdrola, dividends</t>
  </si>
  <si>
    <t>Endesa, Repsol, Iberdrola, dividendos</t>
  </si>
  <si>
    <t>Positive, focusing on the strong dividend payments by Repsol.</t>
  </si>
  <si>
    <t>reyes del dividendo</t>
  </si>
  <si>
    <r>
      <rPr>
        <rFont val="Arial, sans-serif"/>
        <color rgb="FF1155CC"/>
        <sz val="9.0"/>
        <u/>
      </rPr>
      <t>El Cronista</t>
    </r>
    <r>
      <rPr>
        <rFont val="Arial, sans-serif"/>
        <color rgb="FF1155CC"/>
        <sz val="15.0"/>
        <u/>
      </rPr>
      <t>Repsol: así abre la cotización hoy martes 31 de diciembre, ¿cuánto rinden los dividendos?</t>
    </r>
    <r>
      <rPr>
        <rFont val="Arial, sans-serif"/>
        <color rgb="FF1155CC"/>
        <sz val="11.0"/>
        <u/>
      </rPr>
      <t>Este martes, 31 de diciembre de 2024, en España, las acciones de la compañía de petróleo, gas y combustibles consumibles Repsol (REP) se negocian a 11,5...</t>
    </r>
    <r>
      <rPr>
        <rFont val="Arial, sans-serif"/>
        <color rgb="FF1155CC"/>
        <sz val="12.0"/>
        <u/>
      </rPr>
      <t>.</t>
    </r>
    <r>
      <rPr>
        <rFont val="Arial, sans-serif"/>
        <color rgb="FF1155CC"/>
        <sz val="11.0"/>
        <u/>
      </rPr>
      <t>31 dic 2024</t>
    </r>
  </si>
  <si>
    <t>Repsol: así abre la cotización hoy martes 31 de diciembre, ¿cuánto rinden los dividendos?</t>
  </si>
  <si>
    <t>Este martes, 31 de diciembre de 2024, en España, las acciones de la compañía de petróleo, gas y combustibles consumibles Repsol (REP) se negocian a 11,5....</t>
  </si>
  <si>
    <t>Repsol: this is how the price opens today, Tuesday, December 31, how much do the dividends yield?</t>
  </si>
  <si>
    <t>This Tuesday, December 31, 2024, in Spain, the shares of the oil, gas and consumable fuels company Repsol (REP) are trading at 11.5....</t>
  </si>
  <si>
    <t>Positive, showing Repsol's stock performance and dividend yield.</t>
  </si>
  <si>
    <t>Fecha</t>
  </si>
  <si>
    <t>Closing price</t>
  </si>
  <si>
    <t>Daily return</t>
  </si>
  <si>
    <t>Return (t+1)</t>
  </si>
  <si>
    <t>Positive / negative return</t>
  </si>
  <si>
    <t>IBEX35</t>
  </si>
  <si>
    <t>IBEX return %</t>
  </si>
  <si>
    <t>Abnormal return (t+1)</t>
  </si>
  <si>
    <t>Brent</t>
  </si>
  <si>
    <t>Brent %</t>
  </si>
  <si>
    <t>Dividend</t>
  </si>
  <si>
    <t>Daily sentiment (ChatGPT) filtered</t>
  </si>
  <si>
    <t>Daily sentiment (ChatGPT) filtered weekend in Monday</t>
  </si>
  <si>
    <t>Positive / negative sentiment GPT</t>
  </si>
  <si>
    <t>Daily sentiment (DeepSeek) filtered</t>
  </si>
  <si>
    <t>Daily sentiment (DeepSeek) filtered weekend in Monday</t>
  </si>
  <si>
    <t>Positive / negative sentiment DS</t>
  </si>
  <si>
    <t>Week number</t>
  </si>
  <si>
    <t>Average stock price</t>
  </si>
  <si>
    <t>Weekly return</t>
  </si>
  <si>
    <t>Return t+1</t>
  </si>
  <si>
    <t>Positive / negative return t+1</t>
  </si>
  <si>
    <t>Average IBEX35</t>
  </si>
  <si>
    <t>Average IBEX % change</t>
  </si>
  <si>
    <t>Average Brent</t>
  </si>
  <si>
    <t>Average Brent % change</t>
  </si>
  <si>
    <t>Weekly sentiment (ChatGPT)</t>
  </si>
  <si>
    <t>Weekly sentiment (DeepSeek)</t>
  </si>
  <si>
    <t>Column 14</t>
  </si>
  <si>
    <t>Dividend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</si>
</sst>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d/m/yyyy"/>
    <numFmt numFmtId="166" formatCode="#,##0.00\ [$€-1]"/>
  </numFmts>
  <fonts count="23">
    <font>
      <sz val="10.0"/>
      <color rgb="FF000000"/>
      <name val="Arial"/>
      <scheme val="minor"/>
    </font>
    <font>
      <color rgb="FFFFFFFF"/>
      <name val="Roboto"/>
    </font>
    <font>
      <b/>
      <color rgb="FFFFFFFF"/>
      <name val="Roboto"/>
    </font>
    <font>
      <color theme="1"/>
      <name val="Arial"/>
      <scheme val="minor"/>
    </font>
    <font>
      <b/>
      <color theme="1"/>
      <name val="Arial"/>
      <scheme val="minor"/>
    </font>
    <font>
      <u/>
      <sz val="12.0"/>
      <color rgb="FF1F1F1F"/>
      <name val="Arial"/>
    </font>
    <font>
      <color rgb="FF434343"/>
      <name val="Roboto"/>
    </font>
    <font>
      <color theme="1"/>
      <name val="Arial"/>
    </font>
    <font>
      <u/>
      <sz val="12.0"/>
      <color rgb="FF1F1F1F"/>
      <name val="Arial"/>
    </font>
    <font>
      <u/>
      <sz val="12.0"/>
      <color rgb="FF1F1F1F"/>
      <name val="Arial"/>
    </font>
    <font>
      <color rgb="FF000000"/>
      <name val="Arial"/>
    </font>
    <font>
      <u/>
      <color rgb="FF0000FF"/>
      <name val="Roboto"/>
    </font>
    <font>
      <u/>
      <sz val="12.0"/>
      <color rgb="FF1F1F1F"/>
      <name val="Arial"/>
    </font>
    <font>
      <sz val="10.0"/>
      <color theme="1"/>
      <name val="Arial"/>
      <scheme val="minor"/>
    </font>
    <font>
      <u/>
      <sz val="12.0"/>
      <color rgb="FF0000FF"/>
      <name val="Roboto"/>
    </font>
    <font>
      <u/>
      <sz val="12.0"/>
      <color rgb="FF0000FF"/>
      <name val="Roboto"/>
    </font>
    <font>
      <u/>
      <sz val="12.0"/>
      <color rgb="FF1F1F1F"/>
      <name val="Arial"/>
    </font>
    <font>
      <u/>
      <sz val="10.0"/>
      <color rgb="FF0000FF"/>
      <name val="Roboto"/>
    </font>
    <font>
      <u/>
      <color rgb="FF0000FF"/>
      <name val="Roboto"/>
    </font>
    <font>
      <u/>
      <sz val="12.0"/>
      <color rgb="FF1F1F1F"/>
      <name val="Arial"/>
    </font>
    <font>
      <b/>
      <sz val="8.0"/>
      <color theme="1"/>
      <name val="Arial"/>
    </font>
    <font>
      <b/>
      <sz val="8.0"/>
      <color rgb="FFFFFFFF"/>
      <name val="Arial"/>
    </font>
    <font>
      <sz val="8.0"/>
      <color rgb="FF3B3B3B"/>
      <name val="Arial"/>
    </font>
  </fonts>
  <fills count="9">
    <fill>
      <patternFill patternType="none"/>
    </fill>
    <fill>
      <patternFill patternType="lightGray"/>
    </fill>
    <fill>
      <patternFill patternType="solid">
        <fgColor rgb="FFF8F9FA"/>
        <bgColor rgb="FFF8F9FA"/>
      </patternFill>
    </fill>
    <fill>
      <patternFill patternType="solid">
        <fgColor rgb="FFFFFFFF"/>
        <bgColor rgb="FFFFFFFF"/>
      </patternFill>
    </fill>
    <fill>
      <patternFill patternType="solid">
        <fgColor rgb="FF356854"/>
        <bgColor rgb="FF356854"/>
      </patternFill>
    </fill>
    <fill>
      <patternFill patternType="solid">
        <fgColor rgb="FFFFF2CC"/>
        <bgColor rgb="FFFFF2CC"/>
      </patternFill>
    </fill>
    <fill>
      <patternFill patternType="solid">
        <fgColor rgb="FFD9EAD3"/>
        <bgColor rgb="FFD9EAD3"/>
      </patternFill>
    </fill>
    <fill>
      <patternFill patternType="solid">
        <fgColor rgb="FFFF0000"/>
        <bgColor rgb="FFFF0000"/>
      </patternFill>
    </fill>
    <fill>
      <patternFill patternType="solid">
        <fgColor rgb="FFF4CCCC"/>
        <bgColor rgb="FFF4CCCC"/>
      </patternFill>
    </fill>
  </fills>
  <borders count="32">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ck">
        <color rgb="FFC9DAF8"/>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FFFFFF"/>
      </left>
      <right style="thin">
        <color rgb="FFF8F9FA"/>
      </right>
      <top style="thin">
        <color rgb="FFFFFFFF"/>
      </top>
      <bottom style="thin">
        <color rgb="FFFFFFF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356854"/>
      </right>
      <top style="thin">
        <color rgb="FF284E3F"/>
      </top>
      <bottom style="thin">
        <color rgb="FFB8B2AD"/>
      </bottom>
    </border>
    <border>
      <left style="thin">
        <color rgb="FF356854"/>
      </left>
      <right style="thin">
        <color rgb="FF356854"/>
      </right>
      <top style="thin">
        <color rgb="FF284E3F"/>
      </top>
      <bottom style="thin">
        <color rgb="FFB8B2AD"/>
      </bottom>
    </border>
    <border>
      <left style="thin">
        <color rgb="FF356854"/>
      </left>
      <right style="thin">
        <color rgb="FF284E3F"/>
      </right>
      <top style="thin">
        <color rgb="FF284E3F"/>
      </top>
      <bottom style="thin">
        <color rgb="FF284E3F"/>
      </bottom>
    </border>
    <border>
      <left style="thin">
        <color rgb="FFFFFFFF"/>
      </left>
      <right style="thin">
        <color rgb="FFFFFFFF"/>
      </right>
      <top style="thin">
        <color rgb="FFB8B2AD"/>
      </top>
      <bottom style="thin">
        <color rgb="FFB8B2AD"/>
      </bottom>
    </border>
    <border>
      <left style="thin">
        <color rgb="FFF8F9FA"/>
      </left>
      <right style="thin">
        <color rgb="FFF8F9FA"/>
      </right>
      <top style="thin">
        <color rgb="FFB8B2AD"/>
      </top>
      <bottom style="thin">
        <color rgb="FFB8B2AD"/>
      </bottom>
    </border>
    <border>
      <left style="thin">
        <color rgb="FFD9EAD3"/>
      </left>
      <right style="thin">
        <color rgb="FFD9EAD3"/>
      </right>
      <top style="thin">
        <color rgb="FFB8B2AD"/>
      </top>
      <bottom style="thin">
        <color rgb="FFB8B2AD"/>
      </bottom>
    </border>
    <border>
      <left style="thin">
        <color rgb="FFD9EAD3"/>
      </left>
      <right style="thin">
        <color rgb="FF284E3F"/>
      </right>
      <top style="thin">
        <color rgb="FFD9EAD3"/>
      </top>
      <bottom style="thin">
        <color rgb="FFD9EAD3"/>
      </bottom>
    </border>
    <border>
      <left style="thin">
        <color rgb="FFFFF2CC"/>
      </left>
      <right style="thin">
        <color rgb="FFFFF2CC"/>
      </right>
      <top style="thin">
        <color rgb="FFB8B2AD"/>
      </top>
      <bottom style="thin">
        <color rgb="FFB8B2AD"/>
      </bottom>
    </border>
    <border>
      <left style="thin">
        <color rgb="FFFF0000"/>
      </left>
      <right style="thin">
        <color rgb="FFFF0000"/>
      </right>
      <top style="thin">
        <color rgb="FFB8B2AD"/>
      </top>
      <bottom style="thin">
        <color rgb="FFB8B2AD"/>
      </bottom>
    </border>
    <border>
      <left style="thin">
        <color rgb="FFF4CCCC"/>
      </left>
      <right style="thin">
        <color rgb="FFF4CCCC"/>
      </right>
      <top style="thin">
        <color rgb="FFB8B2AD"/>
      </top>
      <bottom style="thin">
        <color rgb="FFB8B2AD"/>
      </bottom>
    </border>
    <border>
      <left style="thin">
        <color rgb="FFFFFFFF"/>
      </left>
      <right style="thin">
        <color rgb="FFFFF2CC"/>
      </right>
      <top style="thin">
        <color rgb="FFB8B2AD"/>
      </top>
      <bottom style="thin">
        <color rgb="FFB8B2AD"/>
      </bottom>
    </border>
    <border>
      <left style="thin">
        <color rgb="FF284E3F"/>
      </left>
      <right style="thin">
        <color rgb="FFFFF2CC"/>
      </right>
      <top style="thin">
        <color rgb="FFB8B2AD"/>
      </top>
      <bottom style="thin">
        <color rgb="FFB8B2AD"/>
      </bottom>
    </border>
    <border>
      <left style="thin">
        <color rgb="FF284E3F"/>
      </left>
      <right style="thin">
        <color rgb="FFFFF2CC"/>
      </right>
      <top style="thin">
        <color rgb="FFB8B2AD"/>
      </top>
      <bottom style="thin">
        <color rgb="FF284E3F"/>
      </bottom>
    </border>
    <border>
      <left style="thin">
        <color rgb="FFF8F9FA"/>
      </left>
      <right style="thin">
        <color rgb="FFF8F9FA"/>
      </right>
      <top style="thin">
        <color rgb="FFB8B2AD"/>
      </top>
      <bottom style="thin">
        <color rgb="FF284E3F"/>
      </bottom>
    </border>
    <border>
      <left style="thin">
        <color rgb="FF356854"/>
      </left>
      <right style="thin">
        <color rgb="FF284E3F"/>
      </right>
      <top style="thin">
        <color rgb="FF284E3F"/>
      </top>
      <bottom style="thin">
        <color rgb="FFB8B2AD"/>
      </bottom>
    </border>
    <border>
      <left style="thin">
        <color rgb="FFFFFFFF"/>
      </left>
      <right style="thin">
        <color rgb="FF284E3F"/>
      </right>
      <top style="thin">
        <color rgb="FFB8B2AD"/>
      </top>
      <bottom style="thin">
        <color rgb="FFB8B2AD"/>
      </bottom>
    </border>
    <border>
      <left style="thin">
        <color rgb="FFF8F9FA"/>
      </left>
      <right style="thin">
        <color rgb="FF284E3F"/>
      </right>
      <top style="thin">
        <color rgb="FFB8B2AD"/>
      </top>
      <bottom style="thin">
        <color rgb="FFB8B2AD"/>
      </bottom>
    </border>
    <border>
      <left style="thin">
        <color rgb="FF284E3F"/>
      </left>
      <right style="thin">
        <color rgb="FFFFFFFF"/>
      </right>
      <top style="thin">
        <color rgb="FFB8B2AD"/>
      </top>
      <bottom style="thin">
        <color rgb="FFB8B2AD"/>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2" fillId="0" fontId="3"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4" numFmtId="0" xfId="0" applyAlignment="1" applyBorder="1" applyFont="1">
      <alignment horizontal="left" readingOrder="0" shrinkToFit="0" vertical="center" wrapText="0"/>
    </xf>
    <xf borderId="3" fillId="0" fontId="5" numFmtId="0" xfId="0" applyAlignment="1" applyBorder="1" applyFont="1">
      <alignment horizontal="left" readingOrder="0" shrinkToFit="0" vertical="center" wrapText="0"/>
    </xf>
    <xf borderId="4" fillId="0" fontId="6" numFmtId="0" xfId="0" applyAlignment="1" applyBorder="1" applyFont="1">
      <alignment horizontal="left" shrinkToFit="0" vertical="center" wrapText="0"/>
    </xf>
    <xf borderId="4" fillId="0" fontId="6" numFmtId="164" xfId="0" applyAlignment="1" applyBorder="1" applyFont="1" applyNumberFormat="1">
      <alignment horizontal="left" shrinkToFit="0" vertical="center" wrapText="0"/>
    </xf>
    <xf borderId="4" fillId="0" fontId="6" numFmtId="0" xfId="0" applyAlignment="1" applyBorder="1" applyFont="1">
      <alignment horizontal="left" shrinkToFit="0" vertical="center" wrapText="0"/>
    </xf>
    <xf borderId="4" fillId="0" fontId="7" numFmtId="49" xfId="0" applyAlignment="1" applyBorder="1" applyFont="1" applyNumberFormat="1">
      <alignment horizontal="left" shrinkToFit="0" vertical="bottom" wrapText="0"/>
    </xf>
    <xf borderId="4" fillId="0" fontId="7" numFmtId="0" xfId="0" applyAlignment="1" applyBorder="1" applyFont="1">
      <alignment horizontal="left" shrinkToFit="0" vertical="bottom" wrapText="0"/>
    </xf>
    <xf borderId="4" fillId="0" fontId="7" numFmtId="0" xfId="0" applyAlignment="1" applyBorder="1" applyFont="1">
      <alignment horizontal="left" readingOrder="0" shrinkToFit="0" vertical="bottom" wrapText="0"/>
    </xf>
    <xf borderId="4" fillId="0" fontId="6" numFmtId="0" xfId="0" applyAlignment="1" applyBorder="1" applyFont="1">
      <alignment horizontal="left" readingOrder="0" shrinkToFit="0" vertical="center" wrapText="0"/>
    </xf>
    <xf borderId="4" fillId="0" fontId="3" numFmtId="0" xfId="0" applyAlignment="1" applyBorder="1" applyFont="1">
      <alignment horizontal="left" shrinkToFit="0" vertical="center" wrapText="0"/>
    </xf>
    <xf borderId="4" fillId="0" fontId="7" numFmtId="0" xfId="0" applyAlignment="1" applyBorder="1" applyFont="1">
      <alignment horizontal="left" shrinkToFit="0" vertical="bottom" wrapText="0"/>
    </xf>
    <xf borderId="5" fillId="0" fontId="7" numFmtId="0" xfId="0" applyAlignment="1" applyBorder="1" applyFont="1">
      <alignment horizontal="left" readingOrder="0" shrinkToFit="0" vertical="center" wrapText="0"/>
    </xf>
    <xf borderId="4" fillId="0" fontId="7" numFmtId="0" xfId="0" applyAlignment="1" applyBorder="1" applyFont="1">
      <alignment horizontal="left" readingOrder="0" shrinkToFit="0" vertical="center" wrapText="0"/>
    </xf>
    <xf borderId="6" fillId="0" fontId="7" numFmtId="0" xfId="0" applyAlignment="1" applyBorder="1" applyFont="1">
      <alignment horizontal="left" readingOrder="0" shrinkToFit="0" vertical="center" wrapText="0"/>
    </xf>
    <xf borderId="7" fillId="0" fontId="8" numFmtId="0" xfId="0" applyAlignment="1" applyBorder="1" applyFont="1">
      <alignment horizontal="left" readingOrder="0" shrinkToFit="0" vertical="center" wrapText="0"/>
    </xf>
    <xf borderId="8" fillId="0" fontId="7" numFmtId="49" xfId="0" applyAlignment="1" applyBorder="1" applyFont="1" applyNumberFormat="1">
      <alignment horizontal="left" shrinkToFit="0" vertical="bottom" wrapText="0"/>
    </xf>
    <xf borderId="8" fillId="0" fontId="7" numFmtId="0" xfId="0" applyAlignment="1" applyBorder="1" applyFont="1">
      <alignment horizontal="left" shrinkToFit="0" vertical="bottom" wrapText="0"/>
    </xf>
    <xf borderId="8" fillId="0" fontId="7" numFmtId="0" xfId="0" applyAlignment="1" applyBorder="1" applyFont="1">
      <alignment horizontal="left" readingOrder="0" shrinkToFit="0" vertical="bottom" wrapText="0"/>
    </xf>
    <xf borderId="4" fillId="0" fontId="6" numFmtId="0" xfId="0" applyAlignment="1" applyBorder="1" applyFont="1">
      <alignment horizontal="left" shrinkToFit="0" vertical="center" wrapText="0"/>
    </xf>
    <xf borderId="8" fillId="0" fontId="3" numFmtId="0" xfId="0" applyAlignment="1" applyBorder="1" applyFont="1">
      <alignment horizontal="left" readingOrder="0" shrinkToFit="0" vertical="center" wrapText="0"/>
    </xf>
    <xf borderId="8" fillId="0" fontId="7" numFmtId="0" xfId="0" applyAlignment="1" applyBorder="1" applyFont="1">
      <alignment horizontal="left" shrinkToFit="0" vertical="bottom" wrapText="0"/>
    </xf>
    <xf borderId="5" fillId="0" fontId="6" numFmtId="0" xfId="0" applyAlignment="1" applyBorder="1" applyFont="1">
      <alignment horizontal="left" shrinkToFit="0" vertical="center" wrapText="0"/>
    </xf>
    <xf borderId="8" fillId="0" fontId="3" numFmtId="0" xfId="0" applyAlignment="1" applyBorder="1" applyFont="1">
      <alignment horizontal="left" shrinkToFit="0" vertical="center" wrapText="0"/>
    </xf>
    <xf borderId="9" fillId="0" fontId="7" numFmtId="0" xfId="0" applyAlignment="1" applyBorder="1" applyFont="1">
      <alignment horizontal="left" readingOrder="0" shrinkToFit="0" vertical="center" wrapText="0"/>
    </xf>
    <xf borderId="3" fillId="0" fontId="9" numFmtId="0" xfId="0" applyAlignment="1" applyBorder="1" applyFont="1">
      <alignment horizontal="left" readingOrder="0" shrinkToFit="0" vertical="center" wrapText="0"/>
    </xf>
    <xf borderId="4" fillId="0" fontId="3" numFmtId="0" xfId="0" applyAlignment="1" applyBorder="1" applyFont="1">
      <alignment horizontal="left" readingOrder="0" shrinkToFit="0" vertical="center" wrapText="0"/>
    </xf>
    <xf borderId="4" fillId="0" fontId="10" numFmtId="0" xfId="0" applyAlignment="1" applyBorder="1" applyFont="1">
      <alignment horizontal="left" readingOrder="0" shrinkToFit="0" vertical="center" wrapText="0"/>
    </xf>
    <xf borderId="8" fillId="0" fontId="10" numFmtId="0" xfId="0" applyAlignment="1" applyBorder="1" applyFont="1">
      <alignment horizontal="left" readingOrder="0" shrinkToFit="0" vertical="center" wrapText="0"/>
    </xf>
    <xf borderId="7" fillId="0" fontId="11" numFmtId="0" xfId="0" applyAlignment="1" applyBorder="1" applyFont="1">
      <alignment horizontal="left" readingOrder="0" shrinkToFit="0" vertical="center" wrapText="0"/>
    </xf>
    <xf quotePrefix="1" borderId="8" fillId="0" fontId="7" numFmtId="49" xfId="0" applyAlignment="1" applyBorder="1" applyFont="1" applyNumberFormat="1">
      <alignment horizontal="left" shrinkToFit="0" vertical="bottom" wrapText="0"/>
    </xf>
    <xf borderId="8" fillId="0" fontId="7" numFmtId="0" xfId="0" applyAlignment="1" applyBorder="1" applyFont="1">
      <alignment horizontal="left" readingOrder="0" shrinkToFit="0" vertical="center" wrapText="0"/>
    </xf>
    <xf borderId="4" fillId="0" fontId="6" numFmtId="0" xfId="0" applyAlignment="1" applyBorder="1" applyFont="1">
      <alignment horizontal="left" shrinkToFit="0" vertical="center" wrapText="0"/>
    </xf>
    <xf borderId="4" fillId="0" fontId="6" numFmtId="164" xfId="0" applyAlignment="1" applyBorder="1" applyFont="1" applyNumberFormat="1">
      <alignment horizontal="left" shrinkToFit="0" vertical="center" wrapText="0"/>
    </xf>
    <xf borderId="4" fillId="0" fontId="6" numFmtId="0" xfId="0" applyAlignment="1" applyBorder="1" applyFont="1">
      <alignment horizontal="left" shrinkToFit="0" vertical="center" wrapText="0"/>
    </xf>
    <xf borderId="4" fillId="0" fontId="6" numFmtId="49" xfId="0" applyAlignment="1" applyBorder="1" applyFont="1" applyNumberFormat="1">
      <alignment horizontal="left" shrinkToFit="0" vertical="center" wrapText="0"/>
    </xf>
    <xf borderId="4" fillId="0" fontId="7" numFmtId="0" xfId="0" applyAlignment="1" applyBorder="1" applyFont="1">
      <alignment horizontal="left" shrinkToFit="0" vertical="bottom" wrapText="0"/>
    </xf>
    <xf borderId="4" fillId="0" fontId="7" numFmtId="0" xfId="0" applyAlignment="1" applyBorder="1" applyFont="1">
      <alignment horizontal="left" shrinkToFit="0" vertical="bottom" wrapText="0"/>
    </xf>
    <xf borderId="4" fillId="0" fontId="7" numFmtId="0" xfId="0" applyAlignment="1" applyBorder="1" applyFont="1">
      <alignment horizontal="left" readingOrder="0" shrinkToFit="0" vertical="center" wrapText="0"/>
    </xf>
    <xf borderId="8" fillId="0" fontId="7" numFmtId="0" xfId="0" applyAlignment="1" applyBorder="1" applyFont="1">
      <alignment horizontal="left" shrinkToFit="0" vertical="bottom" wrapText="0"/>
    </xf>
    <xf borderId="4" fillId="0" fontId="6" numFmtId="0" xfId="0" applyAlignment="1" applyBorder="1" applyFont="1">
      <alignment horizontal="left" shrinkToFit="0" vertical="center" wrapText="0"/>
    </xf>
    <xf borderId="8" fillId="0" fontId="7"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center" wrapText="0"/>
    </xf>
    <xf borderId="4" fillId="0" fontId="7" numFmtId="0" xfId="0" applyAlignment="1" applyBorder="1" applyFont="1">
      <alignment horizontal="left" readingOrder="0" shrinkToFit="0" vertical="bottom" wrapText="0"/>
    </xf>
    <xf borderId="4" fillId="0" fontId="10" numFmtId="0" xfId="0" applyAlignment="1" applyBorder="1" applyFont="1">
      <alignment horizontal="left" readingOrder="0" shrinkToFit="0" vertical="center" wrapText="0"/>
    </xf>
    <xf borderId="8" fillId="0" fontId="10" numFmtId="0" xfId="0" applyAlignment="1" applyBorder="1" applyFont="1">
      <alignment horizontal="left" readingOrder="0" shrinkToFit="0" vertical="center" wrapText="0"/>
    </xf>
    <xf borderId="8" fillId="0" fontId="7" numFmtId="0" xfId="0" applyAlignment="1" applyBorder="1" applyFont="1">
      <alignment horizontal="left" shrinkToFit="0" vertical="bottom" wrapText="0"/>
    </xf>
    <xf borderId="4" fillId="0" fontId="3" numFmtId="0" xfId="0" applyAlignment="1" applyBorder="1" applyFont="1">
      <alignment horizontal="left" readingOrder="0" shrinkToFit="0" vertical="center" wrapText="0"/>
    </xf>
    <xf borderId="7" fillId="0" fontId="12" numFmtId="0" xfId="0" applyAlignment="1" applyBorder="1" applyFont="1">
      <alignment horizontal="left" readingOrder="0" shrinkToFit="0" vertical="center" wrapText="0"/>
    </xf>
    <xf borderId="4" fillId="0" fontId="6" numFmtId="164" xfId="0" applyAlignment="1" applyBorder="1" applyFont="1" applyNumberFormat="1">
      <alignment horizontal="left" readingOrder="0" shrinkToFit="0" vertical="center" wrapText="0"/>
    </xf>
    <xf borderId="8" fillId="0" fontId="13" numFmtId="0" xfId="0" applyAlignment="1" applyBorder="1" applyFont="1">
      <alignment horizontal="left" shrinkToFit="0" vertical="center" wrapText="0"/>
    </xf>
    <xf borderId="8" fillId="0" fontId="7" numFmtId="164" xfId="0" applyAlignment="1" applyBorder="1" applyFont="1" applyNumberFormat="1">
      <alignment horizontal="left" shrinkToFit="0" vertical="bottom" wrapText="0"/>
    </xf>
    <xf borderId="4" fillId="0" fontId="13" numFmtId="0" xfId="0" applyAlignment="1" applyBorder="1" applyFont="1">
      <alignment horizontal="left" shrinkToFit="0" vertical="center" wrapText="0"/>
    </xf>
    <xf borderId="4" fillId="0" fontId="7" numFmtId="164" xfId="0" applyAlignment="1" applyBorder="1" applyFont="1" applyNumberFormat="1">
      <alignment horizontal="left" shrinkToFit="0" vertical="bottom" wrapText="0"/>
    </xf>
    <xf borderId="3" fillId="0" fontId="14" numFmtId="0" xfId="0" applyAlignment="1" applyBorder="1" applyFont="1">
      <alignment horizontal="left" readingOrder="0" shrinkToFit="0" vertical="center" wrapText="0"/>
    </xf>
    <xf borderId="7" fillId="0" fontId="15" numFmtId="0" xfId="0" applyAlignment="1" applyBorder="1" applyFont="1">
      <alignment horizontal="left" readingOrder="0" shrinkToFit="0" vertical="center" wrapText="0"/>
    </xf>
    <xf borderId="3" fillId="0" fontId="16" numFmtId="0" xfId="0" applyAlignment="1" applyBorder="1" applyFont="1">
      <alignment horizontal="left" readingOrder="0" shrinkToFit="0" vertical="center" wrapText="0"/>
    </xf>
    <xf borderId="4" fillId="0" fontId="7"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4" fillId="0" fontId="17" numFmtId="0" xfId="0" applyAlignment="1" applyBorder="1" applyFont="1">
      <alignment horizontal="left" readingOrder="0" shrinkToFit="0" vertical="center" wrapText="0"/>
    </xf>
    <xf borderId="4" fillId="0" fontId="6" numFmtId="0" xfId="0" applyAlignment="1" applyBorder="1" applyFont="1">
      <alignment horizontal="left" readingOrder="0" shrinkToFit="0" vertical="center" wrapText="0"/>
    </xf>
    <xf quotePrefix="1" borderId="4" fillId="0" fontId="6" numFmtId="0" xfId="0" applyAlignment="1" applyBorder="1" applyFont="1">
      <alignment horizontal="left" readingOrder="0" shrinkToFit="0" vertical="center" wrapText="0"/>
    </xf>
    <xf borderId="4" fillId="0" fontId="6" numFmtId="0" xfId="0" applyAlignment="1" applyBorder="1" applyFont="1">
      <alignment horizontal="left" shrinkToFit="0" vertical="center" wrapText="0"/>
    </xf>
    <xf borderId="3" fillId="0" fontId="18" numFmtId="0" xfId="0" applyAlignment="1" applyBorder="1" applyFont="1">
      <alignment horizontal="left" readingOrder="0" shrinkToFit="0" vertical="center" wrapText="0"/>
    </xf>
    <xf borderId="4" fillId="0" fontId="6" numFmtId="0" xfId="0" applyAlignment="1" applyBorder="1" applyFont="1">
      <alignment horizontal="left" shrinkToFit="0" vertical="bottom" wrapText="0"/>
    </xf>
    <xf borderId="4" fillId="0" fontId="6" numFmtId="0" xfId="0" applyAlignment="1" applyBorder="1" applyFont="1">
      <alignment horizontal="left" readingOrder="0" shrinkToFit="0" vertical="bottom" wrapText="0"/>
    </xf>
    <xf borderId="4" fillId="0" fontId="6" numFmtId="0" xfId="0" applyAlignment="1" applyBorder="1" applyFont="1">
      <alignment horizontal="left" readingOrder="0" shrinkToFit="0" vertical="bottom" wrapText="0"/>
    </xf>
    <xf borderId="10" fillId="0" fontId="6" numFmtId="0" xfId="0" applyAlignment="1" applyBorder="1" applyFont="1">
      <alignment horizontal="left" readingOrder="0" shrinkToFit="0" vertical="bottom" wrapText="0"/>
    </xf>
    <xf borderId="4" fillId="0" fontId="13" numFmtId="0" xfId="0" applyAlignment="1" applyBorder="1" applyFont="1">
      <alignment horizontal="left" readingOrder="0" shrinkToFit="0" vertical="center" wrapText="0"/>
    </xf>
    <xf borderId="8" fillId="0" fontId="13" numFmtId="0" xfId="0" applyAlignment="1" applyBorder="1" applyFont="1">
      <alignment horizontal="left" readingOrder="0" shrinkToFit="0" vertical="center" wrapText="0"/>
    </xf>
    <xf borderId="4" fillId="0" fontId="6" numFmtId="0" xfId="0" applyAlignment="1" applyBorder="1" applyFont="1">
      <alignment horizontal="left" readingOrder="0" shrinkToFit="0" vertical="center" wrapText="0"/>
    </xf>
    <xf borderId="8" fillId="0" fontId="10" numFmtId="0" xfId="0" applyAlignment="1" applyBorder="1" applyFont="1">
      <alignment horizontal="left" readingOrder="0" shrinkToFit="0" vertical="center" wrapText="0"/>
    </xf>
    <xf borderId="4" fillId="0" fontId="10" numFmtId="0" xfId="0" applyAlignment="1" applyBorder="1" applyFont="1">
      <alignment horizontal="left" readingOrder="0" shrinkToFit="0" vertical="center" wrapText="0"/>
    </xf>
    <xf borderId="4" fillId="0" fontId="7" numFmtId="49" xfId="0" applyAlignment="1" applyBorder="1" applyFont="1" applyNumberFormat="1">
      <alignment horizontal="left" shrinkToFit="0" vertical="bottom" wrapText="0"/>
    </xf>
    <xf borderId="8" fillId="0" fontId="3" numFmtId="0" xfId="0" applyAlignment="1" applyBorder="1" applyFont="1">
      <alignment horizontal="left" readingOrder="0" shrinkToFit="0" vertical="center" wrapText="0"/>
    </xf>
    <xf borderId="8" fillId="0" fontId="7" numFmtId="0" xfId="0" applyAlignment="1" applyBorder="1" applyFont="1">
      <alignment horizontal="left" shrinkToFit="0" vertical="bottom" wrapText="0"/>
    </xf>
    <xf borderId="4" fillId="0" fontId="3" numFmtId="0" xfId="0" applyAlignment="1" applyBorder="1" applyFont="1">
      <alignment horizontal="left" readingOrder="0" shrinkToFit="0" vertical="center" wrapText="0"/>
    </xf>
    <xf borderId="8" fillId="0" fontId="3" numFmtId="0" xfId="0" applyAlignment="1" applyBorder="1" applyFont="1">
      <alignment horizontal="left" readingOrder="0" shrinkToFit="0" vertical="center" wrapText="0"/>
    </xf>
    <xf borderId="4" fillId="0" fontId="7" numFmtId="0" xfId="0" applyAlignment="1" applyBorder="1" applyFont="1">
      <alignment horizontal="left" shrinkToFit="0" vertical="bottom" wrapText="0"/>
    </xf>
    <xf borderId="8" fillId="0" fontId="7" numFmtId="0" xfId="0" applyAlignment="1" applyBorder="1" applyFont="1">
      <alignment horizontal="left" shrinkToFit="0" vertical="bottom" wrapText="0"/>
    </xf>
    <xf borderId="4" fillId="0" fontId="3" numFmtId="0" xfId="0" applyAlignment="1" applyBorder="1" applyFont="1">
      <alignment horizontal="left" readingOrder="0" shrinkToFit="0" vertical="center" wrapText="0"/>
    </xf>
    <xf borderId="8" fillId="0" fontId="3" numFmtId="0" xfId="0" applyAlignment="1" applyBorder="1" applyFont="1">
      <alignment horizontal="left" readingOrder="0" shrinkToFit="0" vertical="center" wrapText="0"/>
    </xf>
    <xf borderId="8" fillId="2" fontId="7" numFmtId="0" xfId="0" applyAlignment="1" applyBorder="1" applyFill="1" applyFont="1">
      <alignment horizontal="left" shrinkToFit="0" vertical="bottom" wrapText="0"/>
    </xf>
    <xf borderId="4" fillId="3" fontId="7" numFmtId="0" xfId="0" applyAlignment="1" applyBorder="1" applyFill="1" applyFont="1">
      <alignment horizontal="left" shrinkToFit="0" vertical="bottom" wrapText="0"/>
    </xf>
    <xf borderId="8" fillId="0" fontId="7" numFmtId="165" xfId="0" applyAlignment="1" applyBorder="1" applyFont="1" applyNumberFormat="1">
      <alignment horizontal="left" shrinkToFit="0" vertical="bottom" wrapText="0"/>
    </xf>
    <xf borderId="8" fillId="3" fontId="7" numFmtId="0" xfId="0" applyAlignment="1" applyBorder="1" applyFont="1">
      <alignment horizontal="left" shrinkToFit="0" vertical="bottom" wrapText="0"/>
    </xf>
    <xf borderId="4" fillId="2" fontId="7" numFmtId="0" xfId="0" applyAlignment="1" applyBorder="1" applyFont="1">
      <alignment horizontal="left" shrinkToFit="0" vertical="bottom" wrapText="0"/>
    </xf>
    <xf borderId="4" fillId="0" fontId="7" numFmtId="165" xfId="0" applyAlignment="1" applyBorder="1" applyFont="1" applyNumberFormat="1">
      <alignment horizontal="left" shrinkToFit="0" vertical="bottom" wrapText="0"/>
    </xf>
    <xf borderId="8" fillId="0" fontId="3" numFmtId="164" xfId="0" applyAlignment="1" applyBorder="1" applyFont="1" applyNumberFormat="1">
      <alignment horizontal="left" readingOrder="0" shrinkToFit="0" vertical="center" wrapText="0"/>
    </xf>
    <xf borderId="8" fillId="0" fontId="13" numFmtId="164" xfId="0" applyAlignment="1" applyBorder="1" applyFont="1" applyNumberFormat="1">
      <alignment horizontal="left" readingOrder="0" shrinkToFit="0" vertical="center" wrapText="0"/>
    </xf>
    <xf borderId="8" fillId="0" fontId="13" numFmtId="49" xfId="0" applyAlignment="1" applyBorder="1" applyFont="1" applyNumberFormat="1">
      <alignment horizontal="left" readingOrder="0" shrinkToFit="0" vertical="center" wrapText="0"/>
    </xf>
    <xf borderId="4" fillId="0" fontId="3" numFmtId="164" xfId="0" applyAlignment="1" applyBorder="1" applyFont="1" applyNumberFormat="1">
      <alignment horizontal="left" readingOrder="0" shrinkToFit="0" vertical="center" wrapText="0"/>
    </xf>
    <xf borderId="4" fillId="0" fontId="13" numFmtId="164" xfId="0" applyAlignment="1" applyBorder="1" applyFont="1" applyNumberFormat="1">
      <alignment horizontal="left" readingOrder="0" shrinkToFit="0" vertical="center" wrapText="0"/>
    </xf>
    <xf borderId="4" fillId="0" fontId="13" numFmtId="49" xfId="0" applyAlignment="1" applyBorder="1" applyFont="1" applyNumberFormat="1">
      <alignment horizontal="left" readingOrder="0" shrinkToFit="0" vertical="center" wrapText="0"/>
    </xf>
    <xf borderId="4" fillId="3" fontId="7" numFmtId="164" xfId="0" applyAlignment="1" applyBorder="1" applyFont="1" applyNumberFormat="1">
      <alignment horizontal="left" shrinkToFit="0" vertical="bottom" wrapText="0"/>
    </xf>
    <xf borderId="8" fillId="2" fontId="7" numFmtId="164" xfId="0" applyAlignment="1" applyBorder="1" applyFont="1" applyNumberFormat="1">
      <alignment horizontal="left" shrinkToFit="0" vertical="bottom" wrapText="0"/>
    </xf>
    <xf borderId="4" fillId="0" fontId="7" numFmtId="0" xfId="0" applyAlignment="1" applyBorder="1" applyFont="1">
      <alignment horizontal="left" shrinkToFit="0" vertical="bottom" wrapText="0"/>
    </xf>
    <xf borderId="8" fillId="0" fontId="6" numFmtId="49" xfId="0" applyAlignment="1" applyBorder="1" applyFont="1" applyNumberFormat="1">
      <alignment horizontal="left" readingOrder="0" shrinkToFit="0" vertical="center" wrapText="0"/>
    </xf>
    <xf quotePrefix="1" borderId="4" fillId="0" fontId="13" numFmtId="49" xfId="0" applyAlignment="1" applyBorder="1" applyFont="1" applyNumberFormat="1">
      <alignment horizontal="left" readingOrder="0" shrinkToFit="0" vertical="center" wrapText="0"/>
    </xf>
    <xf quotePrefix="1" borderId="8" fillId="0" fontId="13" numFmtId="49" xfId="0" applyAlignment="1" applyBorder="1" applyFont="1" applyNumberFormat="1">
      <alignment horizontal="left" readingOrder="0" shrinkToFit="0" vertical="center" wrapText="0"/>
    </xf>
    <xf borderId="8" fillId="0" fontId="7" numFmtId="164" xfId="0" applyAlignment="1" applyBorder="1" applyFont="1" applyNumberFormat="1">
      <alignment horizontal="left" shrinkToFit="0" vertical="bottom" wrapText="0"/>
    </xf>
    <xf borderId="11" fillId="0" fontId="19" numFmtId="0" xfId="0" applyAlignment="1" applyBorder="1" applyFont="1">
      <alignment horizontal="left" readingOrder="0" shrinkToFit="0" vertical="center" wrapText="0"/>
    </xf>
    <xf borderId="12" fillId="0" fontId="13" numFmtId="0" xfId="0" applyAlignment="1" applyBorder="1" applyFont="1">
      <alignment horizontal="left" readingOrder="0" shrinkToFit="0" vertical="center" wrapText="0"/>
    </xf>
    <xf borderId="12" fillId="0" fontId="3" numFmtId="164" xfId="0" applyAlignment="1" applyBorder="1" applyFont="1" applyNumberFormat="1">
      <alignment horizontal="left" readingOrder="0" shrinkToFit="0" vertical="center" wrapText="0"/>
    </xf>
    <xf borderId="12" fillId="0" fontId="13" numFmtId="164" xfId="0" applyAlignment="1" applyBorder="1" applyFont="1" applyNumberFormat="1">
      <alignment horizontal="left" readingOrder="0" shrinkToFit="0" vertical="center" wrapText="0"/>
    </xf>
    <xf borderId="12" fillId="0" fontId="13" numFmtId="49" xfId="0" applyAlignment="1" applyBorder="1" applyFont="1" applyNumberFormat="1">
      <alignment horizontal="left" readingOrder="0" shrinkToFit="0" vertical="center" wrapText="0"/>
    </xf>
    <xf borderId="12" fillId="0" fontId="7" numFmtId="164" xfId="0" applyAlignment="1" applyBorder="1" applyFont="1" applyNumberFormat="1">
      <alignment horizontal="left" shrinkToFit="0" vertical="bottom" wrapText="0"/>
    </xf>
    <xf borderId="12" fillId="0" fontId="7" numFmtId="0" xfId="0" applyAlignment="1" applyBorder="1" applyFont="1">
      <alignment horizontal="left" shrinkToFit="0" vertical="bottom" wrapText="0"/>
    </xf>
    <xf borderId="12" fillId="0" fontId="7" numFmtId="0" xfId="0" applyAlignment="1" applyBorder="1" applyFont="1">
      <alignment horizontal="left" readingOrder="0" shrinkToFit="0" vertical="bottom" wrapText="0"/>
    </xf>
    <xf borderId="12" fillId="0" fontId="3" numFmtId="0" xfId="0" applyAlignment="1" applyBorder="1" applyFont="1">
      <alignment horizontal="left" readingOrder="0" shrinkToFit="0" vertical="center" wrapText="0"/>
    </xf>
    <xf borderId="12" fillId="0" fontId="7" numFmtId="0" xfId="0" applyAlignment="1" applyBorder="1" applyFont="1">
      <alignment horizontal="left" shrinkToFit="0" vertical="bottom" wrapText="0"/>
    </xf>
    <xf borderId="12" fillId="0" fontId="3" numFmtId="0" xfId="0" applyAlignment="1" applyBorder="1" applyFont="1">
      <alignment horizontal="left" shrinkToFit="0" vertical="center" wrapText="0"/>
    </xf>
    <xf borderId="12" fillId="0" fontId="10" numFmtId="0" xfId="0" applyAlignment="1" applyBorder="1" applyFont="1">
      <alignment horizontal="left" readingOrder="0" shrinkToFit="0" vertical="center" wrapText="0"/>
    </xf>
    <xf borderId="13" fillId="0" fontId="7" numFmtId="0" xfId="0" applyAlignment="1" applyBorder="1" applyFont="1">
      <alignment horizontal="left" readingOrder="0" shrinkToFit="0" vertical="center" wrapText="0"/>
    </xf>
    <xf borderId="14" fillId="0" fontId="20" numFmtId="0" xfId="0" applyAlignment="1" applyBorder="1" applyFont="1">
      <alignment horizontal="center" readingOrder="0" shrinkToFit="0" vertical="center" wrapText="0"/>
    </xf>
    <xf borderId="15" fillId="0" fontId="20" numFmtId="0" xfId="0" applyAlignment="1" applyBorder="1" applyFont="1">
      <alignment horizontal="center" readingOrder="0" shrinkToFit="0" vertical="center" wrapText="0"/>
    </xf>
    <xf borderId="15" fillId="0" fontId="20" numFmtId="49" xfId="0" applyAlignment="1" applyBorder="1" applyFont="1" applyNumberFormat="1">
      <alignment horizontal="center" readingOrder="0" shrinkToFit="0" vertical="center" wrapText="0"/>
    </xf>
    <xf borderId="15" fillId="0" fontId="20" numFmtId="49" xfId="0" applyAlignment="1" applyBorder="1" applyFont="1" applyNumberFormat="1">
      <alignment horizontal="center" readingOrder="0" shrinkToFit="0" vertical="center" wrapText="0"/>
    </xf>
    <xf borderId="15" fillId="0" fontId="20" numFmtId="49" xfId="0" applyAlignment="1" applyBorder="1" applyFont="1" applyNumberFormat="1">
      <alignment horizontal="center" readingOrder="0" shrinkToFit="0" vertical="center" wrapText="0"/>
    </xf>
    <xf borderId="15" fillId="4" fontId="21" numFmtId="49" xfId="0" applyAlignment="1" applyBorder="1" applyFill="1" applyFont="1" applyNumberFormat="1">
      <alignment horizontal="center" readingOrder="0" shrinkToFit="0" vertical="center" wrapText="0"/>
    </xf>
    <xf borderId="15" fillId="0" fontId="20" numFmtId="0" xfId="0" applyAlignment="1" applyBorder="1" applyFont="1">
      <alignment horizontal="center" readingOrder="0" shrinkToFit="0" vertical="center" wrapText="0"/>
    </xf>
    <xf borderId="16" fillId="0" fontId="20" numFmtId="0" xfId="0" applyAlignment="1" applyBorder="1" applyFont="1">
      <alignment horizontal="center" readingOrder="0" shrinkToFit="0" vertical="center" wrapText="0"/>
    </xf>
    <xf borderId="17" fillId="5" fontId="6" numFmtId="164" xfId="0" applyAlignment="1" applyBorder="1" applyFill="1" applyFont="1" applyNumberFormat="1">
      <alignment readingOrder="0" shrinkToFit="0" vertical="center" wrapText="0"/>
    </xf>
    <xf borderId="17" fillId="0" fontId="22" numFmtId="2" xfId="0" applyAlignment="1" applyBorder="1" applyFont="1" applyNumberFormat="1">
      <alignment readingOrder="0" shrinkToFit="0" vertical="bottom" wrapText="0"/>
    </xf>
    <xf borderId="17" fillId="0" fontId="22" numFmtId="10" xfId="0" applyAlignment="1" applyBorder="1" applyFont="1" applyNumberFormat="1">
      <alignment readingOrder="0" shrinkToFit="0" vertical="bottom" wrapText="0"/>
    </xf>
    <xf borderId="17" fillId="0" fontId="22" numFmtId="3" xfId="0" applyAlignment="1" applyBorder="1" applyFont="1" applyNumberFormat="1">
      <alignment readingOrder="0" shrinkToFit="0" vertical="bottom" wrapText="0"/>
    </xf>
    <xf borderId="17" fillId="0" fontId="22" numFmtId="0" xfId="0" applyAlignment="1" applyBorder="1" applyFont="1">
      <alignment readingOrder="0" shrinkToFit="0" vertical="bottom" wrapText="0"/>
    </xf>
    <xf borderId="17" fillId="0" fontId="22" numFmtId="10" xfId="0" applyAlignment="1" applyBorder="1" applyFont="1" applyNumberFormat="1">
      <alignment readingOrder="0" shrinkToFit="0" vertical="bottom" wrapText="0"/>
    </xf>
    <xf borderId="17" fillId="0" fontId="22" numFmtId="166" xfId="0" applyAlignment="1" applyBorder="1" applyFont="1" applyNumberFormat="1">
      <alignment readingOrder="0" shrinkToFit="0" vertical="bottom" wrapText="0"/>
    </xf>
    <xf borderId="17" fillId="3" fontId="7" numFmtId="10" xfId="0" applyAlignment="1" applyBorder="1" applyFont="1" applyNumberFormat="1">
      <alignment shrinkToFit="0" vertical="bottom" wrapText="0"/>
    </xf>
    <xf borderId="17" fillId="0" fontId="22" numFmtId="3" xfId="0" applyAlignment="1" applyBorder="1" applyFont="1" applyNumberFormat="1">
      <alignment horizontal="right" readingOrder="0" shrinkToFit="0" vertical="bottom" wrapText="0"/>
    </xf>
    <xf borderId="17" fillId="0" fontId="22" numFmtId="4" xfId="0" applyAlignment="1" applyBorder="1" applyFont="1" applyNumberFormat="1">
      <alignment readingOrder="0" shrinkToFit="0" vertical="bottom" wrapText="0"/>
    </xf>
    <xf borderId="17" fillId="0" fontId="22" numFmtId="0" xfId="0" applyAlignment="1" applyBorder="1" applyFont="1">
      <alignment readingOrder="0" shrinkToFit="0" vertical="bottom" wrapText="0"/>
    </xf>
    <xf borderId="17" fillId="0" fontId="22" numFmtId="4" xfId="0" applyAlignment="1" applyBorder="1" applyFont="1" applyNumberFormat="1">
      <alignment shrinkToFit="0" vertical="bottom" wrapText="0"/>
    </xf>
    <xf borderId="6" fillId="0" fontId="22" numFmtId="0" xfId="0" applyAlignment="1" applyBorder="1" applyFont="1">
      <alignment shrinkToFit="0" vertical="bottom" wrapText="0"/>
    </xf>
    <xf borderId="18" fillId="0" fontId="22" numFmtId="2" xfId="0" applyAlignment="1" applyBorder="1" applyFont="1" applyNumberFormat="1">
      <alignment readingOrder="0" shrinkToFit="0" vertical="bottom" wrapText="0"/>
    </xf>
    <xf borderId="18" fillId="0" fontId="22" numFmtId="10" xfId="0" applyAlignment="1" applyBorder="1" applyFont="1" applyNumberFormat="1">
      <alignment readingOrder="0" shrinkToFit="0" vertical="bottom" wrapText="0"/>
    </xf>
    <xf borderId="18" fillId="0" fontId="22" numFmtId="3" xfId="0" applyAlignment="1" applyBorder="1" applyFont="1" applyNumberFormat="1">
      <alignment readingOrder="0" shrinkToFit="0" vertical="bottom" wrapText="0"/>
    </xf>
    <xf borderId="18" fillId="0" fontId="22" numFmtId="0" xfId="0" applyAlignment="1" applyBorder="1" applyFont="1">
      <alignment readingOrder="0" shrinkToFit="0" vertical="bottom" wrapText="0"/>
    </xf>
    <xf borderId="18" fillId="0" fontId="22" numFmtId="10" xfId="0" applyAlignment="1" applyBorder="1" applyFont="1" applyNumberFormat="1">
      <alignment readingOrder="0" shrinkToFit="0" vertical="bottom" wrapText="0"/>
    </xf>
    <xf borderId="18" fillId="0" fontId="22" numFmtId="166" xfId="0" applyAlignment="1" applyBorder="1" applyFont="1" applyNumberFormat="1">
      <alignment readingOrder="0" shrinkToFit="0" vertical="bottom" wrapText="0"/>
    </xf>
    <xf borderId="18" fillId="2" fontId="22" numFmtId="10" xfId="0" applyAlignment="1" applyBorder="1" applyFont="1" applyNumberFormat="1">
      <alignment horizontal="right" readingOrder="0" shrinkToFit="0" vertical="bottom" wrapText="0"/>
    </xf>
    <xf borderId="18" fillId="0" fontId="22" numFmtId="3" xfId="0" applyAlignment="1" applyBorder="1" applyFont="1" applyNumberFormat="1">
      <alignment horizontal="right" readingOrder="0" shrinkToFit="0" vertical="bottom" wrapText="0"/>
    </xf>
    <xf borderId="18" fillId="0" fontId="22" numFmtId="4" xfId="0" applyAlignment="1" applyBorder="1" applyFont="1" applyNumberFormat="1">
      <alignment readingOrder="0" shrinkToFit="0" vertical="bottom" wrapText="0"/>
    </xf>
    <xf borderId="19" fillId="6" fontId="22" numFmtId="4" xfId="0" applyAlignment="1" applyBorder="1" applyFill="1" applyFont="1" applyNumberFormat="1">
      <alignment readingOrder="0" shrinkToFit="0" vertical="bottom" wrapText="0"/>
    </xf>
    <xf borderId="19" fillId="6" fontId="22" numFmtId="0" xfId="0" applyAlignment="1" applyBorder="1" applyFont="1">
      <alignment readingOrder="0" shrinkToFit="0" vertical="bottom" wrapText="0"/>
    </xf>
    <xf borderId="20" fillId="6" fontId="22" numFmtId="0" xfId="0" applyAlignment="1" applyBorder="1" applyFont="1">
      <alignment readingOrder="0" shrinkToFit="0" vertical="bottom" wrapText="0"/>
    </xf>
    <xf borderId="17" fillId="3" fontId="22" numFmtId="10" xfId="0" applyAlignment="1" applyBorder="1" applyFont="1" applyNumberFormat="1">
      <alignment horizontal="right" shrinkToFit="0" vertical="bottom" wrapText="0"/>
    </xf>
    <xf borderId="18" fillId="2" fontId="22" numFmtId="10" xfId="0" applyAlignment="1" applyBorder="1" applyFont="1" applyNumberFormat="1">
      <alignment horizontal="right" shrinkToFit="0" vertical="bottom" wrapText="0"/>
    </xf>
    <xf borderId="18" fillId="0" fontId="22" numFmtId="0" xfId="0" applyAlignment="1" applyBorder="1" applyFont="1">
      <alignment readingOrder="0" shrinkToFit="0" vertical="bottom" wrapText="0"/>
    </xf>
    <xf borderId="18" fillId="0" fontId="22" numFmtId="4" xfId="0" applyAlignment="1" applyBorder="1" applyFont="1" applyNumberFormat="1">
      <alignment shrinkToFit="0" vertical="bottom" wrapText="0"/>
    </xf>
    <xf borderId="9" fillId="0" fontId="22" numFmtId="0" xfId="0" applyAlignment="1" applyBorder="1" applyFont="1">
      <alignment shrinkToFit="0" vertical="bottom" wrapText="0"/>
    </xf>
    <xf borderId="18" fillId="2" fontId="7" numFmtId="10" xfId="0" applyAlignment="1" applyBorder="1" applyFont="1" applyNumberFormat="1">
      <alignment shrinkToFit="0" vertical="bottom" wrapText="0"/>
    </xf>
    <xf borderId="0" fillId="7" fontId="3" numFmtId="0" xfId="0" applyFill="1" applyFont="1"/>
    <xf borderId="21" fillId="5" fontId="22" numFmtId="4" xfId="0" applyAlignment="1" applyBorder="1" applyFont="1" applyNumberFormat="1">
      <alignment readingOrder="0" shrinkToFit="0" vertical="bottom" wrapText="0"/>
    </xf>
    <xf borderId="18" fillId="5" fontId="22" numFmtId="4" xfId="0" applyAlignment="1" applyBorder="1" applyFont="1" applyNumberFormat="1">
      <alignment shrinkToFit="0" vertical="bottom" wrapText="0"/>
    </xf>
    <xf borderId="9" fillId="5" fontId="22" numFmtId="0" xfId="0" applyAlignment="1" applyBorder="1" applyFont="1">
      <alignment shrinkToFit="0" vertical="bottom" wrapText="0"/>
    </xf>
    <xf borderId="17" fillId="5" fontId="22" numFmtId="4" xfId="0" applyAlignment="1" applyBorder="1" applyFont="1" applyNumberFormat="1">
      <alignment shrinkToFit="0" vertical="bottom" wrapText="0"/>
    </xf>
    <xf borderId="6" fillId="5" fontId="22" numFmtId="0" xfId="0" applyAlignment="1" applyBorder="1" applyFont="1">
      <alignment shrinkToFit="0" vertical="bottom" wrapText="0"/>
    </xf>
    <xf borderId="22" fillId="7" fontId="22" numFmtId="166" xfId="0" applyAlignment="1" applyBorder="1" applyFont="1" applyNumberFormat="1">
      <alignment readingOrder="0" shrinkToFit="0" vertical="bottom" wrapText="0"/>
    </xf>
    <xf borderId="18" fillId="0" fontId="22" numFmtId="4" xfId="0" applyAlignment="1" applyBorder="1" applyFont="1" applyNumberFormat="1">
      <alignment readingOrder="0" shrinkToFit="0" vertical="bottom" wrapText="0"/>
    </xf>
    <xf borderId="9" fillId="0" fontId="22" numFmtId="0" xfId="0" applyAlignment="1" applyBorder="1" applyFont="1">
      <alignment readingOrder="0" shrinkToFit="0" vertical="bottom" wrapText="0"/>
    </xf>
    <xf borderId="23" fillId="8" fontId="22" numFmtId="4" xfId="0" applyAlignment="1" applyBorder="1" applyFill="1" applyFont="1" applyNumberFormat="1">
      <alignment readingOrder="0" shrinkToFit="0" vertical="bottom" wrapText="0"/>
    </xf>
    <xf borderId="18" fillId="8" fontId="22" numFmtId="4" xfId="0" applyAlignment="1" applyBorder="1" applyFont="1" applyNumberFormat="1">
      <alignment shrinkToFit="0" vertical="bottom" wrapText="0"/>
    </xf>
    <xf borderId="9" fillId="8" fontId="22" numFmtId="0" xfId="0" applyAlignment="1" applyBorder="1" applyFont="1">
      <alignment shrinkToFit="0" vertical="bottom" wrapText="0"/>
    </xf>
    <xf borderId="17" fillId="8" fontId="22" numFmtId="4" xfId="0" applyAlignment="1" applyBorder="1" applyFont="1" applyNumberFormat="1">
      <alignment shrinkToFit="0" vertical="bottom" wrapText="0"/>
    </xf>
    <xf borderId="6" fillId="8" fontId="22" numFmtId="0" xfId="0" applyAlignment="1" applyBorder="1" applyFont="1">
      <alignment shrinkToFit="0" vertical="bottom" wrapText="0"/>
    </xf>
    <xf borderId="24" fillId="5" fontId="6" numFmtId="164" xfId="0" applyAlignment="1" applyBorder="1" applyFont="1" applyNumberFormat="1">
      <alignment readingOrder="0" shrinkToFit="0" vertical="center" wrapText="0"/>
    </xf>
    <xf borderId="25" fillId="5" fontId="6" numFmtId="164" xfId="0" applyAlignment="1" applyBorder="1" applyFont="1" applyNumberFormat="1">
      <alignment readingOrder="0" shrinkToFit="0" vertical="center" wrapText="0"/>
    </xf>
    <xf borderId="18" fillId="0" fontId="22" numFmtId="2" xfId="0" applyAlignment="1" applyBorder="1" applyFont="1" applyNumberFormat="1">
      <alignment readingOrder="0" shrinkToFit="0" vertical="bottom" wrapText="0"/>
    </xf>
    <xf borderId="17" fillId="0" fontId="22" numFmtId="2" xfId="0" applyAlignment="1" applyBorder="1" applyFont="1" applyNumberFormat="1">
      <alignment readingOrder="0" shrinkToFit="0" vertical="bottom" wrapText="0"/>
    </xf>
    <xf borderId="17" fillId="0" fontId="22" numFmtId="10" xfId="0" applyAlignment="1" applyBorder="1" applyFont="1" applyNumberFormat="1">
      <alignment readingOrder="0" shrinkToFit="0" vertical="bottom" wrapText="0"/>
    </xf>
    <xf borderId="17" fillId="0" fontId="22" numFmtId="3" xfId="0" applyAlignment="1" applyBorder="1" applyFont="1" applyNumberFormat="1">
      <alignment readingOrder="0" shrinkToFit="0" vertical="bottom" wrapText="0"/>
    </xf>
    <xf borderId="17" fillId="0" fontId="22" numFmtId="10" xfId="0" applyAlignment="1" applyBorder="1" applyFont="1" applyNumberFormat="1">
      <alignment readingOrder="0" shrinkToFit="0" vertical="bottom" wrapText="0"/>
    </xf>
    <xf borderId="26" fillId="5" fontId="6" numFmtId="164" xfId="0" applyAlignment="1" applyBorder="1" applyFont="1" applyNumberFormat="1">
      <alignment readingOrder="0" shrinkToFit="0" vertical="center" wrapText="0"/>
    </xf>
    <xf borderId="27" fillId="0" fontId="22" numFmtId="2" xfId="0" applyAlignment="1" applyBorder="1" applyFont="1" applyNumberFormat="1">
      <alignment readingOrder="0" shrinkToFit="0" vertical="bottom" wrapText="0"/>
    </xf>
    <xf borderId="27" fillId="0" fontId="22" numFmtId="10" xfId="0" applyAlignment="1" applyBorder="1" applyFont="1" applyNumberFormat="1">
      <alignment readingOrder="0" shrinkToFit="0" vertical="bottom" wrapText="0"/>
    </xf>
    <xf borderId="27" fillId="0" fontId="22" numFmtId="3" xfId="0" applyAlignment="1" applyBorder="1" applyFont="1" applyNumberFormat="1">
      <alignment readingOrder="0" shrinkToFit="0" vertical="bottom" wrapText="0"/>
    </xf>
    <xf borderId="27" fillId="0" fontId="22" numFmtId="0" xfId="0" applyAlignment="1" applyBorder="1" applyFont="1">
      <alignment readingOrder="0" shrinkToFit="0" vertical="bottom" wrapText="0"/>
    </xf>
    <xf borderId="27" fillId="0" fontId="22" numFmtId="10" xfId="0" applyAlignment="1" applyBorder="1" applyFont="1" applyNumberFormat="1">
      <alignment readingOrder="0" shrinkToFit="0" vertical="bottom" wrapText="0"/>
    </xf>
    <xf borderId="27" fillId="0" fontId="22" numFmtId="166" xfId="0" applyAlignment="1" applyBorder="1" applyFont="1" applyNumberFormat="1">
      <alignment readingOrder="0" shrinkToFit="0" vertical="bottom" wrapText="0"/>
    </xf>
    <xf borderId="27" fillId="2" fontId="22" numFmtId="10" xfId="0" applyAlignment="1" applyBorder="1" applyFont="1" applyNumberFormat="1">
      <alignment horizontal="right" shrinkToFit="0" vertical="bottom" wrapText="0"/>
    </xf>
    <xf borderId="27" fillId="0" fontId="22" numFmtId="3" xfId="0" applyAlignment="1" applyBorder="1" applyFont="1" applyNumberFormat="1">
      <alignment horizontal="right" readingOrder="0" shrinkToFit="0" vertical="bottom" wrapText="0"/>
    </xf>
    <xf borderId="27" fillId="0" fontId="22" numFmtId="0" xfId="0" applyAlignment="1" applyBorder="1" applyFont="1">
      <alignment readingOrder="0" shrinkToFit="0" vertical="bottom" wrapText="0"/>
    </xf>
    <xf borderId="27" fillId="0" fontId="22" numFmtId="4" xfId="0" applyAlignment="1" applyBorder="1" applyFont="1" applyNumberFormat="1">
      <alignment readingOrder="0" shrinkToFit="0" vertical="bottom" wrapText="0"/>
    </xf>
    <xf borderId="27" fillId="0" fontId="22" numFmtId="4" xfId="0" applyAlignment="1" applyBorder="1" applyFont="1" applyNumberFormat="1">
      <alignment shrinkToFit="0" vertical="bottom" wrapText="0"/>
    </xf>
    <xf borderId="13" fillId="0" fontId="22" numFmtId="0" xfId="0" applyAlignment="1" applyBorder="1" applyFont="1">
      <alignment shrinkToFit="0" vertical="bottom" wrapText="0"/>
    </xf>
    <xf borderId="14" fillId="0" fontId="20" numFmtId="0" xfId="0" applyAlignment="1" applyBorder="1" applyFont="1">
      <alignment horizontal="center" readingOrder="0" shrinkToFit="0" vertical="center" wrapText="0"/>
    </xf>
    <xf borderId="28" fillId="0" fontId="20" numFmtId="49" xfId="0" applyAlignment="1" applyBorder="1" applyFont="1" applyNumberFormat="1">
      <alignment horizontal="center" readingOrder="0" shrinkToFit="0" vertical="center" wrapText="0"/>
    </xf>
    <xf borderId="17" fillId="5" fontId="6" numFmtId="0" xfId="0" applyAlignment="1" applyBorder="1" applyFont="1">
      <alignment shrinkToFit="0" vertical="center" wrapText="0"/>
    </xf>
    <xf borderId="17" fillId="0" fontId="22" numFmtId="0" xfId="0" applyAlignment="1" applyBorder="1" applyFont="1">
      <alignment shrinkToFit="0" vertical="bottom" wrapText="0"/>
    </xf>
    <xf borderId="17" fillId="0" fontId="22" numFmtId="10" xfId="0" applyAlignment="1" applyBorder="1" applyFont="1" applyNumberFormat="1">
      <alignment shrinkToFit="0" vertical="bottom" wrapText="0"/>
    </xf>
    <xf borderId="17" fillId="0" fontId="22" numFmtId="0" xfId="0" applyAlignment="1" applyBorder="1" applyFont="1">
      <alignment shrinkToFit="0" vertical="bottom" wrapText="0"/>
    </xf>
    <xf borderId="17" fillId="0" fontId="22" numFmtId="166" xfId="0" applyAlignment="1" applyBorder="1" applyFont="1" applyNumberFormat="1">
      <alignment shrinkToFit="0" vertical="bottom" wrapText="0"/>
    </xf>
    <xf borderId="17" fillId="3" fontId="7" numFmtId="10" xfId="0" applyAlignment="1" applyBorder="1" applyFont="1" applyNumberFormat="1">
      <alignment shrinkToFit="0" vertical="bottom" wrapText="0"/>
    </xf>
    <xf borderId="29" fillId="0" fontId="22" numFmtId="3" xfId="0" applyAlignment="1" applyBorder="1" applyFont="1" applyNumberFormat="1">
      <alignment shrinkToFit="0" vertical="bottom" wrapText="0"/>
    </xf>
    <xf borderId="18" fillId="0" fontId="22" numFmtId="0" xfId="0" applyAlignment="1" applyBorder="1" applyFont="1">
      <alignment shrinkToFit="0" vertical="bottom" wrapText="0"/>
    </xf>
    <xf borderId="18" fillId="0" fontId="22" numFmtId="10" xfId="0" applyAlignment="1" applyBorder="1" applyFont="1" applyNumberFormat="1">
      <alignment shrinkToFit="0" vertical="bottom" wrapText="0"/>
    </xf>
    <xf borderId="18" fillId="0" fontId="22" numFmtId="0" xfId="0" applyAlignment="1" applyBorder="1" applyFont="1">
      <alignment shrinkToFit="0" vertical="bottom" wrapText="0"/>
    </xf>
    <xf borderId="18" fillId="0" fontId="22" numFmtId="166" xfId="0" applyAlignment="1" applyBorder="1" applyFont="1" applyNumberFormat="1">
      <alignment shrinkToFit="0" vertical="bottom" wrapText="0"/>
    </xf>
    <xf borderId="18" fillId="2" fontId="22" numFmtId="10" xfId="0" applyAlignment="1" applyBorder="1" applyFont="1" applyNumberFormat="1">
      <alignment shrinkToFit="0" vertical="bottom" wrapText="0"/>
    </xf>
    <xf borderId="30" fillId="0" fontId="22" numFmtId="3" xfId="0" applyAlignment="1" applyBorder="1" applyFont="1" applyNumberFormat="1">
      <alignment shrinkToFit="0" vertical="bottom" wrapText="0"/>
    </xf>
    <xf borderId="17" fillId="3" fontId="22" numFmtId="10" xfId="0" applyAlignment="1" applyBorder="1" applyFont="1" applyNumberFormat="1">
      <alignment shrinkToFit="0" vertical="bottom" wrapText="0"/>
    </xf>
    <xf borderId="31" fillId="5" fontId="6"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3">
    <tableStyle count="3" pivot="0" name="Sentiment-style">
      <tableStyleElement dxfId="1" type="headerRow"/>
      <tableStyleElement dxfId="2" type="firstRowStripe"/>
      <tableStyleElement dxfId="3" type="secondRowStripe"/>
    </tableStyle>
    <tableStyle count="3" pivot="0" name="Daily analysis-style">
      <tableStyleElement dxfId="1" type="headerRow"/>
      <tableStyleElement dxfId="2" type="firstRowStripe"/>
      <tableStyleElement dxfId="3" type="secondRowStripe"/>
    </tableStyle>
    <tableStyle count="3" pivot="0" name="Weekly analysi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T5245" displayName="Tabla_2" name="Tabla_2" id="1">
  <autoFilter ref="$A$1:$T$5245"/>
  <tableColumns count="20">
    <tableColumn name="Raw + URL" id="1"/>
    <tableColumn name="Source" id="2"/>
    <tableColumn name="Date" id="3"/>
    <tableColumn name="Headlines in Spanish" id="4"/>
    <tableColumn name="Snippet in Spanish" id="5"/>
    <tableColumn name="Headlines in English" id="6"/>
    <tableColumn name="Snippet in English" id="7"/>
    <tableColumn name="Topic" id="8"/>
    <tableColumn name="Topic in Spanish" id="9"/>
    <tableColumn name="Related" id="10"/>
    <tableColumn name="ChatGPT's sentiment" id="11"/>
    <tableColumn name="Keywords in English" id="12"/>
    <tableColumn name="Keywords in Spanish" id="13"/>
    <tableColumn name="Reasoning by ChatGPT" id="14"/>
    <tableColumn name="Reasoning by ChatGPT in Spanish" id="15"/>
    <tableColumn name="DeepSeek's sentiment" id="16"/>
    <tableColumn name="Keywords DeepSeek" id="17"/>
    <tableColumn name="Keywords DeepSeek in Spanish" id="18"/>
    <tableColumn name="Reasoning DeepSeek" id="19"/>
    <tableColumn name="Reasoning DeepSeek in Spanish" id="20"/>
  </tableColumns>
  <tableStyleInfo name="Sentiment-style" showColumnStripes="0" showFirstColumn="1" showLastColumn="1" showRowStripes="1"/>
</table>
</file>

<file path=xl/tables/table2.xml><?xml version="1.0" encoding="utf-8"?>
<table xmlns="http://schemas.openxmlformats.org/spreadsheetml/2006/main" ref="A1:Q365" displayName="Tabla_1" name="Tabla_1" id="2">
  <autoFilter ref="$A$1:$Q$365"/>
  <tableColumns count="17">
    <tableColumn name="Fecha" id="1"/>
    <tableColumn name="Closing price" id="2"/>
    <tableColumn name="Daily return" id="3"/>
    <tableColumn name="Return (t+1)" id="4"/>
    <tableColumn name="Positive / negative return" id="5"/>
    <tableColumn name="IBEX35" id="6"/>
    <tableColumn name="IBEX return %" id="7"/>
    <tableColumn name="Abnormal return (t+1)" id="8"/>
    <tableColumn name="Brent" id="9"/>
    <tableColumn name="Brent %" id="10"/>
    <tableColumn name="Dividend" id="11"/>
    <tableColumn name="Daily sentiment (ChatGPT) filtered" id="12"/>
    <tableColumn name="Daily sentiment (ChatGPT) filtered weekend in Monday" id="13"/>
    <tableColumn name="Positive / negative sentiment GPT" id="14"/>
    <tableColumn name="Daily sentiment (DeepSeek) filtered" id="15"/>
    <tableColumn name="Daily sentiment (DeepSeek) filtered weekend in Monday" id="16"/>
    <tableColumn name="Positive / negative sentiment DS" id="17"/>
  </tableColumns>
  <tableStyleInfo name="Daily analysis-style" showColumnStripes="0" showFirstColumn="1" showLastColumn="1" showRowStripes="1"/>
</table>
</file>

<file path=xl/tables/table3.xml><?xml version="1.0" encoding="utf-8"?>
<table xmlns="http://schemas.openxmlformats.org/spreadsheetml/2006/main" ref="A1:O54" displayName="Tabla_3" name="Tabla_3" id="3">
  <autoFilter ref="$A$1:$O$54"/>
  <tableColumns count="15">
    <tableColumn name="Week number" id="1"/>
    <tableColumn name="Average stock price" id="2"/>
    <tableColumn name="Weekly return" id="3"/>
    <tableColumn name="Return t+1" id="4"/>
    <tableColumn name="Positive / negative return t+1" id="5"/>
    <tableColumn name="Average IBEX35" id="6"/>
    <tableColumn name="Average IBEX % change" id="7"/>
    <tableColumn name="Abnormal return (t+1)" id="8"/>
    <tableColumn name="Average Brent" id="9"/>
    <tableColumn name="Average Brent % change" id="10"/>
    <tableColumn name="Weekly sentiment (ChatGPT)" id="11"/>
    <tableColumn name="Positive / negative sentiment GPT" id="12"/>
    <tableColumn name="Weekly sentiment (DeepSeek)" id="13"/>
    <tableColumn name="Column 14" id="14"/>
    <tableColumn name="Dividend week" id="15"/>
  </tableColumns>
  <tableStyleInfo name="Weekly 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5240" Type="http://schemas.openxmlformats.org/officeDocument/2006/relationships/hyperlink" Target="https://elbierzo.eldiario.es/comarca/abierto-plazo-alegaciones-parques-eolicos-repsol-proyectados-sierra-gistredo-alto-sil_1_11931055.html" TargetMode="External"/><Relationship Id="rId5241" Type="http://schemas.openxmlformats.org/officeDocument/2006/relationships/hyperlink" Target="https://oilandgasmagazine.com.mx/2024/12/estaciones-de-servicio-en-espana-demandan-a-repsol-bp-y-moeve-por-fijacion-de-precios/" TargetMode="External"/><Relationship Id="rId5244" Type="http://schemas.openxmlformats.org/officeDocument/2006/relationships/hyperlink" Target="https://www.expansion.com/ahorro/2024/12/31/67731ff7468aeb3e578b4596.html" TargetMode="External"/><Relationship Id="rId5245" Type="http://schemas.openxmlformats.org/officeDocument/2006/relationships/hyperlink" Target="https://www.cronista.com/espana/ibex-euro/repsol-asi-abre-la-cotizacion-hoy-martes-31-de-diciembre-cuanto-rinden-los-dividendos/" TargetMode="External"/><Relationship Id="rId5242" Type="http://schemas.openxmlformats.org/officeDocument/2006/relationships/hyperlink" Target="https://www.atodomotor.com/noticia/11806/Isidre-Esteve-y-Txema-Villalobos-preparados-para-el-Rally-Dakar-2025.html" TargetMode="External"/><Relationship Id="rId5243" Type="http://schemas.openxmlformats.org/officeDocument/2006/relationships/hyperlink" Target="https://motorcyclesports.net/es/repsol-honda-el-ultimo-ano-de-una-asociacion-iconica-en-motogp/" TargetMode="External"/><Relationship Id="rId5248" Type="http://schemas.openxmlformats.org/officeDocument/2006/relationships/table" Target="../tables/table1.xml"/><Relationship Id="rId5246" Type="http://schemas.openxmlformats.org/officeDocument/2006/relationships/drawing" Target="../drawings/drawing1.xml"/><Relationship Id="rId5219" Type="http://schemas.openxmlformats.org/officeDocument/2006/relationships/hyperlink" Target="https://www.diario.red/articulo/medios/mundo-entrevista-josu-jon-imaz-disparar-impuesto-energeticas/20241229170510040494.html" TargetMode="External"/><Relationship Id="rId5217" Type="http://schemas.openxmlformats.org/officeDocument/2006/relationships/hyperlink" Target="https://www.bnamericas.com/es/noticias/ecopetrol-adquiere-participacion-del-45-de-repsol-en-el-bloque-cpo-9" TargetMode="External"/><Relationship Id="rId5218" Type="http://schemas.openxmlformats.org/officeDocument/2006/relationships/hyperlink" Target="https://cincodias.elpais.com/mercados-financieros/2024-12-30/la-bolsa-y-el-ibex-35.html" TargetMode="External"/><Relationship Id="rId392" Type="http://schemas.openxmlformats.org/officeDocument/2006/relationships/hyperlink" Target="https://www.infolibre.es/medioambiente/luces-sombras-biocarburantes-gasolina-emisiones-quiere-rivalizar-coche-electrico_1_1698972.html" TargetMode="External"/><Relationship Id="rId391" Type="http://schemas.openxmlformats.org/officeDocument/2006/relationships/hyperlink" Target="https://www.elespanol.com/invertia/empresas/energia/20240131/csn-aprueba-desmantelar-plataforma-petrolifera-repsol-frente-costa-tarragona-condiciones/829167549_0.html" TargetMode="External"/><Relationship Id="rId390" Type="http://schemas.openxmlformats.org/officeDocument/2006/relationships/hyperlink" Target="https://www.diarimes.com/es/ebre/240131/csn-valida-amb-condicions-pla-repsol-desmantellament-parcial-plataforma-petrolifera-casablanca_139850.html" TargetMode="External"/><Relationship Id="rId2180" Type="http://schemas.openxmlformats.org/officeDocument/2006/relationships/hyperlink" Target="https://www.libertaddigital.com/chic/viajar-comer/2024-06-16/hotel-boutique-pico-velasco-el-hotel-gastronomico-en-pleno-parque-natural-con-vistas-al-cantabrico-0e-7136677/" TargetMode="External"/><Relationship Id="rId2181" Type="http://schemas.openxmlformats.org/officeDocument/2006/relationships/hyperlink" Target="https://www.sweetpress.com/distribucion/repsol-preve-llegar-a-las-1000-supercor-stop-go-en-cuatro-anos-FPSP28601" TargetMode="External"/><Relationship Id="rId2182" Type="http://schemas.openxmlformats.org/officeDocument/2006/relationships/hyperlink" Target="https://www.guiarepsol.com/es/viajar/nos-gusta/festival-marenostrum-fuengirola-restaurantes/" TargetMode="External"/><Relationship Id="rId2183" Type="http://schemas.openxmlformats.org/officeDocument/2006/relationships/hyperlink" Target="https://www.articulo14.es/deportes/la-vida-tras-la-retirada-senti-un-vacio-tremendo-20240616.html" TargetMode="External"/><Relationship Id="rId385" Type="http://schemas.openxmlformats.org/officeDocument/2006/relationships/hyperlink" Target="https://www.heraldo.es/noticias/gastronomia/2024/01/30/elcachirulo-restaurante-zaragoza-favorito-top100-thefork-1636319.html" TargetMode="External"/><Relationship Id="rId2184" Type="http://schemas.openxmlformats.org/officeDocument/2006/relationships/hyperlink" Target="https://comunicae.es/notas-de-prensa/sya-instalaciones-recibe-el-premio-impulso-de" TargetMode="External"/><Relationship Id="rId5211" Type="http://schemas.openxmlformats.org/officeDocument/2006/relationships/hyperlink" Target="https://www.elnacional.cat/oneconomia/es/empresas/imaz-repsol-advierte-impuestazo-haria-imposible-inversion-1000m-en-tarragona_1338052_102.html" TargetMode="External"/><Relationship Id="rId384" Type="http://schemas.openxmlformats.org/officeDocument/2006/relationships/hyperlink" Target="https://www.infobae.com/espana/2024/01/30/un-excampeon-mundial-de-honda-sobre-la-salida-de-marquez-todo-el-mundo-acaba-queriendo-irse/" TargetMode="External"/><Relationship Id="rId2185" Type="http://schemas.openxmlformats.org/officeDocument/2006/relationships/hyperlink" Target="https://www.guiarepsol.com/es/comer/de-tapeo/anyway-wine-bar-malaga/" TargetMode="External"/><Relationship Id="rId5212" Type="http://schemas.openxmlformats.org/officeDocument/2006/relationships/hyperlink" Target="https://www.malagahoy.es/la-farola/mejores-roscones-reyes-malaga-guia-repsol_0_2003059710.html" TargetMode="External"/><Relationship Id="rId383" Type="http://schemas.openxmlformats.org/officeDocument/2006/relationships/hyperlink" Target="https://www.abc.es/economia/norges-disputa-gigante-blackrock-primer-puesto-accionariado-20240130182551-nt.html" TargetMode="External"/><Relationship Id="rId2186" Type="http://schemas.openxmlformats.org/officeDocument/2006/relationships/hyperlink" Target="https://emprendedores.es/ayudas/urtech-water/" TargetMode="External"/><Relationship Id="rId382" Type="http://schemas.openxmlformats.org/officeDocument/2006/relationships/hyperlink" Target="https://www.estrategiasdeinversion.com/actualidad/noticias/bolsa-espana/el-fondo-soberano-de-noruega-refuerza-su-apuesta-n-683647" TargetMode="External"/><Relationship Id="rId2187" Type="http://schemas.openxmlformats.org/officeDocument/2006/relationships/hyperlink" Target="https://elmon.cat/moneconomia/es/mundo-laboral/justicia-avala-subida-sois-sector-quimic-exigida-sindicados-69083/" TargetMode="External"/><Relationship Id="rId5210" Type="http://schemas.openxmlformats.org/officeDocument/2006/relationships/hyperlink" Target="https://elperiodicodelaenergia.com/ecopetrol-logra-un-acuerdo-para-comprar-el-45-de-la-participacion-de-repsol-en-un-pozo-petrolero/" TargetMode="External"/><Relationship Id="rId389" Type="http://schemas.openxmlformats.org/officeDocument/2006/relationships/hyperlink" Target="https://www.guiarepsol.com/es/comer/nuestros-favoritos/madrid-fusion-2024/" TargetMode="External"/><Relationship Id="rId2188" Type="http://schemas.openxmlformats.org/officeDocument/2006/relationships/hyperlink" Target="https://www.ecoticias.com/energias-renovables/energia-infierno-espana" TargetMode="External"/><Relationship Id="rId5215" Type="http://schemas.openxmlformats.org/officeDocument/2006/relationships/hyperlink" Target="https://www.elperiodicodeceuta.es/imaz-ceo-de-repsol-critica-la-politica-de-sanchez-por-dificultar-la-inversion-en-espana/" TargetMode="External"/><Relationship Id="rId388" Type="http://schemas.openxmlformats.org/officeDocument/2006/relationships/hyperlink" Target="https://trial.hondaracingcorporation.com/report/repsol-honda-trial-team-riders-ready-for-start-of-2024-season/?lang=es" TargetMode="External"/><Relationship Id="rId2189" Type="http://schemas.openxmlformats.org/officeDocument/2006/relationships/hyperlink" Target="https://okdiario.com/okgreen/investigadores-espanoles-detectan-desde-espacio-95-kilometros-cuadrados-plastico-mediterraneo-13003744" TargetMode="External"/><Relationship Id="rId5216" Type="http://schemas.openxmlformats.org/officeDocument/2006/relationships/hyperlink" Target="https://www.merca2.es/2024/12/30/fnee-endesa-moeve-repsol-2105113/" TargetMode="External"/><Relationship Id="rId387" Type="http://schemas.openxmlformats.org/officeDocument/2006/relationships/hyperlink" Target="https://www.europapress.es/economia/noticia-repsol-airbus-alsa-mercadona-impulsan-asociacion-crecemos-descarbonizar-transporte-20240131183414.html" TargetMode="External"/><Relationship Id="rId5213" Type="http://schemas.openxmlformats.org/officeDocument/2006/relationships/hyperlink" Target="https://es-us.finanzas.yahoo.com/noticias/ibex-35-cierra-plano-11-165000539.html" TargetMode="External"/><Relationship Id="rId386" Type="http://schemas.openxmlformats.org/officeDocument/2006/relationships/hyperlink" Target="https://www.abc.es/antropia/cocina-basura-convierte-combustible-coches-20240130081031-nt.html" TargetMode="External"/><Relationship Id="rId5214" Type="http://schemas.openxmlformats.org/officeDocument/2006/relationships/hyperlink" Target="https://www.libremercado.com/2024-12-30/josu-jon-imaz-desenmascara-a-sanchez-no-estoy-para-ganar-amigos-7202585/" TargetMode="External"/><Relationship Id="rId5208" Type="http://schemas.openxmlformats.org/officeDocument/2006/relationships/hyperlink" Target="https://murciaeconomia.com/art/98785/repsol-lidera-la-transicion-energetica-con-mas-de-800-estaciones-de-combustible-renovable-impulsadas-desde-cartagena" TargetMode="External"/><Relationship Id="rId5209" Type="http://schemas.openxmlformats.org/officeDocument/2006/relationships/hyperlink" Target="https://murciaplaza.com/murciaplaza/la-planta-de-cartagena-posiciona-a-repsol-como-lider-europeo-en-produccion-de-combustibles-sostenibles" TargetMode="External"/><Relationship Id="rId5206" Type="http://schemas.openxmlformats.org/officeDocument/2006/relationships/hyperlink" Target="https://www.elespectador.com/economia/ecopetrol-anuncio-compra-a-repsol-del-45-de-participacion-en-importante-bloque-petrolero-noticias-colombia/" TargetMode="External"/><Relationship Id="rId5207" Type="http://schemas.openxmlformats.org/officeDocument/2006/relationships/hyperlink" Target="https://www.eleconomista.es/energia/noticias/13152894/12/24/ecopetrol-arrebata-a-geopark-los-activos-de-repsol-en-colombia-por-cerca-de-500-millones.html" TargetMode="External"/><Relationship Id="rId381" Type="http://schemas.openxmlformats.org/officeDocument/2006/relationships/hyperlink" Target="https://www.oleorevista.com/texto-diario/mostrar/4699272/repsol-recoge-aceite-cocina-usado-estaciones-servicio-galicia-fabricar-combustible-renovable" TargetMode="External"/><Relationship Id="rId380" Type="http://schemas.openxmlformats.org/officeDocument/2006/relationships/hyperlink" Target="https://www.eleconomista.es/energia/noticias/12649007/01/24/repsol-logra-el-permiso-ambiental-para-desmantelar-el-yacimiento-de-gas-poseidon-en-huelva.html" TargetMode="External"/><Relationship Id="rId379" Type="http://schemas.openxmlformats.org/officeDocument/2006/relationships/hyperlink" Target="https://elpais.com/america/2024-01-31/tom-goodhead-sobre-el-derrame-de-petroleo-en-peru-en-2022-repsol-podria-decir-que-ha-proporcionado-asistencia-pero-no-una-reparacion.html" TargetMode="External"/><Relationship Id="rId2170" Type="http://schemas.openxmlformats.org/officeDocument/2006/relationships/hyperlink" Target="https://www.20minutos.es/lainformacion/economia-y-finanzas/-proxima-guerra-comercial-entre-estados-unidos-china-sera-por-control-las-materias-primas-que-pasara-con-europa--5503596/" TargetMode="External"/><Relationship Id="rId2171" Type="http://schemas.openxmlformats.org/officeDocument/2006/relationships/hyperlink" Target="https://www.epe.es/es/escalada/20240615/impacto-ambiental-escalada-practicando-deporte-103018230" TargetMode="External"/><Relationship Id="rId2172" Type="http://schemas.openxmlformats.org/officeDocument/2006/relationships/hyperlink" Target="https://www.lavozdegalicia.es/noticia/amarina/2024/06/15/festival-sabor-mejores-menus-degustacion-22-platos/0003_202406X15C3993.htm" TargetMode="External"/><Relationship Id="rId374" Type="http://schemas.openxmlformats.org/officeDocument/2006/relationships/hyperlink" Target="https://www.elperiodico.com/es/economia/20240130/descuento-repsol-gasolina-aceite-cocina-usado-dv-86126407" TargetMode="External"/><Relationship Id="rId2173" Type="http://schemas.openxmlformats.org/officeDocument/2006/relationships/hyperlink" Target="https://www.estrategiasdeinversion.com/actualidad/noticias/bolsa-espana/repsol-lo-tiene-crudo-con-el-petroleo-y-el-mercado-n-723427" TargetMode="External"/><Relationship Id="rId5200" Type="http://schemas.openxmlformats.org/officeDocument/2006/relationships/hyperlink" Target="https://www.semana.com/economia/empresas/articulo/ecopetrol-anuncia-la-compra-del-45-de-la-partipacion-de-repsol-en-el-bloque-cpo-09-en-meta/202425/" TargetMode="External"/><Relationship Id="rId373" Type="http://schemas.openxmlformats.org/officeDocument/2006/relationships/hyperlink" Target="https://www.expansion.com/empresas/2024/01/29/65b3b2f7468aeb2d178b4587.html" TargetMode="External"/><Relationship Id="rId2174" Type="http://schemas.openxmlformats.org/officeDocument/2006/relationships/hyperlink" Target="https://www.finanzas.com/ibex-35/ibex-35-los-valores-mas-baratos-y-recomendados-para-hacer-cartera.html" TargetMode="External"/><Relationship Id="rId5201" Type="http://schemas.openxmlformats.org/officeDocument/2006/relationships/hyperlink" Target="https://www.noticiascaracol.com/economia/ecopetrol-anuncia-la-compra-del-45-de-repsol-en-el-bloque-cpo-09-ubicado-en-el-meta-rg10" TargetMode="External"/><Relationship Id="rId372" Type="http://schemas.openxmlformats.org/officeDocument/2006/relationships/hyperlink" Target="https://www.cartagena.es/detalle_noticias_imprimir.asp?id=76413" TargetMode="External"/><Relationship Id="rId2175" Type="http://schemas.openxmlformats.org/officeDocument/2006/relationships/hyperlink" Target="https://www.hoy.es/extremadura/extremadura-acoge-cinco-proyectos-produccion-hidrogeno-verde-20240616075348-nt.html" TargetMode="External"/><Relationship Id="rId371" Type="http://schemas.openxmlformats.org/officeDocument/2006/relationships/hyperlink" Target="https://www.repsol.es/particulares/asesoramiento-consumo/que-es-mejor-convector-emisor-termico/" TargetMode="External"/><Relationship Id="rId2176" Type="http://schemas.openxmlformats.org/officeDocument/2006/relationships/hyperlink" Target="https://www.20minutos.es/gastronomia/recetas/carajillo-de-moda-recetas-faciles-refrescantes-5280090/" TargetMode="External"/><Relationship Id="rId378" Type="http://schemas.openxmlformats.org/officeDocument/2006/relationships/hyperlink" Target="https://www.elespanol.com/invertia/empresas/energia/20240130/fondo-soberano-noruega-escala-repsol-alcanza-participacion-record/828917385_0.html" TargetMode="External"/><Relationship Id="rId2177" Type="http://schemas.openxmlformats.org/officeDocument/2006/relationships/hyperlink" Target="https://www.libertaddigital.com/chic/viajar-comer/2024-06-16/hotel-boutique-pico-velasco-el-hotel-gastronomico-en-pleno-parque-natural-con-vistas-al-mar-0e-7137449/" TargetMode="External"/><Relationship Id="rId5204" Type="http://schemas.openxmlformats.org/officeDocument/2006/relationships/hyperlink" Target="https://www.lafm.com.co/colombia/ecopetrol-llega-a-acuerdo-para-adquirir-el-45-de-participacion-de-repsol-en-bloque" TargetMode="External"/><Relationship Id="rId377" Type="http://schemas.openxmlformats.org/officeDocument/2006/relationships/hyperlink" Target="https://www.elconfidencial.com/motor/2024-01-30/repsol-regala-si-llevas-aceite-usado-gasolineras_3820444/" TargetMode="External"/><Relationship Id="rId2178" Type="http://schemas.openxmlformats.org/officeDocument/2006/relationships/hyperlink" Target="https://www.infobae.com/espana/2024/06/17/cuantos-dolares-cuesta-un-euro-hoy-17-de-junio/" TargetMode="External"/><Relationship Id="rId5205" Type="http://schemas.openxmlformats.org/officeDocument/2006/relationships/hyperlink" Target="https://diariodelnorte.net/nacion/ecopetrol-anuncio-la-firma-del-acuerdo-de-compra-de-la-participacion-del-45-de-repsol/" TargetMode="External"/><Relationship Id="rId376" Type="http://schemas.openxmlformats.org/officeDocument/2006/relationships/hyperlink" Target="https://www.2playbook.com/patrocinio/sierra-nevada-se-alia-con-repsol-reducir-emisiones-estacion_14505_102.html" TargetMode="External"/><Relationship Id="rId2179" Type="http://schemas.openxmlformats.org/officeDocument/2006/relationships/hyperlink" Target="https://www.elespanol.com/cocinillas/restaurantes/mejor-restaurante-asturiano-comer-bien-barato-oviedo-costara-euros/862663959_0.html" TargetMode="External"/><Relationship Id="rId5202" Type="http://schemas.openxmlformats.org/officeDocument/2006/relationships/hyperlink" Target="https://caracol.com.co/2024/12/30/ecopetrol-compro-el-45-de-participacion-de-la-petrolera-repsol/" TargetMode="External"/><Relationship Id="rId375" Type="http://schemas.openxmlformats.org/officeDocument/2006/relationships/hyperlink" Target="https://neomotor.epe.es/industria/repsol-tendra-600-gasolineras-con-combustibles-renovables-a-finales-de-2024-FG1686124" TargetMode="External"/><Relationship Id="rId5203" Type="http://schemas.openxmlformats.org/officeDocument/2006/relationships/hyperlink" Target="https://www.wradio.com.co/2024/12/30/ecopetrol-adquirio-participacion-de-la-empresa-espanola-repsol-en-bloque-cpo-09-en-el-meta/" TargetMode="External"/><Relationship Id="rId5239" Type="http://schemas.openxmlformats.org/officeDocument/2006/relationships/hyperlink" Target="https://www.cronista.com/espana/ibex-euro/repsol-a-cuanto-cotiza-hoy-martes-31-de-diciembre-y-cuanto-rinden-los-dividendos/" TargetMode="External"/><Relationship Id="rId5230" Type="http://schemas.openxmlformats.org/officeDocument/2006/relationships/hyperlink" Target="https://www.europapress.es/economia/energia-00341/noticia-120-gasolineras-agrupadas-afectados-petroleras-demanda-repsol-moeve-bp-600-millones-20241231122623.html" TargetMode="External"/><Relationship Id="rId5233" Type="http://schemas.openxmlformats.org/officeDocument/2006/relationships/hyperlink" Target="https://www.eleconomista.es/energia/noticias/13153802/12/24/la-plataforma-afectados-por-las-petroleras-demanda-a-repsol-moeve-y-bp-por-600-millones.html" TargetMode="External"/><Relationship Id="rId5234" Type="http://schemas.openxmlformats.org/officeDocument/2006/relationships/hyperlink" Target="https://energelia.com/eolica/repsol-cierra-2024-con-una-capacidad-renovable-capaz-de-abastecer-mas-de-500000-hogares" TargetMode="External"/><Relationship Id="rId5231" Type="http://schemas.openxmlformats.org/officeDocument/2006/relationships/hyperlink" Target="https://www.20minutos.es/lainformacion/empresas/repsol-cierra-2024-nueva-potencia-renovable-suministrar-luz-mas-500000-hogares-5668265/" TargetMode="External"/><Relationship Id="rId5232" Type="http://schemas.openxmlformats.org/officeDocument/2006/relationships/hyperlink" Target="https://intereconomia.com/noticia/empresas/la-plataforma-afectados-por-las-petroleras-demanda-a-repsol-moeve-y-bp-20241231-1301/" TargetMode="External"/><Relationship Id="rId5237" Type="http://schemas.openxmlformats.org/officeDocument/2006/relationships/hyperlink" Target="https://www.motosan.es/motogp/repsol-seguira-colaborando-con-honda/" TargetMode="External"/><Relationship Id="rId5238" Type="http://schemas.openxmlformats.org/officeDocument/2006/relationships/hyperlink" Target="https://www.infobierzo.com/bierzo-noticias/informacion-publica-proyecto-parques-eolicos-repsol-bierzo_1019944_102.html" TargetMode="External"/><Relationship Id="rId5235" Type="http://schemas.openxmlformats.org/officeDocument/2006/relationships/hyperlink" Target="https://www.elespanol.com/invertia/empresas/energia/20241231/gasolineras-agrupadas-afectados-petroleras-demanda-repsol-moeve-bp-millones/912908866_0.html" TargetMode="External"/><Relationship Id="rId5236" Type="http://schemas.openxmlformats.org/officeDocument/2006/relationships/hyperlink" Target="https://elmercantil.com/2024/12/31/un-centenar-de-gasolineras-reclama-600-millones-a-las-tres-grandes-petroleras-en-espana/" TargetMode="External"/><Relationship Id="rId5228" Type="http://schemas.openxmlformats.org/officeDocument/2006/relationships/hyperlink" Target="https://www.expansion.com/empresas/energia/2024/12/31/677447a6e5fdea07138b458f.html" TargetMode="External"/><Relationship Id="rId5229" Type="http://schemas.openxmlformats.org/officeDocument/2006/relationships/hyperlink" Target="https://www.rtve.es/noticias/20241231/gasolineras-demanda-repsol-moeve-bp/16391457.shtml" TargetMode="External"/><Relationship Id="rId2190" Type="http://schemas.openxmlformats.org/officeDocument/2006/relationships/hyperlink" Target="https://america-retail.com/paises/peru/refineria-la-pampilla-utiliza-electricidad-100-renovable-de-fuentes-externas/" TargetMode="External"/><Relationship Id="rId2191" Type="http://schemas.openxmlformats.org/officeDocument/2006/relationships/hyperlink" Target="https://www.rrhhpress.com/zona-tech/59619-repsol-extiende-la-ia-generativa-de-copilot-a-todos-sus-empleados" TargetMode="External"/><Relationship Id="rId2192" Type="http://schemas.openxmlformats.org/officeDocument/2006/relationships/hyperlink" Target="https://www.lavanguardia.com/vida/20240618/9737131/marloquinas-luchar-despoblacion-rural-parada-autobus-brl.html" TargetMode="External"/><Relationship Id="rId2193" Type="http://schemas.openxmlformats.org/officeDocument/2006/relationships/hyperlink" Target="https://www.marca.com/motor/motogp/gp-holanda/2024/06/18/66718b8b22601dd6518b45d4.html" TargetMode="External"/><Relationship Id="rId2194" Type="http://schemas.openxmlformats.org/officeDocument/2006/relationships/hyperlink" Target="https://www.latribunadeciudadreal.es/noticia/zafc922ff-e34e-3b7f-24472bd5dd4550f8/202406/piden-interlocucion-y-paz-social-a-la-empresa-eserman" TargetMode="External"/><Relationship Id="rId396" Type="http://schemas.openxmlformats.org/officeDocument/2006/relationships/hyperlink" Target="https://www.atlanticohoy.com/economia/exploracion-superficial-camino-geotermia-tenerife-tiempo-justo_1527075_102.html" TargetMode="External"/><Relationship Id="rId2195" Type="http://schemas.openxmlformats.org/officeDocument/2006/relationships/hyperlink" Target="https://www.elespanol.com/cocinillas/actualidad-gastronomica/20240618/mejor-chef-sushi-espana-malaga-restaurante-sol-repsol-vistas-increibles-alcazaba/863664168_0.html" TargetMode="External"/><Relationship Id="rId5222" Type="http://schemas.openxmlformats.org/officeDocument/2006/relationships/hyperlink" Target="https://cambiocolombia.com/empresas/ecopetrol-acuerdo-repsol-totalidad-campo-cpo-09-meta" TargetMode="External"/><Relationship Id="rId395" Type="http://schemas.openxmlformats.org/officeDocument/2006/relationships/hyperlink" Target="https://www.eldesmarque.com/coches-y-motos/20240131/el-video-que-desmonta-uno-de-los-mitos-de-la-gasolina-low-costd1s23_300222804.html" TargetMode="External"/><Relationship Id="rId2196" Type="http://schemas.openxmlformats.org/officeDocument/2006/relationships/hyperlink" Target="https://www.elnacional.cat/es/gourmeteria/kilometro-0/restaurante-parte-alta-tarragona-mejores-tablas-embutidos_1236774_102.html" TargetMode="External"/><Relationship Id="rId5223" Type="http://schemas.openxmlformats.org/officeDocument/2006/relationships/hyperlink" Target="https://www.las2orillas.co/ecopetrol-se-quedo-con-lo-ultimo-de-la-petrolera-espanola-repsol/" TargetMode="External"/><Relationship Id="rId394" Type="http://schemas.openxmlformats.org/officeDocument/2006/relationships/hyperlink" Target="https://es.mongabay.com/2024/01/balance-negativo-remediacion-reparacion-civil-repsol-derrame-petroleo-peru/" TargetMode="External"/><Relationship Id="rId2197" Type="http://schemas.openxmlformats.org/officeDocument/2006/relationships/hyperlink" Target="https://www.elle.com/es/gourmet/donde-comer/a61105467/vinos-favoritos-maria-jose-huertas-sumiller-paco-roncero/" TargetMode="External"/><Relationship Id="rId5220" Type="http://schemas.openxmlformats.org/officeDocument/2006/relationships/hyperlink" Target="https://dfsud.com/ripe/ecopetrol-anuncia-la-compra-de-45-de-participacion-de-repsol-en-el" TargetMode="External"/><Relationship Id="rId393" Type="http://schemas.openxmlformats.org/officeDocument/2006/relationships/hyperlink" Target="https://www.boxrepsol.com/es/motogp/como-funcionan-concesiones-motogp/" TargetMode="External"/><Relationship Id="rId2198" Type="http://schemas.openxmlformats.org/officeDocument/2006/relationships/hyperlink" Target="https://www.lasexta.com/viajestic/curioso/4-restaurantes-espanoles-10-mejores-europa-2024-segun-guia-gastronomica-oad_202406186671434e6a0d13000113f488.html" TargetMode="External"/><Relationship Id="rId5221" Type="http://schemas.openxmlformats.org/officeDocument/2006/relationships/hyperlink" Target="https://www.boxrepsol.com/es/vive-tu-moto/mejores-motos-49-cc/" TargetMode="External"/><Relationship Id="rId2199" Type="http://schemas.openxmlformats.org/officeDocument/2006/relationships/hyperlink" Target="https://okdiario.com/okgreen/senalan-lidl-comercializar-pollo-contaminado-bacterias-resistentes-antibioticos-13007141" TargetMode="External"/><Relationship Id="rId5226" Type="http://schemas.openxmlformats.org/officeDocument/2006/relationships/hyperlink" Target="https://caracol.com.co/2024/12/30/ecopetrol-adquiere-el-100-del-bloque-cpo-09-tras-acuerdo-con-repsol/" TargetMode="External"/><Relationship Id="rId399" Type="http://schemas.openxmlformats.org/officeDocument/2006/relationships/hyperlink" Target="https://www.moto1pro.com/enduropro/actualidad/los-pilotos-del-repsol-honda-trial-team-listos-para-la-temporada-2024" TargetMode="External"/><Relationship Id="rId5227" Type="http://schemas.openxmlformats.org/officeDocument/2006/relationships/hyperlink" Target="https://www.elespectador.com/economia/ecopetrol-dio-detalles-de-negocio-con-repsol-aportara-a-la-seguridad-energetica-noticias-hoy/" TargetMode="External"/><Relationship Id="rId398" Type="http://schemas.openxmlformats.org/officeDocument/2006/relationships/hyperlink" Target="https://www.fundacionrepsol.com/es/que-hacemos/catedras-universitarias/universidad-de-navarra/" TargetMode="External"/><Relationship Id="rId5224" Type="http://schemas.openxmlformats.org/officeDocument/2006/relationships/hyperlink" Target="https://www.elcolombiano.com/negocios/ecopetrol-acuerdo-de-compra-participacion-del-45-de-repsol-en-el-bloque-petrolero-en-meta-cpo-09-ED26250477" TargetMode="External"/><Relationship Id="rId397" Type="http://schemas.openxmlformats.org/officeDocument/2006/relationships/hyperlink" Target="https://www.repsol.com/es/energia-futuro/tecnologia-innovacion/soluciones-digitales-para-dar-voz-a-los-clientes/index.cshtml" TargetMode="External"/><Relationship Id="rId5225" Type="http://schemas.openxmlformats.org/officeDocument/2006/relationships/hyperlink" Target="https://www.eltiempo.com/economia/sectores/ecopetrol-anuncia-la-compra-del-45-de-participacion-de-repsol-en-el-bloque-cpo-09-3413278" TargetMode="External"/><Relationship Id="rId1730" Type="http://schemas.openxmlformats.org/officeDocument/2006/relationships/hyperlink" Target="https://automovilismocanario.com/2024/05/05/fallece-ignacio-bayon-presidente-del-consejo-de-administracion-stellantis-espana-s-l/" TargetMode="External"/><Relationship Id="rId1731" Type="http://schemas.openxmlformats.org/officeDocument/2006/relationships/hyperlink" Target="https://www.lacronicabadajoz.com/badajoz/2024/05/05/mejores-ingredientes-cocinar-badajoz-101964785.html" TargetMode="External"/><Relationship Id="rId1732" Type="http://schemas.openxmlformats.org/officeDocument/2006/relationships/hyperlink" Target="https://elpais.com/gastronomia/donde-comen-los-cocineros/2024-05-06/donde-comer-en-alava-segun-edorta-lamo-arrea.html" TargetMode="External"/><Relationship Id="rId1733" Type="http://schemas.openxmlformats.org/officeDocument/2006/relationships/hyperlink" Target="https://www.esciclismo.com/actualidad/carretera/80936.html" TargetMode="External"/><Relationship Id="rId1734" Type="http://schemas.openxmlformats.org/officeDocument/2006/relationships/hyperlink" Target="https://www.elespanol.com/eldigitalcastillalamancha/economia/empresas/20240506/repsol-concluye-parada-tecnica-puertollano-despues-invertir-millones-euros/853164872_0.html" TargetMode="External"/><Relationship Id="rId1735" Type="http://schemas.openxmlformats.org/officeDocument/2006/relationships/hyperlink" Target="https://www.expansion.com/empresas/energia/2024/05/06/6637dee2468aebf4608b4581.html" TargetMode="External"/><Relationship Id="rId1736" Type="http://schemas.openxmlformats.org/officeDocument/2006/relationships/hyperlink" Target="https://www.estrategiasdeinversion.com/actualidad/noticias/empresas/repsol-dividendo-de-045-euros-para-enero-de-2025-n-711351" TargetMode="External"/><Relationship Id="rId1737" Type="http://schemas.openxmlformats.org/officeDocument/2006/relationships/hyperlink" Target="https://valenciaplaza.com/valenciaplaza/genia-bionergy-acelera-al-calor-de-repsol-nueva-planta-de-biometano-en-salamanca-por-25-millones" TargetMode="External"/><Relationship Id="rId1738" Type="http://schemas.openxmlformats.org/officeDocument/2006/relationships/hyperlink" Target="https://cadenaser.com/castillalamancha/2024/05/06/finaliza-con-exito-la-parada-mas-grande-de-la-historia-del-complejo-industrial-de-repsol-en-puertollano-ser-ciudad-real/" TargetMode="External"/><Relationship Id="rId1739" Type="http://schemas.openxmlformats.org/officeDocument/2006/relationships/hyperlink" Target="https://www.diaridetarragona.com/tarragona/una-caida-de-tension-genera-una-columna-de-humo-en-las-chimeneas-de-repsol-tarragona-OJ19452518" TargetMode="External"/><Relationship Id="rId1720" Type="http://schemas.openxmlformats.org/officeDocument/2006/relationships/hyperlink" Target="https://www.boxrepsol.com/es/trial/resultados-y-resumen-del-x-trial-de-geneva-2024/" TargetMode="External"/><Relationship Id="rId1721" Type="http://schemas.openxmlformats.org/officeDocument/2006/relationships/hyperlink" Target="https://www.elespanol.com/espana/politica/20240504/muere-ignacio-bayon-ministro-industria-energia-suarez-calvo-sotelo/852664803_0.html" TargetMode="External"/><Relationship Id="rId1722" Type="http://schemas.openxmlformats.org/officeDocument/2006/relationships/hyperlink" Target="https://www.ultimahora.es/noticias/nacional/2024/05/04/2157187/fallece-ignacio-bayon-exministro-industria-energia-suarez-calvo-sotelo.html" TargetMode="External"/><Relationship Id="rId1723" Type="http://schemas.openxmlformats.org/officeDocument/2006/relationships/hyperlink" Target="https://www.eldiadevalladolid.com/noticia/z9a85e2b5-a7e2-a9bb-5537fc0d141a1ac7/202405/un-herido-al-explotar-una-bombona-de-butano-en-una-vivienda" TargetMode="External"/><Relationship Id="rId1724" Type="http://schemas.openxmlformats.org/officeDocument/2006/relationships/hyperlink" Target="https://www.motosan.es/motogp/johann-zarco-sobre-la-nueva-honda-probablemente-no-trabajaremos-mas-en-esta-moto/" TargetMode="External"/><Relationship Id="rId1725" Type="http://schemas.openxmlformats.org/officeDocument/2006/relationships/hyperlink" Target="https://www.elnacional.cat/oneconomia/es/economia/muere-ignacio-bayon-ministro-industria-durante-gobierno-adolfo-suarez_1209458_102.html" TargetMode="External"/><Relationship Id="rId1726" Type="http://schemas.openxmlformats.org/officeDocument/2006/relationships/hyperlink" Target="https://www.elperiodicoextremadura.com/espana/2024/05/04/muere-ignacio-bayon-ministro-industria-101924707.html" TargetMode="External"/><Relationship Id="rId1727" Type="http://schemas.openxmlformats.org/officeDocument/2006/relationships/hyperlink" Target="https://okdiario.com/okgreen/comunidad-madrid-declara-cetreria-como-bien-interes-cultural-del-patrimonio-inmaterial-12779711" TargetMode="External"/><Relationship Id="rId1728" Type="http://schemas.openxmlformats.org/officeDocument/2006/relationships/hyperlink" Target="https://www.eleconomista.es/mercados-cotizaciones/noticias/12799825/05/24/repsol-propondra-a-su-junta-el-pago-de-un-dividendo-de-045-euros-por-accion-en-enero-de-2025.html" TargetMode="External"/><Relationship Id="rId1729" Type="http://schemas.openxmlformats.org/officeDocument/2006/relationships/hyperlink" Target="https://www.guiarepsol.com/es/soletes/donde-comer-en-isla-cristina-e-islantilla-huelva/" TargetMode="External"/><Relationship Id="rId1752" Type="http://schemas.openxmlformats.org/officeDocument/2006/relationships/hyperlink" Target="https://www.20minutos.es/lainformacion/empresas/cepsa-notifica-compra-ballenoil-gigante-las-gasolineras-low-cost-5264546/" TargetMode="External"/><Relationship Id="rId1753" Type="http://schemas.openxmlformats.org/officeDocument/2006/relationships/hyperlink" Target="https://www.rutadeltransporte.com/supply-chain/sese-reduccion-co2-combustible-renovable_0_1873612646.html" TargetMode="External"/><Relationship Id="rId1754" Type="http://schemas.openxmlformats.org/officeDocument/2006/relationships/hyperlink" Target="https://www.boxrepsol.com/es/motogp/horarios-y-donde-ver-motogp-de-francia/" TargetMode="External"/><Relationship Id="rId1755" Type="http://schemas.openxmlformats.org/officeDocument/2006/relationships/hyperlink" Target="https://www.elnortedecastilla.es/valladolid/provincia/afectados-fuga-combustible-pago-barca-constituyen-asociacion-20240508002333-nt.html" TargetMode="External"/><Relationship Id="rId1756" Type="http://schemas.openxmlformats.org/officeDocument/2006/relationships/hyperlink" Target="https://www.eldiario.es/economia/autocontrol-vuelve-respaldar-repsol-reclamacion-iberdrola-publicidad-enganosa_1_11349341.html" TargetMode="External"/><Relationship Id="rId1757" Type="http://schemas.openxmlformats.org/officeDocument/2006/relationships/hyperlink" Target="https://www.libremercado.com/2024-05-08/repsol-contraataca-y-gana-a-iberdrola-por-alertar-del-fin-de-las-calderas-de-gas-7125009/" TargetMode="External"/><Relationship Id="rId1758" Type="http://schemas.openxmlformats.org/officeDocument/2006/relationships/hyperlink" Target="https://cincodias.elpais.com/companias/2024-05-08/autocontrol-vuelve-a-dar-la-razon-a-repsol-en-su-batalla-con-iberdrola-por-publicidad-enganosa.html" TargetMode="External"/><Relationship Id="rId1759" Type="http://schemas.openxmlformats.org/officeDocument/2006/relationships/hyperlink" Target="https://www.equiposytalento.com/noticias/2024/05/08/repsol-lanza-el-programa-talent-energy" TargetMode="External"/><Relationship Id="rId1750" Type="http://schemas.openxmlformats.org/officeDocument/2006/relationships/hyperlink" Target="https://www.diariodetransporte.com/articulo/mercancias/repsol-sese-firman-acuerdo-mayor-suministro-hvo100-espana/20240507121208092428.html" TargetMode="External"/><Relationship Id="rId1751" Type="http://schemas.openxmlformats.org/officeDocument/2006/relationships/hyperlink" Target="https://www.diarimes.com/es/tarragona/240507/futuro-embalse-gaia-catllar-tema-central-ultimo-debate-port-tarragona_144314.html" TargetMode="External"/><Relationship Id="rId1741" Type="http://schemas.openxmlformats.org/officeDocument/2006/relationships/hyperlink" Target="https://www.economiadigital.es/galicia/empresas/puerto-a-coruna/el-puerto-de-a-coruna-cierra-el-mejor-mes-de-su-historia-con-156-millones-de-toneladas.html" TargetMode="External"/><Relationship Id="rId1742" Type="http://schemas.openxmlformats.org/officeDocument/2006/relationships/hyperlink" Target="https://www.levante-emv.com/economia/2024/05/06/valenciana-genia-repsol-invierten-25-101998197.html" TargetMode="External"/><Relationship Id="rId1743" Type="http://schemas.openxmlformats.org/officeDocument/2006/relationships/hyperlink" Target="https://www.infobae.com/espana/2024/05/06/el-espectacular-restaurante-especializado-en-lechazo-y-tortilla-guisada-que-esta-dentro-de-una-cueva/" TargetMode="External"/><Relationship Id="rId1744" Type="http://schemas.openxmlformats.org/officeDocument/2006/relationships/hyperlink" Target="https://publimotos.com/feria-2-ruedas/repsol-y-la-presentacion-de-sus-nuevos-lubricantes/" TargetMode="External"/><Relationship Id="rId1745" Type="http://schemas.openxmlformats.org/officeDocument/2006/relationships/hyperlink" Target="https://transporte3.com/noticia/20723-sese-y-repsol-alcanzan-el-mayor-acuerdo-de-suministro-de-combustible-renovable-en-espana/" TargetMode="External"/><Relationship Id="rId1746" Type="http://schemas.openxmlformats.org/officeDocument/2006/relationships/hyperlink" Target="https://elmercantil.com/2024/05/07/sese-sella-una-alianza-con-repsol-para-suministrar-combustible-renovable-a-su-flota/" TargetMode="External"/><Relationship Id="rId1747" Type="http://schemas.openxmlformats.org/officeDocument/2006/relationships/hyperlink" Target="https://www.cadenadesuministro.es/transporte-carretera/repsol-suministrara-ocho-millones-litros-hvo-sese-en-proximos-dos-anos_1502343_102.html" TargetMode="External"/><Relationship Id="rId1748" Type="http://schemas.openxmlformats.org/officeDocument/2006/relationships/hyperlink" Target="https://www.elconfidencial.com/empresas/2024-05-07/blackrock-norges-bank-apoyan-plan-verde-repsol-demanda-iberdrola_3878906/" TargetMode="External"/><Relationship Id="rId1749" Type="http://schemas.openxmlformats.org/officeDocument/2006/relationships/hyperlink" Target="https://theobjective.com/economia/2024-05-07/repsol-talent-energy-estudiantes-practicas/" TargetMode="External"/><Relationship Id="rId1740" Type="http://schemas.openxmlformats.org/officeDocument/2006/relationships/hyperlink" Target="https://es-us.finanzas.yahoo.com/noticias/repsol-dividendo-0-45-euros-062000590.html" TargetMode="External"/><Relationship Id="rId1710" Type="http://schemas.openxmlformats.org/officeDocument/2006/relationships/hyperlink" Target="https://www.infobae.com/espana/2024/05/03/el-unico-dos-estrellas-michelin-de-murcia-asi-es-su-menu-degustacion-el-mas-caro-de-la-region/" TargetMode="External"/><Relationship Id="rId1711" Type="http://schemas.openxmlformats.org/officeDocument/2006/relationships/hyperlink" Target="https://www.elespanol.com/cocinillas/restaurantes/mejor-restaurante-carretera-comer-tapas-aragon-recomendado-guia-repsol/851664961_0.html" TargetMode="External"/><Relationship Id="rId1712" Type="http://schemas.openxmlformats.org/officeDocument/2006/relationships/hyperlink" Target="https://ayuntamientodebaza.es/2024/05/03/18668/" TargetMode="External"/><Relationship Id="rId1713" Type="http://schemas.openxmlformats.org/officeDocument/2006/relationships/hyperlink" Target="https://www.larazon.es/sociedad/sube-precio-botella-gas-butano-mayo_2024050366349533c0b95c0001dbbfff.html" TargetMode="External"/><Relationship Id="rId1714" Type="http://schemas.openxmlformats.org/officeDocument/2006/relationships/hyperlink" Target="https://www.epe.es/es/madrid/pozuelo-de-alarcon/20240503/universidad-francisco-victoria-premios-optimus-2024-101873359" TargetMode="External"/><Relationship Id="rId1715" Type="http://schemas.openxmlformats.org/officeDocument/2006/relationships/hyperlink" Target="https://www.elindependiente.com/economia/funcionarios/2024/05/03/estos-trabajadores-tendran-una-nomina-extra-en-mayo/" TargetMode="External"/><Relationship Id="rId1716" Type="http://schemas.openxmlformats.org/officeDocument/2006/relationships/hyperlink" Target="https://www.todocircuito.com/noticias/35895-davide-brivio-quiere-llevarse-a-joan-mir-al-trackhouse-para-pilotar-una-moto-satelite.html" TargetMode="External"/><Relationship Id="rId1717" Type="http://schemas.openxmlformats.org/officeDocument/2006/relationships/hyperlink" Target="https://ayuntamientodebaza.es/tag/circo-berlin-en-baza/" TargetMode="External"/><Relationship Id="rId1718" Type="http://schemas.openxmlformats.org/officeDocument/2006/relationships/hyperlink" Target="https://www.elcorreo.com/bizkaia/repsol-obtiene-permiso-ambiental-sellar-viejo-pozo-20240505004647-nt.html" TargetMode="External"/><Relationship Id="rId1719" Type="http://schemas.openxmlformats.org/officeDocument/2006/relationships/hyperlink" Target="https://www.heraldo.es/noticias/gastronomia/2024/05/04/postre-dia-madre-zaragoza-celebracion-1730968.html" TargetMode="External"/><Relationship Id="rId1700" Type="http://schemas.openxmlformats.org/officeDocument/2006/relationships/hyperlink" Target="https://www.expansion.com/mercados/cronica-bolsa/2024/05/02/66332cf9e5fdeaa0578b4570.html" TargetMode="External"/><Relationship Id="rId1701" Type="http://schemas.openxmlformats.org/officeDocument/2006/relationships/hyperlink" Target="https://emprendedores.es/sostenibilidad/greenwashing-multas/" TargetMode="External"/><Relationship Id="rId1702" Type="http://schemas.openxmlformats.org/officeDocument/2006/relationships/hyperlink" Target="https://www.boxrepsol.com/es/motogp/record-velocidad-punta-motogp/" TargetMode="External"/><Relationship Id="rId1703" Type="http://schemas.openxmlformats.org/officeDocument/2006/relationships/hyperlink" Target="https://cronicaglobal.elespanol.com/viajes/20240502/mejor-plaza-tapas-tarragona/852164853_0.html" TargetMode="External"/><Relationship Id="rId1704" Type="http://schemas.openxmlformats.org/officeDocument/2006/relationships/hyperlink" Target="https://convoca.pe/agenda-propia/congresista-que-favorecio-repsol-busca-evitar-que-se-apruebe-norma-que-sanciona" TargetMode="External"/><Relationship Id="rId1705" Type="http://schemas.openxmlformats.org/officeDocument/2006/relationships/hyperlink" Target="https://www.hispanidad.com/economia/galp-excepcion-entre-petroleras-aumentar-su-beneficio-35-pero-mercado-no-gustan-cifras_12050667_102.html" TargetMode="External"/><Relationship Id="rId1706" Type="http://schemas.openxmlformats.org/officeDocument/2006/relationships/hyperlink" Target="https://www.farodevigo.es/deportes/morrazo/2024/05/02/balea-dous-vence-clase-orc-101815879.html" TargetMode="External"/><Relationship Id="rId1707" Type="http://schemas.openxmlformats.org/officeDocument/2006/relationships/hyperlink" Target="https://www.diaridetarragona.com/cultura/guia-gastronomica/cambrils-suma-un-nuevo-restaurante-en-la-guia-michelin-KO19422967" TargetMode="External"/><Relationship Id="rId1708" Type="http://schemas.openxmlformats.org/officeDocument/2006/relationships/hyperlink" Target="https://www.larazon.es/lr-content/resurreccion-papeleras-oficina-ahora-son-agarracucharas-personas-discapacidad_20240503662a0cbc8e6602000186bb4c.html" TargetMode="External"/><Relationship Id="rId1709" Type="http://schemas.openxmlformats.org/officeDocument/2006/relationships/hyperlink" Target="https://www.motosan.es/motogp/dani-pedrosa-habla-de-su-mejor-companero-de-equipo-hayden-stoner-marquez/" TargetMode="External"/><Relationship Id="rId40" Type="http://schemas.openxmlformats.org/officeDocument/2006/relationships/hyperlink" Target="https://www.guiarepsol.com/es/dormir/como-en-casa/hotel-casa-dolores-el-borge-malaga/" TargetMode="External"/><Relationship Id="rId3513" Type="http://schemas.openxmlformats.org/officeDocument/2006/relationships/hyperlink" Target="https://www.motociclismo.es/deporte/repsol-historia-renovado-museo-moto-made-in-spain_300523_102.html" TargetMode="External"/><Relationship Id="rId4844" Type="http://schemas.openxmlformats.org/officeDocument/2006/relationships/hyperlink" Target="https://consensodelmercado.com/es/ibex-35/recomendaciones/repsol-equalweight-sigue-dependiendo-de-la-evolucion-de-los-margenes-de-refino" TargetMode="External"/><Relationship Id="rId3512" Type="http://schemas.openxmlformats.org/officeDocument/2006/relationships/hyperlink" Target="https://intereconomia.com/noticia/empresas/huelga-en-repsol-puertollano-20241002-1942/" TargetMode="External"/><Relationship Id="rId4843" Type="http://schemas.openxmlformats.org/officeDocument/2006/relationships/hyperlink" Target="https://www.europapress.es/galicia/noticia-escritor-compostelano-alberto-ramos-recibe-premio-narrativa-breve-repsol-obra-pirotecnia-20241210201949.html" TargetMode="External"/><Relationship Id="rId42" Type="http://schemas.openxmlformats.org/officeDocument/2006/relationships/hyperlink" Target="https://www.diariodenavarra.es/noticias/vivir/motor/2024/01/05/mitos-verdades-sobre-gasolina-low-cost-peor-mejor-igual-normal-594647-3194.html" TargetMode="External"/><Relationship Id="rId3515" Type="http://schemas.openxmlformats.org/officeDocument/2006/relationships/hyperlink" Target="https://www.guiarepsol.com/es/comer/nuestros-favoritos/restaurante-lieva-huelva/" TargetMode="External"/><Relationship Id="rId4846" Type="http://schemas.openxmlformats.org/officeDocument/2006/relationships/hyperlink" Target="https://elperiodicodelaenergia.com/la-alianza-industrial-espanola-exige-un-fondo-para-impulsar-la-competitividad-en-la-nueva-ley-de-industria/" TargetMode="External"/><Relationship Id="rId41" Type="http://schemas.openxmlformats.org/officeDocument/2006/relationships/hyperlink" Target="https://energiaestrategica.es/miteco-fondo-de-eficiencia-energetica/" TargetMode="External"/><Relationship Id="rId3514" Type="http://schemas.openxmlformats.org/officeDocument/2006/relationships/hyperlink" Target="https://www.estrategiasdeinversion.com/analisis/trading/repsol-activa-una-figura-de-acumulacion-en-forma-n-748829" TargetMode="External"/><Relationship Id="rId4845" Type="http://schemas.openxmlformats.org/officeDocument/2006/relationships/hyperlink" Target="https://www.guiarepsol.com/es/comer/en-el-mercado/bollos-aceite-utrera/" TargetMode="External"/><Relationship Id="rId44" Type="http://schemas.openxmlformats.org/officeDocument/2006/relationships/hyperlink" Target="https://www.guiarepsol.com/es/comer/en-el-mercado/huerta-sapiens-velilla-san-antonio-madrid/" TargetMode="External"/><Relationship Id="rId3517" Type="http://schemas.openxmlformats.org/officeDocument/2006/relationships/hyperlink" Target="https://www.xtb.com/es/analisis-de-mercado/las-acciones-de-respol-suben-un-2-gracias-al-petroleo" TargetMode="External"/><Relationship Id="rId4848" Type="http://schemas.openxmlformats.org/officeDocument/2006/relationships/hyperlink" Target="https://www.eleconomista.es/branded-content/noticias/13118511/12/24/la-revolucion-laboral-el-cambio-que-la-generacion-z-exige-al-mundo-empresarial.html" TargetMode="External"/><Relationship Id="rId43" Type="http://schemas.openxmlformats.org/officeDocument/2006/relationships/hyperlink" Target="https://es.motorsport.com/motogp/news/alineaciones-pilotos-equipos-motogp-2024/10528541/" TargetMode="External"/><Relationship Id="rId3516" Type="http://schemas.openxmlformats.org/officeDocument/2006/relationships/hyperlink" Target="https://www.eleconomista.es/energia/noticias/13012957/10/24/la-joint-venture-de-repsol-y-telefonica-sustituye-a-emilio-gayo-como-presidente-y-coloca-a-valero-marin.html" TargetMode="External"/><Relationship Id="rId4847" Type="http://schemas.openxmlformats.org/officeDocument/2006/relationships/hyperlink" Target="https://www.heraldo.es/noticias/gastronomia/2024/12/10/menu-cena-solidaria-aragon-valencia-paraninfo-zaragoza-1784354.html" TargetMode="External"/><Relationship Id="rId46" Type="http://schemas.openxmlformats.org/officeDocument/2006/relationships/hyperlink" Target="https://inforegion.pe/25-playas-afectadas-por-repsol-no-son-saludables/" TargetMode="External"/><Relationship Id="rId3519" Type="http://schemas.openxmlformats.org/officeDocument/2006/relationships/hyperlink" Target="https://www.cronista.com/espana/ibex-euro/repsol-asi-abre-la-cotizacion-hoy-miercoles-02-de-octubre-cuanto-rinden-los-dividendos/" TargetMode="External"/><Relationship Id="rId45" Type="http://schemas.openxmlformats.org/officeDocument/2006/relationships/hyperlink" Target="https://www.elespanol.com/quincemil/economia/motor/20240105/mapa-puntos-carga-vehiculos-electricos-coruna-area/822668191_0.html" TargetMode="External"/><Relationship Id="rId3518" Type="http://schemas.openxmlformats.org/officeDocument/2006/relationships/hyperlink" Target="https://www.huelvainformacion.es/destino-huelva/hotel-huelva-escapar-estres-mundo_3_2002480464.html" TargetMode="External"/><Relationship Id="rId4849" Type="http://schemas.openxmlformats.org/officeDocument/2006/relationships/hyperlink" Target="https://www.guiarepsol.com/es/viajar/nos-gusta/planes-para-fans-de-taylor-swift-madrid/" TargetMode="External"/><Relationship Id="rId48" Type="http://schemas.openxmlformats.org/officeDocument/2006/relationships/hyperlink" Target="https://cincodias.elpais.com/companias/2024-01-06/repsol-ya-ha-pagado-247-millones-por-un-derrame-en-una-refineria-en-peru.html" TargetMode="External"/><Relationship Id="rId47" Type="http://schemas.openxmlformats.org/officeDocument/2006/relationships/hyperlink" Target="https://www.economiadigital.es/galicia/empresas/guerra-en-los-juzgados-entre-galuresa-y-repsol-con-demanda-millonaria-incluida.html" TargetMode="External"/><Relationship Id="rId49" Type="http://schemas.openxmlformats.org/officeDocument/2006/relationships/hyperlink" Target="https://www.boxrepsol.com/es/rally/resultados-de-la-primera-etapa-del-rally-dakar-2024/" TargetMode="External"/><Relationship Id="rId4840" Type="http://schemas.openxmlformats.org/officeDocument/2006/relationships/hyperlink" Target="https://sierranevada.es/es/medianet/blog/posts/repsol-pone-en-funcionamiento-43-puntos-de-recarga-para-vehiculos-electricos-en-sierra-nevada/" TargetMode="External"/><Relationship Id="rId3511" Type="http://schemas.openxmlformats.org/officeDocument/2006/relationships/hyperlink" Target="https://www.elespanol.com/deportes/motor/20241002/repsol-equipo-honda-toman-museo-moto-made-in-spain-decadas-historia-exitos/890410952_0.html" TargetMode="External"/><Relationship Id="rId4842" Type="http://schemas.openxmlformats.org/officeDocument/2006/relationships/hyperlink" Target="https://www.capitalmadrid.com/2024/12/10/68617/iberdrola-y-repsol-se-disputan-el-interes-de-los-saudies-de-stc-en-las-renovables-espanolas.html" TargetMode="External"/><Relationship Id="rId3510" Type="http://schemas.openxmlformats.org/officeDocument/2006/relationships/hyperlink" Target="https://www.infobae.com/espana/2024/10/03/la-crisis-de-oriente-medio-sopla-a-favor-de-las-acciones-de-indra-y-repsol-mientras-que-iag-y-aena-sufren-viento-en-contra/" TargetMode="External"/><Relationship Id="rId4841" Type="http://schemas.openxmlformats.org/officeDocument/2006/relationships/hyperlink" Target="https://www.elmundo.es/economia/empresas/2024/12/10/6758106421efa058048b459c.html" TargetMode="External"/><Relationship Id="rId3502" Type="http://schemas.openxmlformats.org/officeDocument/2006/relationships/hyperlink" Target="https://www.motorbikemag.es/historia-repsol-exposicion-museo-moto-made-in-spain/" TargetMode="External"/><Relationship Id="rId4833" Type="http://schemas.openxmlformats.org/officeDocument/2006/relationships/hyperlink" Target="https://www.elespanol.com/invertia/empresas/energia/20241209/norges-blackrock-suben-apuestas-repsol-alcanzan-participaciones-historicas/906409555_0.html" TargetMode="External"/><Relationship Id="rId3501" Type="http://schemas.openxmlformats.org/officeDocument/2006/relationships/hyperlink" Target="https://www.diaridetarragona.com/economia/un-fondo-australiano-negocia-aliarse-con-repsol-para-su-gran-planta-de-metanol-en-tarragona-EJ21286570" TargetMode="External"/><Relationship Id="rId4832" Type="http://schemas.openxmlformats.org/officeDocument/2006/relationships/hyperlink" Target="https://www.capitalradio.es/noticias/bolsa/repsol-louis-vuitton-tienen-mucho-ver_135609616.html" TargetMode="External"/><Relationship Id="rId31" Type="http://schemas.openxmlformats.org/officeDocument/2006/relationships/hyperlink" Target="https://automovilismocanario.com/2024/01/04/repsol-y-toyota-gazoo-racing-unen-fuerzas-a-traves-del-combustible-renovable-para-el-rally-dakar/" TargetMode="External"/><Relationship Id="rId3504" Type="http://schemas.openxmlformats.org/officeDocument/2006/relationships/hyperlink" Target="https://www.bolsamania.com/noticias/analisis-tecnico/consultorio--17574537.html" TargetMode="External"/><Relationship Id="rId4835" Type="http://schemas.openxmlformats.org/officeDocument/2006/relationships/hyperlink" Target="https://www.eleconomista.es/capital-riesgo/noticias/13122001/12/24/eslava-ficha-a-alantra-para-buscar-socio-para-el-rey-del-reciclado-de-plastico.html" TargetMode="External"/><Relationship Id="rId30" Type="http://schemas.openxmlformats.org/officeDocument/2006/relationships/hyperlink" Target="https://www.cartagena.es/detalle_noticias.asp?id=76075" TargetMode="External"/><Relationship Id="rId3503" Type="http://schemas.openxmlformats.org/officeDocument/2006/relationships/hyperlink" Target="https://www.larazon.es/deportes/repsol-presume-colores-museo-moto-made-spain_2024100166fbda42b3741e0001fb3902.html" TargetMode="External"/><Relationship Id="rId4834" Type="http://schemas.openxmlformats.org/officeDocument/2006/relationships/hyperlink" Target="https://cincodias.elpais.com/mercados-financieros/2024-12-09/jp-morgan-ve-nubarrones-sobre-repsol-rebaja-su-recomendacion-y-recorta-el-precio-un-74.html" TargetMode="External"/><Relationship Id="rId33" Type="http://schemas.openxmlformats.org/officeDocument/2006/relationships/hyperlink" Target="https://www.mundodeportivo.com/motor/motogp/20240102/1002162714/luca-marini-repsol-honda-team-motogp-sueno.html" TargetMode="External"/><Relationship Id="rId3506" Type="http://schemas.openxmlformats.org/officeDocument/2006/relationships/hyperlink" Target="https://www.motor16.com/noticias/gasolineras-investigadas-fraude-iva/2/" TargetMode="External"/><Relationship Id="rId4837" Type="http://schemas.openxmlformats.org/officeDocument/2006/relationships/hyperlink" Target="https://www.guiarepsol.com/es/viajar/vamos-de-excursion/viaje-por-carretera-por-la-montana-palentina/" TargetMode="External"/><Relationship Id="rId32" Type="http://schemas.openxmlformats.org/officeDocument/2006/relationships/hyperlink" Target="https://www.guiarepsol.com/es/comer/vinos-y-bodegas/pilar-garcia-granero-enologa-profesora-sumilleria/" TargetMode="External"/><Relationship Id="rId3505" Type="http://schemas.openxmlformats.org/officeDocument/2006/relationships/hyperlink" Target="https://www.alimente.elconfidencial.com/gastronomia-y-cocina/2024-10-01/restaurante-casa-antonio-jaen-sol-repsol-1qrt_3973829/" TargetMode="External"/><Relationship Id="rId4836" Type="http://schemas.openxmlformats.org/officeDocument/2006/relationships/hyperlink" Target="https://www.elperiodico.com/es/economia/20241209/sondeo-impuesto-energeticas-banca-espana-112392654" TargetMode="External"/><Relationship Id="rId35" Type="http://schemas.openxmlformats.org/officeDocument/2006/relationships/hyperlink" Target="https://www.guiarepsol.com/es/viajar/vamos-de-excursion/telefonica-cumple-100-anos-visita-al-rascacielos-emblema-de-madrid/" TargetMode="External"/><Relationship Id="rId3508" Type="http://schemas.openxmlformats.org/officeDocument/2006/relationships/hyperlink" Target="https://www.ig.com/es/ideas-de-trading-y-noticias/sp-500--nasdaq--eurostoxx-50--dax-40--analisis-tecnico-intradiar-241001" TargetMode="External"/><Relationship Id="rId4839" Type="http://schemas.openxmlformats.org/officeDocument/2006/relationships/hyperlink" Target="https://www.df.cl/empresas/energia/repsol-ingresa-proyecto-a-evaluacion-ambiental-para-ampliar-parque" TargetMode="External"/><Relationship Id="rId34" Type="http://schemas.openxmlformats.org/officeDocument/2006/relationships/hyperlink" Target="https://www.boxrepsol.com/es/cultura-motera/multas-por-exceso-de-velocidad/" TargetMode="External"/><Relationship Id="rId3507" Type="http://schemas.openxmlformats.org/officeDocument/2006/relationships/hyperlink" Target="https://cincodias.elpais.com/companias/2024-10-01/oscar-fanjul-nuevo-presidente-no-ejecutivo-de-cellnex.html" TargetMode="External"/><Relationship Id="rId4838" Type="http://schemas.openxmlformats.org/officeDocument/2006/relationships/hyperlink" Target="https://www.elespanol.com/cocinillas/actualidad-gastronomica/20241209/precioso-pueblo-visitar-navidad-tortilla-increible-recomendada-guia-repsol/907409341_0.html" TargetMode="External"/><Relationship Id="rId3509" Type="http://schemas.openxmlformats.org/officeDocument/2006/relationships/hyperlink" Target="https://nuevecuatrouno.com/2024/10/01/el-tertulia-recibe-su-segundo-solete/" TargetMode="External"/><Relationship Id="rId37" Type="http://schemas.openxmlformats.org/officeDocument/2006/relationships/hyperlink" Target="https://www.eleconomista.es/energia/noticias/12610269/01/24/repsol-se-suma-a-la-guerra-de-bp-y-shell-contra-venture-global-por-incumplir-los-contratos-de-venta-de-gas.html" TargetMode="External"/><Relationship Id="rId36" Type="http://schemas.openxmlformats.org/officeDocument/2006/relationships/hyperlink" Target="https://www.ujat.mx/Noticias/Interior/32225" TargetMode="External"/><Relationship Id="rId39" Type="http://schemas.openxmlformats.org/officeDocument/2006/relationships/hyperlink" Target="https://www.sport.es/es/noticias/motor/dakar/repsol-toyota-gazoo-racing-unen-96579858" TargetMode="External"/><Relationship Id="rId38" Type="http://schemas.openxmlformats.org/officeDocument/2006/relationships/hyperlink" Target="https://www.interempresas.net/Estaciones-servicio/Articulos/536725-Repsol-suministra-combustibles-renovables-para-el-Rally-Dakar-2024.html" TargetMode="External"/><Relationship Id="rId3500" Type="http://schemas.openxmlformats.org/officeDocument/2006/relationships/hyperlink" Target="https://www.expansion.com/empresas/2024/10/01/66faf632e5fdea9c778b45b9.html" TargetMode="External"/><Relationship Id="rId4831" Type="http://schemas.openxmlformats.org/officeDocument/2006/relationships/hyperlink" Target="https://www.guiarepsol.com/es/viajar/nos-gusta/regalos-para-viajeros-por-menos-50-euros/" TargetMode="External"/><Relationship Id="rId4830" Type="http://schemas.openxmlformats.org/officeDocument/2006/relationships/hyperlink" Target="https://www.estrategiasdeinversion.com/analisis/los-brokers-recomiendan/recomendaciones-espana/varapalo-de-jp-morgan-a-la-petrolera-repsol-deja-n-769131" TargetMode="External"/><Relationship Id="rId2203" Type="http://schemas.openxmlformats.org/officeDocument/2006/relationships/hyperlink" Target="https://elcierredigital.com/economia/incursion-amancio-ortega-las-renovables-se-hace-con-tres-parques-eolicos" TargetMode="External"/><Relationship Id="rId3535" Type="http://schemas.openxmlformats.org/officeDocument/2006/relationships/hyperlink" Target="https://cronicaglobal.elespanol.com/viajes/20241002/este-pueblo-cataluna-mercado-medieval-bonito-guia-repsol/890410959_0.html" TargetMode="External"/><Relationship Id="rId4866" Type="http://schemas.openxmlformats.org/officeDocument/2006/relationships/hyperlink" Target="https://www.elindependiente.com/espana/2024/12/11/impuesto-energetico-pnv-junts-podemos-gobierno/" TargetMode="External"/><Relationship Id="rId2204" Type="http://schemas.openxmlformats.org/officeDocument/2006/relationships/hyperlink" Target="https://www.diariodecadiz.es/cadizfornia/descubre-placer-probar-mejores-helados_0_2000073846.html" TargetMode="External"/><Relationship Id="rId3534" Type="http://schemas.openxmlformats.org/officeDocument/2006/relationships/hyperlink" Target="https://www.xatakamovil.com/servicios/fibra-movil-television-placas-solares-estos-operadores-que-pueden-ayudarte-a-bajar-factura-luz" TargetMode="External"/><Relationship Id="rId4865" Type="http://schemas.openxmlformats.org/officeDocument/2006/relationships/hyperlink" Target="https://elperiodicodelaenergia.com/la-produccion-petrolera-de-venezuela-cae-casi-un-3-en-noviembre-con-respecto-a-octubre/" TargetMode="External"/><Relationship Id="rId20" Type="http://schemas.openxmlformats.org/officeDocument/2006/relationships/hyperlink" Target="https://www.guiarepsol.com/es/soletes/donde-comer-rico-barato-oviedo/" TargetMode="External"/><Relationship Id="rId2205" Type="http://schemas.openxmlformats.org/officeDocument/2006/relationships/hyperlink" Target="https://www.rockzonemag.com/el-resurrection-fest-anuncia-nuevas-incorporaciones/" TargetMode="External"/><Relationship Id="rId3537" Type="http://schemas.openxmlformats.org/officeDocument/2006/relationships/hyperlink" Target="https://www.repsol.es/waylet/metodos-de-pago/" TargetMode="External"/><Relationship Id="rId4868" Type="http://schemas.openxmlformats.org/officeDocument/2006/relationships/hyperlink" Target="https://es-us.finanzas.yahoo.com/noticias/ecopetrol-exigir%C3%A1-derecho-contractual-quedarse-223000757.html" TargetMode="External"/><Relationship Id="rId2206" Type="http://schemas.openxmlformats.org/officeDocument/2006/relationships/hyperlink" Target="https://emprendedores.es/startups/venture-capital-startup/" TargetMode="External"/><Relationship Id="rId3536" Type="http://schemas.openxmlformats.org/officeDocument/2006/relationships/hyperlink" Target="https://www.vavel.com/es/motor/2024/10/02/motogp/1198554-honda-aspira-a-demostrar-su-progreso-en-motegi.html" TargetMode="External"/><Relationship Id="rId4867" Type="http://schemas.openxmlformats.org/officeDocument/2006/relationships/hyperlink" Target="https://www.elcorreoweb.es/ideas/Repsol-la-bala-magica/index.html" TargetMode="External"/><Relationship Id="rId22" Type="http://schemas.openxmlformats.org/officeDocument/2006/relationships/hyperlink" Target="https://www.boxrepsol.com/es/motogp/luca-marini-estar-en-este-equipo-de-motogp-es-un-sueno/" TargetMode="External"/><Relationship Id="rId2207" Type="http://schemas.openxmlformats.org/officeDocument/2006/relationships/hyperlink" Target="https://cadenaser.com/nacional/2024/06/19/el-cocinero-andres-torres-fundador-de-la-ong-global-humanitaria-gana-el-basque-culinary-world-prize-2024-cadena-ser/" TargetMode="External"/><Relationship Id="rId3539" Type="http://schemas.openxmlformats.org/officeDocument/2006/relationships/hyperlink" Target="https://www.eleconomista.es/mercados-cotizaciones/noticias/13014295/10/24/repsol-alberga-el-mayor-potencial-en-bolsa-de-las-grandes-petroleras-europeas.html" TargetMode="External"/><Relationship Id="rId21" Type="http://schemas.openxmlformats.org/officeDocument/2006/relationships/hyperlink" Target="https://www.europapress.es/economia/energia-00341/noticia-endesa-iberdrola-edp-siguen-operadores-dominantes-sector-electrico-repsol-deja-serlo-gas-20240103104310.html" TargetMode="External"/><Relationship Id="rId2208" Type="http://schemas.openxmlformats.org/officeDocument/2006/relationships/hyperlink" Target="https://okdiario.com/okgreen/cocodrilo-primera-mascota-decomisada-espana-respaldo-ley-bienestar-animal-13013731" TargetMode="External"/><Relationship Id="rId3538" Type="http://schemas.openxmlformats.org/officeDocument/2006/relationships/hyperlink" Target="https://elperiodicodelaenergia.com/repsol-premio-nacional-de-innovacion-y-diseno-2024-en-la-categoria-de-gran-empresa-innovadora/" TargetMode="External"/><Relationship Id="rId4869" Type="http://schemas.openxmlformats.org/officeDocument/2006/relationships/hyperlink" Target="https://www.infobae.com/espana/2024/12/11/los-mejores-churros-con-chocolate-de-pamplona-se-toman-en-esta-panaderia-con-casi-100-anos-de-historia/" TargetMode="External"/><Relationship Id="rId24" Type="http://schemas.openxmlformats.org/officeDocument/2006/relationships/hyperlink" Target="https://www.eleconomista.es/energia/noticias/12607580/01/24/nuevo-golpe-del-gobierno-a-las-energeticas-duplica-el-coste-del-fondo-de-eficiencia-energetica.html" TargetMode="External"/><Relationship Id="rId2209" Type="http://schemas.openxmlformats.org/officeDocument/2006/relationships/hyperlink" Target="https://motorcyclesports.net/es/el-manager-de-joan-mir-niega-acuerdo-con-honda-es-la-prioridad-pero-aun-no-hemos-firmado/" TargetMode="External"/><Relationship Id="rId23" Type="http://schemas.openxmlformats.org/officeDocument/2006/relationships/hyperlink" Target="https://www.energias-renovables.com/panorama/endesa-iberdrola-naturgy-y-edp-el-oligopolio-20240103" TargetMode="External"/><Relationship Id="rId26" Type="http://schemas.openxmlformats.org/officeDocument/2006/relationships/hyperlink" Target="https://motorcyclesports.net/es/esto-es-algo-increible-algo-hecho-por-el-destino-luca-marini/" TargetMode="External"/><Relationship Id="rId25" Type="http://schemas.openxmlformats.org/officeDocument/2006/relationships/hyperlink" Target="https://www.motor16.com/noticias/gasolina-barata-repsol-cepsa-bp/" TargetMode="External"/><Relationship Id="rId28" Type="http://schemas.openxmlformats.org/officeDocument/2006/relationships/hyperlink" Target="https://gestion.pe/peru/gremio-automotriz-advierte-riesgo-de-reduccion-en-la-oferta-de-vehiculos-en-el-2024-ministerio-del-ambiente-repsol-noticia/" TargetMode="External"/><Relationship Id="rId4860" Type="http://schemas.openxmlformats.org/officeDocument/2006/relationships/hyperlink" Target="https://www.aragondigital.es/articulo/sociedad/restaurante-carretera-zaragoza-que-recomiendan-guia-repsol-famoso-torreznos/20241211101435898568.html" TargetMode="External"/><Relationship Id="rId27" Type="http://schemas.openxmlformats.org/officeDocument/2006/relationships/hyperlink" Target="https://www.energynews.es/lista-cnmc-operadores-dominantes/" TargetMode="External"/><Relationship Id="rId3531" Type="http://schemas.openxmlformats.org/officeDocument/2006/relationships/hyperlink" Target="https://www.expansion.com/mercados/2024/10/02/66fce0b175965f00330fa963-directo.html" TargetMode="External"/><Relationship Id="rId4862" Type="http://schemas.openxmlformats.org/officeDocument/2006/relationships/hyperlink" Target="https://www.cronista.com/espana/ibex-euro/repsol-a-cuanto-cotiza-hoy-miercoles-11-de-diciembre-y-cuanto-rinden-los-dividendos/" TargetMode="External"/><Relationship Id="rId29" Type="http://schemas.openxmlformats.org/officeDocument/2006/relationships/hyperlink" Target="https://www.epe.es/es/activos/20240104/repsol-cepsa-endesa-iberdrola-naturgy-ahorro-energia-96507976" TargetMode="External"/><Relationship Id="rId2200" Type="http://schemas.openxmlformats.org/officeDocument/2006/relationships/hyperlink" Target="https://www.guiarepsol.com/es/viajar/nos-gusta/festivales-madrid-2024/" TargetMode="External"/><Relationship Id="rId3530" Type="http://schemas.openxmlformats.org/officeDocument/2006/relationships/hyperlink" Target="https://cadenaser.com/castillalamancha/2024/10/02/navec-entra-en-concurso-de-acreedores-y-deja-mas-de-un-millon-de-euros-sin-pagar-en-la-comarca-de-puertollano-ser-ciudad-real/" TargetMode="External"/><Relationship Id="rId4861" Type="http://schemas.openxmlformats.org/officeDocument/2006/relationships/hyperlink" Target="https://www.elidealgallego.com/articulo/a-coruna/alberto-ramos-recibe-premio-narrativa-breve-repsol-obra-pirotecnia-5102834" TargetMode="External"/><Relationship Id="rId2201" Type="http://schemas.openxmlformats.org/officeDocument/2006/relationships/hyperlink" Target="https://www.lapoliticaonline.com/mexico/empresas-mx/repsol-no-logra-consolidarse-en-mexico-abandono-de-campos-y-desplome-de-metas-en-gasolineras/" TargetMode="External"/><Relationship Id="rId3533" Type="http://schemas.openxmlformats.org/officeDocument/2006/relationships/hyperlink" Target="https://www.atodomotor.com/noticia/11227/Isidre-Esteve-preparado-para-el-Rally-de-Marruecos.html" TargetMode="External"/><Relationship Id="rId4864" Type="http://schemas.openxmlformats.org/officeDocument/2006/relationships/hyperlink" Target="https://www.larazon.es/lr-content/bala-magica-thriller-sonoro-conspiraciones-toques-humor_202412116756ddb87337f20001b8dcd1.html" TargetMode="External"/><Relationship Id="rId2202" Type="http://schemas.openxmlformats.org/officeDocument/2006/relationships/hyperlink" Target="https://www.guiarepsol.com/es/comer/nuestros-favoritos/terrazas-santiago-compostela/" TargetMode="External"/><Relationship Id="rId3532" Type="http://schemas.openxmlformats.org/officeDocument/2006/relationships/hyperlink" Target="https://www.todocircuito.com/noticias/37046-la-honda-nsr-500-de-doohan-y-la-rc213v-de-marquez-estan-en-alcala-de-henares.html" TargetMode="External"/><Relationship Id="rId4863" Type="http://schemas.openxmlformats.org/officeDocument/2006/relationships/hyperlink" Target="https://www.libertaddigital.com/espana/politica/2024-12-11/podemos-llama-a-pnv-y-junts-cachorritos-de-repsol-por-plantarle-en-la-negociacion-del-impuesto-a-las-energeticas-7196892/" TargetMode="External"/><Relationship Id="rId3524" Type="http://schemas.openxmlformats.org/officeDocument/2006/relationships/hyperlink" Target="https://www.huelva24.com/runrun/runrun-mitico-bar-huelva-renueva-solete-guia-20241002203410-nth.html" TargetMode="External"/><Relationship Id="rId4855" Type="http://schemas.openxmlformats.org/officeDocument/2006/relationships/hyperlink" Target="https://www.eldiariodearteixo.com/articulo/galicia/fundacion-repsol-xunta-galicia-entregan-xviii-premio-narrativa-breve-repsol-lingua-galega/20241211132305013214.html" TargetMode="External"/><Relationship Id="rId3523" Type="http://schemas.openxmlformats.org/officeDocument/2006/relationships/hyperlink" Target="https://www.miciudadreal.es/2024/10/02/crece-la-incertidumbre-en-la-plantilla-de-navec-la-mayor-contratista-de-repsol-puertollano-acosada-por-las-deudas-y-en-concurso-de-acreedores/" TargetMode="External"/><Relationship Id="rId4854" Type="http://schemas.openxmlformats.org/officeDocument/2006/relationships/hyperlink" Target="https://www.merca2.es/2024/12/11/repsol-moeve-clamor-cogeneracion-2090689/" TargetMode="External"/><Relationship Id="rId3526" Type="http://schemas.openxmlformats.org/officeDocument/2006/relationships/hyperlink" Target="https://www.guiarepsol.com/es/comer/vinos-y-bodegas/bodega-vile-la-finca-leon/" TargetMode="External"/><Relationship Id="rId4857" Type="http://schemas.openxmlformats.org/officeDocument/2006/relationships/hyperlink" Target="https://www.diariovasco.com/politica/podemos-acusa-pnv-cachorrito-repsol-20241211145258-nt.html" TargetMode="External"/><Relationship Id="rId3525" Type="http://schemas.openxmlformats.org/officeDocument/2006/relationships/hyperlink" Target="https://www.elespanol.com/invertia/empresas/energia/20241002/repsol-telefonica-nombran-valero-marin-presidente-empresa-autoconsumo-sustitucion-emilio-gayo/890161403_0.html" TargetMode="External"/><Relationship Id="rId4856" Type="http://schemas.openxmlformats.org/officeDocument/2006/relationships/hyperlink" Target="https://www.estrategiasdeinversion.com/analisis/bolsa-y-mercados/el-experto-opina/analisis-de-iag-telefonica-repsol-amazon-y-amadeus-n-770139" TargetMode="External"/><Relationship Id="rId11" Type="http://schemas.openxmlformats.org/officeDocument/2006/relationships/hyperlink" Target="https://cincodias.elpais.com/companias/2024-01-02/repsol-entra-en-la-lista-de-operadores-principales-en-el-sector-electrico.html" TargetMode="External"/><Relationship Id="rId3528" Type="http://schemas.openxmlformats.org/officeDocument/2006/relationships/hyperlink" Target="https://www.estrategiasdeinversion.com/actualidad/noticias/bolsa-espana/el-ibex-35-cae-por-tercer-dia-consecutivo-repsol-n-748809" TargetMode="External"/><Relationship Id="rId4859" Type="http://schemas.openxmlformats.org/officeDocument/2006/relationships/hyperlink" Target="https://www.elmundo.es/espana/2024/12/11/6758aa73fdddff54318b4579.html" TargetMode="External"/><Relationship Id="rId10" Type="http://schemas.openxmlformats.org/officeDocument/2006/relationships/hyperlink" Target="https://okdiario.com/economia/repsol-entra-lista-cnmc-cinco-operadores-principales-sector-electrico-12151476" TargetMode="External"/><Relationship Id="rId3527" Type="http://schemas.openxmlformats.org/officeDocument/2006/relationships/hyperlink" Target="https://www.huelvainformacion.es/huelva/iconico-bar-huelva-recibe-solete_0_2002488531.html" TargetMode="External"/><Relationship Id="rId4858" Type="http://schemas.openxmlformats.org/officeDocument/2006/relationships/hyperlink" Target="https://www.epe.es/ideas/Repsol-cromos/index.html" TargetMode="External"/><Relationship Id="rId13" Type="http://schemas.openxmlformats.org/officeDocument/2006/relationships/hyperlink" Target="https://www.latribunadeciudadreal.es/noticia/ze3b77f08-dc1c-55c7-0ec8789ed42801fd/202401/los-reyes-magos-llegan-con-el-combustible-renovable-de-repsol" TargetMode="External"/><Relationship Id="rId12" Type="http://schemas.openxmlformats.org/officeDocument/2006/relationships/hyperlink" Target="https://www.20minutos.es/lainformacion/empresas/repsol-entra-top-5-los-operadores-principales-sector-electrico-espanol-5270026/" TargetMode="External"/><Relationship Id="rId3529" Type="http://schemas.openxmlformats.org/officeDocument/2006/relationships/hyperlink" Target="https://www.guiarepsol.com/es/viajar/vamos-de-excursion/un-dia-en-la-villa-termal-de-arnedillo-la-rioja/" TargetMode="External"/><Relationship Id="rId15" Type="http://schemas.openxmlformats.org/officeDocument/2006/relationships/hyperlink" Target="https://www.elespanol.com/madrid/ocio/20240102/restaurante-secreto-madrid-sol-repsol-hace-platos-tiran-basura/820168133_0.html" TargetMode="External"/><Relationship Id="rId14" Type="http://schemas.openxmlformats.org/officeDocument/2006/relationships/hyperlink" Target="https://autohebdosport.com/competicion/off-road/el-repsol-toyota-rally-team-desvela-sus-secretos-para-afrontar-el-dakar-2024" TargetMode="External"/><Relationship Id="rId17" Type="http://schemas.openxmlformats.org/officeDocument/2006/relationships/hyperlink" Target="https://www.elespanol.com/invertia/disruptores-innovadores/innovadores/tecnologicas/20240102/sprinklr-desconocida-empresa-mejora-relacion-vueling-bbva-repsol-clientes/820918043_0.html" TargetMode="External"/><Relationship Id="rId16" Type="http://schemas.openxmlformats.org/officeDocument/2006/relationships/hyperlink" Target="https://www.reasonwhy.es/actualidad/anuncios-publicidad-campanadas-tve-formula-patrocinio-cultural" TargetMode="External"/><Relationship Id="rId19" Type="http://schemas.openxmlformats.org/officeDocument/2006/relationships/hyperlink" Target="https://www.energynews.es/repsol-primer-proyecto-renovable-andalucia/" TargetMode="External"/><Relationship Id="rId3520" Type="http://schemas.openxmlformats.org/officeDocument/2006/relationships/hyperlink" Target="https://forbes.es/nombramientos/508108/valero-marin-nuevo-presidente-de-solar360/" TargetMode="External"/><Relationship Id="rId4851" Type="http://schemas.openxmlformats.org/officeDocument/2006/relationships/hyperlink" Target="https://www.ondacero.es/noticias/espana/podemos-carga-pnv-junts-son-cachorritos-repsol_202412116759bdf1c98fe80001839cb3.html" TargetMode="External"/><Relationship Id="rId18" Type="http://schemas.openxmlformats.org/officeDocument/2006/relationships/hyperlink" Target="https://www.repsol.com/es/sala-prensa/notas-prensa/2024/repsol-empieza-producir-electricidad-renovable-andalucia/index.cshtml" TargetMode="External"/><Relationship Id="rId4850" Type="http://schemas.openxmlformats.org/officeDocument/2006/relationships/hyperlink" Target="https://www.fundacionrepsol.com/es/noticias/Premio-Narrativa-Breve-Repsol/" TargetMode="External"/><Relationship Id="rId3522" Type="http://schemas.openxmlformats.org/officeDocument/2006/relationships/hyperlink" Target="https://www.elconfidencial.com/espana/aragon/2024-10-02/restaurantes-zaragoza-pilar-2024-guia-repsol-1qrt-1tna_3974449/" TargetMode="External"/><Relationship Id="rId4853" Type="http://schemas.openxmlformats.org/officeDocument/2006/relationships/hyperlink" Target="https://www.capitalradio.es/noticias/bolsa/momento-clave-para-iag-repsol-inditex-roberto-moro_135662520.html" TargetMode="External"/><Relationship Id="rId3521" Type="http://schemas.openxmlformats.org/officeDocument/2006/relationships/hyperlink" Target="https://www.bolsamania.com/noticias/analisis-tecnico/repsol-y-dos-valores-mas-que-han-superado-resistencias-este-miercoles--17589599.html" TargetMode="External"/><Relationship Id="rId4852" Type="http://schemas.openxmlformats.org/officeDocument/2006/relationships/hyperlink" Target="https://www.elcorreo.com/politica/podemos-acusa-pnv-cachorrito-repsol-seguir-dictados-20241211132228-nt.html" TargetMode="External"/><Relationship Id="rId84" Type="http://schemas.openxmlformats.org/officeDocument/2006/relationships/hyperlink" Target="https://theobjective.com/economia/2024-01-09/repsol-cnmc-plan-desucuentos-combustibles/" TargetMode="External"/><Relationship Id="rId1774" Type="http://schemas.openxmlformats.org/officeDocument/2006/relationships/hyperlink" Target="https://elperiodicodelaenergia.com/nace-primera-asociacion-espanola-geotermia-geoenergia/" TargetMode="External"/><Relationship Id="rId4800" Type="http://schemas.openxmlformats.org/officeDocument/2006/relationships/hyperlink" Target="https://www.cronista.com/espana/ibex-euro/repsol-a-cuanto-cotiza-hoy-viernes-06-de-diciembre-y-cuanto-rinden-los-dividendos/" TargetMode="External"/><Relationship Id="rId83" Type="http://schemas.openxmlformats.org/officeDocument/2006/relationships/hyperlink" Target="https://www.eleconomista.es/energia/noticias/12614777/01/24/repsol-lanza-un-ordago-a-endesa-iberdrola-y-naturgy-duplicara-los-descuentos-por-contratar-su-tarifa-de-luz.html" TargetMode="External"/><Relationship Id="rId1775" Type="http://schemas.openxmlformats.org/officeDocument/2006/relationships/hyperlink" Target="https://www.expansion.com/mercados/2024/05/09/663b70a4468aeb23228b458d.html" TargetMode="External"/><Relationship Id="rId86" Type="http://schemas.openxmlformats.org/officeDocument/2006/relationships/hyperlink" Target="https://www.guiarepsol.com/es/comer/nuestros-favoritos/proyecto-gastronomas-euskadi/" TargetMode="External"/><Relationship Id="rId1776" Type="http://schemas.openxmlformats.org/officeDocument/2006/relationships/hyperlink" Target="https://www.vanitatis.elconfidencial.com/estilo/ocio/2024-05-09/restaurante-canitas-maite-oba-cebo-sanz-sahuquillo_3878112/" TargetMode="External"/><Relationship Id="rId4802" Type="http://schemas.openxmlformats.org/officeDocument/2006/relationships/hyperlink" Target="https://elcomercio.pe/lima/ventanilla-repsol-reporta-afloramiento-de-hidrocarburo-en-terminal-ultimas-noticia/" TargetMode="External"/><Relationship Id="rId85" Type="http://schemas.openxmlformats.org/officeDocument/2006/relationships/hyperlink" Target="https://e-noticies.cat/es/sociedad/ocu-descoloca-repsol-cepsa-senala-cual-mejor-gasolina-espana" TargetMode="External"/><Relationship Id="rId1777" Type="http://schemas.openxmlformats.org/officeDocument/2006/relationships/hyperlink" Target="https://www.eleconomista.es/energia/noticias/12804255/05/24/el-greenwashing-se-castigara-en-europa-con-multas-millonarias.html" TargetMode="External"/><Relationship Id="rId4801" Type="http://schemas.openxmlformats.org/officeDocument/2006/relationships/hyperlink" Target="https://cooperaccion.org.pe/repsol-reporto-nuevo-derrame-petrolero-en-la-refineria-la-pampilla/" TargetMode="External"/><Relationship Id="rId88" Type="http://schemas.openxmlformats.org/officeDocument/2006/relationships/hyperlink" Target="https://www.boxrepsol.com/es/rally/resultados-de-la-cuarta-etapa-del-rally-dakar-2024/" TargetMode="External"/><Relationship Id="rId1778" Type="http://schemas.openxmlformats.org/officeDocument/2006/relationships/hyperlink" Target="https://elperiodicodelaenergia.com/central-nuclear-jose-cabrera-no-notifico-ningun-suceso-2023-labores-desmantelamiento/" TargetMode="External"/><Relationship Id="rId4804" Type="http://schemas.openxmlformats.org/officeDocument/2006/relationships/hyperlink" Target="https://canaln.pe/actualidad/repsol-reporta-afloramiento-hidrocarburos-pampilla-n478881" TargetMode="External"/><Relationship Id="rId87" Type="http://schemas.openxmlformats.org/officeDocument/2006/relationships/hyperlink" Target="https://www.elplural.com/economia/empresas/repsol-descuentos-carburantes-contraten-luz_322644102" TargetMode="External"/><Relationship Id="rId1779" Type="http://schemas.openxmlformats.org/officeDocument/2006/relationships/hyperlink" Target="https://es.greenpeace.org/es/sala-de-prensa/comunicados/greenpeace-se-planta-en-la-junta-general-de-accionistas-de-repsol-sois-los-principales-culpables-de-la-crisis-climatica/" TargetMode="External"/><Relationship Id="rId4803" Type="http://schemas.openxmlformats.org/officeDocument/2006/relationships/hyperlink" Target="https://diariocorreo.pe/edicion/lima/ventanilla-repsol-reporta-afloramiento-de-hidrocarburos-en-la-pampilla-peru-osinergmin-noticia/" TargetMode="External"/><Relationship Id="rId4806" Type="http://schemas.openxmlformats.org/officeDocument/2006/relationships/hyperlink" Target="https://www.actualidadambiental.pe/repsol-reporta-afloramiento-de-hidrocarburos-en-refineria-pampilla/" TargetMode="External"/><Relationship Id="rId89" Type="http://schemas.openxmlformats.org/officeDocument/2006/relationships/hyperlink" Target="https://www.libremercado.com/2024-01-09/jp-morgan-vuelve-a-emerger-en-repsol-con-un-536-del-capital-y-se-erige-en-su-segundo-maximo-accionista-7085304/" TargetMode="External"/><Relationship Id="rId4805" Type="http://schemas.openxmlformats.org/officeDocument/2006/relationships/hyperlink" Target="https://proactivo.com.pe/repsol-reporta-que-contuvo-un-afloramiento-puntual-en-refineria-la-pampilla/" TargetMode="External"/><Relationship Id="rId4808" Type="http://schemas.openxmlformats.org/officeDocument/2006/relationships/hyperlink" Target="https://www.infobae.com/espana/2024/12/08/el-restaurante-centenario-que-sirve-uno-de-los-pollos-asados-mas-famosos-de-madrid-cocina-asturiana-reconocida-por-la-guia-repsol/" TargetMode="External"/><Relationship Id="rId4807" Type="http://schemas.openxmlformats.org/officeDocument/2006/relationships/hyperlink" Target="https://www.canariasenmoto.com/noticias/repsol-y-moto-recambios-canarias-impulsan-la-formacion-tecnica-31392.html" TargetMode="External"/><Relationship Id="rId4809" Type="http://schemas.openxmlformats.org/officeDocument/2006/relationships/hyperlink" Target="https://www.bolsamania.com/noticias/empresas/acs-iag-no-cansan-subir-lideran-semana-ibex-35-puig-repsol-sufren--18282799.html" TargetMode="External"/><Relationship Id="rId80" Type="http://schemas.openxmlformats.org/officeDocument/2006/relationships/hyperlink" Target="https://www.elindependiente.com/economia/2024/01/09/repsol-desafia-a-las-low-cost-y-cnmc-lanzando-nuevos-descuentos-en-carburantes/" TargetMode="External"/><Relationship Id="rId82" Type="http://schemas.openxmlformats.org/officeDocument/2006/relationships/hyperlink" Target="https://www.caranddriver.com/es/movilidad/trafico/a46325246/descuentos-gasolina-repsol/" TargetMode="External"/><Relationship Id="rId81" Type="http://schemas.openxmlformats.org/officeDocument/2006/relationships/hyperlink" Target="https://intereconomia.com/noticia/empresas/jp-morgan-pasa-a-ser-el-segundo-mayor-accionista-de-repsol-tras-blackrock-20240109-0011/" TargetMode="External"/><Relationship Id="rId1770" Type="http://schemas.openxmlformats.org/officeDocument/2006/relationships/hyperlink" Target="https://www.elespanol.com/invertia/empresas/energia/20240509/endesa-iberdrola-pierden-clientes-luz-solo-meses-feroces-campanas-repsol/853665038_0.html" TargetMode="External"/><Relationship Id="rId1771" Type="http://schemas.openxmlformats.org/officeDocument/2006/relationships/hyperlink" Target="https://www.guiarepsol.com/es/viajar/vamos-de-excursion/escenarios-donde-se-rodo-las-largas-sombras/" TargetMode="External"/><Relationship Id="rId1772" Type="http://schemas.openxmlformats.org/officeDocument/2006/relationships/hyperlink" Target="https://www.elmundo.es/economia/empresas/2024/05/09/663b700b21efa0f5448b4598.html" TargetMode="External"/><Relationship Id="rId1773" Type="http://schemas.openxmlformats.org/officeDocument/2006/relationships/hyperlink" Target="https://www.guiarepsol.com/es/comer/nuestros-favoritos/4-manos-de-alberto-chicote-y-albert-boronat-en-omeraki-madrid/" TargetMode="External"/><Relationship Id="rId73" Type="http://schemas.openxmlformats.org/officeDocument/2006/relationships/hyperlink" Target="https://alicanteplaza.es/alicanteplaza/oregon-abre-en-orihuela-una-oficina-comarcal-y-pretende-llegar-a-100-puntos-de-atencion-en-2024" TargetMode="External"/><Relationship Id="rId1763" Type="http://schemas.openxmlformats.org/officeDocument/2006/relationships/hyperlink" Target="https://www.fesmcugt.org/territorios/galicia/noticias/actualidad/el-personal-de-vigilancia-estalla-tras-el-desleal-cambio-de-postura-de-repsol-y-el-abandono-de-prosegur" TargetMode="External"/><Relationship Id="rId72" Type="http://schemas.openxmlformats.org/officeDocument/2006/relationships/hyperlink" Target="https://www.boxrepsol.com/es/rally/resultados-de-la-tercera-etapa-del-rally-dakar-2024/" TargetMode="External"/><Relationship Id="rId1764" Type="http://schemas.openxmlformats.org/officeDocument/2006/relationships/hyperlink" Target="https://www.expansion.com/foro-internacional/2024/05/08/663b9f75468aeba1178b4592.html" TargetMode="External"/><Relationship Id="rId75" Type="http://schemas.openxmlformats.org/officeDocument/2006/relationships/hyperlink" Target="https://cincodias.elpais.com/mercados-financieros/2024-01-08/quieres-cobrar-el-dividendo-de-iberdrola-hoy-es-el-ultimo-dia-para-comprar-acciones.html" TargetMode="External"/><Relationship Id="rId1765" Type="http://schemas.openxmlformats.org/officeDocument/2006/relationships/hyperlink" Target="https://intereconomia.com/noticia/empresas/autocontrol-ve-un-engano-la-campana-de-cambios-de-calderas-de-iberdrola-denunciada-por-repsol-20240508-1855/" TargetMode="External"/><Relationship Id="rId74" Type="http://schemas.openxmlformats.org/officeDocument/2006/relationships/hyperlink" Target="https://www.guiarepsol.com/es/dormir/en-la-gloria/elena-estomba-directora-hotel-londres-donostia/" TargetMode="External"/><Relationship Id="rId1766" Type="http://schemas.openxmlformats.org/officeDocument/2006/relationships/hyperlink" Target="https://murciaeconomia.com/art/95731/la-produccion-industrial-regional-se-derrumba-en-marzo-y-cae-un-131" TargetMode="External"/><Relationship Id="rId77" Type="http://schemas.openxmlformats.org/officeDocument/2006/relationships/hyperlink" Target="https://www.libremercado.com/2024-01-09/repsol-aumenta-su-oferta-comercial-y-duplica-sus-descuentos-a-los-clientes-que-contraten-luz-7085340/" TargetMode="External"/><Relationship Id="rId1767" Type="http://schemas.openxmlformats.org/officeDocument/2006/relationships/hyperlink" Target="https://www.boxrepsol.com/es/motogp/cambios-reglamento-motogp-2027/" TargetMode="External"/><Relationship Id="rId76" Type="http://schemas.openxmlformats.org/officeDocument/2006/relationships/hyperlink" Target="https://www.larazon.es/economia/repsol-redobla-ofensiva-descuentos-carburantes_20240109659d290767d53e0001da9e07.html" TargetMode="External"/><Relationship Id="rId1768" Type="http://schemas.openxmlformats.org/officeDocument/2006/relationships/hyperlink" Target="https://cincodias.elpais.com/mercados-financieros/2024-05-09/naturgy-merlin-o-repsol-el-bce-mantiene-28000-millones-de-deuda-de-al-menos-17-empresa-espanolas.html" TargetMode="External"/><Relationship Id="rId79" Type="http://schemas.openxmlformats.org/officeDocument/2006/relationships/hyperlink" Target="https://www.interempresas.net/Estaciones-servicio/Articulos/536879-Repsol-suministra-energia-renovable-a-Mercadona.html" TargetMode="External"/><Relationship Id="rId1769" Type="http://schemas.openxmlformats.org/officeDocument/2006/relationships/hyperlink" Target="https://www.eleconomista.es/energia/noticias/12806551/05/24/repsol-pone-a-la-venta-el-mayor-pozo-descubierto-en-eeuu-en-30-anos.html" TargetMode="External"/><Relationship Id="rId78" Type="http://schemas.openxmlformats.org/officeDocument/2006/relationships/hyperlink" Target="https://www.elespanol.com/invertia/empresas/energia/20240109/repsol-aumenta-oferta-duplica-descuento-centimos-carburantes-clientes-contraten-luz/823667776_0.html" TargetMode="External"/><Relationship Id="rId71" Type="http://schemas.openxmlformats.org/officeDocument/2006/relationships/hyperlink" Target="https://www.nexotrans.com/noticia/112609/nexobus/alsa-colabora-en-la-prueba-piloto-con-combustibles-100-reciclables.html" TargetMode="External"/><Relationship Id="rId70" Type="http://schemas.openxmlformats.org/officeDocument/2006/relationships/hyperlink" Target="https://www.cuatro.com/television/20240108/dori-ignacio-cita-incompatibles-viajera-resort-hotel-gasolinera-repsol_18_011377134.html" TargetMode="External"/><Relationship Id="rId1760" Type="http://schemas.openxmlformats.org/officeDocument/2006/relationships/hyperlink" Target="https://www.elmundo.es/economia/empresas/2024/05/08/663b31acfdddffaf808b4596.html" TargetMode="External"/><Relationship Id="rId1761" Type="http://schemas.openxmlformats.org/officeDocument/2006/relationships/hyperlink" Target="https://www.elindependiente.com/economia/2024/05/08/repsol-vuelve-a-marcar-un-gol-a-iberdrola-la-electrica-condenada-por-publicidad-enganosa-para-cambiar-calderas-de-gas/" TargetMode="External"/><Relationship Id="rId1762" Type="http://schemas.openxmlformats.org/officeDocument/2006/relationships/hyperlink" Target="https://www.elplural.com/economia/empresas/guerra-repsol-iberdrola-publicidad-enganosa-autocontrol-razon-multienergetica_329587102" TargetMode="External"/><Relationship Id="rId62" Type="http://schemas.openxmlformats.org/officeDocument/2006/relationships/hyperlink" Target="https://elperiodicodelaenergia.com/la-mexicana-pemex-estudia-oportunidades-de-negocio-en-venezuela-con-la-petrolera-estatal-pdvsa/" TargetMode="External"/><Relationship Id="rId1796" Type="http://schemas.openxmlformats.org/officeDocument/2006/relationships/hyperlink" Target="https://www.lavanguardia.com/natural/20240510/9632320/choque-inusitado-repsol-greenpeace-acusa-greenpeace-servicio-lobb-electrico-echoca.html" TargetMode="External"/><Relationship Id="rId4822" Type="http://schemas.openxmlformats.org/officeDocument/2006/relationships/hyperlink" Target="https://elperiodicodelaenergia.com/europa-se-convierte-en-destino-clave-para-los-excedentes-de-gnl-asiatico/" TargetMode="External"/><Relationship Id="rId61" Type="http://schemas.openxmlformats.org/officeDocument/2006/relationships/hyperlink" Target="https://www.cronicalibre.com/cultura/restaurante-lienzo-comida-arte/" TargetMode="External"/><Relationship Id="rId1797" Type="http://schemas.openxmlformats.org/officeDocument/2006/relationships/hyperlink" Target="https://www.lavanguardia.com/dinero/20240510/9631192/repsol-invertira-16-000-19-000-millones-euros-2027-sube-30-dividendo.html" TargetMode="External"/><Relationship Id="rId4821" Type="http://schemas.openxmlformats.org/officeDocument/2006/relationships/hyperlink" Target="https://www.economiadigital.es/valencia/empresas/octopus-masmovil-eni-clientes-endesa-iberdrola-naturgy.html" TargetMode="External"/><Relationship Id="rId64" Type="http://schemas.openxmlformats.org/officeDocument/2006/relationships/hyperlink" Target="https://www.todocircuito.com/noticias/35043-filtradas-las-fotos-de-la-supuesta-ducati-de-marc-marquez-para-este-ano.html" TargetMode="External"/><Relationship Id="rId1798" Type="http://schemas.openxmlformats.org/officeDocument/2006/relationships/hyperlink" Target="https://www.vozpopuli.com/economia/imaz-acusa-ecologistas-responsables-dogma-aumento-emisiones.html" TargetMode="External"/><Relationship Id="rId4824" Type="http://schemas.openxmlformats.org/officeDocument/2006/relationships/hyperlink" Target="https://larepublica.pe/sociedad/2024/12/06/repsol-reporta-afloramiento-de-hidrocarburo-en-la-refineria-la-pampilla-en-ventanilla-que-sucedio-129204" TargetMode="External"/><Relationship Id="rId63" Type="http://schemas.openxmlformats.org/officeDocument/2006/relationships/hyperlink" Target="https://www.epe.es/es/television/20240107/tve-endulza-parrilla-pone-fecha-96621517" TargetMode="External"/><Relationship Id="rId1799" Type="http://schemas.openxmlformats.org/officeDocument/2006/relationships/hyperlink" Target="https://www.malagahoy.es/la-farola/mejores-bares-provincia-Malaga-expertos_0_1901511429.html" TargetMode="External"/><Relationship Id="rId4823" Type="http://schemas.openxmlformats.org/officeDocument/2006/relationships/hyperlink" Target="https://www.laopinioncoruna.es/economia/2024/12/08/arteixo-modelo-desarrollo-industrial-112414040.html" TargetMode="External"/><Relationship Id="rId66" Type="http://schemas.openxmlformats.org/officeDocument/2006/relationships/hyperlink" Target="https://www.europapress.es/economia/noticia-norges-bank-mueve-posiciones-repsol-rebaja-participacion-453-20240108132231.html" TargetMode="External"/><Relationship Id="rId4826" Type="http://schemas.openxmlformats.org/officeDocument/2006/relationships/hyperlink" Target="https://www.capitalmadrid.com/2024/12/9/68613/repsol-aumenta-sus-puntos-de-recarga.html" TargetMode="External"/><Relationship Id="rId65" Type="http://schemas.openxmlformats.org/officeDocument/2006/relationships/hyperlink" Target="https://www.eleconomista.es/mercados-cotizaciones/noticias/12610101/01/24/once-companias-del-ibex-35-ofrecen-un-6-o-mas-con-sus-dividendos-de-2024.html" TargetMode="External"/><Relationship Id="rId4825" Type="http://schemas.openxmlformats.org/officeDocument/2006/relationships/hyperlink" Target="https://cincodias.elpais.com/companias/2024-12-10/repsol-tambien-mueve-ficha-en-plena-fiebre-por-el-reposicionamiento-de-marca-en-el-sector-energetico.html" TargetMode="External"/><Relationship Id="rId68" Type="http://schemas.openxmlformats.org/officeDocument/2006/relationships/hyperlink" Target="https://www.xtb.com/es/analisis-de-mercado/ultimo-dia-para-cobrar-el-dividendo-de-repsol" TargetMode="External"/><Relationship Id="rId4828" Type="http://schemas.openxmlformats.org/officeDocument/2006/relationships/hyperlink" Target="https://www.finanzas.com/ibex-35/repsol-toca-minimos-tras-un-rejonazo-de-jp-morgan.html" TargetMode="External"/><Relationship Id="rId67" Type="http://schemas.openxmlformats.org/officeDocument/2006/relationships/hyperlink" Target="https://cincodias.elpais.com/companias/2024-01-08/jpmorgan-aflora-un-53-en-repsol-y-se-convierte-en-su-segundo-mayor-accionista.html" TargetMode="External"/><Relationship Id="rId4827" Type="http://schemas.openxmlformats.org/officeDocument/2006/relationships/hyperlink" Target="https://www.bolsamania.com/noticias/analisis-fundamental/jp-morgan-recorta-repsol-infraponderar-baja-precio-1250-euros-accion--18286769.html" TargetMode="External"/><Relationship Id="rId4829" Type="http://schemas.openxmlformats.org/officeDocument/2006/relationships/hyperlink" Target="https://www.diariosur.es/malaga-capital/tramite-judicial-aleja-obras-suelos-repsol-20241205143251-nt.html" TargetMode="External"/><Relationship Id="rId60" Type="http://schemas.openxmlformats.org/officeDocument/2006/relationships/hyperlink" Target="https://www.atodomotor.com/noticia/9533/Isidre-Esteve-mantiene-la-31A-posicion-en-la-general.html" TargetMode="External"/><Relationship Id="rId69" Type="http://schemas.openxmlformats.org/officeDocument/2006/relationships/hyperlink" Target="https://www.estrategiasdeinversion.com/actualidad/noticias/bolsa-espana/por-que-repsol-cae-a-plomo-y-ya-no-levanta-el-n-677019" TargetMode="External"/><Relationship Id="rId1790" Type="http://schemas.openxmlformats.org/officeDocument/2006/relationships/hyperlink" Target="https://efe.com/economia/2024-05-10/repsol-gravamen-energeticas/" TargetMode="External"/><Relationship Id="rId1791" Type="http://schemas.openxmlformats.org/officeDocument/2006/relationships/hyperlink" Target="https://www.elindependiente.com/economia/2024/05/10/josu-jon-imaz-repsol-se-enzarza-con-greenpeace-ustedes-son-los-culpables-del-aumento-de-las-emisiones/" TargetMode="External"/><Relationship Id="rId1792" Type="http://schemas.openxmlformats.org/officeDocument/2006/relationships/hyperlink" Target="https://www.bolsamania.com/noticias/empresas/repsol-aprueba-dividendo-complementario-05-euros-brutos-abonar-8-julio--16757439.html" TargetMode="External"/><Relationship Id="rId1793" Type="http://schemas.openxmlformats.org/officeDocument/2006/relationships/hyperlink" Target="https://www.20minutos.es/lainformacion/empresas/brufau-repsol-no-somos-retardistas-ni-negacionistas-lucha-contra-cambio-climatico-5264426/" TargetMode="External"/><Relationship Id="rId1794" Type="http://schemas.openxmlformats.org/officeDocument/2006/relationships/hyperlink" Target="https://es.greenpeace.org/es/noticias/accion-repsol-culpable-de-la-crisis-climatica/" TargetMode="External"/><Relationship Id="rId4820" Type="http://schemas.openxmlformats.org/officeDocument/2006/relationships/hyperlink" Target="https://www.motosan.es/motogp/alberto-puig-comunicacion-europa-japon-dificil/" TargetMode="External"/><Relationship Id="rId1795" Type="http://schemas.openxmlformats.org/officeDocument/2006/relationships/hyperlink" Target="https://www.boxrepsol.com/es/cultura-motera/los-mejores-guantes-de-verano-para-moto/" TargetMode="External"/><Relationship Id="rId51" Type="http://schemas.openxmlformats.org/officeDocument/2006/relationships/hyperlink" Target="https://diariodeavisos.elespanol.com/2024/01/familia-gonzalez-tenerife-loteria-del-nino/" TargetMode="External"/><Relationship Id="rId1785" Type="http://schemas.openxmlformats.org/officeDocument/2006/relationships/hyperlink" Target="https://www.elperiodico.com/es/economia/20240510/junta-accionistas-repsol-petroleo-gas-retardista-cambio-climatico-102196027" TargetMode="External"/><Relationship Id="rId4811" Type="http://schemas.openxmlformats.org/officeDocument/2006/relationships/hyperlink" Target="https://www.elperiodicomediterraneo.com/ocio/gastronomia/2024/12/07/cena-benicassim-desde-valencia-menu-restaurantes-cocineros-castellon-112335221.html" TargetMode="External"/><Relationship Id="rId50" Type="http://schemas.openxmlformats.org/officeDocument/2006/relationships/hyperlink" Target="https://www.heraldo.es/noticias/aragon/teruel/2024/01/06/restaurante-existe-gastronomia-vanguardia-mundo-rural-teruel-1701789.html" TargetMode="External"/><Relationship Id="rId1786" Type="http://schemas.openxmlformats.org/officeDocument/2006/relationships/hyperlink" Target="https://www.economiadigital.es/empresas/repsol-junta-brufau.html" TargetMode="External"/><Relationship Id="rId4810" Type="http://schemas.openxmlformats.org/officeDocument/2006/relationships/hyperlink" Target="https://www.heraldo.es/noticias/gastronomia/2024/12/07/exclusiva-cena-solidaria-paraninfo-zaragoza-estrellas-michelin-soles-repsol-1783363.html" TargetMode="External"/><Relationship Id="rId53" Type="http://schemas.openxmlformats.org/officeDocument/2006/relationships/hyperlink" Target="https://www.elindependiente.com/espana/2024/01/06/la-princesa-leonor-protagonista-en-su-primera-pascua-militar/" TargetMode="External"/><Relationship Id="rId1787" Type="http://schemas.openxmlformats.org/officeDocument/2006/relationships/hyperlink" Target="https://efeverde.com/imaz-repsol-a-greenpeace-ustedes-son-los-mayores-responsables-del-aumento-de-emisiones/" TargetMode="External"/><Relationship Id="rId4813" Type="http://schemas.openxmlformats.org/officeDocument/2006/relationships/hyperlink" Target="https://www.latribunadeciudadreal.es/noticia/z45516baf-9858-84b9-7926bc79ee0cadd9/202412/puertollano-enciende-el-alumbrado-navideno" TargetMode="External"/><Relationship Id="rId52" Type="http://schemas.openxmlformats.org/officeDocument/2006/relationships/hyperlink" Target="https://www.epe.es/es/internacional/20240106/avion-aterriza-aeropuerto-estadounidense-portland-96595298" TargetMode="External"/><Relationship Id="rId1788" Type="http://schemas.openxmlformats.org/officeDocument/2006/relationships/hyperlink" Target="https://www.abc.es/economia/repsol-celebra-junta-anual-accionistas-20240510140006-vi.html" TargetMode="External"/><Relationship Id="rId4812" Type="http://schemas.openxmlformats.org/officeDocument/2006/relationships/hyperlink" Target="https://gestion.pe/economia/empresas/osinergmin-suspendio-actividades-en-terminal-de-repsol-tras-nuevo-derrame-en-ventanilla-noticia/" TargetMode="External"/><Relationship Id="rId55" Type="http://schemas.openxmlformats.org/officeDocument/2006/relationships/hyperlink" Target="https://www.eleconomista.es/economia/noticias/12611436/01/24/dime-de-que-trabajas-y-te-dire-cuanto-va-a-subir-tu-sueldo-en-2024.html" TargetMode="External"/><Relationship Id="rId1789" Type="http://schemas.openxmlformats.org/officeDocument/2006/relationships/hyperlink" Target="https://www.libremercado.com/2024-05-10/durisima-respuesta-de-imaz-a-los-reproches-de-una-activista-de-greenpeace-en-plena-junta-de-accionistas-7125999/" TargetMode="External"/><Relationship Id="rId4815" Type="http://schemas.openxmlformats.org/officeDocument/2006/relationships/hyperlink" Target="https://aviaciondigital.com/produccion-saf-espana/" TargetMode="External"/><Relationship Id="rId54" Type="http://schemas.openxmlformats.org/officeDocument/2006/relationships/hyperlink" Target="https://www.20minutos.es/deportes/noticia/5206680/0/carlos-sainz-acaricia-victoria-primera-etapa-dakar-tras-exhibirse-protagonizando-una-epica-remontada/" TargetMode="External"/><Relationship Id="rId4814" Type="http://schemas.openxmlformats.org/officeDocument/2006/relationships/hyperlink" Target="https://www.20minutos.es/lainformacion/empresas/grandes-energeticas-nutren-innovacion-espanola-nace-pymes-startups-5660457/" TargetMode="External"/><Relationship Id="rId57" Type="http://schemas.openxmlformats.org/officeDocument/2006/relationships/hyperlink" Target="https://www.motor16.com/noticias/gasolina-repsol-cepsa-galp-ocu/" TargetMode="External"/><Relationship Id="rId4817" Type="http://schemas.openxmlformats.org/officeDocument/2006/relationships/hyperlink" Target="https://www.elespanol.com/aragon/vivir/20241208/bar-barrio-zaragoza-recomendado-guia-repsol-lugar-castizo-arrasa-tapas-trt/906909362_0.html" TargetMode="External"/><Relationship Id="rId56" Type="http://schemas.openxmlformats.org/officeDocument/2006/relationships/hyperlink" Target="https://www.eleconomista.es/energia/noticias/12612725/01/24/argentina-apelara-el-pago-de-los-16000-millones-por-la-expropiacion-de-ypf-el-10-de-enero.html" TargetMode="External"/><Relationship Id="rId4816" Type="http://schemas.openxmlformats.org/officeDocument/2006/relationships/hyperlink" Target="https://www.larazon.es/deportes/repsol-toyota-gazoo-ganar-dakar-2025-manera-renovable_20241208675571241258380001f7a3dd.html" TargetMode="External"/><Relationship Id="rId4819" Type="http://schemas.openxmlformats.org/officeDocument/2006/relationships/hyperlink" Target="https://lsb-uso.com/2024/12/elecciones-sindicales-repsol-butano/" TargetMode="External"/><Relationship Id="rId4818" Type="http://schemas.openxmlformats.org/officeDocument/2006/relationships/hyperlink" Target="https://elpais.com/economia/negocios/2024-12-09/un-catecismo-de-seis-mandamientos-asi-ensenan-las-empresas-del-ibex-a-sus-empleados-como-hay-que-hablar-con-los-robots.html" TargetMode="External"/><Relationship Id="rId59" Type="http://schemas.openxmlformats.org/officeDocument/2006/relationships/hyperlink" Target="https://www.economiadigital.es/valencia/empresas/mercadona-estudio-ventas-ibex.html" TargetMode="External"/><Relationship Id="rId58" Type="http://schemas.openxmlformats.org/officeDocument/2006/relationships/hyperlink" Target="https://www.boxrepsol.com/es/rally/resultados-de-la-segunda-etapa-del-rally-dakar-2024/" TargetMode="External"/><Relationship Id="rId1780" Type="http://schemas.openxmlformats.org/officeDocument/2006/relationships/hyperlink" Target="https://climatica.coop/josu-jon-imaz-repsol-acusa-greenpeace-emisiones/" TargetMode="External"/><Relationship Id="rId1781" Type="http://schemas.openxmlformats.org/officeDocument/2006/relationships/hyperlink" Target="https://www.lavanguardia.com/economia/20240510/9632082/brufau-defiende-repsol-son-retardistas-negacionistas-ep-agenciaslv20240510.html" TargetMode="External"/><Relationship Id="rId1782" Type="http://schemas.openxmlformats.org/officeDocument/2006/relationships/hyperlink" Target="https://www.lavozdegalicia.es/noticia/economia/2024/05/11/presidente-repsol-retardistas-activistas-contra-cambio-climatico/0003_202405G11P31991.htm" TargetMode="External"/><Relationship Id="rId1783" Type="http://schemas.openxmlformats.org/officeDocument/2006/relationships/hyperlink" Target="https://www.elespanol.com/invertia/empresas/energia/20240510/repsol-propone-mejora-retribucion-accionista-alcanzar-millones-dividendos/854164848_0.html" TargetMode="External"/><Relationship Id="rId1784" Type="http://schemas.openxmlformats.org/officeDocument/2006/relationships/hyperlink" Target="https://cincodias.elpais.com/companias/2024-05-10/brufau-repsol-responde-a-ribera-no-somos-negacionistas-somos-activistas-de-la-lucha-contra-el-cambio-climatico.html" TargetMode="External"/><Relationship Id="rId2269" Type="http://schemas.openxmlformats.org/officeDocument/2006/relationships/hyperlink" Target="https://movilidadelectrica.com/repsol-1-500-puntos-de-carga/" TargetMode="External"/><Relationship Id="rId349" Type="http://schemas.openxmlformats.org/officeDocument/2006/relationships/hyperlink" Target="https://www.20minutos.es/motor/movilidad/gasolineras-combustible-renovable-repsol-sin-petroleo-espana-5204459/" TargetMode="External"/><Relationship Id="rId348" Type="http://schemas.openxmlformats.org/officeDocument/2006/relationships/hyperlink" Target="https://www.caranddriver.com/es/coches/planeta-motor/a46548341/ocu-advierte-sobre-las-nuevas-gasolinas-renovables/" TargetMode="External"/><Relationship Id="rId347" Type="http://schemas.openxmlformats.org/officeDocument/2006/relationships/hyperlink" Target="https://soltvperu.com/trujillo-cisterna-derrama-casi-mil-quinientos-galones-de-petroleo-en-avenida-vera-enriquez/" TargetMode="External"/><Relationship Id="rId346" Type="http://schemas.openxmlformats.org/officeDocument/2006/relationships/hyperlink" Target="https://n60.pe/trujillo-se-derraman-1500-galones-de-petroleo-en-avenida-nicolas-de-pierola/" TargetMode="External"/><Relationship Id="rId3591" Type="http://schemas.openxmlformats.org/officeDocument/2006/relationships/hyperlink" Target="https://www.miciudadreal.es/2024/10/07/trabajadores-de-repsol-lubricantes-y-asfaltos-puertollano-comienzan-su-huelga-indefinida-convocando-concentraciones-y-una-manifestacion-esta-semana/" TargetMode="External"/><Relationship Id="rId2260" Type="http://schemas.openxmlformats.org/officeDocument/2006/relationships/hyperlink" Target="https://www.abc.es/espana/castilla-la-mancha/antonio-lorenzo-nuevo-director-complejo-industrial-repsol-20240625190650-nt.html" TargetMode="External"/><Relationship Id="rId3590" Type="http://schemas.openxmlformats.org/officeDocument/2006/relationships/hyperlink" Target="https://blogs.elconfidencial.com/mercados/bolsagora/2024-10-07/cotizacion-repsol-zona-soporte_3977948/" TargetMode="External"/><Relationship Id="rId341" Type="http://schemas.openxmlformats.org/officeDocument/2006/relationships/hyperlink" Target="https://www.atlanticohoy.com/palmas/estos-son-mejores-mercadillos-artesanales-lanzarote-segun-guia-repsol-donde-cuando_1526897_102.html" TargetMode="External"/><Relationship Id="rId2261" Type="http://schemas.openxmlformats.org/officeDocument/2006/relationships/hyperlink" Target="https://www.diariodelpuerto.com/maritimo/la-ap-de-a-coruna-desmantelara-los-cargaderos-de-carbon-y-azufre-de-repsol-en-el-muelle-de-san-diego-MK20088477" TargetMode="External"/><Relationship Id="rId3593" Type="http://schemas.openxmlformats.org/officeDocument/2006/relationships/hyperlink" Target="https://www.cmmedia.es/noticias/castilla-la-mancha/ciudad-real/trabajadores-repsol-lubricantes-asfaltos-puertollano-huelga-indefinida-lunes.html" TargetMode="External"/><Relationship Id="rId340" Type="http://schemas.openxmlformats.org/officeDocument/2006/relationships/hyperlink" Target="https://www.guiarepsol.com/es/comer/en-el-mercado/nuevo-obrador-pan-pasteleria-cientotreinta-grados-madrid/" TargetMode="External"/><Relationship Id="rId2262" Type="http://schemas.openxmlformats.org/officeDocument/2006/relationships/hyperlink" Target="https://www.puromarketing.com/14/214035/maybeshewill-cancela-participacion-resurrection-fest-denuncia-greenwashing-repsol-traves-patrocinio-marca" TargetMode="External"/><Relationship Id="rId3592" Type="http://schemas.openxmlformats.org/officeDocument/2006/relationships/hyperlink" Target="https://www.expansion.com/mercados/2024/10/07/6703867ee5fdea9e668b458c.html" TargetMode="External"/><Relationship Id="rId2263" Type="http://schemas.openxmlformats.org/officeDocument/2006/relationships/hyperlink" Target="https://www.elobservador.com.uy/espana/empresas-y-negocios/repsol-acuerda-amazon-descontar-5-euros-la-carga-combustible-quienes-recojan-un-paquete-sus-estaciones-n5947785" TargetMode="External"/><Relationship Id="rId3595" Type="http://schemas.openxmlformats.org/officeDocument/2006/relationships/hyperlink" Target="https://www.guiarepsol.com/es/comer/en-el-mercado/asi-se-elabora-la-trenza-de-almudevar-pasteleria-tolosana-huesca/" TargetMode="External"/><Relationship Id="rId2264" Type="http://schemas.openxmlformats.org/officeDocument/2006/relationships/hyperlink" Target="https://www.boxrepsol.com/es/motogp/horarios-y-como-ver-el-motogp-de-holanda/" TargetMode="External"/><Relationship Id="rId3594" Type="http://schemas.openxmlformats.org/officeDocument/2006/relationships/hyperlink" Target="https://formularapida.net/es/repsol-resume-cinco-decadas-en-el-mundo-de-las-dos-ruedas-en-el-museo-de-la-moto-made-in-spain/" TargetMode="External"/><Relationship Id="rId345" Type="http://schemas.openxmlformats.org/officeDocument/2006/relationships/hyperlink" Target="https://www.repsol.com/es/productos-y-servicios/materiales/materiales-news/ampliamos-nuestra-gama-polietileno-ultralimpio-impulsando-ecodiseno-sostenible/index.cshtml" TargetMode="External"/><Relationship Id="rId2265" Type="http://schemas.openxmlformats.org/officeDocument/2006/relationships/hyperlink" Target="https://www.guiarepsol.com/es/comer/nuestros-favoritos/restaurante-berebere-en-torre-del-mar-malaga/" TargetMode="External"/><Relationship Id="rId3597" Type="http://schemas.openxmlformats.org/officeDocument/2006/relationships/hyperlink" Target="https://www.estrategiasdeinversion.com/analisis/los-brokers-recomiendan/recomendaciones-espana/morgan-stanley-recorta-el-potencial-de-la-petrolera-n-750061" TargetMode="External"/><Relationship Id="rId344" Type="http://schemas.openxmlformats.org/officeDocument/2006/relationships/hyperlink" Target="https://www.lavanguardia.com/local/catalunya/20240125/9505190/repsol-abre-investigacion-interna-estafa-bombonas-butano.html" TargetMode="External"/><Relationship Id="rId2266" Type="http://schemas.openxmlformats.org/officeDocument/2006/relationships/hyperlink" Target="https://www.20minutos.es/gastronomia/restaurantes/exito-restaurante-madrid-fusion-asiatica-radical-5523361/" TargetMode="External"/><Relationship Id="rId3596" Type="http://schemas.openxmlformats.org/officeDocument/2006/relationships/hyperlink" Target="https://www.larazon.es/castilla-y-leon/aceite-usado-cocina-tambien-recogera-gasolineras-repsol_202410076703c32564da62000178f5ec.html" TargetMode="External"/><Relationship Id="rId343" Type="http://schemas.openxmlformats.org/officeDocument/2006/relationships/hyperlink" Target="https://www.repsol.com/es/energia-futuro/tecnologia-innovacion/importancia-conocimiento-humano-uso-inteligencia-artificial/index.cshtml" TargetMode="External"/><Relationship Id="rId2267" Type="http://schemas.openxmlformats.org/officeDocument/2006/relationships/hyperlink" Target="https://www.guiarepsol.com/es/fichas/solete/el-americano-el-paso-333253/" TargetMode="External"/><Relationship Id="rId3599" Type="http://schemas.openxmlformats.org/officeDocument/2006/relationships/hyperlink" Target="https://cadenaser.com/castillalamancha/2024/10/07/comienza-la-huelga-indefinida-en-rlesa-puertollano-con-seguimiento-masivo-y-sin-servicios-minimos-ser-ciudad-real/" TargetMode="External"/><Relationship Id="rId342" Type="http://schemas.openxmlformats.org/officeDocument/2006/relationships/hyperlink" Target="https://www.boxrepsol.com/es/trial/toni-bou-yo-siempre-estoy-obligado-a-ganar/" TargetMode="External"/><Relationship Id="rId2268" Type="http://schemas.openxmlformats.org/officeDocument/2006/relationships/hyperlink" Target="https://www.carm.es/web/pagina?IDCONTENIDO=119142&amp;IDTIPO=10&amp;RASTRO=c$m122,70" TargetMode="External"/><Relationship Id="rId3598" Type="http://schemas.openxmlformats.org/officeDocument/2006/relationships/hyperlink" Target="https://www.repsol.es/particulares/asesoramiento-consumo/mejor-bicicleta-electrica/" TargetMode="External"/><Relationship Id="rId2258" Type="http://schemas.openxmlformats.org/officeDocument/2006/relationships/hyperlink" Target="https://dircomfidencial.com/comunicacion/puentia-ficha-a-juan-navarro-ex-dircom-de-repsol-20240625-1149/" TargetMode="External"/><Relationship Id="rId2259" Type="http://schemas.openxmlformats.org/officeDocument/2006/relationships/hyperlink" Target="https://www.20minutos.es/motor/actualidad/descuento-ofrece-repsol-recoges-paquete-amazon-sus-gasolineras-5522364/" TargetMode="External"/><Relationship Id="rId3589" Type="http://schemas.openxmlformats.org/officeDocument/2006/relationships/hyperlink" Target="https://www.regiondigital.com/noticias/portada/401222-ued-critica-que-gestion-red-electrolineras-publicas-de-diputacion-pase-a-manos-de-repsol.html" TargetMode="External"/><Relationship Id="rId338" Type="http://schemas.openxmlformats.org/officeDocument/2006/relationships/hyperlink" Target="https://www.infobae.com/espana/2024/01/26/el-restaurante-recomendado-por-la-guia-repsol-que-se-encuentra-dentro-de-una-cueva-natural-en-cuenca/" TargetMode="External"/><Relationship Id="rId337" Type="http://schemas.openxmlformats.org/officeDocument/2006/relationships/hyperlink" Target="https://www.laopiniondemurcia.es/ocio/gastronomia/2024/01/25/son-restaurantes-region-cuentan-actualmente-97324792.html" TargetMode="External"/><Relationship Id="rId336" Type="http://schemas.openxmlformats.org/officeDocument/2006/relationships/hyperlink" Target="https://cmonmurcia.com/cartagena-acogera-la-proxima-gala-de-los-soles-guia-repsol-2024/" TargetMode="External"/><Relationship Id="rId335" Type="http://schemas.openxmlformats.org/officeDocument/2006/relationships/hyperlink" Target="https://www.20minutos.es/noticia/5212428/0/iberdrola-regulacion-estable-repsol-ampliar-leyes-estrechas-industria-descarbonizacion/" TargetMode="External"/><Relationship Id="rId3580" Type="http://schemas.openxmlformats.org/officeDocument/2006/relationships/hyperlink" Target="https://www.guiarepsol.com/es/viajar/con-ninos/recoleccion-frutos-rojos-con-ninos-ecos-del-lozoya-guadarrama-madrid/" TargetMode="External"/><Relationship Id="rId339" Type="http://schemas.openxmlformats.org/officeDocument/2006/relationships/hyperlink" Target="https://www.ilunion.com/es/actualidad/linea-reciclaje-frigorificos-innovadora" TargetMode="External"/><Relationship Id="rId330" Type="http://schemas.openxmlformats.org/officeDocument/2006/relationships/hyperlink" Target="https://sierranevada.es/es/medianet/blog/posts/sierra-nevada-se-alia-con-repsol-para-reducir-las-emisiones-de-la-estacion/" TargetMode="External"/><Relationship Id="rId2250" Type="http://schemas.openxmlformats.org/officeDocument/2006/relationships/hyperlink" Target="https://www.eleconomista.es/galerias/eleconomista/21356/VI-Foro-Corell-Transicion-energetica-y-realidad-industrial" TargetMode="External"/><Relationship Id="rId3582" Type="http://schemas.openxmlformats.org/officeDocument/2006/relationships/hyperlink" Target="https://www.elperiodico.com/es/cata-mayor/restaurantes/20241006/restaurantes-tarragona-provincia-comer-barato-104818060" TargetMode="External"/><Relationship Id="rId2251" Type="http://schemas.openxmlformats.org/officeDocument/2006/relationships/hyperlink" Target="https://www.bonviveur.es/noticias/mejores-restaurantes-aragon" TargetMode="External"/><Relationship Id="rId3581" Type="http://schemas.openxmlformats.org/officeDocument/2006/relationships/hyperlink" Target="https://www.moto1pro.com/enduropro/actualidad/toni-bou-logra-su-36o-titulo-de-campeon-del-mundo" TargetMode="External"/><Relationship Id="rId2252" Type="http://schemas.openxmlformats.org/officeDocument/2006/relationships/hyperlink" Target="https://oem.com.mx/elsoldemexico/finanzas/sheinbaum-conquista-y-da-confianza-a-las-empresas-espanolas-13063861" TargetMode="External"/><Relationship Id="rId3584" Type="http://schemas.openxmlformats.org/officeDocument/2006/relationships/hyperlink" Target="https://elcomercio.pe/economia/dia-1/ocean-liberty-el-unico-buque-de-respuesta-a-derrames-de-petroleo-de-la-region-llego-al-peru-petroleo-derrame-de-petroleo-repsol-hidrocarburos-coam-peru-noticia/" TargetMode="External"/><Relationship Id="rId2253" Type="http://schemas.openxmlformats.org/officeDocument/2006/relationships/hyperlink" Target="https://www.motorpasion.com/futuro-movimiento/hay-dos-opciones-fabricar-plasticos-envenenarnos-ellos-reciclaje-pirolisis-solucionara-problemon-que-tenemos" TargetMode="External"/><Relationship Id="rId3583" Type="http://schemas.openxmlformats.org/officeDocument/2006/relationships/hyperlink" Target="https://www.boxrepsol.com/es/motogp/resultados-del-gp-de-japon-de-motogp-2024/" TargetMode="External"/><Relationship Id="rId334" Type="http://schemas.openxmlformats.org/officeDocument/2006/relationships/hyperlink" Target="https://www.caranddriver.com/es/movilidad/sostenibilidad-ecologia/a46530504/video-nuevas-gasolina-y-diesel-repsol/" TargetMode="External"/><Relationship Id="rId2254" Type="http://schemas.openxmlformats.org/officeDocument/2006/relationships/hyperlink" Target="https://okdiario.com/okgreen/san-lorenzo-escorial-impartira-curso-verano-complutense-sobre-golf-sostenibilidad-13042371" TargetMode="External"/><Relationship Id="rId3586" Type="http://schemas.openxmlformats.org/officeDocument/2006/relationships/hyperlink" Target="https://www.eventoplus.com/casos/repsol-organiza-un-incentivo-en-vietnam-para-conocer-sus-historias-ancestrales/" TargetMode="External"/><Relationship Id="rId333" Type="http://schemas.openxmlformats.org/officeDocument/2006/relationships/hyperlink" Target="https://www.lavanguardia.com/comer/al-dia/20240125/9505604/cartagena-ciudad-elegida-gala-soles-guia-repsol-2024.html" TargetMode="External"/><Relationship Id="rId2255" Type="http://schemas.openxmlformats.org/officeDocument/2006/relationships/hyperlink" Target="https://okdiario.com/okgreen/organizaciones-ecologistas-demandan-estado-espanol-inaccion-cambio-climatico-13043273" TargetMode="External"/><Relationship Id="rId3585" Type="http://schemas.openxmlformats.org/officeDocument/2006/relationships/hyperlink" Target="https://www.lavanguardia.com/economia/20241006/9999086/petroleo-telecos.html" TargetMode="External"/><Relationship Id="rId332" Type="http://schemas.openxmlformats.org/officeDocument/2006/relationships/hyperlink" Target="https://www.repsol.com/es/energia-futuro/tecnologia-innovacion/computacion-cuantica-ciencia/index.cshtml" TargetMode="External"/><Relationship Id="rId2256" Type="http://schemas.openxmlformats.org/officeDocument/2006/relationships/hyperlink" Target="https://www.guiarepsol.com/es/soletes/donde-comen-los-cocineros-con-soles-2024/" TargetMode="External"/><Relationship Id="rId3588" Type="http://schemas.openxmlformats.org/officeDocument/2006/relationships/hyperlink" Target="https://www.xtb.com/es/analisis-de-mercado/nuevos-precios-objetivos-para-repsol-y-endesa" TargetMode="External"/><Relationship Id="rId331" Type="http://schemas.openxmlformats.org/officeDocument/2006/relationships/hyperlink" Target="https://www.palenciaenlared.es/la-junta-y-repsol-promueven-la-utilizacion-de-combustibles-renovables-en-rutas-del-transporte-publico-de-palencia/" TargetMode="External"/><Relationship Id="rId2257" Type="http://schemas.openxmlformats.org/officeDocument/2006/relationships/hyperlink" Target="https://www.lavanguardia.com/motor/20240625/9758266/repsol-te-ofrece-descuento-recoges-paquetes-amazon-gasolineras-pmv.html" TargetMode="External"/><Relationship Id="rId3587" Type="http://schemas.openxmlformats.org/officeDocument/2006/relationships/hyperlink" Target="https://www.economiadigital.es/empresas/naturgy-pierde-85000-clientes-presion-repsol-comercializadoras-independientes.html" TargetMode="External"/><Relationship Id="rId370" Type="http://schemas.openxmlformats.org/officeDocument/2006/relationships/hyperlink" Target="https://cronicaglobal.elespanol.com/cronica-directo/curiosidades/20240129/el-restaurante-de-girona-dos-michelin-repsol/828667247_0.html" TargetMode="External"/><Relationship Id="rId369" Type="http://schemas.openxmlformats.org/officeDocument/2006/relationships/hyperlink" Target="https://www.huelvahoy.com/articulo/provincia/mesa-ria-lamenta-que-resolucion-ministerio-sellado-pozos-marinos-gas-repsol-excluya-eliminar-gaseoductos-que-atraviesan-donana/20240129165002296851.html" TargetMode="External"/><Relationship Id="rId368" Type="http://schemas.openxmlformats.org/officeDocument/2006/relationships/hyperlink" Target="https://trome.com/actualidad/playas-en-lima-cuales-son-las-playas-aptas-para-el-publico-sin-contaminacion-para-ir-en-verano-2024-derrame-de-petroleo-repsol-video-noticia/" TargetMode="External"/><Relationship Id="rId2280" Type="http://schemas.openxmlformats.org/officeDocument/2006/relationships/hyperlink" Target="https://www.economiademallorca.com/articulo/gastronomia/32-establecimientos-baleares-son-reconocidos-soletes-guia-repsol/20240626124631095730.html" TargetMode="External"/><Relationship Id="rId2281" Type="http://schemas.openxmlformats.org/officeDocument/2006/relationships/hyperlink" Target="https://nuevecuatrouno.com/2024/06/26/la-rioja-suma-ocho-nuevas-soletes-recomendaciones-de-la-guia-repsol/" TargetMode="External"/><Relationship Id="rId2282" Type="http://schemas.openxmlformats.org/officeDocument/2006/relationships/hyperlink" Target="https://www.cantabriaeconomica.com/noticias/22-soletes-de-repsol-para-comer-a-precio-asequible-este-verano-en-la-region/" TargetMode="External"/><Relationship Id="rId363" Type="http://schemas.openxmlformats.org/officeDocument/2006/relationships/hyperlink" Target="https://elperiodicodelaenergia.com/mientras-eeuu-construye-nuevas-terminales-gnl-europa-reduce-demanda-gas-diversifica-fuentes-energia/" TargetMode="External"/><Relationship Id="rId2283" Type="http://schemas.openxmlformats.org/officeDocument/2006/relationships/hyperlink" Target="https://www.elcorreogallego.es/galicia/2024/06/26/locales-santiago-soletes-confianza-mejores-104304315.html" TargetMode="External"/><Relationship Id="rId362" Type="http://schemas.openxmlformats.org/officeDocument/2006/relationships/hyperlink" Target="https://www.mundodeportivo.com/solomoto/20240128/1002176260/llevas-aceite-cocina-usado-gasolinera-repsol-tendras-descuento-ayudas-fabricar-gasolina-renovable-puedes-comprar.html" TargetMode="External"/><Relationship Id="rId2284" Type="http://schemas.openxmlformats.org/officeDocument/2006/relationships/hyperlink" Target="https://www.lavozdealmeria.com/la-foodineta/253682/almeria-gana-9-soletes-repsol-nuevos-recomendados-chef-costa.html" TargetMode="External"/><Relationship Id="rId361" Type="http://schemas.openxmlformats.org/officeDocument/2006/relationships/hyperlink" Target="https://www.comillas.edu/noticias/los-retos-del-almacenamiento-energetico/" TargetMode="External"/><Relationship Id="rId2285" Type="http://schemas.openxmlformats.org/officeDocument/2006/relationships/hyperlink" Target="https://www.lorca.es/noticias/noticias.asp?idn=17335" TargetMode="External"/><Relationship Id="rId360" Type="http://schemas.openxmlformats.org/officeDocument/2006/relationships/hyperlink" Target="https://www.nevasport.com/noticias/art/66068/sierra-nevada-se-convierte-en-la-primera-estacion-de-esqui-de-espana-en-utilizar-combustible-100-renovable/" TargetMode="External"/><Relationship Id="rId2286" Type="http://schemas.openxmlformats.org/officeDocument/2006/relationships/hyperlink" Target="https://www.elespanol.com/eldigitalcastillalamancha/vivir/gastro/20240626/locales-provincia-ciudad-real-logran-solete-repsol-buenos-baratos/865913619_0.html" TargetMode="External"/><Relationship Id="rId367" Type="http://schemas.openxmlformats.org/officeDocument/2006/relationships/hyperlink" Target="https://cronicavasca.elespanol.com/sociedad/20240128/asi-restaurante-degustar-tortilla-patatas-encuentra-bilbao/827917326_0.html" TargetMode="External"/><Relationship Id="rId2287" Type="http://schemas.openxmlformats.org/officeDocument/2006/relationships/hyperlink" Target="https://www.elespanol.com/madrid/ocio/20240626/nuevos-restaurantes-madrid-solete-repsol-pizzerias-kebabs-favoritos-grandes-chefs/865913476_0.html" TargetMode="External"/><Relationship Id="rId366" Type="http://schemas.openxmlformats.org/officeDocument/2006/relationships/hyperlink" Target="https://www.cocheglobal.com/mercado/monopolio-en-puntos-carga-frena-coche-electrico_808909_102.html" TargetMode="External"/><Relationship Id="rId2288" Type="http://schemas.openxmlformats.org/officeDocument/2006/relationships/hyperlink" Target="https://www.granadadigital.es/granada-nueve-soletes-guia-repsol-verano-2024/" TargetMode="External"/><Relationship Id="rId365" Type="http://schemas.openxmlformats.org/officeDocument/2006/relationships/hyperlink" Target="https://www.rtve.es/play/audios/con-ellas-mujeres-que-cuentan/ellas-mujeres-cuentan-maria-jose-martinez-vicente-chef-abejas-28-01-24/15936397/" TargetMode="External"/><Relationship Id="rId2289" Type="http://schemas.openxmlformats.org/officeDocument/2006/relationships/hyperlink" Target="https://www.diaridetarragona.com/cultura/guia-gastronomica/los-15-establecimientos-de-tarragona-que-ganan-un-solete-repsol-DD20102144" TargetMode="External"/><Relationship Id="rId364" Type="http://schemas.openxmlformats.org/officeDocument/2006/relationships/hyperlink" Target="https://www.elespanol.com/malaga/malaga-ciudad/20240128/malaga-busca-llenar-vacio-oficinas-operaciones-urbanismo-mesa/825417912_0.html" TargetMode="External"/><Relationship Id="rId95" Type="http://schemas.openxmlformats.org/officeDocument/2006/relationships/hyperlink" Target="https://www.vaguada.es/valdivieso-cocina-con-alma-un-pequeno-restaurante-con-una-gran-cocina-que-ya-luce-su-solete-repsol/" TargetMode="External"/><Relationship Id="rId94" Type="http://schemas.openxmlformats.org/officeDocument/2006/relationships/hyperlink" Target="https://www.guiarepsol.com/es/dormir/en-la-gloria/hotel-finca-la-fronda-alajar-huelva/" TargetMode="External"/><Relationship Id="rId97" Type="http://schemas.openxmlformats.org/officeDocument/2006/relationships/hyperlink" Target="https://www.cio.com/article/2091221/juan-manuel-garcia-cio-de-repsol-el-cambio-disruptivo-que-supone-la-ia-generativa-esta-a-la-altura-del-que-provocaron-los-moviles-o-internet.html" TargetMode="External"/><Relationship Id="rId96" Type="http://schemas.openxmlformats.org/officeDocument/2006/relationships/hyperlink" Target="https://www.airbag.uy/Airbag/Dakar-2024-Repsol-y-Toyota-Gazoo-Racing-unen-fuerzas-con-un-combustible-renovable-uc876171" TargetMode="External"/><Relationship Id="rId99" Type="http://schemas.openxmlformats.org/officeDocument/2006/relationships/hyperlink" Target="https://www.guiarepsol.com/es/comer/nuestros-favoritos/restaurantes-cadiz/" TargetMode="External"/><Relationship Id="rId98" Type="http://schemas.openxmlformats.org/officeDocument/2006/relationships/hyperlink" Target="https://www.eleconomista.es/energia/noticias/12616960/01/24/descuento-de-30-centimos-litro-de-gasolina-a-cambio-de-aceite-usado-la-promocion-que-repsol-ya-ofrece-en-dos-comunidades.html" TargetMode="External"/><Relationship Id="rId91" Type="http://schemas.openxmlformats.org/officeDocument/2006/relationships/hyperlink" Target="https://www.guiarepsol.com/es/soletes/donde-comer-cocido-cantabria/" TargetMode="External"/><Relationship Id="rId90" Type="http://schemas.openxmlformats.org/officeDocument/2006/relationships/hyperlink" Target="https://www.relevo.com/motociclismo/motogp/caidas-motogp-2023-marc-marquez-20240109183952-nt.html" TargetMode="External"/><Relationship Id="rId93" Type="http://schemas.openxmlformats.org/officeDocument/2006/relationships/hyperlink" Target="https://www.guiarepsol.com/es/dormir/en-la-gloria/hotel-palacio-canedo-leon/" TargetMode="External"/><Relationship Id="rId92" Type="http://schemas.openxmlformats.org/officeDocument/2006/relationships/hyperlink" Target="https://www.elespanol.com/madrid/ocio/restaurante-madrid-triunfa-perritos-calientes-sin-salchicha-solete-repsol/823417900_0.html" TargetMode="External"/><Relationship Id="rId359" Type="http://schemas.openxmlformats.org/officeDocument/2006/relationships/hyperlink" Target="https://efe.com/andalucia/2024-01-27/sierra-nevada-se-convierte-en-la-primera-estacion-del-pais-con-combustible-100-renovable/" TargetMode="External"/><Relationship Id="rId358" Type="http://schemas.openxmlformats.org/officeDocument/2006/relationships/hyperlink" Target="https://www.huelvainformacion.es/huelva/energia/Conceden-Declaracion-Ambiental-Repsol-Huelva_0_1870313261.html" TargetMode="External"/><Relationship Id="rId357" Type="http://schemas.openxmlformats.org/officeDocument/2006/relationships/hyperlink" Target="https://www.gob.pe/institucion/oefa/noticias/897804-oefa-supervisa-derrame-de-hidrocarburos-por-fuga-de-valvula-de-camion-cisterna-en-trujillo" TargetMode="External"/><Relationship Id="rId2270" Type="http://schemas.openxmlformats.org/officeDocument/2006/relationships/hyperlink" Target="https://www.burgosconecta.es/burgos/cuatro-restaurantes-burgos-unen-lista-soletes-repsol-20240626185521-nt.html" TargetMode="External"/><Relationship Id="rId2271" Type="http://schemas.openxmlformats.org/officeDocument/2006/relationships/hyperlink" Target="https://www.lavanguardia.com/comer/al-dia/20240626/9760459/guia-repsol-desvela-donde-desayunan-cenan-cocineros-buenos-precios.html" TargetMode="External"/><Relationship Id="rId352" Type="http://schemas.openxmlformats.org/officeDocument/2006/relationships/hyperlink" Target="https://www.elespanol.com/cocinillas/actualidad-gastronomica/20240126/bar-torrelavega-ganado-solete-repsol-tortilla-patatas-sabores-diferentes/827667272_0.html" TargetMode="External"/><Relationship Id="rId2272" Type="http://schemas.openxmlformats.org/officeDocument/2006/relationships/hyperlink" Target="https://elpais.com/gastronomia/2024-06-26/125-cocineros-eligen-a-sus-soletes-repsol-preferidos-y-asequibles-para-este-verano.html" TargetMode="External"/><Relationship Id="rId351" Type="http://schemas.openxmlformats.org/officeDocument/2006/relationships/hyperlink" Target="https://www.elconfidencialdigital.com/articulo/el-chivato/juez-garcia-castellon-absuelve-ceo-repsol/20240126000000710011.html" TargetMode="External"/><Relationship Id="rId2273" Type="http://schemas.openxmlformats.org/officeDocument/2006/relationships/hyperlink" Target="https://www.elespanol.com/cocinillas/actualidad-gastronomica/20240626/nuevos-soletes-repsol-recomendados-reconocidos-chefs-mejores-bares-cafes-heladerias/865913481_0.html" TargetMode="External"/><Relationship Id="rId350" Type="http://schemas.openxmlformats.org/officeDocument/2006/relationships/hyperlink" Target="https://cadenaser.com/galicia/2024/01/26/los-vigilantes-de-seguridad-de-la-refineria-de-a-coruna-dicen-no-ser-suficientes-radio-coruna/" TargetMode="External"/><Relationship Id="rId2274" Type="http://schemas.openxmlformats.org/officeDocument/2006/relationships/hyperlink" Target="https://restauracionnews.com/2024/06/repsol-entrevista-siridia-berenguier/" TargetMode="External"/><Relationship Id="rId2275" Type="http://schemas.openxmlformats.org/officeDocument/2006/relationships/hyperlink" Target="https://www.repsol.com/es/combustibles-renovables/tecnologia-e-innovacion/index.cshtml" TargetMode="External"/><Relationship Id="rId356" Type="http://schemas.openxmlformats.org/officeDocument/2006/relationships/hyperlink" Target="https://www.motorpasionmoto.com/motogp/nueva-honda-motogp-esta-rodando-jerez-podria-guardar-secreto-dos-motos-muy-diferentes" TargetMode="External"/><Relationship Id="rId2276" Type="http://schemas.openxmlformats.org/officeDocument/2006/relationships/hyperlink" Target="https://www.ondacero.es/noticias/gastronomia/nuevos-soletes-repsol-estos-son-restaurantes-que-recomiendan-mejores-chefs-espana_20240626667c0903888bcf0001a1c89d.html" TargetMode="External"/><Relationship Id="rId355" Type="http://schemas.openxmlformats.org/officeDocument/2006/relationships/hyperlink" Target="https://www.marketingnews.es/investigacion/noticia/1181558031605/59-de-marcas-invierten-minimo-75-de-presupuesto-de-patrocinio-deportivo.1.html" TargetMode="External"/><Relationship Id="rId2277" Type="http://schemas.openxmlformats.org/officeDocument/2006/relationships/hyperlink" Target="https://www.latribunadetalavera.es/noticia/z546cdc8f-fd97-f021-2299d7b5771fb19e/202406/talavera-suma-10-soletes-repsol-con-7-nuevas-incorporaciones" TargetMode="External"/><Relationship Id="rId354" Type="http://schemas.openxmlformats.org/officeDocument/2006/relationships/hyperlink" Target="https://www.periodicopublicidad.com/articulo/eventos/cuales-son-las-marcas-mas-asociadas-al-patrocinio-deportivo-en-espana/20240126104657139136.html" TargetMode="External"/><Relationship Id="rId2278" Type="http://schemas.openxmlformats.org/officeDocument/2006/relationships/hyperlink" Target="https://cadenaser.com/andalucia/2024/06/26/los-cocineros-mas-top-de-la-guia-repsol-eligen-sus-sitios-favoritos-para-comer-en-sevilla-a-precios-asequibles-los-soletes-radio-sevilla/" TargetMode="External"/><Relationship Id="rId353" Type="http://schemas.openxmlformats.org/officeDocument/2006/relationships/hyperlink" Target="https://www.guiarepsol.com/es/comer/nuestros-favoritos/mesa-de-conus-vigo/" TargetMode="External"/><Relationship Id="rId2279" Type="http://schemas.openxmlformats.org/officeDocument/2006/relationships/hyperlink" Target="https://www.diariosur.es/malagaenlamesa/soletes-repsol-2024-restaurantes-bares-cafeterias-malaga-20240626214850-nt.html" TargetMode="External"/><Relationship Id="rId2225" Type="http://schemas.openxmlformats.org/officeDocument/2006/relationships/hyperlink" Target="https://www.finanzas.com/ibex-35/repsol-dividendo-acelera-bolsa.html" TargetMode="External"/><Relationship Id="rId3557" Type="http://schemas.openxmlformats.org/officeDocument/2006/relationships/hyperlink" Target="https://www.larazon.es/viajes/real-ingenio-chico-delicias-segovianas-solete-repsol_2024100466ff30f564da620001724951.html" TargetMode="External"/><Relationship Id="rId4888" Type="http://schemas.openxmlformats.org/officeDocument/2006/relationships/hyperlink" Target="https://360radio.com.co/ecopetrol-confirma-su-interes-en-activos-estrategicos-de-repsol-en-la-cuenca-de-los-llanos/169383/" TargetMode="External"/><Relationship Id="rId2226" Type="http://schemas.openxmlformats.org/officeDocument/2006/relationships/hyperlink" Target="https://www.noudiari.es/noticias-ibiza-formentera-sidebar/trasmapi-y-repsol-pioneros-en-espana-en-pruebas-maritimas-con-combustible-100-renovable/" TargetMode="External"/><Relationship Id="rId3556" Type="http://schemas.openxmlformats.org/officeDocument/2006/relationships/hyperlink" Target="https://www.elconfidencial.com/empresas/2024-10-04/blackrock-iberdrola-telefonica-bbva-naturgy_3976440/" TargetMode="External"/><Relationship Id="rId4887" Type="http://schemas.openxmlformats.org/officeDocument/2006/relationships/hyperlink" Target="https://www.libertaddigital.com/espana/politica/2024-12-12/el-psoe-intenta-ganar-tiempo-repitiendo-acuerdo-con-podemos-para-el-impuesto-energetico-pese-a-estar-abocado-al-fracaso-7197052/" TargetMode="External"/><Relationship Id="rId2227" Type="http://schemas.openxmlformats.org/officeDocument/2006/relationships/hyperlink" Target="https://cadenaser.com/castillalamancha/2024/06/21/las-mejores-digital-girls-de-espana-estan-en-puertollano-ser-ciudad-real/" TargetMode="External"/><Relationship Id="rId3559" Type="http://schemas.openxmlformats.org/officeDocument/2006/relationships/hyperlink" Target="https://www.boxrepsol.com/es/motogp/resultados-de-los-entrenamientos-del-gp-de-japon-motogp-2024/" TargetMode="External"/><Relationship Id="rId2228" Type="http://schemas.openxmlformats.org/officeDocument/2006/relationships/hyperlink" Target="https://elmercantil.com/2024/06/21/petronor-iniciara-en-el-segundo-semestre-las-obras-de-su-planta-de-aridos-en-el-puerto-de-bilbao/" TargetMode="External"/><Relationship Id="rId3558" Type="http://schemas.openxmlformats.org/officeDocument/2006/relationships/hyperlink" Target="https://www.elespanol.com/invertia/empresas/energia/20241004/repsol-sacude-mercado-gas-comercializadora-compro-juan-roig-tripicla-clientes-ano/890661374_0.html" TargetMode="External"/><Relationship Id="rId4889" Type="http://schemas.openxmlformats.org/officeDocument/2006/relationships/hyperlink" Target="https://www.economiadigital.es/galicia/empresas/navantia-vuelve-a-ser-el-primer-cliente-de-amper-y-aporta-el-62-de-los-ingresos-con-endesa-y-repsol.html" TargetMode="External"/><Relationship Id="rId2229" Type="http://schemas.openxmlformats.org/officeDocument/2006/relationships/hyperlink" Target="https://www.guiarepsol.com/es/viajar/vamos-de-excursion/donde-se-rodo-clanes/" TargetMode="External"/><Relationship Id="rId305" Type="http://schemas.openxmlformats.org/officeDocument/2006/relationships/hyperlink" Target="https://www.hibridosyelectricos.com/coches/repsol-revoluciona-combustible-la-gasolina-renovable-sin-petroleo-disponible-para-todos-vehiculos_72642_102.html" TargetMode="External"/><Relationship Id="rId304" Type="http://schemas.openxmlformats.org/officeDocument/2006/relationships/hyperlink" Target="https://www.ceoe.es/es/ceoe-news/sostenibilidad/repsol-promueve-una-iniciativa-para-producir-combustible-renovable-partir" TargetMode="External"/><Relationship Id="rId303" Type="http://schemas.openxmlformats.org/officeDocument/2006/relationships/hyperlink" Target="https://www.elcomercio.es/gastronomia/mejor-tortilla-patatas-asturias-oviedo-restaurante-tizon-guia-repsol-20240118133350-nt.html" TargetMode="External"/><Relationship Id="rId302" Type="http://schemas.openxmlformats.org/officeDocument/2006/relationships/hyperlink" Target="https://www.motorpasionmoto.com/motogp/marcas-no-han-acompanado-a-marc-marquez-a-ducati-nueva-moto-gresini-motogp-tiene-mismas-pegatinas" TargetMode="External"/><Relationship Id="rId309" Type="http://schemas.openxmlformats.org/officeDocument/2006/relationships/hyperlink" Target="https://www.diariodetransporte.com/articulo/general/grupo-eliance-repsol-junta-castilla-leon-unen-uso-combustible-saf/20240123170021089713.html" TargetMode="External"/><Relationship Id="rId308" Type="http://schemas.openxmlformats.org/officeDocument/2006/relationships/hyperlink" Target="https://www.programapublicidad.com/repsol-continua-la-busqueda-de-su-gerente-de-publicidad-corporativa-para-liderar-su-estrategia-publicitaria/" TargetMode="External"/><Relationship Id="rId307" Type="http://schemas.openxmlformats.org/officeDocument/2006/relationships/hyperlink" Target="https://cronicavasca.elespanol.com/empresas/20240123/talgo-repsol-sener-ingeteam-impulsaran-de-velocidad/827167367_0.html" TargetMode="External"/><Relationship Id="rId306" Type="http://schemas.openxmlformats.org/officeDocument/2006/relationships/hyperlink" Target="https://www.elconfidencialdigital.com/articulo/dinero/repsol-mantiene-intencion-trasladar-inversiones-industriales-fuera-espana/20240123000000707667.html" TargetMode="External"/><Relationship Id="rId4880" Type="http://schemas.openxmlformats.org/officeDocument/2006/relationships/hyperlink" Target="https://www.guiarepsol.com/es/viajar/en-la-carretera/ruta-ribera_sacra_ourensana/" TargetMode="External"/><Relationship Id="rId3551" Type="http://schemas.openxmlformats.org/officeDocument/2006/relationships/hyperlink" Target="https://www.diaridetarragona.com/tarragona/restaurante-tarragona-nombre-diferente-menu-exito-BB21314342" TargetMode="External"/><Relationship Id="rId4882" Type="http://schemas.openxmlformats.org/officeDocument/2006/relationships/hyperlink" Target="https://www.fundacionrepsol.com/es/noticias/Primera-edicion-futuro-verde-en-accion-Portugal/" TargetMode="External"/><Relationship Id="rId2220" Type="http://schemas.openxmlformats.org/officeDocument/2006/relationships/hyperlink" Target="https://www.encastillalamancha.es/educacion-cat/premios-zinkers-colegio-cabanas-la-sagra-instituto-quintanar-rey-finalistas/" TargetMode="External"/><Relationship Id="rId3550" Type="http://schemas.openxmlformats.org/officeDocument/2006/relationships/hyperlink" Target="https://www.elnacional.cat/oneconomia/es/mercados/ibex-35-sube-apertura-3-dias-caidas-tiron-repsol-banca_1293267_102.html" TargetMode="External"/><Relationship Id="rId4881" Type="http://schemas.openxmlformats.org/officeDocument/2006/relationships/hyperlink" Target="https://www.elespanol.com/madrid/ocio/20241212/restaurante-majadahonda-recomendado-guia-repsol-menu-hacemos-psicologos/907659404_0.html" TargetMode="External"/><Relationship Id="rId301" Type="http://schemas.openxmlformats.org/officeDocument/2006/relationships/hyperlink" Target="https://www.mundodeportivo.com/gala-del-deporte/20240122/1002175220/joaquin-broche-trayectoria-leyenda.html" TargetMode="External"/><Relationship Id="rId2221" Type="http://schemas.openxmlformats.org/officeDocument/2006/relationships/hyperlink" Target="https://www.fundacionrepsol.com/es/noticias/fundacion-repsol-entrega-los-premios-zinkers/" TargetMode="External"/><Relationship Id="rId3553" Type="http://schemas.openxmlformats.org/officeDocument/2006/relationships/hyperlink" Target="https://www.repsol.es/waylet/aprende-usar-app/" TargetMode="External"/><Relationship Id="rId4884" Type="http://schemas.openxmlformats.org/officeDocument/2006/relationships/hyperlink" Target="https://www.cronista.com/espana/ibex-euro/repsol-a-cuanto-cotiza-hoy-jueves-12-de-diciembre-y-cuanto-rinden-los-dividendos/" TargetMode="External"/><Relationship Id="rId300" Type="http://schemas.openxmlformats.org/officeDocument/2006/relationships/hyperlink" Target="https://www.eldebate.com/motor/20240122/petroleo-historia-asi-combustible-cero-emisiones-nace-como-alternativa-coche-electrico_168690.html" TargetMode="External"/><Relationship Id="rId2222" Type="http://schemas.openxmlformats.org/officeDocument/2006/relationships/hyperlink" Target="https://www.naucher.com/trasmapi-y-repsol-realizan-las-primeras-pruebas-de-mar-en-espana-con-combustibles-100-renovables/" TargetMode="External"/><Relationship Id="rId3552" Type="http://schemas.openxmlformats.org/officeDocument/2006/relationships/hyperlink" Target="https://elperiodicodelaenergia.com/repsol-cierra-un-acuerdo-para-suministrar-combustible-renovable-a-la-flota-de-vehiculos-de-ximenez-group/" TargetMode="External"/><Relationship Id="rId4883" Type="http://schemas.openxmlformats.org/officeDocument/2006/relationships/hyperlink" Target="https://www.merca2.es/2024/12/12/los-cromos-de-repsol-una-nueva-forma-de-acceder-a-premios-exclusivos-2091702/" TargetMode="External"/><Relationship Id="rId2223" Type="http://schemas.openxmlformats.org/officeDocument/2006/relationships/hyperlink" Target="https://www.puertollano.es/repsol-renueva-su-compromiso-con-el-deporte-escolar-y-aumenta-el-9-su-aportacion-anual/" TargetMode="External"/><Relationship Id="rId3555" Type="http://schemas.openxmlformats.org/officeDocument/2006/relationships/hyperlink" Target="https://www.interempresas.net/Estaciones-servicio/Articulos/574699-Ximenez-Group-apuesta-combustibles-renovables-Repsol-descarbonizar-flota-vehiculos.html" TargetMode="External"/><Relationship Id="rId4886" Type="http://schemas.openxmlformats.org/officeDocument/2006/relationships/hyperlink" Target="https://www.guiarepsol.com/es/comer/en-el-mercado/productos-de-granada-para-una-comida-especial/" TargetMode="External"/><Relationship Id="rId2224" Type="http://schemas.openxmlformats.org/officeDocument/2006/relationships/hyperlink" Target="https://elperiodicodelaenergia.com/brufau-repsol-avisa-europa-esta-perdiendo-peso-industrial-regulacion-excesiva-compleja/" TargetMode="External"/><Relationship Id="rId3554" Type="http://schemas.openxmlformats.org/officeDocument/2006/relationships/hyperlink" Target="https://www.ondacero.es/deportes/motor/repsol-presume-colores-museo-moto-made-spain_20241004670033b5077ed10001e070e8.html" TargetMode="External"/><Relationship Id="rId4885" Type="http://schemas.openxmlformats.org/officeDocument/2006/relationships/hyperlink" Target="https://www.diario.red/articulo/actualidad/ione-belarra-parece-que-josu-jon-imaz-ceo-repsol-deja-aitor-esteban-ir-reunion-negociacion-impuesto-energeticas/20241211210129039774.html" TargetMode="External"/><Relationship Id="rId2214" Type="http://schemas.openxmlformats.org/officeDocument/2006/relationships/hyperlink" Target="https://www.reasonwhy.es/actualidad/maybeshewill-cancela-actuacion-resurrection-festival-2024-patrocinio-repsol" TargetMode="External"/><Relationship Id="rId3546" Type="http://schemas.openxmlformats.org/officeDocument/2006/relationships/hyperlink" Target="https://www.huelvainformacion.es/destino-huelva/kiosco-huelva-come-2-euros_0_2002490995.html" TargetMode="External"/><Relationship Id="rId4877" Type="http://schemas.openxmlformats.org/officeDocument/2006/relationships/hyperlink" Target="https://cincodias.elpais.com/companias/2024-12-13/goldman-sachs-eleva-a-mas-de-2500-millones-las-ventas-que-repsol-ejecutara-el-proximo-ano.html" TargetMode="External"/><Relationship Id="rId2215" Type="http://schemas.openxmlformats.org/officeDocument/2006/relationships/hyperlink" Target="https://elperiodicodelaenergia.com/imaz-repsol-pide-valorar-empresario-genera-beneficios-invierta-da-riqueza-sociedad/" TargetMode="External"/><Relationship Id="rId3545" Type="http://schemas.openxmlformats.org/officeDocument/2006/relationships/hyperlink" Target="https://www.diarioarea.com/2024/10/03/casa-pepe-un-solete-de-establecimiento-en-algeciras-la-guia-repsol-no-tiene-ninguna-duda/" TargetMode="External"/><Relationship Id="rId4876" Type="http://schemas.openxmlformats.org/officeDocument/2006/relationships/hyperlink" Target="https://www.ujat.mx/Noticias/Interior/33327" TargetMode="External"/><Relationship Id="rId2216" Type="http://schemas.openxmlformats.org/officeDocument/2006/relationships/hyperlink" Target="https://www.libremercado.com/2024-06-20/podemos-busca-un-linchamiento-publico-en-el-congreso-a-josu-jon-imaz-repsol-por-la-leccion-que-dio-a-una-ecologista-7138867/" TargetMode="External"/><Relationship Id="rId3548" Type="http://schemas.openxmlformats.org/officeDocument/2006/relationships/hyperlink" Target="https://elperiodicodelaenergia.com/el-ibex-35-se-da-la-vuelta-y-tras-la-apertura-sube-el-0-26-apoyado-en-repsol-y-la-banca/" TargetMode="External"/><Relationship Id="rId4879" Type="http://schemas.openxmlformats.org/officeDocument/2006/relationships/hyperlink" Target="https://www.lasprovincias.es/motor/repsol-entrega-150-euros-carburante-afectados-dana-20241210153807-nt.html" TargetMode="External"/><Relationship Id="rId2217" Type="http://schemas.openxmlformats.org/officeDocument/2006/relationships/hyperlink" Target="https://www.newtral.es/proyecto-repsol-rey-fake/20240620/" TargetMode="External"/><Relationship Id="rId3547" Type="http://schemas.openxmlformats.org/officeDocument/2006/relationships/hyperlink" Target="https://www.estrategiasdeinversion.com/actualidad/noticias/bolsa-espana/cierre-de-la-bolsa-espanola-y-del-ibex-35-miercoles-n-749583" TargetMode="External"/><Relationship Id="rId4878" Type="http://schemas.openxmlformats.org/officeDocument/2006/relationships/hyperlink" Target="https://www.economiadigital.es/sociedad/repsol-bono-repostaje-dana-ds.html" TargetMode="External"/><Relationship Id="rId2218" Type="http://schemas.openxmlformats.org/officeDocument/2006/relationships/hyperlink" Target="https://www.eldebate.com/economia/20240620/josu-jon-imaz-repsol-americanos-no-dicen-disparates-como-prohibir-motor-combustion_206846.html" TargetMode="External"/><Relationship Id="rId2219" Type="http://schemas.openxmlformats.org/officeDocument/2006/relationships/hyperlink" Target="https://www.larazon.es/economia/imaz-dice-que-descarbonizacion-hay-sitio-todas-tecnologias-pide-imitar-que-propone-disparates-como-prohibir-motor-combustion-2035_202406206673e7be901ca90001806d4f.html" TargetMode="External"/><Relationship Id="rId3549" Type="http://schemas.openxmlformats.org/officeDocument/2006/relationships/hyperlink" Target="https://www.repsol.es/waylet/coche/planificador-rutas/" TargetMode="External"/><Relationship Id="rId3540" Type="http://schemas.openxmlformats.org/officeDocument/2006/relationships/hyperlink" Target="https://www.capitalradio.es/noticias/bolsa/repsol-valor-candente-castigo-bolsa_133643665.html" TargetMode="External"/><Relationship Id="rId4871" Type="http://schemas.openxmlformats.org/officeDocument/2006/relationships/hyperlink" Target="https://www.boxrepsol.com/es/cultura-motera/marcas-de-motos-espanolas/" TargetMode="External"/><Relationship Id="rId4870" Type="http://schemas.openxmlformats.org/officeDocument/2006/relationships/hyperlink" Target="https://diariodeavisos.elespanol.com/2024/12/los-mejores-chefs-de-canarias-se-unen-por-valencia-en-una-cena-solidaria-de-estrella-michelin/" TargetMode="External"/><Relationship Id="rId2210" Type="http://schemas.openxmlformats.org/officeDocument/2006/relationships/hyperlink" Target="https://www.xunta.gal/es/notas-de-prensa/-/nova/002936/xunta-fundacion-repsol-fomentan-literatura-gallega-con-xviii-edicion-del-premio" TargetMode="External"/><Relationship Id="rId3542" Type="http://schemas.openxmlformats.org/officeDocument/2006/relationships/hyperlink" Target="https://www.guiarepsol.com/es/comer/nuestros-favoritos/el-nuevo-restaurante-gofio-madrid/" TargetMode="External"/><Relationship Id="rId4873" Type="http://schemas.openxmlformats.org/officeDocument/2006/relationships/hyperlink" Target="https://www.portalminero.com/wp/repsol-ingresa-a-evaluacion-ambiental-proyecto-que-contempla-una-inversion-de-us-671-millones/" TargetMode="External"/><Relationship Id="rId2211" Type="http://schemas.openxmlformats.org/officeDocument/2006/relationships/hyperlink" Target="https://www.repsol.com/es/productos-y-servicios/materiales/materiales-news/unimos-seguridad-sostenibilidad-guardavalvulas-reciclex-botellas-butano/index.cshtml" TargetMode="External"/><Relationship Id="rId3541" Type="http://schemas.openxmlformats.org/officeDocument/2006/relationships/hyperlink" Target="https://www.caranddriver.com/es/coches/planeta-motor/a62485700/denunciado-penalmente-por-la-policia-tras-pasar-en-coche-por-delante-de-una-gasolinera-repsol-en-zaragoza/" TargetMode="External"/><Relationship Id="rId4872" Type="http://schemas.openxmlformats.org/officeDocument/2006/relationships/hyperlink" Target="https://www.boxrepsol.com/es/vive-tu-moto/motos-electricas-125/" TargetMode="External"/><Relationship Id="rId2212" Type="http://schemas.openxmlformats.org/officeDocument/2006/relationships/hyperlink" Target="https://www.capitalmadrid.com/2024/6/20/67552/repsol-escarmienta-y-evita-acudir-a-las-subastas-de-ypf-para-no-repetir-errores.html" TargetMode="External"/><Relationship Id="rId3544" Type="http://schemas.openxmlformats.org/officeDocument/2006/relationships/hyperlink" Target="https://www.expansion.com/mercados/2024/10/03/66fe397d468aeb09438b4571.html" TargetMode="External"/><Relationship Id="rId4875" Type="http://schemas.openxmlformats.org/officeDocument/2006/relationships/hyperlink" Target="https://www.redimin.cl/repsol-impulsa-proyecto-de-mejora-para-parque-eolico-en-antofagasta/" TargetMode="External"/><Relationship Id="rId2213" Type="http://schemas.openxmlformats.org/officeDocument/2006/relationships/hyperlink" Target="https://www.elespanol.com/invertia/empresas/energia/20240620/josu-jon-imaz-repsol-creado-expectativa-sobredimensionada-hidrogeno-verde/864413669_0.html" TargetMode="External"/><Relationship Id="rId3543" Type="http://schemas.openxmlformats.org/officeDocument/2006/relationships/hyperlink" Target="https://www.cordobabn.com/articulo/provincia/ximenez-group-apuesta-combustibles-100-renovables-repsol/20241003131232205227.html" TargetMode="External"/><Relationship Id="rId4874" Type="http://schemas.openxmlformats.org/officeDocument/2006/relationships/hyperlink" Target="https://www.infobae.com/estados-unidos/2024/12/12/eeuu-confirmo-que-esta-sobre-la-mesa-revocar-las-licencias-petroleras-en-venezuela-tras-el-fraude-electoral-de-maduro/" TargetMode="External"/><Relationship Id="rId2247" Type="http://schemas.openxmlformats.org/officeDocument/2006/relationships/hyperlink" Target="https://mundoplast.com/repsol-reciclex-bombona-butano/" TargetMode="External"/><Relationship Id="rId3579" Type="http://schemas.openxmlformats.org/officeDocument/2006/relationships/hyperlink" Target="https://www.motor16.com/noticias/gasolineras-tiene-fecha-de-cierre/" TargetMode="External"/><Relationship Id="rId2248" Type="http://schemas.openxmlformats.org/officeDocument/2006/relationships/hyperlink" Target="https://www.ondamenciaradio.com/repsol-premia-a-ravi-por-su-desempeno-en-materia-de-seguridad/" TargetMode="External"/><Relationship Id="rId3578" Type="http://schemas.openxmlformats.org/officeDocument/2006/relationships/hyperlink" Target="https://www.20minutos.es/viajes/hoteles/hotel-espana-con-mas-soles-repsol-tenerife-corales-estrella-michelin-5639658/" TargetMode="External"/><Relationship Id="rId2249" Type="http://schemas.openxmlformats.org/officeDocument/2006/relationships/hyperlink" Target="https://www.elle.com/es/gourmet/donde-comer/a61225300/restaurante-guia-repsol-italiano-mar-denia/" TargetMode="External"/><Relationship Id="rId327" Type="http://schemas.openxmlformats.org/officeDocument/2006/relationships/hyperlink" Target="https://canal.ugr.es/noticia/la-ugr-obtiene-en-colaboracion-con-repsol-una-de-las-catedras-universidad-empresa-en-inteligencia-artificial-otorgadas-por-el-ministerio-de-asuntos-economicos-y-transformacion-digital/" TargetMode="External"/><Relationship Id="rId326" Type="http://schemas.openxmlformats.org/officeDocument/2006/relationships/hyperlink" Target="https://forbes.es/ultima-hora/401387/cartagena-acogera-el-4-de-marzo-la-gala-de-los-soles-guia-repsol-2024/" TargetMode="External"/><Relationship Id="rId325" Type="http://schemas.openxmlformats.org/officeDocument/2006/relationships/hyperlink" Target="https://www.guiarepsol.com/es/soletes/donde-celebrar-carnavales-cadiz/" TargetMode="External"/><Relationship Id="rId324" Type="http://schemas.openxmlformats.org/officeDocument/2006/relationships/hyperlink" Target="https://www.elconfidencial.com/motor/tecnologia-y-motor/2024-01-24/repsol-combustible-gasolina-diesel-renovable-sintetico_3816323/" TargetMode="External"/><Relationship Id="rId329" Type="http://schemas.openxmlformats.org/officeDocument/2006/relationships/hyperlink" Target="https://motorcyclesports.net/es/la-intensa-temporada-con-honda-para-jorge-lorenzo-practicamente-no-la-vivi/" TargetMode="External"/><Relationship Id="rId328" Type="http://schemas.openxmlformats.org/officeDocument/2006/relationships/hyperlink" Target="https://www.diariodevalderrueda.es/texto-diario/mostrar/4692994/promueven-combustibles-renovables-7-rutas-transporte-publico-montana-palentina" TargetMode="External"/><Relationship Id="rId3571" Type="http://schemas.openxmlformats.org/officeDocument/2006/relationships/hyperlink" Target="https://www.elespanol.com/treintayseis/vivir/escapadas/20241005/rincon-bonito-cerca-vigo-guia-repsol-perfecto-escapada-otono-trt/890661072_0.html" TargetMode="External"/><Relationship Id="rId2240" Type="http://schemas.openxmlformats.org/officeDocument/2006/relationships/hyperlink" Target="https://www.guiarepsol.com/es/comer/nuestros-favoritos/la-nueva-tasqueria-madrid/" TargetMode="External"/><Relationship Id="rId3570" Type="http://schemas.openxmlformats.org/officeDocument/2006/relationships/hyperlink" Target="https://www.motor16.com/noticias/gasolineras-low-cost-extincion-repsol/4/" TargetMode="External"/><Relationship Id="rId2241" Type="http://schemas.openxmlformats.org/officeDocument/2006/relationships/hyperlink" Target="https://urgente24.com/dinero/espanarepsol-ypf-y-venezuela-error-martin-llaryora-riesgo-pais-n579553" TargetMode="External"/><Relationship Id="rId3573" Type="http://schemas.openxmlformats.org/officeDocument/2006/relationships/hyperlink" Target="https://www.aporrea.org/internacionales/n397231.html" TargetMode="External"/><Relationship Id="rId2242" Type="http://schemas.openxmlformats.org/officeDocument/2006/relationships/hyperlink" Target="https://cincodias.elpais.com/mercados-financieros/2024-06-24/arranca-el-verano-del-dividendo-25-cotizadas-reparten-6000-millones-en-julio.html" TargetMode="External"/><Relationship Id="rId3572" Type="http://schemas.openxmlformats.org/officeDocument/2006/relationships/hyperlink" Target="https://www.boxrepsol.com/es/trial/resumen-y-resultados-del-x-trial-de-andorra-2024/" TargetMode="External"/><Relationship Id="rId323" Type="http://schemas.openxmlformats.org/officeDocument/2006/relationships/hyperlink" Target="https://www.interempresas.net/Estaciones-servicio/Articulos/538941-Repsol-inaugura-proyecto-utilizar-combustibles-renovables-transporte-publico-Castilla-Leon.html" TargetMode="External"/><Relationship Id="rId2243" Type="http://schemas.openxmlformats.org/officeDocument/2006/relationships/hyperlink" Target="https://www.hoyaragon.es/articulo/gastrolike/restaurante-zaragoza-mejor-arroz/20240623083828069568.html" TargetMode="External"/><Relationship Id="rId3575" Type="http://schemas.openxmlformats.org/officeDocument/2006/relationships/hyperlink" Target="https://www.consumidorglobal.com/tecnologia/otra-cara-waylet-app-repsol_12003_102.html" TargetMode="External"/><Relationship Id="rId322" Type="http://schemas.openxmlformats.org/officeDocument/2006/relationships/hyperlink" Target="https://www.fundacionrepsol.com/es/noticias/30-victimas-de-violencia-de-genero-logran-empleo-en-fundacion-repsol-e-integra/" TargetMode="External"/><Relationship Id="rId2244" Type="http://schemas.openxmlformats.org/officeDocument/2006/relationships/hyperlink" Target="https://www.20minutos.es/gastronomia/restaurantes/restaurante-iker-casillas-navalacruz-5523056/" TargetMode="External"/><Relationship Id="rId3574" Type="http://schemas.openxmlformats.org/officeDocument/2006/relationships/hyperlink" Target="https://www.boxrepsol.com/es/motogp/resultados-de-la-calificacion-del-gp-de-japon-de-motogp-2024/" TargetMode="External"/><Relationship Id="rId321" Type="http://schemas.openxmlformats.org/officeDocument/2006/relationships/hyperlink" Target="https://www.lavanguardia.com/economia/20240124/9504925/repsol-contempla-precios-brent-gas-estables-2024-agenciaslv20240124.html" TargetMode="External"/><Relationship Id="rId2245" Type="http://schemas.openxmlformats.org/officeDocument/2006/relationships/hyperlink" Target="https://elpais.com/gastronomia/donde-comen-los-cocineros/2024-06-24/donde-comer-en-jerez-de-la-frontera-segun-juanlu-fernandez-lu-cocina-y-alma.html" TargetMode="External"/><Relationship Id="rId3577" Type="http://schemas.openxmlformats.org/officeDocument/2006/relationships/hyperlink" Target="https://www.vozpopuli.com/economia/empresas/fusion-naturgy-repsol-solucion-problema-caixa.html" TargetMode="External"/><Relationship Id="rId320" Type="http://schemas.openxmlformats.org/officeDocument/2006/relationships/hyperlink" Target="https://www.ugr.es/universidad/noticias/ugr-obtiene-una-catedras-universidad-empresa-ia" TargetMode="External"/><Relationship Id="rId2246" Type="http://schemas.openxmlformats.org/officeDocument/2006/relationships/hyperlink" Target="https://videos.expansion.com/v/x90ubmu-repsol-un-valor-muy-bien-soportado" TargetMode="External"/><Relationship Id="rId3576" Type="http://schemas.openxmlformats.org/officeDocument/2006/relationships/hyperlink" Target="https://www.boxrepsol.com/es/rally/los-pilotos-repsol-ponen-a-prueba-sus-combustibles-renovables-en-el-rally-de-marruecos/" TargetMode="External"/><Relationship Id="rId2236" Type="http://schemas.openxmlformats.org/officeDocument/2006/relationships/hyperlink" Target="https://www.telemadrid.es/programas/telenoticias-fin-de-semana/IFEMA-congrega-a-35000-locos-por-la-musica-de-los-anos-90-2-2681451850--20240622093407.html" TargetMode="External"/><Relationship Id="rId3568" Type="http://schemas.openxmlformats.org/officeDocument/2006/relationships/hyperlink" Target="https://www.lavozdepuertollano.es/web/contenido/region/repsol-sera-una-de-las-empresas-que-estara-en-la-i-feria-de-transferencia-del-conocimiento-impulsada-por-el-gobierno-regional42180.html" TargetMode="External"/><Relationship Id="rId4899" Type="http://schemas.openxmlformats.org/officeDocument/2006/relationships/hyperlink" Target="https://www.guiarepsol.com/es/soles-repsol/soles-2023/todo-sobre-gala-soles-repsol-2023/" TargetMode="External"/><Relationship Id="rId2237" Type="http://schemas.openxmlformats.org/officeDocument/2006/relationships/hyperlink" Target="https://www.ideal.es/granada/heladeria-solete-repsol-encuentras-pleno-centro-granada-20240623103554-nt.html" TargetMode="External"/><Relationship Id="rId3567" Type="http://schemas.openxmlformats.org/officeDocument/2006/relationships/hyperlink" Target="https://www.elespanol.com/malaga/20241005/restaurante-malaga-premiado-guia-repsol-comer-eur-entornounico-trt/890411269_0.html" TargetMode="External"/><Relationship Id="rId4898" Type="http://schemas.openxmlformats.org/officeDocument/2006/relationships/hyperlink" Target="https://www.guiarepsol.com/es/soles-repsol/soles-2024/todo-lo-que-tienes-que-saber-sobre-gala-soles-guia-repsol-2024/" TargetMode="External"/><Relationship Id="rId2238" Type="http://schemas.openxmlformats.org/officeDocument/2006/relationships/hyperlink" Target="https://www.diariodeibiza.es/empresas-en-ibiza/2024/06/23/trasmapi-repsol-pioneros-combustible-renovable-104156231.html" TargetMode="External"/><Relationship Id="rId2239" Type="http://schemas.openxmlformats.org/officeDocument/2006/relationships/hyperlink" Target="https://www.elle.com/es/gourmet/donde-comer/a61214937/valdivieso-restaurate-madrid/" TargetMode="External"/><Relationship Id="rId3569" Type="http://schemas.openxmlformats.org/officeDocument/2006/relationships/hyperlink" Target="https://www.expansion.com/empresas/distribucion/2024/10/05/67002b65468aeb0d6c8b4580.html" TargetMode="External"/><Relationship Id="rId316" Type="http://schemas.openxmlformats.org/officeDocument/2006/relationships/hyperlink" Target="https://valenciaplaza.com/cinco-grandes-bolsa-renta-4-banco" TargetMode="External"/><Relationship Id="rId315" Type="http://schemas.openxmlformats.org/officeDocument/2006/relationships/hyperlink" Target="https://www.boxrepsol.com/es/motogp/parrilla-motogp-2024-equipos-confirmados-tras-los-nuevos-fichajes-de-motogp/" TargetMode="External"/><Relationship Id="rId314" Type="http://schemas.openxmlformats.org/officeDocument/2006/relationships/hyperlink" Target="https://www.bioeconomia.info/2024/01/23/repsol-transforma-el-paisaje-energetico-mas-de-600-estaciones-ofreceran-biocombustibles-antes-de-fin-de-ano/" TargetMode="External"/><Relationship Id="rId313" Type="http://schemas.openxmlformats.org/officeDocument/2006/relationships/hyperlink" Target="https://www.talgo.com/es/una-decena-de-empresas-espanolas-se-alian-para-adaptar-por-primera-vez-la-propulsion-de-hidrogeno-a-un-tren-de-alta-velocidad" TargetMode="External"/><Relationship Id="rId319" Type="http://schemas.openxmlformats.org/officeDocument/2006/relationships/hyperlink" Target="https://semanariouniversidad.com/mundo/venezuela-reflota-con-regreso-de-las-companias-petroleras-extranjeras/" TargetMode="External"/><Relationship Id="rId318" Type="http://schemas.openxmlformats.org/officeDocument/2006/relationships/hyperlink" Target="https://www.elespanol.com/cocinillas/actualidad-gastronomica/20240123/mejor-tortilla-castilla-leon-sirve-emblematico-bar/825667710_0.html" TargetMode="External"/><Relationship Id="rId317" Type="http://schemas.openxmlformats.org/officeDocument/2006/relationships/hyperlink" Target="https://www.eleconomista.es/transportes-turismo/noticias/12637400/01/24/talgo-desarrollara-el-primer-tren-de-alta-velocidad-de-hidrogeno-junto-a-empresas-espanolas.html" TargetMode="External"/><Relationship Id="rId3560" Type="http://schemas.openxmlformats.org/officeDocument/2006/relationships/hyperlink" Target="https://www.20minutos.es/lainformacion/economia-y-finanzas/blackrock-afianza-ibex-comprar-gip-llegar-maximos-iberdrola-bbva-santander-5640624/" TargetMode="External"/><Relationship Id="rId4891" Type="http://schemas.openxmlformats.org/officeDocument/2006/relationships/hyperlink" Target="https://www.guiarepsol.com/es/soles-repsol/premio-sol-sostenible/que-es-premio-sol-sostenible-guia-repsol/" TargetMode="External"/><Relationship Id="rId4890" Type="http://schemas.openxmlformats.org/officeDocument/2006/relationships/hyperlink" Target="https://www.guiarepsol.com/es/comer/en-el-mercado/empanadico-calabaza-huesca/" TargetMode="External"/><Relationship Id="rId2230" Type="http://schemas.openxmlformats.org/officeDocument/2006/relationships/hyperlink" Target="https://www.libremercado.com/2024-06-21/imaz-pide-que-europa-deje-de-hacer-el-canelo-y-augura-que-el-fin-del-coche-de-gasolina-en-2035-no-va-a-pasar-7139171/" TargetMode="External"/><Relationship Id="rId3562" Type="http://schemas.openxmlformats.org/officeDocument/2006/relationships/hyperlink" Target="https://www.larazon.es/economia/repsol-cepsa-estas-son-marcas-que-tienen-mas-estaciones-servicio-cada-autonomia_202410056700e5a4077ed10001e21469.html" TargetMode="External"/><Relationship Id="rId4893" Type="http://schemas.openxmlformats.org/officeDocument/2006/relationships/hyperlink" Target="https://www.guiarepsol.com/es/soles-repsol/soles-2024/gala-entrega-soles-guia-repsol-2024-en-cartagena-region-murcia/" TargetMode="External"/><Relationship Id="rId2231" Type="http://schemas.openxmlformats.org/officeDocument/2006/relationships/hyperlink" Target="https://www.fundacionrepsol.com/es/noticias/alianza-fundacion-repsol-y-el-coiim-para-la-transicion-energetica/" TargetMode="External"/><Relationship Id="rId3561" Type="http://schemas.openxmlformats.org/officeDocument/2006/relationships/hyperlink" Target="https://www.bancaynegocios.com/ecopetrol-exportacion-de-gas-desde-venezuela-a-colombia-se-concretaria-si-repsol-asume-suministro/" TargetMode="External"/><Relationship Id="rId4892" Type="http://schemas.openxmlformats.org/officeDocument/2006/relationships/hyperlink" Target="https://www.heraldo.es/noticias/aragon/2024/12/13/repsol-impulsa-un-gran-centro-de-datos-junto-a-su-central-de-ciclo-combinado-de-escatron-1785249.html" TargetMode="External"/><Relationship Id="rId312" Type="http://schemas.openxmlformats.org/officeDocument/2006/relationships/hyperlink" Target="https://e-noticies.cat/es/sociedad/empresa-que-fue-juan-roig-dueno-mercadona-y-ahora-factura-140m-euros" TargetMode="External"/><Relationship Id="rId2232" Type="http://schemas.openxmlformats.org/officeDocument/2006/relationships/hyperlink" Target="https://lavozdeibiza.com/actualidad/2024/06/22/trasmapi-y-repsol-prueban-un-combustible-100-renovable-para-el-sector-maritimo-en-marina-ibiza/" TargetMode="External"/><Relationship Id="rId3564" Type="http://schemas.openxmlformats.org/officeDocument/2006/relationships/hyperlink" Target="https://www.salamancahoy.es/salamanca/ciudad/meson-solete-repsol-van-dyck-triunfa-comida-20241003125856-nt.html" TargetMode="External"/><Relationship Id="rId4895" Type="http://schemas.openxmlformats.org/officeDocument/2006/relationships/hyperlink" Target="https://www.guiarepsol.com/es/soles-repsol/soles-2023/nuevos-restaurantes-un-sol-guia-repsol-2023/" TargetMode="External"/><Relationship Id="rId311" Type="http://schemas.openxmlformats.org/officeDocument/2006/relationships/hyperlink" Target="https://www.interempresas.net/Estaciones-servicio/Articulos/538729-El-campo-del-Sharara-en-Libia-retoma-la-produccion-de-petroleo.html" TargetMode="External"/><Relationship Id="rId2233" Type="http://schemas.openxmlformats.org/officeDocument/2006/relationships/hyperlink" Target="https://www.guiarepsol.com/es/comer/nuestros-favoritos/restaurante-memoria-gustativa-valencia/" TargetMode="External"/><Relationship Id="rId3563" Type="http://schemas.openxmlformats.org/officeDocument/2006/relationships/hyperlink" Target="https://www.bolsamania.com/noticias/empresas/repsol-solaria-lideres-semana-ibex-35-iag-ferrovial-caen-fuerza--17604908.html" TargetMode="External"/><Relationship Id="rId4894" Type="http://schemas.openxmlformats.org/officeDocument/2006/relationships/hyperlink" Target="https://www.guiarepsol.com/es/sala-de-prensa/guia-repsol-y-aenor-crean-el-certificado-cocina-eficiente-y-sost/" TargetMode="External"/><Relationship Id="rId310" Type="http://schemas.openxmlformats.org/officeDocument/2006/relationships/hyperlink" Target="https://www.bolsamania.com/capitalbolsa/noticias/analisis-tecnico/repsol-la-pauta-invita-a-mantener-posiciones--15913330.html" TargetMode="External"/><Relationship Id="rId2234" Type="http://schemas.openxmlformats.org/officeDocument/2006/relationships/hyperlink" Target="https://www.relevo.com/motociclismo/motogp/honda-preparaba-dream-team-marquez-20240622182558-nt.html" TargetMode="External"/><Relationship Id="rId3566" Type="http://schemas.openxmlformats.org/officeDocument/2006/relationships/hyperlink" Target="https://www.eleconomista.es/energia/noticias/13018728/10/24/portugal-da-el-si-a-la-entrada-de-tokyo-gas-en-el-parque-eolico-marino-de-ocean-winds-y-repsol.html" TargetMode="External"/><Relationship Id="rId4897" Type="http://schemas.openxmlformats.org/officeDocument/2006/relationships/hyperlink" Target="https://www.guiarepsol.com/es/soletes/ruta-de-soletes-por-ibiza/" TargetMode="External"/><Relationship Id="rId2235" Type="http://schemas.openxmlformats.org/officeDocument/2006/relationships/hyperlink" Target="https://okdiario.com/coolthelifestyle/lifestyle/tres-restaurantes-alicante-celebrar-san-juan-716771" TargetMode="External"/><Relationship Id="rId3565" Type="http://schemas.openxmlformats.org/officeDocument/2006/relationships/hyperlink" Target="https://www.boxrepsol.com/es/trial/toni-bou-logra-su-36o-titulo-de-campeon-del-mundo/" TargetMode="External"/><Relationship Id="rId4896" Type="http://schemas.openxmlformats.org/officeDocument/2006/relationships/hyperlink" Target="https://www.guiarepsol.com/es/soles-repsol/soles-2024/nuevos-restaurantes-un-sol-guia-repsol-2024/" TargetMode="External"/><Relationship Id="rId4040" Type="http://schemas.openxmlformats.org/officeDocument/2006/relationships/hyperlink" Target="https://www.latribunadeciudadreal.es/noticia/z799019b7-b9c8-a355-ad2999478c878081/202410/trabajadores-de-rlesa-cumplen-20-dias-de-huelga-sin-esperanza" TargetMode="External"/><Relationship Id="rId4042" Type="http://schemas.openxmlformats.org/officeDocument/2006/relationships/hyperlink" Target="https://www.expansion.com/empresas/energia/2024/10/30/6721e43ce5fdea0c108b4576.html" TargetMode="External"/><Relationship Id="rId4041" Type="http://schemas.openxmlformats.org/officeDocument/2006/relationships/hyperlink" Target="https://elperiodicodelaenergia.com/el-psoe-y-sus-socios-no-tiran-la-toalla-y-negocian-hacer-permanente-el-impuesto-a-las-energeticas/" TargetMode="External"/><Relationship Id="rId4044" Type="http://schemas.openxmlformats.org/officeDocument/2006/relationships/hyperlink" Target="https://www.inoutviajes.com/noticia/27469/turismo-nacional/la-gala-de-los-soles-2025-de-la-guia-repsol-se-celebrara-en-tenerife.html" TargetMode="External"/><Relationship Id="rId4043" Type="http://schemas.openxmlformats.org/officeDocument/2006/relationships/hyperlink" Target="https://www.montilladigital.com/2024/10/jordi-margalef-la-marcha-de-repsol.html" TargetMode="External"/><Relationship Id="rId4046" Type="http://schemas.openxmlformats.org/officeDocument/2006/relationships/hyperlink" Target="https://www.estrategiasdeinversion.com/actualidad/noticias/bolsa-espana/respondemos-a-las-preguntas-sobre-ence-acciona-n-757425" TargetMode="External"/><Relationship Id="rId4045" Type="http://schemas.openxmlformats.org/officeDocument/2006/relationships/hyperlink" Target="https://www.economiadigital.es/empresas/galp-acelera-cargadores-electricos-repsol-espana-portugal-5500.html" TargetMode="External"/><Relationship Id="rId4048" Type="http://schemas.openxmlformats.org/officeDocument/2006/relationships/hyperlink" Target="https://www.elboletin.com/el-jueves-atentos-a-el-ipc-de-la-eurozona-y-los-resultados-de-sabadell-caixabank-y-bbva/" TargetMode="External"/><Relationship Id="rId4047" Type="http://schemas.openxmlformats.org/officeDocument/2006/relationships/hyperlink" Target="https://www.guiarepsol.com/es/comer/nuestros-favoritos/feminas-2024-congreso-de-gastronomia-mujeres-reto-demografico/" TargetMode="External"/><Relationship Id="rId4049" Type="http://schemas.openxmlformats.org/officeDocument/2006/relationships/hyperlink" Target="https://soymotero.net/competicion/hrc-y-castrol-motogp-2025/" TargetMode="External"/><Relationship Id="rId4031" Type="http://schemas.openxmlformats.org/officeDocument/2006/relationships/hyperlink" Target="https://www.20minutos.es/noticia/5648808/0/naturgy-pide-estabilidad-fiscal-plena-guerra-repsol-cepsa-contra-impuesto-las-energeticas-compas-espera-iberdrola/" TargetMode="External"/><Relationship Id="rId4030" Type="http://schemas.openxmlformats.org/officeDocument/2006/relationships/hyperlink" Target="https://elcierredigital.com/investigacion/repsol-se-apoya-junts-catalunya-y-prensa-para-ganarle-pulso-sanchez" TargetMode="External"/><Relationship Id="rId297" Type="http://schemas.openxmlformats.org/officeDocument/2006/relationships/hyperlink" Target="https://www.guiarepsol.com/es/viajar/vamos-de-excursion/pueblos-bonitos-zamora/" TargetMode="External"/><Relationship Id="rId4033" Type="http://schemas.openxmlformats.org/officeDocument/2006/relationships/hyperlink" Target="https://www.larazon.es/economia/repsol-lanza-sus-estaciones-servicio-diesel-nexa-100-renovable-marca-comercial-combustible-premium_202410296720edf3d8f8950001d4402d.html" TargetMode="External"/><Relationship Id="rId296" Type="http://schemas.openxmlformats.org/officeDocument/2006/relationships/hyperlink" Target="https://rondasemanal.es/vejer/1510998/la-playa-de-el-palmar-protagonista-del-video-promocional-algo-nuevo-te-mueve-en-repsol/" TargetMode="External"/><Relationship Id="rId4032" Type="http://schemas.openxmlformats.org/officeDocument/2006/relationships/hyperlink" Target="https://www.murciadiario.com/articulo/empresas/lopez-miras-traslada-apoyo-repsol-inversiones-cartagena/20241029183722117394.html" TargetMode="External"/><Relationship Id="rId295" Type="http://schemas.openxmlformats.org/officeDocument/2006/relationships/hyperlink" Target="https://www.lavanguardia.com/local/maresme/20240122/9503664/repartidor-me-estafa-bombona-butano.html" TargetMode="External"/><Relationship Id="rId4035" Type="http://schemas.openxmlformats.org/officeDocument/2006/relationships/hyperlink" Target="https://www.abc.es/economia/repsol-cepsa-aguardan-decision-sobre-impuestazo-negocio-20241029184406-nt.html" TargetMode="External"/><Relationship Id="rId294" Type="http://schemas.openxmlformats.org/officeDocument/2006/relationships/hyperlink" Target="https://www.economiadigital.es/empresas/repsol-juan-roig-gana-energia.html" TargetMode="External"/><Relationship Id="rId4034" Type="http://schemas.openxmlformats.org/officeDocument/2006/relationships/hyperlink" Target="https://www.elnacional.cat/oneconomia/es/empresas/repsol-marca-diesel-100-renovable-diesel-nexa_1308370_102.html" TargetMode="External"/><Relationship Id="rId4037" Type="http://schemas.openxmlformats.org/officeDocument/2006/relationships/hyperlink" Target="https://www.almerianoticias.es/repsol-lanza-la-marca-comercial-de-su-combustible-premium-diesel-nexa-100-renovable/" TargetMode="External"/><Relationship Id="rId4036" Type="http://schemas.openxmlformats.org/officeDocument/2006/relationships/hyperlink" Target="https://www.guiarepsol.com/es/comer/nuestros-favoritos/molleja-menus-gastronomicos/" TargetMode="External"/><Relationship Id="rId299" Type="http://schemas.openxmlformats.org/officeDocument/2006/relationships/hyperlink" Target="https://www.elespanol.com/invertia/empresas/energia/20240122/repsol-disa-abren-camino-desarrollo-geotermia-profunda-espana/826667327_0.html" TargetMode="External"/><Relationship Id="rId4039" Type="http://schemas.openxmlformats.org/officeDocument/2006/relationships/hyperlink" Target="https://www.elespanol.com/invertia/empresas/energia/20241029/iberdrola-gana-primera-subasta-eolica-marina-golfo-maine-repsol-edp-finalistas/897160747_0.html" TargetMode="External"/><Relationship Id="rId298" Type="http://schemas.openxmlformats.org/officeDocument/2006/relationships/hyperlink" Target="https://www.repsol.es/particulares/asesoramiento-consumo/documentacion-requisitos-seguro-coche/" TargetMode="External"/><Relationship Id="rId4038" Type="http://schemas.openxmlformats.org/officeDocument/2006/relationships/hyperlink" Target="https://es.investing.com/analysis/analisis-tecnico-de-banco-santander-repsol-y-grifols-200473388" TargetMode="External"/><Relationship Id="rId4060" Type="http://schemas.openxmlformats.org/officeDocument/2006/relationships/hyperlink" Target="https://www.eldiario.es/economia/repsol-celebra-impuesto-energeticas-afortunadamente-problema-acabado_1_11780949.html" TargetMode="External"/><Relationship Id="rId4062" Type="http://schemas.openxmlformats.org/officeDocument/2006/relationships/hyperlink" Target="https://intereconomia.com/noticia/empresas/cae-un-36-el-beneficio-de-repsol-20241031-1029/" TargetMode="External"/><Relationship Id="rId4061" Type="http://schemas.openxmlformats.org/officeDocument/2006/relationships/hyperlink" Target="https://www.diariodesevilla.es/economia/repsol-reactiva-inversiones-espana-decaer_0_2002700363.html" TargetMode="External"/><Relationship Id="rId4064" Type="http://schemas.openxmlformats.org/officeDocument/2006/relationships/hyperlink" Target="https://www.elespanol.com/invertia/empresas/energia/20241031/repsol-reduce-beneficio-septiembre-millones-caida-margenes-refino/897660240_0.html" TargetMode="External"/><Relationship Id="rId4063" Type="http://schemas.openxmlformats.org/officeDocument/2006/relationships/hyperlink" Target="https://www.estrategiasdeinversion.com/actualidad/noticias/bolsa-espana/repsol-reduce-su-beneficio-un-36-por-la-caida-n-757697" TargetMode="External"/><Relationship Id="rId4066" Type="http://schemas.openxmlformats.org/officeDocument/2006/relationships/hyperlink" Target="https://cincodias.elpais.com/companias/2024-10-31/repsol-gano-1792-millones-hasta-septiembre-un-36-menos.html" TargetMode="External"/><Relationship Id="rId4065" Type="http://schemas.openxmlformats.org/officeDocument/2006/relationships/hyperlink" Target="https://www.europapress.es/economia/noticia-repsol-recorta-36-ganancias-septiembre-1792-millones-sigue-impulsando-dividendo-20241031082050.html" TargetMode="External"/><Relationship Id="rId4068" Type="http://schemas.openxmlformats.org/officeDocument/2006/relationships/hyperlink" Target="https://www.capitalmadrid.com/2024/10/31/68363/claves-de-los-resultados-3-t-2024-de-repsol.html" TargetMode="External"/><Relationship Id="rId4067" Type="http://schemas.openxmlformats.org/officeDocument/2006/relationships/hyperlink" Target="https://www.elperiodico.com/es/economia/20241031/resultados-repsol-septiembre-2024-36-menos-refino-110983512" TargetMode="External"/><Relationship Id="rId4069" Type="http://schemas.openxmlformats.org/officeDocument/2006/relationships/hyperlink" Target="https://www.bolsamania.com/noticias/resultados-anuncios/repsol-obtiene-un-resultado-neto-de-1792-millones-de-euros-un-36-menos--17873582.html" TargetMode="External"/><Relationship Id="rId4051" Type="http://schemas.openxmlformats.org/officeDocument/2006/relationships/hyperlink" Target="https://www.diaridetarragona.com/economia/impuestazo-enmiendas-congreso-tiempo-CM21693717" TargetMode="External"/><Relationship Id="rId4050" Type="http://schemas.openxmlformats.org/officeDocument/2006/relationships/hyperlink" Target="https://www.diariodevalladolid.es/valladolid/241030/264635/mejor-pincho-castilla-leon-valladolid-lechazo.html" TargetMode="External"/><Relationship Id="rId4053" Type="http://schemas.openxmlformats.org/officeDocument/2006/relationships/hyperlink" Target="https://elcomercio.pe/deporte-total/futbol-peruano/semillero-repsol-de-futbol-femenino-viajar-12-horas-es-un-gran-esfuerzo-y-hemos-venido-a-ganar-as-tingo-el-equipo-de-tingo-maria-y-por-que-decidio-cruzar-los-andes-para-jugar-en-el-semillero-de-el-comercio-noticia/" TargetMode="External"/><Relationship Id="rId4052" Type="http://schemas.openxmlformats.org/officeDocument/2006/relationships/hyperlink" Target="https://www.malagahoy.es/la-farola/expertos-mejores-bares-provincia-malaga-comer-beber_0_2002681367.html" TargetMode="External"/><Relationship Id="rId4055" Type="http://schemas.openxmlformats.org/officeDocument/2006/relationships/hyperlink" Target="https://elperiodicodelaenergia.com/imaz-garantiza-un-dividendo-minimo-de-0-975-euros-para-los-accionistas-de-repsol-en-2025/" TargetMode="External"/><Relationship Id="rId4054" Type="http://schemas.openxmlformats.org/officeDocument/2006/relationships/hyperlink" Target="https://es.ara.cat/economia/energia/repsol-reactiva-inversiones-caida-impuesto-energetico-problema-terminado_1_5187873.html" TargetMode="External"/><Relationship Id="rId4057" Type="http://schemas.openxmlformats.org/officeDocument/2006/relationships/hyperlink" Target="https://www.eleconomista.es/energia/noticias/13060794/10/24/repsol-gana-1792-millones-un-36-menos-por-la-caida-de-su-margen-de-refino.html" TargetMode="External"/><Relationship Id="rId4056" Type="http://schemas.openxmlformats.org/officeDocument/2006/relationships/hyperlink" Target="https://www.repsol.es/autonomos-y-empresas/asesoramiento/certificado-de-cocina-eficiente-y-sostenible-que-es/" TargetMode="External"/><Relationship Id="rId4059" Type="http://schemas.openxmlformats.org/officeDocument/2006/relationships/hyperlink" Target="https://www.eitb.eus/es/noticias/economia/detalle/9617349/repsol-gaba-1792-millones-de-euros-hasta-septiembre-36-menos-por-bajo-precio-del-gas-y-del-crudo/" TargetMode="External"/><Relationship Id="rId4058" Type="http://schemas.openxmlformats.org/officeDocument/2006/relationships/hyperlink" Target="https://transporteprofesional.es/industria-auxiliar/servicios-transporte-logistica/repsol-lanza-el-combustible-premium-diesel-nexa-100-renovable" TargetMode="External"/><Relationship Id="rId4008" Type="http://schemas.openxmlformats.org/officeDocument/2006/relationships/hyperlink" Target="https://www.economiadigital.es/empresas/repsol-y-cepsa-congelan-inversiones-por-el-impuestazo-entre-dudas-por-el-futuro-real-del-hidrogeno.html" TargetMode="External"/><Relationship Id="rId4007" Type="http://schemas.openxmlformats.org/officeDocument/2006/relationships/hyperlink" Target="https://www.huleymantel.com/menu-dia/se-sabe-gala-soles-repsol-2025-ya-tiene-ubicacion-fecha_102461_102.html" TargetMode="External"/><Relationship Id="rId4009" Type="http://schemas.openxmlformats.org/officeDocument/2006/relationships/hyperlink" Target="https://www.libremercado.com/2024-10-28/todos-los-proyectos-de-repsol-paralizados-por-el-impuestazo-de-sanchez-7178497/" TargetMode="External"/><Relationship Id="rId271" Type="http://schemas.openxmlformats.org/officeDocument/2006/relationships/hyperlink" Target="https://www.elprogreso.es/articulo/lugo/empresa-hace-agencia-butano-localidades-provincia-lugo/202401200115221723877.html" TargetMode="External"/><Relationship Id="rId270" Type="http://schemas.openxmlformats.org/officeDocument/2006/relationships/hyperlink" Target="https://www.diariomotor.com/noticia/coches-motores-compatibles-gasolina-diesel-renovable/" TargetMode="External"/><Relationship Id="rId269" Type="http://schemas.openxmlformats.org/officeDocument/2006/relationships/hyperlink" Target="https://gestion.pe/economia/empresas/repsol-sobre-demanda-en-paises-bajos-no-hemos-sido-notificados-formalmente-derrame-de-petroleo-ancon-ventanilla-callao-noticia/" TargetMode="External"/><Relationship Id="rId264" Type="http://schemas.openxmlformats.org/officeDocument/2006/relationships/hyperlink" Target="https://www.naiz.eus/eu/info/noticia/20240119/las-polemicas-declaraciones-de-imaz-enfadan-al-gobierno-espanol-es-negacionismo-y-retardismo" TargetMode="External"/><Relationship Id="rId4000" Type="http://schemas.openxmlformats.org/officeDocument/2006/relationships/hyperlink" Target="https://www.boxrepsol.com/es/motogp/resultados-del-gp-de-tailandia-de-motogp-2024/" TargetMode="External"/><Relationship Id="rId263" Type="http://schemas.openxmlformats.org/officeDocument/2006/relationships/hyperlink" Target="https://www.motosan.es/motogp/honda-busca-nuevo-piloto-para-sus-test-privados-de-motogp/" TargetMode="External"/><Relationship Id="rId262" Type="http://schemas.openxmlformats.org/officeDocument/2006/relationships/hyperlink" Target="https://www.leonoticias.com/degustaleon/secreto-carino-experiencia-anos-20240118133420-nt.html" TargetMode="External"/><Relationship Id="rId4002" Type="http://schemas.openxmlformats.org/officeDocument/2006/relationships/hyperlink" Target="https://theobjective.com/economia/2024-10-27/ibex-independentismo-giro-social-pp/" TargetMode="External"/><Relationship Id="rId261" Type="http://schemas.openxmlformats.org/officeDocument/2006/relationships/hyperlink" Target="https://www.elespanol.com/quincemil/vivir/gastrogalicia/20240119/come-mejor-tortilla-patatas-galicia-dice-guia-repsol/826167943_0.html" TargetMode="External"/><Relationship Id="rId4001" Type="http://schemas.openxmlformats.org/officeDocument/2006/relationships/hyperlink" Target="https://www.eldia.es/sociedad/2024/10/27/butano-repartidores-huelga-bombonas-noviembre-dv-lm-110268586.html" TargetMode="External"/><Relationship Id="rId268" Type="http://schemas.openxmlformats.org/officeDocument/2006/relationships/hyperlink" Target="https://caretas.pe/nacional/repsol-ganancia-de-pecadores/" TargetMode="External"/><Relationship Id="rId4004" Type="http://schemas.openxmlformats.org/officeDocument/2006/relationships/hyperlink" Target="https://www.diaridetarragona.com/tarragona/si-apretamos-tanto-con-los-impuestos-esta-en-riesgo-el-50-del-negocio-EH21627737" TargetMode="External"/><Relationship Id="rId267" Type="http://schemas.openxmlformats.org/officeDocument/2006/relationships/hyperlink" Target="https://www.elprogreso.es/articulo/lugo/mejor-tortilla-patatas-galicia-hace-lugo/202401191703391723833.html" TargetMode="External"/><Relationship Id="rId4003" Type="http://schemas.openxmlformats.org/officeDocument/2006/relationships/hyperlink" Target="https://www.vozpopuli.com/economia/imaz-empresario-rebelde-ibex-35-desafia-sanchez.html" TargetMode="External"/><Relationship Id="rId266" Type="http://schemas.openxmlformats.org/officeDocument/2006/relationships/hyperlink" Target="https://www.eleconomista.es/industria/noticias/12631607/01/24/asi-sera-la-meteorica-subida-de-sueldos-en-la-industria-quimica-este-ano.html" TargetMode="External"/><Relationship Id="rId4006" Type="http://schemas.openxmlformats.org/officeDocument/2006/relationships/hyperlink" Target="https://www.energias-renovables.com/panorama/str-cepsa-se-une-a-repsol-en-20241028" TargetMode="External"/><Relationship Id="rId265" Type="http://schemas.openxmlformats.org/officeDocument/2006/relationships/hyperlink" Target="https://www.atlanticohoy.com/gran-canaria/gran-canaria-mostrara-su-gastronomia-en-madrid-fusion-con-productos-nunca-vistos_1526631_102.html" TargetMode="External"/><Relationship Id="rId4005" Type="http://schemas.openxmlformats.org/officeDocument/2006/relationships/hyperlink" Target="https://www.webtenerife.com/blogcorporativo/2024/10/tenerife-acogera-la-gala-de-los-soles-2025-de-la-guia-repsol/" TargetMode="External"/><Relationship Id="rId260" Type="http://schemas.openxmlformats.org/officeDocument/2006/relationships/hyperlink" Target="https://www.diariodeleon.es/sociedad/240119/1506831/mejor-tortilla-patata-espana-leon-antiguo.html" TargetMode="External"/><Relationship Id="rId259" Type="http://schemas.openxmlformats.org/officeDocument/2006/relationships/hyperlink" Target="https://www.larazon.es/deportes/lucas-moraes-isidre-esteve-seth-quintero-completan-dakar-combustible-renovable-repsol_2024011965aae4da014c8a0001d64ad3.html" TargetMode="External"/><Relationship Id="rId258" Type="http://schemas.openxmlformats.org/officeDocument/2006/relationships/hyperlink" Target="https://autohebdosport.com/competicion/off-road/isidre-esteve-culmina-su-dakar-mas-epico" TargetMode="External"/><Relationship Id="rId2290" Type="http://schemas.openxmlformats.org/officeDocument/2006/relationships/hyperlink" Target="https://www.diariodejerez.es/jerez/cocineros-guia-repsol-recomiendan-espartero_0_2000680172.html" TargetMode="External"/><Relationship Id="rId2291" Type="http://schemas.openxmlformats.org/officeDocument/2006/relationships/hyperlink" Target="https://www.rtpa.es/noticias-asturias:Los-cocineros-de-la-Guia-Repsol-recomiendan-14-establecimientos-bajo-el-sello-'Solete'_111719406348.html" TargetMode="External"/><Relationship Id="rId2292" Type="http://schemas.openxmlformats.org/officeDocument/2006/relationships/hyperlink" Target="https://www.infobae.com/espana/2024/06/26/los-mejores-chefs-espanoles-eligen-sus-soletes-repsol-para-este-verano-bares-terrazas-chiringuitos-y-heladerias-de-calidad-a-buen-precio/" TargetMode="External"/><Relationship Id="rId2293" Type="http://schemas.openxmlformats.org/officeDocument/2006/relationships/hyperlink" Target="https://www.huelvainformacion.es/destino-huelva/soletes-huelva-guia-repsol-mejores-cocineros_0_2000674953.html" TargetMode="External"/><Relationship Id="rId253" Type="http://schemas.openxmlformats.org/officeDocument/2006/relationships/hyperlink" Target="https://www.guiarepsol.com/es/comer/nuestros-favoritos/donde-comen-los-famosos-en-madrid/" TargetMode="External"/><Relationship Id="rId2294" Type="http://schemas.openxmlformats.org/officeDocument/2006/relationships/hyperlink" Target="https://www.guiarepsol.com/es/soletes/soletes-favoritos-tres-soles/" TargetMode="External"/><Relationship Id="rId252" Type="http://schemas.openxmlformats.org/officeDocument/2006/relationships/hyperlink" Target="https://www.eldiario.es/economia/ribera-acusa-josu-jon-imaz-negacionismo-retardismo-pnv-sale-defensa-ceo-repsol_1_10850263.html" TargetMode="External"/><Relationship Id="rId2295" Type="http://schemas.openxmlformats.org/officeDocument/2006/relationships/hyperlink" Target="https://elmirondesoria.es/soria/capital/la-guia-repsol-incluye-once-soletes-de-soria-para-este-verano" TargetMode="External"/><Relationship Id="rId251" Type="http://schemas.openxmlformats.org/officeDocument/2006/relationships/hyperlink" Target="https://elperiodicodelaenergia.com/gana-energia-factura-190-millones-2023-37-mas-aspira-alcanzar-millon-clientes-este-ano/" TargetMode="External"/><Relationship Id="rId2296" Type="http://schemas.openxmlformats.org/officeDocument/2006/relationships/hyperlink" Target="https://www.tribunaleon.com/noticias/372116/los-nuevos-soletes-de-la-guia-repsol-en-leon-una-hamburgueseria-un-pub-una-confiteria-gourmet-y-un-gastrobar" TargetMode="External"/><Relationship Id="rId250" Type="http://schemas.openxmlformats.org/officeDocument/2006/relationships/hyperlink" Target="https://www.libremercado.com/2024-01-19/las-frases-de-imaz-en-davos-que-indignaron-a-teresa-ribera-7088499/" TargetMode="External"/><Relationship Id="rId2297" Type="http://schemas.openxmlformats.org/officeDocument/2006/relationships/hyperlink" Target="https://www.malagahoy.es/malaga/bosque-urbano-malaga-opone-gasolinera-terrenos-repsol_0_2000698237.html" TargetMode="External"/><Relationship Id="rId257" Type="http://schemas.openxmlformats.org/officeDocument/2006/relationships/hyperlink" Target="https://www.hispanidad.com/economia/iberdrola-desata-guerra-contra-petroleras-repsol-cepsa-su-socia-bp_12048083_102.html" TargetMode="External"/><Relationship Id="rId2298" Type="http://schemas.openxmlformats.org/officeDocument/2006/relationships/hyperlink" Target="https://www.lavozdegalicia.es/noticia/ourense/2024/06/26/chefs-ourense-reconocidos-sol-repsol-recomiendan-locales-favoritos/00031719411391300467714.htm" TargetMode="External"/><Relationship Id="rId256" Type="http://schemas.openxmlformats.org/officeDocument/2006/relationships/hyperlink" Target="https://www.diariomotor.com/noticia/gasolina-renovable-repsol-precio-2024/" TargetMode="External"/><Relationship Id="rId2299" Type="http://schemas.openxmlformats.org/officeDocument/2006/relationships/hyperlink" Target="https://www.diariodecadiz.es/cadiz/cocineros-guia-repsol-recomiendan-adobo-manzanilla-la-colonial-cadiz_0_2000682576.html" TargetMode="External"/><Relationship Id="rId255" Type="http://schemas.openxmlformats.org/officeDocument/2006/relationships/hyperlink" Target="https://www.boxrepsol.com/es/rally/resultados-de-la-duodecima-etapa-del-rally-dakar-2024/" TargetMode="External"/><Relationship Id="rId254" Type="http://schemas.openxmlformats.org/officeDocument/2006/relationships/hyperlink" Target="https://www.chasiscero.com/articulo/general/repsol-revoluciona-combustible-lanza-gasolina-100-renovable-base-biocombustibles-avanzados/20240119082716018574.html" TargetMode="External"/><Relationship Id="rId4029" Type="http://schemas.openxmlformats.org/officeDocument/2006/relationships/hyperlink" Target="https://www.fundacionrepsol.com/es/noticias/travel-club-y-sus-socios-se-suman-a-motor-verde/" TargetMode="External"/><Relationship Id="rId293" Type="http://schemas.openxmlformats.org/officeDocument/2006/relationships/hyperlink" Target="https://www.abc.es/motor/motoreco/llegan-espana-primeras-gasolineras-combustibles-renovables-20240121090600-nt.html" TargetMode="External"/><Relationship Id="rId292" Type="http://schemas.openxmlformats.org/officeDocument/2006/relationships/hyperlink" Target="https://actualidadaeroespacial.com/eliance-repsol-y-la-junta-de-castilla-y-leon-se-unen-para-implementar-combustibles-sostenibles-en-helicopteros-contra-incendios/" TargetMode="External"/><Relationship Id="rId291" Type="http://schemas.openxmlformats.org/officeDocument/2006/relationships/hyperlink" Target="https://www.repsol.com/es/sala-prensa/notas-prensa/2024/campo-el-sharara-libia-retoma-produccion-tras-exito-conversaciones-comunidades-locales/index.cshtml" TargetMode="External"/><Relationship Id="rId290" Type="http://schemas.openxmlformats.org/officeDocument/2006/relationships/hyperlink" Target="https://www.eleconomista.es/energia/noticias/12634424/01/24/repsol-se-alia-con-eliance-y-castilla-y-leon-para-probar-el-saf-en-helicopteros-antiincendios.html" TargetMode="External"/><Relationship Id="rId4020" Type="http://schemas.openxmlformats.org/officeDocument/2006/relationships/hyperlink" Target="https://www.faconauto.com/notas-de-prensa/el-iii-observatorio-del-vehiculo-industrial-de-faconauto-analizara-los-retos-de-la-posventa-y-la-atraccion-de-talento/" TargetMode="External"/><Relationship Id="rId286" Type="http://schemas.openxmlformats.org/officeDocument/2006/relationships/hyperlink" Target="https://www.epe.es/es/activos/20240121/dura-buen-rollo-97182132" TargetMode="External"/><Relationship Id="rId4022" Type="http://schemas.openxmlformats.org/officeDocument/2006/relationships/hyperlink" Target="https://www.elconfidencial.com/empresas/2024-10-28/energeticas-banca-impuestazo-gobierno-debilidad_3990936/" TargetMode="External"/><Relationship Id="rId285" Type="http://schemas.openxmlformats.org/officeDocument/2006/relationships/hyperlink" Target="https://www.mundodeportivo.com/motor/motogp/20240120/1002174095/familia-marquez-familia-gresini-conjuran-historia-motogp-2024.html" TargetMode="External"/><Relationship Id="rId4021" Type="http://schemas.openxmlformats.org/officeDocument/2006/relationships/hyperlink" Target="https://www.caranddriver.com/es/coches/planeta-motor/a62669358/range-rover-lamborghini-v10-dakar-prototype/" TargetMode="External"/><Relationship Id="rId284" Type="http://schemas.openxmlformats.org/officeDocument/2006/relationships/hyperlink" Target="https://revistascratch.com/dakar/noticia/isidre-esteve-culmina-su-dakar-mas-epico-69300" TargetMode="External"/><Relationship Id="rId4024" Type="http://schemas.openxmlformats.org/officeDocument/2006/relationships/hyperlink" Target="https://www.eleconomista.es/energia/noticias/13052763/10/24/el-freno-de-las-petroleras-al-hidrogeno-por-el-impuestazo-arriesga-el-15-de-los-proyectos-en-espana.html" TargetMode="External"/><Relationship Id="rId283" Type="http://schemas.openxmlformats.org/officeDocument/2006/relationships/hyperlink" Target="https://ojo-publico.com/ambiente/repsol-acumula-casi-s110-millones-multas-dos-anos-del-derrame" TargetMode="External"/><Relationship Id="rId4023" Type="http://schemas.openxmlformats.org/officeDocument/2006/relationships/hyperlink" Target="https://www.zamora24horas.com/local/zamora-acoge-este-proximo-martes-concurso-regional-pinchos-tapas-castilla-leon_15130708_102.html" TargetMode="External"/><Relationship Id="rId4026" Type="http://schemas.openxmlformats.org/officeDocument/2006/relationships/hyperlink" Target="https://www.actualidadambiental.pe/repsol-y-la-incansable-lucha-por-conseguir-justicia/" TargetMode="External"/><Relationship Id="rId289" Type="http://schemas.openxmlformats.org/officeDocument/2006/relationships/hyperlink" Target="https://www.elespanol.com/invertia/empresas/energia/20240122/sector-funerario-repsol-buscan-modelos-energeticos-sostenibles-descarbonizar-operaciones-funerarias/826917618_0.html" TargetMode="External"/><Relationship Id="rId4025" Type="http://schemas.openxmlformats.org/officeDocument/2006/relationships/hyperlink" Target="https://www.boxrepsol.com/es/motogp/horarios-y-donde-ver-la-motogp-de-malasia/" TargetMode="External"/><Relationship Id="rId288" Type="http://schemas.openxmlformats.org/officeDocument/2006/relationships/hyperlink" Target="https://emprendedores.es/gestion/recursos-humanos/empleos-auge/" TargetMode="External"/><Relationship Id="rId4028" Type="http://schemas.openxmlformats.org/officeDocument/2006/relationships/hyperlink" Target="https://transporte3.com/noticia/21323-diesel-nexa-el-combustible-premium-100-renovable-de-repsol/" TargetMode="External"/><Relationship Id="rId287" Type="http://schemas.openxmlformats.org/officeDocument/2006/relationships/hyperlink" Target="https://www.libertaddigital.com/chic/viajar-comer/2024-01-21/toto-el-restaurante-italiano-de-rafa-nadal-que-apuesta-por-la-calidad-y-la-temporada-0e-7087134/" TargetMode="External"/><Relationship Id="rId4027" Type="http://schemas.openxmlformats.org/officeDocument/2006/relationships/hyperlink" Target="https://www.caranddriver.com/es/coches/planeta-motor/a62747296/repsol-nuevo-diesel/" TargetMode="External"/><Relationship Id="rId4019" Type="http://schemas.openxmlformats.org/officeDocument/2006/relationships/hyperlink" Target="https://www.encastillalamancha.es/castilla-la-mancha-cat/ciudad-real/los-trabajadores-de-navec-convocan-una-marcha-motorizada-contra-el-ere-en-puertollano/" TargetMode="External"/><Relationship Id="rId4018" Type="http://schemas.openxmlformats.org/officeDocument/2006/relationships/hyperlink" Target="https://www.expansion.com/mercados/cronica-bolsa/2024/10/28/671f34dbe5fdea3e488b4592.html" TargetMode="External"/><Relationship Id="rId282" Type="http://schemas.openxmlformats.org/officeDocument/2006/relationships/hyperlink" Target="https://www.heraldo.es/noticias/deportes/2024/01/21/marc-marquez-nuevos-colores-ducati-1705340.html" TargetMode="External"/><Relationship Id="rId281" Type="http://schemas.openxmlformats.org/officeDocument/2006/relationships/hyperlink" Target="https://www.elcorreo.com/motor/motoreco/llegan-espana-primeras-gasolineras-combustibles-renovables-20240121090600-ntrc.html" TargetMode="External"/><Relationship Id="rId280" Type="http://schemas.openxmlformats.org/officeDocument/2006/relationships/hyperlink" Target="https://www.lavozdelsur.es/actualidad/ecologia/repsol-rodea-torrecera-mar-espejos-no-ha-creado-trabajo-esperabamos_308558_102.html" TargetMode="External"/><Relationship Id="rId275" Type="http://schemas.openxmlformats.org/officeDocument/2006/relationships/hyperlink" Target="https://www.elespanol.com/alicante/vivir/gastronomia/20240120/planes-chef-deseado-alicante-restaurante-isla-artificial/826167845_0.html" TargetMode="External"/><Relationship Id="rId4011" Type="http://schemas.openxmlformats.org/officeDocument/2006/relationships/hyperlink" Target="https://www.fundacionrepsol.com/es/noticias/formacion-jovenes-trabajadores-hispaled/" TargetMode="External"/><Relationship Id="rId274" Type="http://schemas.openxmlformats.org/officeDocument/2006/relationships/hyperlink" Target="https://www.radiostudio88.com/articulo/programas-especiales/solete-cafeteria-kuman-premio-bartender-laura-merino-recocina/20240120110043020527.html" TargetMode="External"/><Relationship Id="rId4010" Type="http://schemas.openxmlformats.org/officeDocument/2006/relationships/hyperlink" Target="https://www.lamarea.com/2024/10/28/semana-clave-impuesto-electricas/" TargetMode="External"/><Relationship Id="rId273" Type="http://schemas.openxmlformats.org/officeDocument/2006/relationships/hyperlink" Target="https://www.lasexta.com/motor/noticias/mejor-gasolina-mercado-segun-ocu_2024012065a69efa872b820001a77f83.html" TargetMode="External"/><Relationship Id="rId4013" Type="http://schemas.openxmlformats.org/officeDocument/2006/relationships/hyperlink" Target="https://www.guiarepsol.com/es/comer/nuestros-favoritos/cuatro-manos-baga-vasco/" TargetMode="External"/><Relationship Id="rId272" Type="http://schemas.openxmlformats.org/officeDocument/2006/relationships/hyperlink" Target="https://www.dazn.com/es-ES/news/motor/marc-alex-marquez-hermanos-pilotos-companeros-vida-motogp-gresini-racing/1f5npvbpnxgt91vgitfidm1r2d" TargetMode="External"/><Relationship Id="rId4012" Type="http://schemas.openxmlformats.org/officeDocument/2006/relationships/hyperlink" Target="https://valenciaplaza.com/valenciaplaza/iberdrola-cox-y-repsol-apuestan-por-el-mercado-de-almacenamiento-de-energia-que-crecera-un-21-anual-hasta-2030" TargetMode="External"/><Relationship Id="rId279" Type="http://schemas.openxmlformats.org/officeDocument/2006/relationships/hyperlink" Target="https://larepublica.pe/economia/2024/01/20/pedro-chira-la-salida-de-petroperu-no-favorece-a-los-peruanos-sino-a-sus-competidores-petroleo-repsol-254220" TargetMode="External"/><Relationship Id="rId4015" Type="http://schemas.openxmlformats.org/officeDocument/2006/relationships/hyperlink" Target="https://www.eleconomista.es/energia/noticias/13052479/10/24/la-solar-de-repsol-y-telefonica-puja-por-los-paneles-de-la-sede-de-la-chj-en-valencia.html" TargetMode="External"/><Relationship Id="rId278" Type="http://schemas.openxmlformats.org/officeDocument/2006/relationships/hyperlink" Target="https://www.dazn.com/es-ES/news/motor/fichaje-marc-marquez-ducati-gresini-racing-contrato-duracion-salario-por-que-va-honda/1e595xl1swza01f5uv9pr87r7b" TargetMode="External"/><Relationship Id="rId4014" Type="http://schemas.openxmlformats.org/officeDocument/2006/relationships/hyperlink" Target="https://www.lacomarcadepuertollano.com/articulo/puertollano/puertollano-sindicatos-denuncian-que-repsol-sustituyendo-otras-empresas-trabajadores-navec-huelga-indefinida/20241028114242567672.html" TargetMode="External"/><Relationship Id="rId277" Type="http://schemas.openxmlformats.org/officeDocument/2006/relationships/hyperlink" Target="https://www.infobae.com/peru/2024/01/20/derrame-de-petroleo-en-ventanilla-no-existen-planes-de-rehabilitacion-por-desastre-en-la-pampilla-alerta-comision-del-congreso/" TargetMode="External"/><Relationship Id="rId4017" Type="http://schemas.openxmlformats.org/officeDocument/2006/relationships/hyperlink" Target="https://www.repsol.es/particulares/asesoramiento-consumo/mejores-patinetes-electricos/" TargetMode="External"/><Relationship Id="rId276" Type="http://schemas.openxmlformats.org/officeDocument/2006/relationships/hyperlink" Target="https://www.motosan.es/motogp/marc-marquez-mis-objetivos-son-bagnaia-y-martin-tengo-que-aprender-mucho-de-ellos/" TargetMode="External"/><Relationship Id="rId4016" Type="http://schemas.openxmlformats.org/officeDocument/2006/relationships/hyperlink" Target="https://www.atlanticohoy.com/sociedad/tenerife-se-convierte-en-capital-gastronomica-llegan-soles-guia-repsol-2025_1538269_102.html" TargetMode="External"/><Relationship Id="rId1851" Type="http://schemas.openxmlformats.org/officeDocument/2006/relationships/hyperlink" Target="https://www.galiciapress.es/articulo/empresas/2024-05-16/4834501-vigilantes-prosegur-cumplen-15-dias-acampados-ante-refineria-coruna-entre-presiones-silencio-repsol" TargetMode="External"/><Relationship Id="rId1852" Type="http://schemas.openxmlformats.org/officeDocument/2006/relationships/hyperlink" Target="https://www.guiarepsol.com/es/comer/nuestros-favoritos/heladeria-solonaturale-alcobendas/" TargetMode="External"/><Relationship Id="rId1853" Type="http://schemas.openxmlformats.org/officeDocument/2006/relationships/hyperlink" Target="https://www.cmmedia.es/play/tv/ancha-es-castilla-la-mancha/kiosko-puente-romano-60-anos-historia-solete-repsol.html" TargetMode="External"/><Relationship Id="rId1854" Type="http://schemas.openxmlformats.org/officeDocument/2006/relationships/hyperlink" Target="https://www.bonviveur.es/noticias/mejores-restaurantes-castellon" TargetMode="External"/><Relationship Id="rId1855" Type="http://schemas.openxmlformats.org/officeDocument/2006/relationships/hyperlink" Target="https://www.infobae.com/espana/2024/05/16/como-hacer-cafe-carajillo-el-coctel-de-moda-que-aparece-en-las-cartas-de-los-mejores-estrellas-michelin/" TargetMode="External"/><Relationship Id="rId1856" Type="http://schemas.openxmlformats.org/officeDocument/2006/relationships/hyperlink" Target="https://www.boxrepsol.com/es/cultura-motera/concentracion-motera-de-faro/" TargetMode="External"/><Relationship Id="rId1857" Type="http://schemas.openxmlformats.org/officeDocument/2006/relationships/hyperlink" Target="https://www.relevo.com/motociclismo/motogp/santi-hernandez-marc-marquez-entrevista-20240515121617-nt.html" TargetMode="External"/><Relationship Id="rId1858" Type="http://schemas.openxmlformats.org/officeDocument/2006/relationships/hyperlink" Target="https://elcomercio.pe/desde-la-redaccion/promociones/ahorra-en-combustible-con-repsol-mas-noticia/" TargetMode="External"/><Relationship Id="rId1859" Type="http://schemas.openxmlformats.org/officeDocument/2006/relationships/hyperlink" Target="https://www.idl.org.pe/por-cuarta-vez-suspenden-audiencia-por-demanda-que-busca-que-sunat-no-beneficie-a-repsol-por-pagos-de-resarcimiento-por-derrame-de-petroleo-en-ventanilla/" TargetMode="External"/><Relationship Id="rId1850" Type="http://schemas.openxmlformats.org/officeDocument/2006/relationships/hyperlink" Target="https://www.atlanticohoy.com/sociedad/brutal-accidente-gc-1-palmas-gran-canaria_1531591_102.html" TargetMode="External"/><Relationship Id="rId1840" Type="http://schemas.openxmlformats.org/officeDocument/2006/relationships/hyperlink" Target="https://www.elespanol.com/valencia/ocio/20240514/gandia-cullera-pueblo-costero-desconocido-valencia-sabido-preservar-singularidad-trt/855164565_0.html" TargetMode="External"/><Relationship Id="rId1841" Type="http://schemas.openxmlformats.org/officeDocument/2006/relationships/hyperlink" Target="https://cincodias.elpais.com/companias/2024-05-15/repsol-refuerza-petronor-con-una-inversion-de-47-millones.html" TargetMode="External"/><Relationship Id="rId1842" Type="http://schemas.openxmlformats.org/officeDocument/2006/relationships/hyperlink" Target="https://www.eleconomista.es/energia/noticias/12816298/05/24/repsol-en-conversaciones-para-vender-una-porcion-de-su-negocio-en-renovables.html" TargetMode="External"/><Relationship Id="rId1843" Type="http://schemas.openxmlformats.org/officeDocument/2006/relationships/hyperlink" Target="https://elfarodemelilla.es/melilla-baja-8-6-soletes-guia-repsol/" TargetMode="External"/><Relationship Id="rId1844" Type="http://schemas.openxmlformats.org/officeDocument/2006/relationships/hyperlink" Target="https://www.elbierzodigital.com/el-restaurante-serrano-de-astorga-distinguido-con-un-sol-en-la-guia-repsol-2014/" TargetMode="External"/><Relationship Id="rId1845" Type="http://schemas.openxmlformats.org/officeDocument/2006/relationships/hyperlink" Target="https://radiosintonia.com/conocemos-la-nueva-estacion-de-servicio-repsol-en-morro-jable/" TargetMode="External"/><Relationship Id="rId1846" Type="http://schemas.openxmlformats.org/officeDocument/2006/relationships/hyperlink" Target="https://www.infobae.com/peru/2024/05/15/enfrentan-a-accionistas-de-repsol-en-espana-organizaciones-ambientales-piden-respuesta-por-derrame-de-petroleo-en-peru/" TargetMode="External"/><Relationship Id="rId1847" Type="http://schemas.openxmlformats.org/officeDocument/2006/relationships/hyperlink" Target="https://www.thenewbarcelonapost.com/el-superordenador-marenostrum-5-recibira-una-inversion-adicional-de-90-millones/" TargetMode="External"/><Relationship Id="rId1848" Type="http://schemas.openxmlformats.org/officeDocument/2006/relationships/hyperlink" Target="https://www.eleconomista.es/energia/noticias/12816513/05/24/petronor-invierte-47-millones-en-la-parada-de-la-unidad-de-conversion.html" TargetMode="External"/><Relationship Id="rId1849" Type="http://schemas.openxmlformats.org/officeDocument/2006/relationships/hyperlink" Target="https://motorcyclesports.net/es/despues-de-ducati-y-ktm-jack-miller-podria-estar-dirigiendose-a-honda-en-2025/" TargetMode="External"/><Relationship Id="rId1873" Type="http://schemas.openxmlformats.org/officeDocument/2006/relationships/hyperlink" Target="https://peru.oxfam.org/lo-ultimo/noticias/las-5-respuestas-pendientes-de-repsol" TargetMode="External"/><Relationship Id="rId1874" Type="http://schemas.openxmlformats.org/officeDocument/2006/relationships/hyperlink" Target="https://www.elnacional.cat/oneconomia/es/empresas/caixa-resurge-como-gran-grupo-industrial-con-500-millones-en-caja-margen-endeudarse_1217541_102.html" TargetMode="External"/><Relationship Id="rId1875" Type="http://schemas.openxmlformats.org/officeDocument/2006/relationships/hyperlink" Target="https://www.eldebate.com/economia/20240518/grandes-empresarios-espanoles-arropan-milei-madrid-pese-cerco-pedro-sanchez_198122.html" TargetMode="External"/><Relationship Id="rId4901" Type="http://schemas.openxmlformats.org/officeDocument/2006/relationships/hyperlink" Target="https://www.guiarepsol.com/es/soles-repsol/premio-sol-sostenible/habitos-tendencias-gastronomia-responsable-de-los-consumidores/" TargetMode="External"/><Relationship Id="rId1876" Type="http://schemas.openxmlformats.org/officeDocument/2006/relationships/hyperlink" Target="https://www.moto1pro.com/enduropro/actualidad/toni-bou-inaugura-la-temporada-de-trialgp-con-una-victoria" TargetMode="External"/><Relationship Id="rId4900" Type="http://schemas.openxmlformats.org/officeDocument/2006/relationships/hyperlink" Target="https://www.guiarepsol.com/es/soles-repsol/soles-2024/encuentro-tres-soles-veteranos-cartagena/" TargetMode="External"/><Relationship Id="rId1877" Type="http://schemas.openxmlformats.org/officeDocument/2006/relationships/hyperlink" Target="https://www.elmundo.es/economia/2024/05/18/66488514e4d4d8f21d8b45a5.html" TargetMode="External"/><Relationship Id="rId4903" Type="http://schemas.openxmlformats.org/officeDocument/2006/relationships/hyperlink" Target="https://www.guiarepsol.com/es/soles-repsol/soles-2023/parejas-restaurantes-soles-guia-repsol/" TargetMode="External"/><Relationship Id="rId1878" Type="http://schemas.openxmlformats.org/officeDocument/2006/relationships/hyperlink" Target="https://www.motosan.es/motogp/puig-y-los-cambios-en-motogp-para-honda-lo-que-no-queremos-es-ser-lentos/" TargetMode="External"/><Relationship Id="rId4902" Type="http://schemas.openxmlformats.org/officeDocument/2006/relationships/hyperlink" Target="https://www.guiarepsol.com/es/soles-repsol/soles-2023/photocall-gala-soles-guia-repsol-2023/" TargetMode="External"/><Relationship Id="rId1879" Type="http://schemas.openxmlformats.org/officeDocument/2006/relationships/hyperlink" Target="https://www.20minutos.es/gastronomia/restaurantes/el-triperito-mercado-paz-roberto-martinez-foronda-5246228/" TargetMode="External"/><Relationship Id="rId4905" Type="http://schemas.openxmlformats.org/officeDocument/2006/relationships/hyperlink" Target="https://www.guiarepsol.com/es/soles-repsol/soles-2024/bienvenida-soles-guia-repsol-2024-de-maria-ritter/" TargetMode="External"/><Relationship Id="rId4904" Type="http://schemas.openxmlformats.org/officeDocument/2006/relationships/hyperlink" Target="https://www.guiarepsol.com/es/soles-repsol/premio-sol-sostenible/mandamientos-sol-sostenible/" TargetMode="External"/><Relationship Id="rId4907" Type="http://schemas.openxmlformats.org/officeDocument/2006/relationships/hyperlink" Target="https://www.guiarepsol.com/es/soletes/soletes-alicante/" TargetMode="External"/><Relationship Id="rId4906" Type="http://schemas.openxmlformats.org/officeDocument/2006/relationships/hyperlink" Target="https://www.guiarepsol.com/es/soles-repsol/soles-2024/nuevos-restaurantes-2-soles-guia-repsol-2024/" TargetMode="External"/><Relationship Id="rId4909" Type="http://schemas.openxmlformats.org/officeDocument/2006/relationships/hyperlink" Target="https://www.guiarepsol.com/es/soles-repsol/soles-2024/photocall-gala-entrega-soles-2024-cartagena-el-batel/" TargetMode="External"/><Relationship Id="rId4908" Type="http://schemas.openxmlformats.org/officeDocument/2006/relationships/hyperlink" Target="https://www.guiarepsol.com/es/soles-repsol/soles-2023/gala-entrega-soles-alicante-2023/" TargetMode="External"/><Relationship Id="rId1870" Type="http://schemas.openxmlformats.org/officeDocument/2006/relationships/hyperlink" Target="https://www.actualidadambiental.pe/derrame-repsolcuestionan-a-la-petrolera-durante-la-junta-de-accionistas/" TargetMode="External"/><Relationship Id="rId1871" Type="http://schemas.openxmlformats.org/officeDocument/2006/relationships/hyperlink" Target="https://www.izquierdadiario.es/Fuera-Milei-fuera-Vox-y-fuera-Repsol-Telefonica-Santander-de-Argentina-y-America-Latina" TargetMode="External"/><Relationship Id="rId1872" Type="http://schemas.openxmlformats.org/officeDocument/2006/relationships/hyperlink" Target="https://elpais.com/economia/negocios/2024-05-18/cae-las-siglas-que-esconden-un-desconocido-aguinaldo-para-los-vecinos.html" TargetMode="External"/><Relationship Id="rId1862" Type="http://schemas.openxmlformats.org/officeDocument/2006/relationships/hyperlink" Target="https://climatica.coop/iberdrola-repsol-batalla-greenwashing/" TargetMode="External"/><Relationship Id="rId1863" Type="http://schemas.openxmlformats.org/officeDocument/2006/relationships/hyperlink" Target="https://www.castillalamancha.es/actualidad/notasdeprensa/el-gobierno-regional-y-repsol-llevan-la-pr%C3%A1ctica-su-alianza-con-la-inauguraci%C3%B3n-del-primer-punto-de" TargetMode="External"/><Relationship Id="rId1864" Type="http://schemas.openxmlformats.org/officeDocument/2006/relationships/hyperlink" Target="https://forbes.es/economia/463540/empleados-de-repsol-adquieren-106-083-acciones-de-la-compania-como-parte-del-plan-de-incentivos/" TargetMode="External"/><Relationship Id="rId1865" Type="http://schemas.openxmlformats.org/officeDocument/2006/relationships/hyperlink" Target="https://www.repsol.com/es/energia-futuro/personas/transicion-energetica-oportunidad-reto-empleo/index.cshtml" TargetMode="External"/><Relationship Id="rId1866" Type="http://schemas.openxmlformats.org/officeDocument/2006/relationships/hyperlink" Target="https://www.miciudadreal.es/2024/05/17/repsol-inicia-en-la-gasolinera-el-castillete-de-puertollano-su-servicio-regional-de-recogida-de-aceites-de-cocina-usados-para-producir-combustibles-renovables/" TargetMode="External"/><Relationship Id="rId1867" Type="http://schemas.openxmlformats.org/officeDocument/2006/relationships/hyperlink" Target="https://www.lanzadigital.com/castilla-la-mancha/repsol-abre-su-primer-punto-de-reciclaje-de-aceite-domestico-usado-en-la-gasolinera-del-castillete/" TargetMode="External"/><Relationship Id="rId1868" Type="http://schemas.openxmlformats.org/officeDocument/2006/relationships/hyperlink" Target="https://www.expansion.com/economia/album/2024/05/17/664647eb468aebb22b8b46c0.html" TargetMode="External"/><Relationship Id="rId1869" Type="http://schemas.openxmlformats.org/officeDocument/2006/relationships/hyperlink" Target="https://www.repsol.com/es/energia-futuro/personas/busqueda-nuevos-perfiles-profesionales/index.cshtml" TargetMode="External"/><Relationship Id="rId1860" Type="http://schemas.openxmlformats.org/officeDocument/2006/relationships/hyperlink" Target="https://www.bancaynegocios.com/petroleras-extranjeras-de-venezuela-podran-obtener-licencias/" TargetMode="External"/><Relationship Id="rId1861" Type="http://schemas.openxmlformats.org/officeDocument/2006/relationships/hyperlink" Target="https://www.puertollano.es/repsol-inicia-en-puertollano-la-recogida-de-aceite-de-cocina-usado-en-estaciones-de-servicio-de-la-region/" TargetMode="External"/><Relationship Id="rId1810" Type="http://schemas.openxmlformats.org/officeDocument/2006/relationships/hyperlink" Target="https://www.guiarepsol.com/es/dormir/en-la-gloria/turismo-familiar-resort-puerto-antilla-grand-hotel-islantilla/" TargetMode="External"/><Relationship Id="rId1811" Type="http://schemas.openxmlformats.org/officeDocument/2006/relationships/hyperlink" Target="https://ojo-publico.com/sala-del-poder/derrame-repsol-organizaciones-enfrentan-la-junta-accionistas" TargetMode="External"/><Relationship Id="rId1812" Type="http://schemas.openxmlformats.org/officeDocument/2006/relationships/hyperlink" Target="https://www.diariodealmeria.es/almeria-para-vivirla/gasolineras-low-cost-pica-Almeria_0_1900911956.html" TargetMode="External"/><Relationship Id="rId1813" Type="http://schemas.openxmlformats.org/officeDocument/2006/relationships/hyperlink" Target="https://www.eldiario.es/madrid/somos/chamberi/gremial-taxi-vende-sede-santa-engracia-grupo-inmobiliario-construira-30-pisos-turisticos_1_11356365.html" TargetMode="External"/><Relationship Id="rId1814" Type="http://schemas.openxmlformats.org/officeDocument/2006/relationships/hyperlink" Target="https://www.elespanol.com/enclave-ods/referentes/20240512/navarra-pesca-plastico-salvar-mares-conquista-betis-gasol-muebles-redes-recicladas/854164925_0.html" TargetMode="External"/><Relationship Id="rId1815" Type="http://schemas.openxmlformats.org/officeDocument/2006/relationships/hyperlink" Target="https://www.dazn.com/es-ES/news/motor/gp-francia-motogp-le-mans-fecha-hora-canal-donde-ver-online-gran-premio-mundial/1xvbfowudyzdc1eryyiqkc45tw" TargetMode="External"/><Relationship Id="rId1816" Type="http://schemas.openxmlformats.org/officeDocument/2006/relationships/hyperlink" Target="https://www.diariovasco.com/gipuzkoa/banco-bilbao-20240512074050-nt.html" TargetMode="External"/><Relationship Id="rId1817" Type="http://schemas.openxmlformats.org/officeDocument/2006/relationships/hyperlink" Target="https://www.elespanol.com/madrid/ocio/20240512/chef-madrileno-eleva-alto-casqueria-nunca-vestido-chulapo-voy-pradera/853915009_0.html" TargetMode="External"/><Relationship Id="rId1818" Type="http://schemas.openxmlformats.org/officeDocument/2006/relationships/hyperlink" Target="https://www.elespanol.com/alicante/vivir/gastronomia/20240512/restaurantes-alicante-carajillo-coctel-cafe-licor-trt/854165009_0.html" TargetMode="External"/><Relationship Id="rId1819" Type="http://schemas.openxmlformats.org/officeDocument/2006/relationships/hyperlink" Target="https://www.todocircuito.com/noticias/35965-tras-su-segundo-cero-del-ano-el-repsol-honda-confia-su-suerte-al-test-de-mugello.html" TargetMode="External"/><Relationship Id="rId4080" Type="http://schemas.openxmlformats.org/officeDocument/2006/relationships/hyperlink" Target="https://www.lavanguardia.com/dinero/20241031/10066571/repsol-gana-1-792-millones-euros-36-plena-lucha-impuesto-extraordinario.html" TargetMode="External"/><Relationship Id="rId4082" Type="http://schemas.openxmlformats.org/officeDocument/2006/relationships/hyperlink" Target="https://www.expansion.com/empresas/energia/2024/10/31/67232b44e5fdeae9278b4584.html" TargetMode="External"/><Relationship Id="rId4081" Type="http://schemas.openxmlformats.org/officeDocument/2006/relationships/hyperlink" Target="https://www.mobilityplaza.org/news/39341" TargetMode="External"/><Relationship Id="rId4084" Type="http://schemas.openxmlformats.org/officeDocument/2006/relationships/hyperlink" Target="https://consensodelmercado.com/es/ibex-35/noticias/el-beneficio-de-repsol-queda-ligeramente-por-debajo-del-consenso-558-me-por-los-mayores-costes-del-area-financiera" TargetMode="External"/><Relationship Id="rId4083" Type="http://schemas.openxmlformats.org/officeDocument/2006/relationships/hyperlink" Target="https://www.lavanguardia.com/economia/20241031/10069287/descenso-precios-crudo-gas-reduce-ganancias-repsol.html" TargetMode="External"/><Relationship Id="rId4086" Type="http://schemas.openxmlformats.org/officeDocument/2006/relationships/hyperlink" Target="https://www.hispanidad.com/economia/repsol-reactiva-inversiones-en-espana-caer-impuestazo-tumba-argumento-capcioso-psoe-sumar-gana-36-menos_12054693_102.html" TargetMode="External"/><Relationship Id="rId4085" Type="http://schemas.openxmlformats.org/officeDocument/2006/relationships/hyperlink" Target="https://www.elindependiente.com/economia/2024/10/31/repsol-gana-1-792-millones-un-36-menos-por-el-precio-de-los-hidrocarburos/" TargetMode="External"/><Relationship Id="rId4088" Type="http://schemas.openxmlformats.org/officeDocument/2006/relationships/hyperlink" Target="https://www.estrategiasdeinversion.com/actualidad/noticias/bolsa-espana/el-ibex-35-baja-y-pierde-los-11700-en-otro-dia-n-757717" TargetMode="External"/><Relationship Id="rId4087" Type="http://schemas.openxmlformats.org/officeDocument/2006/relationships/hyperlink" Target="https://www.elcorreo.com/economia/empresas/repsol-retoma-1500-millones-inversion-tras-final-20241101002807-nt.html" TargetMode="External"/><Relationship Id="rId4089" Type="http://schemas.openxmlformats.org/officeDocument/2006/relationships/hyperlink" Target="https://www.lacomarcadepuertollano.com/articulo/puertollano/puertollano-desconvocada-huelga-indefinida-navec-acuerdo-repsol-nueva-empresa/20241031141344568126.html" TargetMode="External"/><Relationship Id="rId1800" Type="http://schemas.openxmlformats.org/officeDocument/2006/relationships/hyperlink" Target="https://convoca.pe/agenda-propia/repsol-sigue-negando-responsabilidad-en-derrame-de-petroleo-del-2022" TargetMode="External"/><Relationship Id="rId1801" Type="http://schemas.openxmlformats.org/officeDocument/2006/relationships/hyperlink" Target="https://cooperaccion.org.pe/las-sombras-del-derrame-de-crudo-de-repsol-en-peru-en-2022/" TargetMode="External"/><Relationship Id="rId1802" Type="http://schemas.openxmlformats.org/officeDocument/2006/relationships/hyperlink" Target="https://www.guiarepsol.com/es/comer/nuestros-favoritos/semana-carajillo/" TargetMode="External"/><Relationship Id="rId1803" Type="http://schemas.openxmlformats.org/officeDocument/2006/relationships/hyperlink" Target="https://www.laopiniondemalaga.es/malaga/2024/05/11/mejores-heladerias-malaga-guia-repsol-solete-101880259.html" TargetMode="External"/><Relationship Id="rId1804" Type="http://schemas.openxmlformats.org/officeDocument/2006/relationships/hyperlink" Target="https://www.elespanol.com/invertia/disruptores/opinion/20240511/rol-estrategico-areas-revolucion-digital/854284567_12.html" TargetMode="External"/><Relationship Id="rId1805" Type="http://schemas.openxmlformats.org/officeDocument/2006/relationships/hyperlink" Target="https://www.caranddriver.com/es/coches/planeta-motor/a60752625/bosch-motor-de-hidrogeno/" TargetMode="External"/><Relationship Id="rId1806" Type="http://schemas.openxmlformats.org/officeDocument/2006/relationships/hyperlink" Target="https://www.vanitatis.elconfidencial.com/estilo/ocio/2024-05-11/amos-les-cols-pepe-vieira-oba-alta-sostenibilidad_3880145/" TargetMode="External"/><Relationship Id="rId1807" Type="http://schemas.openxmlformats.org/officeDocument/2006/relationships/hyperlink" Target="https://www.larazon.es/castilla-la-mancha/este-pueblo-mas-pequeno-cuenca-11-habitantes-bar-iglesia-pintor-renombre_20240511663efc1cc18d400001fc49ea.html" TargetMode="External"/><Relationship Id="rId1808" Type="http://schemas.openxmlformats.org/officeDocument/2006/relationships/hyperlink" Target="https://www.ciclo21.com/2a-vuelta-pais-vasco-f-2024-bredewold/" TargetMode="External"/><Relationship Id="rId1809" Type="http://schemas.openxmlformats.org/officeDocument/2006/relationships/hyperlink" Target="https://www.laopiniondemalaga.es/fotos/malaga/2024/05/11/heladeria-inma-malaga-popular-102239237.html" TargetMode="External"/><Relationship Id="rId4071" Type="http://schemas.openxmlformats.org/officeDocument/2006/relationships/hyperlink" Target="https://www.eleconomista.es/energia/noticias/13061144/10/24/repsol-prepara-ventas-de-renovables-en-espana-y-eeuu-por-2500-millones.html" TargetMode="External"/><Relationship Id="rId4070" Type="http://schemas.openxmlformats.org/officeDocument/2006/relationships/hyperlink" Target="https://www.elconfidencial.com/empresas/2024-10-31/repsol-resultados-precio-petroleo-beneficio_3994523/" TargetMode="External"/><Relationship Id="rId4073" Type="http://schemas.openxmlformats.org/officeDocument/2006/relationships/hyperlink" Target="https://www.libremercado.com/2024-10-31/repsol-reactiva-las-inversiones-en-espana-tras-ganar-el-pulso-del-impuestazo-7180867/" TargetMode="External"/><Relationship Id="rId4072" Type="http://schemas.openxmlformats.org/officeDocument/2006/relationships/hyperlink" Target="https://elperiodicodelaenergia.com/repsol-afirma-que-con-la-caida-del-impuesto-el-problema-ha-terminado-y-reactiva-sus-inversiones-en-espana/" TargetMode="External"/><Relationship Id="rId4075" Type="http://schemas.openxmlformats.org/officeDocument/2006/relationships/hyperlink" Target="https://www.20minutos.es/lainformacion/empresas/repsol-reactiva-inversiones-espana-caida-impuesto-5649766/" TargetMode="External"/><Relationship Id="rId4074" Type="http://schemas.openxmlformats.org/officeDocument/2006/relationships/hyperlink" Target="https://efe.com/economia/2024-10-31/repsol-gana-hasta-septiembre-bajo-precio-crudo-gas/" TargetMode="External"/><Relationship Id="rId4077" Type="http://schemas.openxmlformats.org/officeDocument/2006/relationships/hyperlink" Target="https://www.businessinsider.es/economia/repsol-gana-1792-millones-euros-septiembre-36-menos-1415505" TargetMode="External"/><Relationship Id="rId4076" Type="http://schemas.openxmlformats.org/officeDocument/2006/relationships/hyperlink" Target="https://www.elmundo.es/economia/empresas/2024/10/31/67232cfafc6c83ba798b459e.html" TargetMode="External"/><Relationship Id="rId4079" Type="http://schemas.openxmlformats.org/officeDocument/2006/relationships/hyperlink" Target="https://www.capitalmadrid.com/2024/10/31/68357/repsol-gano-un-35-7-menos-a-septiembre-por-caida-del-crudo-y-peor-margen-del-refino.html" TargetMode="External"/><Relationship Id="rId4078" Type="http://schemas.openxmlformats.org/officeDocument/2006/relationships/hyperlink" Target="https://gaceta.es/economia/estos-son-los-proyectos-que-repsol-ha-paralizado-en-espana-por-el-nuevo-impuesto-del-gobierno-20241031-0946/" TargetMode="External"/><Relationship Id="rId1830" Type="http://schemas.openxmlformats.org/officeDocument/2006/relationships/hyperlink" Target="https://cincodias.elpais.com/companias/2024-05-14/repsol-negocia-la-venta-de-una-parte-de-su-negocio-de-renovables-afirma-reuters.html" TargetMode="External"/><Relationship Id="rId1831" Type="http://schemas.openxmlformats.org/officeDocument/2006/relationships/hyperlink" Target="https://www.interempresas.net/Estaciones-servicio/Articulos/562207-Repsol-lanza-un-descuento-de-diez-centimos-por-litro-para-el-repostaje-de-diesel-renovable.html" TargetMode="External"/><Relationship Id="rId1832" Type="http://schemas.openxmlformats.org/officeDocument/2006/relationships/hyperlink" Target="https://es.greenpeace.org/es/noticias/desmontando-las-mentiras-de-josu-jon-ceo-de-repsol/" TargetMode="External"/><Relationship Id="rId1833" Type="http://schemas.openxmlformats.org/officeDocument/2006/relationships/hyperlink" Target="https://www.elespanol.com/malaga/malaga-ciudad/20240514/gran-paso-desarrollo-antiguos-suelos-repsol-malaga-activan-labores-descontaminacion/855164782_0.html" TargetMode="External"/><Relationship Id="rId1834" Type="http://schemas.openxmlformats.org/officeDocument/2006/relationships/hyperlink" Target="https://www.laopiniondemalaga.es/malaga/2024/05/14/sacan-contratacion-publica-trabajos-descontaminacion-102369686.html" TargetMode="External"/><Relationship Id="rId1835" Type="http://schemas.openxmlformats.org/officeDocument/2006/relationships/hyperlink" Target="https://www.repsol.com/es/energia-futuro/personas/potencia-tu-futuro/index.cshtml" TargetMode="External"/><Relationship Id="rId1836" Type="http://schemas.openxmlformats.org/officeDocument/2006/relationships/hyperlink" Target="https://www.ugtcantabria.org/ugt-fica-pide-trasladar-dynasol-el-reciente-acuerdo-de-las-jubilaciones-anticipadas-de-repsol" TargetMode="External"/><Relationship Id="rId1837" Type="http://schemas.openxmlformats.org/officeDocument/2006/relationships/hyperlink" Target="https://www.guiarepsol.com/es/comer/vinos-y-bodegas/bodega-llanos-negros-la-palma/" TargetMode="External"/><Relationship Id="rId1838" Type="http://schemas.openxmlformats.org/officeDocument/2006/relationships/hyperlink" Target="https://www.lavozdegalicia.es/noticia/coruna/coruna/2024/05/13/queda-despejar-muelle-petrolero-coruna/00031715617853434458283.htm" TargetMode="External"/><Relationship Id="rId1839" Type="http://schemas.openxmlformats.org/officeDocument/2006/relationships/hyperlink" Target="https://www.heraldo.es/noticias/gastronomia/2024/05/14/el-restaurante-de-ejea-que-aprovecha-hasta-el-agua-de-borraja-y-recomienda-michelin-1733478.html" TargetMode="External"/><Relationship Id="rId1820" Type="http://schemas.openxmlformats.org/officeDocument/2006/relationships/hyperlink" Target="https://www.ondacero.es/noticias/gastronomia/semana-carajillo-43-disfrutara-mejores-restaurantes-espana_202405136642489bc33d0d0001ce8694.html" TargetMode="External"/><Relationship Id="rId1821" Type="http://schemas.openxmlformats.org/officeDocument/2006/relationships/hyperlink" Target="https://es.mongabay.com/2024/05/millones-de-dolares-en-multas-continuan-impagos-por-repsol-derrame-petroleo-peru/" TargetMode="External"/><Relationship Id="rId1822" Type="http://schemas.openxmlformats.org/officeDocument/2006/relationships/hyperlink" Target="https://sobremesa.es/art/6165/carajillo-de-espuela-mananera-a-salas-michelin-y-barras-de-nueva-york" TargetMode="External"/><Relationship Id="rId1823" Type="http://schemas.openxmlformats.org/officeDocument/2006/relationships/hyperlink" Target="https://www.abc.es/gurme/sevilla/sevi-seis-restaurantes-sevillanos-participan-semana-carajillo-43-202405131238_noticia.html" TargetMode="External"/><Relationship Id="rId1824" Type="http://schemas.openxmlformats.org/officeDocument/2006/relationships/hyperlink" Target="https://www.boxrepsol.com/es/cultura-motera/las-mejores-series-moteras/" TargetMode="External"/><Relationship Id="rId1825" Type="http://schemas.openxmlformats.org/officeDocument/2006/relationships/hyperlink" Target="https://www.elperiodicomediterraneo.com/empresa-del-anyo/2024/05/13/restaurante-atalaya-alcossebre-eleva-liston-102142553.html" TargetMode="External"/><Relationship Id="rId1826" Type="http://schemas.openxmlformats.org/officeDocument/2006/relationships/hyperlink" Target="https://www.mercadonegro.pe/marketing/veamos-el-futuro-repsol-peru-auspicia-a-la-bicolor-e-impulsa-el-futbol-femenino-y-de-menores/" TargetMode="External"/><Relationship Id="rId1827" Type="http://schemas.openxmlformats.org/officeDocument/2006/relationships/hyperlink" Target="https://www.estrategiasdeinversion.com/actualidad/noticias/bolsa-espana/el-ibex-35-cae-ligeramente-lastrado-por-cellnex-n-713589" TargetMode="External"/><Relationship Id="rId1828" Type="http://schemas.openxmlformats.org/officeDocument/2006/relationships/hyperlink" Target="https://clubinfluencers.com/greenwashing-empresas-espanolas/" TargetMode="External"/><Relationship Id="rId1829" Type="http://schemas.openxmlformats.org/officeDocument/2006/relationships/hyperlink" Target="https://okdiario.com/economia/repsol-atrae-200-000-clientes-luz-gas-sus-rivales-tres-meses-incide-sus-agresivas-ofertas-12822823" TargetMode="External"/><Relationship Id="rId4091" Type="http://schemas.openxmlformats.org/officeDocument/2006/relationships/hyperlink" Target="https://www.faconauto.com/noticias-automocion/el-observatorio-del-vehiculo-industrial-reunira-a-los-mejores-expertos-del-sector/" TargetMode="External"/><Relationship Id="rId4090" Type="http://schemas.openxmlformats.org/officeDocument/2006/relationships/hyperlink" Target="https://blogs.canalsur.es/documentacionyarchivo/los-depositos-de-repsol-de-malaga/" TargetMode="External"/><Relationship Id="rId4093" Type="http://schemas.openxmlformats.org/officeDocument/2006/relationships/hyperlink" Target="https://cronicavasca.elespanol.com/empresas/20241031/imaz-compromete-invertir-espana-de-hidrogeno-petronor/897660341_0.html" TargetMode="External"/><Relationship Id="rId4092" Type="http://schemas.openxmlformats.org/officeDocument/2006/relationships/hyperlink" Target="https://www.diaridetarragona.com/economia/repsol-reactiva-inversiones-tarragona-impuesto-energetico-OE21709788" TargetMode="External"/><Relationship Id="rId4095" Type="http://schemas.openxmlformats.org/officeDocument/2006/relationships/hyperlink" Target="https://www.elperiodico.com/es/tarragona/20241031/alivio-tarragona-reactivacion-1-100-111041033" TargetMode="External"/><Relationship Id="rId4094" Type="http://schemas.openxmlformats.org/officeDocument/2006/relationships/hyperlink" Target="https://www.libremercado.com/2024-10-31/el-gobierno-renuncia-a-hacer-permanente-el-impuesto-a-energeticas-pero-mantiene-el-de-la-banca-7180637/" TargetMode="External"/><Relationship Id="rId4097" Type="http://schemas.openxmlformats.org/officeDocument/2006/relationships/hyperlink" Target="https://www.lamarea.com/2024/10/31/y-vencieron-las-electricas-se-acabo-el-impuesto/" TargetMode="External"/><Relationship Id="rId4096" Type="http://schemas.openxmlformats.org/officeDocument/2006/relationships/hyperlink" Target="https://www.eitb.eus/es/noticias/economia/videos/detalle/9617681/video-josu-jon-imaz-esta-satisfecho-con-decaimiento-del-impuesto-a-energeticas/" TargetMode="External"/><Relationship Id="rId4099" Type="http://schemas.openxmlformats.org/officeDocument/2006/relationships/hyperlink" Target="https://www.20minutos.es/lainformacion/mercados-y-bolsa/ibex-35-11-700-resultados-5649678/" TargetMode="External"/><Relationship Id="rId4098" Type="http://schemas.openxmlformats.org/officeDocument/2006/relationships/hyperlink" Target="https://www.boxrepsol.com/es/vive-tu-moto/concentracion-motauros/" TargetMode="External"/><Relationship Id="rId2302" Type="http://schemas.openxmlformats.org/officeDocument/2006/relationships/hyperlink" Target="https://www.elcorreo.com/jantour/bares-cafeterias-restaurantes-nuevos-soletes-vizcainos-20240626125716-nt.html" TargetMode="External"/><Relationship Id="rId3634" Type="http://schemas.openxmlformats.org/officeDocument/2006/relationships/hyperlink" Target="https://www.guiarepsol.com/es/comer/nuestros-favoritos/donde-comer-calcots-en-espana/" TargetMode="External"/><Relationship Id="rId4965" Type="http://schemas.openxmlformats.org/officeDocument/2006/relationships/hyperlink" Target="https://www.guiarepsol.com/es/sala-de-prensa/los-platos-de-cuchara-de-casa-adela-langreo-triunfan-como-el-sol/" TargetMode="External"/><Relationship Id="rId2303" Type="http://schemas.openxmlformats.org/officeDocument/2006/relationships/hyperlink" Target="https://www.levante-emv.com/sociedad/2024/06/26/son-39-soletes-confianza-disfrutar-104308624.html" TargetMode="External"/><Relationship Id="rId3633" Type="http://schemas.openxmlformats.org/officeDocument/2006/relationships/hyperlink" Target="https://www.bolsamania.com/noticias/empresas/repsol-reduce-706-margen-refino-tercer-trimestre-produccion-cae-72--17642840.html" TargetMode="External"/><Relationship Id="rId4964" Type="http://schemas.openxmlformats.org/officeDocument/2006/relationships/hyperlink" Target="https://okdiario.com/gastronomia/hay-muchos-bares-espana-que-dicen-tener-mejor-tortilla-patatas-segun-guia-repsol-solo-este-lleva-razon-13956779" TargetMode="External"/><Relationship Id="rId2304" Type="http://schemas.openxmlformats.org/officeDocument/2006/relationships/hyperlink" Target="https://www.laopinioncoruna.es/coruna/2024/06/26/locales-area-coruna-nuevos-soletes-104326647.html" TargetMode="External"/><Relationship Id="rId3636" Type="http://schemas.openxmlformats.org/officeDocument/2006/relationships/hyperlink" Target="https://www.lacomarcadepuertollano.com/articulo/puertollano/mas-200-personas-secundan-puertollano-huelga-indefinida-rlesa-que-seguira-que-empresa-siente-negociar/20241009202638564870.html" TargetMode="External"/><Relationship Id="rId4967" Type="http://schemas.openxmlformats.org/officeDocument/2006/relationships/hyperlink" Target="https://www.guiarepsol.com/es/comer/en-el-mercado/lechera-sen-mais-cernada-lugo/" TargetMode="External"/><Relationship Id="rId2305" Type="http://schemas.openxmlformats.org/officeDocument/2006/relationships/hyperlink" Target="https://www.granadahoy.com/vivir/come-chef-granadino-sol-repsol_0_2000679680.html" TargetMode="External"/><Relationship Id="rId3635" Type="http://schemas.openxmlformats.org/officeDocument/2006/relationships/hyperlink" Target="https://elperiodicodelaenergia.com/imaz-repsol-llama-a-europa-a-un-giro-radical-en-politica-energetica-y-cambiar-ideologia-por-tecnologia/" TargetMode="External"/><Relationship Id="rId4966" Type="http://schemas.openxmlformats.org/officeDocument/2006/relationships/hyperlink" Target="https://www.guiarepsol.com/es/comer/nuestros-favoritos/restaurantes-mexicanos-en-donostia/" TargetMode="External"/><Relationship Id="rId2306" Type="http://schemas.openxmlformats.org/officeDocument/2006/relationships/hyperlink" Target="https://www.guiarepsol.com/es/comer/nuestros-favoritos/heladeria-italiana-mito-sevilla/" TargetMode="External"/><Relationship Id="rId3638" Type="http://schemas.openxmlformats.org/officeDocument/2006/relationships/hyperlink" Target="https://www.lavanguardia.com/economia/20241009/10009131/brufau-pide-reset-europa-impulsar-independencia-industrial.html" TargetMode="External"/><Relationship Id="rId4969" Type="http://schemas.openxmlformats.org/officeDocument/2006/relationships/hyperlink" Target="https://www.guiarepsol.com/es/comer/en-el-mercado/horno-de-san-bartolome-de-jesus-machi-valencia/" TargetMode="External"/><Relationship Id="rId2307" Type="http://schemas.openxmlformats.org/officeDocument/2006/relationships/hyperlink" Target="https://infoleon.infobierzo.com/noticias-leon/nuevos-restaurantes-solete-repsol-verano-leon_1013456_102.html" TargetMode="External"/><Relationship Id="rId3637" Type="http://schemas.openxmlformats.org/officeDocument/2006/relationships/hyperlink" Target="https://okdiario.com/economia/brufau-presidente-repsol-si-europa-fuera-ordenador-habria-que-apagarlo-volverlo-encender-13608106" TargetMode="External"/><Relationship Id="rId4968" Type="http://schemas.openxmlformats.org/officeDocument/2006/relationships/hyperlink" Target="https://www.guiarepsol.com/es/comer/recetas/plato-ruso-en-biriukov-bistro-blinis-nasdrovia/" TargetMode="External"/><Relationship Id="rId2308" Type="http://schemas.openxmlformats.org/officeDocument/2006/relationships/hyperlink" Target="https://navarra.okdiario.com/articulo/comercio-local/7-bares-restaurantes-navarra-que-suman-soletes-guia-repsol/20240626125824542422.html" TargetMode="External"/><Relationship Id="rId2309" Type="http://schemas.openxmlformats.org/officeDocument/2006/relationships/hyperlink" Target="https://www.huleymantel.com/barras-estrellas/donde-comer/15-mejores-heladerias-espana-recomendadas-por-chefs-con-tres-soles-repsol_102210_102.html" TargetMode="External"/><Relationship Id="rId3639" Type="http://schemas.openxmlformats.org/officeDocument/2006/relationships/hyperlink" Target="https://www.repsol.com/es/la-bala-magica/index.cshtml" TargetMode="External"/><Relationship Id="rId3630" Type="http://schemas.openxmlformats.org/officeDocument/2006/relationships/hyperlink" Target="https://www.elperiodico.com/es/economia/20241009/repsol-optimista-neutralidad-tecnologica-nueva-comision-europea-109135997" TargetMode="External"/><Relationship Id="rId4961" Type="http://schemas.openxmlformats.org/officeDocument/2006/relationships/hyperlink" Target="https://www.guiarepsol.com/es/comer/nuestros-favoritos/platos-tradicionales-navidad/" TargetMode="External"/><Relationship Id="rId4960" Type="http://schemas.openxmlformats.org/officeDocument/2006/relationships/hyperlink" Target="https://www.guiarepsol.com/es/comer/en-el-mercado/dulces-iesu-communio-godella-valencia/" TargetMode="External"/><Relationship Id="rId2300" Type="http://schemas.openxmlformats.org/officeDocument/2006/relationships/hyperlink" Target="https://www.laopinioncoruna.es/coruna/2024/06/26/repsol-prepara-desmontaje-primeras-instalaciones-104291631.html" TargetMode="External"/><Relationship Id="rId3632" Type="http://schemas.openxmlformats.org/officeDocument/2006/relationships/hyperlink" Target="https://okdiario.com/gastronomia/guia-repsol-nos-sacado-dudas-esta-mejor-tortilla-patatas-vermut-madrid-13573694" TargetMode="External"/><Relationship Id="rId4963" Type="http://schemas.openxmlformats.org/officeDocument/2006/relationships/hyperlink" Target="https://www.guiarepsol.com/es/viajar/vamos-de-excursion/aras-de-los-olmos-comarca-los-serranos-valencia/" TargetMode="External"/><Relationship Id="rId2301" Type="http://schemas.openxmlformats.org/officeDocument/2006/relationships/hyperlink" Target="https://www.elespanol.com/quincemil/vivir/gastrogalicia/20240626/soletes-verano-guia-repsol-area-santiago-compostela/865914035_0.html" TargetMode="External"/><Relationship Id="rId3631" Type="http://schemas.openxmlformats.org/officeDocument/2006/relationships/hyperlink" Target="https://www.elespanol.com/invertia/empresas/energia/20241009/hereu-muestra-deseo-repsol-desarrolle-programa-inversion-espana/892161067_0.html" TargetMode="External"/><Relationship Id="rId4962" Type="http://schemas.openxmlformats.org/officeDocument/2006/relationships/hyperlink" Target="https://www.guiarepsol.com/es/sala-de-prensa/ivan-cerdenos-y-el-rincon-de-juan-carlos-tenerife-nuevos-tres-soles/" TargetMode="External"/><Relationship Id="rId3623" Type="http://schemas.openxmlformats.org/officeDocument/2006/relationships/hyperlink" Target="https://www.repsol.com/es/sala-prensa/notas-prensa/2024/antonio-brufau-proceso-transicion-energetica-descarbonizacion-crucial-industria-empleo-riqueza-open-room/index.cshtml" TargetMode="External"/><Relationship Id="rId4954" Type="http://schemas.openxmlformats.org/officeDocument/2006/relationships/hyperlink" Target="https://www.guiarepsol.com/es/viajar/vamos-de-excursion/ruta-barcelona-olimpica/" TargetMode="External"/><Relationship Id="rId3622" Type="http://schemas.openxmlformats.org/officeDocument/2006/relationships/hyperlink" Target="https://elperiodicodelaenergia.com/hereu-muestra-su-deseo-de-que-repsol-desarrolle-todo-su-programa-de-inversion-en-espana/" TargetMode="External"/><Relationship Id="rId4953" Type="http://schemas.openxmlformats.org/officeDocument/2006/relationships/hyperlink" Target="https://www.guiarepsol.com/es/viajar/vamos-de-excursion/deportes-acuaticos-pirineo-lleida/" TargetMode="External"/><Relationship Id="rId3625" Type="http://schemas.openxmlformats.org/officeDocument/2006/relationships/hyperlink" Target="https://cincodias.elpais.com/companias/2024-10-09/repsol-baja-su-produccion-de-petroleo-en-el-tercer-trimestre-con-una-caida-del-706-en-su-margen-de-refino.html" TargetMode="External"/><Relationship Id="rId4956" Type="http://schemas.openxmlformats.org/officeDocument/2006/relationships/hyperlink" Target="https://www.guiarepsol.com/es/comer/nuestros-favoritos/taberna-triciclo-madrid/" TargetMode="External"/><Relationship Id="rId3624" Type="http://schemas.openxmlformats.org/officeDocument/2006/relationships/hyperlink" Target="https://www.lavanguardia.com/economia/20241009/10009561/produccion-petroleo-repsol-descendio-7-2-tercer-trimestre-agenciaslv20241009.html" TargetMode="External"/><Relationship Id="rId4955" Type="http://schemas.openxmlformats.org/officeDocument/2006/relationships/hyperlink" Target="https://www.guiarepsol.com/es/viajar/vamos-de-excursion/allariz-navidad-reciclaje/" TargetMode="External"/><Relationship Id="rId3627" Type="http://schemas.openxmlformats.org/officeDocument/2006/relationships/hyperlink" Target="https://www.larioja.com/degusta/restaurante-cuatro-arcos-briones-revalida-solete-repsol-20241009173056-nt.html" TargetMode="External"/><Relationship Id="rId4958" Type="http://schemas.openxmlformats.org/officeDocument/2006/relationships/hyperlink" Target="https://www.guiarepsol.com/es/soletes/soletes-zona-este-ibiza/" TargetMode="External"/><Relationship Id="rId3626" Type="http://schemas.openxmlformats.org/officeDocument/2006/relationships/hyperlink" Target="https://intereconomia.com/noticia/empresas/el-margen-de-refino-de-repsol-se-desploma-mas-del-70-20241009-1937/" TargetMode="External"/><Relationship Id="rId4957" Type="http://schemas.openxmlformats.org/officeDocument/2006/relationships/hyperlink" Target="https://www.guiarepsol.com/es/comer/nuestros-favoritos/restaurante-pelayo-gastro-trinquet-valencia0/" TargetMode="External"/><Relationship Id="rId3629" Type="http://schemas.openxmlformats.org/officeDocument/2006/relationships/hyperlink" Target="https://www.expansion.com/mercados/2024/10/09/67065809468aebc2468b459c.html" TargetMode="External"/><Relationship Id="rId3628" Type="http://schemas.openxmlformats.org/officeDocument/2006/relationships/hyperlink" Target="https://www.estrategiasdeinversion.com/actualidad/noticias/bolsa-espana/bnp-paribas-exane-reduce-su-confianza-en-la-petrolera-n-750919" TargetMode="External"/><Relationship Id="rId4959" Type="http://schemas.openxmlformats.org/officeDocument/2006/relationships/hyperlink" Target="https://www.guiarepsol.com/es/comer/en-el-mercado/pesca-sostenible-fresco-y-del-mar-noia-coruna/" TargetMode="External"/><Relationship Id="rId4950" Type="http://schemas.openxmlformats.org/officeDocument/2006/relationships/hyperlink" Target="https://www.guiarepsol.com/es/viajar/vamos-de-excursion/que-ver-la-alberca-salamanca/" TargetMode="External"/><Relationship Id="rId3621" Type="http://schemas.openxmlformats.org/officeDocument/2006/relationships/hyperlink" Target="https://www.guiarepsol.com/es/viajar/vamos-de-excursion/rutas-senderismo-interior-mallorca/" TargetMode="External"/><Relationship Id="rId4952" Type="http://schemas.openxmlformats.org/officeDocument/2006/relationships/hyperlink" Target="https://www.guiarepsol.com/es/viajar/con-ninos/planes-ninos-navidad-madrid/" TargetMode="External"/><Relationship Id="rId3620" Type="http://schemas.openxmlformats.org/officeDocument/2006/relationships/hyperlink" Target="https://www.eleconomista.es/energia/noticias/13024101/10/24/brufau-carga-contra-el-plan-energetico-del-gobierno-el-papel-lo-aguanta-todo.html" TargetMode="External"/><Relationship Id="rId4951" Type="http://schemas.openxmlformats.org/officeDocument/2006/relationships/hyperlink" Target="https://www.guiarepsol.com/es/comer/nuestros-favoritos/paraiso-travel-valencia-la-taberna-colombiana-de-junior-franco/" TargetMode="External"/><Relationship Id="rId2324" Type="http://schemas.openxmlformats.org/officeDocument/2006/relationships/hyperlink" Target="https://gestion.pe/economia/empresas/repsol-abre-su-primera-electrolinera-con-s300000-de-inversion-donde-se-ubica-hidrocarburos-empresas-estacion-de-carga-electrica-vehiculos-electricos-noticia/" TargetMode="External"/><Relationship Id="rId3656" Type="http://schemas.openxmlformats.org/officeDocument/2006/relationships/hyperlink" Target="https://www.elperiodico.com/es/videos/deportes/entrevista-isidre-esteve-piloto-repsol-video/109129221.shtml" TargetMode="External"/><Relationship Id="rId4987" Type="http://schemas.openxmlformats.org/officeDocument/2006/relationships/hyperlink" Target="https://www.finanzas.com/ibex-35/bbva-repsol-telefonica-replicarias-la-cartera-de-acciones-del-hermano-de-pedro-sanchez.html" TargetMode="External"/><Relationship Id="rId2325" Type="http://schemas.openxmlformats.org/officeDocument/2006/relationships/hyperlink" Target="https://andina.pe/agencia/noticia-autos-electricos-inauguran-nueva-electrolinera-permitira-recargas-rapidas-990850.aspx" TargetMode="External"/><Relationship Id="rId3655" Type="http://schemas.openxmlformats.org/officeDocument/2006/relationships/hyperlink" Target="https://www.xataka.com/energia/aceite-cocina-usado-enorme-problema-medioambiental-repsol-quiere-pagarte-para-solucionarlo" TargetMode="External"/><Relationship Id="rId4986" Type="http://schemas.openxmlformats.org/officeDocument/2006/relationships/hyperlink" Target="https://elperiodicodelaenergia.com/repsol-gran-vencedora-de-los-oscar-energeticos-con-tres-galardones-incluido-el-de-empresa-del-ano/" TargetMode="External"/><Relationship Id="rId2326" Type="http://schemas.openxmlformats.org/officeDocument/2006/relationships/hyperlink" Target="https://larepublica.pe/economia/2024/06/26/electrolinera-repsol-inaugura-una-nueva-estacion-de-carga-para-autos-electricos-en-lima-donde-queda-san-isidro-guardia-civil-parque-sur-843466" TargetMode="External"/><Relationship Id="rId3658" Type="http://schemas.openxmlformats.org/officeDocument/2006/relationships/hyperlink" Target="https://www.eldiariomontanes.es/cantabria/silencio-confederacion-extender-vida-util-aguayo-peligrar-20241011183500-nt.html" TargetMode="External"/><Relationship Id="rId4989" Type="http://schemas.openxmlformats.org/officeDocument/2006/relationships/hyperlink" Target="https://es.gizmodo.com/descubren-energia-fluyendo-bajo-centro-de-madrid-la-capital-espanola-se-convierte-en-referente-de-la-geotermia-2000137938" TargetMode="External"/><Relationship Id="rId2327" Type="http://schemas.openxmlformats.org/officeDocument/2006/relationships/hyperlink" Target="https://www.elconfidencial.com/empresas/2024-06-27/exportaciones-evo-morales-bolivia-repsol_3911952/" TargetMode="External"/><Relationship Id="rId3657" Type="http://schemas.openxmlformats.org/officeDocument/2006/relationships/hyperlink" Target="https://www.laopiniondemalaga.es/malaga/2024/10/11/pasar-ahora-terrenos-repsol-109169867.html" TargetMode="External"/><Relationship Id="rId4988" Type="http://schemas.openxmlformats.org/officeDocument/2006/relationships/hyperlink" Target="https://www.ondacero.es/noticias/espana/podemos-critica-que-lawfare-continuara-psoe-solo-preocupa-cuando-afecta_20241214675d538ec2280e0001024059.html" TargetMode="External"/><Relationship Id="rId2328" Type="http://schemas.openxmlformats.org/officeDocument/2006/relationships/hyperlink" Target="https://neomotor.epe.es/conduccion/repsol-ofrece-descuentos-por-recoger-paquetes-de-amazon-en-sus-gasolineras-GN1843329" TargetMode="External"/><Relationship Id="rId2329" Type="http://schemas.openxmlformats.org/officeDocument/2006/relationships/hyperlink" Target="https://ipmark.com/repsol-basa-para-ser-conductor-primera-nueva-campana/" TargetMode="External"/><Relationship Id="rId3659" Type="http://schemas.openxmlformats.org/officeDocument/2006/relationships/hyperlink" Target="https://www.20minutos.es/lainformacion/empresas/iberdrola-endesa-aprietan-carrera-fidelizar-clientes-mas-millon-y-medio-suscriptores-5642595/" TargetMode="External"/><Relationship Id="rId3650" Type="http://schemas.openxmlformats.org/officeDocument/2006/relationships/hyperlink" Target="https://movilidadelectrica.com/cargadores-coches-electricos-funcionan-espana/" TargetMode="External"/><Relationship Id="rId4981" Type="http://schemas.openxmlformats.org/officeDocument/2006/relationships/hyperlink" Target="https://www.guiarepsol.com/es/comer/recetas/sopa-paraguaya/" TargetMode="External"/><Relationship Id="rId4980" Type="http://schemas.openxmlformats.org/officeDocument/2006/relationships/hyperlink" Target="https://lexlatin.com/noticias/geopark-adquiere-activos-petroleo-gas-repsol-colombia-millones" TargetMode="External"/><Relationship Id="rId2320" Type="http://schemas.openxmlformats.org/officeDocument/2006/relationships/hyperlink" Target="https://www.elespanol.com/castilla-y-leon/vivir/gastro/20240626/cocineros-top-espana-desvelan-bares-restaurantes-favoritos-castilla-leon-verano/865913497_0.html" TargetMode="External"/><Relationship Id="rId3652" Type="http://schemas.openxmlformats.org/officeDocument/2006/relationships/hyperlink" Target="https://www.expansion.com/mercados/2024/10/11/6708c7b7e5fdea42158b45b5.html" TargetMode="External"/><Relationship Id="rId4983" Type="http://schemas.openxmlformats.org/officeDocument/2006/relationships/hyperlink" Target="https://www.guiarepsol.com/es/comer/nuestros-favoritos/foodtrucks-navarra-basque-truck-fermin-paularena/" TargetMode="External"/><Relationship Id="rId2321" Type="http://schemas.openxmlformats.org/officeDocument/2006/relationships/hyperlink" Target="https://www.directoalpaladar.com/viajes/este-restaurante-favorito-angel-leon-puerto-santa-maria-para-comer-pescadito-frito" TargetMode="External"/><Relationship Id="rId3651" Type="http://schemas.openxmlformats.org/officeDocument/2006/relationships/hyperlink" Target="https://www.bancaynegocios.com/repsol-se-situo-como-el-cuarto-proveedor-de-petroleo-venezolano-en-estados-unidos/" TargetMode="External"/><Relationship Id="rId4982" Type="http://schemas.openxmlformats.org/officeDocument/2006/relationships/hyperlink" Target="https://www.guiarepsol.com/es/dormir/en-la-gloria/hotel-font-de-la-canya-avinyonet-del-penedes-barcelona/" TargetMode="External"/><Relationship Id="rId2322" Type="http://schemas.openxmlformats.org/officeDocument/2006/relationships/hyperlink" Target="https://www.elespanol.com/valencia/ocio/20240626/chiringuito-playa-valencia-desayuna-chef-begona-rodrigo-recomienda-verano-trt/865913541_0.html" TargetMode="External"/><Relationship Id="rId3654" Type="http://schemas.openxmlformats.org/officeDocument/2006/relationships/hyperlink" Target="https://www.finanzas.com/ibex-35/la-cotizacion-de-repsol-descuenta-un-escenario-muy-negativo.html" TargetMode="External"/><Relationship Id="rId4985" Type="http://schemas.openxmlformats.org/officeDocument/2006/relationships/hyperlink" Target="https://www.bloomberglinea.com/latinoamerica/colombia/asi-estan-las-apuestas-por-la-mayor-petrolera-privada-que-opera-en-colombia/" TargetMode="External"/><Relationship Id="rId2323" Type="http://schemas.openxmlformats.org/officeDocument/2006/relationships/hyperlink" Target="https://www.desdeadentro.pe/2024/06/repsol-inaugura-su-primera-electrolinera-en-el-peru/" TargetMode="External"/><Relationship Id="rId3653" Type="http://schemas.openxmlformats.org/officeDocument/2006/relationships/hyperlink" Target="https://www.diariodelpuerto.com/aereo/la-planta-de-saf-de-repsol-en-cartagena-produce-250000-toneladas-anuales-y-es-la-mas-grande-del-sur-de-europa-BJ21390230" TargetMode="External"/><Relationship Id="rId4984" Type="http://schemas.openxmlformats.org/officeDocument/2006/relationships/hyperlink" Target="https://www.diariopalentino.es/noticia/z804e483c-ee08-dd34-363b6e0ccbc450c3/202412/el-bbva-confirma-que-david-sanchez-tenia-acciones-en-la-entidad" TargetMode="External"/><Relationship Id="rId2313" Type="http://schemas.openxmlformats.org/officeDocument/2006/relationships/hyperlink" Target="https://www.ideal.es/granada/nuevos-soletes-granada-miticos-bares-heladerias-casas-20240626121848-nt.html" TargetMode="External"/><Relationship Id="rId3645" Type="http://schemas.openxmlformats.org/officeDocument/2006/relationships/hyperlink" Target="https://es.benzinga.com/news/spain/stocks-spain-news/acciones-repsol-bajo-presion-sabadell-reduce-valoracion-preve-caida-beneficios/" TargetMode="External"/><Relationship Id="rId4976" Type="http://schemas.openxmlformats.org/officeDocument/2006/relationships/hyperlink" Target="https://www.guiarepsol.com/es/comer/en-el-mercado/hort-botanic-citricola-el-bartoli-palmera-valencia/" TargetMode="External"/><Relationship Id="rId2314" Type="http://schemas.openxmlformats.org/officeDocument/2006/relationships/hyperlink" Target="https://www.guiarepsol.com/es/soletes/soletes-cocinero/" TargetMode="External"/><Relationship Id="rId3644" Type="http://schemas.openxmlformats.org/officeDocument/2006/relationships/hyperlink" Target="https://www.elespanol.com/quincemil/a-coruna/20241010/mensaje-masivo-moviles-coruna-arteixo-martes-simulacro-factoria-repsol/892411139_0.html" TargetMode="External"/><Relationship Id="rId4975" Type="http://schemas.openxmlformats.org/officeDocument/2006/relationships/hyperlink" Target="https://www.guiarepsol.com/es/sala-de-prensa/te-vas-de-viaje-este-verano-no-te-olvides-de-cuidar-tu-alimentacion-tambien-en-la-carretera/" TargetMode="External"/><Relationship Id="rId2315" Type="http://schemas.openxmlformats.org/officeDocument/2006/relationships/hyperlink" Target="https://www.noticiasdenavarra.com/gastronomia/2024/06/26/7-nuevos-soletes-navarra-8406507.html" TargetMode="External"/><Relationship Id="rId3647" Type="http://schemas.openxmlformats.org/officeDocument/2006/relationships/hyperlink" Target="https://cadenaser.com/castillalamancha/2024/10/10/se-confirman-los-temores-con-la-principal-contrata-de-repsol-puertollano-navec-no-paga-a-los-trabajadores-y-ya-baraja-un-ere-concursal-ser-ciudad-real/" TargetMode="External"/><Relationship Id="rId4978" Type="http://schemas.openxmlformats.org/officeDocument/2006/relationships/hyperlink" Target="https://www.guiarepsol.com/es/viajar/vamos-de-excursion/sitges-barcelona-planes-que-ver-museos-festivales/" TargetMode="External"/><Relationship Id="rId2316" Type="http://schemas.openxmlformats.org/officeDocument/2006/relationships/hyperlink" Target="https://www.elle.com/es/gourmet/donde-comer/a61416080/restaurantes-solete-respsol-cocineros-espanoles-2024/" TargetMode="External"/><Relationship Id="rId3646" Type="http://schemas.openxmlformats.org/officeDocument/2006/relationships/hyperlink" Target="https://www.bolsamania.com/noticias/empresas/estrategia-inversion-jp-morgan-petroleras-europeas-repsol--17637272.html" TargetMode="External"/><Relationship Id="rId4977" Type="http://schemas.openxmlformats.org/officeDocument/2006/relationships/hyperlink" Target="https://www.guiarepsol.com/es/viajar/nos-gusta/manualidades-de-navidad-faciles-y-rapidas-para-decorar-tu-hogar/" TargetMode="External"/><Relationship Id="rId2317" Type="http://schemas.openxmlformats.org/officeDocument/2006/relationships/hyperlink" Target="https://www.deia.eus/gastronomia/2024/06/26/victor-montes-errota-barri-son-8405810.html" TargetMode="External"/><Relationship Id="rId3649" Type="http://schemas.openxmlformats.org/officeDocument/2006/relationships/hyperlink" Target="https://elperiodicodelaenergia.com/las-sanciones-petroleras-de-estados-unidos-a-venezuela-bajo-un-alivio-limitado-e-incierto/" TargetMode="External"/><Relationship Id="rId2318" Type="http://schemas.openxmlformats.org/officeDocument/2006/relationships/hyperlink" Target="https://www.pontevedraviva.com/es/general/los-soletes-pontevedreses-que-recomiendan-los-mejores-cocineros-de-espana_355268_102.html" TargetMode="External"/><Relationship Id="rId3648" Type="http://schemas.openxmlformats.org/officeDocument/2006/relationships/hyperlink" Target="https://esradio.libertaddigital.com/galicia/2024-10-10/un-simulacro-en-a-coruna-y-arteixo-testara-un-sistema-de-aviso-masivo-a-los-ciudadanos-por-movil-7172660/" TargetMode="External"/><Relationship Id="rId4979" Type="http://schemas.openxmlformats.org/officeDocument/2006/relationships/hyperlink" Target="https://www.bierzotv.com/paramo-del-sil-teme-que-la-instalacion-de-43-aerogeneradores-afecte-a-la-biodiversidad-de-gistredo-y-del-alto-sil/" TargetMode="External"/><Relationship Id="rId2319" Type="http://schemas.openxmlformats.org/officeDocument/2006/relationships/hyperlink" Target="https://gentleman.elperiodico.com/placeres/sitios-confianza-chefs-comer-espana/" TargetMode="External"/><Relationship Id="rId4970" Type="http://schemas.openxmlformats.org/officeDocument/2006/relationships/hyperlink" Target="https://www.guiarepsol.com/es/viajar/nos-gusta/las-noches-del-hipodromo-madrid/" TargetMode="External"/><Relationship Id="rId3641" Type="http://schemas.openxmlformats.org/officeDocument/2006/relationships/hyperlink" Target="https://www.estrategiasdeinversion.com/actualidad/noticias/bolsa-espana/la-produccion-de-la-petrolera-repsol-cae-un-72-n-751249" TargetMode="External"/><Relationship Id="rId4972" Type="http://schemas.openxmlformats.org/officeDocument/2006/relationships/hyperlink" Target="https://www.guiarepsol.com/es/viajar/nos-gusta/naturaleza-encendida-2023/" TargetMode="External"/><Relationship Id="rId2310" Type="http://schemas.openxmlformats.org/officeDocument/2006/relationships/hyperlink" Target="https://diario.infoperiodistas.info/juan-navarro-ficha-por-puentia-comunicacion/" TargetMode="External"/><Relationship Id="rId3640" Type="http://schemas.openxmlformats.org/officeDocument/2006/relationships/hyperlink" Target="https://www.expansion.com/mercados/2024/10/10/6706eec9e5fdea5c328b45b8.html" TargetMode="External"/><Relationship Id="rId4971" Type="http://schemas.openxmlformats.org/officeDocument/2006/relationships/hyperlink" Target="https://www.guiarepsol.com/es/comer/donde-comen-los-cocineros/alberto-chicote-restaurantes-favoritos/" TargetMode="External"/><Relationship Id="rId2311" Type="http://schemas.openxmlformats.org/officeDocument/2006/relationships/hyperlink" Target="https://metropolitano.gal/fogones/estos-son-los-nuevos-soletes-de-vigo-y-su-area-que-ofrecen-la-mejor-experiencia-de-verano/" TargetMode="External"/><Relationship Id="rId3643" Type="http://schemas.openxmlformats.org/officeDocument/2006/relationships/hyperlink" Target="https://www.formulamoto.es/zona-clasicas/repsol-museo-de-la-moto/469801.html" TargetMode="External"/><Relationship Id="rId4974" Type="http://schemas.openxmlformats.org/officeDocument/2006/relationships/hyperlink" Target="https://www.guiarepsol.com/es/comer/nuestros-favoritos/la-despensa-de-frida-monterey-sol-azteca-y-ameyal-restaurantes/" TargetMode="External"/><Relationship Id="rId2312" Type="http://schemas.openxmlformats.org/officeDocument/2006/relationships/hyperlink" Target="https://www.elespanol.com/malaga/vivir/gastronomia/20240626/restaurantes-malaga-precio-asequible-recomendados-chefs-guia-repsol/865913514_0.html" TargetMode="External"/><Relationship Id="rId3642" Type="http://schemas.openxmlformats.org/officeDocument/2006/relationships/hyperlink" Target="https://www.mundodeportivo.com/solomoto/20241010/1002329571/repsol-persume-cinco-decadas-exitos-competicion-museo-moto-made-in-spain.html" TargetMode="External"/><Relationship Id="rId4973" Type="http://schemas.openxmlformats.org/officeDocument/2006/relationships/hyperlink" Target="https://www.elconfidencial.com/deportes/motociclismo/2024-12-13/marc-marquez-fichaje-jorge-lorenzo-honda_4021918/" TargetMode="External"/><Relationship Id="rId1895" Type="http://schemas.openxmlformats.org/officeDocument/2006/relationships/hyperlink" Target="https://www.diariodealmeria.es/almeria-para-vivirla/chiringuitos-Almeria-Solete-Guia-Repsol_3_1904539540.html" TargetMode="External"/><Relationship Id="rId4921" Type="http://schemas.openxmlformats.org/officeDocument/2006/relationships/hyperlink" Target="https://www.guiarepsol.com/es/soles-repsol/soles-2023/nuevos-restaurantes-2-soles-guia-repsol-2023/" TargetMode="External"/><Relationship Id="rId1896" Type="http://schemas.openxmlformats.org/officeDocument/2006/relationships/hyperlink" Target="https://www.autobild.es/noticias/marca-ha-vuelto-loca-te-da-ano-gasolina-gratis-compras-nuevo-coche-1387213" TargetMode="External"/><Relationship Id="rId4920" Type="http://schemas.openxmlformats.org/officeDocument/2006/relationships/hyperlink" Target="https://www.guiarepsol.com/es/sala-de-prensa/guia-repsol-se-va-de-canas-con-sacha-y-juanjo-lopez-por-los-bares-mas-castizos/" TargetMode="External"/><Relationship Id="rId1897" Type="http://schemas.openxmlformats.org/officeDocument/2006/relationships/hyperlink" Target="https://www.boxrepsol.com/es/motogp/horarios-y-como-ver-el-motogp-de-catalunya-en-directo/" TargetMode="External"/><Relationship Id="rId4923" Type="http://schemas.openxmlformats.org/officeDocument/2006/relationships/hyperlink" Target="https://www.guiarepsol.com/es/comer/nuestros-favoritos/meson-las-dolores-calatayud/" TargetMode="External"/><Relationship Id="rId1898" Type="http://schemas.openxmlformats.org/officeDocument/2006/relationships/hyperlink" Target="https://cadenaser.com/murcia/2024/05/20/masterchef-emite-este-lunes-la-prueba-de-exteriores-que-se-grabo-en-cartagena-radio-cartagena/" TargetMode="External"/><Relationship Id="rId4922" Type="http://schemas.openxmlformats.org/officeDocument/2006/relationships/hyperlink" Target="https://www.guiarepsol.com/es/sala-de-prensa/guia-repsol-presenta-cinema-cocina-la-seccion-gastronomica-del-festival-de-malaga/" TargetMode="External"/><Relationship Id="rId1899" Type="http://schemas.openxmlformats.org/officeDocument/2006/relationships/hyperlink" Target="http://www.petroguia.com/pet/noticias/petr%C3%B3leo/maduro-propicia-privatizaci%C3%B3n-en-sector-petrolero-con-cesi%C3%B3n-repsol-del-40-de-la" TargetMode="External"/><Relationship Id="rId4925" Type="http://schemas.openxmlformats.org/officeDocument/2006/relationships/hyperlink" Target="https://www.guiarepsol.com/es/comer/nuestros-favoritos/restaurante-la-sucursal-la-maritima-malabar-la-marina-de-valenci/" TargetMode="External"/><Relationship Id="rId4924" Type="http://schemas.openxmlformats.org/officeDocument/2006/relationships/hyperlink" Target="https://www.guiarepsol.com/es/comer/nuestros-favoritos/donde-comer-tapear-sitges-barcelona-chef-oriol-castro/" TargetMode="External"/><Relationship Id="rId4927" Type="http://schemas.openxmlformats.org/officeDocument/2006/relationships/hyperlink" Target="https://www.guiarepsol.com/es/soletes/donde-comer-barato-centro-santander/" TargetMode="External"/><Relationship Id="rId4926" Type="http://schemas.openxmlformats.org/officeDocument/2006/relationships/hyperlink" Target="https://www.diariodeleon.es/bierzo/241213/1718870/paramo-sil-planta-cara-molinos-repsol-pone-ponfeblino-moneda-cambio.html" TargetMode="External"/><Relationship Id="rId4929" Type="http://schemas.openxmlformats.org/officeDocument/2006/relationships/hyperlink" Target="https://www.guiarepsol.com/es/comer/nuestros-favoritos/restaurantes-favoritos-felipe-vi/" TargetMode="External"/><Relationship Id="rId4928" Type="http://schemas.openxmlformats.org/officeDocument/2006/relationships/hyperlink" Target="https://www.bolsamania.com/noticias/analisis-tecnico/consultorio-de-analisis-tecnico-repsol-bbva-iag-amper-elecnor-sp-500-grenergy--18302209.html" TargetMode="External"/><Relationship Id="rId1890" Type="http://schemas.openxmlformats.org/officeDocument/2006/relationships/hyperlink" Target="https://motorcyclesports.net/es/luca-marini-busca-salir-de-honda-debido-a-su-pobre-rendimiento-en-la-temporada-2024-de-motogp-y-su-destino-podria-ser-trackhouse/" TargetMode="External"/><Relationship Id="rId1891" Type="http://schemas.openxmlformats.org/officeDocument/2006/relationships/hyperlink" Target="https://www.expansion.com/empresas/seguros/2024/05/20/664796eb468aeb7e488b459e.html" TargetMode="External"/><Relationship Id="rId1892" Type="http://schemas.openxmlformats.org/officeDocument/2006/relationships/hyperlink" Target="https://www.eleconomista.es/energia/noticias/12824143/05/24/repsol-y-el-gigante-chino-temu-se-alian-para-ofrecer-descuentos-a-traves-de-waylet.html" TargetMode="External"/><Relationship Id="rId1893" Type="http://schemas.openxmlformats.org/officeDocument/2006/relationships/hyperlink" Target="https://www.guiarepsol.com/es/comer/nuestros-favoritos/restaurante-pabu-madrid/" TargetMode="External"/><Relationship Id="rId1894" Type="http://schemas.openxmlformats.org/officeDocument/2006/relationships/hyperlink" Target="https://www.malagahoy.es/malaga/bosque-urbano-malaga-nulidad-descontaminacion-terrenos-repsol_0_1904510967.html" TargetMode="External"/><Relationship Id="rId1884" Type="http://schemas.openxmlformats.org/officeDocument/2006/relationships/hyperlink" Target="https://www.farodevigo.es/economia/2024/05/19/ganador-mayor-contrato-eolica-marina-102569680.html" TargetMode="External"/><Relationship Id="rId4910" Type="http://schemas.openxmlformats.org/officeDocument/2006/relationships/hyperlink" Target="https://www.guiarepsol.com/es/sala-de-prensa/la-empanada-gallega-de-pepe-solla-3-soles-guia-repsol-llega-las-/" TargetMode="External"/><Relationship Id="rId1885" Type="http://schemas.openxmlformats.org/officeDocument/2006/relationships/hyperlink" Target="https://www.boxrepsol.com/es/trial/resultados-y-resumen-del-trialgp-de-japon-2024/" TargetMode="External"/><Relationship Id="rId1886" Type="http://schemas.openxmlformats.org/officeDocument/2006/relationships/hyperlink" Target="https://es.mongabay.com/2024/05/sanciones-demandas-repsol-derrame-petroleo-mar-peruano/" TargetMode="External"/><Relationship Id="rId4912" Type="http://schemas.openxmlformats.org/officeDocument/2006/relationships/hyperlink" Target="https://www.repsol.es/particulares/asesoramiento-consumo/ideas-regalos-para-navidad/" TargetMode="External"/><Relationship Id="rId1887" Type="http://schemas.openxmlformats.org/officeDocument/2006/relationships/hyperlink" Target="https://www.moto1pro.com/enduropro/actualidad/toni-bou-se-lleva-una-nueva-victoria-en-japon" TargetMode="External"/><Relationship Id="rId4911" Type="http://schemas.openxmlformats.org/officeDocument/2006/relationships/hyperlink" Target="https://www.guiarepsol.com/es/soles-repsol/soles-2023/coctel-castillo-santa-barbara-alicante-soles-guia-2023/" TargetMode="External"/><Relationship Id="rId1888" Type="http://schemas.openxmlformats.org/officeDocument/2006/relationships/hyperlink" Target="https://www.diariodeburgos.es/noticia/z8a33765a-b0ce-4335-492d25c1dc7af4fd/202405/milei-se-reune-con-representantes-de-empresas-espanolas" TargetMode="External"/><Relationship Id="rId4914" Type="http://schemas.openxmlformats.org/officeDocument/2006/relationships/hyperlink" Target="https://www.guiarepsol.com/es/soles-repsol/soles-2023/campana-soles-que-son-amores/" TargetMode="External"/><Relationship Id="rId1889" Type="http://schemas.openxmlformats.org/officeDocument/2006/relationships/hyperlink" Target="https://www.elnacional.cat/es/gourmeteria/restaurantes/restaurante-palma-mallorca-menu-mas-singular-platos-cocteles_1217718_102.html" TargetMode="External"/><Relationship Id="rId4913" Type="http://schemas.openxmlformats.org/officeDocument/2006/relationships/hyperlink" Target="https://www.elperiodicodearagon.com/aragon/2024/12/13/repsol-planea-hibridar-central-escatron-112602787.html" TargetMode="External"/><Relationship Id="rId4916" Type="http://schemas.openxmlformats.org/officeDocument/2006/relationships/hyperlink" Target="https://www.guiarepsol.com/es/comer/nuestros-favoritos/restaurante-in-pulso-madrid/" TargetMode="External"/><Relationship Id="rId4915" Type="http://schemas.openxmlformats.org/officeDocument/2006/relationships/hyperlink" Target="https://www.guiarepsol.com/es/soletes/donde-tomar-cerveza-artesanal-segun-los-chefs/" TargetMode="External"/><Relationship Id="rId4918" Type="http://schemas.openxmlformats.org/officeDocument/2006/relationships/hyperlink" Target="https://www.guiarepsol.com/es/comer/nuestros-favoritos/restaurantes-mexicanos-madrid/" TargetMode="External"/><Relationship Id="rId4917" Type="http://schemas.openxmlformats.org/officeDocument/2006/relationships/hyperlink" Target="https://www.eldiario.es/edcreativo/cromos-salen-album-comer-viajar-ganar-recompensas-app-guia-repsol_1_11893463.html" TargetMode="External"/><Relationship Id="rId4919" Type="http://schemas.openxmlformats.org/officeDocument/2006/relationships/hyperlink" Target="https://www.guiarepsol.com/es/soles-repsol/soles-2024/masterchef-cocina-para-los-soles-repsol-en-la-gala-de-cartagena/" TargetMode="External"/><Relationship Id="rId1880" Type="http://schemas.openxmlformats.org/officeDocument/2006/relationships/hyperlink" Target="https://www.huelvainformacion.es/destino-huelva/nuevo-puertas-sabado-Isla-Canela_3_1903039702.html" TargetMode="External"/><Relationship Id="rId1881" Type="http://schemas.openxmlformats.org/officeDocument/2006/relationships/hyperlink" Target="https://elpais.com/economia/negocios/2024-05-20/repsol-navega-entre-dos-aguas-los-hidrocarburos-y-las-energias-renovables.html" TargetMode="External"/><Relationship Id="rId1882" Type="http://schemas.openxmlformats.org/officeDocument/2006/relationships/hyperlink" Target="https://www.naiz.eus/eu/hemeroteca/gara/editions/2024-05-19/hemeroteca_articles/puede-que-josu-jon-imaz-no-sea-de-vox-pero-abascal-si-es-de-repsol" TargetMode="External"/><Relationship Id="rId1883" Type="http://schemas.openxmlformats.org/officeDocument/2006/relationships/hyperlink" Target="https://www.heraldo.es/noticias/gastronomia/2024/05/19/alizia-casa-comidas-restaurante-albarracin-teruel-1734495.html" TargetMode="External"/><Relationship Id="rId3612" Type="http://schemas.openxmlformats.org/officeDocument/2006/relationships/hyperlink" Target="https://cadenaser.com/andalucia/2024/10/08/urbania-recurre-contra-el-requerimiento-del-ayuntamiento-de-malaga-para-que-confirme-la-compra-de-los-terrenos-de-repsol-ser-malaga/" TargetMode="External"/><Relationship Id="rId4943" Type="http://schemas.openxmlformats.org/officeDocument/2006/relationships/hyperlink" Target="https://www.guiarepsol.com/es/comer/donde-comen-los-cocineros/los-restaurantes-favoritos-andreu-genestra-mallorca/" TargetMode="External"/><Relationship Id="rId3611" Type="http://schemas.openxmlformats.org/officeDocument/2006/relationships/hyperlink" Target="https://www.eleconomista.es/galerias/eleconomista/21444/Repsol-presume-de-colores-en-el-Museo-de-la-Moto-%E2%80%98Made-in-Spain%E2%80%99" TargetMode="External"/><Relationship Id="rId4942" Type="http://schemas.openxmlformats.org/officeDocument/2006/relationships/hyperlink" Target="https://www.guiarepsol.com/es/comer/recetas/menu-navidad-platos-clasicos-diferentes/" TargetMode="External"/><Relationship Id="rId3614" Type="http://schemas.openxmlformats.org/officeDocument/2006/relationships/hyperlink" Target="https://www.laopiniondemalaga.es/malaga/2024/10/08/urbania-gana-tiempo-enmaranada-venta-109077237.html" TargetMode="External"/><Relationship Id="rId4945" Type="http://schemas.openxmlformats.org/officeDocument/2006/relationships/hyperlink" Target="https://www.guiarepsol.com/es/soletes/donde-celebrar-el-orgullo-en-madrid/" TargetMode="External"/><Relationship Id="rId3613" Type="http://schemas.openxmlformats.org/officeDocument/2006/relationships/hyperlink" Target="https://www.guiarepsol.com/es/comer/nuestros-favoritos/donde-comer-bocadillo-de-calamares-en-madrid/" TargetMode="External"/><Relationship Id="rId4944" Type="http://schemas.openxmlformats.org/officeDocument/2006/relationships/hyperlink" Target="https://www.guiarepsol.com/es/viajar/vamos-de-excursion/que-hacer-ver-comer-o-grove-pontevedra/" TargetMode="External"/><Relationship Id="rId3616" Type="http://schemas.openxmlformats.org/officeDocument/2006/relationships/hyperlink" Target="https://www.laopiniondezamora.es/comarcas/2024/10/08/solete-repsol-reconoce-excelencia-culinaria-109042329.html" TargetMode="External"/><Relationship Id="rId4947" Type="http://schemas.openxmlformats.org/officeDocument/2006/relationships/hyperlink" Target="https://www.guiarepsol.com/es/comer/donde-comen-los-cocineros/donde-comer-en-mallorca-segun-la-chef-maca-de-castro/" TargetMode="External"/><Relationship Id="rId3615" Type="http://schemas.openxmlformats.org/officeDocument/2006/relationships/hyperlink" Target="https://www.lacomarcadepuertollano.com/articulo/puertollano/buenos-resultados-tenis-club-recreativo-repsol-puertollano-master-provincial-tenis-memorial-alberto-romero/20241008181126564684.html" TargetMode="External"/><Relationship Id="rId4946" Type="http://schemas.openxmlformats.org/officeDocument/2006/relationships/hyperlink" Target="https://www.guiarepsol.com/es/viajar/vamos-de-excursion/pueblos-bonitos-de-cordoba/" TargetMode="External"/><Relationship Id="rId3618" Type="http://schemas.openxmlformats.org/officeDocument/2006/relationships/hyperlink" Target="https://www.alimente.elconfidencial.com/gastronomia-y-cocina/2024-10-08/restaurante-michelin-sevilla-national-geographic-1qrt_3978916/" TargetMode="External"/><Relationship Id="rId4949" Type="http://schemas.openxmlformats.org/officeDocument/2006/relationships/hyperlink" Target="https://www.guiarepsol.com/es/comer/nuestros-favoritos/pasteleria-manu-jara-sevilla/" TargetMode="External"/><Relationship Id="rId3617" Type="http://schemas.openxmlformats.org/officeDocument/2006/relationships/hyperlink" Target="https://es.investing.com/news/commodities-news/repsol-aboga-por-conectar-ya-la-peninsula-iberica-con-europa-en-materia-energetica-2859054" TargetMode="External"/><Relationship Id="rId4948" Type="http://schemas.openxmlformats.org/officeDocument/2006/relationships/hyperlink" Target="https://www.guiarepsol.com/es/viajar/nos-gusta/planes-madrid/" TargetMode="External"/><Relationship Id="rId3619" Type="http://schemas.openxmlformats.org/officeDocument/2006/relationships/hyperlink" Target="https://www.elespanol.com/malaga/malaga-ciudad/20241008/nuevo-impasse-millonaria-venta-torres-repsol-malaga/891911188_0.html" TargetMode="External"/><Relationship Id="rId3610" Type="http://schemas.openxmlformats.org/officeDocument/2006/relationships/hyperlink" Target="https://www.repsol.es/particulares/vehiculos/movilidad-electrica/instalacion-punto-de-recarga/promocion-movilidad-electrica/" TargetMode="External"/><Relationship Id="rId4941" Type="http://schemas.openxmlformats.org/officeDocument/2006/relationships/hyperlink" Target="https://www.guiarepsol.com/es/comer/nuestros-favoritos/donde-comer-pulpo-en-galicia/" TargetMode="External"/><Relationship Id="rId4940" Type="http://schemas.openxmlformats.org/officeDocument/2006/relationships/hyperlink" Target="https://www.guiarepsol.com/es/comer/nuestros-favoritos/nuevos-platos-el-campero-barbate-cadiz/" TargetMode="External"/><Relationship Id="rId3601" Type="http://schemas.openxmlformats.org/officeDocument/2006/relationships/hyperlink" Target="https://www.expansion.com/mercados/2024/10/07/670396f9468aeb92578b4575.html" TargetMode="External"/><Relationship Id="rId4932" Type="http://schemas.openxmlformats.org/officeDocument/2006/relationships/hyperlink" Target="https://www.bolsamania.com/noticias/empresas/economia--repsol-gran-vencedora-de-los-oscar-energeticos-con-tres-galardones-incluido-el-de-empresa-del-ano--18319481.html" TargetMode="External"/><Relationship Id="rId3600" Type="http://schemas.openxmlformats.org/officeDocument/2006/relationships/hyperlink" Target="https://www.elespanol.com/castilla-y-leon/economia/empresas/20241007/castilla-leon-contara-nuevos-contenedores-recogida-aceite-cocinaaquiestaran/891661137_0.html" TargetMode="External"/><Relationship Id="rId4931" Type="http://schemas.openxmlformats.org/officeDocument/2006/relationships/hyperlink" Target="https://www.guiarepsol.com/es/comer/nuestros-favoritos/festival-chefs-on-fire-madrid/" TargetMode="External"/><Relationship Id="rId3603" Type="http://schemas.openxmlformats.org/officeDocument/2006/relationships/hyperlink" Target="https://soymotor.com/coches/noticias/combustibles-renovables-probamos-el-diesel-de-repsol-hecho-con-aceites-reciclados" TargetMode="External"/><Relationship Id="rId4934" Type="http://schemas.openxmlformats.org/officeDocument/2006/relationships/hyperlink" Target="https://www.guiarepsol.com/es/dormir/como-en-casa/finca-micalas-bocairent-valencia/" TargetMode="External"/><Relationship Id="rId3602" Type="http://schemas.openxmlformats.org/officeDocument/2006/relationships/hyperlink" Target="https://gestion.pe/peru/mas-del-50-del-rio-chillon-presenta-problemas-serios-de-contaminacion-carabayllo-comas-los-olivos-utec-repsol-noticia/" TargetMode="External"/><Relationship Id="rId4933" Type="http://schemas.openxmlformats.org/officeDocument/2006/relationships/hyperlink" Target="https://www.guiarepsol.com/es/soletes/bares-y-restaurantes-en-sitios-inesperados/" TargetMode="External"/><Relationship Id="rId3605" Type="http://schemas.openxmlformats.org/officeDocument/2006/relationships/hyperlink" Target="https://www.ideal.es/economia/mi-hucha/repsol-anuncia-precio-actualizado-bombonas-butano-20241008091846-nt.html" TargetMode="External"/><Relationship Id="rId4936" Type="http://schemas.openxmlformats.org/officeDocument/2006/relationships/hyperlink" Target="https://www.guiarepsol.com/es/comer/nuestros-favoritos/restaurante-omeraki-madrid/" TargetMode="External"/><Relationship Id="rId3604" Type="http://schemas.openxmlformats.org/officeDocument/2006/relationships/hyperlink" Target="https://elperiodicodelaenergia.com/repsol-critica-los-objetivos-del-pniec-por-ser-tecnologicamente-inviables/" TargetMode="External"/><Relationship Id="rId4935" Type="http://schemas.openxmlformats.org/officeDocument/2006/relationships/hyperlink" Target="https://www.guiarepsol.com/es/viajar/con-ninos/excursiones-malaga-en-familia/" TargetMode="External"/><Relationship Id="rId3607" Type="http://schemas.openxmlformats.org/officeDocument/2006/relationships/hyperlink" Target="https://www.heraldo.es/noticias/gastronomia/2024/10/08/restaurantes-bares-zaragoza-fiestas-pilar-soletes-guia-repsol-1681582.html" TargetMode="External"/><Relationship Id="rId4938" Type="http://schemas.openxmlformats.org/officeDocument/2006/relationships/hyperlink" Target="https://www.guiarepsol.com/es/soletes/las-heladerias-favoritas-de-los-cocineros-en-tenerife/" TargetMode="External"/><Relationship Id="rId3606" Type="http://schemas.openxmlformats.org/officeDocument/2006/relationships/hyperlink" Target="https://www.malagahoy.es/malaga/urbania-gana-tiempo-venta-torres-repsol-malaga_0_2002526788.html" TargetMode="External"/><Relationship Id="rId4937" Type="http://schemas.openxmlformats.org/officeDocument/2006/relationships/hyperlink" Target="https://www.guiarepsol.com/es/comer/nuestros-favoritos/restaurante-atempo-barcelona/" TargetMode="External"/><Relationship Id="rId3609" Type="http://schemas.openxmlformats.org/officeDocument/2006/relationships/hyperlink" Target="https://www.elespanol.com/eldigitalcastillalamancha/economia/empresas/20241008/quiebra-mayor-contrata-repsol-puertollano-deja-agujero-millones-euros-empresas/891911296_0.html" TargetMode="External"/><Relationship Id="rId3608" Type="http://schemas.openxmlformats.org/officeDocument/2006/relationships/hyperlink" Target="https://www.diariosur.es/malaga-capital/malaga-torres-repsol-urbania-promotora-20241008150033-nt.html" TargetMode="External"/><Relationship Id="rId4939" Type="http://schemas.openxmlformats.org/officeDocument/2006/relationships/hyperlink" Target="https://www.guiarepsol.com/es/soletes/soletes-santiago-de-compostela/" TargetMode="External"/><Relationship Id="rId4930" Type="http://schemas.openxmlformats.org/officeDocument/2006/relationships/hyperlink" Target="https://elbierzo.eldiario.es/comarca/alto-sil-alerta-ministerio-tres-proyectos-eolicos-repsol-gistredo-amenazan-urogallo-cantabrico_1_11898440.html" TargetMode="External"/><Relationship Id="rId1059" Type="http://schemas.openxmlformats.org/officeDocument/2006/relationships/hyperlink" Target="https://woman.elperiodico.com/lifestyle/2024/03/05/precio-menu-salita-begona-rodrigo-valencia-99034304" TargetMode="External"/><Relationship Id="rId228" Type="http://schemas.openxmlformats.org/officeDocument/2006/relationships/hyperlink" Target="https://www.energynews.es/repsol-superara-las-600-estaciones-de-servicio-con-combustible-renovable-en-2024/" TargetMode="External"/><Relationship Id="rId227" Type="http://schemas.openxmlformats.org/officeDocument/2006/relationships/hyperlink" Target="https://www.highmotor.com/casi-600-estaciones-repsol-ya-ofrecen-combustible-renovable.html" TargetMode="External"/><Relationship Id="rId226" Type="http://schemas.openxmlformats.org/officeDocument/2006/relationships/hyperlink" Target="https://elbuho.pe/2024/01/derrame-de-ventanilla-informe-del-congreso-determina-negligencia-del-estado/" TargetMode="External"/><Relationship Id="rId225" Type="http://schemas.openxmlformats.org/officeDocument/2006/relationships/hyperlink" Target="https://proactivo.com.pe/dos-anos-despues-del-derrame-en-ventanilla-repsol-mantiene-multas-impugnadas-por-s-97-millones/" TargetMode="External"/><Relationship Id="rId2380" Type="http://schemas.openxmlformats.org/officeDocument/2006/relationships/hyperlink" Target="https://www.bonviveur.es/noticias/mejores-restaurantes-andalucia" TargetMode="External"/><Relationship Id="rId229" Type="http://schemas.openxmlformats.org/officeDocument/2006/relationships/hyperlink" Target="https://theobjective.com/motor/2024-01-18/repsol-venta-gasolina-no-contaminante-cambio-climatico/" TargetMode="External"/><Relationship Id="rId1050" Type="http://schemas.openxmlformats.org/officeDocument/2006/relationships/hyperlink" Target="https://www.infobae.com/espana/2024/03/06/que-se-come-y-por-cuanto-en-los-nuevos-restaurantes-con-2-soles-repsol-asadores-el-mejor-pescado-y-menus-desde-55-euros/" TargetMode="External"/><Relationship Id="rId2381" Type="http://schemas.openxmlformats.org/officeDocument/2006/relationships/hyperlink" Target="https://www.huelvainformacion.es/destino-huelva/comer-playa-mazagon_0_2000898633.html" TargetMode="External"/><Relationship Id="rId220" Type="http://schemas.openxmlformats.org/officeDocument/2006/relationships/hyperlink" Target="https://www.elespanol.com/treintayseis/vivir/gastrovigo/20240117/video-restaurante-vigues-nino-corvo-conquista-expertos-guia-repsol/825668040_0.html" TargetMode="External"/><Relationship Id="rId1051" Type="http://schemas.openxmlformats.org/officeDocument/2006/relationships/hyperlink" Target="https://movilidadelectrica.com/wible-carsharing-aeropuerto/" TargetMode="External"/><Relationship Id="rId2382" Type="http://schemas.openxmlformats.org/officeDocument/2006/relationships/hyperlink" Target="https://www.heraldo.es/noticias/gastronomia/2024/06/30/restaurante-carretera-navarro-epila-zaragoza-1744386.html" TargetMode="External"/><Relationship Id="rId1052" Type="http://schemas.openxmlformats.org/officeDocument/2006/relationships/hyperlink" Target="https://www.eldiariomontanes.es/cantabria-mesa/pico-velasco-primer-sol-20240304211718-nt.html" TargetMode="External"/><Relationship Id="rId2383" Type="http://schemas.openxmlformats.org/officeDocument/2006/relationships/hyperlink" Target="https://ojo-publico.com/5177/los-bancos-del-peru-que-financian-combustibles-fosiles-la-amazonia" TargetMode="External"/><Relationship Id="rId1053" Type="http://schemas.openxmlformats.org/officeDocument/2006/relationships/hyperlink" Target="https://www.revistagranhotel.com/el-restaurante-gastronomic-1497-de-mas-salagros-brilla-con-un-sol-repsol/" TargetMode="External"/><Relationship Id="rId2384" Type="http://schemas.openxmlformats.org/officeDocument/2006/relationships/hyperlink" Target="https://www.gciencia.com/gastro-es/los-cinco-nuevos-soles-repsol-con-los-que-a-coruna-muestra-la-calidad-de-su-gastronomia/" TargetMode="External"/><Relationship Id="rId1054" Type="http://schemas.openxmlformats.org/officeDocument/2006/relationships/hyperlink" Target="https://www.agronewscomunitatvalenciana.com/index.php/la-chef-valenciana-begona-rodrigo-unica-novedad-de-toda-espana-con-tres-soles-guia-repsol-2024" TargetMode="External"/><Relationship Id="rId2385" Type="http://schemas.openxmlformats.org/officeDocument/2006/relationships/hyperlink" Target="https://dotb.eus/la-pasteleria-ayarza-de-amorebieta-consigue-su-primer-solete-de-repsol/" TargetMode="External"/><Relationship Id="rId224" Type="http://schemas.openxmlformats.org/officeDocument/2006/relationships/hyperlink" Target="https://www.eleconomista.es/actualidad/noticias/12628117/01/24/pedro-sanchez-preve-reforzar-la-cooperacion-con-las-grandes-empresas-tras-citar-a-telefonica-e-indra-.html" TargetMode="External"/><Relationship Id="rId1055" Type="http://schemas.openxmlformats.org/officeDocument/2006/relationships/hyperlink" Target="https://www.elfaromotril.es/2024/03/05/espacio-ime-del-chef-ivan-mateo-vuelve-a-situarse-en-los-soles-de-la-guia-repsol-2024/" TargetMode="External"/><Relationship Id="rId2386" Type="http://schemas.openxmlformats.org/officeDocument/2006/relationships/hyperlink" Target="https://cronicaglobal.elespanol.com/cronica-directo/curiosidades/20240701/buffet-libre-carretera-conquista-guia-repsol-solete-buen-precio/867163283_0.html" TargetMode="External"/><Relationship Id="rId223" Type="http://schemas.openxmlformats.org/officeDocument/2006/relationships/hyperlink" Target="https://www.lavozdegalicia.es/noticia/lugo/2024/01/17/mejor-tortilla-patatas-come-lugo-segun-guia-repsol/00031705506596773265427.htm" TargetMode="External"/><Relationship Id="rId1056" Type="http://schemas.openxmlformats.org/officeDocument/2006/relationships/hyperlink" Target="https://cadenaser.com/andalucia/2024/03/05/javier-campos-este-sol-refuerza-nuestro-compromiso-con-cordoba-radio-cordoba/" TargetMode="External"/><Relationship Id="rId2387" Type="http://schemas.openxmlformats.org/officeDocument/2006/relationships/hyperlink" Target="https://www.eleconomista.com.mx/empresas/Repsol-alcanza-las-350-estaciones-de-servicio-con-combustible-100-renovable-en-Espana-y-Portugal-20240701-0070.html" TargetMode="External"/><Relationship Id="rId222" Type="http://schemas.openxmlformats.org/officeDocument/2006/relationships/hyperlink" Target="https://www.todocircuito.com/noticias/35105-honda-sorprendera-con-la-decoracion-de-su-motogp-sin-red-bull:-llega-algo-nuevo.html" TargetMode="External"/><Relationship Id="rId1057" Type="http://schemas.openxmlformats.org/officeDocument/2006/relationships/hyperlink" Target="https://elnuevoobservador.com/los-sentidos-y-canela-en-rama-mantienen-a-linares-en-la-elite-de-la-cocina-espanola/" TargetMode="External"/><Relationship Id="rId2388" Type="http://schemas.openxmlformats.org/officeDocument/2006/relationships/hyperlink" Target="https://www.economiadigital.es/economia/gasolineras-ocu-repsol-eg.html" TargetMode="External"/><Relationship Id="rId221" Type="http://schemas.openxmlformats.org/officeDocument/2006/relationships/hyperlink" Target="https://www.mundodeportivo.com/motor/motociclismo/20240117/1002171993/gabri-marcelli-relata-convivencia-maestro-toni-bou.html" TargetMode="External"/><Relationship Id="rId1058" Type="http://schemas.openxmlformats.org/officeDocument/2006/relationships/hyperlink" Target="https://www.hosteltur.com/162152_volotea-primer-vuelo-con-un-50-de-combustible-de-aviacion-sostenible.html" TargetMode="External"/><Relationship Id="rId2389" Type="http://schemas.openxmlformats.org/officeDocument/2006/relationships/hyperlink" Target="https://xabiaaldia.com/art/155705/el-trinquet-y-la-cantina-confirman-que-sigue-sin-ponerse-el-sol-sobre-la-gastronomia-de-xabia" TargetMode="External"/><Relationship Id="rId1048" Type="http://schemas.openxmlformats.org/officeDocument/2006/relationships/hyperlink" Target="https://www.20minutos.es/gastronomia/restaurantes/jefa-sala-papel-restaurante-relacion-cliente-soles-repsol-5224099/" TargetMode="External"/><Relationship Id="rId2379" Type="http://schemas.openxmlformats.org/officeDocument/2006/relationships/hyperlink" Target="https://www.20minutos.es/gastronomia/restaurantes/restaurante-carretera-carne-guia-repsol-area-103-camioneros-5524895/" TargetMode="External"/><Relationship Id="rId1049" Type="http://schemas.openxmlformats.org/officeDocument/2006/relationships/hyperlink" Target="https://www.elespanol.com/sevilla/vivir/gastronomia/20240305/carta-senor-cangrejo-cuesta-comer-nuevo-restaurante-sevilla-sol-repsol/837666280_0.html" TargetMode="External"/><Relationship Id="rId217" Type="http://schemas.openxmlformats.org/officeDocument/2006/relationships/hyperlink" Target="https://www.repsol.es/particulares/asesoramiento-consumo/acumula-saldo-waylet-con-tus-pedidos-de-comida-a-domicilio/" TargetMode="External"/><Relationship Id="rId216" Type="http://schemas.openxmlformats.org/officeDocument/2006/relationships/hyperlink" Target="https://www.motorpasionmoto.com/motogp/cambio-colores-nueva-honda-motogp-repsol-perdera-peso-moto-se-parecera-a-superbikes" TargetMode="External"/><Relationship Id="rId215" Type="http://schemas.openxmlformats.org/officeDocument/2006/relationships/hyperlink" Target="https://www.infobae.com/espana/2024/01/17/el-restaurante-recomendado-por-la-guia-repsol-que-ha-pagado-5700-por-la-trufa-mas-grande-de-la-feria-de-vera-de-moncayo/" TargetMode="External"/><Relationship Id="rId214" Type="http://schemas.openxmlformats.org/officeDocument/2006/relationships/hyperlink" Target="https://www.autopista.es/noticias-motor/ya-se-vende-en-espana-nueva-gasolina-sin-petroleo-apta-todos-coches-este-es-su-precio_288588_102.html" TargetMode="External"/><Relationship Id="rId219" Type="http://schemas.openxmlformats.org/officeDocument/2006/relationships/hyperlink" Target="https://www.guiarepsol.com/es/comer/nuestros-favoritos/bodega-amores-madrid/" TargetMode="External"/><Relationship Id="rId218" Type="http://schemas.openxmlformats.org/officeDocument/2006/relationships/hyperlink" Target="https://www.boxrepsol.com/es/rally/resultados-de-la-decima-etapa-del-rally-dakar-2024/" TargetMode="External"/><Relationship Id="rId2370" Type="http://schemas.openxmlformats.org/officeDocument/2006/relationships/hyperlink" Target="https://elpais.com/deportes/motociclismo/2024-06-30/en-motogp-honda-sigue-remando-sin-avistar-la-orilla.html" TargetMode="External"/><Relationship Id="rId1040" Type="http://schemas.openxmlformats.org/officeDocument/2006/relationships/hyperlink" Target="https://diariodeavisos.elespanol.com/2024/03/ruben-cabrera-chef-de-la-cupula-nuevo-2-soles-repsol-en-tenerife/" TargetMode="External"/><Relationship Id="rId2371" Type="http://schemas.openxmlformats.org/officeDocument/2006/relationships/hyperlink" Target="https://www.diariodejerez.es/que-hacer/nuevos-restaurantes-establecimientos-jerez-puerto_3_2000968973.html" TargetMode="External"/><Relationship Id="rId1041" Type="http://schemas.openxmlformats.org/officeDocument/2006/relationships/hyperlink" Target="https://cadenaser.com/andalucia/2024/03/05/el-restaurante-atxa-de-tarifa-ya-tiene-un-sol-de-la-guia-repsol-radio-algeciras/" TargetMode="External"/><Relationship Id="rId2372" Type="http://schemas.openxmlformats.org/officeDocument/2006/relationships/hyperlink" Target="https://www.lavozdegalicia.es/noticia/carballo/cerceda/2024/06/29/hidrogeno-biogas-esquivan-paralisis-eolica-cerceda/0003_202406C29C1992.htm" TargetMode="External"/><Relationship Id="rId1042" Type="http://schemas.openxmlformats.org/officeDocument/2006/relationships/hyperlink" Target="https://www.ondacero.es/emisoras/cantabria/noticias/restaurante-pico-velasco-voto-nuevo-sol-guia-repsol_2024030565e6cbbeab79d800017b1fca.html" TargetMode="External"/><Relationship Id="rId2373" Type="http://schemas.openxmlformats.org/officeDocument/2006/relationships/hyperlink" Target="https://www.boxrepsol.com/es/motogp/resultados-sprdel-gp-de-holanda-de-motogp-2024/" TargetMode="External"/><Relationship Id="rId1043" Type="http://schemas.openxmlformats.org/officeDocument/2006/relationships/hyperlink" Target="https://www.lasexta.com/noticias/sociedad/este-precio-menu-salita-unico-restaurante-tres-soles-repsol-2024_2024030565e7053aab79d800017bc3b8.html" TargetMode="External"/><Relationship Id="rId2374" Type="http://schemas.openxmlformats.org/officeDocument/2006/relationships/hyperlink" Target="https://www.eleconomista.es/energia/noticias/12889312/06/24/repsol-prepara-una-fusion-con-la-britanica-neo-energy-para-crecer-en-reino-unido.html" TargetMode="External"/><Relationship Id="rId213" Type="http://schemas.openxmlformats.org/officeDocument/2006/relationships/hyperlink" Target="https://www.elindependiente.com/economia/2024/01/17/la-empresa-de-paneles-solares-de-movistar-y-repsol-declara-perdidas-de-7-millones-en-su-ano-primer-ano/" TargetMode="External"/><Relationship Id="rId1044" Type="http://schemas.openxmlformats.org/officeDocument/2006/relationships/hyperlink" Target="https://metropoliabierta.elespanol.com/gastro/20240305/estos-son-los-nuevos-restaurantes-de-barcelona-que-aparecen-en-la-guia-repsol/837666251_0.html" TargetMode="External"/><Relationship Id="rId2375" Type="http://schemas.openxmlformats.org/officeDocument/2006/relationships/hyperlink" Target="https://lamarinaalta.com/soletes-guia-repsol-marina-alta/" TargetMode="External"/><Relationship Id="rId212" Type="http://schemas.openxmlformats.org/officeDocument/2006/relationships/hyperlink" Target="https://www.eldebate.com/motor/20240117/venta-combustible-espanol-permitir-coches-gasolina-sigan-circulando_167418.html" TargetMode="External"/><Relationship Id="rId1045" Type="http://schemas.openxmlformats.org/officeDocument/2006/relationships/hyperlink" Target="https://www.eldiadecordoba.es/vivir-cordoba/Paco-Villar-exigimos-mejor-version_0_1881713526.html" TargetMode="External"/><Relationship Id="rId2376" Type="http://schemas.openxmlformats.org/officeDocument/2006/relationships/hyperlink" Target="https://www.expansion.com/empresas/energia/2024/06/30/6681d447468aebb5118b4581.html" TargetMode="External"/><Relationship Id="rId211" Type="http://schemas.openxmlformats.org/officeDocument/2006/relationships/hyperlink" Target="https://www.galiciapress.es/articulo/empresas/2024-01-17/4681296-dejamos-desprotegida-infrestructura-critica-como-refineria-exigencias-repsol-denuncian-vigilantes-prosegur" TargetMode="External"/><Relationship Id="rId1046" Type="http://schemas.openxmlformats.org/officeDocument/2006/relationships/hyperlink" Target="https://www.20minutos.es/motor/movilidad/donde-encontrar-biocombustible-coche-espana-cuanto-cuesta-5221382/" TargetMode="External"/><Relationship Id="rId2377" Type="http://schemas.openxmlformats.org/officeDocument/2006/relationships/hyperlink" Target="https://cincodias.elpais.com/mercados-financieros/2024-07-01/repsol-iberdrola-acciona-y-acs-ultima-llamada-para-cobrar-los-dividendos-mas-atractivos-del-verano.html" TargetMode="External"/><Relationship Id="rId210" Type="http://schemas.openxmlformats.org/officeDocument/2006/relationships/hyperlink" Target="https://es.motorsport.com/motogp/news/repsol-pierde-presencia-decoracion-honda-motogp-2024/10566535/" TargetMode="External"/><Relationship Id="rId1047" Type="http://schemas.openxmlformats.org/officeDocument/2006/relationships/hyperlink" Target="https://cincodias.elpais.com/companias/2024-03-06/caixabank-limita-el-impacto-del-caso-villarejo-a-8000-euros-pero-admite-el-dano-reputacional.html" TargetMode="External"/><Relationship Id="rId2378" Type="http://schemas.openxmlformats.org/officeDocument/2006/relationships/hyperlink" Target="https://www.elespanol.com/mujer/actualidad/mejor-chiringuito-cadiz-comer-guia-repsol-plena-playa-mejores-vistas/865413492_0.html" TargetMode="External"/><Relationship Id="rId4107" Type="http://schemas.openxmlformats.org/officeDocument/2006/relationships/hyperlink" Target="https://murciaeconomia.com/art/98172/repsol-retoma-su-inversion-en-cartagena-tras-el-fin-del-impuesto-energetico" TargetMode="External"/><Relationship Id="rId4106" Type="http://schemas.openxmlformats.org/officeDocument/2006/relationships/hyperlink" Target="https://www.lavanguardia.com/dinero/20241101/10069088/repsol-santander-in-spain-we-call-it-ordago.html" TargetMode="External"/><Relationship Id="rId4109" Type="http://schemas.openxmlformats.org/officeDocument/2006/relationships/hyperlink" Target="https://www.bolsamania.com/noticias/analisis-fundamental/bankinter-reitera-vender-repsol-fija-precio-objetivo-1190-euros-accion--17891846.html" TargetMode="External"/><Relationship Id="rId4108" Type="http://schemas.openxmlformats.org/officeDocument/2006/relationships/hyperlink" Target="https://www.publico.es/economia/repsol-gana-1-792-millones-septiembre-36-bajada-precio-crudo-gas.html" TargetMode="External"/><Relationship Id="rId249" Type="http://schemas.openxmlformats.org/officeDocument/2006/relationships/hyperlink" Target="https://www.eldesmarque.com/coches-y-motos/20240119/mas-de-600-estaciones-de-servicio-de-repsol-tendran-combustible-renovable-en-2024_300213020.html" TargetMode="External"/><Relationship Id="rId248" Type="http://schemas.openxmlformats.org/officeDocument/2006/relationships/hyperlink" Target="https://www.estrategiasdeinversion.com/actualidad/noticias/bolsa-espana/el-petroleo-ya-no-es-lo-que-era-y-repsol-sufre-n-679975" TargetMode="External"/><Relationship Id="rId247" Type="http://schemas.openxmlformats.org/officeDocument/2006/relationships/hyperlink" Target="https://www.faconauto.com/noticias-automocion/repsol-superara-las-600-estaciones-de-servicio-con-combustible-renovable-este-2024/" TargetMode="External"/><Relationship Id="rId1070" Type="http://schemas.openxmlformats.org/officeDocument/2006/relationships/hyperlink" Target="https://www.huelvainformacion.es/destino-huelva/restaurante-Huelva-Sol-Guia-Repsol_0_1881712586.html" TargetMode="External"/><Relationship Id="rId1071" Type="http://schemas.openxmlformats.org/officeDocument/2006/relationships/hyperlink" Target="https://delicious.visitvalencia.com/es/la-salita-resplandece-nuevo-restaurante-tres-soles-repsol-2024" TargetMode="External"/><Relationship Id="rId1072" Type="http://schemas.openxmlformats.org/officeDocument/2006/relationships/hyperlink" Target="https://www.enjoyzaragoza.es/restaurantes-soles-repsol-aragon/" TargetMode="External"/><Relationship Id="rId242" Type="http://schemas.openxmlformats.org/officeDocument/2006/relationships/hyperlink" Target="https://www.motor16.com/noticias/gasolinera-descuento-galp/" TargetMode="External"/><Relationship Id="rId1073" Type="http://schemas.openxmlformats.org/officeDocument/2006/relationships/hyperlink" Target="https://www.surinenglish.com/malaga/lista-soles-guia-repsol-malaga-20240306192617-nt.html" TargetMode="External"/><Relationship Id="rId241" Type="http://schemas.openxmlformats.org/officeDocument/2006/relationships/hyperlink" Target="https://www.diaridetarragona.com/cultura/constanti-premia-la-composicion-musical-en-el-premi-centelles-BN18268081" TargetMode="External"/><Relationship Id="rId1074" Type="http://schemas.openxmlformats.org/officeDocument/2006/relationships/hyperlink" Target="https://www.dazn.com/es-ES/news/motor/por-que-marc-marquez-se-va-honda/1gufk7ega6du01ug2qkt8t7zd3" TargetMode="External"/><Relationship Id="rId240" Type="http://schemas.openxmlformats.org/officeDocument/2006/relationships/hyperlink" Target="https://cadenaser.com/galicia/2024/01/18/sin-cebolla-la-cocinera-de-la-mejor-tortilla-de-galicia-dicta-sentencia-radio-lugo/" TargetMode="External"/><Relationship Id="rId1075" Type="http://schemas.openxmlformats.org/officeDocument/2006/relationships/hyperlink" Target="https://www.lasexta.com/viajestic/curioso/cuanto-cuesta-comer-salita-restaurante-begona-rodrigo-valencia-3-soles-repsol_2024030665e87010d3310300012cc901.html" TargetMode="External"/><Relationship Id="rId4101" Type="http://schemas.openxmlformats.org/officeDocument/2006/relationships/hyperlink" Target="https://climatica.coop/cuando-repsol-decide-los-presupuestos-del-estado/" TargetMode="External"/><Relationship Id="rId1076" Type="http://schemas.openxmlformats.org/officeDocument/2006/relationships/hyperlink" Target="https://www.deia.eus/bizkaia/2024/03/06/soles-repsol-bakea-txispa-islares-restaurantes-7961188.html" TargetMode="External"/><Relationship Id="rId4100" Type="http://schemas.openxmlformats.org/officeDocument/2006/relationships/hyperlink" Target="https://www.diariodeburgos.es/noticia/zb3b3507d-c573-7e8d-5b3a5eee7ea3b824/202410/castilla-y-leon-ya-tiene-su-mejor-tapa" TargetMode="External"/><Relationship Id="rId246" Type="http://schemas.openxmlformats.org/officeDocument/2006/relationships/hyperlink" Target="https://www.lasrozashoy.es/2024/01/18/cuando-llega-a-las-rozas-la-nueva-gasolina-y-gasoil-sin-petroleo-y-con-emisiones-neutras/" TargetMode="External"/><Relationship Id="rId1077" Type="http://schemas.openxmlformats.org/officeDocument/2006/relationships/hyperlink" Target="https://www.elperiodicoextremadura.com/merida/2024/03/06/merida-suma-dos-recomendaciones-guia-repsol-99082919.html" TargetMode="External"/><Relationship Id="rId4103" Type="http://schemas.openxmlformats.org/officeDocument/2006/relationships/hyperlink" Target="https://elperiodicodelaenergia.com/repsol-facilita-al-centro-coordinador-de-emergencia-de-espana-todos-los-recursos-para-ayudar-ante-la-dana/" TargetMode="External"/><Relationship Id="rId245" Type="http://schemas.openxmlformats.org/officeDocument/2006/relationships/hyperlink" Target="https://cooperaccion.org.pe/a-dos-anos-del-derrame-de-repsol-la-sociedad-civil-demando-accion-efectiva-del-estado-peruano/" TargetMode="External"/><Relationship Id="rId1078" Type="http://schemas.openxmlformats.org/officeDocument/2006/relationships/hyperlink" Target="https://www.guiarepsol.com/es/comer/nuestros-favoritos/restaurantes-soles-serie-reina-roja/" TargetMode="External"/><Relationship Id="rId4102" Type="http://schemas.openxmlformats.org/officeDocument/2006/relationships/hyperlink" Target="https://www.eleconomista.es/energia/noticias/13063051/11/24/repsol-reactiva-sus-inversiones-en-espana-tras-tumbar-el-impuestazo-del-gobierno.html" TargetMode="External"/><Relationship Id="rId244" Type="http://schemas.openxmlformats.org/officeDocument/2006/relationships/hyperlink" Target="https://infoleon.infobierzo.com/noticias-leon/leon-antiguo-mejor-tortilla-patata_1007158_102.html" TargetMode="External"/><Relationship Id="rId1079" Type="http://schemas.openxmlformats.org/officeDocument/2006/relationships/hyperlink" Target="https://www.canarias7.es/gastronomia-c7/restaurantes/santi-beneitez-tras-ganar-sol-repsol-lanzarote-20240306111821-nt.html" TargetMode="External"/><Relationship Id="rId4105" Type="http://schemas.openxmlformats.org/officeDocument/2006/relationships/hyperlink" Target="https://intereconomia.com/noticia/mercados/repsol-de-mas-a-menos-en-bolsa-tras-decir-diaz-que-tiene-pactado-con-sanchez-mantener-el-impuesto-a-las-energeticas-20241101-1859/" TargetMode="External"/><Relationship Id="rId243" Type="http://schemas.openxmlformats.org/officeDocument/2006/relationships/hyperlink" Target="https://www.elespanol.com/cocinillas/actualidad-gastronomica/20240118/historico-bar-lugo-come-mejor-tortilla-patatas-galicia-guia-repsol/825917491_0.html" TargetMode="External"/><Relationship Id="rId4104" Type="http://schemas.openxmlformats.org/officeDocument/2006/relationships/hyperlink" Target="https://elpais.com/economia/2024-11-01/la-retirada-del-impuesto-energetico-asegura-la-inversion-de-repsol-de-1100-millones-en-tarragona.html" TargetMode="External"/><Relationship Id="rId239" Type="http://schemas.openxmlformats.org/officeDocument/2006/relationships/hyperlink" Target="https://www.repsol.es/particulares/asesoramiento-consumo/estufas-halogenas-ventajas-desventajas/" TargetMode="External"/><Relationship Id="rId238" Type="http://schemas.openxmlformats.org/officeDocument/2006/relationships/hyperlink" Target="https://www.infobae.com/espana/2024/01/18/la-gasolina-sin-petroleo-que-pueden-utilizar-todos-los-coches/" TargetMode="External"/><Relationship Id="rId237" Type="http://schemas.openxmlformats.org/officeDocument/2006/relationships/hyperlink" Target="https://www.guiarepsol.com/es/dormir/en-la-gloria/hotel-canfranc-huesca/" TargetMode="External"/><Relationship Id="rId236" Type="http://schemas.openxmlformats.org/officeDocument/2006/relationships/hyperlink" Target="https://www.expansion.com/mercados/2024/01/18/65a834d8468aeb3e508b4653.html" TargetMode="External"/><Relationship Id="rId2390" Type="http://schemas.openxmlformats.org/officeDocument/2006/relationships/hyperlink" Target="https://www.20minutos.es/motor/actualidad/4-cadenas-gasolineras-mas-baratas-espana-segun-ocu-5526616/" TargetMode="External"/><Relationship Id="rId1060" Type="http://schemas.openxmlformats.org/officeDocument/2006/relationships/hyperlink" Target="https://cadenaser.com/cantabria/2024/03/05/sincio-y-albiar-la-propuesta-de-ignacio-solana-en-pico-velasco-que-vale-un-sol-radio-santander/" TargetMode="External"/><Relationship Id="rId2391" Type="http://schemas.openxmlformats.org/officeDocument/2006/relationships/hyperlink" Target="https://www.eleconomista.es/motor/noticias/12890949/07/24/las-seis-gasolineras-que-recomienda-ocu-por-ser-las-mas-baratas-tras-analizar-mas-de-treinta.html" TargetMode="External"/><Relationship Id="rId1061" Type="http://schemas.openxmlformats.org/officeDocument/2006/relationships/hyperlink" Target="https://www.elperiodicoextremadura.com/caceres-local/2024/03/05/victor-corchado-feliz-sol-guia-99035073.html" TargetMode="External"/><Relationship Id="rId2392" Type="http://schemas.openxmlformats.org/officeDocument/2006/relationships/hyperlink" Target="https://www.businessinsider.es/finanzas-personales/calendario-dividendos-julio-2024-estas-son-empresas-repartiran-beneficios-espana-1392373" TargetMode="External"/><Relationship Id="rId231" Type="http://schemas.openxmlformats.org/officeDocument/2006/relationships/hyperlink" Target="https://elpais.com/economia/2024-01-18/ribera-acusa-al-consejero-delegado-de-repsol-de-negacionismo-por-su-discurso-de-davos.html" TargetMode="External"/><Relationship Id="rId1062" Type="http://schemas.openxmlformats.org/officeDocument/2006/relationships/hyperlink" Target="https://www.elespanol.com/mujer/protagonistas/20240305/chef-begona-rodrigo-alza-soles-guia-repsol-consolidan-mejores-espana/837666285_0.html" TargetMode="External"/><Relationship Id="rId2393" Type="http://schemas.openxmlformats.org/officeDocument/2006/relationships/hyperlink" Target="https://www.boxrepsol.com/es/motogp/horarios-y-como-ver-el-motogp-de-alemania-en-directo/" TargetMode="External"/><Relationship Id="rId230" Type="http://schemas.openxmlformats.org/officeDocument/2006/relationships/hyperlink" Target="https://www.caranddriver.com/es/coches/planeta-motor/a46434160/resolvemos-las-dudas-de-las-nuevas-gasolinas-renovables-de-repsol-precio-que-coches-pueden-usarlas/" TargetMode="External"/><Relationship Id="rId1063" Type="http://schemas.openxmlformats.org/officeDocument/2006/relationships/hyperlink" Target="https://pulsoslp.com.mx/sabor/chef-mexicano-triunfa-en-la-guia-repsol-2024/1765372" TargetMode="External"/><Relationship Id="rId2394" Type="http://schemas.openxmlformats.org/officeDocument/2006/relationships/hyperlink" Target="https://www.atlanticohoy.com/sociedad/mejor-chiringuito-canarias-comer-pescado-marisco-playa_1533546_102.html" TargetMode="External"/><Relationship Id="rId1064" Type="http://schemas.openxmlformats.org/officeDocument/2006/relationships/hyperlink" Target="https://www.eleconomista.es/energia/noticias/12707477/03/24/repsol-ofrecera-combustible-verde-en-1900-estaciones-de-servicio-en-2027.html" TargetMode="External"/><Relationship Id="rId2395" Type="http://schemas.openxmlformats.org/officeDocument/2006/relationships/hyperlink" Target="https://www.infobae.com/espana/2024/07/01/las-7-mejores-terrazas-a-pie-de-playa-en-la-comunidad-valenciana-mojitos-buena-musica-y-mejor-gastronomia/" TargetMode="External"/><Relationship Id="rId1065" Type="http://schemas.openxmlformats.org/officeDocument/2006/relationships/hyperlink" Target="https://www.abc.es/gastronomia/nuevos-soles-repsol-2024-mejores-restaurantes-espana-20240304185222-nt.html" TargetMode="External"/><Relationship Id="rId2396" Type="http://schemas.openxmlformats.org/officeDocument/2006/relationships/hyperlink" Target="https://www.lavozdeasturias.es/noticia/gastronomia/2024/06/30/bares-restaurantes-asturias-favoritos-dos-mejores-chefs-espana/00031719745705016750959.htm" TargetMode="External"/><Relationship Id="rId235" Type="http://schemas.openxmlformats.org/officeDocument/2006/relationships/hyperlink" Target="https://www.ondacero.es/noticias/economia/carlos-cuerpo-estrena-jornada-davos-choque-ribera-repsol-declaraciones-imaz_2024011865a948f5d8aa250001c7df34.html" TargetMode="External"/><Relationship Id="rId1066" Type="http://schemas.openxmlformats.org/officeDocument/2006/relationships/hyperlink" Target="https://www.estrategiasdeinversion.com/actualidad/noticias/bolsa-espana/iberdrola-y-repsol-la-cara-y-cruz-del-mercado-n-695099" TargetMode="External"/><Relationship Id="rId2397" Type="http://schemas.openxmlformats.org/officeDocument/2006/relationships/hyperlink" Target="https://www.elespanol.com/cocinillas/restaurantes/20240701/restaurante-playa-chiclana-frontera-mejores-carnes-pescados-parrilla-buen-precio/862163975_0.html" TargetMode="External"/><Relationship Id="rId234" Type="http://schemas.openxmlformats.org/officeDocument/2006/relationships/hyperlink" Target="https://www.latinspots.com/noticia/algo-nuevo-mueve-a-repsol-con-ddb-espaa/68757" TargetMode="External"/><Relationship Id="rId1067" Type="http://schemas.openxmlformats.org/officeDocument/2006/relationships/hyperlink" Target="https://www.elespanol.com/cocinillas/actualidad-gastronomica/20240306/unico-restaurante-sol-repsol-isla-hierro-inspirado-pasado-indigena/837416403_0.html" TargetMode="External"/><Relationship Id="rId2398" Type="http://schemas.openxmlformats.org/officeDocument/2006/relationships/hyperlink" Target="https://www.20minutos.es/lainformacion/consumo/repsol-alcanza-las-350-gasolineras-peninsula-con-combustible-100-renovable-5526896/" TargetMode="External"/><Relationship Id="rId233" Type="http://schemas.openxmlformats.org/officeDocument/2006/relationships/hyperlink" Target="https://www.lasexta.com/motor/noticias/este-combustible-permitira-coches-gasolina-seguir-circulando-espana-esta-venta_2024011865a7ef8fe5843000010b29e3.html" TargetMode="External"/><Relationship Id="rId1068" Type="http://schemas.openxmlformats.org/officeDocument/2006/relationships/hyperlink" Target="https://www.heraldodiariodesoria.es/soria/240306/158768/soles-repsol-iluminan-ano-cuatro-restaurantes-soria.html" TargetMode="External"/><Relationship Id="rId2399" Type="http://schemas.openxmlformats.org/officeDocument/2006/relationships/hyperlink" Target="https://cincodias.elpais.com/companias/2024-07-03/el-corte-ingles-vende-a-repsol-el-45-del-negocio-conjunto-de-estaciones-de-servicio.html" TargetMode="External"/><Relationship Id="rId232" Type="http://schemas.openxmlformats.org/officeDocument/2006/relationships/hyperlink" Target="https://www.capitalradio.es/noticias/empresas/descarbonizar-no-electrificar-imaz-repsol-davos_122329020.html" TargetMode="External"/><Relationship Id="rId1069" Type="http://schemas.openxmlformats.org/officeDocument/2006/relationships/hyperlink" Target="https://www.todoalicante.es/gastronomia/alicante-nuevos-soles-guia-repsol-20240304162825-nt.html" TargetMode="External"/><Relationship Id="rId1015" Type="http://schemas.openxmlformats.org/officeDocument/2006/relationships/hyperlink" Target="https://www.levante-emv.com/costera/2024/03/05/chef-setabense-aitor-lopez-primer-99054040.html" TargetMode="External"/><Relationship Id="rId2346" Type="http://schemas.openxmlformats.org/officeDocument/2006/relationships/hyperlink" Target="https://www.malagahoy.es/la-farola/restaurantes-malaga-recomiendan-grandes-chefs_0_2000698668.html" TargetMode="External"/><Relationship Id="rId3678" Type="http://schemas.openxmlformats.org/officeDocument/2006/relationships/hyperlink" Target="https://www.elespanol.com/invertia/empresas/energia/20241013/diesel-renovable-no-termina-triunfar-espana-pese-logrado-precios-similares-premium/892660968_0.html" TargetMode="External"/><Relationship Id="rId1016" Type="http://schemas.openxmlformats.org/officeDocument/2006/relationships/hyperlink" Target="https://www.elespanol.com/quincemil/vivir/gastrogalicia/20240305/restaurantes-coruna-recomendados-guia-repsol/837666793_0.html" TargetMode="External"/><Relationship Id="rId2347" Type="http://schemas.openxmlformats.org/officeDocument/2006/relationships/hyperlink" Target="https://www.guiarepsol.com/es/viajar/vamos-de-excursion/piscinas-naturales-la-codosera-badajoz/" TargetMode="External"/><Relationship Id="rId3677" Type="http://schemas.openxmlformats.org/officeDocument/2006/relationships/hyperlink" Target="https://www.elconfidencial.com/deportes/otros-deportes/2024-10-13/isidre-esteve-rally-dakar-repsol-toyota-rally-team-entrevista-marruecos_3978918/" TargetMode="External"/><Relationship Id="rId1017" Type="http://schemas.openxmlformats.org/officeDocument/2006/relationships/hyperlink" Target="https://www.lne.es/asturias/2024/03/04/son-nuevos-restaurantes-asturianos-han-99019226.html" TargetMode="External"/><Relationship Id="rId2348" Type="http://schemas.openxmlformats.org/officeDocument/2006/relationships/hyperlink" Target="https://www.elespanol.com/treintayseis/vivir/gastrogalicia/20240627/locales-top-provincia-ourense-cocineros-guia-repsol/866163804_0.html" TargetMode="External"/><Relationship Id="rId1018" Type="http://schemas.openxmlformats.org/officeDocument/2006/relationships/hyperlink" Target="https://cadenaser.com/comunitat-valenciana/2024/03/05/dos-chefs-de-xativa-se-estrenan-con-un-sol-guia-repsol-radio-xativa/" TargetMode="External"/><Relationship Id="rId2349" Type="http://schemas.openxmlformats.org/officeDocument/2006/relationships/hyperlink" Target="https://www.infobae.com/espana/2024/06/27/el-bar-preferido-de-angel-leon-para-desayunar-un-mollete-en-el-puerto-de-santa-maria-es-un-sitio-autentico-de-los-que-no-quedan-ya/" TargetMode="External"/><Relationship Id="rId3679" Type="http://schemas.openxmlformats.org/officeDocument/2006/relationships/hyperlink" Target="https://okdiario.com/gastronomia/mejor-restaurante-carretera-3-esta-cuenca-lleva-abierto-siglo-tiene-solete-repsol-13610292" TargetMode="External"/><Relationship Id="rId1019" Type="http://schemas.openxmlformats.org/officeDocument/2006/relationships/hyperlink" Target="https://eldigitalsur.com/vida-estilo/gastronomia-canaria/lajar-bello-primer-sol-repsol-2024/" TargetMode="External"/><Relationship Id="rId3670" Type="http://schemas.openxmlformats.org/officeDocument/2006/relationships/hyperlink" Target="https://efe.com/economia/2024-10-12/venezuela-sanciones-petroleras/" TargetMode="External"/><Relationship Id="rId2340" Type="http://schemas.openxmlformats.org/officeDocument/2006/relationships/hyperlink" Target="https://www.diaridetarragona.com/cultura/ocio/los-soletes-repsol-brillan-en-18-locales-de-la-provincia-DC20110201" TargetMode="External"/><Relationship Id="rId3672" Type="http://schemas.openxmlformats.org/officeDocument/2006/relationships/hyperlink" Target="https://www.eleconomista.es/energia/noticias/13030891/10/24/repsol-invierte-500-millones-en-espana-para-impulsar-su-apuesta-por-los-combustibles-100-renovables.html" TargetMode="External"/><Relationship Id="rId1010" Type="http://schemas.openxmlformats.org/officeDocument/2006/relationships/hyperlink" Target="https://cadenaser.com/andalucia/2024/03/05/atxa-el-primer-sol-de-la-guia-repsol-para-el-campo-de-gibraltar-radio-algeciras/" TargetMode="External"/><Relationship Id="rId2341" Type="http://schemas.openxmlformats.org/officeDocument/2006/relationships/hyperlink" Target="https://barcelonasecreta.com/soletes-repsol-barcelona-2024/" TargetMode="External"/><Relationship Id="rId3671" Type="http://schemas.openxmlformats.org/officeDocument/2006/relationships/hyperlink" Target="https://www.europapress.es/economia/noticia-repsol-invierte-500-millones-espana-impulsar-apuesta-combustibles-100-renovables-20241013103050.html" TargetMode="External"/><Relationship Id="rId1011" Type="http://schemas.openxmlformats.org/officeDocument/2006/relationships/hyperlink" Target="https://www.farodevigo.es/sociedad/2024/03/05/galicia-soles-repsol-2024-seis-nuevos-restaurantes-99025357.html" TargetMode="External"/><Relationship Id="rId2342" Type="http://schemas.openxmlformats.org/officeDocument/2006/relationships/hyperlink" Target="https://www.huelva24.com/gastronomia/soletes-repsol-2024-huelva-nuevos-locales-premiados-20240627174540-nth.html" TargetMode="External"/><Relationship Id="rId3674" Type="http://schemas.openxmlformats.org/officeDocument/2006/relationships/hyperlink" Target="https://www.murciadiario.com/articulo/empresas/repsol-sena-demanda-tecnologia-como-principales-frenos-combustibles-renovables/20241013124658116488.html" TargetMode="External"/><Relationship Id="rId1012" Type="http://schemas.openxmlformats.org/officeDocument/2006/relationships/hyperlink" Target="https://www.zamoranews.com/articulo/zamora/guia-repsol-avala-gastronomia-vanguardista-proximidad-cuzeo-primer-sol/20240305093325275954.html" TargetMode="External"/><Relationship Id="rId2343" Type="http://schemas.openxmlformats.org/officeDocument/2006/relationships/hyperlink" Target="https://valenciasecreta.com/soletes-repsol-verano-2024/" TargetMode="External"/><Relationship Id="rId3673" Type="http://schemas.openxmlformats.org/officeDocument/2006/relationships/hyperlink" Target="https://www.larazon.es/economia/11000-vueltas-mundo-aceite-cocina-usado_20241013670b45d4afcb530001e70716.html" TargetMode="External"/><Relationship Id="rId1013" Type="http://schemas.openxmlformats.org/officeDocument/2006/relationships/hyperlink" Target="https://www.ondacero.es/emisoras/comunidad-valenciana/alzira/audios-podcast/mas-de-uno/restaurante-origen-carcaixent-consigue-sol-guia-gastronomica-repsol_2024030565e71902dac8310001f3a849.html" TargetMode="External"/><Relationship Id="rId2344" Type="http://schemas.openxmlformats.org/officeDocument/2006/relationships/hyperlink" Target="https://www.elcorreogallego.es/concellos/2024/06/27/outes-brilla-soletes-guia-repsol-104315103.html" TargetMode="External"/><Relationship Id="rId3676" Type="http://schemas.openxmlformats.org/officeDocument/2006/relationships/hyperlink" Target="https://www.elperiodico.com/es/economia/20241013/petroleo-aceite-cocina-repsol-transformar-refinerias-sobrevivir-transicion-energetica-109210137" TargetMode="External"/><Relationship Id="rId1014" Type="http://schemas.openxmlformats.org/officeDocument/2006/relationships/hyperlink" Target="https://www.revistagranhotel.com/barcelo-obtiene-tres-nuevos-soles-repsol/" TargetMode="External"/><Relationship Id="rId2345" Type="http://schemas.openxmlformats.org/officeDocument/2006/relationships/hyperlink" Target="https://www.diariocordoba.com/cordoba-ciudad/2024/06/26/son-nuevos-soletes-cordoba-recomiendan-104350982.html" TargetMode="External"/><Relationship Id="rId3675" Type="http://schemas.openxmlformats.org/officeDocument/2006/relationships/hyperlink" Target="https://www.lavanguardia.com/dinero/20241013/10015289/refineria-quiere-decir-adios-petroleo.html" TargetMode="External"/><Relationship Id="rId1004" Type="http://schemas.openxmlformats.org/officeDocument/2006/relationships/hyperlink" Target="https://cadenaser.com/murcia/2024/03/05/estos-son-los-23-restaurantes-de-la-region-de-murcia-reconocidos-por-los-soles-de-la-guia-repsol-radio-murcia/" TargetMode="External"/><Relationship Id="rId2335" Type="http://schemas.openxmlformats.org/officeDocument/2006/relationships/hyperlink" Target="https://sevillasecreta.co/soletes-repsol-sevilla/" TargetMode="External"/><Relationship Id="rId3667" Type="http://schemas.openxmlformats.org/officeDocument/2006/relationships/hyperlink" Target="https://www.eldebate.com/economia/20241012/pnv-pendiente-decisiones-moncloa-sobre-intereses-cnmc-energeticas-talgo_235114.html" TargetMode="External"/><Relationship Id="rId4998" Type="http://schemas.openxmlformats.org/officeDocument/2006/relationships/hyperlink" Target="https://www.diariodevalderrueda.es/texto-diario/mostrar/5107768/cierra-historico-bar-mentidero-riano-leon" TargetMode="External"/><Relationship Id="rId1005" Type="http://schemas.openxmlformats.org/officeDocument/2006/relationships/hyperlink" Target="https://www.eldiasegovia.es/noticia/z8b2562ad-9a79-268a-65c63c37f133eedd/202403/estos-son-los-restaurantes-de-segovia-con-soles-repsol" TargetMode="External"/><Relationship Id="rId2336" Type="http://schemas.openxmlformats.org/officeDocument/2006/relationships/hyperlink" Target="http://www.canalextremadura.es/noticias/extremadura/trece-locales-extremenos-se-suman-la-distincion-de-los-soletes-de-la-guia" TargetMode="External"/><Relationship Id="rId3666" Type="http://schemas.openxmlformats.org/officeDocument/2006/relationships/hyperlink" Target="https://elcomercio.pe/publirreportaje/repsol-impulsando-el-desarrollo-sostenible-y-la-equidad-en-el-peru-noticia/" TargetMode="External"/><Relationship Id="rId4997" Type="http://schemas.openxmlformats.org/officeDocument/2006/relationships/hyperlink" Target="https://www.20minutos.es/lainformacion/economia-y-finanzas/cinco-pruebas-enfrenta-ibex-2025-5663428/" TargetMode="External"/><Relationship Id="rId1006" Type="http://schemas.openxmlformats.org/officeDocument/2006/relationships/hyperlink" Target="https://www.elcorreogallego.es/santiago/2024/03/05/axel-smyth-simpar-luce-sol-99021634.html" TargetMode="External"/><Relationship Id="rId2337" Type="http://schemas.openxmlformats.org/officeDocument/2006/relationships/hyperlink" Target="https://www.laopiniondemurcia.es/comunidad/2024/06/26/son-siete-restaurantes-region-reconocidos-104305883.html" TargetMode="External"/><Relationship Id="rId3669" Type="http://schemas.openxmlformats.org/officeDocument/2006/relationships/hyperlink" Target="https://www.elespanol.com/aragon/vivir/20241012/mitico-restaurante-carretera-parar-pasas-zaragoza-famoso-torreznos-trt/892661186_0.html" TargetMode="External"/><Relationship Id="rId1007" Type="http://schemas.openxmlformats.org/officeDocument/2006/relationships/hyperlink" Target="https://jacetaniaexpress.com/la-era-de-los-nogales-de-sardas-y-tono-rodriguez-se-hacen-con-un-sol-de-la-guia-repsol/" TargetMode="External"/><Relationship Id="rId2338" Type="http://schemas.openxmlformats.org/officeDocument/2006/relationships/hyperlink" Target="https://www.infobae.com/espana/2024/06/28/el-mapa-con-las-mejores-heladerias-de-espana-segun-los-cocineros-de-la-guia-repsol/" TargetMode="External"/><Relationship Id="rId3668" Type="http://schemas.openxmlformats.org/officeDocument/2006/relationships/hyperlink" Target="https://www.relevo.com/rallies/isidre-esteve-firma-mejor-rally-20241011223000-nt.html" TargetMode="External"/><Relationship Id="rId4999" Type="http://schemas.openxmlformats.org/officeDocument/2006/relationships/hyperlink" Target="https://www.larazon.es/economia/muere-javier-echenique-vicepresidente-telefonica-derrame-cerebral_20241215675ed6fac2280e00010352b2.html" TargetMode="External"/><Relationship Id="rId1008" Type="http://schemas.openxmlformats.org/officeDocument/2006/relationships/hyperlink" Target="https://www.20minutos.es/gastronomia/restaurantes/guia-repsol-tres-soles-begona-rodrigo-la-salita-5223601/" TargetMode="External"/><Relationship Id="rId2339" Type="http://schemas.openxmlformats.org/officeDocument/2006/relationships/hyperlink" Target="https://www.lavozdelanzarote.com/ekonomus/gourmet/seis-locales-lanzarote-con-solete-repsol-que-recomiendan-cocineros_227457_102.html" TargetMode="External"/><Relationship Id="rId1009" Type="http://schemas.openxmlformats.org/officeDocument/2006/relationships/hyperlink" Target="https://www.harpersbazaar.com/es/cultura/viajes-planes/a60088299/restaurante-valencia-tres-soles-repsol-la-salita-que-comer-precio/" TargetMode="External"/><Relationship Id="rId4990" Type="http://schemas.openxmlformats.org/officeDocument/2006/relationships/hyperlink" Target="https://www.mallorcadiario.com/un-centenar-de-personas-y-once-prestigiosos-chefs-protagonistas-de-una-cena-benefica-por-valencia" TargetMode="External"/><Relationship Id="rId3661" Type="http://schemas.openxmlformats.org/officeDocument/2006/relationships/hyperlink" Target="https://www.guiarepsol.com/es/viajar/vamos-de-excursion/montana-de-sal-de-cardona-barcelona/" TargetMode="External"/><Relationship Id="rId4992" Type="http://schemas.openxmlformats.org/officeDocument/2006/relationships/hyperlink" Target="https://www.infobae.com/america/agencias/2024/12/14/gobierno-de-bengasi-las-injerencias-internacionales-impiden-solucionar-la-crisisl-libia/" TargetMode="External"/><Relationship Id="rId2330" Type="http://schemas.openxmlformats.org/officeDocument/2006/relationships/hyperlink" Target="https://www.lacronicabadajoz.com/badajoz/2024/06/27/son-seis-restaurantes-badajoz-galardonados-104378037.html" TargetMode="External"/><Relationship Id="rId3660" Type="http://schemas.openxmlformats.org/officeDocument/2006/relationships/hyperlink" Target="https://www.elespanol.com/reportajes/20241011/victimas-banda-porsche-cayenne-desvalijando-campo-cartagena-miedo/892660967_0.html" TargetMode="External"/><Relationship Id="rId4991" Type="http://schemas.openxmlformats.org/officeDocument/2006/relationships/hyperlink" Target="https://www.informacion.es/alicante/2024/12/14/depositos-campsa-puerto-alicante-terrenos-contaminados-contaminacion-112604400.html" TargetMode="External"/><Relationship Id="rId1000" Type="http://schemas.openxmlformats.org/officeDocument/2006/relationships/hyperlink" Target="https://www.20minutos.es/gastronomia/recetas/soles-guia-repsol-2024-menu-vegetal-local-ensayo-5224032/" TargetMode="External"/><Relationship Id="rId2331" Type="http://schemas.openxmlformats.org/officeDocument/2006/relationships/hyperlink" Target="https://www.diariodesevilla.es/sociedad/repsol-ofrece-descuento-recoger-paquetes_0_2000684112.html" TargetMode="External"/><Relationship Id="rId3663" Type="http://schemas.openxmlformats.org/officeDocument/2006/relationships/hyperlink" Target="https://www.businessinsider.es/tecnologia/puede-ahorrar-tiempo-ia-empresa-espanola-firma-ibex-ha-puesto-prueba-550-empleados-1411065" TargetMode="External"/><Relationship Id="rId4994" Type="http://schemas.openxmlformats.org/officeDocument/2006/relationships/hyperlink" Target="https://www.elespanol.com/castilla-y-leon/region/leon/20241215/adios-conocido-bar-solete-repsol-pueblo-leon-tortillas-enamoran/908909205_0.html" TargetMode="External"/><Relationship Id="rId1001" Type="http://schemas.openxmlformats.org/officeDocument/2006/relationships/hyperlink" Target="https://www.laprovincia.es/ocio/gastronomia/2024/03/05/soles-guia-repsol-2024-listado-completo-restaurantes-premiados-canarias-dv-99047452.html" TargetMode="External"/><Relationship Id="rId2332" Type="http://schemas.openxmlformats.org/officeDocument/2006/relationships/hyperlink" Target="https://www.elpublicista.es/anunciantes/repsol-quiere-aproveches-combustibles-100-renovables" TargetMode="External"/><Relationship Id="rId3662" Type="http://schemas.openxmlformats.org/officeDocument/2006/relationships/hyperlink" Target="https://www.economiadigital.es/empresas/repsol-gasolina-renovable-500-millones-inversion.html" TargetMode="External"/><Relationship Id="rId4993" Type="http://schemas.openxmlformats.org/officeDocument/2006/relationships/hyperlink" Target="https://www.merca2.es/2024/12/15/haribo-coca-cola-repsol-galp-2090738/" TargetMode="External"/><Relationship Id="rId1002" Type="http://schemas.openxmlformats.org/officeDocument/2006/relationships/hyperlink" Target="https://periodicontinyent.com/es/la-gu%C3%ADa-repsol-da-un-solete-a-la-cocina-y-recomienda-el-tinell/" TargetMode="External"/><Relationship Id="rId2333" Type="http://schemas.openxmlformats.org/officeDocument/2006/relationships/hyperlink" Target="https://www.huelvainformacion.es/destino-huelva/bar-huelva-vida-guia-repsol_0_2000685877.html" TargetMode="External"/><Relationship Id="rId3665" Type="http://schemas.openxmlformats.org/officeDocument/2006/relationships/hyperlink" Target="https://www.farodevigo.es/visado/gastronomia/2024/10/12/cocteleria-vigo-solete-guia-repsol-dv-109167433.html" TargetMode="External"/><Relationship Id="rId4996" Type="http://schemas.openxmlformats.org/officeDocument/2006/relationships/hyperlink" Target="https://www.levante-emv.com/sociedad/2024/12/15/gasolineras-baratas-autoservicio-multa-reglamento-circulacion-dv-108915149.html" TargetMode="External"/><Relationship Id="rId1003" Type="http://schemas.openxmlformats.org/officeDocument/2006/relationships/hyperlink" Target="https://theobjective.com/gastronomia/2024-03-05/salita-begona-rodrigo-tres-soles-repsol/" TargetMode="External"/><Relationship Id="rId2334" Type="http://schemas.openxmlformats.org/officeDocument/2006/relationships/hyperlink" Target="https://www.guiarepsol.com/es/soletes/entrega-soletes-verano-2024-lorca-region-de-murcia/" TargetMode="External"/><Relationship Id="rId3664" Type="http://schemas.openxmlformats.org/officeDocument/2006/relationships/hyperlink" Target="https://www.elconfidencial.com/empresas/2024-10-12/diesel-motor-combustion-cartagena-refineria_3981289/" TargetMode="External"/><Relationship Id="rId4995" Type="http://schemas.openxmlformats.org/officeDocument/2006/relationships/hyperlink" Target="https://cambiocolombia.com/puntos-de-vista/ecopetrol-y-las-malas-decisiones" TargetMode="External"/><Relationship Id="rId1037" Type="http://schemas.openxmlformats.org/officeDocument/2006/relationships/hyperlink" Target="https://www.eldiario.es/canariasahora/por-fogones/noticias/restaurantes-etereo-by-pedro-nel-cupula-tenerife-reciben-segundo-sol-guia-repsol_1_10981172.html" TargetMode="External"/><Relationship Id="rId2368" Type="http://schemas.openxmlformats.org/officeDocument/2006/relationships/hyperlink" Target="https://www.elcomercio.es/sociedad/pescadores-lastres-primera-20240629224350-nt.html" TargetMode="External"/><Relationship Id="rId1038" Type="http://schemas.openxmlformats.org/officeDocument/2006/relationships/hyperlink" Target="https://www.utreraweb.com/noticias-de-utrera/local/2024/17725/el-restaurante-besana-tapas-de-utrera-renueva-su-distincion-de-restaurante-recomendado-de-la-guia-repsol-2024/" TargetMode="External"/><Relationship Id="rId2369" Type="http://schemas.openxmlformats.org/officeDocument/2006/relationships/hyperlink" Target="https://elpueblodeceuta.es/art/95609/el-chef-ceuti-hugo-ruiz-habla-a-la-guia-repsol-de-la-terraza-de-menchu-y-le-otorga-un-solete" TargetMode="External"/><Relationship Id="rId3699" Type="http://schemas.openxmlformats.org/officeDocument/2006/relationships/hyperlink" Target="https://www.guiarepsol.com/es/viajar/vamos-de-excursion/busqueda-perdido-blackwater-espana/" TargetMode="External"/><Relationship Id="rId1039" Type="http://schemas.openxmlformats.org/officeDocument/2006/relationships/hyperlink" Target="https://www.elespanol.com/valencia/ocio/20240305/restaurante-valencia-cocina-brasa-llevado-sol-repsol-ritual-exito/837666349_0.html" TargetMode="External"/><Relationship Id="rId206" Type="http://schemas.openxmlformats.org/officeDocument/2006/relationships/hyperlink" Target="https://www.eldiario.es/motor/tecnologia/repsol-pone-venta-gasolina-renovable-apta-coche_1_10845818.html" TargetMode="External"/><Relationship Id="rId205" Type="http://schemas.openxmlformats.org/officeDocument/2006/relationships/hyperlink" Target="https://www.larazon.es/economia/repsol-suma-gasolina-renovable-oferta-biocarburantes-igual-precio-que-premium-convencional_2024011765a66b61872b820001a6e4d3.html" TargetMode="External"/><Relationship Id="rId204" Type="http://schemas.openxmlformats.org/officeDocument/2006/relationships/hyperlink" Target="https://www.marketingnews.es/marcas/noticia/1181385054305/marc-marquez-angel-leon-y-laia-costa-protagonizan-ultima-campana-de-repsol.1.html" TargetMode="External"/><Relationship Id="rId203" Type="http://schemas.openxmlformats.org/officeDocument/2006/relationships/hyperlink" Target="https://controlpublicidad.com/campanas-publicitarias/repsol-anuncia-sus-nuevos-combustibles-renovables/" TargetMode="External"/><Relationship Id="rId209" Type="http://schemas.openxmlformats.org/officeDocument/2006/relationships/hyperlink" Target="https://www.elpublicista.es/anunciantes/repsol-mueve-nuevo-combustibles-100-renovables" TargetMode="External"/><Relationship Id="rId208" Type="http://schemas.openxmlformats.org/officeDocument/2006/relationships/hyperlink" Target="https://www.elespanol.com/motor/20240117/repsol-lanza-gasolina-sin-petroleo-neutra-co2-pueden-utilizar-coches/825417770_0.html" TargetMode="External"/><Relationship Id="rId3690" Type="http://schemas.openxmlformats.org/officeDocument/2006/relationships/hyperlink" Target="https://www.larazon.es/editoriales/caras-noticia-14-octubre-2024_20241014670c4545e2e54f00017fa130.html" TargetMode="External"/><Relationship Id="rId207" Type="http://schemas.openxmlformats.org/officeDocument/2006/relationships/hyperlink" Target="https://okdiario.com/economia/repsol-tira-precios-litro-gasolina-renovable-costara-lo-mismo-que-combustible-mas-premium-12222978" TargetMode="External"/><Relationship Id="rId2360" Type="http://schemas.openxmlformats.org/officeDocument/2006/relationships/hyperlink" Target="https://www.guiarepsol.com/es/comer/nuestros-favoritos/restaurante-sol-post-formentera/" TargetMode="External"/><Relationship Id="rId3692" Type="http://schemas.openxmlformats.org/officeDocument/2006/relationships/hyperlink" Target="https://www.xunta.gal/es/notas-de-prensa/-/nova/006241/xunta-organiza-con-exito-simulacro-repsol-butano-que-participaron-alrededor-cien" TargetMode="External"/><Relationship Id="rId1030" Type="http://schemas.openxmlformats.org/officeDocument/2006/relationships/hyperlink" Target="https://www.elconfidencial.com/espana/comunidad-valenciana/2024-03-05/carta-la-salita-valencia-restaurante-3-soles-repsol_3842716/" TargetMode="External"/><Relationship Id="rId2361" Type="http://schemas.openxmlformats.org/officeDocument/2006/relationships/hyperlink" Target="https://cronicaglobal.elespanol.com/gastronomia/20240628/unico-buffet-cataluna-aparece-guia-repsol-exquisitos/866163469_0.html" TargetMode="External"/><Relationship Id="rId3691" Type="http://schemas.openxmlformats.org/officeDocument/2006/relationships/hyperlink" Target="https://eldinero.com.do/298899/la-produccion-petrolera-de-venezuela-sube-un-3-2-el-tercer-trimestre-respecto-al-segundo/" TargetMode="External"/><Relationship Id="rId1031" Type="http://schemas.openxmlformats.org/officeDocument/2006/relationships/hyperlink" Target="https://www.astorgadigital.com/el-restaurante-serrano-de-astorga-revalida-un-ano-mas-su-sol-repsol/" TargetMode="External"/><Relationship Id="rId2362" Type="http://schemas.openxmlformats.org/officeDocument/2006/relationships/hyperlink" Target="https://www.diariodecadiz.es/cadizfornia/taberna-cadiz-vida-recomienda-guia_0_2000842759.html" TargetMode="External"/><Relationship Id="rId3694" Type="http://schemas.openxmlformats.org/officeDocument/2006/relationships/hyperlink" Target="https://elperiodicodelaenergia.com/la-hoja-de-ruta-de-descarbonizacion-a-2030-de-petronor-repsol-cuenta-con-una-inversion-de-1-127-millones/" TargetMode="External"/><Relationship Id="rId1032" Type="http://schemas.openxmlformats.org/officeDocument/2006/relationships/hyperlink" Target="https://www.diariodeibiza.es/ibiza/2024/03/05/nuevos-restaurantes-ibiza-formentera-obtienen-99033466.html" TargetMode="External"/><Relationship Id="rId2363" Type="http://schemas.openxmlformats.org/officeDocument/2006/relationships/hyperlink" Target="https://cadenaser.com/nacional/2024/06/28/que-hay-detras-de-un-festival-de-musica-asi-se-monta-una-ciudad-millennial-para-35000-personas-cadena-ser/" TargetMode="External"/><Relationship Id="rId3693" Type="http://schemas.openxmlformats.org/officeDocument/2006/relationships/hyperlink" Target="https://www.expansion.com/empresas/energia/2024/10/15/670d8005e5fdeae2358b4585.html" TargetMode="External"/><Relationship Id="rId202" Type="http://schemas.openxmlformats.org/officeDocument/2006/relationships/hyperlink" Target="https://elperiodicodelaenergia.com/repsol-incrementa-produccion-89-2023-hasta-599-000-barriles-diarios-2023/" TargetMode="External"/><Relationship Id="rId1033" Type="http://schemas.openxmlformats.org/officeDocument/2006/relationships/hyperlink" Target="https://www.ondacero.es/emisoras/castilla-la-mancha/cuenca/noticias/dos-soles-repsol-restaurante-casas-colgadas-cuenca_2024030565e6dcacd3310300012789ab.html" TargetMode="External"/><Relationship Id="rId2364" Type="http://schemas.openxmlformats.org/officeDocument/2006/relationships/hyperlink" Target="https://www.boxrepsol.com/es/motogp/resultados-entrenamientos-gp-paises-bajos-motogp-2024/" TargetMode="External"/><Relationship Id="rId3696" Type="http://schemas.openxmlformats.org/officeDocument/2006/relationships/hyperlink" Target="https://www.diariodenavarra.es/noticias/vivir/gastronomia/2024/10/15/tortilla-patata-pamplona-guia-repsol-recomienda-17-mejores-espana-625556-3192.html" TargetMode="External"/><Relationship Id="rId201" Type="http://schemas.openxmlformats.org/officeDocument/2006/relationships/hyperlink" Target="https://www.actualidadambiental.pe/comision-de-pueblos-presento-informe-sobre-acciones-de-repsol-y-el-estado-ante-el-derrame-de-petroleo/" TargetMode="External"/><Relationship Id="rId1034" Type="http://schemas.openxmlformats.org/officeDocument/2006/relationships/hyperlink" Target="https://www.elespanol.com/quincemil/vivir/gastrogalicia/20240305/balares-ponteceso-coruna-nuevos-soles-repsol-costa-da-morte/837666785_0.html" TargetMode="External"/><Relationship Id="rId2365" Type="http://schemas.openxmlformats.org/officeDocument/2006/relationships/hyperlink" Target="https://www.lavozdegalicia.es/noticia/barbanza/2024/06/28/soletes-repsol-rescatan-tradicion/0003_202406B28C3991.htm" TargetMode="External"/><Relationship Id="rId3695" Type="http://schemas.openxmlformats.org/officeDocument/2006/relationships/hyperlink" Target="https://www.estrategiasdeinversion.com/actualidad/noticias/bolsa-espana/analisis-de-las-acciones-de-repsol-en-bolsa-n-752195" TargetMode="External"/><Relationship Id="rId200" Type="http://schemas.openxmlformats.org/officeDocument/2006/relationships/hyperlink" Target="https://elbuho.pe/2024/01/derrame-en-ventanilla-playas-afectadas-por-repsol-aun-esperan-recuperacion/" TargetMode="External"/><Relationship Id="rId1035" Type="http://schemas.openxmlformats.org/officeDocument/2006/relationships/hyperlink" Target="https://vivaelpuerto.es/el-puerto/1580716/el-puerto-brilla-en-la-gala-de-la-guia-repsol-con-un-total-de-siete-soles/" TargetMode="External"/><Relationship Id="rId2366" Type="http://schemas.openxmlformats.org/officeDocument/2006/relationships/hyperlink" Target="https://infopuertos.com/trasmapi-repsol-pruebas-combustible-100-renovable/" TargetMode="External"/><Relationship Id="rId3698" Type="http://schemas.openxmlformats.org/officeDocument/2006/relationships/hyperlink" Target="https://www.comillas.edu/noticias/directiva-csddd-sobre-diligencia-debida-en-materia-de-sostenibilidad/" TargetMode="External"/><Relationship Id="rId1036" Type="http://schemas.openxmlformats.org/officeDocument/2006/relationships/hyperlink" Target="https://www.europapress.es/turismo/hoteles/noticia-restaurante-gastronomic-1497-ecoresort-mas-salagros-brilla-sol-repsol-20240305160249.html" TargetMode="External"/><Relationship Id="rId2367" Type="http://schemas.openxmlformats.org/officeDocument/2006/relationships/hyperlink" Target="https://www.epe.es/es/activos/20240629/ibex-35-reparte-4-850-104468458" TargetMode="External"/><Relationship Id="rId3697" Type="http://schemas.openxmlformats.org/officeDocument/2006/relationships/hyperlink" Target="https://cadenaser.com/galicia/2024/10/15/300-mil-moviles-de-a-coruna-y-arteixo-reciben-la-alerta-por-simulacro-en-la-planta-de-butano-de-repsol-en-nostian-radio-coruna/" TargetMode="External"/><Relationship Id="rId1026" Type="http://schemas.openxmlformats.org/officeDocument/2006/relationships/hyperlink" Target="https://www.ondacero.es/noticias/gastronomia/begona-rodrigo-salita-casa-feliz-volveria-planchar-manteles-dormir-fregar-platos_2024030565e6f721dac8310001f33628.html" TargetMode="External"/><Relationship Id="rId2357" Type="http://schemas.openxmlformats.org/officeDocument/2006/relationships/hyperlink" Target="https://www.economiadigital.es/empresas/repsol-negocia-con-neo-energy-fusionar-su-negocio-en-el-mar-del-norte-en-plenas-elecciones.html" TargetMode="External"/><Relationship Id="rId3689" Type="http://schemas.openxmlformats.org/officeDocument/2006/relationships/hyperlink" Target="https://www.eldebate.com/estilo-vida/restaurantes/20241014/restaurante-chino-madrid-buen-precio-sol-repsol_235027.html" TargetMode="External"/><Relationship Id="rId1027" Type="http://schemas.openxmlformats.org/officeDocument/2006/relationships/hyperlink" Target="https://www.biosferadigital.com/articulo/sociedad/gastronomia-lanzarote-suma-nuevo-sol-guia-repsol/20240305082847135723.html" TargetMode="External"/><Relationship Id="rId2358" Type="http://schemas.openxmlformats.org/officeDocument/2006/relationships/hyperlink" Target="https://www.diariodesevilla.es/vivirensevilla/soletes-guia-repsol-sevilla-2024_0_2000868117.html" TargetMode="External"/><Relationship Id="rId3688" Type="http://schemas.openxmlformats.org/officeDocument/2006/relationships/hyperlink" Target="https://www.elespanol.com/quincemil/a-coruna/20241014/sonido-insoportable-alerta-moviles-coruna-puede-desactivarse/893160723_0.html" TargetMode="External"/><Relationship Id="rId1028" Type="http://schemas.openxmlformats.org/officeDocument/2006/relationships/hyperlink" Target="https://www.malagahoy.es/la-farola/novedades-restaurantes-recomendados-Malaga-Guia-Repsol_0_1881713826.html" TargetMode="External"/><Relationship Id="rId2359" Type="http://schemas.openxmlformats.org/officeDocument/2006/relationships/hyperlink" Target="https://www.comillas.edu/noticias/soluciones-tecnologicas-para-el-despliegue-de-proyectos-de-biometano/" TargetMode="External"/><Relationship Id="rId1029" Type="http://schemas.openxmlformats.org/officeDocument/2006/relationships/hyperlink" Target="https://www.regiondigital.com/noticias/portada/391704-el-restaurante-cacereno-borona-bistro-se-alza-con-un-sol-repsol.html" TargetMode="External"/><Relationship Id="rId3681" Type="http://schemas.openxmlformats.org/officeDocument/2006/relationships/hyperlink" Target="https://okdiario.com/economia/gobierno-tantea-ifm-repsol-que-compren-40-que-tienen-fondos-inversion-naturgy-13615221" TargetMode="External"/><Relationship Id="rId2350" Type="http://schemas.openxmlformats.org/officeDocument/2006/relationships/hyperlink" Target="https://www.elespanol.com/madrid/ocio/20240627/nuevo-restaurante-lavapies-ganado-prestigioso-premio-solo-meses-menu-eur/865913807_0.html" TargetMode="External"/><Relationship Id="rId3680" Type="http://schemas.openxmlformats.org/officeDocument/2006/relationships/hyperlink" Target="https://www.eleconomista.es/energia/noticias/13032327/10/24/repsol-a-la-espera-de-una-nueva-desaladora-para-dar-suministro-a-su-electrolizador-de-cartagena.html" TargetMode="External"/><Relationship Id="rId1020" Type="http://schemas.openxmlformats.org/officeDocument/2006/relationships/hyperlink" Target="https://www.menorca.info/menorca/vivir-menorca/2024/03/05/2118323/cuatro-restaurantes-menorca-mantienen-elite-guia-repsol-este-ano.html" TargetMode="External"/><Relationship Id="rId2351" Type="http://schemas.openxmlformats.org/officeDocument/2006/relationships/hyperlink" Target="https://www.gob.pe/institucion/minem/noticias/979068-minem-inaugura-estacion-de-carga-electrica-promoviendo-la-diversificacion-de-la-matriz-energetica" TargetMode="External"/><Relationship Id="rId3683" Type="http://schemas.openxmlformats.org/officeDocument/2006/relationships/hyperlink" Target="https://www.epe.es/es/activos/20241014/repsol-invierte-500-millones-espana-dv-109294751" TargetMode="External"/><Relationship Id="rId1021" Type="http://schemas.openxmlformats.org/officeDocument/2006/relationships/hyperlink" Target="https://cadenaser.com/castillalamancha/2024/03/05/restaurante-ancestral-illescas-de-buscar-un-alquiler-asequible-a-lograr-una-estrella-michelin-y-un-sol-repsol-ser-toledo/" TargetMode="External"/><Relationship Id="rId2352" Type="http://schemas.openxmlformats.org/officeDocument/2006/relationships/hyperlink" Target="https://www.eleconomista.es/energia/noticias/12887923/06/24/repsol-negocia-la-venta-de-un-campo-petrolifero-en-texas-por-hasta-914-millones.html" TargetMode="External"/><Relationship Id="rId3682" Type="http://schemas.openxmlformats.org/officeDocument/2006/relationships/hyperlink" Target="https://cadenaser.com/galicia/2024/10/10/la-planta-de-repsol-butano-en-a-coruna-realizara-un-simulacro-con-aviso-en-los-moviles-el-proximo-15-de-octubre-radio-coruna/" TargetMode="External"/><Relationship Id="rId1022" Type="http://schemas.openxmlformats.org/officeDocument/2006/relationships/hyperlink" Target="https://www.lavozdegalicia.es/noticia/ferrol/ferrol/2024/03/06/club-soles-repsol-ferrol-companeros-merecen-/0003_202403F6C5992.htm" TargetMode="External"/><Relationship Id="rId2353" Type="http://schemas.openxmlformats.org/officeDocument/2006/relationships/hyperlink" Target="https://www.fundacionrepsol.com/es/noticias/conmemoracion-dia-mundial-del-arbol/" TargetMode="External"/><Relationship Id="rId3685" Type="http://schemas.openxmlformats.org/officeDocument/2006/relationships/hyperlink" Target="https://www.expansion.com/juridico/actualidad-tendencias/2024/10/14/670d4cb4e5fdea863d8b4587.html" TargetMode="External"/><Relationship Id="rId1023" Type="http://schemas.openxmlformats.org/officeDocument/2006/relationships/hyperlink" Target="https://cadenaser.com/rioja/2024/03/05/la-rioja-suma-cinco-soles-repsol-a-su-musculo-gastronomico-radio-rioja/" TargetMode="External"/><Relationship Id="rId2354" Type="http://schemas.openxmlformats.org/officeDocument/2006/relationships/hyperlink" Target="https://www.finect.com/usuario/alicia-navarro/articulos/oleada-de-dividendos-en-julio-iberdrola-repsol-y-endesa-haran-los-mayores-pagos" TargetMode="External"/><Relationship Id="rId3684" Type="http://schemas.openxmlformats.org/officeDocument/2006/relationships/hyperlink" Target="https://www.guiarepsol.com/es/comer/nuestros-favoritos/restaurante-el-paladar-portugalete/" TargetMode="External"/><Relationship Id="rId1024" Type="http://schemas.openxmlformats.org/officeDocument/2006/relationships/hyperlink" Target="https://villafranca.hoy.es/restaurante-atxa-tarifa-villafranquesa-laura-garcia-logra-20240305194610-nt.html" TargetMode="External"/><Relationship Id="rId2355" Type="http://schemas.openxmlformats.org/officeDocument/2006/relationships/hyperlink" Target="https://www.lavozdegalicia.es/noticia/coruna/vivir-coruna/2024/06/27/solete-repsol-guinda-tortillas-lena-casa-tome-ante-proximo-cierre-me-da-pena-quiera-continuar/00031719502202296382836.htm" TargetMode="External"/><Relationship Id="rId3687" Type="http://schemas.openxmlformats.org/officeDocument/2006/relationships/hyperlink" Target="https://elperiodicodelaenergia.com/venezuela-incrementa-su-produccion-petrolera-un-3-2-en-el-tercer-trimestre/" TargetMode="External"/><Relationship Id="rId1025" Type="http://schemas.openxmlformats.org/officeDocument/2006/relationships/hyperlink" Target="https://cadenaser.com/nacional/2024/03/06/la-historia-de-babacar-fall-el-primer-chef-senegales-que-triunfa-en-espana-con-un-sol-repsol-cadena-ser/" TargetMode="External"/><Relationship Id="rId2356" Type="http://schemas.openxmlformats.org/officeDocument/2006/relationships/hyperlink" Target="https://www.granadahoy.com/vivir/nuevos-soletes-repsol-granada-bares-restaurantes_0_2000816369.html" TargetMode="External"/><Relationship Id="rId3686" Type="http://schemas.openxmlformats.org/officeDocument/2006/relationships/hyperlink" Target="https://es.investing.com/analysis/niveles-en-iag-iberdrola-inditex-telefonica-repsol-y-mas-200473079" TargetMode="External"/><Relationship Id="rId4161" Type="http://schemas.openxmlformats.org/officeDocument/2006/relationships/hyperlink" Target="https://transporte3.com/noticia/21289-repsol-mi-solred-ha-evolucionado-mucho-este-ano/" TargetMode="External"/><Relationship Id="rId4160" Type="http://schemas.openxmlformats.org/officeDocument/2006/relationships/hyperlink" Target="https://www.energias-renovables.com/panorama/estas-son-las-compaias-energeticas-que-han-20241105" TargetMode="External"/><Relationship Id="rId4163" Type="http://schemas.openxmlformats.org/officeDocument/2006/relationships/hyperlink" Target="https://www.20minutos.es/gastronomia/restaurantes/kebab-cordero-halal-momo-5650735/" TargetMode="External"/><Relationship Id="rId4162" Type="http://schemas.openxmlformats.org/officeDocument/2006/relationships/hyperlink" Target="https://cordopolis.eldiario.es/cordoba-hoy/sociedad/puerta-puente-cordoba-acogera-gala-entrega-soletes-repsol_1_11792588.html" TargetMode="External"/><Relationship Id="rId4165" Type="http://schemas.openxmlformats.org/officeDocument/2006/relationships/hyperlink" Target="https://www.larazon.es/sociedad/este-nuevo-combustible-que-llega-gasolineras-promesa-revitalizar-motores-diesel_20241105672a3d8e39a16c0001a28129.html" TargetMode="External"/><Relationship Id="rId4164" Type="http://schemas.openxmlformats.org/officeDocument/2006/relationships/hyperlink" Target="https://www.merca2.es/2024/11/05/repsol-ia-generativa-2056060/" TargetMode="External"/><Relationship Id="rId4167" Type="http://schemas.openxmlformats.org/officeDocument/2006/relationships/hyperlink" Target="https://www.cronista.com/espana/viajes-recetas/donde-comer-en-asturias-la-mejor-fabada-de-la-region-esta-en-un-restaurante-que-tiene-una-estrella-michelin-y-3-soles-de-la-guia-repsol/" TargetMode="External"/><Relationship Id="rId4166" Type="http://schemas.openxmlformats.org/officeDocument/2006/relationships/hyperlink" Target="https://www.estrategiasdeinversion.com/actualidad/noticias/bolsa-espana/el-ibex-35-lucha-por-aguantar-los-11800-con-todas-n-758869" TargetMode="External"/><Relationship Id="rId4169" Type="http://schemas.openxmlformats.org/officeDocument/2006/relationships/hyperlink" Target="https://www.abc.es/gurme/cordoba/cordoba-convierte-capital-gastronomica-entrega-soletes-guia-20241105205519-nts.html" TargetMode="External"/><Relationship Id="rId4168" Type="http://schemas.openxmlformats.org/officeDocument/2006/relationships/hyperlink" Target="https://www.granadahoy.com/vivir/afirman-expertos-son-mejores-bares_0_2002716511.html" TargetMode="External"/><Relationship Id="rId4150" Type="http://schemas.openxmlformats.org/officeDocument/2006/relationships/hyperlink" Target="https://www.cronista.com/espana/ibex-euro/repsol-asi-abre-la-cotizacion-hoy-lunes-04-de-noviembre-cuanto-rinden-los-dividendos/" TargetMode="External"/><Relationship Id="rId4152" Type="http://schemas.openxmlformats.org/officeDocument/2006/relationships/hyperlink" Target="https://www.libremercado.com/2024-11-04/las-empresas-que-mas-estan-ayudando-con-la-dana-7182392/" TargetMode="External"/><Relationship Id="rId4151" Type="http://schemas.openxmlformats.org/officeDocument/2006/relationships/hyperlink" Target="https://www.eldebate.com/motor/20241104/llega-gasolineras-nuevo-combustible-promete-salvar-coches-diesel_240679.html" TargetMode="External"/><Relationship Id="rId4154" Type="http://schemas.openxmlformats.org/officeDocument/2006/relationships/hyperlink" Target="https://www.diaridetarragona.com/economia/la-petroquimica-de-tarragona-recupera-la-normalidad-tras-una-noche-intensa-GA21745157" TargetMode="External"/><Relationship Id="rId4153" Type="http://schemas.openxmlformats.org/officeDocument/2006/relationships/hyperlink" Target="https://www.elespanol.com/invertia/empresas/energia/20241104/batalla-comercial-luz-gas-arrebata-iberdrola-endesa-clientes/898410217_0.html" TargetMode="External"/><Relationship Id="rId4156" Type="http://schemas.openxmlformats.org/officeDocument/2006/relationships/hyperlink" Target="https://www.reasonwhy.es/actualidad/repsol-facilita-centro-coordinador-emergencia-todos-recursos-ayudar-dana-2024" TargetMode="External"/><Relationship Id="rId4155" Type="http://schemas.openxmlformats.org/officeDocument/2006/relationships/hyperlink" Target="https://inforegion.pe/equipo-de-tingo-maria-destaca-en-torneo-de-futbol-femenino-sub-13/" TargetMode="External"/><Relationship Id="rId4158" Type="http://schemas.openxmlformats.org/officeDocument/2006/relationships/hyperlink" Target="https://www.abc.es/espana/andalucia/cordoba/cordoba-acogera-entrega-soletes-guia-repsol-otono-20241105125549-nts.html" TargetMode="External"/><Relationship Id="rId4157" Type="http://schemas.openxmlformats.org/officeDocument/2006/relationships/hyperlink" Target="https://www.ideal.es/economia/mi-hucha/aviso-repsol-conductores-coches-diesel-descuento-580-20241105121521-nt.html" TargetMode="External"/><Relationship Id="rId4159" Type="http://schemas.openxmlformats.org/officeDocument/2006/relationships/hyperlink" Target="https://www.lasexta.com/motor/noticias/llega-nuevo-combustible-gasolineras-que-podria-salvar-diesel_20241105672a24f039a16c0001a26515.html" TargetMode="External"/><Relationship Id="rId1910" Type="http://schemas.openxmlformats.org/officeDocument/2006/relationships/hyperlink" Target="https://www.repsol.com/es/productos-y-servicios/materiales/materiales-news/nuestras-novedades-circulares-polioles-feria-utech/index.cshtml" TargetMode="External"/><Relationship Id="rId1911" Type="http://schemas.openxmlformats.org/officeDocument/2006/relationships/hyperlink" Target="https://www.eleconomista.es/energia/noticias/12828289/05/24/repsol-y-cepsa-toman-parte-en-la-guerra-comercial-entre-temu-y-shein.html" TargetMode="External"/><Relationship Id="rId1912" Type="http://schemas.openxmlformats.org/officeDocument/2006/relationships/hyperlink" Target="https://www.extradigital.es/empleo-repsol-busca-un-coordinador-de-marketing-digital-para-su-guia-repsol-nac/" TargetMode="External"/><Relationship Id="rId1913" Type="http://schemas.openxmlformats.org/officeDocument/2006/relationships/hyperlink" Target="https://www.elle.com/es/gourmet/donde-comer/a60861589/restaurante-sol-repsol-brunch-terrazas-madrid/" TargetMode="External"/><Relationship Id="rId1914" Type="http://schemas.openxmlformats.org/officeDocument/2006/relationships/hyperlink" Target="https://www.guiarepsol.com/es/dormir/en-la-gloria/palacio-de-helguera-en-las-presillas-cantabria/" TargetMode="External"/><Relationship Id="rId1915" Type="http://schemas.openxmlformats.org/officeDocument/2006/relationships/hyperlink" Target="https://es.mongabay.com/2024/05/las-secuelas-del-derrame-de-repsol-me-vi-obligado-a-olvidar-la-pesca-por-mas-que-quisiera-volver-no-puedo/" TargetMode="External"/><Relationship Id="rId1916" Type="http://schemas.openxmlformats.org/officeDocument/2006/relationships/hyperlink" Target="https://www.hola.com/cocina/noticias/20240522254173/68-aniversario-corral-moreria-tablao-flamenco-michelin/" TargetMode="External"/><Relationship Id="rId1917" Type="http://schemas.openxmlformats.org/officeDocument/2006/relationships/hyperlink" Target="https://caretas.pe/nacional/transformando-vidas-a-traves-del-emprendimiento-gracias-a-impulsared/" TargetMode="External"/><Relationship Id="rId1918" Type="http://schemas.openxmlformats.org/officeDocument/2006/relationships/hyperlink" Target="https://www.elcomercio.es/area-metropolitana-asturias/villaviciosa/tres-mejores-gasolinera-espana-encuentra-localidad-asturiana-20240523185420-nt.html" TargetMode="External"/><Relationship Id="rId1919" Type="http://schemas.openxmlformats.org/officeDocument/2006/relationships/hyperlink" Target="https://www.antena3.com/noticias/deportes/motor/combustibles-renovables-llegan-motogp_20240522664e014917629a0001f4e3cf.html" TargetMode="External"/><Relationship Id="rId4181" Type="http://schemas.openxmlformats.org/officeDocument/2006/relationships/hyperlink" Target="https://www.expansion.com/mercados/2024/11/07/672c6f04e5fdea69678b4650.html" TargetMode="External"/><Relationship Id="rId4180" Type="http://schemas.openxmlformats.org/officeDocument/2006/relationships/hyperlink" Target="https://www.aragondigital.es/articulo/huesca/restaurante-carretera-huesca-que-triunfa-camioneros-puede-comer-menos-15-euros-recomiendan-guia-repsol/20241106101331894015.html" TargetMode="External"/><Relationship Id="rId4183" Type="http://schemas.openxmlformats.org/officeDocument/2006/relationships/hyperlink" Target="https://www.autopista.es/noticias-motor/ya-puedes-repostar-tu-coche-diesel-en-espana-con-nuevo-combustible-puede-salvar-su-uso_302144_102.html" TargetMode="External"/><Relationship Id="rId4182" Type="http://schemas.openxmlformats.org/officeDocument/2006/relationships/hyperlink" Target="https://www.miciudadreal.es/2024/11/07/los-bomberos-del-complejo-industrial-de-repsol-puertollano-achican-la-tragedia-en-valencia-entre-la-gratitud-de-los-vecinos/" TargetMode="External"/><Relationship Id="rId4185" Type="http://schemas.openxmlformats.org/officeDocument/2006/relationships/hyperlink" Target="https://cadenaser.com/castillalamancha/2024/11/07/un-mes-de-huelga-y-posturas-mas-lejos-que-nunca-en-rlesa-puertollano-ser-ciudad-real/" TargetMode="External"/><Relationship Id="rId4184" Type="http://schemas.openxmlformats.org/officeDocument/2006/relationships/hyperlink" Target="https://www.elconfidencial.com/empresas/2024-11-07/trump-amenaza-planes-iberdrola-repsol-invertir-eeuu_3998522/" TargetMode="External"/><Relationship Id="rId4187" Type="http://schemas.openxmlformats.org/officeDocument/2006/relationships/hyperlink" Target="https://www.eldebate.com/espana/galicia/la-coruna/20241107/alcalde-pp-gallego-contra-todos-protesto-contra-rajoy-ahora-carga-contra-sanchez_242573.html" TargetMode="External"/><Relationship Id="rId4186" Type="http://schemas.openxmlformats.org/officeDocument/2006/relationships/hyperlink" Target="https://www.estrategiasdeinversion.com/actualidad/noticias/bolsa-espana/la-petrolera-repsol-eleva-el-interes-de-los-inversores-n-759761" TargetMode="External"/><Relationship Id="rId4189" Type="http://schemas.openxmlformats.org/officeDocument/2006/relationships/hyperlink" Target="https://www.elespanol.com/invertia/empresas/energia/20241107/negacionismo-climatico-trump-apuesta-fracking-amenazan-empresas-lideres-renovables/899160528_0.html" TargetMode="External"/><Relationship Id="rId4188" Type="http://schemas.openxmlformats.org/officeDocument/2006/relationships/hyperlink" Target="https://www.elcorreogallego.es/santiago/2024/11/07/chefs-compostelanos-finalistas-cocinero-revelacion-111471575.html" TargetMode="External"/><Relationship Id="rId1900" Type="http://schemas.openxmlformats.org/officeDocument/2006/relationships/hyperlink" Target="https://hazrevista.org/rsc/2024/05/combatiendo-greenwashing-riesgo-reputacional-nueva-regulacion/" TargetMode="External"/><Relationship Id="rId1901" Type="http://schemas.openxmlformats.org/officeDocument/2006/relationships/hyperlink" Target="https://www.eleconomista.es/energia/noticias/12825015/05/24/repsol-y-el-ente-vasco-de-la-energia-impulsaran-la-movilidad-con-hidrogeno-verde.html" TargetMode="External"/><Relationship Id="rId1902" Type="http://schemas.openxmlformats.org/officeDocument/2006/relationships/hyperlink" Target="https://www.ceoe.es/es/ceoe-news/sostenibilidad/repsol-amplia-la-capacidad-regeneradora-del-agua-residual-en-su-planta-de" TargetMode="External"/><Relationship Id="rId1903" Type="http://schemas.openxmlformats.org/officeDocument/2006/relationships/hyperlink" Target="https://cincodias.elpais.com/companias/2024-05-21/repsol-y-la-sociedad-publica-vasca-eve-amplian-su-alianza-en-movilidad-con-hidrogeno.html" TargetMode="External"/><Relationship Id="rId1904" Type="http://schemas.openxmlformats.org/officeDocument/2006/relationships/hyperlink" Target="https://elperiodicodelaenergia.com/repsol-entra-de-lleno-en-la-eolica-marina-en-espana-con-cinco-parques-en-galicia-y-cataluna/" TargetMode="External"/><Relationship Id="rId1905" Type="http://schemas.openxmlformats.org/officeDocument/2006/relationships/hyperlink" Target="https://www.distribucionactualidad.com/repsol-recompensa-clientes-por-comprar-en-temu/" TargetMode="External"/><Relationship Id="rId1906" Type="http://schemas.openxmlformats.org/officeDocument/2006/relationships/hyperlink" Target="https://www.expansion.com/economia-sostenible/2024/05/21/664c7cc8e5fdeabc698b4578.html" TargetMode="External"/><Relationship Id="rId1907" Type="http://schemas.openxmlformats.org/officeDocument/2006/relationships/hyperlink" Target="https://cronicavasca.elespanol.com/empresas/20240521/repsol-actividad-de-ibil-movilidad-electrica-evsare/856914380_0.html" TargetMode="External"/><Relationship Id="rId1908" Type="http://schemas.openxmlformats.org/officeDocument/2006/relationships/hyperlink" Target="https://www.eldiadecordoba.es/vivir-cordoba/Feria-Cordoba-Sol-Repsol-fogones_0_1904809770.html" TargetMode="External"/><Relationship Id="rId1909" Type="http://schemas.openxmlformats.org/officeDocument/2006/relationships/hyperlink" Target="https://www.diariosur.es/malaga-capital/zona-repsol-toma-impulso-proyecto-hotel-20240521185102-nt.html" TargetMode="External"/><Relationship Id="rId4170" Type="http://schemas.openxmlformats.org/officeDocument/2006/relationships/hyperlink" Target="https://www.20minutos.es/lainformacion/economia/los-distribuidores-de-butano-estan-en-huelga-que-piden-a-las-companias-petroleras-y-al-gobierno-5650962/" TargetMode="External"/><Relationship Id="rId4172" Type="http://schemas.openxmlformats.org/officeDocument/2006/relationships/hyperlink" Target="https://www.latribunadeciudadreal.es/noticia/z174a0863-e1b3-8eb1-d1707f7d19175cc3/202411/la-plantilla-de-repsol-lubricantes-prosigue-la-huelga" TargetMode="External"/><Relationship Id="rId4171" Type="http://schemas.openxmlformats.org/officeDocument/2006/relationships/hyperlink" Target="https://www.eldiadecordoba.es/vivir-cordoba/lista-completa-soles-soletes-recomendados-guia-repsol_0_2002723897.html" TargetMode="External"/><Relationship Id="rId4174" Type="http://schemas.openxmlformats.org/officeDocument/2006/relationships/hyperlink" Target="https://www.20minutos.es/motor/actualidad/repsol-presenta-combustible-caracteristicas-diesel-nexa-5649682/" TargetMode="External"/><Relationship Id="rId4173" Type="http://schemas.openxmlformats.org/officeDocument/2006/relationships/hyperlink" Target="https://www.camionactualidad.es/noticias-industria-auxiliar/componentes-recambios-camiones-furgonetas/item/10577-repsol-presenta-su-nuevo-diesel-nexa-100-renovable-en-sus-estaciones-de-servicio" TargetMode="External"/><Relationship Id="rId4176" Type="http://schemas.openxmlformats.org/officeDocument/2006/relationships/hyperlink" Target="https://www.bioeconomia.info/2024/11/06/un-biocombustible-ultrabajo-en-carbono-de-repsol-revoluciona-las-rutas-de-la-peninsula-iberica/" TargetMode="External"/><Relationship Id="rId4175" Type="http://schemas.openxmlformats.org/officeDocument/2006/relationships/hyperlink" Target="https://www.lanzadigital.com/provincia/puertollano/los-equipos-y-la-mano-de-obra-del-complejo-industrial-de-puertollano-trabajan-en-valencia/" TargetMode="External"/><Relationship Id="rId4178" Type="http://schemas.openxmlformats.org/officeDocument/2006/relationships/hyperlink" Target="https://www.motor16.com/noticias/diesel-repsol-reduce-emisiones-descuento/" TargetMode="External"/><Relationship Id="rId4177" Type="http://schemas.openxmlformats.org/officeDocument/2006/relationships/hyperlink" Target="https://andaluciainforma.eldiario.es/actualidad/comienza-a-comercializarse-el-nuevo-combustible-que-salvara-a-los-vehiculos-diesel/" TargetMode="External"/><Relationship Id="rId4179" Type="http://schemas.openxmlformats.org/officeDocument/2006/relationships/hyperlink" Target="https://www.diariosur.es/malagaenlamesa/restaurantes/restaurante-lacaliza-rincon-victoria-futuro-gastronomia-petreos-20241031074328-nt.html" TargetMode="External"/><Relationship Id="rId4129" Type="http://schemas.openxmlformats.org/officeDocument/2006/relationships/hyperlink" Target="https://www.eldebate.com/espana/galicia/20241102/guerra-eolica-marina-galicia-11-empresas-compiten-19-megaproyectos_241169.html" TargetMode="External"/><Relationship Id="rId4128" Type="http://schemas.openxmlformats.org/officeDocument/2006/relationships/hyperlink" Target="https://www.lavanguardia.com/economia/20241102/10071290/oferta-mejor-trato-electricas-acabo-frenando-impuesto-energetico.html" TargetMode="External"/><Relationship Id="rId1090" Type="http://schemas.openxmlformats.org/officeDocument/2006/relationships/hyperlink" Target="https://www.dazn.com/es-ES/news/motor/sustituto-marc-marquez-honda/1xa5hdgfldk6e1fge7ko3zkyml" TargetMode="External"/><Relationship Id="rId1091" Type="http://schemas.openxmlformats.org/officeDocument/2006/relationships/hyperlink" Target="https://www.dazn.com/es-ES/news/motor/cuando-debutara-marc-marquez-ducati-gresini-racing/bly56ivmu3n01g32ta1464zf5" TargetMode="External"/><Relationship Id="rId1092" Type="http://schemas.openxmlformats.org/officeDocument/2006/relationships/hyperlink" Target="https://www.elespanol.com/quincemil/vivir/gastrogalicia/20240306/fragon-fisterra-coruna-local-familiar-innovador-conquisto-guia-repsol/837916801_0.html" TargetMode="External"/><Relationship Id="rId1093" Type="http://schemas.openxmlformats.org/officeDocument/2006/relationships/hyperlink" Target="http://arannoticies.com/el-restaurante-eth-bistro-gastro-espai-de-vielha-reconocido-con-un-sol-de-la-guia-repsol/" TargetMode="External"/><Relationship Id="rId1094" Type="http://schemas.openxmlformats.org/officeDocument/2006/relationships/hyperlink" Target="https://www.zamoranews.com/articulo/reportajes/sol-llamado-cuzeo-tradicion-vanguardia-productos-tierra/20240306211808276166.html" TargetMode="External"/><Relationship Id="rId1095" Type="http://schemas.openxmlformats.org/officeDocument/2006/relationships/hyperlink" Target="https://www.dazn.com/es-ES/news/motor/por-que-se-va-marc-marquez-gresini-racing/sfc3h59ksnke10cald9vbpk0h" TargetMode="External"/><Relationship Id="rId4121" Type="http://schemas.openxmlformats.org/officeDocument/2006/relationships/hyperlink" Target="https://forbes.es/actualidad/533965/estas-son-las-empresas-y-particulares-que-han-donado-o-aportado-ayudas-a-la-devastadora-dana/" TargetMode="External"/><Relationship Id="rId1096" Type="http://schemas.openxmlformats.org/officeDocument/2006/relationships/hyperlink" Target="https://www.lavozdegalicia.es/noticia/carballo/2024/03/06/span-langglsilvia-facal-sefa-insua-e-premio-costa-da-mortespan/0003_202403C6C8991.htm" TargetMode="External"/><Relationship Id="rId4120" Type="http://schemas.openxmlformats.org/officeDocument/2006/relationships/hyperlink" Target="https://elperiodicodelaenergia.com/las-grandes-energeticas-ganan-10-247-millones-en-plena-polemica-por-el-impuesto/" TargetMode="External"/><Relationship Id="rId1097" Type="http://schemas.openxmlformats.org/officeDocument/2006/relationships/hyperlink" Target="https://viajar.elperiodico.com/planes/gastro/camino-santiago-come-menu-degustacion-burgos-95139351" TargetMode="External"/><Relationship Id="rId4123" Type="http://schemas.openxmlformats.org/officeDocument/2006/relationships/hyperlink" Target="https://www.boxrepsol.com/es/motogp/resultados-de-los-entrenamientos-del-gp-de-malasia-de-motogp-2024/" TargetMode="External"/><Relationship Id="rId1098" Type="http://schemas.openxmlformats.org/officeDocument/2006/relationships/hyperlink" Target="https://www.hola.com/cocina/noticias/20240306249283/andres-madrigal-restaurante-per-se/" TargetMode="External"/><Relationship Id="rId4122" Type="http://schemas.openxmlformats.org/officeDocument/2006/relationships/hyperlink" Target="https://www.elmundo.es/economia/empresas/2024/11/01/67239d3521efa0b4488b4598.html" TargetMode="External"/><Relationship Id="rId1099" Type="http://schemas.openxmlformats.org/officeDocument/2006/relationships/hyperlink" Target="https://www.20minutos.es/noticia/5224909/0/repsol-adif-puntos-recarga-coche-electrico-estaciones-tren/" TargetMode="External"/><Relationship Id="rId4125" Type="http://schemas.openxmlformats.org/officeDocument/2006/relationships/hyperlink" Target="https://www.expreso.ec/actualidad/economia/repsol-utilidades-venta-combustible-219182.html" TargetMode="External"/><Relationship Id="rId4124" Type="http://schemas.openxmlformats.org/officeDocument/2006/relationships/hyperlink" Target="https://www.infobae.com/espana/2024/11/01/las-grandes-energeticas-en-espana-superan-los-10200-millones-en-beneficios-mientras-el-gobierno-deja-caer-el-impuesto/" TargetMode="External"/><Relationship Id="rId4127" Type="http://schemas.openxmlformats.org/officeDocument/2006/relationships/hyperlink" Target="https://www.vozpopuli.com/economia/gobierno-proyecta-hachazo-86000-millones-repsol-cepsa-naturgy-pleno-debate-impuestazo.html" TargetMode="External"/><Relationship Id="rId4126" Type="http://schemas.openxmlformats.org/officeDocument/2006/relationships/hyperlink" Target="https://www.epe.es/es/activos/20241102/inditex-repsol-caixabank-bbva-apple-ayudas-empresas-afectados-dana-111209102" TargetMode="External"/><Relationship Id="rId4118" Type="http://schemas.openxmlformats.org/officeDocument/2006/relationships/hyperlink" Target="https://cincodias.elpais.com/economia/2024-11-01/asi-doblegaron-las-energeticas-al-gobierno-o-como-se-consiguio-eliminar-el-impuesto-energetico.html" TargetMode="External"/><Relationship Id="rId4117" Type="http://schemas.openxmlformats.org/officeDocument/2006/relationships/hyperlink" Target="https://cincodias.elpais.com/fondos-y-planes/2024-11-01/repsol-enagas-o-total-las-firmas-que-tendran-que-salir-de-los-fondos-que-quieran-retener-el-sello-de-sostenible.html" TargetMode="External"/><Relationship Id="rId4119" Type="http://schemas.openxmlformats.org/officeDocument/2006/relationships/hyperlink" Target="https://www.infobierzo.com/bierzo-noticias/heridos-accidente-camion-a6-gasolinera-repsol-ponferrada_1018204_102.html" TargetMode="External"/><Relationship Id="rId1080" Type="http://schemas.openxmlformats.org/officeDocument/2006/relationships/hyperlink" Target="https://www.elcorreo.com/jantour/come-nuevos-restaurantes-vizcainos-sol-repsol-20240304184350-nt.html" TargetMode="External"/><Relationship Id="rId1081" Type="http://schemas.openxmlformats.org/officeDocument/2006/relationships/hyperlink" Target="https://www.elespanol.com/treintayseis/vivir/gastrogalicia/20240306/restaurantes-recomendados-guia-repsol-ourense/837916771_0.html" TargetMode="External"/><Relationship Id="rId1082" Type="http://schemas.openxmlformats.org/officeDocument/2006/relationships/hyperlink" Target="https://www.elespanol.com/madrid/ocio/20240306/restaurante-alberto-chicote-mujer-acaba-ganar-sol-repsol-madrid/837666464_0.html" TargetMode="External"/><Relationship Id="rId1083" Type="http://schemas.openxmlformats.org/officeDocument/2006/relationships/hyperlink" Target="https://www.elespanol.com/quincemil/vivir/gastroferrol/20240306/camino-do-ingles-gabeira-ferrol-revalidan-soles-otorgados-guia-repsol/837916776_0.html" TargetMode="External"/><Relationship Id="rId1084" Type="http://schemas.openxmlformats.org/officeDocument/2006/relationships/hyperlink" Target="https://www.elespanol.com/cocinillas/restaurantes/restaurante-asturiano-sol-repsol-arroz-meloso-sidra-foie-delicioso/837916299_0.html" TargetMode="External"/><Relationship Id="rId4110" Type="http://schemas.openxmlformats.org/officeDocument/2006/relationships/hyperlink" Target="https://www.elnacional.cat/oneconomia/es/empresas/imaz-asegura-inversion-repsol-en-tarragona-problema-se-ha-acabado_1309816_102.html" TargetMode="External"/><Relationship Id="rId1085" Type="http://schemas.openxmlformats.org/officeDocument/2006/relationships/hyperlink" Target="https://www.lavozdegalicia.es/noticia/coruna/coruna/2024/03/05/soles-repsol-brillan-san-andres/00031709656229492154547.htm" TargetMode="External"/><Relationship Id="rId1086" Type="http://schemas.openxmlformats.org/officeDocument/2006/relationships/hyperlink" Target="https://www.leonoticias.com/degustaleon/bares-restaurantes/jose-gordon-poner-leon-valor-traves-carne-20240306081230-nt.html" TargetMode="External"/><Relationship Id="rId4112" Type="http://schemas.openxmlformats.org/officeDocument/2006/relationships/hyperlink" Target="https://www.infobae.com/espana/agencias/2024/10/23/lopez-miras-muy-preocupado-por-los-efectos-del-impuesto-extraordinario-en-los-planes-de-futuro-de-repsol-en-murcia/" TargetMode="External"/><Relationship Id="rId1087" Type="http://schemas.openxmlformats.org/officeDocument/2006/relationships/hyperlink" Target="https://www.ideal.es/almeria/gourmet/dos-nuevos-restaurantes-recomendados-guia-repsol-almeria-20240305143430-nt.html" TargetMode="External"/><Relationship Id="rId4111" Type="http://schemas.openxmlformats.org/officeDocument/2006/relationships/hyperlink" Target="https://www.cronista.com/espana/ibex-euro/repsol-asi-abre-la-cotizacion-hoy-viernes-01-de-noviembre-cuanto-rinden-los-dividendos/" TargetMode="External"/><Relationship Id="rId1088" Type="http://schemas.openxmlformats.org/officeDocument/2006/relationships/hyperlink" Target="https://zigzagdigital.com/art/27772/el-restaurante-chiron-de-valdemoro-seguira-luciendo-los-dos-soles-repsol-en-su-fachada" TargetMode="External"/><Relationship Id="rId4114" Type="http://schemas.openxmlformats.org/officeDocument/2006/relationships/hyperlink" Target="https://www.lavanguardia.com/economia/20241101/10069163/banca-carga-nuevo-impuesto-repsol-desbloquea-inversiones.html" TargetMode="External"/><Relationship Id="rId1089" Type="http://schemas.openxmlformats.org/officeDocument/2006/relationships/hyperlink" Target="https://www.infobae.com/espana/2024/03/06/el-restaurante-de-un-pequeno-pueblo-leones-que-recibe-su-segundo-sol-repsol-carne-de-buey-de-razas-ancestrales-criadas-en-su-finca/" TargetMode="External"/><Relationship Id="rId4113" Type="http://schemas.openxmlformats.org/officeDocument/2006/relationships/hyperlink" Target="https://cincodias.elpais.com/companias/2024-11-01/apple-repsol-o-inditex-que-estan-haciendo-las-empresas-para-ayudar-ante-los-efectos-de-la-dana.html" TargetMode="External"/><Relationship Id="rId4116" Type="http://schemas.openxmlformats.org/officeDocument/2006/relationships/hyperlink" Target="https://www.publico.es/economia/repsol-reactiva-inversiones-espana-problema-impuesto-energeticas-terminado.html" TargetMode="External"/><Relationship Id="rId4115" Type="http://schemas.openxmlformats.org/officeDocument/2006/relationships/hyperlink" Target="https://elperiodicodelaenergia.com/repsol-sube-un-2-en-bolsa-tras-compromiso-a-invertir-en-espana-y-anunciar-desinversiones/" TargetMode="External"/><Relationship Id="rId4141" Type="http://schemas.openxmlformats.org/officeDocument/2006/relationships/hyperlink" Target="https://www.elcorreo.com/internacional/europa/ana-palacio-exministra-unica-solucion-gaza-dos-estados-20241103135851-ntrc.html" TargetMode="External"/><Relationship Id="rId4140" Type="http://schemas.openxmlformats.org/officeDocument/2006/relationships/hyperlink" Target="https://www.mundodeportivo.com/motor/motogp/20241103/1002346078/asi-queda-clasificacion-gp-malasia-motogp-martin-tiro-presionan-marquez.html" TargetMode="External"/><Relationship Id="rId4143" Type="http://schemas.openxmlformats.org/officeDocument/2006/relationships/hyperlink" Target="https://www.estrategiasdeinversion.com/analisis/los-brokers-recomiendan/recomendaciones-espana/petrolera-repsol-recortes-de-morgan-stanley-y-n-758493" TargetMode="External"/><Relationship Id="rId4142" Type="http://schemas.openxmlformats.org/officeDocument/2006/relationships/hyperlink" Target="https://cincodias.elpais.com/mercados-financieros/2024-11-04/los-analistas-recortan-el-precio-objetivo-de-repsol-tras-la-presentacion-de-resultados.html" TargetMode="External"/><Relationship Id="rId4145" Type="http://schemas.openxmlformats.org/officeDocument/2006/relationships/hyperlink" Target="https://www.expansion.com/mercados/2024/11/04/672894be468aeb186e8b4588.html" TargetMode="External"/><Relationship Id="rId4144" Type="http://schemas.openxmlformats.org/officeDocument/2006/relationships/hyperlink" Target="https://www.bolsamania.com/noticias/analisis-fundamental/berenberg-reduceprecio-repsol-12-euros-ve-incertidumbre-mix-negocio--17905526.html" TargetMode="External"/><Relationship Id="rId4147" Type="http://schemas.openxmlformats.org/officeDocument/2006/relationships/hyperlink" Target="https://consensodelmercado.com/es/ibex-35/recomendaciones/se-reitera-el-ew-en-repsol-que-sigue-dependiendo-fuertemente-de-la-evolucion-de-los-margenes-de-refino" TargetMode="External"/><Relationship Id="rId4146" Type="http://schemas.openxmlformats.org/officeDocument/2006/relationships/hyperlink" Target="https://www.economiadigital.es/empresas/trump-harris-iberdrola-repsol-naturgy-elecciones-eeuu.html" TargetMode="External"/><Relationship Id="rId4149" Type="http://schemas.openxmlformats.org/officeDocument/2006/relationships/hyperlink" Target="https://www.heraldo.es/noticias/gastronomia/2024/11/04/restaurante-rebotica-carinena-1774551.html" TargetMode="External"/><Relationship Id="rId4148" Type="http://schemas.openxmlformats.org/officeDocument/2006/relationships/hyperlink" Target="https://www.guiarepsol.com/es/dormir/en-la-gloria/hotel-cerca-del-teide-villalba-vilaflor-de-chasna-tenerife/" TargetMode="External"/><Relationship Id="rId4139" Type="http://schemas.openxmlformats.org/officeDocument/2006/relationships/hyperlink" Target="https://www.guiarepsol.com/es/comer/vinos-y-bodegas/zaragoza-cuenta-con-el-cuarto-mejor-coctelero-del-mundo/" TargetMode="External"/><Relationship Id="rId4130" Type="http://schemas.openxmlformats.org/officeDocument/2006/relationships/hyperlink" Target="https://www.motors-addict.com/es/article/inicio/resultados-la-carrera-sprint-del-gp-de-malasia-de-motogp/6725f3a2484ba9908400dcf9" TargetMode="External"/><Relationship Id="rId4132" Type="http://schemas.openxmlformats.org/officeDocument/2006/relationships/hyperlink" Target="https://elcomercio.pe/deporte-total/futbol-peruano/cruzeiro-ec-vs-addited-en-vivo-transmision-por-fecha-2-del-semillero-repsol-futbol-femenino-noticia/" TargetMode="External"/><Relationship Id="rId4131" Type="http://schemas.openxmlformats.org/officeDocument/2006/relationships/hyperlink" Target="https://elcomercio.pe/deporte-total/futbol-peruano/club-balon-rosa-vs-ed-kairos-en-vivo-transmision-por-fecha-2-del-semillero-repsol-futbol-femenino-noticia/" TargetMode="External"/><Relationship Id="rId4134" Type="http://schemas.openxmlformats.org/officeDocument/2006/relationships/hyperlink" Target="https://elcomercio.pe/deporte-total/futbol-peruano/semillero-repsol-futbol-femenino-asi-se-vivio-la-fecha-2-del-campeonato-noticia/" TargetMode="External"/><Relationship Id="rId4133" Type="http://schemas.openxmlformats.org/officeDocument/2006/relationships/hyperlink" Target="https://elcomercio.pe/deporte-total/futbol-peruano/ciclista-lima-fc-vs-sport-neciosup-en-vivo-transmision-por-fecha-2-del-semillero-repsol-futbol-femenino-noticia/" TargetMode="External"/><Relationship Id="rId4136" Type="http://schemas.openxmlformats.org/officeDocument/2006/relationships/hyperlink" Target="https://www.motor16.com/noticias/ballenoil-clave-gasolinera-fiar/" TargetMode="External"/><Relationship Id="rId4135" Type="http://schemas.openxmlformats.org/officeDocument/2006/relationships/hyperlink" Target="https://www.guiarepsol.com/es/comer/donde-comen-los-cocineros/donde-comer-rico-en-leon-segun-los-chefs-de-cocinandos/" TargetMode="External"/><Relationship Id="rId4138" Type="http://schemas.openxmlformats.org/officeDocument/2006/relationships/hyperlink" Target="https://elperiodicodelaenergia.com/el-pnv-niega-presiones-de-empresas-o-de-junts-para-hacer-caer-el-impuesto-extraordinario-a-energeticas/" TargetMode="External"/><Relationship Id="rId4137" Type="http://schemas.openxmlformats.org/officeDocument/2006/relationships/hyperlink" Target="https://www.boxrepsol.com/es/motogp/resultados-del-gp-de-malasia-de-motogp-2024/" TargetMode="External"/><Relationship Id="rId1972" Type="http://schemas.openxmlformats.org/officeDocument/2006/relationships/hyperlink" Target="https://www.economistjurist.es/actualidad-juridica/empresas-del-ibex-35-como-telefonica-iberdrola-y-repsol-definen-al-dpo-como-estrategico-para-implementar-la-ia/" TargetMode="External"/><Relationship Id="rId1973" Type="http://schemas.openxmlformats.org/officeDocument/2006/relationships/hyperlink" Target="https://www.interempresas.net/Estaciones-servicio/Articulos/561380-Entrevista-con-Patricia-Rueda-Velasco-gestora-de-combustibles-renovables-en-Repsol.html" TargetMode="External"/><Relationship Id="rId1974" Type="http://schemas.openxmlformats.org/officeDocument/2006/relationships/hyperlink" Target="https://www.diarimes.com/es/camp-tarragona/240528/les-estaciones-servicio-repsol-tarragona-convierten-puntos-devoluciones-amazon_145325.html" TargetMode="External"/><Relationship Id="rId1975" Type="http://schemas.openxmlformats.org/officeDocument/2006/relationships/hyperlink" Target="https://www.eleconomista.es/branded-content/noticias/12834176/05/24/marquesinas-inteligentes-contra-la-despoblacion.html" TargetMode="External"/><Relationship Id="rId1976" Type="http://schemas.openxmlformats.org/officeDocument/2006/relationships/hyperlink" Target="https://www.larazon.es/economia/aceite-usado-cocina-gasolina-diesel-asi-puedes-abaratar-deposito-combustible_202405286655ea8517629a00014240ef.html" TargetMode="External"/><Relationship Id="rId1977" Type="http://schemas.openxmlformats.org/officeDocument/2006/relationships/hyperlink" Target="https://www.motosan.es/motogp/honda-hrc-pierde-a-su-maximo-patrocinador/" TargetMode="External"/><Relationship Id="rId1978" Type="http://schemas.openxmlformats.org/officeDocument/2006/relationships/hyperlink" Target="https://www.expansion.com/empresas/energia/2024/05/28/6655b273e5fdeaaf508b456d.html" TargetMode="External"/><Relationship Id="rId1979" Type="http://schemas.openxmlformats.org/officeDocument/2006/relationships/hyperlink" Target="https://www.telemadrid.es/noticias/sociedad/Ya-puedes-devolver-tus-pedidos-de-Amazon-en-una-gasolinera-0-2673932605--20240528120657.html" TargetMode="External"/><Relationship Id="rId1970" Type="http://schemas.openxmlformats.org/officeDocument/2006/relationships/hyperlink" Target="https://www.economiadigital.es/empresas/repsol-amazon-gasolineras-ag.html" TargetMode="External"/><Relationship Id="rId1971" Type="http://schemas.openxmlformats.org/officeDocument/2006/relationships/hyperlink" Target="https://es.motorsport.com/motogp/news/repsol-honda-rompen-motogp-2025-larga-relacion/10616802/" TargetMode="External"/><Relationship Id="rId1961" Type="http://schemas.openxmlformats.org/officeDocument/2006/relationships/hyperlink" Target="https://www.infobae.com/espana/2024/05/28/el-restaurante-frances-con-un-sol-repsol-que-presume-de-una-de-las-terrazas-secretas-mas-bonitas-de-madrid/" TargetMode="External"/><Relationship Id="rId1962" Type="http://schemas.openxmlformats.org/officeDocument/2006/relationships/hyperlink" Target="https://motor.elpais.com/actualidad/comprar-temu-ayudar-conductores-ahorrar-gasolina-descuentos/" TargetMode="External"/><Relationship Id="rId1963" Type="http://schemas.openxmlformats.org/officeDocument/2006/relationships/hyperlink" Target="https://www.boxrepsol.com/es/motogp/horarios-y-como-ver-el-motogp-de-italia/" TargetMode="External"/><Relationship Id="rId1964" Type="http://schemas.openxmlformats.org/officeDocument/2006/relationships/hyperlink" Target="https://www.hispanidad.com/economia/gasolineras-low-cost-en-auge-pero-cada-dia-menos-independientes-ballenoil-plenoil-atenoil-ya-son-propiedad-grandes-fondos_12051307_102.html" TargetMode="External"/><Relationship Id="rId1965" Type="http://schemas.openxmlformats.org/officeDocument/2006/relationships/hyperlink" Target="https://www.guiarepsol.com/es/viajar/vamos-de-excursion/pomarada-en-flor-en-la-comarca-de-la-sidra-en-asturias/" TargetMode="External"/><Relationship Id="rId1966" Type="http://schemas.openxmlformats.org/officeDocument/2006/relationships/hyperlink" Target="https://www.laguiago.com/murcia/la-mar-de-musicas-2022-programacion/" TargetMode="External"/><Relationship Id="rId1967" Type="http://schemas.openxmlformats.org/officeDocument/2006/relationships/hyperlink" Target="https://www.expansion.com/empresas/energia/2024/05/28/6654ef5ae5fdea93498b45a8.html" TargetMode="External"/><Relationship Id="rId1968" Type="http://schemas.openxmlformats.org/officeDocument/2006/relationships/hyperlink" Target="https://logistica.cdecomunicacion.es/e-commerce/142059/amazon-convierte-las-estaciones-de-servicio-de-repsol-en-nuevos-puntos-de-devoluciones-sin-etiquetas-ni-cajas" TargetMode="External"/><Relationship Id="rId1969" Type="http://schemas.openxmlformats.org/officeDocument/2006/relationships/hyperlink" Target="https://www.lasprovincias.es/economia/estaciones-servicio-repsol-espana-convierten-nuevos-puntos-20240528181224-nt.html" TargetMode="External"/><Relationship Id="rId1960" Type="http://schemas.openxmlformats.org/officeDocument/2006/relationships/hyperlink" Target="https://www.eleconomista.es/energia/noticias/12834335/05/24/telefonica-y-repsol-lanzan-un-plan-de-suscripcion-de-autoconsumo-solar-que-financia-al-50-la-instalacion.html" TargetMode="External"/><Relationship Id="rId1994" Type="http://schemas.openxmlformats.org/officeDocument/2006/relationships/hyperlink" Target="https://gacetinmadrid.com/2024/05/29/repsol-regalara-30-centimos-litro-aceite-usado-gasolineras/" TargetMode="External"/><Relationship Id="rId1995" Type="http://schemas.openxmlformats.org/officeDocument/2006/relationships/hyperlink" Target="https://www.vavel.com/es/motor/2024/05/28/motogp/1183549-honda-dice-adios-a-repsol-tras-30-anos-de-compromiso-en-2025.html" TargetMode="External"/><Relationship Id="rId1996" Type="http://schemas.openxmlformats.org/officeDocument/2006/relationships/hyperlink" Target="https://www.diariodesevilla.es/sociedad/gasolineras-recogen-aceite-cocina-usado-reciclaje-video_0_1907209668.html" TargetMode="External"/><Relationship Id="rId1997" Type="http://schemas.openxmlformats.org/officeDocument/2006/relationships/hyperlink" Target="https://www.elconfidencial.com/medioambiente/energia/2024-05-29/la-energia-que-nos-mueve_3892609/" TargetMode="External"/><Relationship Id="rId1998" Type="http://schemas.openxmlformats.org/officeDocument/2006/relationships/hyperlink" Target="https://www.guiarepsol.com/es/comer/nuestros-favoritos/chocolateria-lurka-donostia/" TargetMode="External"/><Relationship Id="rId1999" Type="http://schemas.openxmlformats.org/officeDocument/2006/relationships/hyperlink" Target="https://edatv.news/actualidad/gasolinera-regala-dinero-repostar-aceite-cocina-usado" TargetMode="External"/><Relationship Id="rId1990" Type="http://schemas.openxmlformats.org/officeDocument/2006/relationships/hyperlink" Target="https://www.abc.es/economia/tires-aceite-cocina-usado-repsol-regalando-centimos-20240529123654-nt.html" TargetMode="External"/><Relationship Id="rId1991" Type="http://schemas.openxmlformats.org/officeDocument/2006/relationships/hyperlink" Target="https://www.elindependiente.com/economia/2024/05/29/iberdrola-tira-los-precios-de-su-tarifa-libre-para-hacer-frente-en-su-lucha-contra-repsol/" TargetMode="External"/><Relationship Id="rId1992" Type="http://schemas.openxmlformats.org/officeDocument/2006/relationships/hyperlink" Target="https://marketinginsiderreview.com/repsol-estrena-campana-tu-vas-por-delante/" TargetMode="External"/><Relationship Id="rId1993" Type="http://schemas.openxmlformats.org/officeDocument/2006/relationships/hyperlink" Target="https://www.soziable.es/buen-gobierno/como-implementar-en-la-empresa-un-sistema-de-control-sobre-la-informacion-de" TargetMode="External"/><Relationship Id="rId1983" Type="http://schemas.openxmlformats.org/officeDocument/2006/relationships/hyperlink" Target="https://www.desdeadentro.pe/2024/05/repsol-se-consolida-como-proveedor-principal-de-la-industria-minera-en-el-peru/" TargetMode="External"/><Relationship Id="rId1984" Type="http://schemas.openxmlformats.org/officeDocument/2006/relationships/hyperlink" Target="https://peru21.pe/peru/repsol-se-consolida-como-proveedor-principal-de-la-industria-minera-en-el-peru-repsol-mineria-industria-chinalco-antamina-las-bambas-diesel-servicios-noticia/" TargetMode="External"/><Relationship Id="rId1985" Type="http://schemas.openxmlformats.org/officeDocument/2006/relationships/hyperlink" Target="https://www.consumidorglobal.com/tecnologia/devolver-tu-compra-amazon-gasolinera-repsol_10760_102.html" TargetMode="External"/><Relationship Id="rId1986" Type="http://schemas.openxmlformats.org/officeDocument/2006/relationships/hyperlink" Target="https://dircomfidencial.com/marketing/repsol-presenta-sus-combustibles-100-renovables-en-su-ultima-campana-20240529-1146/" TargetMode="External"/><Relationship Id="rId1987" Type="http://schemas.openxmlformats.org/officeDocument/2006/relationships/hyperlink" Target="https://www.telecinco.es/noticias/economia/20240529/repsol-da-dinero-aceite-cocina-usado-llenar-deposito_18_012619280.html" TargetMode="External"/><Relationship Id="rId1988" Type="http://schemas.openxmlformats.org/officeDocument/2006/relationships/hyperlink" Target="https://controlpublicidad.com/campanas-publicitarias/repsol-lanza-la-campana-tu-vas-por-delante/" TargetMode="External"/><Relationship Id="rId1989" Type="http://schemas.openxmlformats.org/officeDocument/2006/relationships/hyperlink" Target="https://www.expansion.com/mercados/2024/05/29/66575e4b468aebf6148b4599.html" TargetMode="External"/><Relationship Id="rId1980" Type="http://schemas.openxmlformats.org/officeDocument/2006/relationships/hyperlink" Target="https://es.motorsport.com/motogp/news/galeria-pilotos-repsol-honda-1007158/1644226/" TargetMode="External"/><Relationship Id="rId1981" Type="http://schemas.openxmlformats.org/officeDocument/2006/relationships/hyperlink" Target="https://www.boxrepsol.com/es/vive-tu-moto/mejores-concentraciones-moteras/" TargetMode="External"/><Relationship Id="rId1982" Type="http://schemas.openxmlformats.org/officeDocument/2006/relationships/hyperlink" Target="https://www.larepublica.co/globoeconomia/petrolera-repsol-lanza-operacion-de-us-600-9-millones-para-buscar-socio-en-ee-uu-3869667" TargetMode="External"/><Relationship Id="rId1930" Type="http://schemas.openxmlformats.org/officeDocument/2006/relationships/hyperlink" Target="https://www.expansion.com/empresas/energia/2024/05/24/664fa335468aeb831f8b459c.html" TargetMode="External"/><Relationship Id="rId1931" Type="http://schemas.openxmlformats.org/officeDocument/2006/relationships/hyperlink" Target="https://www.eldiariomontanes.es/cantabria/repsol-solicita-ampliar-permiso-central-aguayo-2080-20240524071047-nt.html" TargetMode="External"/><Relationship Id="rId1932" Type="http://schemas.openxmlformats.org/officeDocument/2006/relationships/hyperlink" Target="https://www.repsol.es/particulares/asesoramiento-consumo/cuanto-consume-horno/" TargetMode="External"/><Relationship Id="rId1933" Type="http://schemas.openxmlformats.org/officeDocument/2006/relationships/hyperlink" Target="https://elestimulo.com/elinteres/energia/2024-05-24/repsol-tellechea-confirma-licencia-eeuu/" TargetMode="External"/><Relationship Id="rId1934" Type="http://schemas.openxmlformats.org/officeDocument/2006/relationships/hyperlink" Target="https://www.boxrepsol.com/es/motogp/resultados-de-los-entrenamientos-del-gp-de-catalunya-motogp-2024/" TargetMode="External"/><Relationship Id="rId1935" Type="http://schemas.openxmlformats.org/officeDocument/2006/relationships/hyperlink" Target="https://www.expansion.com/empresas/2024/05/24/664fac46468aeb4d328b45c3.html" TargetMode="External"/><Relationship Id="rId1936" Type="http://schemas.openxmlformats.org/officeDocument/2006/relationships/hyperlink" Target="https://energiminas.com/2024/05/24/lote-57-perupetro-suscribe-adenda-de-convenio-con-repsol-y-los-equipos-de-monitoreo-comunitario-del-bajo-urubamba/" TargetMode="External"/><Relationship Id="rId1937" Type="http://schemas.openxmlformats.org/officeDocument/2006/relationships/hyperlink" Target="https://primicia.com.ve/economia/repsol-recibio-licencia-para-operar-en-venezuela-despues-del-31-de-mayo/" TargetMode="External"/><Relationship Id="rId1938" Type="http://schemas.openxmlformats.org/officeDocument/2006/relationships/hyperlink" Target="https://www.esmadrid.com/restaurantes/desborre" TargetMode="External"/><Relationship Id="rId1939" Type="http://schemas.openxmlformats.org/officeDocument/2006/relationships/hyperlink" Target="https://www.malagahoy.es/la-farola/chiringuitos-Malaga-playa-verano_0_1905411540.html" TargetMode="External"/><Relationship Id="rId1920" Type="http://schemas.openxmlformats.org/officeDocument/2006/relationships/hyperlink" Target="https://elperiodicodelaenergia.com/china-estudia-subir-aranceles-coches-importados-respuesta-eeuu-ue/" TargetMode="External"/><Relationship Id="rId1921" Type="http://schemas.openxmlformats.org/officeDocument/2006/relationships/hyperlink" Target="https://www.guiarepsol.com/es/viajar/vamos-de-excursion/ruta-por-el-barrio-porvenir-sevilla/" TargetMode="External"/><Relationship Id="rId1922" Type="http://schemas.openxmlformats.org/officeDocument/2006/relationships/hyperlink" Target="https://www.elespanol.com/castilla-y-leon/region/valladolid/20240523/unico-restaurante-mexicano-europa-solete-repsol-valladolid-cocina-gran-desconocida/852164799_0.html" TargetMode="External"/><Relationship Id="rId1923" Type="http://schemas.openxmlformats.org/officeDocument/2006/relationships/hyperlink" Target="https://www.rockdelux.com/es/lifestyle/multienergia-festivalera---repsol" TargetMode="External"/><Relationship Id="rId1924" Type="http://schemas.openxmlformats.org/officeDocument/2006/relationships/hyperlink" Target="https://www.bloomberg.com/news/articles/2024-05-23/repsol-obtiene-licencia-de-ee-uu-para-seguir-operando-en-venezuela" TargetMode="External"/><Relationship Id="rId1925" Type="http://schemas.openxmlformats.org/officeDocument/2006/relationships/hyperlink" Target="https://www.lavozdeasturias.es/noticia/asturias/2024/05/23/gasolinera-asturiana-tres-mejores-espana/00031716454352691550495.htm" TargetMode="External"/><Relationship Id="rId1926" Type="http://schemas.openxmlformats.org/officeDocument/2006/relationships/hyperlink" Target="https://www.vozdeamerica.com/a/espaniola-repsol-recibe-licencia-de-eeuu-para-proyectos-de-petroleo-y-gas-en-venezuela-fuentes/7624576.html" TargetMode="External"/><Relationship Id="rId1927" Type="http://schemas.openxmlformats.org/officeDocument/2006/relationships/hyperlink" Target="https://albertonews.com/internacionales/ultima-hora-repsol-obtiene-una-licencia-de-estados-unidos-para-seguir-operando-en-venezuela-despues-del-31-de-mayo/" TargetMode="External"/><Relationship Id="rId1928" Type="http://schemas.openxmlformats.org/officeDocument/2006/relationships/hyperlink" Target="https://www.bancaynegocios.com/bloomberg-repsol-obtiene-licencia-de-eeuu-para-seguir-operando-en-venezuela-despues-del-31may/" TargetMode="External"/><Relationship Id="rId1929" Type="http://schemas.openxmlformats.org/officeDocument/2006/relationships/hyperlink" Target="https://www.eleconomista.es/energia/noticias/12828301/05/24/espana-vive-una-fiebre-de-nuevos-proyectos-de-parques-eolicos-marinos.html" TargetMode="External"/><Relationship Id="rId4190" Type="http://schemas.openxmlformats.org/officeDocument/2006/relationships/hyperlink" Target="https://cadenaser.com/andalucia/2024/11/07/el-jamon-iberico-100-bellota-de-la-do-de-los-pedroches-las-tabernas-historicas-y-soletes-repsol-protagonizan-el-mes-de-noviembre-radio-cordoba/" TargetMode="External"/><Relationship Id="rId4192" Type="http://schemas.openxmlformats.org/officeDocument/2006/relationships/hyperlink" Target="https://www.posventa.com/texto-diario/mostrar/5063034/calcada-fundacion-repsol-europa-no-deberia-mero-campo-juego-entre-estados-unidos-china" TargetMode="External"/><Relationship Id="rId4191" Type="http://schemas.openxmlformats.org/officeDocument/2006/relationships/hyperlink" Target="https://www.finanzas.com/ibex-35/los-bajistas-ponen-el-foco-en-repsol.html" TargetMode="External"/><Relationship Id="rId4194" Type="http://schemas.openxmlformats.org/officeDocument/2006/relationships/hyperlink" Target="https://www.bolsamania.com/noticias/pulsos-materias-primas/repsol-cae-bajada-petroleo-debilidad-china-triunfo-trump--17986418.html" TargetMode="External"/><Relationship Id="rId4193" Type="http://schemas.openxmlformats.org/officeDocument/2006/relationships/hyperlink" Target="https://murciaplaza.com/murciaplaza/profesionales-de-repsol-cartagena-al-pie-del-canon-en-las-labores-de-recuperacion-tras-la-dana" TargetMode="External"/><Relationship Id="rId4196" Type="http://schemas.openxmlformats.org/officeDocument/2006/relationships/hyperlink" Target="https://www.diarioelcanal.com/desplazamiento-plataforma-island-innovator/" TargetMode="External"/><Relationship Id="rId4195" Type="http://schemas.openxmlformats.org/officeDocument/2006/relationships/hyperlink" Target="https://www.capitalmadrid.com/2024/11/8/68413/los-bajistas-estrenan-la-era-trump-con-mas-cortos-en-acciona-solaria-y-repsol.html" TargetMode="External"/><Relationship Id="rId4198" Type="http://schemas.openxmlformats.org/officeDocument/2006/relationships/hyperlink" Target="https://www.elespanol.com/motor/20241108/llenas-deposito-coche-diesel-ahorraras-dinero-ademas-contaminaras-sacamos-calculadora/899160651_0.html" TargetMode="External"/><Relationship Id="rId4197" Type="http://schemas.openxmlformats.org/officeDocument/2006/relationships/hyperlink" Target="https://www.cronista.com/espana/ibex-euro/repsol-asi-abre-la-cotizacion-hoy-viernes-08-de-noviembre-cuanto-rinden-los-dividendos/" TargetMode="External"/><Relationship Id="rId4199" Type="http://schemas.openxmlformats.org/officeDocument/2006/relationships/hyperlink" Target="https://www.diariocordoba.com/cordoba-ciudad/2024/11/08/cordoba-exige-retirar-puerta-puente-111504939.html" TargetMode="External"/><Relationship Id="rId1950" Type="http://schemas.openxmlformats.org/officeDocument/2006/relationships/hyperlink" Target="https://www.elespanol.com/motor/20240526/nuevos-netflix-recarga-coche-electrico-suscripciones-repsol-iberdrola-endesa/857664566_0.html" TargetMode="External"/><Relationship Id="rId1951" Type="http://schemas.openxmlformats.org/officeDocument/2006/relationships/hyperlink" Target="https://www.eleconomista.es/mercados-cotizaciones/noticias/12831279/05/24/amadeus-repsol-cellnex-bbva-y-caixabank-sacan-las-mejores-notas-del-ibex-35-en-gobierno-corporativo.html" TargetMode="External"/><Relationship Id="rId1952" Type="http://schemas.openxmlformats.org/officeDocument/2006/relationships/hyperlink" Target="https://www.boxrepsol.com/es/motogp/resultados-del-gp-de-catalunya-de-motogp-2024/" TargetMode="External"/><Relationship Id="rId1953" Type="http://schemas.openxmlformats.org/officeDocument/2006/relationships/hyperlink" Target="https://www.vanitatis.elconfidencial.com/estilo/ocio/2024-05-26/asturias-gastronomia-lujo-palacio-luces_3889484/" TargetMode="External"/><Relationship Id="rId1954" Type="http://schemas.openxmlformats.org/officeDocument/2006/relationships/hyperlink" Target="https://www.lavozdegalicia.es/noticia/amarina/2024/05/26/rei-das-tartasproyecta-hotel-amplia-parking-camiones-cerrado-vigilado-estacion-servicio-a-8/00031716716286863680569.htm" TargetMode="External"/><Relationship Id="rId1955" Type="http://schemas.openxmlformats.org/officeDocument/2006/relationships/hyperlink" Target="https://www.ciclo21.com/4a-tour-noruega-2024-laurance-kristoff/" TargetMode="External"/><Relationship Id="rId1956" Type="http://schemas.openxmlformats.org/officeDocument/2006/relationships/hyperlink" Target="https://elpopular.pe/actualidad/consultas-y-tramites/2024/05/13/repsol-ni-la-nevera-ni-la-computadora-este-es-el-electrodomestico-que-jala-mas-luz-298597" TargetMode="External"/><Relationship Id="rId1957" Type="http://schemas.openxmlformats.org/officeDocument/2006/relationships/hyperlink" Target="https://elperiodicodelaenergia.com/gasolineras-repsol-convierten-nuevos-puntos-devoluciones-amazon/" TargetMode="External"/><Relationship Id="rId1958" Type="http://schemas.openxmlformats.org/officeDocument/2006/relationships/hyperlink" Target="https://www.sport.es/es/noticias/sociedad/tienes-aceite-cocina-usado-repsol-regala-saldo-102976196" TargetMode="External"/><Relationship Id="rId1959" Type="http://schemas.openxmlformats.org/officeDocument/2006/relationships/hyperlink" Target="https://intereconomia.com/noticia/la-gasolinera-milagro-con-la-marca-repsol-de-cabello-en-alcobendas-20240527-0929/" TargetMode="External"/><Relationship Id="rId1940" Type="http://schemas.openxmlformats.org/officeDocument/2006/relationships/hyperlink" Target="https://www.economiadigital.es/galicia/empresas/repsol-gran-promotor-eolica-marina-galicia.html" TargetMode="External"/><Relationship Id="rId1941" Type="http://schemas.openxmlformats.org/officeDocument/2006/relationships/hyperlink" Target="https://www.swissinfo.ch/spa/repsol-recibe-licencia-de-eeuu-para-operar-en-venezuela%2C-seg%C3%BAn-jefe-de-estatal-pdvsa/78541722" TargetMode="External"/><Relationship Id="rId1942" Type="http://schemas.openxmlformats.org/officeDocument/2006/relationships/hyperlink" Target="https://www.eldiariomontanes.es/region/campoo-sur/aguayo-pueblo-tranquilo-millonario-20240525073631-ga.html" TargetMode="External"/><Relationship Id="rId1943" Type="http://schemas.openxmlformats.org/officeDocument/2006/relationships/hyperlink" Target="https://www.boxrepsol.com/es/motogp/resultados-de-la-carrera-sprint-del-gp-de-catalunya-de-motogp-2024/" TargetMode="External"/><Relationship Id="rId1944" Type="http://schemas.openxmlformats.org/officeDocument/2006/relationships/hyperlink" Target="https://mega.atresmedia.com/programas/moto-gp/aleix-espargaro-hace-pole-record-ultima-quali-montmelo_202405256651ba372e4fc4000170f650.html" TargetMode="External"/><Relationship Id="rId1945" Type="http://schemas.openxmlformats.org/officeDocument/2006/relationships/hyperlink" Target="https://www.epe.es/es/ocio/20240525/festival-freakcon-prepara-edicion-espectacular-102902759" TargetMode="External"/><Relationship Id="rId1946" Type="http://schemas.openxmlformats.org/officeDocument/2006/relationships/hyperlink" Target="https://www.lavozdegalicia.es/noticia/coruna/coruna/2024/05/22/primeros-pasos-construir-viviendas-muelle-san-diego-coruna/00031716390555843466353.htm" TargetMode="External"/><Relationship Id="rId1947" Type="http://schemas.openxmlformats.org/officeDocument/2006/relationships/hyperlink" Target="https://www.elespanol.com/treintayseis/vivir/gastrosalnes/20240525/restaurantes-temporada-deberias-probar-visitas-sanxenxo-alrededores/857914378_0.html" TargetMode="External"/><Relationship Id="rId1948" Type="http://schemas.openxmlformats.org/officeDocument/2006/relationships/hyperlink" Target="https://www.expansion.com/mercados/2024/05/25/6650f80de5fdea84618b4590.html" TargetMode="External"/><Relationship Id="rId1949" Type="http://schemas.openxmlformats.org/officeDocument/2006/relationships/hyperlink" Target="https://www.lasexta.com/programas/equipo-investigacion/luis-miguel-rodriguez-afirma-que-carmen-martinez-bordiu-metia-cuando-salia-fiesta-daba_2024052566523e473a4a7f00013c3de3.html" TargetMode="External"/><Relationship Id="rId2423" Type="http://schemas.openxmlformats.org/officeDocument/2006/relationships/hyperlink" Target="https://www.puertollano.es/primer-encuentro-del-alcalde-de-puertollano-con-el-nuevo-director-del-complejo-industrial-de-repsol/" TargetMode="External"/><Relationship Id="rId3755" Type="http://schemas.openxmlformats.org/officeDocument/2006/relationships/hyperlink" Target="https://www.innovaspain.com/luis-cabra-repsol-descarbonizacion/" TargetMode="External"/><Relationship Id="rId2424" Type="http://schemas.openxmlformats.org/officeDocument/2006/relationships/hyperlink" Target="https://www.aragonhoy.es/fomento-vivienda-movilidad-logistica/octavio-lopez-recibe-jovenes-aragoneses-ganadores-challenge-universitario-fundacion-repsol-96694" TargetMode="External"/><Relationship Id="rId3754" Type="http://schemas.openxmlformats.org/officeDocument/2006/relationships/hyperlink" Target="https://www.bolsamania.com/noticias/analisis-tecnico/se-termino-lo-que-se-daba-en-repsol--17686704.html" TargetMode="External"/><Relationship Id="rId2425" Type="http://schemas.openxmlformats.org/officeDocument/2006/relationships/hyperlink" Target="https://www.expansion.com/empresas/energia/2024/07/04/6686d65a468aebd71e8b4586.html" TargetMode="External"/><Relationship Id="rId3757" Type="http://schemas.openxmlformats.org/officeDocument/2006/relationships/hyperlink" Target="https://www.larazon.es/lr-content/seleccion-sitios-comer-tortilla-patatas-calcots-bocadillos-calamares-segun-app-guia-repsol_20241017670e271fe2e54f00018150bc.html" TargetMode="External"/><Relationship Id="rId2426" Type="http://schemas.openxmlformats.org/officeDocument/2006/relationships/hyperlink" Target="https://elperiodicodelaenergia.com/repsol-e-iberdrola-entre-las-10-empresas-con-mejor-reputacion-de-espana-en-2024/" TargetMode="External"/><Relationship Id="rId3756" Type="http://schemas.openxmlformats.org/officeDocument/2006/relationships/hyperlink" Target="https://intereconomia.com/noticia/empresas/los-butaneros-van-a-la-huelga-20241017-1134/" TargetMode="External"/><Relationship Id="rId2427" Type="http://schemas.openxmlformats.org/officeDocument/2006/relationships/hyperlink" Target="https://cincodias.elpais.com/mercados-financieros/2024-07-04/el-ibex-35-en-directo-indecision-en-las-bolsas-atentas-a-reino-unido-y-sin-wall-street.html" TargetMode="External"/><Relationship Id="rId3759" Type="http://schemas.openxmlformats.org/officeDocument/2006/relationships/hyperlink" Target="https://es.investing.com/analysis/analisis-de-telefonica-rovi-mapfre-puig-merlin-naturgy-redeia-repsol-y-mas-200473158" TargetMode="External"/><Relationship Id="rId2428" Type="http://schemas.openxmlformats.org/officeDocument/2006/relationships/hyperlink" Target="https://elcierredigital.com/investigacion/repsol-busca-hacerse-fuerte-reino-unido-pese-las-denuncias-por-ecopostureo" TargetMode="External"/><Relationship Id="rId3758" Type="http://schemas.openxmlformats.org/officeDocument/2006/relationships/hyperlink" Target="https://www.elespanol.com/invertia/empresas/energia/20241017/operadores-mayor-petroleo-acusan-gobierno-energeticas-repsol-cepsa-aliarse/893910966_0.html" TargetMode="External"/><Relationship Id="rId2429" Type="http://schemas.openxmlformats.org/officeDocument/2006/relationships/hyperlink" Target="https://www.elespanol.com/invertia/empresas/energia/20240704/repsol-lanza-netflix-lavado-coches-servicio-limpieza-diario-solo-euros-mes/867663488_0.html" TargetMode="External"/><Relationship Id="rId509" Type="http://schemas.openxmlformats.org/officeDocument/2006/relationships/hyperlink" Target="https://www.infobae.com/espana/2024/02/12/el-restaurante-recomendado-por-la-guia-michelin-situado-junto-a-una-ermita-y-con-unas-increibles-vistas-a-un-acantilado/" TargetMode="External"/><Relationship Id="rId508" Type="http://schemas.openxmlformats.org/officeDocument/2006/relationships/hyperlink" Target="https://www.actualidadambiental.pe/a-dos-anos-del-derrame-de-repsol-como-se-encuentra-el-avance-de-la-evaluacion-de-los-planes-de-rehabilitacion-minem-refineria-la-pampilla/" TargetMode="External"/><Relationship Id="rId503" Type="http://schemas.openxmlformats.org/officeDocument/2006/relationships/hyperlink" Target="https://www.malagahoy.es/malaga/Bosque-Urbano-Malaga-tribunales-descontaminacion-terrenos-repsol_0_1875113966.html" TargetMode="External"/><Relationship Id="rId502" Type="http://schemas.openxmlformats.org/officeDocument/2006/relationships/hyperlink" Target="https://cadenaser.com/andalucia/2024/02/12/bosque-urbano-lleva-a-los-tribunales-el-proyecto-de-descontaminacion-de-los-antiguos-terrenos-de-repsol-ser-malaga/" TargetMode="External"/><Relationship Id="rId501" Type="http://schemas.openxmlformats.org/officeDocument/2006/relationships/hyperlink" Target="https://www.galiciapress.es/articulo/empresas/2024-02-12/4716229-seguridad-privada-refineria-repsol-coruna-borde-huelga-protestas-diarias" TargetMode="External"/><Relationship Id="rId500" Type="http://schemas.openxmlformats.org/officeDocument/2006/relationships/hyperlink" Target="https://www.interempresas.net/Estaciones-servicio/Articulos/540920-Repsol-comienza-a-recoger-aceite-de-cocina-usado-en-Castilla-La-Mancha.html" TargetMode="External"/><Relationship Id="rId507" Type="http://schemas.openxmlformats.org/officeDocument/2006/relationships/hyperlink" Target="https://www.dw.com/es/empresas-y-derechos-humanos-peligra-una-legislaci%C3%B3n-europea-vital-para-latinoam%C3%A9rica/a-68240986" TargetMode="External"/><Relationship Id="rId506" Type="http://schemas.openxmlformats.org/officeDocument/2006/relationships/hyperlink" Target="https://www.diariomotor.com/noticia/compatibilidad-coches-antiguos-combustibles-sinteticos-renovables/" TargetMode="External"/><Relationship Id="rId505" Type="http://schemas.openxmlformats.org/officeDocument/2006/relationships/hyperlink" Target="https://www.chasiscero.com/articulo/consejos/destapan-cual-es-gasolina-que-hacer-mas-kilometros-es-repsol/20240212174305018830.html" TargetMode="External"/><Relationship Id="rId504" Type="http://schemas.openxmlformats.org/officeDocument/2006/relationships/hyperlink" Target="https://www.guiarepsol.com/es/comer/nuestros-favoritos/restaurante-agreste-barcelona/" TargetMode="External"/><Relationship Id="rId3751" Type="http://schemas.openxmlformats.org/officeDocument/2006/relationships/hyperlink" Target="https://www3.gobiernodecanarias.org/medusa/edublog/cprofesgrantarajal/2024/10/17/4a-edicion-de-los-premios-zinkers-de-fundacion-repsol/" TargetMode="External"/><Relationship Id="rId2420" Type="http://schemas.openxmlformats.org/officeDocument/2006/relationships/hyperlink" Target="https://www.actualidadambiental.pe/pescadores-artesanales-y-comerciantes-anuncian-movilizacion-para-exigir-compensaciones-a-repsol/" TargetMode="External"/><Relationship Id="rId3750" Type="http://schemas.openxmlformats.org/officeDocument/2006/relationships/hyperlink" Target="https://canal.ugr.es/noticia/presentacion-de-la-catedra-de-inteligencia-artificial-etica-responsable-y-de-proposito-general-iafer-de-la-universidad-de-granada-en-colaboracion-con-repsol/" TargetMode="External"/><Relationship Id="rId2421" Type="http://schemas.openxmlformats.org/officeDocument/2006/relationships/hyperlink" Target="https://www.eleconomista.es/energia/noticias/12896465/07/24/repsol-vende-prejeance-su-negocio-de-autoconsumo-en-francia-por-140-millones-a-altarea.html" TargetMode="External"/><Relationship Id="rId3753" Type="http://schemas.openxmlformats.org/officeDocument/2006/relationships/hyperlink" Target="https://www.guiarepsol.com/es/soletes/donde-tomar-cafe-de-especialidad-segun-los-chefs/" TargetMode="External"/><Relationship Id="rId2422" Type="http://schemas.openxmlformats.org/officeDocument/2006/relationships/hyperlink" Target="https://www.interempresas.net/Estaciones-servicio/Articulos/567692-Repsol-lanza-su-nuevo-servicio-de-suscripcion-para-el-lavado-de-vehiculos.html" TargetMode="External"/><Relationship Id="rId3752" Type="http://schemas.openxmlformats.org/officeDocument/2006/relationships/hyperlink" Target="https://www.ocu.org/inversiones/invertir/acciones/analisis/2024/10/la-accion-de-repsol-cotiza-en-minimos-de-2022" TargetMode="External"/><Relationship Id="rId2412" Type="http://schemas.openxmlformats.org/officeDocument/2006/relationships/hyperlink" Target="https://www.economiadigital.es/empresas/repsol-el-corte-ingles-negocio-ag.html" TargetMode="External"/><Relationship Id="rId3744" Type="http://schemas.openxmlformats.org/officeDocument/2006/relationships/hyperlink" Target="https://www.desdeadentro.pe/2024/10/repsol-inaugura-la-ampliacion-de-su-unidad-de-gasolinas-en-refineria-la-pampilla/" TargetMode="External"/><Relationship Id="rId2413" Type="http://schemas.openxmlformats.org/officeDocument/2006/relationships/hyperlink" Target="https://murciaplaza.com/murciaplaza/mas-de-40-estudiantes-realizan-sus-practicas-en-el-complejo-industrial-de-repsol-en-cartagena" TargetMode="External"/><Relationship Id="rId3743" Type="http://schemas.openxmlformats.org/officeDocument/2006/relationships/hyperlink" Target="https://www.laopiniondemalaga.es/malaga/2024/10/16/donde-comer-mejor-tortilla-patata-malaga-109447712.html" TargetMode="External"/><Relationship Id="rId2414" Type="http://schemas.openxmlformats.org/officeDocument/2006/relationships/hyperlink" Target="https://www.economiademallorca.com/articulo/empresas/repsol-compra-45-negocio-tiendas-gasolineras-corte-ingles/20240703184247095997.html" TargetMode="External"/><Relationship Id="rId3746" Type="http://schemas.openxmlformats.org/officeDocument/2006/relationships/hyperlink" Target="https://proactivo.com.pe/repsol-aumenta-produccion-de-combustibles-en-la-pampilla/" TargetMode="External"/><Relationship Id="rId2415" Type="http://schemas.openxmlformats.org/officeDocument/2006/relationships/hyperlink" Target="https://www.huelvainformacion.es/destino-huelva/heladeria-italiana-punta-umbria-guia_0_2001226944.html" TargetMode="External"/><Relationship Id="rId3745" Type="http://schemas.openxmlformats.org/officeDocument/2006/relationships/hyperlink" Target="https://gestion.pe/economia/empresas/repsol-aumenta-produccion-de-gasolinas-en-la-pampilla-los-nuevos-planes-hidrocarburos-combustible-gasolina-grifos-derrame-de-petroleo-noticia/" TargetMode="External"/><Relationship Id="rId2416" Type="http://schemas.openxmlformats.org/officeDocument/2006/relationships/hyperlink" Target="https://www.guiarepsol.com/es/comer/en-el-mercado/temporada-tomates-rey-gastronomia-veraniega-otros-usos/" TargetMode="External"/><Relationship Id="rId3748" Type="http://schemas.openxmlformats.org/officeDocument/2006/relationships/hyperlink" Target="https://plenainclusionmadrid.org/noticias/kits-eficiencia-energetica-repsol/" TargetMode="External"/><Relationship Id="rId2417" Type="http://schemas.openxmlformats.org/officeDocument/2006/relationships/hyperlink" Target="https://viajes.nationalgeographic.com.es/gastronomia/siete-heladerias-solete-repsol-para-disfrutar-y-refrescar-verano_20745" TargetMode="External"/><Relationship Id="rId3747" Type="http://schemas.openxmlformats.org/officeDocument/2006/relationships/hyperlink" Target="https://www.consumidorglobal.com/alimentacion/diez-bares-con-mejores-bocadillos-calamares-madrid-segun-guia-repsol_12221_102.html" TargetMode="External"/><Relationship Id="rId2418" Type="http://schemas.openxmlformats.org/officeDocument/2006/relationships/hyperlink" Target="https://www.elespanol.com/sevilla/vivir/gastronomia/20240703/restaurante-barato-espana-sevilla-recomienda-guia-repsol/867413810_0.html" TargetMode="External"/><Relationship Id="rId2419" Type="http://schemas.openxmlformats.org/officeDocument/2006/relationships/hyperlink" Target="https://www.eleconomista.es/energia/noticias/12894643/07/24/brufau-recoge-el-premio-echegaray-.html" TargetMode="External"/><Relationship Id="rId3749" Type="http://schemas.openxmlformats.org/officeDocument/2006/relationships/hyperlink" Target="https://www.capitalradio.es/noticias/bolsa/repsol-no-mejora-tecnico-seguiria-mirando-otro-lado_134198457.html" TargetMode="External"/><Relationship Id="rId3740" Type="http://schemas.openxmlformats.org/officeDocument/2006/relationships/hyperlink" Target="https://www.lacomarcadepuertollano.com/articulo/puertollano/puertollano-trabajadores-rlesa-mantienen-fuertes-lamentan-intentos-declarar-ilegal-huelga-indefinida/20241016132243565808.html" TargetMode="External"/><Relationship Id="rId2410" Type="http://schemas.openxmlformats.org/officeDocument/2006/relationships/hyperlink" Target="https://www.businessinsider.es/economia/corte-ingles-separa-repsol-pasa-controlar-95-servicio-conjunto-estaciones-servicio-1393846" TargetMode="External"/><Relationship Id="rId3742" Type="http://schemas.openxmlformats.org/officeDocument/2006/relationships/hyperlink" Target="https://www.elespanol.com/malaga/vivir/gastronomia/20241016/restaurante-malaga-mejor-tortilla-patata-guia-repsol-mundo-trt/893661134_0.html" TargetMode="External"/><Relationship Id="rId2411" Type="http://schemas.openxmlformats.org/officeDocument/2006/relationships/hyperlink" Target="https://www.finanzas.com/ibex-35/ultimo-tren-para-cobrar-los-dividendos-de-repsol-iberdrola-caf-y-cie.html" TargetMode="External"/><Relationship Id="rId3741" Type="http://schemas.openxmlformats.org/officeDocument/2006/relationships/hyperlink" Target="https://www.segre.com/es/sociedad/241016/dos-mejores-restaurantes-disfrutar-calcots-lleida-guia-repsol_596414.html" TargetMode="External"/><Relationship Id="rId1114" Type="http://schemas.openxmlformats.org/officeDocument/2006/relationships/hyperlink" Target="https://enfoques.gal/cultura/el-restaurante-compostelano-simpar-consigue-su-primer-sol-repsol/" TargetMode="External"/><Relationship Id="rId2445" Type="http://schemas.openxmlformats.org/officeDocument/2006/relationships/hyperlink" Target="https://www.boxrepsol.com/es/motogp/resultados-de-los-entrenamientos-del-gp-de-alemania-de-motogp-2024/" TargetMode="External"/><Relationship Id="rId3777" Type="http://schemas.openxmlformats.org/officeDocument/2006/relationships/hyperlink" Target="https://gestion.pe/publirreportaje/repsol-inaugura-la-ampliacion-de-su-unidad-de-gasolinas-en-refineria-la-pampilla-noticia/" TargetMode="External"/><Relationship Id="rId1115" Type="http://schemas.openxmlformats.org/officeDocument/2006/relationships/hyperlink" Target="https://www.lanzadigital.com/provincia/puertollano/repsol-apuesta-por-el-liderazgo-femenino-en-la-parada-del-complejo-industrial-de-puertollano/" TargetMode="External"/><Relationship Id="rId2446" Type="http://schemas.openxmlformats.org/officeDocument/2006/relationships/hyperlink" Target="https://www.malagahoy.es/la-farola/heladerias-malaga-recomiendan-expertos-calor_0_2001274843.html" TargetMode="External"/><Relationship Id="rId3776" Type="http://schemas.openxmlformats.org/officeDocument/2006/relationships/hyperlink" Target="https://www.alimente.elconfidencial.com/gastronomia-y-cocina/2024-10-18/1qrt-restaurante-favorito-quique-dacosta-comer-paella-valenciana-brasa-solo-26-euros-persona_3985702/" TargetMode="External"/><Relationship Id="rId1116" Type="http://schemas.openxmlformats.org/officeDocument/2006/relationships/hyperlink" Target="https://www.cronista.com/espana/actualidad-es/repsol-busca-personal-para-ocupar-distintos-puestos-con-salarios-de-1800-euros-mensuales-y-multiples-beneficios-como-postularse/" TargetMode="External"/><Relationship Id="rId2447" Type="http://schemas.openxmlformats.org/officeDocument/2006/relationships/hyperlink" Target="https://gestion.pe/peru/repsol-asegura-haber-pagado-al-98-de-los-afectados-por-el-derrame-de-petroleo-ventanilla-pescadores-artesanales-noticia/" TargetMode="External"/><Relationship Id="rId3779" Type="http://schemas.openxmlformats.org/officeDocument/2006/relationships/hyperlink" Target="https://elcomercio.pe/deporte-total/futbol-peruano/asi-sera-el-semillero-de-futbol-femenino-de-el-comercio-repsol-igma-sports-noticia/" TargetMode="External"/><Relationship Id="rId1117" Type="http://schemas.openxmlformats.org/officeDocument/2006/relationships/hyperlink" Target="https://www.europasur.es/vivir-el-sur/Repsol-Pilar-Akaneya-Madrid-Fernandez_0_1882611996.html" TargetMode="External"/><Relationship Id="rId2448" Type="http://schemas.openxmlformats.org/officeDocument/2006/relationships/hyperlink" Target="https://diariocorreo.pe/edicion/lima/epsol-asegura-haber-indemnizado-al-98-de-afectados-por-derrame-de-petroleo-en-ventanilla-noticia/" TargetMode="External"/><Relationship Id="rId3778" Type="http://schemas.openxmlformats.org/officeDocument/2006/relationships/hyperlink" Target="https://www.boxrepsol.com/es/motogp/resultados-de-los-entrenamientos-del-gp-de-australia-de-motogp-2024/" TargetMode="External"/><Relationship Id="rId1118" Type="http://schemas.openxmlformats.org/officeDocument/2006/relationships/hyperlink" Target="https://www.elespanol.com/cocinillas/restaurantes/20240308/mejor-restaurante-nikkei-adeje-hotel-gastro-tenerife-sol-repsol/1003351724795_31.html" TargetMode="External"/><Relationship Id="rId2449" Type="http://schemas.openxmlformats.org/officeDocument/2006/relationships/hyperlink" Target="https://gestion.pe/peru/pescadores-artesanales-se-movilizan-hacia-el-congreso-por-derrame-de-petroleo-de-repsol-noticia/" TargetMode="External"/><Relationship Id="rId1119" Type="http://schemas.openxmlformats.org/officeDocument/2006/relationships/hyperlink" Target="https://www.diariodeteruel.es/entrevistas/ruben-catalan-chef-del-restaurante-de-la-torre-del-visco-estos-reconocimientos-ayudan-a-desestacionalizar-y-a-dinamizar-el-turismo-en-el-matarrana" TargetMode="External"/><Relationship Id="rId525" Type="http://schemas.openxmlformats.org/officeDocument/2006/relationships/hyperlink" Target="https://www.mundodeportivo.com/videos/motor/20240213/1002189749/asi-moto-repsol-honda-team-2024.html" TargetMode="External"/><Relationship Id="rId524" Type="http://schemas.openxmlformats.org/officeDocument/2006/relationships/hyperlink" Target="https://www.20minutos.es/deportes/noticia/5218179/0/cambio-radical-nueva-moto-repsol-honda-tras-adios-marc-marquez/" TargetMode="External"/><Relationship Id="rId523" Type="http://schemas.openxmlformats.org/officeDocument/2006/relationships/hyperlink" Target="https://www.motociclismo.es/mundial-motogp/directo-presentacion-repsol-honda-motogp-2024-joan-mir-luca-marini_289801_102.html" TargetMode="External"/><Relationship Id="rId522" Type="http://schemas.openxmlformats.org/officeDocument/2006/relationships/hyperlink" Target="https://www.marca.com/motor/motogp/2024/02/13/65cb2da4e2704e01aa8b4579.html" TargetMode="External"/><Relationship Id="rId529" Type="http://schemas.openxmlformats.org/officeDocument/2006/relationships/hyperlink" Target="https://www.motociclismo.es/mundial-motogp/honda-rc213v-repsol-motogp-2024-joan-mir-luca-marini_289816_102.html" TargetMode="External"/><Relationship Id="rId528" Type="http://schemas.openxmlformats.org/officeDocument/2006/relationships/hyperlink" Target="https://www.larazon.es/deportes/repsol-honda-transforma-volver-mas-alto-marc-marquez_2024021365cb5b20344c980001bf9b77.html" TargetMode="External"/><Relationship Id="rId527" Type="http://schemas.openxmlformats.org/officeDocument/2006/relationships/hyperlink" Target="https://www.todocircuito.com/noticias/35294-fotos:-la-nueva-y-rompedora-decoracion-del-repsol-honda-team-2024-en-motogp.html" TargetMode="External"/><Relationship Id="rId526" Type="http://schemas.openxmlformats.org/officeDocument/2006/relationships/hyperlink" Target="https://www.motogp.com/es/news/2024/02/12/repsol-honda-team-lance-son-projet-2024-avec-une-livree-inattendue/489584" TargetMode="External"/><Relationship Id="rId3771" Type="http://schemas.openxmlformats.org/officeDocument/2006/relationships/hyperlink" Target="https://www.guiarepsol.com/es/dormir/en-la-gloria/palacio-gran-via-granada/" TargetMode="External"/><Relationship Id="rId2440" Type="http://schemas.openxmlformats.org/officeDocument/2006/relationships/hyperlink" Target="https://elperiodicodelaenergia.com/repsol-vende-a-altarea-una-empresa-fotovoltaica-en-francia-por-140-millones/" TargetMode="External"/><Relationship Id="rId3770" Type="http://schemas.openxmlformats.org/officeDocument/2006/relationships/hyperlink" Target="https://www.expansion.com/empresas/energia/2024/10/18/67117273e5fdeae5568b45a3.html" TargetMode="External"/><Relationship Id="rId521" Type="http://schemas.openxmlformats.org/officeDocument/2006/relationships/hyperlink" Target="https://www.hibridosyelectricos.com/coches/repsol-compra-prometedora-empresa-puntos-recarga-con-mas-125000-estaciones_72908_102.html" TargetMode="External"/><Relationship Id="rId1110" Type="http://schemas.openxmlformats.org/officeDocument/2006/relationships/hyperlink" Target="https://www.ecoticias.com/energias-renovables/barco-espanol-combustible" TargetMode="External"/><Relationship Id="rId2441" Type="http://schemas.openxmlformats.org/officeDocument/2006/relationships/hyperlink" Target="https://www.estrategiasdeinversion.com/actualidad/noticias/empresas/repsol-vende-prejeance-industrial-a-altarea-por-n-729005" TargetMode="External"/><Relationship Id="rId3773" Type="http://schemas.openxmlformats.org/officeDocument/2006/relationships/hyperlink" Target="https://www.lanzadigital.com/provincia/puertollano/rlesa-anuncia-que-repsol-ha-presentado-una-solicitud-de-suspension-cautelar-de-la-huelga/" TargetMode="External"/><Relationship Id="rId520" Type="http://schemas.openxmlformats.org/officeDocument/2006/relationships/hyperlink" Target="https://www.canariasenmoto.com/noticias/presentacion-del-honda-repsol-team-de-luca-marini-y-joan-mir-29967" TargetMode="External"/><Relationship Id="rId1111" Type="http://schemas.openxmlformats.org/officeDocument/2006/relationships/hyperlink" Target="https://www.abc.es/gurme/cordoba/sevi-descubre-restaurantes-cordoba-tienen-repsol-y-dice-ellos-guia-202403081356_noticia.html" TargetMode="External"/><Relationship Id="rId2442" Type="http://schemas.openxmlformats.org/officeDocument/2006/relationships/hyperlink" Target="https://www.autopista.es/noticias-motor/llega-tarifa-plana-lavado-coches-te-costara-menos-suscripcion-netflix_296176_102.html" TargetMode="External"/><Relationship Id="rId3772" Type="http://schemas.openxmlformats.org/officeDocument/2006/relationships/hyperlink" Target="https://www.20minutos.es/gastronomia/restaurantes/restaurante-carretera-a4-recomendado-guia-repsol-meson-despenaperros-5641924/" TargetMode="External"/><Relationship Id="rId1112" Type="http://schemas.openxmlformats.org/officeDocument/2006/relationships/hyperlink" Target="https://www.lavozdegalicia.es/noticia/barbanza/2024/03/06/gastronomia-barbanza-reluce-dos-soles-guia-repsol-16-soletes/0003_202403B6C3991.htm" TargetMode="External"/><Relationship Id="rId2443" Type="http://schemas.openxmlformats.org/officeDocument/2006/relationships/hyperlink" Target="https://www.guiarepsol.com/es/viajar/vamos-de-excursion/calas-de-calella-de-palafrugell/" TargetMode="External"/><Relationship Id="rId3775" Type="http://schemas.openxmlformats.org/officeDocument/2006/relationships/hyperlink" Target="https://cadenaser.com/aragon/2024/10/18/una-cena-de-estrellas-y-soles-en-huesca-para-elevarse-al-cielo-de-la-gastronomia-radio-huesca/" TargetMode="External"/><Relationship Id="rId1113" Type="http://schemas.openxmlformats.org/officeDocument/2006/relationships/hyperlink" Target="https://noveldadigital.es/comarca-del-medio-vinalopo/598504/21-estrellas-michelin-y-25-soles-repsol-en-los-xxii-encuentros-gastronomicos-de-alfonso-mira/" TargetMode="External"/><Relationship Id="rId2444" Type="http://schemas.openxmlformats.org/officeDocument/2006/relationships/hyperlink" Target="https://www.diariodecadiz.es/cadizfornia/heladeria-italiana-puerto-recomendada-angel_0_2001311675.html" TargetMode="External"/><Relationship Id="rId3774" Type="http://schemas.openxmlformats.org/officeDocument/2006/relationships/hyperlink" Target="https://www.diaridetarragona.com/economia/dron-inspeccion-repsol-tarragona-economia-experiencias-profesionales-CG21505744" TargetMode="External"/><Relationship Id="rId1103" Type="http://schemas.openxmlformats.org/officeDocument/2006/relationships/hyperlink" Target="https://www.salamancahoy.es/salamanca/ciudad/restaurantes-salamanca-recomienda-guia-repsol-20240307191729-nt.html" TargetMode="External"/><Relationship Id="rId2434" Type="http://schemas.openxmlformats.org/officeDocument/2006/relationships/hyperlink" Target="https://www.infobae.com/espana/2024/07/04/las-recomendaciones-de-uno-de-los-mejores-chefs-de-asturias-para-comerse-gijon-sidrerias-cocteles-pizzas-y-pasteles/" TargetMode="External"/><Relationship Id="rId3766" Type="http://schemas.openxmlformats.org/officeDocument/2006/relationships/hyperlink" Target="https://www.eleconomista.es/transportes-turismo/noticias/13038124/10/24/carlos-suarez-repsol-el-saf-es-estrategico-para-transformar-nuestros-complejos-industriales-hacia-una-produccion-mas-sostenible.html" TargetMode="External"/><Relationship Id="rId1104" Type="http://schemas.openxmlformats.org/officeDocument/2006/relationships/hyperlink" Target="https://sevillasecreta.co/sr-cangrejo-sol-repsol/" TargetMode="External"/><Relationship Id="rId2435" Type="http://schemas.openxmlformats.org/officeDocument/2006/relationships/hyperlink" Target="https://www.bonviveur.es/noticias/mejores-restaurantes-espana" TargetMode="External"/><Relationship Id="rId3765" Type="http://schemas.openxmlformats.org/officeDocument/2006/relationships/hyperlink" Target="https://www.repsol.es/autonomos-y-empresas/asesoramiento/ventajas-del-certificado-de-ahorro-energetico/" TargetMode="External"/><Relationship Id="rId1105" Type="http://schemas.openxmlformats.org/officeDocument/2006/relationships/hyperlink" Target="https://www.levante-emv.com/ribera/2024/03/07/chef-carcaixent-alex-vidal-logra-sol-repsol-sabores-tradicionales-99158134.html" TargetMode="External"/><Relationship Id="rId2436" Type="http://schemas.openxmlformats.org/officeDocument/2006/relationships/hyperlink" Target="https://cooperaccion.org.pe/pescadores-afectados-por-el-derrame-de-repsol-marcharan-el-05-de-julio/" TargetMode="External"/><Relationship Id="rId3768" Type="http://schemas.openxmlformats.org/officeDocument/2006/relationships/hyperlink" Target="https://elperiodicodelaenergia.com/granada-estrena-una-catedra-de-ia-con-repsol-centrada-en-seguridad-privacidad-y-derechos/" TargetMode="External"/><Relationship Id="rId1106" Type="http://schemas.openxmlformats.org/officeDocument/2006/relationships/hyperlink" Target="https://efe.com/comunidad-valenciana/2024-03-07/la-chef-begona-rodrigo-afirma-que-su-exito-premia-el-trabajo-y-la-red-que-la-ha-cuidado/" TargetMode="External"/><Relationship Id="rId2437" Type="http://schemas.openxmlformats.org/officeDocument/2006/relationships/hyperlink" Target="https://www.aporrea.org/energia/a332216.html" TargetMode="External"/><Relationship Id="rId3767" Type="http://schemas.openxmlformats.org/officeDocument/2006/relationships/hyperlink" Target="https://www.boxrepsol.com/es/honda_cbr_1000_repsol/" TargetMode="External"/><Relationship Id="rId1107" Type="http://schemas.openxmlformats.org/officeDocument/2006/relationships/hyperlink" Target="https://www.utreradigital.com/web/restaurante-besana-tapas-consolida-presencia-recomendados-prestigiosa-guia-repsol/" TargetMode="External"/><Relationship Id="rId2438" Type="http://schemas.openxmlformats.org/officeDocument/2006/relationships/hyperlink" Target="https://confilegal.com/20240705-entrevista-pablo-blanco-repsol-con-la-ia-las-reglas-del-juego-cambiansera-el-mas-rapido-el-que-se-coma-al-mas-lento/" TargetMode="External"/><Relationship Id="rId1108" Type="http://schemas.openxmlformats.org/officeDocument/2006/relationships/hyperlink" Target="https://www.elespanol.com/cocinillas/restaurantes/20240307/rey-arroces-canarias-restaurante-lanzarote-luce-nuevo-sol-repsol/836666738_0.html" TargetMode="External"/><Relationship Id="rId2439" Type="http://schemas.openxmlformats.org/officeDocument/2006/relationships/hyperlink" Target="https://www.elconfidencial.com/juridico/2024-07-05/repsol-ficha-despacho-top-magic-circle-aramco_3917170/" TargetMode="External"/><Relationship Id="rId3769" Type="http://schemas.openxmlformats.org/officeDocument/2006/relationships/hyperlink" Target="https://www.elindependiente.com/espana/2024/10/18/160-millones-de-la-ue-en-el-aire-para-una-planta-de-hidrogeno-verde-congelada-de-repsol/" TargetMode="External"/><Relationship Id="rId1109" Type="http://schemas.openxmlformats.org/officeDocument/2006/relationships/hyperlink" Target="https://puromotor.com/industria/repsol-nzi-honda-presenta-su-equipo-para-la-temporada-2024/" TargetMode="External"/><Relationship Id="rId519" Type="http://schemas.openxmlformats.org/officeDocument/2006/relationships/hyperlink" Target="https://www.kelisto.es/electricidad/consejos-y-analisis/waylet-repsol" TargetMode="External"/><Relationship Id="rId514" Type="http://schemas.openxmlformats.org/officeDocument/2006/relationships/hyperlink" Target="https://cadenaser.com/castillalamancha/2024/02/13/repsol-despide-a-seis-trabajadores-de-la-planta-de-asfaltos-de-puertollano-por-un-caso-de-acoso-laboral-a-una-companera-ser-ciudad-real/" TargetMode="External"/><Relationship Id="rId513" Type="http://schemas.openxmlformats.org/officeDocument/2006/relationships/hyperlink" Target="https://www.boxrepsol.com/es/motogp/el-equipo-repsol-honda-se-presenta-en-madrid-en-un-ano-clave-por-la-llegada-de-los-combustibles-renovables-a-motogp/" TargetMode="External"/><Relationship Id="rId512" Type="http://schemas.openxmlformats.org/officeDocument/2006/relationships/hyperlink" Target="https://www.motogp.com/en/news/2024/02/13/gallery-repsol-honda-unveil-fresh-colours-for-2024/489585" TargetMode="External"/><Relationship Id="rId511" Type="http://schemas.openxmlformats.org/officeDocument/2006/relationships/hyperlink" Target="https://www.fundacionrepsol.com/es/noticias/fundacion-repsol-renueva-su-compromiso-con-la-educacion-y-las-mujeres-stem/" TargetMode="External"/><Relationship Id="rId518" Type="http://schemas.openxmlformats.org/officeDocument/2006/relationships/hyperlink" Target="https://www.motorpoint.com/se-espera-un-ano-duro-y-de-transicion-para-repsol-honda" TargetMode="External"/><Relationship Id="rId517" Type="http://schemas.openxmlformats.org/officeDocument/2006/relationships/hyperlink" Target="https://as.com/motor/fotorrelato/repsol-honda-presenta-la-moto-de-joan-mir-y-luca-marini-f/" TargetMode="External"/><Relationship Id="rId516" Type="http://schemas.openxmlformats.org/officeDocument/2006/relationships/hyperlink" Target="https://cincodias.elpais.com/companias/2024-02-14/electrica-contra-petrolera-la-batalla-abierta-entre-iberdrola-y-repsol.html" TargetMode="External"/><Relationship Id="rId515" Type="http://schemas.openxmlformats.org/officeDocument/2006/relationships/hyperlink" Target="https://www.mundodeportivo.com/motor/motogp/20240213/1002189562/repsol-honda.html" TargetMode="External"/><Relationship Id="rId3760" Type="http://schemas.openxmlformats.org/officeDocument/2006/relationships/hyperlink" Target="https://www.miciudadreal.es/2024/10/17/navec-presenta-un-dramatico-ere-extintivo-para-toda-la-plantilla-de-puertollano-y-los-sindicatos-convocan-huelga-indefinida-en-demanda-de-subrogacion/" TargetMode="External"/><Relationship Id="rId510" Type="http://schemas.openxmlformats.org/officeDocument/2006/relationships/hyperlink" Target="https://www.actualidadambiental.pe/publicacion-derrame-repsol-conoce-el-rol-del-tercero-administrado-en-procedimientos-de-relevancia-ambiental/" TargetMode="External"/><Relationship Id="rId2430" Type="http://schemas.openxmlformats.org/officeDocument/2006/relationships/hyperlink" Target="https://www.corresponsables.com/actualidad/buen-gobierno/inditex-mercadona-grupo-social-once-repsol-y-coca-cola-son-las-empresas-con-mejor-reputacion-de-espana-en-2024/" TargetMode="External"/><Relationship Id="rId3762" Type="http://schemas.openxmlformats.org/officeDocument/2006/relationships/hyperlink" Target="https://www.guiarepsol.com/es/dormir/como-en-casa/casas-rurales-comarca-veratton-villanueva-vera/" TargetMode="External"/><Relationship Id="rId1100" Type="http://schemas.openxmlformats.org/officeDocument/2006/relationships/hyperlink" Target="https://www.elcomercio.es/gastronomia/restaurantes/restaurantes-asturias-salen-guia-repsol-2024-soles-recomendaciones-20240305200958-nt.html" TargetMode="External"/><Relationship Id="rId2431" Type="http://schemas.openxmlformats.org/officeDocument/2006/relationships/hyperlink" Target="https://www.economiadigital.es/galicia/empresas/repsol-endesa-navantia-grandes-clientes-amper.html" TargetMode="External"/><Relationship Id="rId3761" Type="http://schemas.openxmlformats.org/officeDocument/2006/relationships/hyperlink" Target="https://www.abc.es/gurme/malaga/tortilla-patatas-cotxino-mejor-malaga-segun-guia-20241017113832-nts.html" TargetMode="External"/><Relationship Id="rId1101" Type="http://schemas.openxmlformats.org/officeDocument/2006/relationships/hyperlink" Target="https://www.guiarepsol.com/es/soles-repsol/soles-2024/nuevos-soles-2024-donde-la-brasa-es-la-protagonista/" TargetMode="External"/><Relationship Id="rId2432" Type="http://schemas.openxmlformats.org/officeDocument/2006/relationships/hyperlink" Target="https://www.revistainforetail.com/noticiadet/inditex-mercadona-once-repsol-y-coca-cola-las-empresas-mejor-valoradas-del-top-100-de-merco/3bd9285c1b03bd85a6f9f50d9e3bfb89" TargetMode="External"/><Relationship Id="rId3764" Type="http://schemas.openxmlformats.org/officeDocument/2006/relationships/hyperlink" Target="https://canal.ugr.es/noticia/arranca-la-catedra-universidad-empresa-de-inteligencia-artificial-en-colaboracion-con-repsol/" TargetMode="External"/><Relationship Id="rId1102" Type="http://schemas.openxmlformats.org/officeDocument/2006/relationships/hyperlink" Target="https://nuevecuatrouno.com/2024/03/07/los-27-restaurantes-riojanos-que-recomienda-la-guia-repsol/" TargetMode="External"/><Relationship Id="rId2433" Type="http://schemas.openxmlformats.org/officeDocument/2006/relationships/hyperlink" Target="https://globalenergy.mx/noticias/repsol-compra-el-45-de-estaciones-de-servicio-de-el-corte-ingles/" TargetMode="External"/><Relationship Id="rId3763" Type="http://schemas.openxmlformats.org/officeDocument/2006/relationships/hyperlink" Target="https://regalosymuestrasgratis.com/guia-repsol-sortea-40-reembolsos-de-hasta-100e-en-restaurantes.html" TargetMode="External"/><Relationship Id="rId3711" Type="http://schemas.openxmlformats.org/officeDocument/2006/relationships/hyperlink" Target="https://www.guiarepsol.com/es/viajar/vamos-de-excursion/escapada-moianes-barcelona/" TargetMode="External"/><Relationship Id="rId3710" Type="http://schemas.openxmlformats.org/officeDocument/2006/relationships/hyperlink" Target="https://www.laopinioncoruna.es/coruna/2024/10/15/simulacro-coruna-sonado-alerta-moviles-109334281.html" TargetMode="External"/><Relationship Id="rId3713" Type="http://schemas.openxmlformats.org/officeDocument/2006/relationships/hyperlink" Target="https://www.elperiodicodearagon.com/zaragoza/2024/10/15/guia-repsol-recomienda-restaurantes-zaragoza-dv-109356695.html" TargetMode="External"/><Relationship Id="rId3712" Type="http://schemas.openxmlformats.org/officeDocument/2006/relationships/hyperlink" Target="https://www.diariodeleon.es/leon/241015/1647284/mejor-pincho-tortilla-leon-app-guia-repsol.html" TargetMode="External"/><Relationship Id="rId3715" Type="http://schemas.openxmlformats.org/officeDocument/2006/relationships/hyperlink" Target="https://www.mundodeportivo.com/motor/rally-dakar/20241015/1002333480/dakar-combustible-hecho-gracias-cerveza-vino.html" TargetMode="External"/><Relationship Id="rId3714" Type="http://schemas.openxmlformats.org/officeDocument/2006/relationships/hyperlink" Target="https://www.elespanol.com/invertia/empresas/energia/20241015/bonanza-petrolera-enfria-caidas-demanda-margenes-refino-golpean-sector/893411007_0.html" TargetMode="External"/><Relationship Id="rId3717" Type="http://schemas.openxmlformats.org/officeDocument/2006/relationships/hyperlink" Target="https://www.bolsamania.com/noticias/cronica-ibex/15-octubre-2024-alza-records-wall-street-nvidia--17684290.html" TargetMode="External"/><Relationship Id="rId3716" Type="http://schemas.openxmlformats.org/officeDocument/2006/relationships/hyperlink" Target="https://www.elespanol.com/eldigitalcastillalamancha/vivir/gastro/20241015/mejor-tortilla-patatas-castilla-la-mancha-sirve-bar-toledo-guia-repsol-trt/893661049_0.html" TargetMode="External"/><Relationship Id="rId3719" Type="http://schemas.openxmlformats.org/officeDocument/2006/relationships/hyperlink" Target="https://www.elidealgallego.com/articulo/a-coruna/asi-sonado-moviles-coruna-arteixo-durante-simulacro-alerta-xunta-5032337" TargetMode="External"/><Relationship Id="rId3718" Type="http://schemas.openxmlformats.org/officeDocument/2006/relationships/hyperlink" Target="https://www.diarimes.com/es/camp-tarragona/241015/tres-mejores-restaurantes-disfrutar-calcots-tarragona-guia-repsol_153523.html" TargetMode="External"/><Relationship Id="rId3700" Type="http://schemas.openxmlformats.org/officeDocument/2006/relationships/hyperlink" Target="https://www.laopinioncoruna.es/videos/a-coruna-metro/2024/10/15/simulacion-accidente-repsol-butano-marco-109348378.html" TargetMode="External"/><Relationship Id="rId3702" Type="http://schemas.openxmlformats.org/officeDocument/2006/relationships/hyperlink" Target="https://www.elcorreo.com/jantour/restaurantes/tortilla-patata-bilbao-guia-repsol-recomienda-mejores-20241015134729-nt.html" TargetMode="External"/><Relationship Id="rId3701" Type="http://schemas.openxmlformats.org/officeDocument/2006/relationships/hyperlink" Target="https://www.ondacero.es/emisoras/galicia/coruna/mas-de-uno/completado-exito-envio-masivo-dos-mensajes-texto-sonido-via-esalert-simulacro-repsolbutano_20241015670e5db2e2e54f000181ab42.html" TargetMode="External"/><Relationship Id="rId3704" Type="http://schemas.openxmlformats.org/officeDocument/2006/relationships/hyperlink" Target="https://www.diaridetarragona.com/cultura/guia-gastronomica/los-restaurantes-donde-comer-calcots-en-tarragona-que-recomienda-la-guia-repsol-BC21456106" TargetMode="External"/><Relationship Id="rId3703" Type="http://schemas.openxmlformats.org/officeDocument/2006/relationships/hyperlink" Target="https://www.elespanol.com/quincemil/a-coruna/20241015/simulacro-accidente-refineria-coruna-galicia/893660749_0.html" TargetMode="External"/><Relationship Id="rId3706" Type="http://schemas.openxmlformats.org/officeDocument/2006/relationships/hyperlink" Target="https://metropolitano.gal/enfoque/una-de-las-17-mejores-tortillas-de-patatas-de-espana-esta-en-galicia-segun-la-guia-repsol/" TargetMode="External"/><Relationship Id="rId3705" Type="http://schemas.openxmlformats.org/officeDocument/2006/relationships/hyperlink" Target="https://www.diariodesantiago.es/galicia/un-simulacro-de-alerta-en-a-coruna-activa-miles-de-moviles-por-un-posible-accidente-en-la-refineria-de-repsol/" TargetMode="External"/><Relationship Id="rId3708" Type="http://schemas.openxmlformats.org/officeDocument/2006/relationships/hyperlink" Target="https://www.guiarepsol.com/es/viajar/vamos-de-excursion/excursion-tetas-de-viana-la-alcarria-guadalajara/" TargetMode="External"/><Relationship Id="rId3707" Type="http://schemas.openxmlformats.org/officeDocument/2006/relationships/hyperlink" Target="https://elperiodicodelaenergia.com/miles-de-moviles-reciben-una-alerta-por-simulacro-de-accidente-en-repsol-butano-a-coruna/" TargetMode="External"/><Relationship Id="rId3709" Type="http://schemas.openxmlformats.org/officeDocument/2006/relationships/hyperlink" Target="https://diariodeavisos.elespanol.com/2024/10/panaderia-zulay-renueva-solete-guia-repsol/" TargetMode="External"/><Relationship Id="rId2401" Type="http://schemas.openxmlformats.org/officeDocument/2006/relationships/hyperlink" Target="https://www.estrategiasdeinversion.com/actualidad/noticias/bolsa-espana/repsol-podria-subir-un-19-segun-alphavalue-baader-n-728055" TargetMode="External"/><Relationship Id="rId3733" Type="http://schemas.openxmlformats.org/officeDocument/2006/relationships/hyperlink" Target="https://www.cronista.com/espana/ibex-euro/repsol-a-cuanto-cotiza-hoy-miercoles-16-de-octubre/" TargetMode="External"/><Relationship Id="rId2402" Type="http://schemas.openxmlformats.org/officeDocument/2006/relationships/hyperlink" Target="https://www.libremercado.com/2024-07-02/los-clientes-de-repsol-podran-acumular-avios-de-vueling-e-iag-loyalty-7143188/" TargetMode="External"/><Relationship Id="rId3732" Type="http://schemas.openxmlformats.org/officeDocument/2006/relationships/hyperlink" Target="https://www.elespanol.com/quincemil/vivir/gastrogalicia/20241016/tortilla-patata-gallega-recomienda-guia-repsol/893910976_0.html" TargetMode="External"/><Relationship Id="rId2403" Type="http://schemas.openxmlformats.org/officeDocument/2006/relationships/hyperlink" Target="https://www.hispanidad.com/economia/galp-repsol-petroleras-europeas-mejor-aprovechan-subida-petroleo-por-mayor-tension-en-oriente-medio_12052243_102.html" TargetMode="External"/><Relationship Id="rId3735" Type="http://schemas.openxmlformats.org/officeDocument/2006/relationships/hyperlink" Target="https://www.lacerca.com/noticias/ciudad_real/plantilla-rlesa-puertollano-huelga-parar-planta-lubricantes-empresa-736231-1.html" TargetMode="External"/><Relationship Id="rId2404" Type="http://schemas.openxmlformats.org/officeDocument/2006/relationships/hyperlink" Target="https://www.huelvainformacion.es/destino-huelva/pequeno-restaurante-bello-pueblo-huelva_0_2001094155.html" TargetMode="External"/><Relationship Id="rId3734" Type="http://schemas.openxmlformats.org/officeDocument/2006/relationships/hyperlink" Target="https://www.diariodesevilla.es/vivirensevilla/alta-cocina-provincia-sevilla-restaurantes-michelin-repsol_0_2002565819.html" TargetMode="External"/><Relationship Id="rId2405" Type="http://schemas.openxmlformats.org/officeDocument/2006/relationships/hyperlink" Target="https://www.guiarepsol.com/es/comer/nuestros-favoritos/terrazas-con-vistas-al-mar-en-bizkaia/" TargetMode="External"/><Relationship Id="rId3737" Type="http://schemas.openxmlformats.org/officeDocument/2006/relationships/hyperlink" Target="https://www.ondavasca.com/la-tortilla-de-patata-bilbaina-por-la-que-merece-la-pena-subir-escaleras/" TargetMode="External"/><Relationship Id="rId2406" Type="http://schemas.openxmlformats.org/officeDocument/2006/relationships/hyperlink" Target="https://www.eleconomista.es/energia/noticias/12892844/07/24/antonio-brufau-galardonado-con-el-vi-premio-jose-echegaray-de-eleconomista.html" TargetMode="External"/><Relationship Id="rId3736" Type="http://schemas.openxmlformats.org/officeDocument/2006/relationships/hyperlink" Target="https://www.deia.eus/bilbao/2024/10/16/17-mejores-tortillas-patata-bilbao-8812500.html" TargetMode="External"/><Relationship Id="rId2407" Type="http://schemas.openxmlformats.org/officeDocument/2006/relationships/hyperlink" Target="https://www.elplural.com/playtime/35000-personas-llenan-ifema-espectacular-festival-love-the-twenties_332858102" TargetMode="External"/><Relationship Id="rId3739" Type="http://schemas.openxmlformats.org/officeDocument/2006/relationships/hyperlink" Target="https://www.diariovasco.com/san-sebastian/restaurante-catalan-san-sebastian-critica-plato-estrella-calcots-20241016092530-nt.html" TargetMode="External"/><Relationship Id="rId2408" Type="http://schemas.openxmlformats.org/officeDocument/2006/relationships/hyperlink" Target="https://fashionunited.es/noticias/empresas/el-corte-ingles-vende-a-repsol-el-45-por-ciento-de-su-joint-venture-de-gasolineras/2024070343513" TargetMode="External"/><Relationship Id="rId3738" Type="http://schemas.openxmlformats.org/officeDocument/2006/relationships/hyperlink" Target="https://www.heraldodiariodesoria.es/soria/241016/194587/castilla-leon-zamora-acogera-proximos-29-30-octubre-i-concurso-regional-pinchos-tapas-castilla-leon.html" TargetMode="External"/><Relationship Id="rId2409" Type="http://schemas.openxmlformats.org/officeDocument/2006/relationships/hyperlink" Target="https://www.eleconomista.es/energia/noticias/12893472/07/24/repsol-se-alia-con-vueling-para-ofrecer-avios-en-sus-repostajes.html" TargetMode="External"/><Relationship Id="rId3731" Type="http://schemas.openxmlformats.org/officeDocument/2006/relationships/hyperlink" Target="https://www.guiarepsol.com/es/comer/nuestros-favoritos/donde-comer-morena-en-cadiz/" TargetMode="External"/><Relationship Id="rId2400" Type="http://schemas.openxmlformats.org/officeDocument/2006/relationships/hyperlink" Target="https://www.epe.es/es/activos/20240702/cepsa-naturgy-repsol-biometano-gas-renovable-alianza-prezero-104823442" TargetMode="External"/><Relationship Id="rId3730" Type="http://schemas.openxmlformats.org/officeDocument/2006/relationships/hyperlink" Target="https://www.noticiasdenavarra.com/gastronomia/2024/10/16/restaurante-pamplona-elegido-guia-repsol-comer-tortilla-patata-8812751.html" TargetMode="External"/><Relationship Id="rId3722" Type="http://schemas.openxmlformats.org/officeDocument/2006/relationships/hyperlink" Target="https://www.marketingnews.es/marcas/noticia/1185245054305/los-tres-anuncios-de-repsol-para-aproximarse-de-manera-original-y-divertida-al-usuario.1.html" TargetMode="External"/><Relationship Id="rId3721" Type="http://schemas.openxmlformats.org/officeDocument/2006/relationships/hyperlink" Target="https://es.greenpeace.org/es/en-profundidad/destroyers-planeta-cumbres-clima-biodiversidad/repsol-energia-y-poder-en-juego/" TargetMode="External"/><Relationship Id="rId3724" Type="http://schemas.openxmlformats.org/officeDocument/2006/relationships/hyperlink" Target="https://dircomfidencial.com/marketing/la-nueva-campana-de-ddb-para-repsol-nos-anima-a-despreocuparnos-de-la-luz-20241016-1113/" TargetMode="External"/><Relationship Id="rId3723" Type="http://schemas.openxmlformats.org/officeDocument/2006/relationships/hyperlink" Target="https://www.marketingdirecto.com/creacion/campanas-de-marketing/repsol-invita-despreocuparse-luz-campana" TargetMode="External"/><Relationship Id="rId3726" Type="http://schemas.openxmlformats.org/officeDocument/2006/relationships/hyperlink" Target="https://www.lasprovincias.es/gastronomia/tortilla-patata-valenciana-guia-repsol-incluye-mejores-20241016014237-nt.html" TargetMode="External"/><Relationship Id="rId3725" Type="http://schemas.openxmlformats.org/officeDocument/2006/relationships/hyperlink" Target="https://ipmark.com/repsol-anima-despreocuparse-de-luz-en-nueva-campana/" TargetMode="External"/><Relationship Id="rId3728" Type="http://schemas.openxmlformats.org/officeDocument/2006/relationships/hyperlink" Target="https://es.investing.com/analysis/analisis-tecnico-de-iag-repsol-y-ohla-200473130" TargetMode="External"/><Relationship Id="rId3727" Type="http://schemas.openxmlformats.org/officeDocument/2006/relationships/hyperlink" Target="https://www.eleconomista.es/mercados-cotizaciones/noticias/13033700/10/24/repsol-pierde-su-consejo-de-compra-y-cede-como-el-resto-de-petroleras-ante-la-caida-del-precio-del-crudo.html" TargetMode="External"/><Relationship Id="rId3729" Type="http://schemas.openxmlformats.org/officeDocument/2006/relationships/hyperlink" Target="https://www.larazon.es/lr-content/propuesta-joven-industria-espanola-bacterias-que-capturan-convierten-azucar_20241016670019d4077ed10001e0537c.html" TargetMode="External"/><Relationship Id="rId3720" Type="http://schemas.openxmlformats.org/officeDocument/2006/relationships/hyperlink" Target="https://www.boxrepsol.com/es/motogp/horarios-y-donde-ver-la-motogp-de-australia/" TargetMode="External"/><Relationship Id="rId4206" Type="http://schemas.openxmlformats.org/officeDocument/2006/relationships/hyperlink" Target="https://eltelevisero.huffingtonpost.es/2024/11/isabel-rabago-pasa-de-telecinco-a-tve-con-su-salto-a-este-inesperado-programa-con-famosos/" TargetMode="External"/><Relationship Id="rId4205" Type="http://schemas.openxmlformats.org/officeDocument/2006/relationships/hyperlink" Target="https://www.lasprovincias.es/economia/depositos-albergan-miles-coches-embarrados-espera-duenos-20241108022814-nt.html" TargetMode="External"/><Relationship Id="rId4208" Type="http://schemas.openxmlformats.org/officeDocument/2006/relationships/hyperlink" Target="https://www.aragondigital.es/articulo/sociedad/dice-guia-repsol-son-mejores-restaurantes-carretera-aragon/20241110100000894426.html" TargetMode="External"/><Relationship Id="rId4207" Type="http://schemas.openxmlformats.org/officeDocument/2006/relationships/hyperlink" Target="https://www.economiadigital.es/empresas/iberdrola-repsol-naturgy-acciona-energia-pierden-5300-millones-bolsa-trump.html" TargetMode="External"/><Relationship Id="rId590" Type="http://schemas.openxmlformats.org/officeDocument/2006/relationships/hyperlink" Target="https://www.farodevigo.es/comarcas/2024/02/18/heridos-aparatoso-accidente-redondela-98335773.html" TargetMode="External"/><Relationship Id="rId4209" Type="http://schemas.openxmlformats.org/officeDocument/2006/relationships/hyperlink" Target="https://www.elcorreogallego.es/galicia/2024/11/10/ingenieros-industriales-xunta-reunen-actores-111558564.html" TargetMode="External"/><Relationship Id="rId589" Type="http://schemas.openxmlformats.org/officeDocument/2006/relationships/hyperlink" Target="https://www.lasprovincias.es/sucesos/atraca-gasolinera-naquera-tras-amenazar-empleada-cuchillo-20240218183930-nt.html" TargetMode="External"/><Relationship Id="rId588" Type="http://schemas.openxmlformats.org/officeDocument/2006/relationships/hyperlink" Target="https://elpais.com/economia/2024-02-19/cuatro-gigantes-financieros-de-ee-uu-dan-un-paso-atras-en-materia-climatica-ante-la-presion-politica.html" TargetMode="External"/><Relationship Id="rId1170" Type="http://schemas.openxmlformats.org/officeDocument/2006/relationships/hyperlink" Target="https://www.eitb.eus/es/noticias/economia/videos/detalle/9447596/video-la-planta-de-combustible-sintetico-de-repsol-en-bilbao-estara-en-marcha-para-20252026/" TargetMode="External"/><Relationship Id="rId1171" Type="http://schemas.openxmlformats.org/officeDocument/2006/relationships/hyperlink" Target="https://cadenaser.com/euskadi/2024/03/14/el-santuario-del-equipo-honda-repsol-de-moto-gp-radio-bilbao/" TargetMode="External"/><Relationship Id="rId583" Type="http://schemas.openxmlformats.org/officeDocument/2006/relationships/hyperlink" Target="https://www.diariodepontevedra.es/articulo/pontevedra/tiron-zara-detona-expansion-panaderia-pumper-gutierrez-mellado/202402171226561292369.html" TargetMode="External"/><Relationship Id="rId1172" Type="http://schemas.openxmlformats.org/officeDocument/2006/relationships/hyperlink" Target="https://www.deia.eus/economia/2024/03/14/petronor-prueba-laboratorio-nuevo-combustible-7996593.html" TargetMode="External"/><Relationship Id="rId582" Type="http://schemas.openxmlformats.org/officeDocument/2006/relationships/hyperlink" Target="https://www.cartagenadehoy.com/index.php/39-noticia/lo-sabias/46435-quizas-los-sabias-pero-y-si-no-2" TargetMode="External"/><Relationship Id="rId1173" Type="http://schemas.openxmlformats.org/officeDocument/2006/relationships/hyperlink" Target="https://www.boxrepsol.com/es/vive-tu-moto/mejores-museos-motos/" TargetMode="External"/><Relationship Id="rId581" Type="http://schemas.openxmlformats.org/officeDocument/2006/relationships/hyperlink" Target="https://www.mundodeportivo.com/motor/motogp/20240214/1002190399/jefe-marc-marquez-explica-paso-valencia-saco-poco-contexto-smd.html" TargetMode="External"/><Relationship Id="rId1174" Type="http://schemas.openxmlformats.org/officeDocument/2006/relationships/hyperlink" Target="https://www.guiarepsol.com/es/comer/en-el-mercado/flores-plato-proceso-creativo-innoflower-restaurante-gente-rara/" TargetMode="External"/><Relationship Id="rId4200" Type="http://schemas.openxmlformats.org/officeDocument/2006/relationships/hyperlink" Target="https://elperiodicodelaenergia.com/adjudicadas-las-prospecciones-geotermicas-en-la-mitad-sur-de-la-palma/" TargetMode="External"/><Relationship Id="rId580" Type="http://schemas.openxmlformats.org/officeDocument/2006/relationships/hyperlink" Target="https://andaluciaeconomica.com/naturaleza-encendida-el-tesoro-iluminado-del-real-alcazar-de-sevilla/" TargetMode="External"/><Relationship Id="rId1175" Type="http://schemas.openxmlformats.org/officeDocument/2006/relationships/hyperlink" Target="https://www.infobae.com/peru/2024/03/14/derrame-de-petroleo-de-repsol-pescadores-protestan-afuera-de-la-pcm-para-denunciar-que-ya-van-2-anos-sin-justicia/" TargetMode="External"/><Relationship Id="rId587" Type="http://schemas.openxmlformats.org/officeDocument/2006/relationships/hyperlink" Target="https://www.elespanol.com/motor/20240218/javier-ariztegui-atacar-descarbonizacion-electrificacion-combustibles-renovables/833166841_0.html" TargetMode="External"/><Relationship Id="rId1176" Type="http://schemas.openxmlformats.org/officeDocument/2006/relationships/hyperlink" Target="https://tele7.tv/petronor-ensaya-un-nuevo-combustible-sintetico/" TargetMode="External"/><Relationship Id="rId4202" Type="http://schemas.openxmlformats.org/officeDocument/2006/relationships/hyperlink" Target="https://elcomercio.pe/deporte-total/futbol-peruano/semillero-repsol-futbol-femenino-aca-nacera-la-futura-estrella-del-futbol-peruano-la-colorida-barra-de-balon-rosa-que-dijo-presente-en-el-semillero-del-diario-el-comercio-noticia/" TargetMode="External"/><Relationship Id="rId586" Type="http://schemas.openxmlformats.org/officeDocument/2006/relationships/hyperlink" Target="https://www.expansion.com/empresas/2024/02/18/65d203ba468aeb6b318b4580.html" TargetMode="External"/><Relationship Id="rId1177" Type="http://schemas.openxmlformats.org/officeDocument/2006/relationships/hyperlink" Target="https://www.neo2.com/restaurante-cookaluzka-vegano-madrid/" TargetMode="External"/><Relationship Id="rId4201" Type="http://schemas.openxmlformats.org/officeDocument/2006/relationships/hyperlink" Target="https://www.elnacional.cat/oneconomia/es/empresas/brufau-carga-contra-deseos-aspiracionales-gobierno-coche-electrico-hidrogeno-eolica_1314202_102.html" TargetMode="External"/><Relationship Id="rId585" Type="http://schemas.openxmlformats.org/officeDocument/2006/relationships/hyperlink" Target="https://www.lasprovincias.es/economia/boe-publica-nuevo-precio-tabaco-cambian-varias-20240217081415-nt.html" TargetMode="External"/><Relationship Id="rId1178" Type="http://schemas.openxmlformats.org/officeDocument/2006/relationships/hyperlink" Target="https://www.farodevigo.es/sociedad/2024/03/13/cinco-proyectos-revolucionarios-mejorar-futuro-99422689.html" TargetMode="External"/><Relationship Id="rId4204" Type="http://schemas.openxmlformats.org/officeDocument/2006/relationships/hyperlink" Target="https://www.diaridetarragona.com/tarragona/nos-invitaban-a-comer-con-lo-poco-que-tenian-BJ21822704" TargetMode="External"/><Relationship Id="rId584" Type="http://schemas.openxmlformats.org/officeDocument/2006/relationships/hyperlink" Target="https://www.vavel.com/es/motor/2024/02/15/motogp/1172560-dani-pedrosa-el-samurai-sin-corona.html" TargetMode="External"/><Relationship Id="rId1179" Type="http://schemas.openxmlformats.org/officeDocument/2006/relationships/hyperlink" Target="https://www.mdzol.com/policiales/2024/3/14/video-detienen-dos-jovenes-delincuentes-por-el-robo-de-una-moto-en-la-ciudad-de-mendoza-412844.html" TargetMode="External"/><Relationship Id="rId4203" Type="http://schemas.openxmlformats.org/officeDocument/2006/relationships/hyperlink" Target="https://emprendedores.es/sostenibilidad/repsol-cerveza-pan/" TargetMode="External"/><Relationship Id="rId1169" Type="http://schemas.openxmlformats.org/officeDocument/2006/relationships/hyperlink" Target="https://esradio.libertaddigital.com/galicia/2024-03-13/o-son-do-camino-presenta-su-cartel-por-dias-7107373/" TargetMode="External"/><Relationship Id="rId579" Type="http://schemas.openxmlformats.org/officeDocument/2006/relationships/hyperlink" Target="https://www.dw.com/es/pescadores-peruanos-a-la-deriva-dos-a%C3%B1os-despu%C3%A9s-del-derrame-de-petr%C3%B3leo/a-68283058" TargetMode="External"/><Relationship Id="rId578" Type="http://schemas.openxmlformats.org/officeDocument/2006/relationships/hyperlink" Target="https://www.eleconomista.es/energia/noticias/12677033/02/24/la-historica-general-electric-se-trocea-inicia-la-escision-de-su-negocio-de-energia-ge-vernova.html" TargetMode="External"/><Relationship Id="rId577" Type="http://schemas.openxmlformats.org/officeDocument/2006/relationships/hyperlink" Target="https://elperiodicodelaenergia.com/regasificadora-sagunto-no-esta-disponible-incidencia-red-transporte/" TargetMode="External"/><Relationship Id="rId2490" Type="http://schemas.openxmlformats.org/officeDocument/2006/relationships/hyperlink" Target="https://www.elespanol.com/invertia/mercados/20240708/repsol-ofrece-interesantes-estrategias-entrada-corto-plazo/868913148_0.html" TargetMode="External"/><Relationship Id="rId1160" Type="http://schemas.openxmlformats.org/officeDocument/2006/relationships/hyperlink" Target="https://www.economiadigital.es/valencia/empresas/mercadona-firma-con-iberdrola-repsol-edf-y-statkraft-el-suministro-de-energia-para-10-anos.html" TargetMode="External"/><Relationship Id="rId2491" Type="http://schemas.openxmlformats.org/officeDocument/2006/relationships/hyperlink" Target="https://www.excelsior.com.mx/nacional/eni-repsol-descubren-petroleo-gas-frente-costas-mexico/1661554" TargetMode="External"/><Relationship Id="rId572" Type="http://schemas.openxmlformats.org/officeDocument/2006/relationships/hyperlink" Target="https://www.lavozdelsur.es/ediciones/sevilla/naturaleza-encendida-en-sevilla-espectaculo-45-minutos-por-14-euros-sin-devolucion-si-llueve_310001_102.html" TargetMode="External"/><Relationship Id="rId1161" Type="http://schemas.openxmlformats.org/officeDocument/2006/relationships/hyperlink" Target="https://www.elespanol.com/castilla-y-leon/region/valladolid/20240313/vuelca-camion-repsol-carretera-provincia-valladolid/839666342_0.html" TargetMode="External"/><Relationship Id="rId2492" Type="http://schemas.openxmlformats.org/officeDocument/2006/relationships/hyperlink" Target="https://www.milenio.com/negocios/eni-repsol-descubren-petroleo-gas-frente-costas-mexico" TargetMode="External"/><Relationship Id="rId571" Type="http://schemas.openxmlformats.org/officeDocument/2006/relationships/hyperlink" Target="https://ipmark.com/los-cmos-generan-linkedln-mas-impacto-eficiencia-marca/" TargetMode="External"/><Relationship Id="rId1162" Type="http://schemas.openxmlformats.org/officeDocument/2006/relationships/hyperlink" Target="https://www.guiarepsol.com/es/comer/nuestros-favoritos/restaurante-adaly-madrid/" TargetMode="External"/><Relationship Id="rId2493" Type="http://schemas.openxmlformats.org/officeDocument/2006/relationships/hyperlink" Target="https://oem.com.mx/elsoldemexico/finanzas/eni-y-repsol-descubren-nuevo-yacimiento-en-el-golfo-de-mexico-13065351" TargetMode="External"/><Relationship Id="rId570" Type="http://schemas.openxmlformats.org/officeDocument/2006/relationships/hyperlink" Target="https://forococheselectricos.com/2024/02/cada-vez-hay-mas-puntos-de-recarga-publicos-pero-cada-vez-fallan-mas.html" TargetMode="External"/><Relationship Id="rId1163" Type="http://schemas.openxmlformats.org/officeDocument/2006/relationships/hyperlink" Target="https://www.huleymantel.com/barras-estrellas/donde-comer/corral-moreria-madrid-se-come-en-restaurante-donde-se-rodo-serie-reina-roja_101989_102.html" TargetMode="External"/><Relationship Id="rId2494" Type="http://schemas.openxmlformats.org/officeDocument/2006/relationships/hyperlink" Target="https://imagendeveracruz.mx/nacional/anuncian-hallazgo-de-petroleo-frente-a-las-costas-de-veracruz-y-tabasco/50547309" TargetMode="External"/><Relationship Id="rId1164" Type="http://schemas.openxmlformats.org/officeDocument/2006/relationships/hyperlink" Target="https://www.servimedia.es/noticias/ibermutua-aplicara-inteligencia-artificial-prediccion-mejora-duracion-procesos-baja-patologias-aparato-osteomuscular/1410114709" TargetMode="External"/><Relationship Id="rId2495" Type="http://schemas.openxmlformats.org/officeDocument/2006/relationships/hyperlink" Target="https://www.infobae.com/mexico/2024/07/08/asi-es-el-nuevo-pozo-petrolero-yopaat-hallado-en-costas-de-mexico-por-que-pemex-no-participara-en-su-explotacion/" TargetMode="External"/><Relationship Id="rId576" Type="http://schemas.openxmlformats.org/officeDocument/2006/relationships/hyperlink" Target="https://www.laopiniondemurcia.es/comunidad/2024/02/16/victima-ciberestafa-han-quitado-ahorros-98225255.html" TargetMode="External"/><Relationship Id="rId1165" Type="http://schemas.openxmlformats.org/officeDocument/2006/relationships/hyperlink" Target="https://elpais.com/comunicacion/el-pais-que-hacemos/2024-03-13/el-periodista-de-el-pais-ignacio-fariza-premio-de-periodismo-economico-de-la-apie.html" TargetMode="External"/><Relationship Id="rId2496" Type="http://schemas.openxmlformats.org/officeDocument/2006/relationships/hyperlink" Target="https://www.infobae.com/mexico/2024/07/09/esta-es-la-zona-al-sur-de-mexico-donde-empresas-europeas-encontraron-yacimientos-de-petroleo-y-gas/" TargetMode="External"/><Relationship Id="rId575" Type="http://schemas.openxmlformats.org/officeDocument/2006/relationships/hyperlink" Target="https://www.lacomarcadepuertollano.com/articulo/puertollano/repsol-centenar-empresas-comarca-refuerzan-compromiso-seguridad/20240216150804533384.html" TargetMode="External"/><Relationship Id="rId1166" Type="http://schemas.openxmlformats.org/officeDocument/2006/relationships/hyperlink" Target="https://elperiodicodelaenergia.com/ceo-solaria-invierte-900-000-euros-acciones-compania/" TargetMode="External"/><Relationship Id="rId2497" Type="http://schemas.openxmlformats.org/officeDocument/2006/relationships/hyperlink" Target="https://www.diarioelmundo.com.mx/index.php/mundo/2334-repsol-y-eni-descubren-un-gran-yacimiento-de-petroleo-en-mexico" TargetMode="External"/><Relationship Id="rId574" Type="http://schemas.openxmlformats.org/officeDocument/2006/relationships/hyperlink" Target="https://www.heraldo.es/noticias/gastronomia/2024/02/16/restaurantes-soletes-repsol-teruel-bodas-isabel-1709252.html" TargetMode="External"/><Relationship Id="rId1167" Type="http://schemas.openxmlformats.org/officeDocument/2006/relationships/hyperlink" Target="https://www.infobae.com/espana/2024/03/13/el-mapa-de-las-mejores-hamburguesas-de-cada-comunidad-autonoma-en-2024/" TargetMode="External"/><Relationship Id="rId2498" Type="http://schemas.openxmlformats.org/officeDocument/2006/relationships/hyperlink" Target="https://elceo.com/negocios/eni-y-repsol-descubren-yacimiento-de-petroleo-y-gas-en-aguas-del-golfo-de-mexico/" TargetMode="External"/><Relationship Id="rId573" Type="http://schemas.openxmlformats.org/officeDocument/2006/relationships/hyperlink" Target="https://www.guiarepsol.com/es/comer/nuestros-favoritos/restaurante-la-unica-oceja-de-valldellorma-leon/" TargetMode="External"/><Relationship Id="rId1168" Type="http://schemas.openxmlformats.org/officeDocument/2006/relationships/hyperlink" Target="https://www.malagahoy.es/la-farola/restaurantes-familiares-Malaga-Dia-Padre_0_1883813884.html" TargetMode="External"/><Relationship Id="rId2499" Type="http://schemas.openxmlformats.org/officeDocument/2006/relationships/hyperlink" Target="https://www.eleconomista.es/energia/noticias/12902328/07/24/repsol-exolum-aena-iberia-air-nostrum-y-airbus-construiran-el-primer-hub-del-hidrogeno-verde-aereo.html" TargetMode="External"/><Relationship Id="rId4228" Type="http://schemas.openxmlformats.org/officeDocument/2006/relationships/hyperlink" Target="https://www.abc.es/gurme/guia-repsol-lanza-soletes-solera-andalucia-20241111112557-nts.html" TargetMode="External"/><Relationship Id="rId4227" Type="http://schemas.openxmlformats.org/officeDocument/2006/relationships/hyperlink" Target="https://www.expansion.com/mercados/2024/11/11/672dc689468aeb1a168b45d7.html" TargetMode="External"/><Relationship Id="rId4229" Type="http://schemas.openxmlformats.org/officeDocument/2006/relationships/hyperlink" Target="https://www.elespanol.com/quincemil/vivir/gastrogalicia/20241111/guia-repsol-locales-galicia-reconocidos-soletes-solera-trt/900410189_0.html" TargetMode="External"/><Relationship Id="rId1190" Type="http://schemas.openxmlformats.org/officeDocument/2006/relationships/hyperlink" Target="https://cronicaglobal.elespanol.com/cronica-directo/curiosidades/20240316/el-restaurante-de-tarragona-sol-repsol-degustacion/839416131_0.html" TargetMode="External"/><Relationship Id="rId1191" Type="http://schemas.openxmlformats.org/officeDocument/2006/relationships/hyperlink" Target="https://emprendedores.es/startups/dicaprio-solarmente/" TargetMode="External"/><Relationship Id="rId1192" Type="http://schemas.openxmlformats.org/officeDocument/2006/relationships/hyperlink" Target="https://es.motorsport.com/motogp/news/debut-desastre-marini-honda-qatar-motogp-analisis/10587644/" TargetMode="External"/><Relationship Id="rId1193" Type="http://schemas.openxmlformats.org/officeDocument/2006/relationships/hyperlink" Target="https://todoculturavegabaja.es/eventos/benejuzar-evento-actuacion-del-dj-miguel-serna-en-el-festival-de-musica-techno-benefest-dentro-de-los-actos-de-la-fiesta-del-patron-san-jose-organizados-por-el-motoclub-centauros-del-alb/" TargetMode="External"/><Relationship Id="rId1194" Type="http://schemas.openxmlformats.org/officeDocument/2006/relationships/hyperlink" Target="https://www.20minutos.es/gastronomia/restaurantes/cuantos-restaurantes-dabiz-munoz-en-mundo-cuanto-cuesta-5220987/" TargetMode="External"/><Relationship Id="rId4220" Type="http://schemas.openxmlformats.org/officeDocument/2006/relationships/hyperlink" Target="https://www.elespanol.com/sevilla/vivir/gastronomia/20241111/nuevos-establecimientos-sevilla-solete-repsol-oda-tradicion-comida-casera/900410147_0.html" TargetMode="External"/><Relationship Id="rId1195" Type="http://schemas.openxmlformats.org/officeDocument/2006/relationships/hyperlink" Target="https://www.todoalicante.es/gastronomia/jose-manuel-miguel-liderara-equipo-nacional-bocuse-or-20240308140751-nt.html" TargetMode="External"/><Relationship Id="rId1196" Type="http://schemas.openxmlformats.org/officeDocument/2006/relationships/hyperlink" Target="https://www.epe.es/es/espana/20240316/felipe-vi-vuelve-pirineo-aragones-99575041" TargetMode="External"/><Relationship Id="rId4222" Type="http://schemas.openxmlformats.org/officeDocument/2006/relationships/hyperlink" Target="https://www.eldiadecordoba.es/vivir-cordoba/cordoba-suma-diez-nuevos-soletes-repsol_0_2002766688.html" TargetMode="External"/><Relationship Id="rId1197" Type="http://schemas.openxmlformats.org/officeDocument/2006/relationships/hyperlink" Target="https://www.hosteltur.com/162373_las-companias-mas-atractivas-para-el-empleo-en-el-sector-turistico.html" TargetMode="External"/><Relationship Id="rId4221" Type="http://schemas.openxmlformats.org/officeDocument/2006/relationships/hyperlink" Target="https://www.eldiariomontanes.es/cantabria-mesa/guia-repsol-ocho-nuevos-soletes-solera-cantabria-20241111130455-nt.html" TargetMode="External"/><Relationship Id="rId1198" Type="http://schemas.openxmlformats.org/officeDocument/2006/relationships/hyperlink" Target="https://www.epe.es/es/deportes/20240316/osasuna-real-madrid-laliga-futbol-99567341" TargetMode="External"/><Relationship Id="rId4224" Type="http://schemas.openxmlformats.org/officeDocument/2006/relationships/hyperlink" Target="https://www.elperiodicomediterraneo.com/ocio/gastronomia/2024/11/11/guia-repsol-nombra-seis-nuevos-111585679.html" TargetMode="External"/><Relationship Id="rId1199" Type="http://schemas.openxmlformats.org/officeDocument/2006/relationships/hyperlink" Target="https://www.20minutos.es/lainformacion/economia-y-finanzas/los-restaurantes-mas-caros-madrid-5266743/" TargetMode="External"/><Relationship Id="rId4223" Type="http://schemas.openxmlformats.org/officeDocument/2006/relationships/hyperlink" Target="https://www.abc.es/espana/andalucia/cordoba/diez-nuevos-soletes-guia-repsol-cordoba-descubre-20241111120744-nts.html" TargetMode="External"/><Relationship Id="rId4226" Type="http://schemas.openxmlformats.org/officeDocument/2006/relationships/hyperlink" Target="https://www.lavanguardia.com/comer/al-dia/20241111/10090975/guia-repsol-premia-nuevos-soletes-quienes-rescatan-sabores-siempre.html" TargetMode="External"/><Relationship Id="rId4225" Type="http://schemas.openxmlformats.org/officeDocument/2006/relationships/hyperlink" Target="https://www.canarias7.es/economia/empresas/guia-repsol-reconoce-soletes-solera-locales-canarias-20241111103702-nt.html" TargetMode="External"/><Relationship Id="rId4217" Type="http://schemas.openxmlformats.org/officeDocument/2006/relationships/hyperlink" Target="https://www.elconfidencial.com/espana/2024-11-11/ocho-nuevos-soletes-con-solera-para-cantabria-guia-repsol-1tna-1qrt_4001538/" TargetMode="External"/><Relationship Id="rId4216" Type="http://schemas.openxmlformats.org/officeDocument/2006/relationships/hyperlink" Target="https://www.atlanticohoy.com/empresas/repsol-pide-renovar-uso-su-gasolinera-puerto-santa-cruz-tercera-mas-cara-tenerife_1538708_102.html" TargetMode="External"/><Relationship Id="rId4219" Type="http://schemas.openxmlformats.org/officeDocument/2006/relationships/hyperlink" Target="https://www.diariodealmeria.es/almeria-para-vivirla/son-soletes-solera-guia-repsol_0_2002766619.html" TargetMode="External"/><Relationship Id="rId4218" Type="http://schemas.openxmlformats.org/officeDocument/2006/relationships/hyperlink" Target="https://www.diariodevalladolid.es/valladolid/241111/264975/valladolid-suma-siete-nuevos-soletes-repsol-descubrelos.html" TargetMode="External"/><Relationship Id="rId599" Type="http://schemas.openxmlformats.org/officeDocument/2006/relationships/hyperlink" Target="https://www.laverdad.es/gastronomia/restaurante-loreto-jumilla-premio-sol-sostenible-guia-20240219100321-nt.html" TargetMode="External"/><Relationship Id="rId1180" Type="http://schemas.openxmlformats.org/officeDocument/2006/relationships/hyperlink" Target="https://www.eleconomista.es/energia/noticias/12720748/03/24/lola-rodriguez-trejo-repsol-es-fundamental-ir-de-la-mano-con-los-territorios-a-la-hora-de-realizar-nuestros-proyectos-.html" TargetMode="External"/><Relationship Id="rId1181" Type="http://schemas.openxmlformats.org/officeDocument/2006/relationships/hyperlink" Target="https://www.puertollano.es/punto-violeta-de-la-diversidad-y-la-inclusion-en-el-entorno-laboral-de-la-parada-de-repsol/" TargetMode="External"/><Relationship Id="rId1182" Type="http://schemas.openxmlformats.org/officeDocument/2006/relationships/hyperlink" Target="https://forbes.es/economia/427434/inditex-iberdrola-y-repsol-las-mejores-empresas-en-atraer-y-fidelizar-talento-en-espana-segun-merco-talento/" TargetMode="External"/><Relationship Id="rId594" Type="http://schemas.openxmlformats.org/officeDocument/2006/relationships/hyperlink" Target="https://www.lavanguardia.com/comer/al-dia/20240219/9523385/restaurantes-premiados-sol-sostenible-2024-repsol.html" TargetMode="External"/><Relationship Id="rId1183" Type="http://schemas.openxmlformats.org/officeDocument/2006/relationships/hyperlink" Target="https://www.infobae.com/espana/2024/03/15/el-mapa-de-los-nuevos-restaurantes-con-soles-repsol-en-2024-desde-madrid-hasta-barcelona-pasando-por-caceres-teruel-y-murcia/" TargetMode="External"/><Relationship Id="rId593" Type="http://schemas.openxmlformats.org/officeDocument/2006/relationships/hyperlink" Target="https://www.guiarepsol.com/es/soles-repsol/premio-sol-sostenible/premios-sol-sostenible-2024/" TargetMode="External"/><Relationship Id="rId1184" Type="http://schemas.openxmlformats.org/officeDocument/2006/relationships/hyperlink" Target="https://www.elconfidencial.com/medioambiente/energia/2024-03-15/universitarios-transicion-energetica-repsol-bra_3847819/" TargetMode="External"/><Relationship Id="rId592" Type="http://schemas.openxmlformats.org/officeDocument/2006/relationships/hyperlink" Target="https://www.foodretail.es/retailers/Repsol-compra-ElCorteIngles-Gespevesa-Supercor-StopGo_0_1850214968.html" TargetMode="External"/><Relationship Id="rId1185" Type="http://schemas.openxmlformats.org/officeDocument/2006/relationships/hyperlink" Target="https://www.guiarepsol.com/es/comer/de-tapeo/el-mejor-torrezno-del-mundo-se-cocina-en-zaragoza/" TargetMode="External"/><Relationship Id="rId4211" Type="http://schemas.openxmlformats.org/officeDocument/2006/relationships/hyperlink" Target="https://www.guiarepsol.com/es/soletes/soletes-con-solera/" TargetMode="External"/><Relationship Id="rId591" Type="http://schemas.openxmlformats.org/officeDocument/2006/relationships/hyperlink" Target="https://www.alimarket.es/alimentacion/noticia/385088/repsol-asume-la-administracion-de-gespevesa" TargetMode="External"/><Relationship Id="rId1186" Type="http://schemas.openxmlformats.org/officeDocument/2006/relationships/hyperlink" Target="https://www.guiarepsol.com/es/viajar/vamos-de-excursion/escenarios-mano-de-hierro-netflix/" TargetMode="External"/><Relationship Id="rId4210" Type="http://schemas.openxmlformats.org/officeDocument/2006/relationships/hyperlink" Target="https://www.elconfidencial.com/economia/2024-11-10/entrevista-nemesio-fernandez-cuesta-cambio-climatico_4000720/" TargetMode="External"/><Relationship Id="rId598" Type="http://schemas.openxmlformats.org/officeDocument/2006/relationships/hyperlink" Target="https://www.elespanol.com/cocinillas/actualidad-gastronomica/20240219/bosque-centro-ciudad-nuevos-soles-repsol-sostenibilidad/833916698_0.html" TargetMode="External"/><Relationship Id="rId1187" Type="http://schemas.openxmlformats.org/officeDocument/2006/relationships/hyperlink" Target="https://www.ultimahora.es/noticias/sociedad/2024/03/15/2125005/restaurantes-mallorca-voro-cocina-alvaro-salazar.html" TargetMode="External"/><Relationship Id="rId4213" Type="http://schemas.openxmlformats.org/officeDocument/2006/relationships/hyperlink" Target="https://navarracapital.es/la-guia-repsol-concede-cinco-nuevos-soletes-a-establecimientos-hosteleros-de-navarra/" TargetMode="External"/><Relationship Id="rId597" Type="http://schemas.openxmlformats.org/officeDocument/2006/relationships/hyperlink" Target="https://www.ideal.es/sociedad/aviso-repsol-sobre-prohibicion-coches-diesel-20240219112326-nt.html" TargetMode="External"/><Relationship Id="rId1188" Type="http://schemas.openxmlformats.org/officeDocument/2006/relationships/hyperlink" Target="https://www.corresponsables.com/actualidad/buen-gobierno/inditex-iberdrola-repsol-lideran-ranking-mejores-empresas-atraer-fidelizar-talento-espana-2023/" TargetMode="External"/><Relationship Id="rId4212" Type="http://schemas.openxmlformats.org/officeDocument/2006/relationships/hyperlink" Target="https://www.elcomercio.es/gastronomia/restaurantes-asturias-nuevos-soletes-solera-guia-repsol-20241111103612-nt.html" TargetMode="External"/><Relationship Id="rId596" Type="http://schemas.openxmlformats.org/officeDocument/2006/relationships/hyperlink" Target="https://www.elnacional.cat/es/gourmeteria/articulos/restaurante-les-cols-consigue-nuevo-sol-repsol-sostenibilidad_1162240_102.html" TargetMode="External"/><Relationship Id="rId1189" Type="http://schemas.openxmlformats.org/officeDocument/2006/relationships/hyperlink" Target="https://www.diariodenavarra.es/noticias/navarra/tudela-ribera/2024/03/15/el-chef-ramses-gonzalez-premio-el-hortelano-2024-602187-1007.html" TargetMode="External"/><Relationship Id="rId4215" Type="http://schemas.openxmlformats.org/officeDocument/2006/relationships/hyperlink" Target="https://elpais.com/gastronomia/2024-11-11/330-nuevos-soletes-repsol-la-vuelta-a-las-casas-de-comidas-y-a-los-bares-de-antano.html" TargetMode="External"/><Relationship Id="rId595" Type="http://schemas.openxmlformats.org/officeDocument/2006/relationships/hyperlink" Target="https://www.eldiario.es/murcia/cultura/delamorylabelleza-artista-multidisciplinar-hice-150-soles-repsol-15-dias_1_10930488.html" TargetMode="External"/><Relationship Id="rId4214" Type="http://schemas.openxmlformats.org/officeDocument/2006/relationships/hyperlink" Target="https://www.lavozdegalicia.es/noticia/ourense/2024/11/11/guia-repsol-reconoce-soletes-tradicion-trayectoria-tres-locales-ourense/00031731318800434274785.htm" TargetMode="External"/><Relationship Id="rId1136" Type="http://schemas.openxmlformats.org/officeDocument/2006/relationships/hyperlink" Target="https://es.motorsport.com/motogp/news/luca-marini-cielo-infierno-honda-problemas-debut-qatar/10585939/" TargetMode="External"/><Relationship Id="rId2467" Type="http://schemas.openxmlformats.org/officeDocument/2006/relationships/hyperlink" Target="https://www.repsol.com/es/energia-futuro/movilidad-sostenible/etiqueta-medioambiental/index.cshtml" TargetMode="External"/><Relationship Id="rId3799" Type="http://schemas.openxmlformats.org/officeDocument/2006/relationships/hyperlink" Target="https://www.20minutos.es/gastronomia/restaurantes/pueblo-guadalajara-mejor-come-national-geographic-5641892/" TargetMode="External"/><Relationship Id="rId1137" Type="http://schemas.openxmlformats.org/officeDocument/2006/relationships/hyperlink" Target="https://theconversation.com/solo-el-11-5-de-la-economia-de-la-union-europea-es-circular-como-aumentar-el-porcentaje-223372" TargetMode="External"/><Relationship Id="rId2468" Type="http://schemas.openxmlformats.org/officeDocument/2006/relationships/hyperlink" Target="https://www.repsol.com/es/energia-futuro/tecnologia-innovacion/rpa/index.cshtml" TargetMode="External"/><Relationship Id="rId3798" Type="http://schemas.openxmlformats.org/officeDocument/2006/relationships/hyperlink" Target="https://www.caranddriver.com/es/formula-1/a62662552/lando-norris-lanza-pullita-fia-polemica-sancion-max-verstappen-no-normas/" TargetMode="External"/><Relationship Id="rId1138" Type="http://schemas.openxmlformats.org/officeDocument/2006/relationships/hyperlink" Target="https://www.eldiadecordoba.es/vivir-cordoba/Pablo-Chiapella-disfruta-gastronomia-Envero_0_1883211669.html" TargetMode="External"/><Relationship Id="rId2469" Type="http://schemas.openxmlformats.org/officeDocument/2006/relationships/hyperlink" Target="https://www.esciclismo.com/actualidad/carretera/81878.html" TargetMode="External"/><Relationship Id="rId1139" Type="http://schemas.openxmlformats.org/officeDocument/2006/relationships/hyperlink" Target="https://www.lecturas.com/actualidad/marc-alex-marquez-cifras-todo-sobre-sus-jugosos-negocios-inversiones-gracias-que-han-ganado-sobre-moto_153144" TargetMode="External"/><Relationship Id="rId547" Type="http://schemas.openxmlformats.org/officeDocument/2006/relationships/hyperlink" Target="https://www.motoryracing.com/motogp/noticias/repsol-honda-team-presenta-madrid-joan-mir-luca-marini/" TargetMode="External"/><Relationship Id="rId546" Type="http://schemas.openxmlformats.org/officeDocument/2006/relationships/hyperlink" Target="https://fast-mag.com/para-2024-honda-retoma-sus-colores-de-equipo-en-motogp/" TargetMode="External"/><Relationship Id="rId545" Type="http://schemas.openxmlformats.org/officeDocument/2006/relationships/hyperlink" Target="https://www.motorpasionmoto.com/motogp/honda-revoluciona-su-motogp-marc-marquez-cambio-decoracion-drastico-muchos-patrocinadores" TargetMode="External"/><Relationship Id="rId544" Type="http://schemas.openxmlformats.org/officeDocument/2006/relationships/hyperlink" Target="https://www.motosan.es/motogp/marini-tras-fichar-por-honda-valentino-rossi-se-alegra-de-que-este-aqui/" TargetMode="External"/><Relationship Id="rId549" Type="http://schemas.openxmlformats.org/officeDocument/2006/relationships/hyperlink" Target="https://www.interempresas.net/Estaciones-servicio/Articulos/541183-Los-combustibles-renovables-protagonizan-la-presentacion-del-equipo-Repsol-Honda.html" TargetMode="External"/><Relationship Id="rId548" Type="http://schemas.openxmlformats.org/officeDocument/2006/relationships/hyperlink" Target="https://www.repsol.es/particulares/asesoramiento-consumo/plan-renove-caldera-gas-natural/" TargetMode="External"/><Relationship Id="rId3791" Type="http://schemas.openxmlformats.org/officeDocument/2006/relationships/hyperlink" Target="https://www.caranddriver.com/es/formula-1/a62658078/guanyu-zhou-sancion-clasificacion-gp-eeuu/" TargetMode="External"/><Relationship Id="rId2460" Type="http://schemas.openxmlformats.org/officeDocument/2006/relationships/hyperlink" Target="https://www.noticiascaracol.com/golcaracol/ciclismo/tragedia-en-el-tour-de-austria-ciclista-fallecio-tras-sufrir-una-caida-en-un-descenso-rg10" TargetMode="External"/><Relationship Id="rId3790" Type="http://schemas.openxmlformats.org/officeDocument/2006/relationships/hyperlink" Target="https://www.elespanol.com/valencia/ocio/20241019/queso-morcilla-local-valencia-disfrutar-mejor-tortilla-patata-guia-repsol-trt/893910925_0.html" TargetMode="External"/><Relationship Id="rId1130" Type="http://schemas.openxmlformats.org/officeDocument/2006/relationships/hyperlink" Target="https://monterrassa.cat/es/sociedad/chef-artur-martinez-mantiene-dos-soles-guia-repsol-2024-390075/" TargetMode="External"/><Relationship Id="rId2461" Type="http://schemas.openxmlformats.org/officeDocument/2006/relationships/hyperlink" Target="https://redmas.com.co/deportes/Asi-fue-el-accidente-en-el-que-murio-el-ciclista-Andre-Drege-en-pleno-Tour-de-Austria-2024-20240706-0009.html" TargetMode="External"/><Relationship Id="rId3793" Type="http://schemas.openxmlformats.org/officeDocument/2006/relationships/hyperlink" Target="https://www.elmundo.es/economia/empresas/2024/10/20/671520ee21efa035428b45a1.html" TargetMode="External"/><Relationship Id="rId1131" Type="http://schemas.openxmlformats.org/officeDocument/2006/relationships/hyperlink" Target="https://lamarinaalta.com/restaurantes-marina-alta-sol-guia-repsol/" TargetMode="External"/><Relationship Id="rId2462" Type="http://schemas.openxmlformats.org/officeDocument/2006/relationships/hyperlink" Target="https://www.repsol.com/es/energia-futuro/personas/tipos-de-ingenieria/index.cshtml" TargetMode="External"/><Relationship Id="rId3792" Type="http://schemas.openxmlformats.org/officeDocument/2006/relationships/hyperlink" Target="https://www.caranddriver.com/es/formula-1/a62657621/fia-monta-reunion-pilotos-austin-franco-colapinto-alex-albon/" TargetMode="External"/><Relationship Id="rId543" Type="http://schemas.openxmlformats.org/officeDocument/2006/relationships/hyperlink" Target="https://www.sport.es/es/noticias/motor/moto-gp/honda-inicia-post-marquez-cambio-98114944" TargetMode="External"/><Relationship Id="rId1132" Type="http://schemas.openxmlformats.org/officeDocument/2006/relationships/hyperlink" Target="https://www.elespanol.com/reportajes/20240310/restaurante-barato-soles-repsol-blanca-armando-juan-menu-cuesta-euros/838416591_0.html" TargetMode="External"/><Relationship Id="rId2463" Type="http://schemas.openxmlformats.org/officeDocument/2006/relationships/hyperlink" Target="https://okdiario.com/motor/repsol-duplicara-2024-sus-gasolineras-diesel-renovable-espana-tendra-mismo-precio-que-normal-13116329" TargetMode="External"/><Relationship Id="rId3795" Type="http://schemas.openxmlformats.org/officeDocument/2006/relationships/hyperlink" Target="https://www.elconfidencial.com/empresas/2024-10-20/iberdrola-repsol-impuestazo-dilema-pnv_3986180/" TargetMode="External"/><Relationship Id="rId542" Type="http://schemas.openxmlformats.org/officeDocument/2006/relationships/hyperlink" Target="https://www.motosan.es/motogp/alberto-puig-vamos-a-utilizar-bien-las-concesiones-para-volver-a-las-posiciones-que-nos-tocan/" TargetMode="External"/><Relationship Id="rId1133" Type="http://schemas.openxmlformats.org/officeDocument/2006/relationships/hyperlink" Target="https://www.larazon.es/castilla-la-mancha/5-pueblos-castillala-mancha-imprescindibles-visitar-esta-semana-santa-segun-guia-repsol_2024031065eb27bcd3310300013645ea.html" TargetMode="External"/><Relationship Id="rId2464" Type="http://schemas.openxmlformats.org/officeDocument/2006/relationships/hyperlink" Target="https://www.laopinioncoruna.es/coruna/2024/07/07/gastronomia-arteixo-brilla-soletes-repsol-104472575.html" TargetMode="External"/><Relationship Id="rId3794" Type="http://schemas.openxmlformats.org/officeDocument/2006/relationships/hyperlink" Target="https://www.guiarepsol.com/es/sala-de-prensa/EntregaSolesGuiaRepsol2023/" TargetMode="External"/><Relationship Id="rId541" Type="http://schemas.openxmlformats.org/officeDocument/2006/relationships/hyperlink" Target="https://www.motorbikemag.es/joan-mir-presentacion-repsol-honda-motogp-2024/" TargetMode="External"/><Relationship Id="rId1134" Type="http://schemas.openxmlformats.org/officeDocument/2006/relationships/hyperlink" Target="https://www.elcorreoweb.es/ideas/Repsol-Festival-Malaga-2024/index.html" TargetMode="External"/><Relationship Id="rId2465" Type="http://schemas.openxmlformats.org/officeDocument/2006/relationships/hyperlink" Target="https://www.elperiodicoextremadura.com/extremadura/2024/07/07/laura-garcia-sol-repsol-hemos-105255473.html" TargetMode="External"/><Relationship Id="rId3797" Type="http://schemas.openxmlformats.org/officeDocument/2006/relationships/hyperlink" Target="https://www.boxrepsol.com/es/motogp/resultados-del-gp-de-australia-de-motogp-2024/" TargetMode="External"/><Relationship Id="rId540" Type="http://schemas.openxmlformats.org/officeDocument/2006/relationships/hyperlink" Target="https://es.motorsport.com/motogp/news/marini-marquez-cosas-grandes-quiero-hacer-yo/10575415/" TargetMode="External"/><Relationship Id="rId1135" Type="http://schemas.openxmlformats.org/officeDocument/2006/relationships/hyperlink" Target="https://www.larazon.es/andalucia/jesus-leon-chef-senor-cangrejo-informalidad-alta-gastronomia-bordan-perfeccion_2024031065ec7d00ab79d800018f63a4.html" TargetMode="External"/><Relationship Id="rId2466" Type="http://schemas.openxmlformats.org/officeDocument/2006/relationships/hyperlink" Target="https://www.elespanol.com/mujer/actualidad/mejor-chiringuito-huelva-comer-playa-verano-guia-repsol-vistas-increibles/867163690_0.html" TargetMode="External"/><Relationship Id="rId3796" Type="http://schemas.openxmlformats.org/officeDocument/2006/relationships/hyperlink" Target="https://www.elle.com/es/gourmet/donde-comer/a62661041/restaurante-sol-repsol-jaen-comer-bien-precio-asequible-casa-antonio/" TargetMode="External"/><Relationship Id="rId1125" Type="http://schemas.openxmlformats.org/officeDocument/2006/relationships/hyperlink" Target="https://www.eldiadecordoba.es/vivir-cordoba/Sol-Repsol-Feijoo-Ermita-Candelaria_0_1882912264.html" TargetMode="External"/><Relationship Id="rId2456" Type="http://schemas.openxmlformats.org/officeDocument/2006/relationships/hyperlink" Target="https://cadenaser.com/nacional/2024/07/06/fallece-el-ciclista-andre-drege-tras-una-caida-en-la-vuelta-a-austria-cadena-ser/" TargetMode="External"/><Relationship Id="rId3788" Type="http://schemas.openxmlformats.org/officeDocument/2006/relationships/hyperlink" Target="https://www.boxrepsol.com/es/motogp/resultados-de-la-carrera-sprint-del-gp-de-australia-de-motogp-2024/" TargetMode="External"/><Relationship Id="rId1126" Type="http://schemas.openxmlformats.org/officeDocument/2006/relationships/hyperlink" Target="https://www.8directo.com/algeciras/pepe-fernandez-chef-algecireno-con-sol-repsol-en-algeciras-hay-hosteleria-muy-potente_614179_102.html" TargetMode="External"/><Relationship Id="rId2457" Type="http://schemas.openxmlformats.org/officeDocument/2006/relationships/hyperlink" Target="https://www.elcorreo.com/deportes/ciclismo/muere-ciclista-noruego-andre-drege-tras-sufrir-20240706171312-nt.html" TargetMode="External"/><Relationship Id="rId3787" Type="http://schemas.openxmlformats.org/officeDocument/2006/relationships/hyperlink" Target="https://www.huelva24.com/provincia/mejor-hotel-escapada-otono-segun-guia-repsol-20241011214611-nth.html" TargetMode="External"/><Relationship Id="rId1127" Type="http://schemas.openxmlformats.org/officeDocument/2006/relationships/hyperlink" Target="https://www.elespanol.com/castilla-y-leon/region/salamanca/20240309/viro-guijuelo-joven-apuesta-nueva-gastronomia-acaricia-sol-repsol/837416508_0.html" TargetMode="External"/><Relationship Id="rId2458" Type="http://schemas.openxmlformats.org/officeDocument/2006/relationships/hyperlink" Target="https://www.eitb.eus/es/deportes/ciclismo/detalle/9536470/el-ciclista-andre-drege-fallece-tras-sufrir-caida-en-tour-de-austria/" TargetMode="External"/><Relationship Id="rId1128" Type="http://schemas.openxmlformats.org/officeDocument/2006/relationships/hyperlink" Target="https://www.boxrepsol.com/es/motogp/resultados-de-la-carrera-sprint-del-gp-de-catar-de-motogp/" TargetMode="External"/><Relationship Id="rId2459" Type="http://schemas.openxmlformats.org/officeDocument/2006/relationships/hyperlink" Target="https://www.infobae.com/deportes/2024/07/06/tragedia-en-el-tour-de-austria-un-ciclista-fallecio-tras-una-caida-en-plena-competencia/" TargetMode="External"/><Relationship Id="rId3789" Type="http://schemas.openxmlformats.org/officeDocument/2006/relationships/hyperlink" Target="https://www.lavanguardia.com/economia/20241019/10034030/energeticas-pie-guerra-permanencia-impuesto-especial.html" TargetMode="External"/><Relationship Id="rId1129" Type="http://schemas.openxmlformats.org/officeDocument/2006/relationships/hyperlink" Target="https://www.diariodevalderrueda.es/texto-diario/mostrar/4748161/asi-cuatro-restaurantes-montana-leonesa-recomendados-guia-repsol-2024" TargetMode="External"/><Relationship Id="rId536" Type="http://schemas.openxmlformats.org/officeDocument/2006/relationships/hyperlink" Target="https://www.motosan.es/motogp/ultima-hora-repsol-honda-sorprende-al-fin-con-un-diseno-rompedor-en-sus-motos/" TargetMode="External"/><Relationship Id="rId535" Type="http://schemas.openxmlformats.org/officeDocument/2006/relationships/hyperlink" Target="https://www.menorca.info/deportes/polideportivo/2024/02/13/2105323/motociclismo-motogp-joan-mir-optimista-nuevo-repsol-honda.html" TargetMode="External"/><Relationship Id="rId534" Type="http://schemas.openxmlformats.org/officeDocument/2006/relationships/hyperlink" Target="https://www.motorbikemag.es/repsol-honda-era-post-marquez-diseno-rompedor-motogp/" TargetMode="External"/><Relationship Id="rId533" Type="http://schemas.openxmlformats.org/officeDocument/2006/relationships/hyperlink" Target="https://as.com/motor/mir-marini-y-honda-nueva-para-olvidar-a-marquez-n/" TargetMode="External"/><Relationship Id="rId539" Type="http://schemas.openxmlformats.org/officeDocument/2006/relationships/hyperlink" Target="https://www.eurosport.es/motociclismo/honda-repsol-hrc-rc213v-diseno-colores_sto10020534/story.shtml" TargetMode="External"/><Relationship Id="rId538" Type="http://schemas.openxmlformats.org/officeDocument/2006/relationships/hyperlink" Target="https://es.motorsport.com/motogp/news/mir-presentacion-repsol-honda-2024-declaraciones/10575244/" TargetMode="External"/><Relationship Id="rId537" Type="http://schemas.openxmlformats.org/officeDocument/2006/relationships/hyperlink" Target="https://es.motorsport.com/motogp/news/fotos-galeria-detalles-moto-honda-temporada-2024/10575100/" TargetMode="External"/><Relationship Id="rId3780" Type="http://schemas.openxmlformats.org/officeDocument/2006/relationships/hyperlink" Target="https://www.guiarepsol.com/es/comer/nuestros-favoritos/bar-la-sepia-de-valladolid/" TargetMode="External"/><Relationship Id="rId2450" Type="http://schemas.openxmlformats.org/officeDocument/2006/relationships/hyperlink" Target="https://larepublica.pe/sociedad/2024/07/03/marcha-de-pescadores-en-7-distritos-de-lima-conoce-los-motivos-fecha-y-lugar-de-concentracion-marcha-de-pescadores-imarpe-produce-asociacion-de-pescadores-298746" TargetMode="External"/><Relationship Id="rId3782" Type="http://schemas.openxmlformats.org/officeDocument/2006/relationships/hyperlink" Target="https://www.boxrepsol.com/es/motogp/resultados-de-la-clasificacion-del-gp-de-australia-de-motogp-2024/" TargetMode="External"/><Relationship Id="rId1120" Type="http://schemas.openxmlformats.org/officeDocument/2006/relationships/hyperlink" Target="https://elperiodicodelaenergia.com/grandes-energeticas-ganan-10-500-millones-2023-25-menos-record-2022/" TargetMode="External"/><Relationship Id="rId2451" Type="http://schemas.openxmlformats.org/officeDocument/2006/relationships/hyperlink" Target="https://www.aljarafedigital.com/aljarafe/mairena/mairena-adjudica-a-repsol-el-nuevo-alquiler-de-la-gasolinera-de-ciudad-expo/" TargetMode="External"/><Relationship Id="rId3781" Type="http://schemas.openxmlformats.org/officeDocument/2006/relationships/hyperlink" Target="https://proactivo.com.pe/minem-repsol-en-la-pampilla-cumple-hito-de-producir-gasolina-baja-en-azufre-de-10-ppm-exclusivo/" TargetMode="External"/><Relationship Id="rId532" Type="http://schemas.openxmlformats.org/officeDocument/2006/relationships/hyperlink" Target="https://www.elespanol.com/deportes/motor/motogp/20240213/joan-mir-peso-marc-marquez-repsol-honda-no-pensado-ano/832416949_0.html" TargetMode="External"/><Relationship Id="rId1121" Type="http://schemas.openxmlformats.org/officeDocument/2006/relationships/hyperlink" Target="https://www.denia.com/restaurantes-denia-sol-guia-repsol/" TargetMode="External"/><Relationship Id="rId2452" Type="http://schemas.openxmlformats.org/officeDocument/2006/relationships/hyperlink" Target="https://www.mundodeportivo.com/solomoto/20240706/1002277070/dineral-te-paga-repsol-litro-aceite-cocina-usado-lleves-estaciones-smd.html" TargetMode="External"/><Relationship Id="rId3784" Type="http://schemas.openxmlformats.org/officeDocument/2006/relationships/hyperlink" Target="https://tele7.tv/repsol-technology-lab-cuna-de-los-combustibles-renovables/" TargetMode="External"/><Relationship Id="rId531" Type="http://schemas.openxmlformats.org/officeDocument/2006/relationships/hyperlink" Target="https://es.motorsport.com/motogp/news/honda-presentacion-decoracion-motogp-2024-mir-marini/10575160/" TargetMode="External"/><Relationship Id="rId1122" Type="http://schemas.openxmlformats.org/officeDocument/2006/relationships/hyperlink" Target="https://blogs.elconfidencial.com/espana/madrid/la-nueva-gastronomia/2024-03-09/sol-repsol-madrid-guia_3845167/" TargetMode="External"/><Relationship Id="rId2453" Type="http://schemas.openxmlformats.org/officeDocument/2006/relationships/hyperlink" Target="https://www.lavozdeltajo.com/noticia/81919/nuestra-gente/presencia-talaverana-en-el-nuevo-anuncio-de-repsol.html" TargetMode="External"/><Relationship Id="rId3783" Type="http://schemas.openxmlformats.org/officeDocument/2006/relationships/hyperlink" Target="https://www.europapress.es/euskadi/noticia-repsol-cuenta-euskadi-casi-70-estaciones-servicio-combustible-100-renovable-20241019112925.html" TargetMode="External"/><Relationship Id="rId530" Type="http://schemas.openxmlformats.org/officeDocument/2006/relationships/hyperlink" Target="https://www.elmundo.es/deportes/motociclismo/2024/02/13/65cba950e9cf4a42568b4594.html" TargetMode="External"/><Relationship Id="rId1123" Type="http://schemas.openxmlformats.org/officeDocument/2006/relationships/hyperlink" Target="https://www.javea.com/restaurantes-xabia-sol-guia-repsol/" TargetMode="External"/><Relationship Id="rId2454" Type="http://schemas.openxmlformats.org/officeDocument/2006/relationships/hyperlink" Target="https://www.heraldo.es/noticias/gastronomia/2024/07/06/bares-piscinas-aragon-soletes-repsol-1746908.html" TargetMode="External"/><Relationship Id="rId3786" Type="http://schemas.openxmlformats.org/officeDocument/2006/relationships/hyperlink" Target="https://cronicavasca.elespanol.com/empresas/20241019/avanzan-de-combustibles-sinteticos-repsol-puerto-bilbao/894660543_0.html" TargetMode="External"/><Relationship Id="rId1124" Type="http://schemas.openxmlformats.org/officeDocument/2006/relationships/hyperlink" Target="https://www.cmmedia.es/tv/en-profundidad/asi-sera-transformacion-complejo-industrial-repsol-puertollano.html" TargetMode="External"/><Relationship Id="rId2455" Type="http://schemas.openxmlformats.org/officeDocument/2006/relationships/hyperlink" Target="https://www.ciclismoafondo.es/competicion/noticias-resultados-ciclismo/muere-andre-drege_296215_102.html" TargetMode="External"/><Relationship Id="rId3785" Type="http://schemas.openxmlformats.org/officeDocument/2006/relationships/hyperlink" Target="https://www.capitalmadrid.com/2024/10/19/68262/repsol-acelera-las-negociaicones-con-aramco-para-la-venta-de-parte-de-sus-renovables.html" TargetMode="External"/><Relationship Id="rId1158" Type="http://schemas.openxmlformats.org/officeDocument/2006/relationships/hyperlink" Target="https://okdiario.com/okgreen/plantan-1-700-arboles-mano-fundacion-repsol-promover-entorno-mas-sostenible-12505471" TargetMode="External"/><Relationship Id="rId2489" Type="http://schemas.openxmlformats.org/officeDocument/2006/relationships/hyperlink" Target="https://www.guiarepsol.com/es/comer/nuestros-favoritos/chiringuito-oli-ba-ba-playa-de-oliva-valencia/" TargetMode="External"/><Relationship Id="rId1159" Type="http://schemas.openxmlformats.org/officeDocument/2006/relationships/hyperlink" Target="https://www.elperiodicoextremadura.com/vida-y-estilo/2024/03/12/oscar-jeffrey-wright-american-fiction-99366570.html" TargetMode="External"/><Relationship Id="rId569" Type="http://schemas.openxmlformats.org/officeDocument/2006/relationships/hyperlink" Target="https://cadenaser.com/andalucia/2024/02/15/naturaleza-encendida-otra-forma-de-ver-el-alcazar-radio-sevilla/" TargetMode="External"/><Relationship Id="rId568" Type="http://schemas.openxmlformats.org/officeDocument/2006/relationships/hyperlink" Target="https://www.mundodeportivo.com/motor/motogp/20240215/1002190932/honda-pone-fecha-volver-lucha-victorias-nueva-post-marc-marquez.html" TargetMode="External"/><Relationship Id="rId567" Type="http://schemas.openxmlformats.org/officeDocument/2006/relationships/hyperlink" Target="https://www.chasiscero.com/articulo/consejos/informe-deja-claro-que-gasolina-low-cost/20240215195231018859.html" TargetMode="External"/><Relationship Id="rId566" Type="http://schemas.openxmlformats.org/officeDocument/2006/relationships/hyperlink" Target="https://www.eleconomista.es/energia/noticias/12674702/02/24/las-gasolineras-independientes-dan-el-sorpasso-a-repsol-cepsa-y-bp.html" TargetMode="External"/><Relationship Id="rId2480" Type="http://schemas.openxmlformats.org/officeDocument/2006/relationships/hyperlink" Target="https://www.diaridetarragona.com/economia/economia-empresas/la-ingeniera-quimica-que-soluciona-cualquier-averia-DF20255530" TargetMode="External"/><Relationship Id="rId561" Type="http://schemas.openxmlformats.org/officeDocument/2006/relationships/hyperlink" Target="https://www.todocircuito.com/noticias/35308-joan-mir-y-luca-marini-de-paseo-por-madrid-sobre-sendas-cbr-1000-rr-fireblade.html" TargetMode="External"/><Relationship Id="rId1150" Type="http://schemas.openxmlformats.org/officeDocument/2006/relationships/hyperlink" Target="https://www.elespanol.com/invertia/empresas/energia/20240312/repsol-alcanza-estaciones-servicio-suministra-combustible-renovable/839416129_0.html" TargetMode="External"/><Relationship Id="rId2481" Type="http://schemas.openxmlformats.org/officeDocument/2006/relationships/hyperlink" Target="https://www.diariodevalladolid.es/valladolid/240708/230163/ayuntamiento-aprueba-derribo-gasolineras-cerradas-poniente-plaza-circular-paseo-zorrilla.html" TargetMode="External"/><Relationship Id="rId560" Type="http://schemas.openxmlformats.org/officeDocument/2006/relationships/hyperlink" Target="https://es.motorsport.com/motogp/news/honda-puig-moto-2024-competitiva-verano/10575817/" TargetMode="External"/><Relationship Id="rId1151" Type="http://schemas.openxmlformats.org/officeDocument/2006/relationships/hyperlink" Target="https://www.repsol.com/es/productos-y-servicios/materiales/materiales-news/lanzamos-nuevos-envases-lubricantes-plastico-reciclado/index.cshtml" TargetMode="External"/><Relationship Id="rId2482" Type="http://schemas.openxmlformats.org/officeDocument/2006/relationships/hyperlink" Target="https://www.eleconomista.es/energia/noticias/12901110/07/24/repsol-y-eni-descubren-un-gran-yacimiento-de-petroleo-en-mexico.html" TargetMode="External"/><Relationship Id="rId1152" Type="http://schemas.openxmlformats.org/officeDocument/2006/relationships/hyperlink" Target="https://www.elcorreo.com/content-local/seleccion-de-restaurantes-recomendados-por-la-guia-repsol-2024-en-vitoria-gasteiz/" TargetMode="External"/><Relationship Id="rId2483" Type="http://schemas.openxmlformats.org/officeDocument/2006/relationships/hyperlink" Target="https://www.eleconomista.com.mx/empresas/Repsol-y-Eni-realizan-un-nuevo-descubrimiento-de-petroleo-en-un-pozo-del-Golfo-de-Mexico-20240708-0045.html" TargetMode="External"/><Relationship Id="rId1153" Type="http://schemas.openxmlformats.org/officeDocument/2006/relationships/hyperlink" Target="https://www.interempresas.net/Estaciones-servicio/Articulos/543952-Repsol-alcanza-las-100-estaciones-de-servicio-con-combustibles-100-por-ciento-renovables.html" TargetMode="External"/><Relationship Id="rId2484" Type="http://schemas.openxmlformats.org/officeDocument/2006/relationships/hyperlink" Target="https://www.elespanol.com/malaga/malaga-ciudad/20240708/malaga-desbloquea-millonaria-venta-torres-antiguos-suelos-repsol/868913590_0.html" TargetMode="External"/><Relationship Id="rId565" Type="http://schemas.openxmlformats.org/officeDocument/2006/relationships/hyperlink" Target="https://www.estrategiasdeinversion.com/actualidad/noticias/bolsa-espana/repsol-mejora-su-cotizacion-de-2024-su-produccion-n-688693" TargetMode="External"/><Relationship Id="rId1154" Type="http://schemas.openxmlformats.org/officeDocument/2006/relationships/hyperlink" Target="https://okdiario.com/motor/repsol-alcanza-100-gasolineras-combustible-renovable-mismo-precio-que-premium-12511683" TargetMode="External"/><Relationship Id="rId2485" Type="http://schemas.openxmlformats.org/officeDocument/2006/relationships/hyperlink" Target="https://www.bonviveur.es/noticias/mejores-restaurantes-cantabria" TargetMode="External"/><Relationship Id="rId564" Type="http://schemas.openxmlformats.org/officeDocument/2006/relationships/hyperlink" Target="https://www.guiarepsol.com/es/soles-repsol/soles-2024/" TargetMode="External"/><Relationship Id="rId1155" Type="http://schemas.openxmlformats.org/officeDocument/2006/relationships/hyperlink" Target="https://confilegal.com/20240312-repsol-contratado-colombia-demanda-espana/" TargetMode="External"/><Relationship Id="rId2486" Type="http://schemas.openxmlformats.org/officeDocument/2006/relationships/hyperlink" Target="https://rtvc.es/titsa-activa-guagua-lanzadera-por-obras-enlace-san-miguel-las-chafiras/" TargetMode="External"/><Relationship Id="rId563" Type="http://schemas.openxmlformats.org/officeDocument/2006/relationships/hyperlink" Target="https://www.infobae.com/peru/2024/02/14/derrame-de-repsol-ningun-plan-para-rehabilitar-el-desastre-ecologico-ha-sido-aprobado-por-el-minem/" TargetMode="External"/><Relationship Id="rId1156" Type="http://schemas.openxmlformats.org/officeDocument/2006/relationships/hyperlink" Target="https://eldigitalsur.com/vida-estilo/gastronomia-canaria/lajar-bello-arona-sol-repsol-mejor-sala/" TargetMode="External"/><Relationship Id="rId2487" Type="http://schemas.openxmlformats.org/officeDocument/2006/relationships/hyperlink" Target="https://globalenergy.mx/noticias/repsol-y-eni-revelan-nuevo-descubrimiento-en-el-golfo-de-mexico/" TargetMode="External"/><Relationship Id="rId562" Type="http://schemas.openxmlformats.org/officeDocument/2006/relationships/hyperlink" Target="https://soymotero.net/competicion/hrc-honda-motogp-90/" TargetMode="External"/><Relationship Id="rId1157" Type="http://schemas.openxmlformats.org/officeDocument/2006/relationships/hyperlink" Target="https://estrategia.net/noticias/el-electrolizador-de-petronor-ya-produce-hidrogeno-renovable" TargetMode="External"/><Relationship Id="rId2488" Type="http://schemas.openxmlformats.org/officeDocument/2006/relationships/hyperlink" Target="https://forbes.com.mx/petroleras-eni-y-repsol-descubren-petroleo-y-gas-frente-a-costas-del-sur-de-mexico/" TargetMode="External"/><Relationship Id="rId1147" Type="http://schemas.openxmlformats.org/officeDocument/2006/relationships/hyperlink" Target="https://laalacenaroja.com/un-viaje-de-85-anos-por-todos-los-sabores/" TargetMode="External"/><Relationship Id="rId2478" Type="http://schemas.openxmlformats.org/officeDocument/2006/relationships/hyperlink" Target="https://www.guiarepsol.com/es/viajar/en-ruta-con/en-ruta-con-alcala-norte/" TargetMode="External"/><Relationship Id="rId1148" Type="http://schemas.openxmlformats.org/officeDocument/2006/relationships/hyperlink" Target="https://www.eldiadecordoba.es/vivir-cordoba/restaurante-Noor-Mejores-Europa_0_1876613187.html" TargetMode="External"/><Relationship Id="rId2479" Type="http://schemas.openxmlformats.org/officeDocument/2006/relationships/hyperlink" Target="https://www.infobae.com/espana/2024/07/08/los-mejores-chiringuitos-de-andalucia-para-el-verano-de-2024-segun-la-guia-repsol/" TargetMode="External"/><Relationship Id="rId1149" Type="http://schemas.openxmlformats.org/officeDocument/2006/relationships/hyperlink" Target="https://www.elespanol.com/quincemil/vivir/gastrogalicia/20240311/retiro-da-costina-aniversario-homenaje-culinario-anos-historia/839166602_0.html" TargetMode="External"/><Relationship Id="rId558" Type="http://schemas.openxmlformats.org/officeDocument/2006/relationships/hyperlink" Target="https://www.ideal.es/economia/mi-hucha/dura-bombona-butano-agua-estufa-cocina-20240214100552-nt.html" TargetMode="External"/><Relationship Id="rId557" Type="http://schemas.openxmlformats.org/officeDocument/2006/relationships/hyperlink" Target="https://www.vavel.com/es/motor/2024/02/14/motogp/1172480-presentacion-del-repsol-honda-team-para-motogp-2024.html" TargetMode="External"/><Relationship Id="rId556" Type="http://schemas.openxmlformats.org/officeDocument/2006/relationships/hyperlink" Target="https://www.motorbikemag.es/fotos-repsol-honda-motos-500cc-motogp/" TargetMode="External"/><Relationship Id="rId555" Type="http://schemas.openxmlformats.org/officeDocument/2006/relationships/hyperlink" Target="https://www.guiarepsol.com/es/comer/nuestros-favoritos/restaurante-flama-parrilla-valencia/" TargetMode="External"/><Relationship Id="rId559" Type="http://schemas.openxmlformats.org/officeDocument/2006/relationships/hyperlink" Target="https://www.miciudadreal.es/2024/02/14/mueren-en-la-factoria-de-repsol-en-sines-dos-trabajadores-brasilenos-contratados-por-una-empresa-de-montajes-de-puertollano/" TargetMode="External"/><Relationship Id="rId550" Type="http://schemas.openxmlformats.org/officeDocument/2006/relationships/hyperlink" Target="https://www.huffingtonpost.es/sociedad/repsol-pasa-negocio-colchones.html" TargetMode="External"/><Relationship Id="rId2470" Type="http://schemas.openxmlformats.org/officeDocument/2006/relationships/hyperlink" Target="https://www.elespanol.com/treintayseis/vivir/gastrovigo/20240707/artesata-gastronomia-panes-hace-viajar-mundo-sin-salir-vigo/868163298_0.html" TargetMode="External"/><Relationship Id="rId1140" Type="http://schemas.openxmlformats.org/officeDocument/2006/relationships/hyperlink" Target="https://www.fundacionrepsol.com/es/noticias/fundacion-repsol-premios-ganadores-challenge-universitario/" TargetMode="External"/><Relationship Id="rId2471" Type="http://schemas.openxmlformats.org/officeDocument/2006/relationships/hyperlink" Target="https://diariodeavisos.elespanol.com/2024/07/restaurante-moral-centro-de-santa-cruz/" TargetMode="External"/><Relationship Id="rId1141" Type="http://schemas.openxmlformats.org/officeDocument/2006/relationships/hyperlink" Target="https://elperiodicodelaenergia.com/bruselas-ayuda-portuguesa-63-millones-diversificar-produccion-repsol-polimeros/" TargetMode="External"/><Relationship Id="rId2472" Type="http://schemas.openxmlformats.org/officeDocument/2006/relationships/hyperlink" Target="https://www.europapress.es/economia/noticia-repsol-junto-eni-realiza-nuevo-descubrimiento-petroleo-pozo-golfo-mexico-20240708180035.html" TargetMode="External"/><Relationship Id="rId1142" Type="http://schemas.openxmlformats.org/officeDocument/2006/relationships/hyperlink" Target="https://www.vigoe.es/nautica-y-vela/la-flota-de-optimist-desafio-al-mal-tiempo-para-disputar-una-gran-jornada-del-trofeo-repsol/" TargetMode="External"/><Relationship Id="rId2473" Type="http://schemas.openxmlformats.org/officeDocument/2006/relationships/hyperlink" Target="https://www.eleconomista.es/tecnologia/noticias/12896994/07/24/juan-manuel-garcia-repsol-la-ia-nos-ha-sumergido-en-una-revolucion-que-seguramente-tenga-mas-trascendencia-que-la-industrial.html" TargetMode="External"/><Relationship Id="rId554" Type="http://schemas.openxmlformats.org/officeDocument/2006/relationships/hyperlink" Target="https://www.motociclismo.es/mundial-motogp/joan-mir-luca-marini-estrenan-nueva-pop-up-store-box-repsol-gran-via_289897_102.html" TargetMode="External"/><Relationship Id="rId1143" Type="http://schemas.openxmlformats.org/officeDocument/2006/relationships/hyperlink" Target="https://motor.elpais.com/conducir/gasolina-barata-alcampo-repsol/" TargetMode="External"/><Relationship Id="rId2474" Type="http://schemas.openxmlformats.org/officeDocument/2006/relationships/hyperlink" Target="https://www.elespanol.com/invertia/empresas/energia/20240708/repsol-eni-descubren-yacimiento-petroleo-golfo-mexico/868913575_0.html" TargetMode="External"/><Relationship Id="rId553" Type="http://schemas.openxmlformats.org/officeDocument/2006/relationships/hyperlink" Target="https://www.eleconomista.es/energia/noticias/12672310/02/24/julieta-maresca-repsol-espana-tiene-un-gran-potencial-para-que-el-autoconsumo-y-la-generacion-distribuida-se-impulsen-con-fuerza.html" TargetMode="External"/><Relationship Id="rId1144" Type="http://schemas.openxmlformats.org/officeDocument/2006/relationships/hyperlink" Target="https://www.economiademallorca.com/articulo/empresas/voro-unico-restaurante-baleares-2-estrellas-michelin-2-soles-repsol-abre-puertas-15-marzo/20240311112941091940.html" TargetMode="External"/><Relationship Id="rId2475" Type="http://schemas.openxmlformats.org/officeDocument/2006/relationships/hyperlink" Target="https://www.malagahoy.es/malaga/malaga-desbloqueara-venta-terrenos-torres_0_2001437786.html" TargetMode="External"/><Relationship Id="rId552" Type="http://schemas.openxmlformats.org/officeDocument/2006/relationships/hyperlink" Target="https://automovilismocanario.com/2024/02/14/el-equipo-repsol-honda-se-presenta-en-madrid-en-un-ano-clave-por-la-llegada-de-los-combustibles-renovables-a-motogp/" TargetMode="External"/><Relationship Id="rId1145" Type="http://schemas.openxmlformats.org/officeDocument/2006/relationships/hyperlink" Target="https://valledelasuvas.es/2024/03/11/aspe-21-estrellas-michelin-y-25-soles-repsol-brillan-hoy-en-alfonso-mira/" TargetMode="External"/><Relationship Id="rId2476" Type="http://schemas.openxmlformats.org/officeDocument/2006/relationships/hyperlink" Target="https://www.laopiniondemalaga.es/malaga/2024/07/08/malaga-desbloquea-venta-terrenos-repsol-105371535.html" TargetMode="External"/><Relationship Id="rId551" Type="http://schemas.openxmlformats.org/officeDocument/2006/relationships/hyperlink" Target="https://www.canariasenmoto.com/noticias/el-equipo-repsol-honda-recorre-en-moto-el-centro-de-madrid-29976.html" TargetMode="External"/><Relationship Id="rId1146" Type="http://schemas.openxmlformats.org/officeDocument/2006/relationships/hyperlink" Target="https://cronicavasca.elespanol.com/sociedad/20240311/la-chuleta-perfecta-un-restaurante-euskadi-repsol/838166198_0.html" TargetMode="External"/><Relationship Id="rId2477" Type="http://schemas.openxmlformats.org/officeDocument/2006/relationships/hyperlink" Target="https://www.estrategiasdeinversion.com/actualidad/noticias/bolsa-espana/hoy-se-cobra-el-dividendo-de-repsol-estos-son-n-729307" TargetMode="External"/><Relationship Id="rId4280" Type="http://schemas.openxmlformats.org/officeDocument/2006/relationships/hyperlink" Target="https://www.elprogreso.es/articulo/comarcas/restaurantes-lugo-como-soles-conozcalos/202411112327551803868.html" TargetMode="External"/><Relationship Id="rId4282" Type="http://schemas.openxmlformats.org/officeDocument/2006/relationships/hyperlink" Target="https://www.guiarepsol.com/es/soletes/entrega-de-la-x-edicion-de-soletes-en-cordoba/" TargetMode="External"/><Relationship Id="rId4281" Type="http://schemas.openxmlformats.org/officeDocument/2006/relationships/hyperlink" Target="https://www.segre.com/es/sociedad/241111/soletes-solera-lleida_627812.html" TargetMode="External"/><Relationship Id="rId4284" Type="http://schemas.openxmlformats.org/officeDocument/2006/relationships/hyperlink" Target="https://www.larazon.es/aragon/guia-repsol-revela-restaurantes-carretera-aragon-que-puedes-perder_2024111167320ce0759afe000152d1f9.html" TargetMode="External"/><Relationship Id="rId4283" Type="http://schemas.openxmlformats.org/officeDocument/2006/relationships/hyperlink" Target="https://www.diarimes.com/es/camp-tarragona/241111/son-cinco-restaurantes-tarragona-han-entrado-lista-soletes-solera-guia-repsol_157076.html" TargetMode="External"/><Relationship Id="rId4286" Type="http://schemas.openxmlformats.org/officeDocument/2006/relationships/hyperlink" Target="https://www.eleconomista.es/actualidad/noticias/13078904/11/24/la-guia-repsol-reconoce-a-26-restaurantes-y-bares-en-galicia-con-sus-nuevos-soletes.html" TargetMode="External"/><Relationship Id="rId4285" Type="http://schemas.openxmlformats.org/officeDocument/2006/relationships/hyperlink" Target="https://www.diariodesevilla.es/andalucia/son-52-nuevos-soletes-solera-andalucia-guia-repsol_0_2002771143.html" TargetMode="External"/><Relationship Id="rId4288" Type="http://schemas.openxmlformats.org/officeDocument/2006/relationships/hyperlink" Target="https://www.diariodearousa.com/articulo/vilagarcia/repsol-premia-sabores-toda-vida-bar-campos-vilagarcia-solete-solera-5066302" TargetMode="External"/><Relationship Id="rId4287" Type="http://schemas.openxmlformats.org/officeDocument/2006/relationships/hyperlink" Target="https://www.eldiadevalladolid.com/noticia/z0a6e3deb-af06-70ad-7f130feb0a014d79/202411/valladolid-suma-7-nuevos-soletes-repsol" TargetMode="External"/><Relationship Id="rId4289" Type="http://schemas.openxmlformats.org/officeDocument/2006/relationships/hyperlink" Target="https://www.benaventedigital.es/guia-repsol-seis-nuevos-soletes-con-solera-para-zamora/" TargetMode="External"/><Relationship Id="rId4271" Type="http://schemas.openxmlformats.org/officeDocument/2006/relationships/hyperlink" Target="https://www.atlanticohoy.com/economia/estos-son-14-nuevos-bares-restaurantes-canarias-distinguidos-con-soletes-guia-repsol_1538818_102.html" TargetMode="External"/><Relationship Id="rId4270" Type="http://schemas.openxmlformats.org/officeDocument/2006/relationships/hyperlink" Target="https://www.diariodecastillayleon.es/castilla-y-leon/241111/95485/descubre-nuevos-soletes-repsol-castilla-leon.html" TargetMode="External"/><Relationship Id="rId4273" Type="http://schemas.openxmlformats.org/officeDocument/2006/relationships/hyperlink" Target="https://www.lavozdegalicia.es/noticia/arousa/meano/2024/11/12/guia-repsol-premia-bar-campos-patria-mejores-callos-muino-da-chanca/0003_202411A12C3991.htm" TargetMode="External"/><Relationship Id="rId4272" Type="http://schemas.openxmlformats.org/officeDocument/2006/relationships/hyperlink" Target="https://www.aragondigital.es/articulo/sociedad/aragon-brilla-luz-18-nuevos-soletes-solera-guia-repsol-listado-restaurantes/20241111121217894711.html" TargetMode="External"/><Relationship Id="rId4275" Type="http://schemas.openxmlformats.org/officeDocument/2006/relationships/hyperlink" Target="https://www.granadahoy.com/vivir/tabernas-granada-soletes-solera-repsol_0_2002766599.html" TargetMode="External"/><Relationship Id="rId4274" Type="http://schemas.openxmlformats.org/officeDocument/2006/relationships/hyperlink" Target="https://lacronicadesalamanca.com/601008-cinco-soletes-con-solera-repsol-en-salamanca/" TargetMode="External"/><Relationship Id="rId4277" Type="http://schemas.openxmlformats.org/officeDocument/2006/relationships/hyperlink" Target="https://www.guiarepsol.com/es/soletes/restaurantes-bares-de-cocina-tradicional-soletes-con-solera/" TargetMode="External"/><Relationship Id="rId4276" Type="http://schemas.openxmlformats.org/officeDocument/2006/relationships/hyperlink" Target="https://www.gasteizhoy.com/soletes-con-solera-alava/" TargetMode="External"/><Relationship Id="rId4279" Type="http://schemas.openxmlformats.org/officeDocument/2006/relationships/hyperlink" Target="https://www.elaltojalon.es/texto-diario/mostrar/5066394/guia-repsol-otorga-solete-solera-establecimiento-alto-jalon" TargetMode="External"/><Relationship Id="rId4278" Type="http://schemas.openxmlformats.org/officeDocument/2006/relationships/hyperlink" Target="https://cadenaser.com/castillalamancha/2024/11/11/los-sitios-de-siempre-que-recomiendas-a-un-amigo-la-guia-repsol-reparte-20-soletes-con-solera-en-castilla-la-mancha-ser-toledo/" TargetMode="External"/><Relationship Id="rId4291" Type="http://schemas.openxmlformats.org/officeDocument/2006/relationships/hyperlink" Target="https://cadenaser.com/aragon/2024/11/11/pasteleria-ascaso-bar-brasil-mi-bar-bodegas-langa-y-pasteleria-echeto-nuevos-soletes-repsol-radio-huesca/" TargetMode="External"/><Relationship Id="rId4290" Type="http://schemas.openxmlformats.org/officeDocument/2006/relationships/hyperlink" Target="https://cadenaser.com/aragon/2024/11/11/pasteleria-echeto-y-bodegas-langa-nuevos-soletes-con-solera-de-la-guia-repsol-radio-jaca-ser-pirineos/" TargetMode="External"/><Relationship Id="rId4293" Type="http://schemas.openxmlformats.org/officeDocument/2006/relationships/hyperlink" Target="https://www.farodevigo.es/arousa/2024/11/11/bar-campos-solete-repsol-miticos-111605455.html" TargetMode="External"/><Relationship Id="rId4292" Type="http://schemas.openxmlformats.org/officeDocument/2006/relationships/hyperlink" Target="https://www.diariodejerez.es/jerez/tres-establecimientos-jerez-reciben-distincion-soletes-guia-repsol-matria-gloria-taberna-san-pablo_0_2002766611.html" TargetMode="External"/><Relationship Id="rId4295" Type="http://schemas.openxmlformats.org/officeDocument/2006/relationships/hyperlink" Target="https://www.tribunasalamanca.com/noticias/385023/los-seis-restaurantes-y-casas-de-comida-de-salamanca-reconocidos-con-soletes-con-solera-por-la-guia-repsol" TargetMode="External"/><Relationship Id="rId4294" Type="http://schemas.openxmlformats.org/officeDocument/2006/relationships/hyperlink" Target="https://www.larazon.es/castilla-la-mancha/estos-son-restaurantes-toda-vida-castillala-mancha-que-han-conseguido-solete-solera-derepsol_202411116731e66e6566420001a0c7c1.html" TargetMode="External"/><Relationship Id="rId4297" Type="http://schemas.openxmlformats.org/officeDocument/2006/relationships/hyperlink" Target="https://cadenaser.com/castillayleon/2024/11/11/los-seis-restaurantes-y-establecimientos-hosteleros-de-salamanca-que-estrenan-solete-de-repsol-radio-salamanca/" TargetMode="External"/><Relationship Id="rId4296" Type="http://schemas.openxmlformats.org/officeDocument/2006/relationships/hyperlink" Target="https://www.heraldodiariodesoria.es/soria/241111/195210/6-soletes-solera-reconocen-tradicion-gastronomia-soriana.html" TargetMode="External"/><Relationship Id="rId4299" Type="http://schemas.openxmlformats.org/officeDocument/2006/relationships/hyperlink" Target="https://diariodeavisos.elespanol.com/2024/11/estos-son-los-14-nuevos-bares-y-restaurantes-de-canarias-con-soletes-de-la-guia-repsol/" TargetMode="External"/><Relationship Id="rId4298" Type="http://schemas.openxmlformats.org/officeDocument/2006/relationships/hyperlink" Target="https://www.lavozdegalicia.es/noticia/lugo/lugo/2024/11/11/soletes-solera-repsolreconocen-siete-nuevos-restarurantes-lucenses/00031731338001155255250.htm" TargetMode="External"/><Relationship Id="rId4249" Type="http://schemas.openxmlformats.org/officeDocument/2006/relationships/hyperlink" Target="https://www.elespanol.com/eldigitalcastillalamancha/vivir/gastro/20241111/nuevos-restaurantes-castilla-la-mancha-solete-repsol-sitios-solera-comida-siempre/900410048_0.html" TargetMode="External"/><Relationship Id="rId4240" Type="http://schemas.openxmlformats.org/officeDocument/2006/relationships/hyperlink" Target="https://www.elespanol.com/quincemil/vivir/gastrocoruna/20241111/guia-repsol-premia-tradicion-deja-soletes-solera-coruna-felices/900410511_0.html" TargetMode="External"/><Relationship Id="rId4242" Type="http://schemas.openxmlformats.org/officeDocument/2006/relationships/hyperlink" Target="https://www.jaenhoy.es/jaen/son-nuevos-soletes-solera-repsol-jaen_0_2002769443.html" TargetMode="External"/><Relationship Id="rId4241" Type="http://schemas.openxmlformats.org/officeDocument/2006/relationships/hyperlink" Target="https://www.elespanol.com/castilla-y-leon/vivir/20241111/soles-repsol-ponen-foco-sabores-toda-vida-bares-castilla-leon/900410058_0.html" TargetMode="External"/><Relationship Id="rId4244" Type="http://schemas.openxmlformats.org/officeDocument/2006/relationships/hyperlink" Target="https://www.hoyaragon.es/articulo/gastrolike/18-soletes-repsol-aragon/20241111133637079222.html" TargetMode="External"/><Relationship Id="rId4243" Type="http://schemas.openxmlformats.org/officeDocument/2006/relationships/hyperlink" Target="https://www.noticiasdenavarra.com/gastronomia/2024/11/11/son-cinco-nuevos-soletes-solera-navarra-8915638.html" TargetMode="External"/><Relationship Id="rId4246" Type="http://schemas.openxmlformats.org/officeDocument/2006/relationships/hyperlink" Target="https://www.latribunadeciudadreal.es/noticia/z0a51127a-e097-150b-4a0122ba3df6eea7/202411/ciudad-real-suma-tres-nuevos-soles-repsol-a-sus-restaurantes" TargetMode="External"/><Relationship Id="rId4245" Type="http://schemas.openxmlformats.org/officeDocument/2006/relationships/hyperlink" Target="https://www.hoy.es/ensalsa/actualidad/extremadura-suma-doce-nuevos-soletes-solera-20241111113623-nt.html" TargetMode="External"/><Relationship Id="rId4248" Type="http://schemas.openxmlformats.org/officeDocument/2006/relationships/hyperlink" Target="https://enfoquezamora.com/2024/11/11/zamora-suma-seis-soletes-de-repsol-para-negocios-que-apuestan-por-recetas-de-toda-la-vida/" TargetMode="External"/><Relationship Id="rId4247" Type="http://schemas.openxmlformats.org/officeDocument/2006/relationships/hyperlink" Target="https://www.malagahoy.es/la-farola/solete-malaga-restaurantes-recomendados-guia-repsol_0_2002767613.html" TargetMode="External"/><Relationship Id="rId4239" Type="http://schemas.openxmlformats.org/officeDocument/2006/relationships/hyperlink" Target="https://www.lavozdelanzarote.com/ekonomus/gourmet/guia-repsol-otorga-dos-nuevos-soletes-en-lanzarote_230572_102.html" TargetMode="External"/><Relationship Id="rId4238" Type="http://schemas.openxmlformats.org/officeDocument/2006/relationships/hyperlink" Target="https://www.guiarepsol.com/es/soletes/bares-pastelerias-y-restaurantes-centenarios/" TargetMode="External"/><Relationship Id="rId495" Type="http://schemas.openxmlformats.org/officeDocument/2006/relationships/hyperlink" Target="https://www.esciclismo.com/actualidad/carretera/79673.html" TargetMode="External"/><Relationship Id="rId4231" Type="http://schemas.openxmlformats.org/officeDocument/2006/relationships/hyperlink" Target="https://www.eldiadecordoba.es/vivir-cordoba/cordoba-anfitriona-arrasa-gala-soletes-repsol_0_2002722393.html" TargetMode="External"/><Relationship Id="rId494" Type="http://schemas.openxmlformats.org/officeDocument/2006/relationships/hyperlink" Target="https://www.diariodecastillayleon.es/castilla-y-leon/240211/12452/muere-leonesa-isabel-mijares-primera-enologa-espana.html" TargetMode="External"/><Relationship Id="rId4230" Type="http://schemas.openxmlformats.org/officeDocument/2006/relationships/hyperlink" Target="https://www.abc.es/gurme/sevilla/guia-repsol-premia-nueve-establecimientos-sevillanos-edicion-20241111123624-nts.html" TargetMode="External"/><Relationship Id="rId493" Type="http://schemas.openxmlformats.org/officeDocument/2006/relationships/hyperlink" Target="https://www.eleconomista.es/mercados-cotizaciones/noticias/12665025/02/24/las-firmas-espanolas-que-cotizan-por-debajo-de-su-valor-en-libros-ademas-de-la-banca.html" TargetMode="External"/><Relationship Id="rId4233" Type="http://schemas.openxmlformats.org/officeDocument/2006/relationships/hyperlink" Target="https://www.diariodeavila.es/noticia/z1c81fcfd-f5e8-1f35-8c4d29ee742bf1c0/202411/avila-suma-seis-nuevos-soletes-con-solera-en-la-guia-repsol" TargetMode="External"/><Relationship Id="rId492" Type="http://schemas.openxmlformats.org/officeDocument/2006/relationships/hyperlink" Target="https://www.20minutos.es/motor/movilidad/ventaja-nuevos-combustibles-renovables-espana-214004-5214004/" TargetMode="External"/><Relationship Id="rId4232" Type="http://schemas.openxmlformats.org/officeDocument/2006/relationships/hyperlink" Target="https://www.deia.eus/bizkaia/2024/11/11/soletes-solera-guia-repsol-bizkaia-8915918.html" TargetMode="External"/><Relationship Id="rId499" Type="http://schemas.openxmlformats.org/officeDocument/2006/relationships/hyperlink" Target="https://elperiodicodelaenergia.com/repsol-junta-impulsan-recogida-aceite-cocina-usado-castilla-la-mancha/" TargetMode="External"/><Relationship Id="rId4235" Type="http://schemas.openxmlformats.org/officeDocument/2006/relationships/hyperlink" Target="https://www.elmundo.es/metropoli/gastronomia/2024/11/11/6731e3bffdddffbb9d8b457d.html" TargetMode="External"/><Relationship Id="rId498" Type="http://schemas.openxmlformats.org/officeDocument/2006/relationships/hyperlink" Target="https://www.casacochecurro.com/por-que-nunca-debes-usar-el-movil-en-una-gasolinera-y-la-multa-a-la-que-te-enfrentas-si-lo-haces.html" TargetMode="External"/><Relationship Id="rId4234" Type="http://schemas.openxmlformats.org/officeDocument/2006/relationships/hyperlink" Target="https://metropolitano.gal/enfoque/la-guia-repsol-reconoce-con-sus-soletes-hasta-siete-locales-de-la-provincia-de-pontevedra/" TargetMode="External"/><Relationship Id="rId497" Type="http://schemas.openxmlformats.org/officeDocument/2006/relationships/hyperlink" Target="https://www.elmundo.es/metropoli/elmundovino/2024/02/11/65c8d15121efa0516b8b457b.html" TargetMode="External"/><Relationship Id="rId4237" Type="http://schemas.openxmlformats.org/officeDocument/2006/relationships/hyperlink" Target="https://www.lavozdeasturias.es/noticia/gastronomia/2024/11/11/soletes-solera-guia-repsol-asturias/00031731321216919604964.htm" TargetMode="External"/><Relationship Id="rId496" Type="http://schemas.openxmlformats.org/officeDocument/2006/relationships/hyperlink" Target="https://www.heraldo.es/noticias/sociedad/2024/02/11/muere-isabel-mijares-considerada-la-primera-enologa-de-espana-1710362.html" TargetMode="External"/><Relationship Id="rId4236" Type="http://schemas.openxmlformats.org/officeDocument/2006/relationships/hyperlink" Target="https://www.elcorreo.com/jantour/restaurantes/nuevos-restaurantes-panaderias-soletes-guia-repsol-bizkaia-20241111103936-nt.html" TargetMode="External"/><Relationship Id="rId4260" Type="http://schemas.openxmlformats.org/officeDocument/2006/relationships/hyperlink" Target="https://www.larioja.com/degusta/rioja-estrena-seis-nuevos-soletes-solera-20241111123252-nt.html" TargetMode="External"/><Relationship Id="rId4262" Type="http://schemas.openxmlformats.org/officeDocument/2006/relationships/hyperlink" Target="https://www.heraldo.es/noticias/gastronomia/2024/11/11/nuevos-soletes-solera-aragon-bares-restaurantes-pastelerias-2024-1776806.html" TargetMode="External"/><Relationship Id="rId4261" Type="http://schemas.openxmlformats.org/officeDocument/2006/relationships/hyperlink" Target="https://www.diariocordoba.com/ocio/gastronomia/2024/11/11/cordoba-diez-nuevos-soletes-guia-repsol-111596110.html" TargetMode="External"/><Relationship Id="rId4264" Type="http://schemas.openxmlformats.org/officeDocument/2006/relationships/hyperlink" Target="https://www.donostitik.com/siete-nuevos-soletes-de-repsol-para-gipuzkoa/" TargetMode="External"/><Relationship Id="rId4263" Type="http://schemas.openxmlformats.org/officeDocument/2006/relationships/hyperlink" Target="https://www.lavozdegalicia.es/noticia/vigo/2024/11/11/molino-aldan-besadio-pazos-nuevos-soletes-repsol-area-vigo/00031731333313847481870.htm" TargetMode="External"/><Relationship Id="rId4266" Type="http://schemas.openxmlformats.org/officeDocument/2006/relationships/hyperlink" Target="https://www.laverdad.es/gastronomia/seis-nuevos-bares-region-murcia-premiados-sol-20241111103757-nt.html" TargetMode="External"/><Relationship Id="rId4265" Type="http://schemas.openxmlformats.org/officeDocument/2006/relationships/hyperlink" Target="https://www.farodevigo.es/visado/gastronomia/locales-provincia-pontevedra-soletes-solera-guia-repsol-dv-111586292.html" TargetMode="External"/><Relationship Id="rId4268" Type="http://schemas.openxmlformats.org/officeDocument/2006/relationships/hyperlink" Target="https://www.levante-emv.com/sociedad/2024/11/11/diecisiete-locales-valencianos-aparecen-guia-111588249.html" TargetMode="External"/><Relationship Id="rId4267" Type="http://schemas.openxmlformats.org/officeDocument/2006/relationships/hyperlink" Target="https://www.elespanol.com/eldigitalcastillalamancha/vivir/gastro/20241111/solete-repsol-bar-pequeno-pueblo-toledo-cocidos-escandalo-menu-euros/900410354_0.html" TargetMode="External"/><Relationship Id="rId4269" Type="http://schemas.openxmlformats.org/officeDocument/2006/relationships/hyperlink" Target="https://www.ideal.es/andalucia/nuevos-soletes-solera-guia-repsol-andalucia-20241111120317-nt.html" TargetMode="External"/><Relationship Id="rId4251" Type="http://schemas.openxmlformats.org/officeDocument/2006/relationships/hyperlink" Target="https://ileon.eldiario.es/actualidad/leon-suma-cinco-soletes-repsol-solera-celebrar-tradicion-sabores_1_11808312.html" TargetMode="External"/><Relationship Id="rId4250" Type="http://schemas.openxmlformats.org/officeDocument/2006/relationships/hyperlink" Target="https://ileon.eldiario.es/actualidad/leon-suma-cinco-soletes-repsol-solera-celebrar-tradicion-sabores_1_11808312.html" TargetMode="External"/><Relationship Id="rId4253" Type="http://schemas.openxmlformats.org/officeDocument/2006/relationships/hyperlink" Target="https://www.lavozdegalicia.es/noticia/coruna/vivir-coruna/2024/11/11/hamburgueseria-jumbo-h1o-casa-pontenuevos-soletes-solera-guia-repsol-coruna/00031731317838242248129.htm" TargetMode="External"/><Relationship Id="rId4252" Type="http://schemas.openxmlformats.org/officeDocument/2006/relationships/hyperlink" Target="https://www.20minutos.es/gastronomia/restaurantes/soletes-con-solera-guia-repsol-locales-tradicionales-5652808/" TargetMode="External"/><Relationship Id="rId4255" Type="http://schemas.openxmlformats.org/officeDocument/2006/relationships/hyperlink" Target="https://www.diariodelaltoaragon.es/noticias/huesca/2024/11/11/estos-son-los-cinco-establecimientos-de-huesca-reconocidos-con-nuevos-soletes-repsol-1776972-daa.html" TargetMode="External"/><Relationship Id="rId4254" Type="http://schemas.openxmlformats.org/officeDocument/2006/relationships/hyperlink" Target="https://www.noticiasdegipuzkoa.eus/sociedad/2024/11/11/7-establecimientos-guipuzcoanos-premiados-soletes-8915893.html" TargetMode="External"/><Relationship Id="rId4257" Type="http://schemas.openxmlformats.org/officeDocument/2006/relationships/hyperlink" Target="https://www.ideal.es/almeria/gourmet/seis-nuevos-soletes-solera-guia-repsol-almeria-20241111135012-nt.html" TargetMode="External"/><Relationship Id="rId4256" Type="http://schemas.openxmlformats.org/officeDocument/2006/relationships/hyperlink" Target="https://www.elperiodicoextremadura.com/extremadura/2024/11/11/son-locales-solera-reconocidos-nuevos-111590015.html" TargetMode="External"/><Relationship Id="rId4259" Type="http://schemas.openxmlformats.org/officeDocument/2006/relationships/hyperlink" Target="https://www.huelvainformacion.es/destino-huelva/son-nuevos-soletes-otono-otorgados_0_2002753955.html" TargetMode="External"/><Relationship Id="rId4258" Type="http://schemas.openxmlformats.org/officeDocument/2006/relationships/hyperlink" Target="https://gentleman.elperiodico.com/placeres/soletes-repsol-casas-comidas-cafeterias-bares/" TargetMode="External"/><Relationship Id="rId3810" Type="http://schemas.openxmlformats.org/officeDocument/2006/relationships/hyperlink" Target="https://www.lasexta.com/noticias/economia/repsol-cumple-amenaza-lleva-inversiones-fuera-espana_20241021671621c6afcb530001bd35cb.html" TargetMode="External"/><Relationship Id="rId3812" Type="http://schemas.openxmlformats.org/officeDocument/2006/relationships/hyperlink" Target="https://www.eldebate.com/economia/20241021/repsol-traslada-inversion-portugal-anunciar-gobierno-prorroga-impuesto-energeticas_237861.html" TargetMode="External"/><Relationship Id="rId3811" Type="http://schemas.openxmlformats.org/officeDocument/2006/relationships/hyperlink" Target="https://www.diariodesevilla.es/empresas-al-dia/repsol-proveedor-multienergia-festival-sitges_0_2002610230.html" TargetMode="External"/><Relationship Id="rId3814" Type="http://schemas.openxmlformats.org/officeDocument/2006/relationships/hyperlink" Target="https://gaceta.es/economia/repsol-planea-trasladar-su-inversion-de-1-100-millones-de-euros-de-tarragona-a-portugal-por-la-inestabilidad-fiscal-20241021-1710/" TargetMode="External"/><Relationship Id="rId3813" Type="http://schemas.openxmlformats.org/officeDocument/2006/relationships/hyperlink" Target="https://www.elindependiente.com/economia/2024/10/21/repsol-cumple-su-amenaza-y-traslada-un-proyecto-a-portugal-en-protesta-al-impuestazo/" TargetMode="External"/><Relationship Id="rId3816" Type="http://schemas.openxmlformats.org/officeDocument/2006/relationships/hyperlink" Target="https://murciaeconomia.com/art/98019/repsol-apuesta-por-portugal-con-una-inversion-de-15-m-en-hidrogeno-renovable" TargetMode="External"/><Relationship Id="rId3815" Type="http://schemas.openxmlformats.org/officeDocument/2006/relationships/hyperlink" Target="https://www.diaridetarragona.com/economia/repsol-tarragona-inversion-1100-millones-euros-portugal-HE21529592" TargetMode="External"/><Relationship Id="rId3818" Type="http://schemas.openxmlformats.org/officeDocument/2006/relationships/hyperlink" Target="https://www.expansion.com/mercados/2024/10/21/6716139de5fdea826d8b45d8.html" TargetMode="External"/><Relationship Id="rId3817" Type="http://schemas.openxmlformats.org/officeDocument/2006/relationships/hyperlink" Target="https://www.elmundo.es/economia/empresas/2024/10/21/6716868ee4d4d84e528b459e.html" TargetMode="External"/><Relationship Id="rId3819" Type="http://schemas.openxmlformats.org/officeDocument/2006/relationships/hyperlink" Target="https://www.lasexta.com/programas/al-rojo-vivo/carlos-segovia-marcha-planta-repsol-portugal-impuestazo-cientos-millones-espana-estan-aire_2024102167163da6e2e54f000187c41a.html" TargetMode="External"/><Relationship Id="rId3801" Type="http://schemas.openxmlformats.org/officeDocument/2006/relationships/hyperlink" Target="https://www.caranddriver.com/es/formula-1/a62661885/fia-sancion-equipo-romper-parque-cerrado-red-bull/" TargetMode="External"/><Relationship Id="rId3800" Type="http://schemas.openxmlformats.org/officeDocument/2006/relationships/hyperlink" Target="https://www.caranddriver.com/es/formula-1/a62663506/explica-fia-polemica-sancion-lando-norris-max-verstappen/" TargetMode="External"/><Relationship Id="rId3803" Type="http://schemas.openxmlformats.org/officeDocument/2006/relationships/hyperlink" Target="https://www.expansion.com/empresas/energia/2024/10/21/6716631c468aebc41c8b456f.html" TargetMode="External"/><Relationship Id="rId3802" Type="http://schemas.openxmlformats.org/officeDocument/2006/relationships/hyperlink" Target="https://www.caranddriver.com/es/formula-1/a62661003/fernando-alonso-tenia-razon-rocambolesca-explicacion-fia-sancion-lando-norris/" TargetMode="External"/><Relationship Id="rId3805" Type="http://schemas.openxmlformats.org/officeDocument/2006/relationships/hyperlink" Target="https://elperiodicodelaenergia.com/repsol-ejecutara-un-electrolizador-en-portugal-mientras-los-de-espana-siguen-en-stand-by/" TargetMode="External"/><Relationship Id="rId3804" Type="http://schemas.openxmlformats.org/officeDocument/2006/relationships/hyperlink" Target="https://www.libremercado.com/2024-10-21/repsol-huye-del-impuestazo-en-portugal-y-mantiene-inversiones-bloqueadas-en-pais-vasco-y-cataluna-7176609/" TargetMode="External"/><Relationship Id="rId3807" Type="http://schemas.openxmlformats.org/officeDocument/2006/relationships/hyperlink" Target="https://cronicaglobal.elespanol.com/business/20241021/repsol-traslada-inversiones-portugal-impuestazo-energetico-gobierno/895160555_0.html" TargetMode="External"/><Relationship Id="rId3806" Type="http://schemas.openxmlformats.org/officeDocument/2006/relationships/hyperlink" Target="https://www.eleconomista.es/energia/noticias/13043091/10/24/repsol-mueve-su-primera-inversion-a-portugal-como-protesta-por-el-impuestazo-a-las-energeticas.html" TargetMode="External"/><Relationship Id="rId3809" Type="http://schemas.openxmlformats.org/officeDocument/2006/relationships/hyperlink" Target="https://www.lavanguardia.com/economia/20241021/10039518/foment-pide-generalitat-interceda-paralizar-impuesto-energeticas.html" TargetMode="External"/><Relationship Id="rId3808" Type="http://schemas.openxmlformats.org/officeDocument/2006/relationships/hyperlink" Target="https://www.economiadigital.es/valencia/empresas/repsol-inversion-v2c.html" TargetMode="External"/><Relationship Id="rId1213" Type="http://schemas.openxmlformats.org/officeDocument/2006/relationships/hyperlink" Target="https://www.elconfidencialdigital.com/articulo/dinero/repsol-multiplicara-6-estaciones-combustible-renovable-2024/20240318000000743380.html" TargetMode="External"/><Relationship Id="rId2544" Type="http://schemas.openxmlformats.org/officeDocument/2006/relationships/hyperlink" Target="https://www.eleconomista.es/energia/noticias/12905697/07/24/repsol-mercadona-o-toyota-se-alian-para-pedir-incentivos-y-regulacion-en-los-combustibles-renovables.html" TargetMode="External"/><Relationship Id="rId3876" Type="http://schemas.openxmlformats.org/officeDocument/2006/relationships/hyperlink" Target="https://www.elnacional.cat/oneconomia/es/empresas/josu-jon-imaz-repsol-con-impuesto-energeticas-inversion-se-desviara-otros-paises_1304110_102.html" TargetMode="External"/><Relationship Id="rId1214" Type="http://schemas.openxmlformats.org/officeDocument/2006/relationships/hyperlink" Target="https://www.equiposytalento.com/noticias/2024/03/18/repsol-la-tercera-mejor-empresa-de-espana-para-trabajar" TargetMode="External"/><Relationship Id="rId2545" Type="http://schemas.openxmlformats.org/officeDocument/2006/relationships/hyperlink" Target="https://www.elespanol.com/invertia/empresas/energia/20240711/repsol-adelanta-estrategia-alcanzara-venta-combustible-verde-gasolineras/869663306_0.html" TargetMode="External"/><Relationship Id="rId3875" Type="http://schemas.openxmlformats.org/officeDocument/2006/relationships/hyperlink" Target="https://www.guiarepsol.com/es/comer/en-el-mercado/clandestinos-evento-arroces-molino-roca-valencia/" TargetMode="External"/><Relationship Id="rId1215" Type="http://schemas.openxmlformats.org/officeDocument/2006/relationships/hyperlink" Target="https://www.guiarepsol.com/es/comer/nuestros-favoritos/restaurante-learta-sevilla-gastronomia-andaluza/" TargetMode="External"/><Relationship Id="rId2546" Type="http://schemas.openxmlformats.org/officeDocument/2006/relationships/hyperlink" Target="https://cincodias.elpais.com/mercados-financieros/2024-07-11/repsol-achaca-en-bolsa-la-caida-significativa-en-los-margenes-de-refino.html" TargetMode="External"/><Relationship Id="rId3878" Type="http://schemas.openxmlformats.org/officeDocument/2006/relationships/hyperlink" Target="https://www.cronista.com/espana/ibex-euro/repsol-asi-abre-la-cotizacion-hoy-martes-22-de-octubre-cuanto-rinden-los-dividendos/" TargetMode="External"/><Relationship Id="rId1216" Type="http://schemas.openxmlformats.org/officeDocument/2006/relationships/hyperlink" Target="https://www.repsol.es/particulares/asesoramiento-consumo/como-pagar-zona-azul-desde-el-movil-con-waylet/" TargetMode="External"/><Relationship Id="rId2547" Type="http://schemas.openxmlformats.org/officeDocument/2006/relationships/hyperlink" Target="https://www.expansion.com/mercados/2024/07/11/668f87b3e5fdeafd648b4571.html" TargetMode="External"/><Relationship Id="rId3877" Type="http://schemas.openxmlformats.org/officeDocument/2006/relationships/hyperlink" Target="https://www.hispanidad.com/economia/sumar-quiere-gobierno-compre-paquete-acciones-repsol-es-decir-repita-vergonzosa-operacion-telefonica_12054493_102.html" TargetMode="External"/><Relationship Id="rId1217" Type="http://schemas.openxmlformats.org/officeDocument/2006/relationships/hyperlink" Target="https://www.elconfidencial.com/empresas/2024-03-18/iberdrola-demanda-repsol-supuesta-competencia-desleal-publicidad-enganosa_3849757/" TargetMode="External"/><Relationship Id="rId2548" Type="http://schemas.openxmlformats.org/officeDocument/2006/relationships/hyperlink" Target="https://okdiario.com/economia/imaz-repsol-carga-contra-normativa-medioambiental-no-podran-prohibir-motor-combustion-13145088" TargetMode="External"/><Relationship Id="rId1218" Type="http://schemas.openxmlformats.org/officeDocument/2006/relationships/hyperlink" Target="https://hazrevista.org/rsc/2024/03/inditex-iberdrola-repsol-lideres-atraer-retener-talento-espana-2023/" TargetMode="External"/><Relationship Id="rId2549" Type="http://schemas.openxmlformats.org/officeDocument/2006/relationships/hyperlink" Target="https://www.guiarepsol.com/es/dormir/como-en-casa/apartamentos-casa-blanca-vejer-frontera/" TargetMode="External"/><Relationship Id="rId3879" Type="http://schemas.openxmlformats.org/officeDocument/2006/relationships/hyperlink" Target="https://cronicaglobal.elespanol.com/politica/20241022/la-camara-de-tarragona-el-electricas-repsol/895410553_0.html" TargetMode="External"/><Relationship Id="rId1219" Type="http://schemas.openxmlformats.org/officeDocument/2006/relationships/hyperlink" Target="https://www.boxrepsol.com/es/motogp/horarios-y-como-ver-el-motogp-de-portugal/" TargetMode="External"/><Relationship Id="rId3870" Type="http://schemas.openxmlformats.org/officeDocument/2006/relationships/hyperlink" Target="https://consensodelmercado.com/es/ibex-35/noticias/repsol-estudia-paralizar-sus-inversiones-de-hidrogeno-en-espana-ante-el-planteamiento-de-mantener-el-impuesto-a-las-energeticas" TargetMode="External"/><Relationship Id="rId2540" Type="http://schemas.openxmlformats.org/officeDocument/2006/relationships/hyperlink" Target="https://www.bolsamania.com/noticias/empresas/repsol-reduce-12-produccion-segundo-trimestre-margen-refino-cae-16--17062791.html" TargetMode="External"/><Relationship Id="rId3872" Type="http://schemas.openxmlformats.org/officeDocument/2006/relationships/hyperlink" Target="https://www.elconfidencial.com/empresas/2024-10-22/junts-no-impuestazo-gobierno-repsol_3988519/" TargetMode="External"/><Relationship Id="rId1210" Type="http://schemas.openxmlformats.org/officeDocument/2006/relationships/hyperlink" Target="https://www.rtve.es/noticias/20240318/demanda-iberdrola-repsol-competencia-desleal-greenwashing/16020717.shtml" TargetMode="External"/><Relationship Id="rId2541" Type="http://schemas.openxmlformats.org/officeDocument/2006/relationships/hyperlink" Target="https://www.fundacionrepsol.com/es/noticias/proyectos-seleccionados-de-la-convocatoria-liderando-el-cambio/" TargetMode="External"/><Relationship Id="rId3871" Type="http://schemas.openxmlformats.org/officeDocument/2006/relationships/hyperlink" Target="https://www.businessinsider.es/economia/decision-repsol-llevarse-inversiones-fuera-espana-tensiona-coalicion-vuelve-enfrentar-gobierno-empresarios-1413421" TargetMode="External"/><Relationship Id="rId1211" Type="http://schemas.openxmlformats.org/officeDocument/2006/relationships/hyperlink" Target="https://www.elmundo.es/economia/empresas/2024/03/18/65f8677ae4d4d8cb7b8b459b.html" TargetMode="External"/><Relationship Id="rId2542" Type="http://schemas.openxmlformats.org/officeDocument/2006/relationships/hyperlink" Target="https://elperiodicodelaenergia.com/repsol-adelanta-a-2025-el-objetivo-de-suministrar-en-1-500-estaciones-combustible-100-renovable/" TargetMode="External"/><Relationship Id="rId3874" Type="http://schemas.openxmlformats.org/officeDocument/2006/relationships/hyperlink" Target="https://www.elindependiente.com/economia/2024/10/22/imaz-repsol-a-sanchez-por-el-impuestazo-miles-de-millones-se-desviaran-a-otros-paises/" TargetMode="External"/><Relationship Id="rId1212" Type="http://schemas.openxmlformats.org/officeDocument/2006/relationships/hyperlink" Target="https://www.publico.es/sociedad/iberdrola-acusa-repsol-competencia-desleal-publicidad-enganosa-greenwashing.html" TargetMode="External"/><Relationship Id="rId2543" Type="http://schemas.openxmlformats.org/officeDocument/2006/relationships/hyperlink" Target="https://www.revistainforetail.com/noticiadet/fnac-incorpora-el-sistema-de-pago-waylet-de-repsol/8e49213772c3d83f052784d08447f59b" TargetMode="External"/><Relationship Id="rId3873" Type="http://schemas.openxmlformats.org/officeDocument/2006/relationships/hyperlink" Target="https://www.lavozdegalicia.es/noticia/economia/2024/10/21/repsol-invertira-15-millones-portugal-poner-marcha-proyecto-hidrogeno-verde/00031729532265213457198.htm" TargetMode="External"/><Relationship Id="rId1202" Type="http://schemas.openxmlformats.org/officeDocument/2006/relationships/hyperlink" Target="https://www.eldiariomontanes.es/economia/repsol-alcanza-hoznayo-centenar-estaciones-servicio-diesel-20240317075043-nt.html" TargetMode="External"/><Relationship Id="rId2533" Type="http://schemas.openxmlformats.org/officeDocument/2006/relationships/hyperlink" Target="https://www.laopiniondemurcia.es/comunidad/2024/07/10/inyeccion-millonaria-planta-hidrogeno-verde-105427781.html" TargetMode="External"/><Relationship Id="rId3865" Type="http://schemas.openxmlformats.org/officeDocument/2006/relationships/hyperlink" Target="https://www.repsol.com/es/productos-y-servicios/materiales/materiales-news/presentamos-nuestras-soluciones-innovadoras-movilidad-sostenible-IZB-2024/index.cshtml" TargetMode="External"/><Relationship Id="rId1203" Type="http://schemas.openxmlformats.org/officeDocument/2006/relationships/hyperlink" Target="https://cronicavasca.elespanol.com/empresas/20240317/dorronsoro-entiendo-imaz-cuando-ayuda-transformar-repsol/839916147_0.html" TargetMode="External"/><Relationship Id="rId2534" Type="http://schemas.openxmlformats.org/officeDocument/2006/relationships/hyperlink" Target="https://www.bolsamania.com/noticias/analisis-tecnico/consultorio-de-analisis-tecnico-repsol-santander-pharmamar-redeia-enagas-amper-dow-jones--17046991.html" TargetMode="External"/><Relationship Id="rId3864" Type="http://schemas.openxmlformats.org/officeDocument/2006/relationships/hyperlink" Target="https://www.elespanol.com/invertia/empresas/energia/20241022/repsol-planea-proyectos-verdes-portugal-eeuu-paraliza-inversion-espana-impuestazo/895160819_0.html" TargetMode="External"/><Relationship Id="rId1204" Type="http://schemas.openxmlformats.org/officeDocument/2006/relationships/hyperlink" Target="https://efe.com/cultura/2024-03-17/cocina-silvestre-david-yarnoz-base-proyecto-cuatro-estrellas-michelin/" TargetMode="External"/><Relationship Id="rId2535" Type="http://schemas.openxmlformats.org/officeDocument/2006/relationships/hyperlink" Target="https://www.laopiniondemalaga.es/malaga/2024/07/10/urbania-tendra-10-dias-acreditar-105414605.html" TargetMode="External"/><Relationship Id="rId3867" Type="http://schemas.openxmlformats.org/officeDocument/2006/relationships/hyperlink" Target="https://herculesdiario.es/negocios/repsol-podria-cerrar-sus-refinerias-en-espana/" TargetMode="External"/><Relationship Id="rId1205" Type="http://schemas.openxmlformats.org/officeDocument/2006/relationships/hyperlink" Target="https://www.elprogreso.es/articulo/comarcas/montero-exaltan-fogones-pepita/202403171351171740090.html" TargetMode="External"/><Relationship Id="rId2536" Type="http://schemas.openxmlformats.org/officeDocument/2006/relationships/hyperlink" Target="https://www.guiarepsol.com/es/viajar/vamos-de-excursion/calas-mallorca-solitarias/" TargetMode="External"/><Relationship Id="rId3866" Type="http://schemas.openxmlformats.org/officeDocument/2006/relationships/hyperlink" Target="https://www.diaridetarragona.com/economia/yolanda-diaz-sobre-repsol-las-empresas-espanolas-deben-implicarse-con-su-pais-AC21549669" TargetMode="External"/><Relationship Id="rId1206" Type="http://schemas.openxmlformats.org/officeDocument/2006/relationships/hyperlink" Target="https://www.cartv.es/aragonnoticias/aragon/menus-caseros-que-luchan-contra-la-despoblacion-y-mantienen-vivos-a-pequenos-pueblos-de-aragon-24140" TargetMode="External"/><Relationship Id="rId2537" Type="http://schemas.openxmlformats.org/officeDocument/2006/relationships/hyperlink" Target="https://www.farodevigo.es/ideas/Potencia-tu-futuro/mentoring.html" TargetMode="External"/><Relationship Id="rId3869" Type="http://schemas.openxmlformats.org/officeDocument/2006/relationships/hyperlink" Target="https://www.diaridetarragona.com/tarragona/que-es-impuesto-banca-energeticas-repsol-tarragona-CC21548219" TargetMode="External"/><Relationship Id="rId1207" Type="http://schemas.openxmlformats.org/officeDocument/2006/relationships/hyperlink" Target="https://www.20minutos.es/gastronomia/restaurantes/restaurantes-dubai-chefs-espanoles-5224412/" TargetMode="External"/><Relationship Id="rId2538" Type="http://schemas.openxmlformats.org/officeDocument/2006/relationships/hyperlink" Target="https://www.huelvainformacion.es/destino-huelva/venta-carretera-comida-casera-guia_0_2001435576.html" TargetMode="External"/><Relationship Id="rId3868" Type="http://schemas.openxmlformats.org/officeDocument/2006/relationships/hyperlink" Target="https://www.motosan.es/motogp/honda-podria-tener-ya-un-patrocinador-para-sustituir-a-repsol-en-2025/" TargetMode="External"/><Relationship Id="rId1208" Type="http://schemas.openxmlformats.org/officeDocument/2006/relationships/hyperlink" Target="https://todoculturavegabaja.es/eventos/benejuzar-evento-xix-concentracion-motera-del-club-centauros-del-alba-con-almuerzo-motero-musica-en-directo-animacion-stands-de-exposicion-y-mercadillo-motero-sorteos-regalos-y-ruta-tu/" TargetMode="External"/><Relationship Id="rId2539" Type="http://schemas.openxmlformats.org/officeDocument/2006/relationships/hyperlink" Target="https://www.20minutos.es/lainformacion/empresas/margen-refino-repsol-hunde-primer-segundo-trimestre-5530122/" TargetMode="External"/><Relationship Id="rId1209" Type="http://schemas.openxmlformats.org/officeDocument/2006/relationships/hyperlink" Target="https://metropolitano.gal/enfoque/entre-los-fogones-y-la-barra-asi-son-los-secretos-de-la-mesa-de-conus-en-vigo/" TargetMode="External"/><Relationship Id="rId3861" Type="http://schemas.openxmlformats.org/officeDocument/2006/relationships/hyperlink" Target="https://www.economiadigital.es/empresas/repsol-paraliza-proyectos-que-suponen-el-3-de-los-objetivos-en-hidrogeno-renovable-del-gobierno.html" TargetMode="External"/><Relationship Id="rId2530" Type="http://schemas.openxmlformats.org/officeDocument/2006/relationships/hyperlink" Target="https://www.capitalmadrid.com/2024/7/10/67670/repsol-capta-para-bilbao-y-cartagena-el-40-de-las-nuevas-ayudas-al-hidrogeno.html" TargetMode="External"/><Relationship Id="rId3860" Type="http://schemas.openxmlformats.org/officeDocument/2006/relationships/hyperlink" Target="https://www.galiciapress.es/articulo/economia/2024-10-22/5041619-cig-denuncia-ante-inspeccion-trabajo-repsol-supuesta-vulneracion-derecho-huelga-empleados-navec" TargetMode="External"/><Relationship Id="rId1200" Type="http://schemas.openxmlformats.org/officeDocument/2006/relationships/hyperlink" Target="https://www.laverdad.es/murcia/cartagena/repsol-arranca-motores-nueva-planta-cartagena-fabricar-20240317074041-nt.html" TargetMode="External"/><Relationship Id="rId2531" Type="http://schemas.openxmlformats.org/officeDocument/2006/relationships/hyperlink" Target="https://www.20minutos.es/lainformacion/consumo/repsol-vuelve-sortear-1-millon-euros-entre-los-clientes-que-reposten-con-waylet-sus-gasolineras-5529899/" TargetMode="External"/><Relationship Id="rId3863" Type="http://schemas.openxmlformats.org/officeDocument/2006/relationships/hyperlink" Target="https://www.guiarepsol.com/es/dormir/en-la-gloria/hotel-puente-colgante-portugalete/" TargetMode="External"/><Relationship Id="rId1201" Type="http://schemas.openxmlformats.org/officeDocument/2006/relationships/hyperlink" Target="https://www.diariodeavila.es/noticia/za39481b2-eb95-43f9-b05731b421212392/202403/dos-soles-con-solera" TargetMode="External"/><Relationship Id="rId2532" Type="http://schemas.openxmlformats.org/officeDocument/2006/relationships/hyperlink" Target="https://www.expansion.com/empresas/energia/2024/07/10/668d91a1468aeb701d8b4593.html" TargetMode="External"/><Relationship Id="rId3862" Type="http://schemas.openxmlformats.org/officeDocument/2006/relationships/hyperlink" Target="https://www.elindependiente.com/espana/2024/10/22/que-es-el-electrolizador-que-repsol-se-ha-llevado-a-portugal-y-tiene-congelados-en-espana/" TargetMode="External"/><Relationship Id="rId1235" Type="http://schemas.openxmlformats.org/officeDocument/2006/relationships/hyperlink" Target="https://www.malagahoy.es/malaga/Malaga-asesor-Urbanismo-Urbania_0_1885911965.html" TargetMode="External"/><Relationship Id="rId2566" Type="http://schemas.openxmlformats.org/officeDocument/2006/relationships/hyperlink" Target="https://www.infobae.com/espana/2024/07/13/restaurantes-fast-good-la-moda-de-comida-rapida-saludable-ideada-por-ferran-adria-que-la-guia-repsol-premia-con-sus-soletes/" TargetMode="External"/><Relationship Id="rId3898" Type="http://schemas.openxmlformats.org/officeDocument/2006/relationships/hyperlink" Target="https://www.20minutos.es/lainformacion/empresas/garamendi-critica-impuesto-permanente-eletricas-pone-duda-inversiones-espana-5646611/" TargetMode="External"/><Relationship Id="rId1236" Type="http://schemas.openxmlformats.org/officeDocument/2006/relationships/hyperlink" Target="https://www.guiarepsol.com/es/comer/recetas/las-mejores-ensaladillas-tres-versiones-curiosas-chef-chema-soler/" TargetMode="External"/><Relationship Id="rId2567" Type="http://schemas.openxmlformats.org/officeDocument/2006/relationships/hyperlink" Target="https://es.ara.cat/misc/radiografia-contaminacion-industrial-espana_130_5087574.html" TargetMode="External"/><Relationship Id="rId3897" Type="http://schemas.openxmlformats.org/officeDocument/2006/relationships/hyperlink" Target="https://www.diaridetarragona.com/economia/recaudacion-impuestazo-banca-energeticas-inversiones-repsol-tarragona-OD21556910" TargetMode="External"/><Relationship Id="rId1237" Type="http://schemas.openxmlformats.org/officeDocument/2006/relationships/hyperlink" Target="https://www.rrhhdigital.com/secciones/quien-es-quien/743640/grupo-eulen-nombra-a-maria-jesus-algaba-alvarez-como-directora-de-personas-talento-y-cultura/" TargetMode="External"/><Relationship Id="rId2568" Type="http://schemas.openxmlformats.org/officeDocument/2006/relationships/hyperlink" Target="https://www.guiarepsol.com/es/comer/vinos-y-bodegas/destilerias-pepe-albela-a-coruna/" TargetMode="External"/><Relationship Id="rId1238" Type="http://schemas.openxmlformats.org/officeDocument/2006/relationships/hyperlink" Target="https://es.greenpeace.org/es/noticias/repsol-nos-ha-robado-la-primavera/" TargetMode="External"/><Relationship Id="rId2569" Type="http://schemas.openxmlformats.org/officeDocument/2006/relationships/hyperlink" Target="https://www.atlanticohoy.com/tenerife/parada-guagua-tenerife-dejara-funcionar-titsa-alternativa_1534251_102.html" TargetMode="External"/><Relationship Id="rId3899" Type="http://schemas.openxmlformats.org/officeDocument/2006/relationships/hyperlink" Target="https://www.elmundo.es/economia/2024/10/22/6717c064fc6c83fc1c8b45a6.html" TargetMode="External"/><Relationship Id="rId1239" Type="http://schemas.openxmlformats.org/officeDocument/2006/relationships/hyperlink" Target="https://www.expansion.com/empresas/energia/2024/03/20/65fb5c95e5fdeac73c8b4583.html" TargetMode="External"/><Relationship Id="rId409" Type="http://schemas.openxmlformats.org/officeDocument/2006/relationships/hyperlink" Target="https://www.galiciapress.es/articulo/movimientos/2024-02-02/4703245-silencio-repsol-prosegur-agrava-crisis-seguridad-privada-refineria-coruna" TargetMode="External"/><Relationship Id="rId404" Type="http://schemas.openxmlformats.org/officeDocument/2006/relationships/hyperlink" Target="https://e-noticies.cat/es/gente/felipe-acudira-evento-importante-tras-salir-unica-verdad-sobre-letizia" TargetMode="External"/><Relationship Id="rId403" Type="http://schemas.openxmlformats.org/officeDocument/2006/relationships/hyperlink" Target="https://energiaestrategica.es/31-gw-renovables-en-italia/" TargetMode="External"/><Relationship Id="rId402" Type="http://schemas.openxmlformats.org/officeDocument/2006/relationships/hyperlink" Target="https://okdiario.com/okgreen/adios-casablanca-ultima-plataforma-petrolifera-suelo-espanol-12300726" TargetMode="External"/><Relationship Id="rId401" Type="http://schemas.openxmlformats.org/officeDocument/2006/relationships/hyperlink" Target="https://www.elconfidencial.com/medioambiente/2024-02-01/motor-verde-reforestacion-espana-bra_3820082/" TargetMode="External"/><Relationship Id="rId408" Type="http://schemas.openxmlformats.org/officeDocument/2006/relationships/hyperlink" Target="https://www.elcorreo.com/miranda/repsol-solventara-problemas-suministro-bombonas-butano-miranda-20240202131902-nt.html" TargetMode="External"/><Relationship Id="rId407" Type="http://schemas.openxmlformats.org/officeDocument/2006/relationships/hyperlink" Target="https://cadenaser.com/castillalamancha/2024/02/02/convirtiendo-un-subproducto-de-pesadilla-en-dulces-suenos-repsol-pone-en-marcha-en-puertollano-su-planta-recpur-ser-ciudad-real/" TargetMode="External"/><Relationship Id="rId406" Type="http://schemas.openxmlformats.org/officeDocument/2006/relationships/hyperlink" Target="https://www.elespanol.com/invertia/observatorios/movilidad/20240202/repsol-nombra-oliver-fernandez-nuevo-director-movilidad-electrica/829417555_0.html" TargetMode="External"/><Relationship Id="rId405" Type="http://schemas.openxmlformats.org/officeDocument/2006/relationships/hyperlink" Target="https://www.fundacionrepsol.com/es/que-hacemos/fondo-de-emprendedores/convocatoria/" TargetMode="External"/><Relationship Id="rId3890" Type="http://schemas.openxmlformats.org/officeDocument/2006/relationships/hyperlink" Target="https://elperiodicodelaenergia.com/garamendi-censura-la-permanencia-del-impuesto-a-las-energeticas-que-pone-en-duda-inversiones-en-espana/" TargetMode="External"/><Relationship Id="rId2560" Type="http://schemas.openxmlformats.org/officeDocument/2006/relationships/hyperlink" Target="https://elperiodicodelaenergia.com/lorenzo-resalta-ambicioso-plan-transformacion-energetica-repsol-puertollano/" TargetMode="External"/><Relationship Id="rId3892" Type="http://schemas.openxmlformats.org/officeDocument/2006/relationships/hyperlink" Target="https://cronicavasca.elespanol.com/empresas/20241022/petronor-mantiene-paralizado-de-electrolizador-mw-bizkaia/895410539_0.html" TargetMode="External"/><Relationship Id="rId1230" Type="http://schemas.openxmlformats.org/officeDocument/2006/relationships/hyperlink" Target="https://www.rrhhdigital.com/secciones/actualidad/743542/repsol-es-la-tercera-mejor-empresa-para-trabajar-en-espana/" TargetMode="External"/><Relationship Id="rId2561" Type="http://schemas.openxmlformats.org/officeDocument/2006/relationships/hyperlink" Target="https://tele7.tv/repsol-hace-vibrar-el-bilbao-bbk-live-al-ritmo-de-energias-renovables/" TargetMode="External"/><Relationship Id="rId3891" Type="http://schemas.openxmlformats.org/officeDocument/2006/relationships/hyperlink" Target="https://www.20minutos.es/lainformacion/economia-y-finanzas/congreso-mas-tiempo-reformar-proyecto-ley-permanente-impuesto-energetico-5646543/" TargetMode="External"/><Relationship Id="rId400" Type="http://schemas.openxmlformats.org/officeDocument/2006/relationships/hyperlink" Target="https://www.tecnicasreunidas.es/es/nace-la-asociacion-crecemos-para-impulsar-la-economia-circular-y-los-combustibles-renovables/" TargetMode="External"/><Relationship Id="rId1231" Type="http://schemas.openxmlformats.org/officeDocument/2006/relationships/hyperlink" Target="https://www.puromarketing.com/14/213548/iberdrola-acusa-repsol-publicidad-enganosa-practicas-postureo-demanda-multimillonaria" TargetMode="External"/><Relationship Id="rId2562" Type="http://schemas.openxmlformats.org/officeDocument/2006/relationships/hyperlink" Target="https://teveras.es/2024/07/12/31470/antonio-lorenzo-nuevo-director-de-repsol-puertollano/" TargetMode="External"/><Relationship Id="rId3894" Type="http://schemas.openxmlformats.org/officeDocument/2006/relationships/hyperlink" Target="https://www.elnacional.cat/oneconomia/es/economia/junts-forzara-gobierno-retirar-impuesto-energeticas-salvar-inversiones-catalunya_1303900_102.html" TargetMode="External"/><Relationship Id="rId1232" Type="http://schemas.openxmlformats.org/officeDocument/2006/relationships/hyperlink" Target="https://www.elmundo.es/economia/empresas/2024/03/19/65f9e473e9cf4a4f4f8b45e1.html" TargetMode="External"/><Relationship Id="rId2563" Type="http://schemas.openxmlformats.org/officeDocument/2006/relationships/hyperlink" Target="https://www.miciudadreal.es/2024/07/12/el-nuevo-director-de-repsol-puertollano-antonio-lorenzo-toma-el-relevo-en-el-solido-plan-de-transformacion-del-complejo-petroquimico/" TargetMode="External"/><Relationship Id="rId3893" Type="http://schemas.openxmlformats.org/officeDocument/2006/relationships/hyperlink" Target="https://www.eleconomista.es/energia/noticias/13045426/10/24/junts-y-pnv-retiran-su-apoyo-al-gobierno-en-la-renovacion-del-impuestazo-para-evitar-perder-inversion-industrial.html" TargetMode="External"/><Relationship Id="rId1233" Type="http://schemas.openxmlformats.org/officeDocument/2006/relationships/hyperlink" Target="https://www.diaridetarragona.com/economia/repsol-acaba-la-parada-del-complejo-tarraconense-tras-una-inversion-de-150-m-CA18907959" TargetMode="External"/><Relationship Id="rId2564" Type="http://schemas.openxmlformats.org/officeDocument/2006/relationships/hyperlink" Target="https://www.guiarepsol.com/es/soletes/donde-comer-en-malaga-segun-los-chefs/" TargetMode="External"/><Relationship Id="rId3896" Type="http://schemas.openxmlformats.org/officeDocument/2006/relationships/hyperlink" Target="https://motorcyclesports.net/es/honda-cerca-de-llegar-a-un-acuerdo-con-castrol-para-reemplazar-a-repsol-como-patrocinador-principal-en-2025/" TargetMode="External"/><Relationship Id="rId1234" Type="http://schemas.openxmlformats.org/officeDocument/2006/relationships/hyperlink" Target="https://www.guiarepsol.com/es/comer/nuestros-favoritos/donde-comer-en-el-escorial-madrid/" TargetMode="External"/><Relationship Id="rId2565" Type="http://schemas.openxmlformats.org/officeDocument/2006/relationships/hyperlink" Target="https://www.laopinioncoruna.es/coruna/2024/07/12/helados-coruna-solete-repsol-puedes-105558261.html" TargetMode="External"/><Relationship Id="rId3895" Type="http://schemas.openxmlformats.org/officeDocument/2006/relationships/hyperlink" Target="https://elpais.com/economia/2024-10-23/el-gobierno-retrasa-la-reforma-de-los-impuestos-a-banca-y-energeticas-mientras-crece-la-presion-de-los-socios.html" TargetMode="External"/><Relationship Id="rId1224" Type="http://schemas.openxmlformats.org/officeDocument/2006/relationships/hyperlink" Target="https://www.guiarepsol.com/es/viajar/vamos-de-excursion/lugares-para-esquiar-y-surfear-en-el-mismo-dia/" TargetMode="External"/><Relationship Id="rId2555" Type="http://schemas.openxmlformats.org/officeDocument/2006/relationships/hyperlink" Target="https://www.guiarepsol.com/es/viajar/nos-gusta/puestos-de-artesanos-en-sant-francesc-formentera-/" TargetMode="External"/><Relationship Id="rId3887" Type="http://schemas.openxmlformats.org/officeDocument/2006/relationships/hyperlink" Target="https://www.elconfidencial.com/espana/2024-10-22/motivos-butaneros-huelga-cuando-suspenden-reparto-bombonas-1qrt-1tna_3987961/" TargetMode="External"/><Relationship Id="rId1225" Type="http://schemas.openxmlformats.org/officeDocument/2006/relationships/hyperlink" Target="https://heraldodemexico.com.mx/nacional/2024/3/18/pemex-chevron-repsol-shell-quien-da-mas-barata-la-gasolina-segun-el-gobierno-federal-586738.html" TargetMode="External"/><Relationship Id="rId2556" Type="http://schemas.openxmlformats.org/officeDocument/2006/relationships/hyperlink" Target="https://www.elespanol.com/malaga/malaga-ciudad/20240711/casero-contundente-venta-torres-malaga-repsol-vamos-seguir-legitimo-legal/869663236_0.html" TargetMode="External"/><Relationship Id="rId3886" Type="http://schemas.openxmlformats.org/officeDocument/2006/relationships/hyperlink" Target="https://www.lamarea.com/2024/10/22/faes-millones-euros-donaciones-grandes-empresas/" TargetMode="External"/><Relationship Id="rId1226" Type="http://schemas.openxmlformats.org/officeDocument/2006/relationships/hyperlink" Target="https://www.guiarepsol.com/es/viajar/nos-gusta/visita-real-fabrica-tapices-madrid/" TargetMode="External"/><Relationship Id="rId2557" Type="http://schemas.openxmlformats.org/officeDocument/2006/relationships/hyperlink" Target="https://www.guiarepsol.com/es/viajar/en-ruta-con/tamar-novas-restaurantes-destinos-favoritos/" TargetMode="External"/><Relationship Id="rId3889" Type="http://schemas.openxmlformats.org/officeDocument/2006/relationships/hyperlink" Target="https://grandepremio.com/es/motogp/honda-busqueda-nuevo-patrocinador-salida-repsol-motogp-2025/" TargetMode="External"/><Relationship Id="rId1227" Type="http://schemas.openxmlformats.org/officeDocument/2006/relationships/hyperlink" Target="https://www.reasonwhy.es/actualidad/iberdrola-demanda-repsol-competencia-desleal-publicidad-enganosa" TargetMode="External"/><Relationship Id="rId2558" Type="http://schemas.openxmlformats.org/officeDocument/2006/relationships/hyperlink" Target="https://www.elespanol.com/madrid/ocio/20240711/fernando-exchef-estrellas-michelin-arrasa-antonita-solete-repsol-come/869413478_0.html" TargetMode="External"/><Relationship Id="rId3888" Type="http://schemas.openxmlformats.org/officeDocument/2006/relationships/hyperlink" Target="https://www.diaridetarragona.com/economia/junts-no-apoyara-un-impuesto-permanente-a-las-energeticas-CD21550103" TargetMode="External"/><Relationship Id="rId1228" Type="http://schemas.openxmlformats.org/officeDocument/2006/relationships/hyperlink" Target="https://www.elindependiente.com/economia/2024/03/19/repsol-se-lanza-a-por-iberdrola-y-endesa-ofertas-y-descuentos-para-robar-dos-millones-de-clientes-electricos/" TargetMode="External"/><Relationship Id="rId2559" Type="http://schemas.openxmlformats.org/officeDocument/2006/relationships/hyperlink" Target="https://www.guiarepsol.com/es/soletes/los-sabores-de-helado-favoritos-de-los-chefs-/" TargetMode="External"/><Relationship Id="rId1229" Type="http://schemas.openxmlformats.org/officeDocument/2006/relationships/hyperlink" Target="https://elperiodicodelaenergia.com/repsol-y-el-resto-de-grandes-petroleras-y-gasistas-del-mundo-se-alejan-de-los-objetivos-del-acuerdo-de-paris/" TargetMode="External"/><Relationship Id="rId3881" Type="http://schemas.openxmlformats.org/officeDocument/2006/relationships/hyperlink" Target="https://www.lacomarcadepuertollano.com/articulo/puertollano/jueves-da-comienzo-huelga-indefinida-navec-puertollano-concentracion-puertas-repsol-quimicas/20241022194846566924.html" TargetMode="External"/><Relationship Id="rId2550" Type="http://schemas.openxmlformats.org/officeDocument/2006/relationships/hyperlink" Target="https://www.eldiadecordoba.es/vivir-cordoba/asador-cordoba-gusta-guia-repsol_0_2001536205.html" TargetMode="External"/><Relationship Id="rId3880" Type="http://schemas.openxmlformats.org/officeDocument/2006/relationships/hyperlink" Target="https://www.sport.es/es/noticias/motor/moto-gp/castrol-perfila-relevo-repsol-honda-110082423" TargetMode="External"/><Relationship Id="rId1220" Type="http://schemas.openxmlformats.org/officeDocument/2006/relationships/hyperlink" Target="https://www.guiarepsol.com/es/dormir/en-la-gloria/hotel-voramar-en-benicassim-castellon/" TargetMode="External"/><Relationship Id="rId2551" Type="http://schemas.openxmlformats.org/officeDocument/2006/relationships/hyperlink" Target="https://www.ig.com/es/ideas-de-trading-y-noticias/ibex-35-hoy--sube-un-0-18--mientras-rovi-lidera-las-ganancias-y--240711" TargetMode="External"/><Relationship Id="rId3883" Type="http://schemas.openxmlformats.org/officeDocument/2006/relationships/hyperlink" Target="https://www.elplural.com/economia/empresas/repsol-aire-inversiones-espana-espera-politica-impuesto_339754102" TargetMode="External"/><Relationship Id="rId1221" Type="http://schemas.openxmlformats.org/officeDocument/2006/relationships/hyperlink" Target="https://www.elespanol.com/madrid/ocio/20240318/restaurante-heredero-mitico-santceloni-arrasa-madrid-expertos-sol-repsol/840166215_0.html" TargetMode="External"/><Relationship Id="rId2552" Type="http://schemas.openxmlformats.org/officeDocument/2006/relationships/hyperlink" Target="https://www.deia.eus/bilbao/2024/07/11/emision-co2-bilbao-bbk-live-8469895.html" TargetMode="External"/><Relationship Id="rId3882" Type="http://schemas.openxmlformats.org/officeDocument/2006/relationships/hyperlink" Target="https://www.diaridetarragona.com/economia/amplian-periodo-enmiendas-impuestazo-permanente-repsol-tarragona-DD21550506" TargetMode="External"/><Relationship Id="rId1222" Type="http://schemas.openxmlformats.org/officeDocument/2006/relationships/hyperlink" Target="https://www.eluniversal.com.mx/cartera/pemex-mas-rentable-que-repsol-y-shell-en-2023/" TargetMode="External"/><Relationship Id="rId2553" Type="http://schemas.openxmlformats.org/officeDocument/2006/relationships/hyperlink" Target="https://elperiodicodelaenergia.com/imaz-repsol-prohibir-motor-combustion-europa-2035-es-error-profundo-no-se-va-producir/" TargetMode="External"/><Relationship Id="rId3885" Type="http://schemas.openxmlformats.org/officeDocument/2006/relationships/hyperlink" Target="https://www.cadenadesuministro.es/transporte-carretera/transportistas-distribuidores-butano-suspenderan-temporalmente-reparto-domiciliario-particulares-empresas_1505173_102.html" TargetMode="External"/><Relationship Id="rId1223" Type="http://schemas.openxmlformats.org/officeDocument/2006/relationships/hyperlink" Target="https://www.boxrepsol.com/es/cultura-motera/motos-tipo-vespa/" TargetMode="External"/><Relationship Id="rId2554" Type="http://schemas.openxmlformats.org/officeDocument/2006/relationships/hyperlink" Target="https://www.bnamericas.com/es/noticias/repsol-planea-inversion-en-refineria-la-pampilla-en-peru" TargetMode="External"/><Relationship Id="rId3884" Type="http://schemas.openxmlformats.org/officeDocument/2006/relationships/hyperlink" Target="https://www.eitb.eus/es/noticias/economia/detalle/9610502/pradales-se-suma-a-garamendi-e-imaz-en-critica-al-impuesto-estatal-a-bancos-y-energeticas/" TargetMode="External"/><Relationship Id="rId2500" Type="http://schemas.openxmlformats.org/officeDocument/2006/relationships/hyperlink" Target="https://grupo.iberia.es/pressrelease/details/20264" TargetMode="External"/><Relationship Id="rId3832" Type="http://schemas.openxmlformats.org/officeDocument/2006/relationships/hyperlink" Target="https://cincodias.elpais.com/fortunas/2024-10-22/los-nuevos-jefes.html" TargetMode="External"/><Relationship Id="rId2501" Type="http://schemas.openxmlformats.org/officeDocument/2006/relationships/hyperlink" Target="https://www.europapress.es/economia/energia-00341/noticia-gobierno-reparte-ayudas-794-millones-repsol-iberdrola-edp-endesa-impulsar-hidrogeno-verde-20240709131915.html" TargetMode="External"/><Relationship Id="rId3831" Type="http://schemas.openxmlformats.org/officeDocument/2006/relationships/hyperlink" Target="https://www.finanzas.com/ibex-35/las-companias-mas-baratas-del-ibex-35.html" TargetMode="External"/><Relationship Id="rId2502" Type="http://schemas.openxmlformats.org/officeDocument/2006/relationships/hyperlink" Target="https://www.expansion.com/directivos/2024/07/09/668c0a79468aeb89388b4577.html" TargetMode="External"/><Relationship Id="rId3834" Type="http://schemas.openxmlformats.org/officeDocument/2006/relationships/hyperlink" Target="https://www.caranddriver.com/es/formula-1/a62668106/formula-1-marcha-atras-trofeos-especiales-eeuu/" TargetMode="External"/><Relationship Id="rId2503" Type="http://schemas.openxmlformats.org/officeDocument/2006/relationships/hyperlink" Target="https://cincodias.elpais.com/companias/2024-07-09/iberdrola-repsol-endesa-y-edp-se-aseguran-casi-800-millones-en-ayudas-al-hidrogeno.html" TargetMode="External"/><Relationship Id="rId3833" Type="http://schemas.openxmlformats.org/officeDocument/2006/relationships/hyperlink" Target="https://www.bolsamania.com/capitalbolsa/noticias_print/empresas/repsol-proyectos-renovables-en-nueva-york--17744346.html" TargetMode="External"/><Relationship Id="rId2504" Type="http://schemas.openxmlformats.org/officeDocument/2006/relationships/hyperlink" Target="https://murciaplaza.com/murciaplaza/el-estado-apoyara-con-155-millones-la-planta-de-hidrogeno-verde-de-repsol-en-cartagena" TargetMode="External"/><Relationship Id="rId3836" Type="http://schemas.openxmlformats.org/officeDocument/2006/relationships/hyperlink" Target="https://www.elcorreo.com/economia/josu-jon-imaz-industria-populismo-20241022002612-nt.html" TargetMode="External"/><Relationship Id="rId2505" Type="http://schemas.openxmlformats.org/officeDocument/2006/relationships/hyperlink" Target="https://www.larazon.es/economia/alianza-airbus-aena-iberia-air-nostrum-exolum-repsol-crear-primer-hub-aeroportuario-hidrogeno-espana_20240709668d4b40099c89000157c9e2.html" TargetMode="External"/><Relationship Id="rId3835" Type="http://schemas.openxmlformats.org/officeDocument/2006/relationships/hyperlink" Target="https://www.elmundo.es/economia/2024/10/21/6715555be85ece3f028b457a.html" TargetMode="External"/><Relationship Id="rId2506" Type="http://schemas.openxmlformats.org/officeDocument/2006/relationships/hyperlink" Target="https://www.uso.es/supremo-sentencia-a-repsol-butano-a-indemnizar-a-uso-por-lesionar-libertad-sindical/" TargetMode="External"/><Relationship Id="rId3838" Type="http://schemas.openxmlformats.org/officeDocument/2006/relationships/hyperlink" Target="https://www.publico.es/economia/repsol-congela-proyectos-hidrogeno-verde-espana.html" TargetMode="External"/><Relationship Id="rId2507" Type="http://schemas.openxmlformats.org/officeDocument/2006/relationships/hyperlink" Target="https://www.guiarepsol.com/es/dormir/como-en-casa/apartamentos-villa-sofia-san-vicente-barquera/" TargetMode="External"/><Relationship Id="rId3837" Type="http://schemas.openxmlformats.org/officeDocument/2006/relationships/hyperlink" Target="https://www.energias-renovables.com/panorama/repsol-amenaza-con-la-deslocalizacion-si-se-20241022" TargetMode="External"/><Relationship Id="rId2508" Type="http://schemas.openxmlformats.org/officeDocument/2006/relationships/hyperlink" Target="https://www.elespanol.com/invertia/empresas/energia/20240709/repsol-alia-airbus-aena-air-nostrum-iberia-exolum-impulsar-primer-hub-aeroportuario-hidrogeno/869163230_0.html" TargetMode="External"/><Relationship Id="rId2509" Type="http://schemas.openxmlformats.org/officeDocument/2006/relationships/hyperlink" Target="https://www.eldebate.com/motor/20240709/probamos-combustible-renovable-espanol-permitira-seguir-usando-coches-gasolina-diesel_211470.html" TargetMode="External"/><Relationship Id="rId3839" Type="http://schemas.openxmlformats.org/officeDocument/2006/relationships/hyperlink" Target="https://elpais.com/economia/2024-10-22/sumar-propone-que-el-estado-tome-el-control-en-repsol-tras-llevarse-inversiones-fuera-de-espana.html" TargetMode="External"/><Relationship Id="rId3830" Type="http://schemas.openxmlformats.org/officeDocument/2006/relationships/hyperlink" Target="https://www.eleconomista.com.mx/empresas/repsol-congela-inversiones-hidrogeno-verde-espana-20241021-730881.html" TargetMode="External"/><Relationship Id="rId3821" Type="http://schemas.openxmlformats.org/officeDocument/2006/relationships/hyperlink" Target="https://www.diaridetarragona.com/economia/preocupacion-sindical-por-la-posible-perdida-de-la-inversion-millonaria-de-repsol-KF21532239" TargetMode="External"/><Relationship Id="rId3820" Type="http://schemas.openxmlformats.org/officeDocument/2006/relationships/hyperlink" Target="https://www.economiadigital.es/empresas/deslocalizacion-repsol-portugal-amenaza-3000-millones-tarragona-bilbao-cartagena.html" TargetMode="External"/><Relationship Id="rId3823" Type="http://schemas.openxmlformats.org/officeDocument/2006/relationships/hyperlink" Target="https://www.guiarepsol.com/es/comer/nuestros-favoritos/restaurante-tonton-madrid/" TargetMode="External"/><Relationship Id="rId3822" Type="http://schemas.openxmlformats.org/officeDocument/2006/relationships/hyperlink" Target="https://www.guiarepsol.com/es/viajar/vamos-de-excursion/ruta-por-el-barranco-del-bornova-en-hiendelaencina-guadalajara/" TargetMode="External"/><Relationship Id="rId3825" Type="http://schemas.openxmlformats.org/officeDocument/2006/relationships/hyperlink" Target="https://www.diaridetarragona.com/economia/el-morell-pide-responsabilidad-al-gobierno-para-salvar-el-proyecto-de-ecoplanta-de-repsol-AF21537722" TargetMode="External"/><Relationship Id="rId3824" Type="http://schemas.openxmlformats.org/officeDocument/2006/relationships/hyperlink" Target="https://www.diaridetarragona.com/economia/las-reacciones-politicas-sobre-la-posible-perdida-de-la-inversion-millonaria-de-repsol-en-tarragona-MC21545485" TargetMode="External"/><Relationship Id="rId3827" Type="http://schemas.openxmlformats.org/officeDocument/2006/relationships/hyperlink" Target="https://www.diaridetarragona.com/economia/el-polo-petroquimico-de-tarragona-se-juega-su-futuro-industrial-BC21545253" TargetMode="External"/><Relationship Id="rId3826" Type="http://schemas.openxmlformats.org/officeDocument/2006/relationships/hyperlink" Target="https://www.elmundo.es/opinion/editorial/2024/10/21/67152ec6e9cf4a7f168b4576.html" TargetMode="External"/><Relationship Id="rId3829" Type="http://schemas.openxmlformats.org/officeDocument/2006/relationships/hyperlink" Target="https://www.eleconomista.es/energia/noticias/13043853/10/24/foment-alerta-de-que-el-impuesto-a-las-energeticas-pone-en-riesgo-el-polo-quimico-de-tarragona.html" TargetMode="External"/><Relationship Id="rId3828" Type="http://schemas.openxmlformats.org/officeDocument/2006/relationships/hyperlink" Target="https://www.elnacional.cat/oneconomia/es/economia/catalunya-juega-inversion-1100-millones-impuesto-energeticas_1302979_102.html" TargetMode="External"/><Relationship Id="rId2522" Type="http://schemas.openxmlformats.org/officeDocument/2006/relationships/hyperlink" Target="https://www.estrategiasdeinversion.com/actualidad/noticias/bolsa-espana/el-ibex-35-no-logra-sostener-los-11000-pese-al-n-729599" TargetMode="External"/><Relationship Id="rId3854" Type="http://schemas.openxmlformats.org/officeDocument/2006/relationships/hyperlink" Target="https://www.energias-renovables.com/panorama/alianza-verde-exige-que-repsol-devuelva-las-20241022" TargetMode="External"/><Relationship Id="rId2523" Type="http://schemas.openxmlformats.org/officeDocument/2006/relationships/hyperlink" Target="https://cincodias.elpais.com/companias/2024-07-10/aena-llama-a-electricas-y-financieras-para-blindarse-frente-a-futuras-subidas-de-la-luz.html" TargetMode="External"/><Relationship Id="rId3853" Type="http://schemas.openxmlformats.org/officeDocument/2006/relationships/hyperlink" Target="https://www.expansion.com/empresas/energia/2024/10/22/6716c26c468aebc41c8b4595.html" TargetMode="External"/><Relationship Id="rId2524" Type="http://schemas.openxmlformats.org/officeDocument/2006/relationships/hyperlink" Target="https://www.ig.com/es/ideas-de-trading-y-noticias/ibex-35-hoy--pharma-mar-y-grifols-lideran-ganancias--mientras-in-240709" TargetMode="External"/><Relationship Id="rId3856" Type="http://schemas.openxmlformats.org/officeDocument/2006/relationships/hyperlink" Target="https://www.lavanguardia.com/dinero/20241022/10042555/cc-oo-solicita-repsol-reunion-urgente-amenaza-congelar-inversiones.html" TargetMode="External"/><Relationship Id="rId2525" Type="http://schemas.openxmlformats.org/officeDocument/2006/relationships/hyperlink" Target="https://www.elcorreo.com/economia/gobierno-160-millones-petronor-proyecto-hidrogeno-verde-20240709135615-nt.html" TargetMode="External"/><Relationship Id="rId3855" Type="http://schemas.openxmlformats.org/officeDocument/2006/relationships/hyperlink" Target="https://elperiodicodelaenergia.com/petronor-repsol-mantiene-paralizado-el-proyecto-de-un-electrolizador-de-100-mw-en-vizcaya/" TargetMode="External"/><Relationship Id="rId2526" Type="http://schemas.openxmlformats.org/officeDocument/2006/relationships/hyperlink" Target="https://forbes.es/forbestravel/489514/seis-grandes-empresas-se-unen-para-crear-el-primer-hub-de-hidrogeno-de-aviacion-en-espana-cuales-son-y-cuales-es-el-horizonte-que-plantean/" TargetMode="External"/><Relationship Id="rId3858" Type="http://schemas.openxmlformats.org/officeDocument/2006/relationships/hyperlink" Target="https://www.eldebate.com/economia/20241022/sumar-propone-estado-tome-control-repsol-llevarse-inversiones-fuera-espana_238201.html" TargetMode="External"/><Relationship Id="rId2527" Type="http://schemas.openxmlformats.org/officeDocument/2006/relationships/hyperlink" Target="https://www.eleconomista.es/galerias/eleconomista/21377/III-Foro-Movilidad-La-revolucion-sostenible-de-la-movilidad-y-la-logistica" TargetMode="External"/><Relationship Id="rId3857" Type="http://schemas.openxmlformats.org/officeDocument/2006/relationships/hyperlink" Target="https://www.todocircuito.com/noticias/37236-honda-ya-tiene-un-sustituto-para-repsol-en-motogp.html" TargetMode="External"/><Relationship Id="rId2528" Type="http://schemas.openxmlformats.org/officeDocument/2006/relationships/hyperlink" Target="https://www.actualidadambiental.pe/pescadores-denuncian-falta-de-voluntad-politica-para-remediar-danos-del-derrame-de-repsol/" TargetMode="External"/><Relationship Id="rId2529" Type="http://schemas.openxmlformats.org/officeDocument/2006/relationships/hyperlink" Target="https://diariodelistmo.com/nacional/este-es-el-nuevo-pozo-petrolero-encontrado-y-por-que-pemex-no-participa-en-su-explotacion-/50547570" TargetMode="External"/><Relationship Id="rId3859" Type="http://schemas.openxmlformats.org/officeDocument/2006/relationships/hyperlink" Target="https://www.diarimes.com/es/tarragona/241022/repsol-deja-standby-inversiones-tarragona-impuesto-energeticas_154287.html" TargetMode="External"/><Relationship Id="rId3850" Type="http://schemas.openxmlformats.org/officeDocument/2006/relationships/hyperlink" Target="https://www.encastillalamancha.es/economia-cat/articulo-opinion-josu-jon-imaz-repsol-impuestos-gobierno/" TargetMode="External"/><Relationship Id="rId2520" Type="http://schemas.openxmlformats.org/officeDocument/2006/relationships/hyperlink" Target="https://www.laopiniondemalaga.es/malaga/2024/07/09/torre-incide-importancia-salga-adelante-105405020.html" TargetMode="External"/><Relationship Id="rId3852" Type="http://schemas.openxmlformats.org/officeDocument/2006/relationships/hyperlink" Target="https://es.motorsport.com/motogp/news/honda-castrol-sustituto-repsol-patrocinador/10665656/" TargetMode="External"/><Relationship Id="rId2521" Type="http://schemas.openxmlformats.org/officeDocument/2006/relationships/hyperlink" Target="https://www.guiarepsol.com/es/comer/nuestros-favoritos/heladeria-campo-a-traves-el-escorial/" TargetMode="External"/><Relationship Id="rId3851" Type="http://schemas.openxmlformats.org/officeDocument/2006/relationships/hyperlink" Target="https://www.articulo14.es/economia/repsol-paraliza-su-inversion-en-espana-por-culpa-de-los-impuestos-20241022.html" TargetMode="External"/><Relationship Id="rId2511" Type="http://schemas.openxmlformats.org/officeDocument/2006/relationships/hyperlink" Target="https://www.20minutos.es/lainformacion/consumo/fnac-se-alia-con-waylet-app-repsol-para-facilitar-sistema-pago-sus-tiendas-5529420/" TargetMode="External"/><Relationship Id="rId3843" Type="http://schemas.openxmlformats.org/officeDocument/2006/relationships/hyperlink" Target="https://es.ara.cat/misc/repsol-avisa-impuesto-energeticas-frenara-inversiones-tarragona_1_5178590.html" TargetMode="External"/><Relationship Id="rId2512" Type="http://schemas.openxmlformats.org/officeDocument/2006/relationships/hyperlink" Target="https://www.infobae.com/espana/2024/07/09/las-mejores-heladerias-de-madrid-para-endulzar-el-verano-en-la-ciudad/" TargetMode="External"/><Relationship Id="rId3842" Type="http://schemas.openxmlformats.org/officeDocument/2006/relationships/hyperlink" Target="https://elperiodicodelaenergia.com/ccoo-pide-reunion-una-urgente-a-repsol-para-evaluar-la-situacion-ante-las-inversiones-en-stand-by/" TargetMode="External"/><Relationship Id="rId2513" Type="http://schemas.openxmlformats.org/officeDocument/2006/relationships/hyperlink" Target="https://www.huelva24.com/gastronomia/chiringuito-huelva-aparece-guia-repsol-recomienda-chef-20240709144826-nth.html" TargetMode="External"/><Relationship Id="rId3845" Type="http://schemas.openxmlformats.org/officeDocument/2006/relationships/hyperlink" Target="https://cronicaglobal.elespanol.com/politica/20241022/junts-bloqueara-impuestazo-energetico-gobierno-repsol-tarragona/895410561_0.html" TargetMode="External"/><Relationship Id="rId2514" Type="http://schemas.openxmlformats.org/officeDocument/2006/relationships/hyperlink" Target="https://www.eleconomista.es/energia/noticias/12902154/07/24/el-gobierno-apoyara-con-800-millones-a-repsol-edp-endesa-e-iberdrola-para-el-desarrollo-de-hidrogeno.html" TargetMode="External"/><Relationship Id="rId3844" Type="http://schemas.openxmlformats.org/officeDocument/2006/relationships/hyperlink" Target="https://www.elperiodico.com/es/economia/20241022/repsol-tarragona-congela-inversiones-millonarias-110077781" TargetMode="External"/><Relationship Id="rId2515" Type="http://schemas.openxmlformats.org/officeDocument/2006/relationships/hyperlink" Target="https://cincodias.elpais.com/companias/2024-07-09/airbus-aena-air-nostrum-iberia-exolum-y-repsol-se-alian-para-facilitar-la-llegada-del-hidrogeno-al-sector-aereo.html" TargetMode="External"/><Relationship Id="rId3847" Type="http://schemas.openxmlformats.org/officeDocument/2006/relationships/hyperlink" Target="https://alicanteplaza.es/alicanteplaza/tui-y-repsol-prueban-en-benidorm-el-biocombustible-en-autocares-para-reducir-emisiones-en-destinos-turisticos" TargetMode="External"/><Relationship Id="rId2516" Type="http://schemas.openxmlformats.org/officeDocument/2006/relationships/hyperlink" Target="https://www.guiarepsol.com/es/comer/nuestros-favoritos/restaurante-el-panuelo-madrid/" TargetMode="External"/><Relationship Id="rId3846" Type="http://schemas.openxmlformats.org/officeDocument/2006/relationships/hyperlink" Target="https://intereconomia.com/noticia/empresas/imaz-ceo-de-repsol-carga-contra-la-demagogia-fiscal-del-gobierno-y-el-peaje-de-sanchez-a-sumar-20241022-1144/" TargetMode="External"/><Relationship Id="rId2517" Type="http://schemas.openxmlformats.org/officeDocument/2006/relationships/hyperlink" Target="https://www.eleconomista.es/mercados-cotizaciones/noticias/12900206/07/24/iag-pelea-a-repsol-el-titulo-de-ser-la-compania-mas-barata-del-ibex.html" TargetMode="External"/><Relationship Id="rId3849" Type="http://schemas.openxmlformats.org/officeDocument/2006/relationships/hyperlink" Target="https://www.libremercado.com/2024-10-22/sumar-propone-intervenir-repsol-por-protestar-contra-el-impuestazo-energetico-7176995/" TargetMode="External"/><Relationship Id="rId2518" Type="http://schemas.openxmlformats.org/officeDocument/2006/relationships/hyperlink" Target="https://www.epe.es/es/activos/20240709/repsol-desafia-cepsa-hidrogeno-verde-iberia-aena-airbus-105415138" TargetMode="External"/><Relationship Id="rId3848" Type="http://schemas.openxmlformats.org/officeDocument/2006/relationships/hyperlink" Target="https://gaceta.es/economia/repsol-lleva-inversiones-a-portugal-como-protesta-por-el-impuesto-a-las-energeticas-20241022-1141/" TargetMode="External"/><Relationship Id="rId2519" Type="http://schemas.openxmlformats.org/officeDocument/2006/relationships/hyperlink" Target="https://www.elespanol.com/malaga/malaga-ciudad/20240709/millones-limbo-sin-poder-levantar-ladrillo-queda-operacion-torres-repsol-malaga/868913675_0.html" TargetMode="External"/><Relationship Id="rId3841" Type="http://schemas.openxmlformats.org/officeDocument/2006/relationships/hyperlink" Target="https://www.lavanguardia.com/economia/20241022/10042616/junts-exige-retirar-impuesto-energetico-salvar-inversion-repsol-tarragona.html" TargetMode="External"/><Relationship Id="rId2510" Type="http://schemas.openxmlformats.org/officeDocument/2006/relationships/hyperlink" Target="https://www.tododisca.com/gana-dinero-aceite-reciclado-gasolineras-repsol/" TargetMode="External"/><Relationship Id="rId3840" Type="http://schemas.openxmlformats.org/officeDocument/2006/relationships/hyperlink" Target="https://www.elconfidencial.com/empresas/2024-10-22/imaz-repsol-carga-contra-el-impuesto-a-las-energeticas_3988121/" TargetMode="External"/><Relationship Id="rId4327" Type="http://schemas.openxmlformats.org/officeDocument/2006/relationships/hyperlink" Target="https://www.economiadigital.es/empresas/naturgy-no-frena-fuga-clientes-gas-empuje-repsol-factor-energia-masmovil.html" TargetMode="External"/><Relationship Id="rId4326" Type="http://schemas.openxmlformats.org/officeDocument/2006/relationships/hyperlink" Target="https://www.orm.es/programas/tarde-abierta/el-ventorrillo-del-tio-benito-en-alhama-nuevo-solete-de-la-guia-repsol/" TargetMode="External"/><Relationship Id="rId4329" Type="http://schemas.openxmlformats.org/officeDocument/2006/relationships/hyperlink" Target="https://www.diaridetarragona.com/cultura/guia-gastronomica/los-cinco-restaurantes-tradicionales-de-tarragona-reconocidos-por-la-guia-repsol-JI21836843" TargetMode="External"/><Relationship Id="rId4328" Type="http://schemas.openxmlformats.org/officeDocument/2006/relationships/hyperlink" Target="https://www.lacronicabadajoz.com/badajoz/2024/11/11/abuela-justa-taberna-terron-bares-solete-111581999.html" TargetMode="External"/><Relationship Id="rId469" Type="http://schemas.openxmlformats.org/officeDocument/2006/relationships/hyperlink" Target="https://www.dazn.com/es-ES/news/motor/joan-mir-destaca-aporte-ex-ducati-honda-manda-mensaje-japoneses-con-esta-moto-ano-pasado-hubiera-disfrutado-mas/10s6beaohzv8x1g68akbp3h3oy" TargetMode="External"/><Relationship Id="rId468" Type="http://schemas.openxmlformats.org/officeDocument/2006/relationships/hyperlink" Target="https://www.boxrepsol.com/es/motogp/test-de-sepang-motogp-2024-resultados-de-la-tercera-jornada/" TargetMode="External"/><Relationship Id="rId467" Type="http://schemas.openxmlformats.org/officeDocument/2006/relationships/hyperlink" Target="https://www.guiarepsol.com/es/viajar/vamos-de-excursion/una-valladolid-de-cine/" TargetMode="External"/><Relationship Id="rId1290" Type="http://schemas.openxmlformats.org/officeDocument/2006/relationships/hyperlink" Target="https://elperiodicodelaenergia.com/entran-los-certificados-de-ahorro-energetico-en-juego-las-energeticas-tienen-que-demostrar-inversiones-por-510-millones-en-2024/" TargetMode="External"/><Relationship Id="rId1291" Type="http://schemas.openxmlformats.org/officeDocument/2006/relationships/hyperlink" Target="https://www.lavozdegalicia.es/noticia/deza/2024/03/24/dos-soletes-mantienen-brillo/0003_202403D24C4992.htm" TargetMode="External"/><Relationship Id="rId1292" Type="http://schemas.openxmlformats.org/officeDocument/2006/relationships/hyperlink" Target="https://www.elconfidencial.com/espana/madrid/2024-03-24/restaurante-pescados-retiro-brasa_3853815/" TargetMode="External"/><Relationship Id="rId462" Type="http://schemas.openxmlformats.org/officeDocument/2006/relationships/hyperlink" Target="https://www.huelvainformacion.es/destino-huelva/kiosco-Huelva-recomienda-Guia-Repsol_0_1873314849.html" TargetMode="External"/><Relationship Id="rId1293" Type="http://schemas.openxmlformats.org/officeDocument/2006/relationships/hyperlink" Target="https://www.expansion.com/juridico/2024/03/24/65fc50ede5fdea800d8b458a.html" TargetMode="External"/><Relationship Id="rId461" Type="http://schemas.openxmlformats.org/officeDocument/2006/relationships/hyperlink" Target="https://www.boxrepsol.com/es/motogp/test-de-sepang-motogp-2024-resultados-de-la-segunda-jornada/" TargetMode="External"/><Relationship Id="rId1294" Type="http://schemas.openxmlformats.org/officeDocument/2006/relationships/hyperlink" Target="https://www.larazon.es/economia/ribera-sigue-cruzada-petroleras-combustible-sintetico-solo-sirve-quien-tenga-maserati-algo-caro_2024032466001e905e1b1f00010c2818.html" TargetMode="External"/><Relationship Id="rId460" Type="http://schemas.openxmlformats.org/officeDocument/2006/relationships/hyperlink" Target="https://www.diaridetarragona.com/tarragona/la-miniciudad-de-gruas-y-andamios-BK18472267" TargetMode="External"/><Relationship Id="rId1295" Type="http://schemas.openxmlformats.org/officeDocument/2006/relationships/hyperlink" Target="https://www.20minutos.es/gastronomia/restaurantes/x-restaurantes-pueblos-bonitos-cerca-madrid-para-escaparse-comer-semana-santa-5225127/" TargetMode="External"/><Relationship Id="rId4321" Type="http://schemas.openxmlformats.org/officeDocument/2006/relationships/hyperlink" Target="https://www.guadalajaradiario.es/provincia/63013-cuatro-restaurantes-de-guadalajara-reciben-un-solete-de-la-guia-repsol.html" TargetMode="External"/><Relationship Id="rId1296" Type="http://schemas.openxmlformats.org/officeDocument/2006/relationships/hyperlink" Target="https://brandfinance.com/press-releases/repsol-pierde-gas-en-posicionamiento-sectorial" TargetMode="External"/><Relationship Id="rId4320" Type="http://schemas.openxmlformats.org/officeDocument/2006/relationships/hyperlink" Target="https://www.diariosur.es/malagaenlamesa/seis-restaurantes-malaga-solete-solera-guia-repsol-20241111120911-nt.html" TargetMode="External"/><Relationship Id="rId466" Type="http://schemas.openxmlformats.org/officeDocument/2006/relationships/hyperlink" Target="https://www.larazon.es/economia/repsol-tech-lab-fogones-donde-cocinan-biocarburantes-futuro_2024020865b383c5c3cb300001019715.html" TargetMode="External"/><Relationship Id="rId1297" Type="http://schemas.openxmlformats.org/officeDocument/2006/relationships/hyperlink" Target="https://elperiodicodelaenergia.com/repsol-inicia-programa-recompra-acciones-913-millones-euros/" TargetMode="External"/><Relationship Id="rId4323" Type="http://schemas.openxmlformats.org/officeDocument/2006/relationships/hyperlink" Target="https://www.vocesdecuenca.com/provincia/seis-establecimientos-de-la-provincia-de-cuenca-nuevos-soletes-con-solera-de-la-guia-repsol/" TargetMode="External"/><Relationship Id="rId465" Type="http://schemas.openxmlformats.org/officeDocument/2006/relationships/hyperlink" Target="https://www.repsol.com/es/productos-y-servicios/materiales/materiales-news/ravago-repsol-inauguran-nueva-planta-compuestos-industria-automovil/index.cshtml" TargetMode="External"/><Relationship Id="rId1298" Type="http://schemas.openxmlformats.org/officeDocument/2006/relationships/hyperlink" Target="https://maldita.es/clima/20250226/iberdrola-repsol-denuncia-greenwashing/" TargetMode="External"/><Relationship Id="rId4322" Type="http://schemas.openxmlformats.org/officeDocument/2006/relationships/hyperlink" Target="https://www.elespanol.com/treintayseis/vivir/gastropontevedra/20241111/locales-provincia-pontevedra-reconocidos-guia-repsol-soletes-solera/900410051_0.html" TargetMode="External"/><Relationship Id="rId464" Type="http://schemas.openxmlformats.org/officeDocument/2006/relationships/hyperlink" Target="https://www.guiarepsol.com/es/comer/en-el-mercado/ahumadero-salmon-de-madarcos-madrid/" TargetMode="External"/><Relationship Id="rId1299" Type="http://schemas.openxmlformats.org/officeDocument/2006/relationships/hyperlink" Target="https://www.interempresas.net/Estaciones-servicio/Articulos/557126-Repsol-y-Bosh-Rexroth-se-unen-para-impulsar-la-eficiencia-y-la-sostenibilidad-industrial.html" TargetMode="External"/><Relationship Id="rId4325" Type="http://schemas.openxmlformats.org/officeDocument/2006/relationships/hyperlink" Target="https://www.laopiniondemurcia.es/comunidad/2024/11/11/seis-bares-restaurantes-region-suman-111581184.html" TargetMode="External"/><Relationship Id="rId463" Type="http://schemas.openxmlformats.org/officeDocument/2006/relationships/hyperlink" Target="https://www.cantabriaeconomica.com/noticias/media-dice-que-la-ampliacion-de-la-central-de-aguayo-solo-esta-pendiente-del-apoyo-del-ministerio/" TargetMode="External"/><Relationship Id="rId4324" Type="http://schemas.openxmlformats.org/officeDocument/2006/relationships/hyperlink" Target="https://www.salamancahoy.es/salamanca/ciudad/seis-nuevos-establecimientos-salamanca-logran-solete-solera-20241111135609-nt.html" TargetMode="External"/><Relationship Id="rId4316" Type="http://schemas.openxmlformats.org/officeDocument/2006/relationships/hyperlink" Target="https://www.elespanol.com/malaga/vivir/gastronomia/20241111/nuevos-restaurantes-malaga-reconocidos-solete-repsol-premiados-andalucia/900410063_0.html" TargetMode="External"/><Relationship Id="rId4315" Type="http://schemas.openxmlformats.org/officeDocument/2006/relationships/hyperlink" Target="https://www.elperiodico.com/es/cata-mayor/restaurantes/20241111/soletes-solera-guia-repsol-2024-111588222" TargetMode="External"/><Relationship Id="rId4318" Type="http://schemas.openxmlformats.org/officeDocument/2006/relationships/hyperlink" Target="https://www.palenciaenlared.es/estos-son-los-seis-nuevos-soletes-de-la-gastronomia-palentina/" TargetMode="External"/><Relationship Id="rId4317" Type="http://schemas.openxmlformats.org/officeDocument/2006/relationships/hyperlink" Target="https://www.lavozdegalicia.es/noticia/santiago/vivir-santiago/2024/11/11/bocateria-chichalovers-taberna-gato-negro-nuevos-soletes-solera-guia-repsol-santiago/00031731320997175410522.htm" TargetMode="External"/><Relationship Id="rId4319" Type="http://schemas.openxmlformats.org/officeDocument/2006/relationships/hyperlink" Target="https://www.elidealgallego.com/articulo/a-coruna/hamburguesas-vino-comida-casera-toda-vida-estos-nuevos-soletes-repsol-coruna-area-5065714" TargetMode="External"/><Relationship Id="rId459" Type="http://schemas.openxmlformats.org/officeDocument/2006/relationships/hyperlink" Target="https://www.elcomercio.es/aviles/gonvarri-suministrara-repsol-220-tres-proyectos-fotovoltaicos-20240207013119-nt.html" TargetMode="External"/><Relationship Id="rId458" Type="http://schemas.openxmlformats.org/officeDocument/2006/relationships/hyperlink" Target="https://www.guiarepsol.com/es/comer/nuestros-favoritos/documental-el-mantel-hermanos-torres/" TargetMode="External"/><Relationship Id="rId457" Type="http://schemas.openxmlformats.org/officeDocument/2006/relationships/hyperlink" Target="https://www.atalayar.com/articulo/economia-y-empresas/espanola-repsol-belga-ravago-inauguran-nueva-fabrica-tanger/20240207190000196661.html" TargetMode="External"/><Relationship Id="rId456" Type="http://schemas.openxmlformats.org/officeDocument/2006/relationships/hyperlink" Target="https://www.larazon.es/economia/repsol-inaugura-fabrica-propileno-tanger_2024020765c34a0cd3690c0001e43ffe.html" TargetMode="External"/><Relationship Id="rId1280" Type="http://schemas.openxmlformats.org/officeDocument/2006/relationships/hyperlink" Target="https://www.elespanol.com/madrid/ocio/costilla-perfecta-sirven-restaurante-madrid-sabor-unico-solete-repsol/839916228_0.html" TargetMode="External"/><Relationship Id="rId1281" Type="http://schemas.openxmlformats.org/officeDocument/2006/relationships/hyperlink" Target="https://eltelevisero.huffingtonpost.es/2024/03/mario-picazo-rescata-a-este-rostro-del-universo-salvame-para-su-vuelta-a-mediaset/" TargetMode="External"/><Relationship Id="rId451" Type="http://schemas.openxmlformats.org/officeDocument/2006/relationships/hyperlink" Target="https://www.elespanol.com/invertia/empresas/energia/20240207/repsol-firma-contrato-anos-centrica-suministro-millon-toneladas-gas-licuado/830917001_0.html" TargetMode="External"/><Relationship Id="rId1282" Type="http://schemas.openxmlformats.org/officeDocument/2006/relationships/hyperlink" Target="https://www.hoyaragon.es/articulo/gastrolike/calle-bares-soletes-espana/20240323133519047243.html" TargetMode="External"/><Relationship Id="rId450" Type="http://schemas.openxmlformats.org/officeDocument/2006/relationships/hyperlink" Target="https://www.repsol.com/es/tecnologia-digitalizacion/technology-lab/reduccion-emisiones/hidrogeno-renovable/t-hynet/index.cshtml" TargetMode="External"/><Relationship Id="rId1283" Type="http://schemas.openxmlformats.org/officeDocument/2006/relationships/hyperlink" Target="https://www.diariodelaltoaragon.es/noticias/comarcas/2024/03/23/casa-ruben-y-el-nuevo-concepto-de-cocina-que-transforma-la-espana-vaciada-1721007-daa.html" TargetMode="External"/><Relationship Id="rId1284" Type="http://schemas.openxmlformats.org/officeDocument/2006/relationships/hyperlink" Target="https://www.elindependiente.com/economia/2024/03/23/el-juez-pedraz-ordena-a-las-telecos-a-apagar-telegram-antes-del-sabado-por-la-noche/" TargetMode="External"/><Relationship Id="rId4310" Type="http://schemas.openxmlformats.org/officeDocument/2006/relationships/hyperlink" Target="https://www.zamoranews.com/articulo/zamora/bares-restaurantes-zamora-obtienen-prestigioso-distintivo-soletes-solera-2024/20241111103500306435.html" TargetMode="External"/><Relationship Id="rId1285" Type="http://schemas.openxmlformats.org/officeDocument/2006/relationships/hyperlink" Target="https://www.todocircuito.com/noticias/35595-marini-ultimo-dos-ggpp-con-honda-y-ya-toma-el-tono-derrotista-de-sus-antecesores:-no-es-aposta.html" TargetMode="External"/><Relationship Id="rId455" Type="http://schemas.openxmlformats.org/officeDocument/2006/relationships/hyperlink" Target="https://www.alimarket.es/alimentacion/noticia/384422/-supercor-stop-go--abre-medio-centenar-de-tiendas-en-estaciones-de-servicio-de-repsol-y-supera-las-600" TargetMode="External"/><Relationship Id="rId1286" Type="http://schemas.openxmlformats.org/officeDocument/2006/relationships/hyperlink" Target="https://cronicavasca.elespanol.com/empresas/20240324/el-greenwashing-polemica-practica-enfrenta-repsol-iberdrola/841915834_0.html" TargetMode="External"/><Relationship Id="rId4312" Type="http://schemas.openxmlformats.org/officeDocument/2006/relationships/hyperlink" Target="https://www.diariodevalderrueda.es/texto-diario/mostrar/5065563/montana-leonesa-vuelve-conquistar-guia-repsol-cuatro-nuevos-soletes-gastronomicos" TargetMode="External"/><Relationship Id="rId454" Type="http://schemas.openxmlformats.org/officeDocument/2006/relationships/hyperlink" Target="https://www.20minutos.es/motor/movilidad/nueva-iniciativa-repsol-gasolinera-aceite-usado-combustible-renovable-descuentos-5213428/" TargetMode="External"/><Relationship Id="rId1287" Type="http://schemas.openxmlformats.org/officeDocument/2006/relationships/hyperlink" Target="https://www.elindependiente.com/economia/2024/03/24/ribera-vuelve-a-la-carga-contra-repsol-cuidado-con-iniciativas-simbolicas-que-buscan-confundir/" TargetMode="External"/><Relationship Id="rId4311" Type="http://schemas.openxmlformats.org/officeDocument/2006/relationships/hyperlink" Target="https://www.cronista.com/espana/ibex-euro/repsol-asi-abre-la-cotizacion-hoy-lunes-11-de-noviembre-cuanto-rinden-los-dividendos/" TargetMode="External"/><Relationship Id="rId453" Type="http://schemas.openxmlformats.org/officeDocument/2006/relationships/hyperlink" Target="https://www.heraldo.es/noticias/gastronomia/2024/02/07/esta-es-la-calle-con-mas-soletes-repsol-de-zaragoza-1709145.html" TargetMode="External"/><Relationship Id="rId1288" Type="http://schemas.openxmlformats.org/officeDocument/2006/relationships/hyperlink" Target="https://www.economiadigital.es/empresas/repsol-utiliza-la-electrica-que-compro-a-juan-roig-como-ariete-comercial-en-la-guerra-contra-iberdrola.html" TargetMode="External"/><Relationship Id="rId4314" Type="http://schemas.openxmlformats.org/officeDocument/2006/relationships/hyperlink" Target="https://www.diariodecadiz.es/vivir_en_cadiz/bares-restaurantes-tabancos-cadiz-logran-solete-guia-repsol-2024_0_2002766793.html" TargetMode="External"/><Relationship Id="rId452" Type="http://schemas.openxmlformats.org/officeDocument/2006/relationships/hyperlink" Target="https://www.eleconomista.es/energia/noticias/12661550/02/24/repsol-firma-un-gran-contrato-de-suministro-de-gnl-con-la-britanica-centrica.html" TargetMode="External"/><Relationship Id="rId1289" Type="http://schemas.openxmlformats.org/officeDocument/2006/relationships/hyperlink" Target="https://www.boxrepsol.com/es/motogp/resultados-del-gp-de-portugal-de-motogp-2024/" TargetMode="External"/><Relationship Id="rId4313" Type="http://schemas.openxmlformats.org/officeDocument/2006/relationships/hyperlink" Target="https://www.elprogreso.es/articulo/a-marina/locales-ribadeo-mondonedo-riotorto-consiguen-solete-repsol/202411111616461803764.html" TargetMode="External"/><Relationship Id="rId3018" Type="http://schemas.openxmlformats.org/officeDocument/2006/relationships/hyperlink" Target="https://www.marca.com/motor/mas-motor/2024/08/25/66cb4fc222601d26618b458f.html" TargetMode="External"/><Relationship Id="rId4349" Type="http://schemas.openxmlformats.org/officeDocument/2006/relationships/hyperlink" Target="https://www.cope.es/emisoras/extremadura/a-cuerpo-de-rey/noticias/son-nuevos-soletes-solera-extremadura-celebrar-tradicion-20241111_3043849.html" TargetMode="External"/><Relationship Id="rId3017" Type="http://schemas.openxmlformats.org/officeDocument/2006/relationships/hyperlink" Target="https://www.dazn.com/es-ES/news/motor/quien-es-fabio-sterlacchini-ingeniero-ilusiona-honda-fue-mano-derecha-gigi-dalligna-ducati/oginftecx7pg1bkqm6rbga856" TargetMode="External"/><Relationship Id="rId4348" Type="http://schemas.openxmlformats.org/officeDocument/2006/relationships/hyperlink" Target="https://www.laopiniondemalaga.es/malaga/2024/11/11/restaurantes-bares-mas-solera-malaga-111584337.html" TargetMode="External"/><Relationship Id="rId3019" Type="http://schemas.openxmlformats.org/officeDocument/2006/relationships/hyperlink" Target="https://es.ara.cat/economia/repsol-suma-concurso-publico-poner-molinos-golf-roses_1_5123938.html" TargetMode="External"/><Relationship Id="rId491" Type="http://schemas.openxmlformats.org/officeDocument/2006/relationships/hyperlink" Target="https://www.elespanol.com/motor/20240211/iberdrola-endesa-way-repsol-recarga-publica-coche-electrico-espana/831417354_0.html" TargetMode="External"/><Relationship Id="rId490" Type="http://schemas.openxmlformats.org/officeDocument/2006/relationships/hyperlink" Target="https://theobjective.com/elsubjetivo/opinion/2024-02-10/espana-no-aprovecha-agua/" TargetMode="External"/><Relationship Id="rId489" Type="http://schemas.openxmlformats.org/officeDocument/2006/relationships/hyperlink" Target="https://www.elespanol.com/madrid/ocio/20240210/restaurante-realidad-virtual-madrid-aprender-saben-colores-menu/830417347_0.html" TargetMode="External"/><Relationship Id="rId484" Type="http://schemas.openxmlformats.org/officeDocument/2006/relationships/hyperlink" Target="https://www.guiarepsol.com/es/viajar/vamos-de-excursion/escapada-tobed-zaragoza/" TargetMode="External"/><Relationship Id="rId3010" Type="http://schemas.openxmlformats.org/officeDocument/2006/relationships/hyperlink" Target="https://www.elespanol.com/aragon/vivir/20240824/bar-carretera-zaragozano-parar-viajas-madrid-barcelona-trt/880412294_0.html" TargetMode="External"/><Relationship Id="rId4341" Type="http://schemas.openxmlformats.org/officeDocument/2006/relationships/hyperlink" Target="https://www.encastillalamancha.es/economia-cat/los-20-nuevos-soletes-con-solera-de-castilla-la-mancha-donde-comer-lo-de-siempre-elevado-a-la-excelencia/" TargetMode="External"/><Relationship Id="rId483" Type="http://schemas.openxmlformats.org/officeDocument/2006/relationships/hyperlink" Target="https://www.abc.es/antropia/planta-pionera-espana-segunda-vida-colchones-20240208121629-nt.html" TargetMode="External"/><Relationship Id="rId4340" Type="http://schemas.openxmlformats.org/officeDocument/2006/relationships/hyperlink" Target="https://metropoliabierta.elespanol.com/gastro/20241111/el-bar-para-locales-que-arrasa-en-barcelona-tiene-un-solete-repsol-platillos-tapas-por-menos-de-euros/900410024_0.html" TargetMode="External"/><Relationship Id="rId482" Type="http://schemas.openxmlformats.org/officeDocument/2006/relationships/hyperlink" Target="https://www.elespanol.com/motor/20240209/repsol-compra-miio-app-lider-portugal-recarga-publica-coche-electrico/831416947_0.html" TargetMode="External"/><Relationship Id="rId3012" Type="http://schemas.openxmlformats.org/officeDocument/2006/relationships/hyperlink" Target="https://www.boxrepsol.com/es/trial/toni-bou-sigue-reinando/" TargetMode="External"/><Relationship Id="rId4343" Type="http://schemas.openxmlformats.org/officeDocument/2006/relationships/hyperlink" Target="https://www.tot-hospitalet.cat/gourmet-sortir/una-vermuteria-de-lhospitalet-reconocida-por-la-prestigiosa-guia-repsol/" TargetMode="External"/><Relationship Id="rId481" Type="http://schemas.openxmlformats.org/officeDocument/2006/relationships/hyperlink" Target="https://www.latribunadeciudadreal.es/noticia/z8bfa35c8-f749-21d3-019fee1b2f579593/202402/repsol-impulsa-las-vocaciones-tecnologicas-entre-las-ninas" TargetMode="External"/><Relationship Id="rId3011" Type="http://schemas.openxmlformats.org/officeDocument/2006/relationships/hyperlink" Target="https://www.lavozdegalicia.es/noticia/ferrol/ferrol/2024/08/25/nunca-me-senti-bicho-raro-ingenieria-eramos-pocas/0003_202408F25C3999.htm" TargetMode="External"/><Relationship Id="rId4342" Type="http://schemas.openxmlformats.org/officeDocument/2006/relationships/hyperlink" Target="https://nortexpres.com/4-hosteleros-alaveses-distinguidos-con-nuevos-soletes/" TargetMode="External"/><Relationship Id="rId488" Type="http://schemas.openxmlformats.org/officeDocument/2006/relationships/hyperlink" Target="https://www.puentedemando.com/trasmed-cierra-una-alianza-con-waylet-la-aplicacion-de-repsol/" TargetMode="External"/><Relationship Id="rId3014" Type="http://schemas.openxmlformats.org/officeDocument/2006/relationships/hyperlink" Target="https://www.relevo.com/mas-motor/suma-sigue-toni-campeon-mundo-20240825212845-nt.html" TargetMode="External"/><Relationship Id="rId4345" Type="http://schemas.openxmlformats.org/officeDocument/2006/relationships/hyperlink" Target="https://www.infobierzo.com/provincia/soletes-repsol-provincia-leon_1018519_102.html" TargetMode="External"/><Relationship Id="rId487" Type="http://schemas.openxmlformats.org/officeDocument/2006/relationships/hyperlink" Target="https://metropoliabierta.elespanol.com/gastro/20240209/este-bar-de-barcelona-tiene-los-mejores-bocadillos-la-ciudad-aparece-en-guia-repsol/831416866_0.html" TargetMode="External"/><Relationship Id="rId3013" Type="http://schemas.openxmlformats.org/officeDocument/2006/relationships/hyperlink" Target="https://www.lavanguardia.com/deportes/20240825/9889156/toni-bou-trial-18-titulos-mundiales-aire-libre-35-coronas-montesa-repsol-leyenda.html" TargetMode="External"/><Relationship Id="rId4344" Type="http://schemas.openxmlformats.org/officeDocument/2006/relationships/hyperlink" Target="https://nuevecuatrouno.com/2024/11/11/la-solera-de-los-bares-riojanos-tiene-premio/" TargetMode="External"/><Relationship Id="rId486" Type="http://schemas.openxmlformats.org/officeDocument/2006/relationships/hyperlink" Target="https://www.elconfidencial.com/empresas/2024-02-09/bp-cepsa-repsol-repercuten-margen-diesel-gasolina_3826929/" TargetMode="External"/><Relationship Id="rId3016" Type="http://schemas.openxmlformats.org/officeDocument/2006/relationships/hyperlink" Target="https://www.elperiodicoextremadura.com/plasencia/2024/08/25/cocina-viajera-plasencia-aparece-guias-107257471.html" TargetMode="External"/><Relationship Id="rId4347" Type="http://schemas.openxmlformats.org/officeDocument/2006/relationships/hyperlink" Target="https://www.canarias7.es/canarias/fuerteventura/solete-tapeo-bar-abuelos-20241111144546-nt.html" TargetMode="External"/><Relationship Id="rId485" Type="http://schemas.openxmlformats.org/officeDocument/2006/relationships/hyperlink" Target="https://www.europapress.es/economia/transportes-00343/noticia-trasmed-grimaldi-waylet-repsol-cierran-alianza-ofrecer-descuentos-usuarios-20240209110352.html" TargetMode="External"/><Relationship Id="rId3015" Type="http://schemas.openxmlformats.org/officeDocument/2006/relationships/hyperlink" Target="https://www.moto1pro.com/enduropro/actualidad/toni-bou-campeon-del-mundo-de-trialgp-2024" TargetMode="External"/><Relationship Id="rId4346" Type="http://schemas.openxmlformats.org/officeDocument/2006/relationships/hyperlink" Target="https://www.tribunavalladolid.com/noticias/385025/soletes-con-solera-que-celebran-los-sabores-de-siempre-siete-de-ellos-en-valladolid" TargetMode="External"/><Relationship Id="rId3007" Type="http://schemas.openxmlformats.org/officeDocument/2006/relationships/hyperlink" Target="https://www.elle.com/es/gourmet/donde-comer/g61949857/restaurantes-madrid-donde-comer-mejor-ramen/" TargetMode="External"/><Relationship Id="rId4338" Type="http://schemas.openxmlformats.org/officeDocument/2006/relationships/hyperlink" Target="https://www.lavozdegalicia.es/noticia/sociedad/2024/11/11/veintiseis-soletes-solera-galicia/00031731338994155826703.htm" TargetMode="External"/><Relationship Id="rId3006" Type="http://schemas.openxmlformats.org/officeDocument/2006/relationships/hyperlink" Target="https://www.ecoticias.com/hoyeco/combustible-futuro-decadas-coche/9680/" TargetMode="External"/><Relationship Id="rId4337" Type="http://schemas.openxmlformats.org/officeDocument/2006/relationships/hyperlink" Target="https://www.elespanol.com/cocinillas/actualidad-gastronomica/20241111/frankfurt-barcelona-arrasa-famosos-bocadillos-premiados-guia-repsol/900410077_0.html" TargetMode="External"/><Relationship Id="rId3009" Type="http://schemas.openxmlformats.org/officeDocument/2006/relationships/hyperlink" Target="https://okdiario.com/okgreen/cientificos-del-csic-recurren-vainilla-luchar-contra-ataques-del-lobo-iberico-13361947" TargetMode="External"/><Relationship Id="rId3008" Type="http://schemas.openxmlformats.org/officeDocument/2006/relationships/hyperlink" Target="https://www.bonviveur.es/noticias/mejores-restaurantes-japoneses-espana" TargetMode="External"/><Relationship Id="rId4339" Type="http://schemas.openxmlformats.org/officeDocument/2006/relationships/hyperlink" Target="https://www.elespanol.com/cocinillas/actualidad-gastronomica/20241111/nuevos-soletes-volver-bar-siempre-restaurantes-solera-jovenes-frente-casas-comidas/900410089_0.html" TargetMode="External"/><Relationship Id="rId480" Type="http://schemas.openxmlformats.org/officeDocument/2006/relationships/hyperlink" Target="https://movilidadelectrica.com/repsol-compra-miio/" TargetMode="External"/><Relationship Id="rId479" Type="http://schemas.openxmlformats.org/officeDocument/2006/relationships/hyperlink" Target="https://www.europapress.es/economia/noticia-repsol-alia-goya-festival-malaga-impulsar-sotenibilidad-combustibles-verdes-20240209141839.html" TargetMode="External"/><Relationship Id="rId478" Type="http://schemas.openxmlformats.org/officeDocument/2006/relationships/hyperlink" Target="https://www.elconfidencial.com/motor/nueva-movilidad/2024-02-09/repsol-miio-portugal-espana-francia-movilidad-electrica-recarga_3827590/" TargetMode="External"/><Relationship Id="rId473" Type="http://schemas.openxmlformats.org/officeDocument/2006/relationships/hyperlink" Target="https://www.eldebate.com/motor/20240208/pasara-coches-gasolina-diesel-alla-2035_173011.html" TargetMode="External"/><Relationship Id="rId4330" Type="http://schemas.openxmlformats.org/officeDocument/2006/relationships/hyperlink" Target="https://www.diariodeferrol.com/articulo/ferrol/comida-tradicional-oliva-bar-e-levar-vale-solete-guia-repsol-5065692" TargetMode="External"/><Relationship Id="rId472" Type="http://schemas.openxmlformats.org/officeDocument/2006/relationships/hyperlink" Target="https://elgeneracionalpost.com/elgen-tv/ot-2023/2024/0208/129853/este-es-el-horario-del-jueves-8-febrero-en-la-academia-de-ot-2023.html" TargetMode="External"/><Relationship Id="rId471" Type="http://schemas.openxmlformats.org/officeDocument/2006/relationships/hyperlink" Target="https://www.elespanol.com/cocinillas/actualidad-gastronomica/20240208/mejores-restaurantes-valladolid-calidad-precio-disfrutar-goya/830917090_0.html" TargetMode="External"/><Relationship Id="rId3001" Type="http://schemas.openxmlformats.org/officeDocument/2006/relationships/hyperlink" Target="https://www.elespanol.com/cocinillas/actualidad-gastronomica/20240823/restaurante-cadiz-iker-casillas-probado-platos-andaluces-tipicos-vistas-mar-arroces/880162044_0.html" TargetMode="External"/><Relationship Id="rId4332" Type="http://schemas.openxmlformats.org/officeDocument/2006/relationships/hyperlink" Target="https://www.diariodenavarra.es/noticias/vivir/gastronomia/2024/11/11/son-cinco-bares-navarros-son-soletes-solera-guia-repsol-628570-3192.html" TargetMode="External"/><Relationship Id="rId470" Type="http://schemas.openxmlformats.org/officeDocument/2006/relationships/hyperlink" Target="https://www.menorca.info/deportes/polideportivo/2024/02/08/2102231/joan-mir-honda-tiene-estar-orgullosa-del-test.html" TargetMode="External"/><Relationship Id="rId3000" Type="http://schemas.openxmlformats.org/officeDocument/2006/relationships/hyperlink" Target="https://www.guiarepsol.com/es/soletes/donde-comer-rico-y-barato-en-el-interior-de-valencia/" TargetMode="External"/><Relationship Id="rId4331" Type="http://schemas.openxmlformats.org/officeDocument/2006/relationships/hyperlink" Target="https://www.burgosconecta.es/sociedad/establecimientos-consiguen-soletes-solera-burgos-20241111162214-nt.html" TargetMode="External"/><Relationship Id="rId477" Type="http://schemas.openxmlformats.org/officeDocument/2006/relationships/hyperlink" Target="https://www.eleconomista.es/energia/noticias/12665777/02/24/repsol-compra-la-portugesa-miio-para-reforzarse-en-la-recarga-de-vehiculos-electricos.html" TargetMode="External"/><Relationship Id="rId3003" Type="http://schemas.openxmlformats.org/officeDocument/2006/relationships/hyperlink" Target="https://www.timeout.es/madrid/es/restaurantes/restaurantes-con-estrella-michelin-en-madrid" TargetMode="External"/><Relationship Id="rId4334" Type="http://schemas.openxmlformats.org/officeDocument/2006/relationships/hyperlink" Target="https://www.elnacional.cat/es/gourmeteria/articulos/35-bares-restaurantes-pastelerias-catalunya-reciben-solete-todos-premiados_1315261_102.html" TargetMode="External"/><Relationship Id="rId476" Type="http://schemas.openxmlformats.org/officeDocument/2006/relationships/hyperlink" Target="https://cincodias.elpais.com/companias/2024-02-09/repsol-compra-una-participacion-mayoritaria-en-la-app-lusa-miio-y-gana-peso-en-la-carga-de-coches-electricos.html" TargetMode="External"/><Relationship Id="rId3002" Type="http://schemas.openxmlformats.org/officeDocument/2006/relationships/hyperlink" Target="https://www.20minutos.es/gastronomia/restaurantes/mejores-chiringuitos-playas-malaga-5524334/" TargetMode="External"/><Relationship Id="rId4333" Type="http://schemas.openxmlformats.org/officeDocument/2006/relationships/hyperlink" Target="https://www.vigoe.es/tendencias/gastronomia/vigo-se-ilumina-con-un-nuevo-solete/" TargetMode="External"/><Relationship Id="rId475" Type="http://schemas.openxmlformats.org/officeDocument/2006/relationships/hyperlink" Target="https://festivaldemalaga.com/actualidad/ver-noticia/?id=2190" TargetMode="External"/><Relationship Id="rId3005" Type="http://schemas.openxmlformats.org/officeDocument/2006/relationships/hyperlink" Target="https://www.businessinsider.es/economia/cual-empresa-grande-espana-1399493" TargetMode="External"/><Relationship Id="rId4336" Type="http://schemas.openxmlformats.org/officeDocument/2006/relationships/hyperlink" Target="https://migijon.com/uno-de-los-locales-con-mas-historia-de-gijon-entre-los-ocho-nuevos-soletes-con-solera-de-la-guia-repsol/" TargetMode="External"/><Relationship Id="rId474" Type="http://schemas.openxmlformats.org/officeDocument/2006/relationships/hyperlink" Target="https://www.epe.es/es/abril/20240208/niccolo-ammaniti-nueva-novela-vida-intima-anagrama-97772888" TargetMode="External"/><Relationship Id="rId3004" Type="http://schemas.openxmlformats.org/officeDocument/2006/relationships/hyperlink" Target="https://www.bolsamania.com/noticias/empresas/grifols-inditex-iag-lideres-destacados-semana-ibex-35-repsol-cae--17316090.html" TargetMode="External"/><Relationship Id="rId4335" Type="http://schemas.openxmlformats.org/officeDocument/2006/relationships/hyperlink" Target="https://alsoldelacosta.com/el-bar-diamante-de-marbella-nuevo-solete-con-solera-de-la-guia-repsol/" TargetMode="External"/><Relationship Id="rId1257" Type="http://schemas.openxmlformats.org/officeDocument/2006/relationships/hyperlink" Target="https://www.elespanol.com/castilla-y-leon/region/valladolid/20240321/discoteca-reconvertida-restaurante-guia-repsol-recomienda-tercer-ano-consecutivo-provincia-valladolid/841416410_0.html" TargetMode="External"/><Relationship Id="rId2588" Type="http://schemas.openxmlformats.org/officeDocument/2006/relationships/hyperlink" Target="https://cadenaser.com/nacional/2024/07/15/el-escenario-renovable-del-bilbao-bbk-live-que-marcara-tendencia-en-los-festivales-cadena-ser/" TargetMode="External"/><Relationship Id="rId1258" Type="http://schemas.openxmlformats.org/officeDocument/2006/relationships/hyperlink" Target="https://www.vanitatis.elconfidencial.com/estilo/ocio/2024-03-21/nuevos-soles-repsol-restaurantes-madrid-2024_3850238/" TargetMode="External"/><Relationship Id="rId2589" Type="http://schemas.openxmlformats.org/officeDocument/2006/relationships/hyperlink" Target="https://www.guiarepsol.com/es/viajar/vamos-de-excursion/viaje-al-interior-del-emporda/" TargetMode="External"/><Relationship Id="rId1259" Type="http://schemas.openxmlformats.org/officeDocument/2006/relationships/hyperlink" Target="https://www.noticiasdegipuzkoa.eus/economia/2024/03/21/josu-jon-imaz-ribera-ministra-8027639.html" TargetMode="External"/><Relationship Id="rId426" Type="http://schemas.openxmlformats.org/officeDocument/2006/relationships/hyperlink" Target="https://www.motosan.es/motogp/el-jefe-de-equipo-de-marc-marquezel-objetivo-es-empezar-con-el-mejor-nivel-posible-y-desde-ahi-seguir-mejorando/" TargetMode="External"/><Relationship Id="rId425" Type="http://schemas.openxmlformats.org/officeDocument/2006/relationships/hyperlink" Target="https://www.lavanguardia.com/deportes/motociclismo/20240204/9512927/toni-bou-trial-indoor-palau-sant-jordi-barcelona-triunfo-victoria.html" TargetMode="External"/><Relationship Id="rId424" Type="http://schemas.openxmlformats.org/officeDocument/2006/relationships/hyperlink" Target="https://elpais.com/gastronomia/restaurantes/2024-02-05/donde-comer-en-lleida-segun-el-cocinero-joel-castanye.html" TargetMode="External"/><Relationship Id="rId423" Type="http://schemas.openxmlformats.org/officeDocument/2006/relationships/hyperlink" Target="https://www.elespanol.com/madrid/ocio/20240204/ultimos-dias-kappo-pionera-barra-japonesa-madrid-soles-repsol-cierra-puertas/827417414_0.html" TargetMode="External"/><Relationship Id="rId429" Type="http://schemas.openxmlformats.org/officeDocument/2006/relationships/hyperlink" Target="https://www.vozpopuli.com/economia/gasolineras-1200-fraude.html" TargetMode="External"/><Relationship Id="rId428" Type="http://schemas.openxmlformats.org/officeDocument/2006/relationships/hyperlink" Target="https://www.mundodeportivo.com/motor/motogp/20240203/1002183187/ktm-plan-dani-pedrosa.html" TargetMode="External"/><Relationship Id="rId427" Type="http://schemas.openxmlformats.org/officeDocument/2006/relationships/hyperlink" Target="https://www.canariasenmoto.com/noticias/pedro-acosta-avisa-el-novato-fue-el-mas-rapido-en-el-shakedown-29920.html" TargetMode="External"/><Relationship Id="rId2580" Type="http://schemas.openxmlformats.org/officeDocument/2006/relationships/hyperlink" Target="https://www.elespanol.com/sevilla/vivir/20240714/comida-portuguesa-acceso-mascotas-mejor-chiringuito-zona-isla-cristina/869413326_0.html" TargetMode="External"/><Relationship Id="rId1250" Type="http://schemas.openxmlformats.org/officeDocument/2006/relationships/hyperlink" Target="https://www.estrategiasdeinversion.com/actualidad/noticias/bolsa-espana/repsol-propone-un-dividendo-de-045-euros-por-accion-n-699725" TargetMode="External"/><Relationship Id="rId2581" Type="http://schemas.openxmlformats.org/officeDocument/2006/relationships/hyperlink" Target="https://www.sport.es/es/noticias/motor/toni-bou-sigue-imparable-camina-105626209" TargetMode="External"/><Relationship Id="rId1251" Type="http://schemas.openxmlformats.org/officeDocument/2006/relationships/hyperlink" Target="https://www.eleconomista.es/energia/noticias/12732799/03/24/repsol-explora-unirse-al-fondo-danes-cip-para-producir-hidrogeno-verde-en-espana.html" TargetMode="External"/><Relationship Id="rId2582" Type="http://schemas.openxmlformats.org/officeDocument/2006/relationships/hyperlink" Target="https://www.elle.com/es/gourmet/donde-comer/a61246275/wine-bar-madrid-vinos-autor-romantica/" TargetMode="External"/><Relationship Id="rId1252" Type="http://schemas.openxmlformats.org/officeDocument/2006/relationships/hyperlink" Target="https://www.elindependiente.com/economia/2024/03/21/imaz-repsol-entra-al-cuerpo-a-cuerpo-con-galan-iberdrola-nosotros-no-dependemos-del-boe/" TargetMode="External"/><Relationship Id="rId2583" Type="http://schemas.openxmlformats.org/officeDocument/2006/relationships/hyperlink" Target="https://www.larazon.es/lr-content/executive-search-potencia-liderazgo-roberto-legaz-maria-trinidad_20240714668e685f099c8900015b8f83.html" TargetMode="External"/><Relationship Id="rId422" Type="http://schemas.openxmlformats.org/officeDocument/2006/relationships/hyperlink" Target="https://www.larazon.es/economia/mujeres-hidrogeno-verde_2024020465bce04ac3cb3000011d45f5.html" TargetMode="External"/><Relationship Id="rId1253" Type="http://schemas.openxmlformats.org/officeDocument/2006/relationships/hyperlink" Target="https://cincodias.elpais.com/companias/2024-03-21/josu-jon-imaz-arremete-contra-teresa-ribera-a-la-que-acusa-de-despreciar-a-la-industria.html" TargetMode="External"/><Relationship Id="rId2584" Type="http://schemas.openxmlformats.org/officeDocument/2006/relationships/hyperlink" Target="https://okdiario.com/coolthelifestyle/lifestyle/cinco-restaurantes-franceses-madrid-que-iria-hasta-carla-bruni-728126" TargetMode="External"/><Relationship Id="rId421" Type="http://schemas.openxmlformats.org/officeDocument/2006/relationships/hyperlink" Target="https://www.boxrepsol.com/es/trial/resultados-del-x-trial-de-barcelona-2024/" TargetMode="External"/><Relationship Id="rId1254" Type="http://schemas.openxmlformats.org/officeDocument/2006/relationships/hyperlink" Target="https://www.eitb.eus/es/noticias/economia/videos/detalle/9453475/video-imaz-repsol-a-ministra-teresa-ribera-quiere-que-cerremos-refinerias/" TargetMode="External"/><Relationship Id="rId2585" Type="http://schemas.openxmlformats.org/officeDocument/2006/relationships/hyperlink" Target="https://www.lavozdegalicia.es/noticia/carballo/2024/07/14/dos-agricultores-compran-estacion-servicio-agualada-1964/0003_202407C14C1991.htm" TargetMode="External"/><Relationship Id="rId420" Type="http://schemas.openxmlformats.org/officeDocument/2006/relationships/hyperlink" Target="https://elperiodicodelaenergia.com/chc-energia-se-reinventa-de-la-mano-de-repsol/" TargetMode="External"/><Relationship Id="rId1255" Type="http://schemas.openxmlformats.org/officeDocument/2006/relationships/hyperlink" Target="https://www.hispanidad.com/economia/ceo-repsol-josu-jon-imaz-pierde-paciencia-se-enfrenta-directamente-vicepresidenta-teresa-ribera-acusa-desindustrializar-espana_12049667_102.html" TargetMode="External"/><Relationship Id="rId2586" Type="http://schemas.openxmlformats.org/officeDocument/2006/relationships/hyperlink" Target="https://www.interempresas.net/Estaciones-servicio/Articulos/568699-Repsol-adquiere-el-45-por-ciento-de-la-participacion-de-El-Corte-Ingles-en-Gespevesa.html" TargetMode="External"/><Relationship Id="rId1256" Type="http://schemas.openxmlformats.org/officeDocument/2006/relationships/hyperlink" Target="https://www.fundacionrepsol.com/es/noticias/expertos-debaten-el-impacto-de-la-economia-en-el-sector-energetico/" TargetMode="External"/><Relationship Id="rId2587" Type="http://schemas.openxmlformats.org/officeDocument/2006/relationships/hyperlink" Target="https://www.abc.es/motor/economia/ceo-repsol-afirma-prohibir-motor-combustion-2035-20240715095300-nt.html" TargetMode="External"/><Relationship Id="rId1246" Type="http://schemas.openxmlformats.org/officeDocument/2006/relationships/hyperlink" Target="https://lacontradejaen.eldiario.es/restaurante-acebuche-guia-repson-baeza-jaen/" TargetMode="External"/><Relationship Id="rId2577" Type="http://schemas.openxmlformats.org/officeDocument/2006/relationships/hyperlink" Target="https://es.ara.cat/misc/1-300-millones-euros-ano-coste-sociedad-catalana_1_5088145.html" TargetMode="External"/><Relationship Id="rId1247" Type="http://schemas.openxmlformats.org/officeDocument/2006/relationships/hyperlink" Target="https://www.elcorreo.com/sociedad/impostura-marketing-greenwashing-pinkwashing-20240319183304-nt.html" TargetMode="External"/><Relationship Id="rId2578" Type="http://schemas.openxmlformats.org/officeDocument/2006/relationships/hyperlink" Target="https://trial.hondaracingcorporation.com/report/third-one-two-of-the-year-for-repsol-honda-team/?lang=es" TargetMode="External"/><Relationship Id="rId1248" Type="http://schemas.openxmlformats.org/officeDocument/2006/relationships/hyperlink" Target="https://neomotor.epe.es/movilidad/el-glp-sigue-sumando-adeptos-en-espana-con-un-crecimiento-del-25-en-2023-GC1730594" TargetMode="External"/><Relationship Id="rId2579" Type="http://schemas.openxmlformats.org/officeDocument/2006/relationships/hyperlink" Target="https://www.lavozdegalicia.es/noticia/pontevedra/sanxenxo/2024/07/14/dos-restaurantes-sanxenxo-seducen-grandes-cocineros/0003_202407P14C5991.htm" TargetMode="External"/><Relationship Id="rId1249" Type="http://schemas.openxmlformats.org/officeDocument/2006/relationships/hyperlink" Target="https://www.infopack.es/es/noticia/repsol-lanza-sus-nuevos-envases-de-lubricantes-con-un-60-de-contenido-de-plastico-reciclado" TargetMode="External"/><Relationship Id="rId415" Type="http://schemas.openxmlformats.org/officeDocument/2006/relationships/hyperlink" Target="https://www.ecoticias.com/hoyeco/ocu-combustibles-ecologicos-repsol/2391/" TargetMode="External"/><Relationship Id="rId414" Type="http://schemas.openxmlformats.org/officeDocument/2006/relationships/hyperlink" Target="https://cronicaglobal.elespanol.com/cronica-directo/curiosidades/20240201/este-restaurante-catalana-poligono-enloquece-jose-andres/829417071_0.html" TargetMode="External"/><Relationship Id="rId413" Type="http://schemas.openxmlformats.org/officeDocument/2006/relationships/hyperlink" Target="https://www.motor16.com/noticias/gasolina-renovable-informe-ocu/" TargetMode="External"/><Relationship Id="rId412" Type="http://schemas.openxmlformats.org/officeDocument/2006/relationships/hyperlink" Target="https://www.guiarepsol.com/es/comer/nuestros-favoritos/mercader-cabanyal-valencia/" TargetMode="External"/><Relationship Id="rId419" Type="http://schemas.openxmlformats.org/officeDocument/2006/relationships/hyperlink" Target="https://www.motogp.com/es/news/2024/02/03/acosta-termine-en-tete-du-shakedown-de-sepang-2024/488998" TargetMode="External"/><Relationship Id="rId418" Type="http://schemas.openxmlformats.org/officeDocument/2006/relationships/hyperlink" Target="https://www.moto1pro.com/actualidad/descuentos-en-gasolineras-como-ahorrar-en-el-combustible" TargetMode="External"/><Relationship Id="rId417" Type="http://schemas.openxmlformats.org/officeDocument/2006/relationships/hyperlink" Target="https://es.motorsport.com/motogp/news/fotos-viernes-shakedown-motogp-sepang-2024/10571708/" TargetMode="External"/><Relationship Id="rId416" Type="http://schemas.openxmlformats.org/officeDocument/2006/relationships/hyperlink" Target="https://elperiodicodelaenergia.com/el-primer-parque-eolico-marino-flotante-semisumergible-del-mundo-supera-todas-las-predicciones/" TargetMode="External"/><Relationship Id="rId2570" Type="http://schemas.openxmlformats.org/officeDocument/2006/relationships/hyperlink" Target="https://www.laopiniondemalaga.es/malaga/2024/07/13/antiguos-terrenos-repsol-indecencia-urbanistica-105509339.html" TargetMode="External"/><Relationship Id="rId1240" Type="http://schemas.openxmlformats.org/officeDocument/2006/relationships/hyperlink" Target="https://www.capitalmadrid.com/2024/3/20/66993/repsol-abonara-un-dividendo-de-0-5-euros-en-julio-y-realizara-una-amortizacion-de-acciones.html" TargetMode="External"/><Relationship Id="rId2571" Type="http://schemas.openxmlformats.org/officeDocument/2006/relationships/hyperlink" Target="https://www.bolsamania.com/noticias/empresas/grifols-cellnex-acciona-hacen-triunfo-semanal-ibex-35-repsol-sufre--17076703.html" TargetMode="External"/><Relationship Id="rId1241" Type="http://schemas.openxmlformats.org/officeDocument/2006/relationships/hyperlink" Target="https://blog.selfbank.es/repsol-el-dividendo-en-efectivo-crece-cerca-del-30/" TargetMode="External"/><Relationship Id="rId2572" Type="http://schemas.openxmlformats.org/officeDocument/2006/relationships/hyperlink" Target="https://es.ara.cat/misc/10-instalaciones-emiten-70-contaminacion-industrial_130_5088141.html" TargetMode="External"/><Relationship Id="rId411" Type="http://schemas.openxmlformats.org/officeDocument/2006/relationships/hyperlink" Target="https://ponferradahoy.com/la-a6-en-el-bierzo-ya-dispone-de-dos-de-las-primeras-estaciones-de-servicio-repsol-con-combustible-renovable/" TargetMode="External"/><Relationship Id="rId1242" Type="http://schemas.openxmlformats.org/officeDocument/2006/relationships/hyperlink" Target="https://okdiario.com/motor/que-coches-pueden-repostar-gasolina-renovable-repsol-12557618" TargetMode="External"/><Relationship Id="rId2573" Type="http://schemas.openxmlformats.org/officeDocument/2006/relationships/hyperlink" Target="https://www.lavanguardia.com/magazine/experiencias/20240713/9791988/begona-rodrigo-maga-vinagres-encurtidos-chef-mujer-cocinera.html" TargetMode="External"/><Relationship Id="rId410" Type="http://schemas.openxmlformats.org/officeDocument/2006/relationships/hyperlink" Target="https://www.lasexta.com/motor/noticias/opinion-ocu-combustibles-renovables-repsol-que-permitiran-coches-combustion-seguir-circulando_2024020265b8e8f7327cdd000196a4d8.html" TargetMode="External"/><Relationship Id="rId1243" Type="http://schemas.openxmlformats.org/officeDocument/2006/relationships/hyperlink" Target="https://cincodias.elpais.com/mercados-financieros/2024-03-20/repsol-reconquista-los-15-euros-por-accion-de-la-mano-del-dividendo.html" TargetMode="External"/><Relationship Id="rId2574" Type="http://schemas.openxmlformats.org/officeDocument/2006/relationships/hyperlink" Target="https://www.larazon.es/economia/volar-espana-fue-22-mas-caro-junio-mayor-subida-siete-anos_2024071366922df0099c89000166bc13.html" TargetMode="External"/><Relationship Id="rId1244" Type="http://schemas.openxmlformats.org/officeDocument/2006/relationships/hyperlink" Target="https://cadenaser.com/euskadi/2024/03/20/la-ministra-teresa-ribera-se-declara-neutra-en-la-demanda-de-iberdrola-contra-repsol-y-defiende-una-agenda-verde-sin-confusion-radio-bilbao/" TargetMode="External"/><Relationship Id="rId2575" Type="http://schemas.openxmlformats.org/officeDocument/2006/relationships/hyperlink" Target="https://www.20minutos.es/lainformacion/economia-y-finanzas/impacto-economico-inversion-segundo-mandato-donald-trump-5530684/" TargetMode="External"/><Relationship Id="rId1245" Type="http://schemas.openxmlformats.org/officeDocument/2006/relationships/hyperlink" Target="https://www.guiarepsol.com/es/dormir/como-en-casa/quinta-san-francisco-castrojeriz-burgos/" TargetMode="External"/><Relationship Id="rId2576" Type="http://schemas.openxmlformats.org/officeDocument/2006/relationships/hyperlink" Target="https://www.elindependiente.com/tendencias/2024/07/13/los-toros-de-escolar-protagonizan-un-rapidisimo-penultimo-encierro-de-san-fermin-2024/" TargetMode="External"/><Relationship Id="rId1279" Type="http://schemas.openxmlformats.org/officeDocument/2006/relationships/hyperlink" Target="https://www.boxrepsol.com/es/motogp/resultados-de-la-carrera-sprint-del-gp-de-portugal-de-motogp-2024/" TargetMode="External"/><Relationship Id="rId4305" Type="http://schemas.openxmlformats.org/officeDocument/2006/relationships/hyperlink" Target="https://www.elcorreogallego.es/santiago/2024/11/11/restaurantes-santiago-suman-nuevos-soletes-111580305.html" TargetMode="External"/><Relationship Id="rId4304" Type="http://schemas.openxmlformats.org/officeDocument/2006/relationships/hyperlink" Target="https://www.diariodeburgos.es/noticia/z185c6b16-9d4d-2a3e-962672066984bdeb/202411/seis-nuevos-soletes-con-solera-en-burgos" TargetMode="External"/><Relationship Id="rId4307" Type="http://schemas.openxmlformats.org/officeDocument/2006/relationships/hyperlink" Target="https://www.larazon.es/galicia/mundo-sabores-toda-vida-galicia-suma-26-nuevos-soletes-repsol_202411116731eeb46566420001a0d261.html" TargetMode="External"/><Relationship Id="rId4306" Type="http://schemas.openxmlformats.org/officeDocument/2006/relationships/hyperlink" Target="https://navarra.okdiario.com/articulo/sociedad/establecimientos-navarros-mas-300-nuevos-soletes-repsol/20241111133322568924.html" TargetMode="External"/><Relationship Id="rId4309" Type="http://schemas.openxmlformats.org/officeDocument/2006/relationships/hyperlink" Target="https://elnuevoobservador.com/la-gastronomia-de-linares-reluce-con-solete-para-el-historico-cafe-bar-cordoba/" TargetMode="External"/><Relationship Id="rId4308" Type="http://schemas.openxmlformats.org/officeDocument/2006/relationships/hyperlink" Target="https://www.laopinioncoruna.es/coruna/2024/11/11/tres-establecimientos-coruna-betanzos-obtienen-111581482.html" TargetMode="External"/><Relationship Id="rId448" Type="http://schemas.openxmlformats.org/officeDocument/2006/relationships/hyperlink" Target="https://gestion.pe/economia/empresas/repsol-mira-proyectos-de-hidrogeno-verde-con-antamina-chinalco-y-las-bambas-empresas-hidrogeno-verde-la-pampilla-energia-repsol-antamina-noticia/" TargetMode="External"/><Relationship Id="rId447" Type="http://schemas.openxmlformats.org/officeDocument/2006/relationships/hyperlink" Target="https://www.menorca.info/deportes/polideportivo/2024/02/06/2100799/luca-marini-cada-vez-sensaciones-son-mejores.html" TargetMode="External"/><Relationship Id="rId446" Type="http://schemas.openxmlformats.org/officeDocument/2006/relationships/hyperlink" Target="https://www.ultimahora.es/deportes/motor/2024/02/06/2100887/joan-mir-lamenta-moto-haya-mejorado.html" TargetMode="External"/><Relationship Id="rId445" Type="http://schemas.openxmlformats.org/officeDocument/2006/relationships/hyperlink" Target="https://www.idealista.com/news/inmobiliario/vivienda/2024/02/06/810871-nuevo-impulso-para-la-vivienda-asequible-ibosa-adquiere-terrenos-de-repsol-y" TargetMode="External"/><Relationship Id="rId449" Type="http://schemas.openxmlformats.org/officeDocument/2006/relationships/hyperlink" Target="https://www.boxrepsol.com/es/motogp/donde-ver-el-mundial-de-motogp/" TargetMode="External"/><Relationship Id="rId1270" Type="http://schemas.openxmlformats.org/officeDocument/2006/relationships/hyperlink" Target="https://www.europneus.es/recambios/nuevos-envases-de-lubricantes-repsol-con-un-60-de-plastico-reciclado/" TargetMode="External"/><Relationship Id="rId440" Type="http://schemas.openxmlformats.org/officeDocument/2006/relationships/hyperlink" Target="https://www.europapress.es/economia/energia-00341/noticia-captura-co2-gestion-agua-retos-hub-repsol-iberia-arcelormittal-holcim-20240206121923.html" TargetMode="External"/><Relationship Id="rId1271" Type="http://schemas.openxmlformats.org/officeDocument/2006/relationships/hyperlink" Target="https://www.guiarepsol.com/es/viajar/nos-gusta/visita-museo-neomudejar-madrid/" TargetMode="External"/><Relationship Id="rId1272" Type="http://schemas.openxmlformats.org/officeDocument/2006/relationships/hyperlink" Target="https://www.europapress.es/economia/noticia-feijoo-ve-inaudito-disparate-enfrentamiento-provoca-gobierno-iberdrola-repsol-20240322140232.html" TargetMode="External"/><Relationship Id="rId1273" Type="http://schemas.openxmlformats.org/officeDocument/2006/relationships/hyperlink" Target="https://www.elindependiente.com/economia/2024/03/22/la-alianza-de-galan-iberdrola-y-ribera-de-ponerse-verde-por-el-mundo-a-unir-fuerzas-contra-repsol-y-las-nucleares/" TargetMode="External"/><Relationship Id="rId1274" Type="http://schemas.openxmlformats.org/officeDocument/2006/relationships/hyperlink" Target="https://www.economiadigital.es/galicia/empresas/a-examen-ambiental-la-planta-de-hidrogeno-verde-de-meirama-que-conectara-con-la-refineria-de-repsol.html" TargetMode="External"/><Relationship Id="rId444" Type="http://schemas.openxmlformats.org/officeDocument/2006/relationships/hyperlink" Target="https://www.boxrepsol.com/es/motogp/test-de-sepang-motogp-2024-resultados-de-la-primera-jornada/" TargetMode="External"/><Relationship Id="rId1275" Type="http://schemas.openxmlformats.org/officeDocument/2006/relationships/hyperlink" Target="https://www.eldebate.com/espana/galicia/la-coruna/20240322/asi-planta-surtira-hidrogeno-refineria-coruna64-millones-30000-toneladas-ano_183738.html" TargetMode="External"/><Relationship Id="rId4301" Type="http://schemas.openxmlformats.org/officeDocument/2006/relationships/hyperlink" Target="https://nuevaalcarria.com/articulos/aqui-tienes-los-cuatro-nuevos-restaurantes-de-la-provincia-de-guadalajara-reconocidos-por-la-guia-repsol" TargetMode="External"/><Relationship Id="rId443" Type="http://schemas.openxmlformats.org/officeDocument/2006/relationships/hyperlink" Target="https://www.todocircuito.com/noticias/35237-el-logo-de-repsol-se-hace-pequeno-en-las-honda-de-joan-mir-y-luca-marini.html" TargetMode="External"/><Relationship Id="rId1276" Type="http://schemas.openxmlformats.org/officeDocument/2006/relationships/hyperlink" Target="https://murciaplaza.com/murciaplaza/min-la-union-abre-sus-puertas-tras-un-millon-de-inversion-para-proveer-a-empresas-como-iberdrola-o-repsol" TargetMode="External"/><Relationship Id="rId4300" Type="http://schemas.openxmlformats.org/officeDocument/2006/relationships/hyperlink" Target="https://www.infobae.com/espana/2024/11/12/la-vuelta-a-la-cocina-de-siempre-330-nuevos-soletes-repsol-premian-a-los-bares-y-restaurantes-con-mas-solera/" TargetMode="External"/><Relationship Id="rId442" Type="http://schemas.openxmlformats.org/officeDocument/2006/relationships/hyperlink" Target="https://es.rue20.com/2024/02/06/la-espanola-repsol-y-la-belga-ravago-estrenan-planta-de-compuestos-en-tanger/" TargetMode="External"/><Relationship Id="rId1277" Type="http://schemas.openxmlformats.org/officeDocument/2006/relationships/hyperlink" Target="https://www.guiarepsol.com/es/dormir/como-en-casa/casa-de-la-campana-cieza/" TargetMode="External"/><Relationship Id="rId4303" Type="http://schemas.openxmlformats.org/officeDocument/2006/relationships/hyperlink" Target="https://www.lacomarcadepuertollano.com/articulo/puertollano/2a-jornada-liga-provincial-equipos-tenis-club-recreativo-repsol-puertollano/20241111094648569176.html" TargetMode="External"/><Relationship Id="rId441" Type="http://schemas.openxmlformats.org/officeDocument/2006/relationships/hyperlink" Target="https://www.guiarepsol.com/es/soletes/donde-desayunar-comer-tomar-algo-valladolid/" TargetMode="External"/><Relationship Id="rId1278" Type="http://schemas.openxmlformats.org/officeDocument/2006/relationships/hyperlink" Target="https://elpais.com/clima-y-medio-ambiente/2024-03-23/la-batalla-contra-el-ecopostureo-explota-en-los-tribunales.html" TargetMode="External"/><Relationship Id="rId4302" Type="http://schemas.openxmlformats.org/officeDocument/2006/relationships/hyperlink" Target="https://cronicaglobal.elespanol.com/gastronomia/20241111/el-restaurante-de-cataluna-por-guia-repsol/900410038_0.html" TargetMode="External"/><Relationship Id="rId1268" Type="http://schemas.openxmlformats.org/officeDocument/2006/relationships/hyperlink" Target="https://www.latribunadeciudadreal.es/noticia/zff92f4e9-bcc0-b620-6eadd0b587b50f29/202403/la-seguridad-lo-mas-importante-en-la-parada-de-repsol" TargetMode="External"/><Relationship Id="rId2599" Type="http://schemas.openxmlformats.org/officeDocument/2006/relationships/hyperlink" Target="https://www.bolsamania.com/noticias/cronica-ibex/martes-16-julio-cautela-powell-tipos--17086328.html" TargetMode="External"/><Relationship Id="rId1269" Type="http://schemas.openxmlformats.org/officeDocument/2006/relationships/hyperlink" Target="https://www.heraldo.es/noticias/aragon/2024/03/22/estudiantes-universidad-zaragoza-ganadores-challenge-fundacion-repsol-1720743.html" TargetMode="External"/><Relationship Id="rId437" Type="http://schemas.openxmlformats.org/officeDocument/2006/relationships/hyperlink" Target="https://www.infohoreca.com/noticias/20240205/hyt-malaga-actividades-2024" TargetMode="External"/><Relationship Id="rId436" Type="http://schemas.openxmlformats.org/officeDocument/2006/relationships/hyperlink" Target="https://www.huleymantel.com/barras-estrellas/guia-macarfi-2024-lista-completa-restaurantes-en-top-10-mejores-aperturas_101900_102.html" TargetMode="External"/><Relationship Id="rId435" Type="http://schemas.openxmlformats.org/officeDocument/2006/relationships/hyperlink" Target="https://www.elespanol.com/cocinillas/actualidad-gastronomica/20240205/tradicional-bodega-barcelona-convirtio-taberna-japonesa-sushi-clandestino/829667210_0.html" TargetMode="External"/><Relationship Id="rId434" Type="http://schemas.openxmlformats.org/officeDocument/2006/relationships/hyperlink" Target="https://www.moto1pro.com/enduropro/actualidad/toni-bou-empieza-el-mundial-de-x-trial-en-lo-mas-alto" TargetMode="External"/><Relationship Id="rId439" Type="http://schemas.openxmlformats.org/officeDocument/2006/relationships/hyperlink" Target="https://www.laopiniondemalaga.es/malaga/2024/02/05/gala-macarfi-revela-premia-diez-restaurantes-malaga-97783927.html" TargetMode="External"/><Relationship Id="rId438" Type="http://schemas.openxmlformats.org/officeDocument/2006/relationships/hyperlink" Target="https://www.eleconomista.es/mercados-cotizaciones/noticias/12652109/02/24/ibercaja-gestiona-tres-de-los-cuatro-planes-de-pensiones-de-empleo-mas-rentables-del-ultimo-ano.html" TargetMode="External"/><Relationship Id="rId2590" Type="http://schemas.openxmlformats.org/officeDocument/2006/relationships/hyperlink" Target="https://www.huelva24.com/gastronomia/heladeria-punta-umbria-recomienda-guia-repsol-verano-20240715150800-nth.html" TargetMode="External"/><Relationship Id="rId1260" Type="http://schemas.openxmlformats.org/officeDocument/2006/relationships/hyperlink" Target="https://www.elmundo.es/economia/empresas/2024/03/21/65fbf924e9cf4a9c5c8b459d.html" TargetMode="External"/><Relationship Id="rId2591" Type="http://schemas.openxmlformats.org/officeDocument/2006/relationships/hyperlink" Target="https://www.elespanol.com/invertia/empresas/energia/20240715/fiebre-plantas-combinan-solar-eolica-energeticas-preparan-nuevos-proyectos-millones/869913258_0.html" TargetMode="External"/><Relationship Id="rId1261" Type="http://schemas.openxmlformats.org/officeDocument/2006/relationships/hyperlink" Target="https://www.naiz.eus/eu/info/noticia/20240321/josu-jon-imaz-pregunta-a-ribera-ministra-quiere-que-cerremos-las-refinerias" TargetMode="External"/><Relationship Id="rId2592" Type="http://schemas.openxmlformats.org/officeDocument/2006/relationships/hyperlink" Target="https://www.elcorreogallego.es/santiago/2024/07/15/tamar-novas-comparte-amor-santiago-entrevista-guia-repsol-mejor-lugar-pasear-105657073.html" TargetMode="External"/><Relationship Id="rId1262" Type="http://schemas.openxmlformats.org/officeDocument/2006/relationships/hyperlink" Target="https://confilegal.com/20240321-la-batalla-legal-entre-las-dos-mayores-energeticas-espanolas-por-una-acusacion-de-greenwashing/" TargetMode="External"/><Relationship Id="rId2593" Type="http://schemas.openxmlformats.org/officeDocument/2006/relationships/hyperlink" Target="https://www.mundodeportivo.com/urbantecno/motor/los-7-aceites-de-motor-mas-vendidos-de-amazon-y-como-elegir-el-que-necesitas" TargetMode="External"/><Relationship Id="rId1263" Type="http://schemas.openxmlformats.org/officeDocument/2006/relationships/hyperlink" Target="https://theobjective.com/economia/energia/2024-03-21/imaz-galan-demanda-boe/" TargetMode="External"/><Relationship Id="rId2594" Type="http://schemas.openxmlformats.org/officeDocument/2006/relationships/hyperlink" Target="https://epicentro.tv/los-secretos-de-la-caja-negra-de-mare-doricum/" TargetMode="External"/><Relationship Id="rId433" Type="http://schemas.openxmlformats.org/officeDocument/2006/relationships/hyperlink" Target="https://www.eldiarioar.com/sociedad/medio-ambiente/derrame-repsol-peru-balance-negativo-remediacion-reparacion-civil-anos-mayor-accidente-petroleo-costas-peruanas_1_10887976.html" TargetMode="External"/><Relationship Id="rId1264" Type="http://schemas.openxmlformats.org/officeDocument/2006/relationships/hyperlink" Target="https://www.motor16.com/noticias/cepsa-nueva-linea-de-negocio/" TargetMode="External"/><Relationship Id="rId2595" Type="http://schemas.openxmlformats.org/officeDocument/2006/relationships/hyperlink" Target="https://www.elperiodico.com/es/cata-mayor/restaurantes/20240715/restaurantes-lleida-provincia-comer-barato-104815726" TargetMode="External"/><Relationship Id="rId432" Type="http://schemas.openxmlformats.org/officeDocument/2006/relationships/hyperlink" Target="https://www.ejeprime.com/residencial/ibosa-compra-suelo-a-repsol-y-alisefa-para-levantar-vivienda-asequible-en-los-berrocales" TargetMode="External"/><Relationship Id="rId1265" Type="http://schemas.openxmlformats.org/officeDocument/2006/relationships/hyperlink" Target="https://www.moto1pro.com/enduropro/actualidad/toni-bou-regresa-al-campeonato-de-espana-de-trial-en-gironella" TargetMode="External"/><Relationship Id="rId2596" Type="http://schemas.openxmlformats.org/officeDocument/2006/relationships/hyperlink" Target="https://elperiodicodelaenergia.com/repsol-powerfultree-impulsan-primer-piloto-agrovoltaico-espana-estructura-elevada-vinedo/" TargetMode="External"/><Relationship Id="rId431" Type="http://schemas.openxmlformats.org/officeDocument/2006/relationships/hyperlink" Target="https://www.laopiniondemalaga.es/malaga/2024/02/05/ocho-anos-sueno-bosque-urbano-97677203.html" TargetMode="External"/><Relationship Id="rId1266" Type="http://schemas.openxmlformats.org/officeDocument/2006/relationships/hyperlink" Target="https://www.elespanol.com/invertia/empresas/energia/20240321/teresa-ribera-responde-imaz-supuesto-gobierno-apuesta-industria-espana/841666327_0.html" TargetMode="External"/><Relationship Id="rId2597" Type="http://schemas.openxmlformats.org/officeDocument/2006/relationships/hyperlink" Target="https://www.guiarepsol.com/es/viajar/nos-gusta/palacio-de-la-granja-aniversario/" TargetMode="External"/><Relationship Id="rId430" Type="http://schemas.openxmlformats.org/officeDocument/2006/relationships/hyperlink" Target="https://www.eleconomista.es/vivienda-inmobiliario/noticias/12655255/02/24/repsol-y-aliseda-venden-suelo-a-ibosa-para-levantar-vivienda-asequible-en-los-berrocales.html" TargetMode="External"/><Relationship Id="rId1267" Type="http://schemas.openxmlformats.org/officeDocument/2006/relationships/hyperlink" Target="https://www.repsol.com/es/empleo/estudiantes-practicas-y-primer-empleo/fp-dual-en-repsol/index.cshtml" TargetMode="External"/><Relationship Id="rId2598" Type="http://schemas.openxmlformats.org/officeDocument/2006/relationships/hyperlink" Target="https://www.epe.es/es/activos/20240716/gasolineras-low-cost-desborda-repsol-cepsa-bp-galp-105726517" TargetMode="External"/><Relationship Id="rId3070" Type="http://schemas.openxmlformats.org/officeDocument/2006/relationships/hyperlink" Target="https://www.dazn.com/es-ES/news/motor/pilotos-espanoles-participan-mundial-motogp/xpj9yks4nzvd1pncw1tspw3cp" TargetMode="External"/><Relationship Id="rId3072" Type="http://schemas.openxmlformats.org/officeDocument/2006/relationships/hyperlink" Target="https://www.elespanol.com/eldigitalcastillalamancha/vivir/gastro/20240830/mitico-restaurante-carretera-comer-pasas-toledo/881662327_0.html" TargetMode="External"/><Relationship Id="rId3071" Type="http://schemas.openxmlformats.org/officeDocument/2006/relationships/hyperlink" Target="https://www.hoy.es/gente-estilo/victor-manuel-disfruta-cocina-lugaris-concierto-merida-20240830104014-nt.html" TargetMode="External"/><Relationship Id="rId3074" Type="http://schemas.openxmlformats.org/officeDocument/2006/relationships/hyperlink" Target="https://menorcaaldia.com/2024/08/31/lady-anne-pone-fin-a-una-espectacular-copa-del-rey-repsol-de-barcos-de-epoca-en-mao/" TargetMode="External"/><Relationship Id="rId3073" Type="http://schemas.openxmlformats.org/officeDocument/2006/relationships/hyperlink" Target="https://www.lavozdegalicia.es/noticia/economia/2024/08/31/gobierno-libia-castiga-repsol-cierre-yacimiento/0003_202408G31P24993.htm" TargetMode="External"/><Relationship Id="rId3076" Type="http://schemas.openxmlformats.org/officeDocument/2006/relationships/hyperlink" Target="https://www.bonviveur.es/noticias/mejores-restaurantes-rioja" TargetMode="External"/><Relationship Id="rId3075" Type="http://schemas.openxmlformats.org/officeDocument/2006/relationships/hyperlink" Target="https://okdiario.com/baleares/entrega-trofeos-pone-broche-oro-copa-del-rey-repsol-13394931" TargetMode="External"/><Relationship Id="rId3078" Type="http://schemas.openxmlformats.org/officeDocument/2006/relationships/hyperlink" Target="https://www.eldia.es/vida-y-estilo/consumo/2024/08/31/desvelan-truco-bombona-butano-dure-mas-dv-is-88126121.html" TargetMode="External"/><Relationship Id="rId3077" Type="http://schemas.openxmlformats.org/officeDocument/2006/relationships/hyperlink" Target="https://www.boxrepsol.com/es/motogp/resultados-de-la-carrera-sprint-del-gp-de-aragon-de-motogp-2024/" TargetMode="External"/><Relationship Id="rId3079" Type="http://schemas.openxmlformats.org/officeDocument/2006/relationships/hyperlink" Target="https://www.elle.com/es/gourmet/gastronomia/g45864341/mejores-restaurantes-girona/" TargetMode="External"/><Relationship Id="rId4390" Type="http://schemas.openxmlformats.org/officeDocument/2006/relationships/hyperlink" Target="https://www.laopinioncoruna.es/coruna/2024/11/12/ayuntamiento-repsol-seat-expropiados-alfonso-111609150.html" TargetMode="External"/><Relationship Id="rId3061" Type="http://schemas.openxmlformats.org/officeDocument/2006/relationships/hyperlink" Target="https://www.boxrepsol.com/es/tecnologia/camaras-para-moto/" TargetMode="External"/><Relationship Id="rId4392" Type="http://schemas.openxmlformats.org/officeDocument/2006/relationships/hyperlink" Target="https://www.elespanol.com/madrid/ocio/20241112/cocido-ingredientes-solera-madrid-gusto-lola-flores-solete-repsol/900659987_0.html" TargetMode="External"/><Relationship Id="rId3060" Type="http://schemas.openxmlformats.org/officeDocument/2006/relationships/hyperlink" Target="https://www.laopinioncoruna.es/coruna/2024/08/29/garantizara-ampliacion-alfonso-molina-coruna-107465939.html" TargetMode="External"/><Relationship Id="rId4391" Type="http://schemas.openxmlformats.org/officeDocument/2006/relationships/hyperlink" Target="https://metropoliabierta.elespanol.com/gran-barcelona/20241112/la-vermuteria-de-lhospitalet-reconocida-or-la-guia-repsol-tapas-platillos-toda-vida/900660022_0.html" TargetMode="External"/><Relationship Id="rId3063" Type="http://schemas.openxmlformats.org/officeDocument/2006/relationships/hyperlink" Target="https://www.repsol.es/particulares/asesoramiento-consumo/como-instalar-aire-acondicionado/" TargetMode="External"/><Relationship Id="rId4394" Type="http://schemas.openxmlformats.org/officeDocument/2006/relationships/hyperlink" Target="https://harodigital.com/gastronomia/los-restaurantes-la-vega-y-pimiento-nuevos-soletes-con-solera-de-la-guia-repsol/" TargetMode="External"/><Relationship Id="rId3062" Type="http://schemas.openxmlformats.org/officeDocument/2006/relationships/hyperlink" Target="https://okdiario.com/okgreen/ecologistas-oponen-derribos-presas-fluviales-galicia-piden-no-conceder-mas-licencias-13385016" TargetMode="External"/><Relationship Id="rId4393" Type="http://schemas.openxmlformats.org/officeDocument/2006/relationships/hyperlink" Target="https://www.heraldo.es/noticias/gastronomia/2024/11/12/bar-casa-domino-zaragoza-nuevo-solete-solera-repsol-invento-jamon-batido-1776860.html" TargetMode="External"/><Relationship Id="rId3065" Type="http://schemas.openxmlformats.org/officeDocument/2006/relationships/hyperlink" Target="https://noticiasciudadrodrigo.com/2024/08/30/lo-que-nadie-te-ha-contado-de-ciudad-rodrigo-en-la-guia-repsol/" TargetMode="External"/><Relationship Id="rId4396" Type="http://schemas.openxmlformats.org/officeDocument/2006/relationships/hyperlink" Target="https://www.portaldecadiz.com/provinciacadiz/116510-ocho-establecimientos-de-la-provincia-de-cadiz-reciben-el-solete-de-la-guia-repsol-2024" TargetMode="External"/><Relationship Id="rId3064" Type="http://schemas.openxmlformats.org/officeDocument/2006/relationships/hyperlink" Target="https://www.comillas.edu/noticias/tecnologia-para-una-industria-papelera-mas-sostenible/" TargetMode="External"/><Relationship Id="rId4395" Type="http://schemas.openxmlformats.org/officeDocument/2006/relationships/hyperlink" Target="https://www.farodevigo.es/o-morrazo/2024/11/12/o-aldan-nuevo-solete-solera-111609375.html" TargetMode="External"/><Relationship Id="rId3067" Type="http://schemas.openxmlformats.org/officeDocument/2006/relationships/hyperlink" Target="https://www.boxrepsol.com/es/motogp/resultados-de-los-entrenamientos-del-gp-de-aragon-de-motogp-2024/" TargetMode="External"/><Relationship Id="rId4398" Type="http://schemas.openxmlformats.org/officeDocument/2006/relationships/hyperlink" Target="https://www.lavozdegalicia.es/noticia/amarina/ribadeo/2024/11/11/alianza-mondonedo-delicias-roasters-ribadeo-distinguidos-soletes-solera-nueva-guia-repsol/00031731322240355281404.htm" TargetMode="External"/><Relationship Id="rId3066" Type="http://schemas.openxmlformats.org/officeDocument/2006/relationships/hyperlink" Target="https://www.guiarepsol.com/es/soletes/las-terrazas-de-interior-favoritas-de-los-chefs/" TargetMode="External"/><Relationship Id="rId4397" Type="http://schemas.openxmlformats.org/officeDocument/2006/relationships/hyperlink" Target="https://www.elespanol.com/motor/20241112/restaurante-espanol-carretera-enamora-conductor-aparece-guia-repsol-michelin/900659949_0.html" TargetMode="External"/><Relationship Id="rId3069" Type="http://schemas.openxmlformats.org/officeDocument/2006/relationships/hyperlink" Target="https://talavera.es/noticias/el-alcalde-continua-con-las-visitas-a-los-establecimientos-distinguidos-con-soletes-en-la-ciudad/" TargetMode="External"/><Relationship Id="rId3068" Type="http://schemas.openxmlformats.org/officeDocument/2006/relationships/hyperlink" Target="https://america-retail.com/paises/espana/los-empleados-de-el-corte-ingles-recibiran-descuentos-del-30-en-luz-y-gas/" TargetMode="External"/><Relationship Id="rId4399" Type="http://schemas.openxmlformats.org/officeDocument/2006/relationships/hyperlink" Target="https://www.diariodecadiz.es/cadizfornia/son-ocho-nuevos-soletes-cadiz_3_2002770746.html" TargetMode="External"/><Relationship Id="rId3090" Type="http://schemas.openxmlformats.org/officeDocument/2006/relationships/hyperlink" Target="https://www.eleconomista.es/mercados-cotizaciones/noticias/12965939/08/24/cuatro-valores-en-los-que-cosechar-lo-acumulado-y-una-gran-oportunidad.html" TargetMode="External"/><Relationship Id="rId3092" Type="http://schemas.openxmlformats.org/officeDocument/2006/relationships/hyperlink" Target="https://www.jaenhoy.es/jaen/chefs-estrella-michelin-soles-repsol_0_2002327519.html" TargetMode="External"/><Relationship Id="rId3091" Type="http://schemas.openxmlformats.org/officeDocument/2006/relationships/hyperlink" Target="https://www.estrategiasdeinversion.com/analisis/bolsa-y-mercados/informes/la-petrolera-repsol-sigue-dando-disgustos-a-sus-n-740699" TargetMode="External"/><Relationship Id="rId3094" Type="http://schemas.openxmlformats.org/officeDocument/2006/relationships/hyperlink" Target="https://www.fenadismerencarretera.com/repsol-planea-modificar-sus-instalaciones-para-producir-mas-biocombustibles/" TargetMode="External"/><Relationship Id="rId3093" Type="http://schemas.openxmlformats.org/officeDocument/2006/relationships/hyperlink" Target="https://www.guiarepsol.com/es/viajar/nos-gusta/disenador-santos-bregana-vajillas-cubiertos-mas-iconicos/" TargetMode="External"/><Relationship Id="rId3096" Type="http://schemas.openxmlformats.org/officeDocument/2006/relationships/hyperlink" Target="https://automovilismocanario.com/2024/09/02/la-primera-hidrogenera-de-canarias-apuesta-por-el-hyundai-nexo-para-lanzar-un-pionero-rent-a-car-con-vehiculos-de-hidrogeno/" TargetMode="External"/><Relationship Id="rId3095" Type="http://schemas.openxmlformats.org/officeDocument/2006/relationships/hyperlink" Target="https://www.elmundo.es/cataluna/2024/09/02/66d5ab53fdddff0c818b4599.html" TargetMode="External"/><Relationship Id="rId3098" Type="http://schemas.openxmlformats.org/officeDocument/2006/relationships/hyperlink" Target="https://www.larazon.es/sociedad/cambia-precio-botella-butano-partir-este-mes-septiembre-este-sera-precio-exacto_2024090266d5b652797ae100011a1d7a.html" TargetMode="External"/><Relationship Id="rId3097" Type="http://schemas.openxmlformats.org/officeDocument/2006/relationships/hyperlink" Target="https://www.lavozdegalicia.es/noticia/ferrol/ferrol/2024/09/02/plenoil-rompe-mercado-precios-baratos/0003_202409F2C2995.htm" TargetMode="External"/><Relationship Id="rId3099" Type="http://schemas.openxmlformats.org/officeDocument/2006/relationships/hyperlink" Target="https://www.motorenlinea.es/articulo-17333-pajara-acoge-la-primera-hidrogenera-de-canarias" TargetMode="External"/><Relationship Id="rId3081" Type="http://schemas.openxmlformats.org/officeDocument/2006/relationships/hyperlink" Target="https://www.eleconomista.es/mercados-cotizaciones/noticias/12966547/08/24/la-cartera-redoblaria-su-posicion-en-repsol-si-llega-a-caer-a-115-euros-por-accion.html" TargetMode="External"/><Relationship Id="rId3080" Type="http://schemas.openxmlformats.org/officeDocument/2006/relationships/hyperlink" Target="https://www.diariodealmeria.es/almeria-para-vivirla/mejores-restaurantes-comer-cabo-gata_0_2002297874.html" TargetMode="External"/><Relationship Id="rId3083" Type="http://schemas.openxmlformats.org/officeDocument/2006/relationships/hyperlink" Target="https://www.lavozdegalicia.es/noticia/coruna/coruna/2024/08/28/30-hectareas-puerto-exterior-coruna-esperan-gran-proyecto-repsol/00031724863474467589581.htm" TargetMode="External"/><Relationship Id="rId3082" Type="http://schemas.openxmlformats.org/officeDocument/2006/relationships/hyperlink" Target="https://www.elespanol.com/motor/20240901/repsol-quiere-waylet-app-lider-coche-electrico-puede-recargar-ionity-edp-porsche/882162105_0.html" TargetMode="External"/><Relationship Id="rId3085" Type="http://schemas.openxmlformats.org/officeDocument/2006/relationships/hyperlink" Target="https://cincodias.elpais.com/companias/2024-09-02/las-telecos-sufren-un-apagon-en-su-negocio-electrico.html" TargetMode="External"/><Relationship Id="rId3084" Type="http://schemas.openxmlformats.org/officeDocument/2006/relationships/hyperlink" Target="https://www.expansion.com/fueradeserie/gastro/2024/09/01/66badf81468aebde258b45a3.html" TargetMode="External"/><Relationship Id="rId3087" Type="http://schemas.openxmlformats.org/officeDocument/2006/relationships/hyperlink" Target="https://www.mundodeportivo.com/motor/motogp/20240831/1002307572/clasificacion-sprint.html" TargetMode="External"/><Relationship Id="rId3086" Type="http://schemas.openxmlformats.org/officeDocument/2006/relationships/hyperlink" Target="https://www.elmundo.es/baleares/2024/09/01/66d42b6afdddff2a478b4580.html" TargetMode="External"/><Relationship Id="rId3089" Type="http://schemas.openxmlformats.org/officeDocument/2006/relationships/hyperlink" Target="https://www.dazn.com/es-ES/news/motor/motogp-contratos-hasta-que-ano-tienen-contrato-pilotos-cuando-terminan-renovaciones-rumores-parrilla-completa/i6r5a6q7jcgb1nsnsabronikg" TargetMode="External"/><Relationship Id="rId3088" Type="http://schemas.openxmlformats.org/officeDocument/2006/relationships/hyperlink" Target="https://www.cronicabalear.es/2024/motogp-joan-mir-los-cambios-nos-han-ayudado-a-entender-muchas-cosas/" TargetMode="External"/><Relationship Id="rId3039" Type="http://schemas.openxmlformats.org/officeDocument/2006/relationships/hyperlink" Target="https://gentleman.elperiodico.com/placeres/don-giovanni-restaurante-italiano-park-piolets/" TargetMode="External"/><Relationship Id="rId1" Type="http://schemas.openxmlformats.org/officeDocument/2006/relationships/hyperlink" Target="https://www.guiarepsol.com/es/viajar/vamos-de-excursion/ruta-por-los-aguarales-de-valpalmas-zaragoza/" TargetMode="External"/><Relationship Id="rId2" Type="http://schemas.openxmlformats.org/officeDocument/2006/relationships/hyperlink" Target="https://www.pactomundial.org/tribuna/la-debida-diligencia-en-sostenibilidad-palanca-para-seguir-mejorando/" TargetMode="External"/><Relationship Id="rId3" Type="http://schemas.openxmlformats.org/officeDocument/2006/relationships/hyperlink" Target="https://www.20minutos.es/motor/actualidad/bancos-descuento-repostar-gasolina-ibercaja-5190056/" TargetMode="External"/><Relationship Id="rId4" Type="http://schemas.openxmlformats.org/officeDocument/2006/relationships/hyperlink" Target="https://www.mundodeportivo.com/motor/motogp/20240101/1002162357/marc-marquez-habla-piloto-ducati-saltas-moto-campeona-esta-tus-manos.html" TargetMode="External"/><Relationship Id="rId3030" Type="http://schemas.openxmlformats.org/officeDocument/2006/relationships/hyperlink" Target="https://elmon.cat/moneconomia/es/empresas/proyectan-nuevo-parque-eolic-mari-golf-rosas-70-aerogeneradores-75840/" TargetMode="External"/><Relationship Id="rId4361" Type="http://schemas.openxmlformats.org/officeDocument/2006/relationships/hyperlink" Target="https://www.autocasion.com/actualidad/noticias/diesel-ecologico-nexa-repsol" TargetMode="External"/><Relationship Id="rId4360" Type="http://schemas.openxmlformats.org/officeDocument/2006/relationships/hyperlink" Target="https://www.diariodesevilla.es/vivirensevilla/soletes-solera-guia-repsol-bares-sevilla_0_2002772452.html" TargetMode="External"/><Relationship Id="rId9" Type="http://schemas.openxmlformats.org/officeDocument/2006/relationships/hyperlink" Target="https://www.elespanol.com/quincemil/economia/empresas/20240101/collar-cristina-pedroche-campanadas-robo-estrella-galicia/821667962_0.html" TargetMode="External"/><Relationship Id="rId3032" Type="http://schemas.openxmlformats.org/officeDocument/2006/relationships/hyperlink" Target="https://www.elespanol.com/invertia/mercados/20240826/repsol-rebota-euros-impulsado-alzas-precio-crudo/881161915_0.html" TargetMode="External"/><Relationship Id="rId4363" Type="http://schemas.openxmlformats.org/officeDocument/2006/relationships/hyperlink" Target="https://www.diariovasco.com/gastronomia/casa-otaegui-amanece-solete-repsol-20241112161819-nt.html" TargetMode="External"/><Relationship Id="rId3031" Type="http://schemas.openxmlformats.org/officeDocument/2006/relationships/hyperlink" Target="https://www.lavozdegalicia.es/noticia/coruna/coruna/2024/08/26/personal-empresa-auxiliar-refineria-coruna-suspende-huelga-tras-cobrar-salario/00031724675699660294857.htm" TargetMode="External"/><Relationship Id="rId4362" Type="http://schemas.openxmlformats.org/officeDocument/2006/relationships/hyperlink" Target="https://www.abc.es/gastronomia/guia-repsol-presenta-330-nuevos-soletes-restaurantes-20241112140538-nt.html" TargetMode="External"/><Relationship Id="rId3034" Type="http://schemas.openxmlformats.org/officeDocument/2006/relationships/hyperlink" Target="https://www.eleconomista.es/mercados-cotizaciones/noticias/12962414/08/24/repsol-emite-850-millones-de-euros-a-10-anos-con-un-cupon-del-3625.html" TargetMode="External"/><Relationship Id="rId4365" Type="http://schemas.openxmlformats.org/officeDocument/2006/relationships/hyperlink" Target="https://www.diariocordoba.com/ocio/gastronomia/2024/11/12/cordoba-donde-comer-soletes-guia-repsol-104367140.html" TargetMode="External"/><Relationship Id="rId3033" Type="http://schemas.openxmlformats.org/officeDocument/2006/relationships/hyperlink" Target="https://www.guiarepsol.com/es/soletes/donde-comer-en-alicante-segun-los-chefs/" TargetMode="External"/><Relationship Id="rId4364" Type="http://schemas.openxmlformats.org/officeDocument/2006/relationships/hyperlink" Target="https://www.elconfidencial.com/espana/2024-11-12/soletes-con-solera-guia-repsol-asturias-1qrt-1tna_4002038/" TargetMode="External"/><Relationship Id="rId5" Type="http://schemas.openxmlformats.org/officeDocument/2006/relationships/hyperlink" Target="https://noticiastrabajo.huffingtonpost.es/economia/consumo/este-es-precio-bombona-butano-para-enero-2024/" TargetMode="External"/><Relationship Id="rId3036" Type="http://schemas.openxmlformats.org/officeDocument/2006/relationships/hyperlink" Target="https://cronicaglobal.elespanol.com/gastronomia/20240827/buffet-libre-mas-antiguo-cataluna/881411904_0.html" TargetMode="External"/><Relationship Id="rId4367" Type="http://schemas.openxmlformats.org/officeDocument/2006/relationships/hyperlink" Target="https://sevillasecreta.co/en/soletes-solera-repsol-guide-seville/" TargetMode="External"/><Relationship Id="rId6" Type="http://schemas.openxmlformats.org/officeDocument/2006/relationships/hyperlink" Target="https://www.motosan.es/motogp/cuando-empieza-el-mundial-motogp-2024-calendario-y-fechas-de-cada-carrera/" TargetMode="External"/><Relationship Id="rId3035" Type="http://schemas.openxmlformats.org/officeDocument/2006/relationships/hyperlink" Target="https://www.larazon.es/economia/repsol-coloca-850-millones-euros-emision-bonos-diez-anos-cuya-demanda-triplicado-oferta_2024082766ce0290ddf3680001b00659.html" TargetMode="External"/><Relationship Id="rId4366" Type="http://schemas.openxmlformats.org/officeDocument/2006/relationships/hyperlink" Target="https://viajes.nationalgeographic.com.es/gastronomia/guia-repsol-premia-cocina-antano-331-nuevos-soletes-para-saborear-tradicion_21462" TargetMode="External"/><Relationship Id="rId7" Type="http://schemas.openxmlformats.org/officeDocument/2006/relationships/hyperlink" Target="https://www.rtve.es/play/videos/motociclismo/marc-marquez-saltas-moto-campeona-gresini-ducati/7047881/" TargetMode="External"/><Relationship Id="rId3038" Type="http://schemas.openxmlformats.org/officeDocument/2006/relationships/hyperlink" Target="https://sobremesa.es/art/6275/epilogo-restaurante-tomelloso-cocina-manchega-fluvial-rio-guadiana" TargetMode="External"/><Relationship Id="rId4369" Type="http://schemas.openxmlformats.org/officeDocument/2006/relationships/hyperlink" Target="https://www.ideal.es/economia/mi-hucha/repsol-vende-nuevo-combustible-salvara-duenos-coches-20241112110423-nt.html" TargetMode="External"/><Relationship Id="rId8" Type="http://schemas.openxmlformats.org/officeDocument/2006/relationships/hyperlink" Target="https://www.guiarepsol.com/es/comer/en-el-mercado/caserio-arriatzu-hernani-gipuzkoa/" TargetMode="External"/><Relationship Id="rId3037" Type="http://schemas.openxmlformats.org/officeDocument/2006/relationships/hyperlink" Target="https://www.energias-renovables.com/panorama/las-compaias-energeticas-espaolas-importan-hoy-un-20240827" TargetMode="External"/><Relationship Id="rId4368" Type="http://schemas.openxmlformats.org/officeDocument/2006/relationships/hyperlink" Target="https://capital.es/premios-capital-2024/repsol-premio-capital-a-la-empresa-del-ano/102553/" TargetMode="External"/><Relationship Id="rId3029" Type="http://schemas.openxmlformats.org/officeDocument/2006/relationships/hyperlink" Target="https://www.viaempresa.cat/es/territorio/proyectan-nuevo-parque-eolico-marino-golf-rosas-con-70-aerogeneradores-1050-mw-potencia_2202011_102.html" TargetMode="External"/><Relationship Id="rId3028" Type="http://schemas.openxmlformats.org/officeDocument/2006/relationships/hyperlink" Target="https://www.boxrepsol.com/es/motogp/gp-motorland-motogp-horarios-y-donde-ver/" TargetMode="External"/><Relationship Id="rId4359" Type="http://schemas.openxmlformats.org/officeDocument/2006/relationships/hyperlink" Target="https://www.elespanol.com/quincemil/vivir/gastrocoruna/20241111/locales-provincia-coruna-reconocidos-soletes-solera/900410054_0.html" TargetMode="External"/><Relationship Id="rId4350" Type="http://schemas.openxmlformats.org/officeDocument/2006/relationships/hyperlink" Target="https://elperiodicodelaenergia.com/la-plataforma-para-los-combustibles-renovables-reclama-a-los-grupos-parlamentarios-incentivos-fiscales-para-los-combustibles-renovables/" TargetMode="External"/><Relationship Id="rId3021" Type="http://schemas.openxmlformats.org/officeDocument/2006/relationships/hyperlink" Target="https://www.finanzas.com/ibex-35/goteo-bajista-en-el-ibex-35-tras-la-resaca-de-la-fed-y-el-incremento-de-la-tension-en-oriente-medio.html" TargetMode="External"/><Relationship Id="rId4352" Type="http://schemas.openxmlformats.org/officeDocument/2006/relationships/hyperlink" Target="https://www.diariodemallorca.es/sociedad/2024/11/11/bar-bosch-forn-fondo-celler-111590091.html" TargetMode="External"/><Relationship Id="rId3020" Type="http://schemas.openxmlformats.org/officeDocument/2006/relationships/hyperlink" Target="https://www.xtb.com/es/analisis-de-mercado/por-que-suben-las-acciones-de-repsol" TargetMode="External"/><Relationship Id="rId4351" Type="http://schemas.openxmlformats.org/officeDocument/2006/relationships/hyperlink" Target="https://www.cope.es/emisoras/extremadura/badajoz-provincia/badajoz/cope-badajoz/noticias/abuela-justa-taberna-terron-soletes-solera-guia-repsol-20241111_3043577.html" TargetMode="External"/><Relationship Id="rId3023" Type="http://schemas.openxmlformats.org/officeDocument/2006/relationships/hyperlink" Target="https://www.bolsamania.com/noticias/empresas/repsol-otras-siete-acciones-europeas-claro-potencial-alcista--17294676.html" TargetMode="External"/><Relationship Id="rId4354" Type="http://schemas.openxmlformats.org/officeDocument/2006/relationships/hyperlink" Target="https://www.eleconomista.es/motor/noticias/13079175/11/24/los-modelos-diesel-de-stellantis-son-compatibles-con-el-diesel-ecologico-hvo.html" TargetMode="External"/><Relationship Id="rId3022" Type="http://schemas.openxmlformats.org/officeDocument/2006/relationships/hyperlink" Target="https://www.guiarepsol.com/es/soletes/bares-heladerias-cafeterias-comer-albacete/" TargetMode="External"/><Relationship Id="rId4353" Type="http://schemas.openxmlformats.org/officeDocument/2006/relationships/hyperlink" Target="https://www.zamora24horas.com/local/mapa-zamora-suma-seis-soletes-con-solera-en-nueva-lista-guia-repsol_15132101_102.html" TargetMode="External"/><Relationship Id="rId3025" Type="http://schemas.openxmlformats.org/officeDocument/2006/relationships/hyperlink" Target="https://www.rtve.es/noticias/20240826/trabajar-ia-generativa/16227291.shtml" TargetMode="External"/><Relationship Id="rId4356" Type="http://schemas.openxmlformats.org/officeDocument/2006/relationships/hyperlink" Target="https://madridsecreto.co/soletes-con-solera-madrid/" TargetMode="External"/><Relationship Id="rId3024" Type="http://schemas.openxmlformats.org/officeDocument/2006/relationships/hyperlink" Target="https://elpais.com/espana/catalunya/2024-08-27/repsol-se-suma-a-la-eolica-marina-con-la-propuesta-de-instalar-70-aerogeneradores-en-la-costa-brava.html" TargetMode="External"/><Relationship Id="rId4355" Type="http://schemas.openxmlformats.org/officeDocument/2006/relationships/hyperlink" Target="https://www.boxrepsol.com/es/motogp/horarios-y-donde-ver-el-gp-solidario-barcelona/" TargetMode="External"/><Relationship Id="rId3027" Type="http://schemas.openxmlformats.org/officeDocument/2006/relationships/hyperlink" Target="https://www.elespanol.com/cocinillas/actualidad-gastronomica/restaurante-carretera-a-7-ofrece-buffet-libre-recomendado-guia-repsol-euros/881162238_0.html" TargetMode="External"/><Relationship Id="rId4358" Type="http://schemas.openxmlformats.org/officeDocument/2006/relationships/hyperlink" Target="https://segoviaudaz.es/los-tres-restaurantes-mas-autenticos-de-segovia/" TargetMode="External"/><Relationship Id="rId3026" Type="http://schemas.openxmlformats.org/officeDocument/2006/relationships/hyperlink" Target="https://www.estrategiasdeinversion.com/actualidad/noticias/bolsa-espana/el-ibex-35-arranca-la-semana-a-la-baja-con-acs-n-739795" TargetMode="External"/><Relationship Id="rId4357" Type="http://schemas.openxmlformats.org/officeDocument/2006/relationships/hyperlink" Target="https://www.elnortedecastilla.es/valladolid/establecimientos-valladolid-consiguen-soletes-solera-20241111115719-nt.html" TargetMode="External"/><Relationship Id="rId3050" Type="http://schemas.openxmlformats.org/officeDocument/2006/relationships/hyperlink" Target="https://www.guiarepsol.com/es/comer/nuestros-favoritos/garden-pizza-sant-cugat-barcelona/" TargetMode="External"/><Relationship Id="rId4381" Type="http://schemas.openxmlformats.org/officeDocument/2006/relationships/hyperlink" Target="https://www.directoalpaladar.com/viajes/churros-gildas-pollos-asados-guia-repsol-presenta-su-nueva-coleccion-soletes-solera" TargetMode="External"/><Relationship Id="rId4380" Type="http://schemas.openxmlformats.org/officeDocument/2006/relationships/hyperlink" Target="https://www.diariopalentino.es/noticia/z1c81d505-92b7-9abd-df8c44059e468971/202411/palencia-luce-con-6-soletes-con-solera-de-la-guia-repsol" TargetMode="External"/><Relationship Id="rId3052" Type="http://schemas.openxmlformats.org/officeDocument/2006/relationships/hyperlink" Target="https://www.repsol.com/es/energia-futuro/personas/lenguaje-inclusivo/index.cshtml" TargetMode="External"/><Relationship Id="rId4383" Type="http://schemas.openxmlformats.org/officeDocument/2006/relationships/hyperlink" Target="https://hosteleriaenzamora.com/seis-soletes-con-solera-de-la-guia-repsol-iluminan-el-cielo-gastronomico-de-zamora/" TargetMode="External"/><Relationship Id="rId3051" Type="http://schemas.openxmlformats.org/officeDocument/2006/relationships/hyperlink" Target="https://cronicavasca.elespanol.com/sociedad/20240828/el-restaurante-de-euskadi-pueblo-gipuzkoa-repsol/881161892_0.html" TargetMode="External"/><Relationship Id="rId4382" Type="http://schemas.openxmlformats.org/officeDocument/2006/relationships/hyperlink" Target="https://www.diariodepontevedra.es/articulo/pontevedra/restaurante-pontevedres-regato-pequeno-recibe-solete-solera-es-orgullo/202411121039411328988.html" TargetMode="External"/><Relationship Id="rId3054" Type="http://schemas.openxmlformats.org/officeDocument/2006/relationships/hyperlink" Target="https://cincodias.elpais.com/mercados-financieros/2024-08-29/repsol-ahonda-sus-minimos-anuales-tras-la-rebaja-de-morgan-stanley-de-sobreponderar-a-neutral.html" TargetMode="External"/><Relationship Id="rId4385" Type="http://schemas.openxmlformats.org/officeDocument/2006/relationships/hyperlink" Target="https://cadenaser.com/castillalamancha/2024/11/12/no-podemos-abrir-una-negociacion-porque-lo-que-esta-pidiendo-el-comite-es-ilegal-ser-ciudad-real/" TargetMode="External"/><Relationship Id="rId3053" Type="http://schemas.openxmlformats.org/officeDocument/2006/relationships/hyperlink" Target="https://www.xtb.com/es/analisis-de-mercado/las-acciones-de-repsol-caen-estos-son-los-motivos" TargetMode="External"/><Relationship Id="rId4384" Type="http://schemas.openxmlformats.org/officeDocument/2006/relationships/hyperlink" Target="https://www.elperiodic.com/soletes-guia-repsol-2024-estos-nuevos-restaurantes-valencianos-obtienen-distincion_987981" TargetMode="External"/><Relationship Id="rId3056" Type="http://schemas.openxmlformats.org/officeDocument/2006/relationships/hyperlink" Target="https://cadenaser.com/castillalamancha/2024/08/29/arsenio-salvador-se-despide-como-director-de-repsol-puertollano-en-la-ser-ser-ciudad-real/" TargetMode="External"/><Relationship Id="rId4387" Type="http://schemas.openxmlformats.org/officeDocument/2006/relationships/hyperlink" Target="https://www.lavozdegalicia.es/noticia/amarina/ribadeo/2024/11/12/premio-apuesta-servir-cafe-diferente/0003_202411X12C2991.htm" TargetMode="External"/><Relationship Id="rId3055" Type="http://schemas.openxmlformats.org/officeDocument/2006/relationships/hyperlink" Target="https://www.guiarepsol.com/es/soletes/los-sitios-de-fast-good-favoritos-de-los-chefs/" TargetMode="External"/><Relationship Id="rId4386" Type="http://schemas.openxmlformats.org/officeDocument/2006/relationships/hyperlink" Target="https://metropoliabierta.elespanol.com/gastro/20241112/la-churreria-mas-mitica-de-santa-coloma-reconocida-por-la-guia-repsol-anos-historia/900659991_0.html" TargetMode="External"/><Relationship Id="rId3058" Type="http://schemas.openxmlformats.org/officeDocument/2006/relationships/hyperlink" Target="https://elcierredigital.com/economia/aviso-bbva-para-todos-los-que-tienen-coche-regalo-que-no-podras-dejar-ir" TargetMode="External"/><Relationship Id="rId4389" Type="http://schemas.openxmlformats.org/officeDocument/2006/relationships/hyperlink" Target="http://www.hoyaldia.com/gafiq-gastronomico-de-belalcazar-se-alza-con-un-solete-con-solera-de-la-guia-repsol/" TargetMode="External"/><Relationship Id="rId3057" Type="http://schemas.openxmlformats.org/officeDocument/2006/relationships/hyperlink" Target="https://menorcaaldia.com/2024/08/29/fotos-la-copa-del-rey-repsol-aprovecha-el-viento-justo-para-estrenar-su-vigesima-edicion-en-mao/" TargetMode="External"/><Relationship Id="rId4388" Type="http://schemas.openxmlformats.org/officeDocument/2006/relationships/hyperlink" Target="https://www.elespanol.com/madrid/ocio/20241112/pasteleria-antigua-madrid-triunfa-palmeras-chocolate-solete-repsol/900410421_0.html" TargetMode="External"/><Relationship Id="rId3059" Type="http://schemas.openxmlformats.org/officeDocument/2006/relationships/hyperlink" Target="https://noticiastrabajo.huffingtonpost.es/economia/consumo/el-precio-de-la-gasolina-cambia-y-el-diesel-ya-vende-a-menos-de-1-euros-en-estas-gasolineras/" TargetMode="External"/><Relationship Id="rId4370" Type="http://schemas.openxmlformats.org/officeDocument/2006/relationships/hyperlink" Target="https://cadenaser.com/galicia/2024/11/12/siete-establecimientos-lucenses-brillan-en-la-guia-repsol-radio-lugo/" TargetMode="External"/><Relationship Id="rId3041" Type="http://schemas.openxmlformats.org/officeDocument/2006/relationships/hyperlink" Target="https://www.bonviveur.es/noticias/mejores-restaurantes-murcia" TargetMode="External"/><Relationship Id="rId4372" Type="http://schemas.openxmlformats.org/officeDocument/2006/relationships/hyperlink" Target="https://www.lavozdegalicia.es/noticia/ferrol/ferrol/2024/11/12/oliva-bar-levar-lleva-solete-guia-repsol-cocina-tradicional/0003_202411F12C5_COPY994.htm" TargetMode="External"/><Relationship Id="rId3040" Type="http://schemas.openxmlformats.org/officeDocument/2006/relationships/hyperlink" Target="https://murciaeconomia.com/art/97110/el-centro-de-cualificacion-turistica-ofrece-nuevos-cursos-de-hosteleria" TargetMode="External"/><Relationship Id="rId4371" Type="http://schemas.openxmlformats.org/officeDocument/2006/relationships/hyperlink" Target="https://infoguadiato.com/la-bodega-de-penarroya-pueblonuevo-recibe-el-solete-de-la-guia-repsol-recogido-por-el-veterano-camarero-ricardo/" TargetMode="External"/><Relationship Id="rId3043" Type="http://schemas.openxmlformats.org/officeDocument/2006/relationships/hyperlink" Target="https://cincodias.elpais.com/companias/2024-08-28/repsol-cancela-la-venta-de-su-filial-noruega-cinco-meses-despues-de-lanzarla.html" TargetMode="External"/><Relationship Id="rId4374" Type="http://schemas.openxmlformats.org/officeDocument/2006/relationships/hyperlink" Target="https://www.lavozdelsur.es/actualidad/sociedad/tres-bares-jerez-guia-repsol-premia-con-soletes-por-sus-sabores-siempre_324205_102.html" TargetMode="External"/><Relationship Id="rId3042" Type="http://schemas.openxmlformats.org/officeDocument/2006/relationships/hyperlink" Target="https://www.elespanol.com/madrid/ocio/20240827/chefs-on-fire-festival-gastronomico-llega-madrid-cocineros-estrella-michelin-mucha-brasa/879412454_0.html" TargetMode="External"/><Relationship Id="rId4373" Type="http://schemas.openxmlformats.org/officeDocument/2006/relationships/hyperlink" Target="https://www.noticiasdealava.eus/gastronomia/2024/11/12/alava-8919665.html" TargetMode="External"/><Relationship Id="rId3045" Type="http://schemas.openxmlformats.org/officeDocument/2006/relationships/hyperlink" Target="https://info-veritas.com/desinformacion-repsol-no-ipad-encuesta/" TargetMode="External"/><Relationship Id="rId4376" Type="http://schemas.openxmlformats.org/officeDocument/2006/relationships/hyperlink" Target="https://www.diariovasco.com/gastronomia/soletes-guia-repsol-gipuzkoa-20241111131622-nt.html" TargetMode="External"/><Relationship Id="rId3044" Type="http://schemas.openxmlformats.org/officeDocument/2006/relationships/hyperlink" Target="https://www.nytimes.com/es/2024/08/28/espanol/negocios/combustible-de-basura.html" TargetMode="External"/><Relationship Id="rId4375" Type="http://schemas.openxmlformats.org/officeDocument/2006/relationships/hyperlink" Target="https://www.abc.es/espana/andalucia/cordoba/noche-soletes-repsol-alumbrar-firmamento-gastronomico-cordoba-20241112061956-nts.html" TargetMode="External"/><Relationship Id="rId3047" Type="http://schemas.openxmlformats.org/officeDocument/2006/relationships/hyperlink" Target="https://www.20minutos.es/lainformacion/empresas/repsol-cancela-venta-filial-noruega-fin-operacion-900-millones-5628526/" TargetMode="External"/><Relationship Id="rId4378" Type="http://schemas.openxmlformats.org/officeDocument/2006/relationships/hyperlink" Target="https://sevillasecreta.co/soletes-solera-guia-repsol-sevilla/" TargetMode="External"/><Relationship Id="rId3046" Type="http://schemas.openxmlformats.org/officeDocument/2006/relationships/hyperlink" Target="https://www.eleconomista.es/energia/noticias/12963719/08/24/repsol-da-marcha-atras-en-la-venta-de-su-negocio-en-noruega-valorado-en-1000-millones.html" TargetMode="External"/><Relationship Id="rId4377" Type="http://schemas.openxmlformats.org/officeDocument/2006/relationships/hyperlink" Target="https://www.lavozdegalicia.es/noticia/amarina/2024/11/11/casa-candida-7-platos-menu-dia-solete-repsol/00031731356144241630335.htm" TargetMode="External"/><Relationship Id="rId3049" Type="http://schemas.openxmlformats.org/officeDocument/2006/relationships/hyperlink" Target="https://www.repsol.com/es/energia-futuro/tecnologia-innovacion/innovacion-y-desarrollo/index.cshtml" TargetMode="External"/><Relationship Id="rId3048" Type="http://schemas.openxmlformats.org/officeDocument/2006/relationships/hyperlink" Target="https://www.bolsamania.com/noticias/empresas/repsol-cancela-la-venta-de-sus-operaciones-en-noruega-y-se-centra-en-otros-activos--17354734.html" TargetMode="External"/><Relationship Id="rId4379" Type="http://schemas.openxmlformats.org/officeDocument/2006/relationships/hyperlink" Target="https://www.abc.es/espana/andalucia/cordoba/concesion-soletes-repsol-cordoba-imagenes-20241112061809-gas.html" TargetMode="External"/><Relationship Id="rId3911" Type="http://schemas.openxmlformats.org/officeDocument/2006/relationships/hyperlink" Target="https://www.capitalmadrid.com/2024/10/23/68290/el-gobierno-enfila-a-repsol-por-suspender-las-inversiones-en-espana-por-el-impuestazo.html" TargetMode="External"/><Relationship Id="rId3910" Type="http://schemas.openxmlformats.org/officeDocument/2006/relationships/hyperlink" Target="https://www.elsaltodiario.com/electricas/repsol-presiona-junts-1100-millones-euros-deje-caer-impuesto-energeticas" TargetMode="External"/><Relationship Id="rId3913" Type="http://schemas.openxmlformats.org/officeDocument/2006/relationships/hyperlink" Target="https://www.diaridetarragona.com/economia/la-ue-financia-un-almacen-de-co2-de-repsol-frente-a-la-costa-de-tarragona-GB21578592" TargetMode="External"/><Relationship Id="rId3912" Type="http://schemas.openxmlformats.org/officeDocument/2006/relationships/hyperlink" Target="https://elpais.com/economia/2024-10-24/la-inversion-de-1100-millones-de-repsol-que-mantiene-en-vilo-a-tarragona-y-podria-irse-a-portugal.html" TargetMode="External"/><Relationship Id="rId3915" Type="http://schemas.openxmlformats.org/officeDocument/2006/relationships/hyperlink" Target="https://www.diariodelanzarote.com/noticia/el-bar-tin-tan-renueva-el-solete-de-la-gu%C3%ADa-repsol" TargetMode="External"/><Relationship Id="rId3914" Type="http://schemas.openxmlformats.org/officeDocument/2006/relationships/hyperlink" Target="https://www.libremercado.com/2024-10-23/duro-mensaje-de-imaz-repsol-a-psoe-y-yolanda-diaz-mientras-pnv-y-junts-atacan-el-impuestazo-7177233/" TargetMode="External"/><Relationship Id="rId3917" Type="http://schemas.openxmlformats.org/officeDocument/2006/relationships/hyperlink" Target="https://www.eldiariomontanes.es/cantabria/repsol-cuenta-certificado-ministerio-ampliacion-central-aguayo-20241023071455-nt.html" TargetMode="External"/><Relationship Id="rId3916" Type="http://schemas.openxmlformats.org/officeDocument/2006/relationships/hyperlink" Target="https://elperiodicodelaenergia.com/erc-defiende-el-impuesto-energetico-a-repsol-porque-emite-el-62-del-co2-en-el-ibex-35/" TargetMode="External"/><Relationship Id="rId3919" Type="http://schemas.openxmlformats.org/officeDocument/2006/relationships/hyperlink" Target="https://cadenaser.com/castillalamancha/2024/10/23/guerra-sindical-sin-cuartel-por-la-huelga-de-repsol-lubricantes-y-asfaltos-puertollano-ser-ciudad-real/" TargetMode="External"/><Relationship Id="rId3918" Type="http://schemas.openxmlformats.org/officeDocument/2006/relationships/hyperlink" Target="https://gaceta.es/economia/repsol-advierte-a-sanchez-que-el-impuesto-sobre-los-beneficios-de-las-energeticas-desviara-miles-de-millones-a-otros-paises-20241023-1019/" TargetMode="External"/><Relationship Id="rId3900" Type="http://schemas.openxmlformats.org/officeDocument/2006/relationships/hyperlink" Target="https://www.elespanol.com/madrid/ocio/20241022/puesto-alta-cocina-dentro-mitico-mercado-madrid-caviar-ostras-sumiller/895160893_0.html" TargetMode="External"/><Relationship Id="rId3902" Type="http://schemas.openxmlformats.org/officeDocument/2006/relationships/hyperlink" Target="https://www.elespanol.com/cocinillas/restaurantes/20241022/mejor-restaurante-castellon-comer-buen-arroz-sin-dejarte-dineral-recomendado-guia-repsol/894161017_0.html" TargetMode="External"/><Relationship Id="rId3901" Type="http://schemas.openxmlformats.org/officeDocument/2006/relationships/hyperlink" Target="https://motociclismo.pt/es/honda-proxima-a-un-acuerdo-con-castrol-para-sustituir-a-repsol-como-patrocinador-principal-en-2025/" TargetMode="External"/><Relationship Id="rId3904" Type="http://schemas.openxmlformats.org/officeDocument/2006/relationships/hyperlink" Target="https://cronicaglobal.elespanol.com/business/20241022/el-liberal-junts-aprieta-impuestazo-gobierno-energeticas/895160577_0.html" TargetMode="External"/><Relationship Id="rId3903" Type="http://schemas.openxmlformats.org/officeDocument/2006/relationships/hyperlink" Target="https://www.boxrepsol.com/es/cultura-motera/que-es-el-efecto-giroscopico/" TargetMode="External"/><Relationship Id="rId3906" Type="http://schemas.openxmlformats.org/officeDocument/2006/relationships/hyperlink" Target="https://climatica.coop/repsol-presiona-impuesto-extraordinario-energeticas/" TargetMode="External"/><Relationship Id="rId3905" Type="http://schemas.openxmlformats.org/officeDocument/2006/relationships/hyperlink" Target="https://gestion.pe/economia/empresas/la-pampilla-invertira-en-tecnologia-electrica-en-2025-sus-estrategias-en-uso-de-renovables-repsol-empresas-peru-electrolinera-infraestructura-noticia/" TargetMode="External"/><Relationship Id="rId3908" Type="http://schemas.openxmlformats.org/officeDocument/2006/relationships/hyperlink" Target="https://www.europapress.es/cantabria/noticia-repsol-obtiene-documento-le-permite-optar-ayudas-europeas-ampliacion-central-aguayo-20241023135020.html" TargetMode="External"/><Relationship Id="rId3907" Type="http://schemas.openxmlformats.org/officeDocument/2006/relationships/hyperlink" Target="https://www.puertollano.es/repsol-activara-este-miercoles-sus-alarmas-durante-el-simulacro-de-emergencia-en-el-complejo-industrial/" TargetMode="External"/><Relationship Id="rId3909" Type="http://schemas.openxmlformats.org/officeDocument/2006/relationships/hyperlink" Target="https://confilegal.com/20241023-josu-jon-imaz-consejero-delegado-de-repsol-el-area-juridica-es-parte-integral-de-nuestra-estrategia/" TargetMode="External"/><Relationship Id="rId3931" Type="http://schemas.openxmlformats.org/officeDocument/2006/relationships/hyperlink" Target="https://www.diaridetarragona.com/economia/erc-ve-compatible-defender-el-impuestazo-y-exigir-inversiones-a-las-multinacionales-en-tarragona-NA21564999" TargetMode="External"/><Relationship Id="rId2600" Type="http://schemas.openxmlformats.org/officeDocument/2006/relationships/hyperlink" Target="https://www.expansion.com/mercados/2024/07/16/6696123a4bcbe700259f6281-directo.html" TargetMode="External"/><Relationship Id="rId3930" Type="http://schemas.openxmlformats.org/officeDocument/2006/relationships/hyperlink" Target="https://elperiodicodelaenergia.com/las-energeticas-aguardan-entre-criticas-y-cautela-a-que-el-gobierno-decida-sobre-el-impuesto/" TargetMode="External"/><Relationship Id="rId2601" Type="http://schemas.openxmlformats.org/officeDocument/2006/relationships/hyperlink" Target="https://casamonedasegovia.es/2024/07/16/el-fin-de-una-era-las-gasolineras-low-cost-amenazan-el-reinado-de-repsol-y-compania/" TargetMode="External"/><Relationship Id="rId3933" Type="http://schemas.openxmlformats.org/officeDocument/2006/relationships/hyperlink" Target="https://cronicaglobal.elespanol.com/politica/20241023/el-las-energeticas-junts-no-en-cataluna/895660466_0.html" TargetMode="External"/><Relationship Id="rId2602" Type="http://schemas.openxmlformats.org/officeDocument/2006/relationships/hyperlink" Target="https://www.elperiodico.com/es/economia/economia-nacional/20240716/ibex-35-hoy-bolsa-martes-16-julio-2024-105701863" TargetMode="External"/><Relationship Id="rId3932" Type="http://schemas.openxmlformats.org/officeDocument/2006/relationships/hyperlink" Target="https://www.expansion.com/empresas/energia/2024/10/23/67180d5ee5fdea435e8b457a.html" TargetMode="External"/><Relationship Id="rId2603" Type="http://schemas.openxmlformats.org/officeDocument/2006/relationships/hyperlink" Target="https://www.repsol.es/particulares/asesoramiento-consumo/mejores-aspiradoras/" TargetMode="External"/><Relationship Id="rId3935" Type="http://schemas.openxmlformats.org/officeDocument/2006/relationships/hyperlink" Target="https://www.larazon.es/economia/gobierno-complica-intencion-hacer-permanente-impuesto-energeticas_202410236718c777afcb530001c00aa6.html" TargetMode="External"/><Relationship Id="rId2604" Type="http://schemas.openxmlformats.org/officeDocument/2006/relationships/hyperlink" Target="https://www.20minutos.es/gastronomia/restaurantes/bar-preferido-angel-leon-desayunar-puerto-de-santa-maria-5528770/" TargetMode="External"/><Relationship Id="rId3934" Type="http://schemas.openxmlformats.org/officeDocument/2006/relationships/hyperlink" Target="https://www.elespanol.com/invertia/empresas/energia/20241023/galan-iberdrola-respecto-impuestazo-energetico-apetito-inversor-paises/895660501_0.html" TargetMode="External"/><Relationship Id="rId2605" Type="http://schemas.openxmlformats.org/officeDocument/2006/relationships/hyperlink" Target="https://www.atlanticohoy.com/sociedad/mejor-bar-canarias-comer-churros-pescado-comida-casera_1533852_102.html" TargetMode="External"/><Relationship Id="rId3937" Type="http://schemas.openxmlformats.org/officeDocument/2006/relationships/hyperlink" Target="https://www.elperiodico.com/es/economia/20241024/impuesto-energeticas-petroleras-repsol-cepsa-galp-bp-condicionan-16000-millones-inversiones-espana-110299113" TargetMode="External"/><Relationship Id="rId2606" Type="http://schemas.openxmlformats.org/officeDocument/2006/relationships/hyperlink" Target="https://www.heraldo.es/noticias/gastronomia/2024/07/15/heladeria-il-carrettino-barrio-fuentes-zaragoza-1748993.html" TargetMode="External"/><Relationship Id="rId3936" Type="http://schemas.openxmlformats.org/officeDocument/2006/relationships/hyperlink" Target="https://elcomercio.pe/deporte-total/futbol-peruano/cuando-y-donde-inscribirse-en-el-semillero-de-futbol-femenino-de-el-comercio-noticia/" TargetMode="External"/><Relationship Id="rId808" Type="http://schemas.openxmlformats.org/officeDocument/2006/relationships/hyperlink" Target="https://www.heraldo.es/noticias/gastronomia/2024/03/04/sol-repsol-restaurantes-zaragoza-2024-1713075.html" TargetMode="External"/><Relationship Id="rId2607" Type="http://schemas.openxmlformats.org/officeDocument/2006/relationships/hyperlink" Target="https://www.guiarepsol.com/es/soletes/donde-comer-ibiza-segun-chefs-oscar-molina-y-jose-miguel-bonet/" TargetMode="External"/><Relationship Id="rId3939" Type="http://schemas.openxmlformats.org/officeDocument/2006/relationships/hyperlink" Target="https://www.ideal.es/economia/mi-hucha/repsol-desvela-dos-tipo-diesel-gasolineras-20241024113924-nt.html" TargetMode="External"/><Relationship Id="rId807" Type="http://schemas.openxmlformats.org/officeDocument/2006/relationships/hyperlink" Target="https://www.heraldo.es/noticias/gastronomia/2024/03/04/sol-repsol-restaurantes-huesca-2024-1712519.html" TargetMode="External"/><Relationship Id="rId2608" Type="http://schemas.openxmlformats.org/officeDocument/2006/relationships/hyperlink" Target="https://elperiodicodelaenergia.com/numero-gasolineras-espana-bate-nuevo-record-12-346-2023-impulso-low-cost/" TargetMode="External"/><Relationship Id="rId3938" Type="http://schemas.openxmlformats.org/officeDocument/2006/relationships/hyperlink" Target="https://simplywall.st/es/stocks/es/energy/bme-rep/repsol-shares/news/el-negocio-y-las-acciones-de-repsol-sa-bmerep-siguen-por-det" TargetMode="External"/><Relationship Id="rId806" Type="http://schemas.openxmlformats.org/officeDocument/2006/relationships/hyperlink" Target="https://www.guiarepsol.com/es/soles-repsol/soles-2024/nuevos-soles-guia-repsol-2024-cartagena/" TargetMode="External"/><Relationship Id="rId2609" Type="http://schemas.openxmlformats.org/officeDocument/2006/relationships/hyperlink" Target="https://www.guiarepsol.com/es/viajar/con-mi-mascota/ruta-con-perros-por-acantilados-entre-getxo-plentzia-bizkaia/" TargetMode="External"/><Relationship Id="rId805" Type="http://schemas.openxmlformats.org/officeDocument/2006/relationships/hyperlink" Target="https://www.infobae.com/espana/2024/03/04/nuevos-soles-de-la-guia-repsol-2024-la-lista-de-los-mejores-restaurantes-de-espana/" TargetMode="External"/><Relationship Id="rId809" Type="http://schemas.openxmlformats.org/officeDocument/2006/relationships/hyperlink" Target="https://www.ondacero.es/noticias/gastronomia/soles-guia-repsol-2024-listado-completo-nuevos-restaurantes-premiados_2024030465e4777229d81400016e3dc9.html" TargetMode="External"/><Relationship Id="rId800" Type="http://schemas.openxmlformats.org/officeDocument/2006/relationships/hyperlink" Target="https://www.heraldo.es/noticias/gastronomia/2024/03/04/nuevos-soles-repsol-aragon-restaurantes-2024-1716225.html" TargetMode="External"/><Relationship Id="rId804" Type="http://schemas.openxmlformats.org/officeDocument/2006/relationships/hyperlink" Target="https://www.hoy.es/ensalsa/actualidad/borona-bistro-sol-repsol-20240304200052-nt.html" TargetMode="External"/><Relationship Id="rId803" Type="http://schemas.openxmlformats.org/officeDocument/2006/relationships/hyperlink" Target="https://www.elindependiente.com/economia/2024/03/04/repsol-se-adjudica-la-instalacion-de-1-000-puntos-de-recarga-de-coche-electrico-en-estaciones-de-tren/" TargetMode="External"/><Relationship Id="rId802" Type="http://schemas.openxmlformats.org/officeDocument/2006/relationships/hyperlink" Target="https://www.elcorreo.com/jantour/restaurantes-soles-repsol-euskadi-20240304200135-nt.html" TargetMode="External"/><Relationship Id="rId801" Type="http://schemas.openxmlformats.org/officeDocument/2006/relationships/hyperlink" Target="https://gourmet.ideal.es/actualidad/restaurantes-maria-finca-nuevos-soles-repsol-granada-20240304200026-nt.html" TargetMode="External"/><Relationship Id="rId3920" Type="http://schemas.openxmlformats.org/officeDocument/2006/relationships/hyperlink" Target="https://www.elperiodico.com/es/tarragona/20241023/repsol-frenara-3-000-millones-110167364" TargetMode="External"/><Relationship Id="rId3922" Type="http://schemas.openxmlformats.org/officeDocument/2006/relationships/hyperlink" Target="https://www.elconfidencial.com/empresas/2024-10-23/repsol-conflictos-gobierno_3988408/" TargetMode="External"/><Relationship Id="rId3921" Type="http://schemas.openxmlformats.org/officeDocument/2006/relationships/hyperlink" Target="https://www.ecoticias.com/sostenibilidad/contaminante-repsol-subvenciones-recibidas-deslocaliza-inversiones" TargetMode="External"/><Relationship Id="rId3924" Type="http://schemas.openxmlformats.org/officeDocument/2006/relationships/hyperlink" Target="https://elperiodicodelaenergia.com/el-miteco-certifica-la-madurez-del-proyecto-para-la-ampliacion-de-la-central-hidroelectrica-de-aguayo/" TargetMode="External"/><Relationship Id="rId3923" Type="http://schemas.openxmlformats.org/officeDocument/2006/relationships/hyperlink" Target="https://www.bolsamania.com/noticias/analisis-tecnico/consultorio-de-analisis-tecnico-repsol-ohla-ence-fluidra-amadeus-ferrovial-acs--17743346.html" TargetMode="External"/><Relationship Id="rId3926" Type="http://schemas.openxmlformats.org/officeDocument/2006/relationships/hyperlink" Target="https://www.heraldo.es/noticias/gastronomia/2024/10/23/veintiuno-coffee-nueva-cafeteria-zaragoza-solete-repsol-1771830.html" TargetMode="External"/><Relationship Id="rId3925" Type="http://schemas.openxmlformats.org/officeDocument/2006/relationships/hyperlink" Target="https://www.20minutos.es/lainformacion/economia-y-finanzas/cuerpo-llama-tranquilidad-pide-repsol-deje-especular-impuesto-energeticas-5647108/" TargetMode="External"/><Relationship Id="rId3928" Type="http://schemas.openxmlformats.org/officeDocument/2006/relationships/hyperlink" Target="https://cincodias.elpais.com/companias/2024-10-24/el-pulso-del-pnv-por-el-impuesto-a-la-banca-y-las-energeticas-abre-la-veda-al-dumping-fiscal.html" TargetMode="External"/><Relationship Id="rId3927" Type="http://schemas.openxmlformats.org/officeDocument/2006/relationships/hyperlink" Target="https://www.economiadigital.es/galicia/empresas/ayudas-co2-galicia-empresas.html" TargetMode="External"/><Relationship Id="rId3929" Type="http://schemas.openxmlformats.org/officeDocument/2006/relationships/hyperlink" Target="https://www.diaridetarragona.com/economia/el-str-inicia-consultas-con-los-partidos-politicos-para-defender-la-inversion-de-repsol-en-tarragona-MB21573359" TargetMode="External"/><Relationship Id="rId1334" Type="http://schemas.openxmlformats.org/officeDocument/2006/relationships/hyperlink" Target="https://www.universia.net/es/actualidad/empleo/preguntas-esenciales-en-una-entrevista-de-trabajo-para-ingenieros.html" TargetMode="External"/><Relationship Id="rId2665" Type="http://schemas.openxmlformats.org/officeDocument/2006/relationships/hyperlink" Target="https://elperiodicodelaenergia.com/antonio-picazo-gana-energia/" TargetMode="External"/><Relationship Id="rId3997" Type="http://schemas.openxmlformats.org/officeDocument/2006/relationships/hyperlink" Target="https://www.publico.es/opinion/columnas/populismo-justicia-social.html" TargetMode="External"/><Relationship Id="rId1335" Type="http://schemas.openxmlformats.org/officeDocument/2006/relationships/hyperlink" Target="https://www.20minutos.es/lainformacion/economia-y-finanzas/repsol-recibe-luz-verde-su-megaproyecto-combustibles-sinteticos-bilbao-5267327/" TargetMode="External"/><Relationship Id="rId2666" Type="http://schemas.openxmlformats.org/officeDocument/2006/relationships/hyperlink" Target="https://elcierredigital.com/economia/aldi-obligado-rectificar-pide-perdon-clientes-ocurrido" TargetMode="External"/><Relationship Id="rId3996" Type="http://schemas.openxmlformats.org/officeDocument/2006/relationships/hyperlink" Target="https://www.expansion.com/empresas/energia/2024/10/27/671ea9f5e5fdeabc778b4574.html" TargetMode="External"/><Relationship Id="rId1336" Type="http://schemas.openxmlformats.org/officeDocument/2006/relationships/hyperlink" Target="https://www.elespanol.com/motor/20240328/repsol-afirma-punto-carga-coche-electrico-tarda-dias-activado/842916080_0.html" TargetMode="External"/><Relationship Id="rId2667" Type="http://schemas.openxmlformats.org/officeDocument/2006/relationships/hyperlink" Target="https://murciaplaza.com/murciaplaza/chuaib-la-historia-del-joven-que-llego-solo-a-nado-con-13-anos-y-persigueuna-estrella-michelin-en-murcia" TargetMode="External"/><Relationship Id="rId3999" Type="http://schemas.openxmlformats.org/officeDocument/2006/relationships/hyperlink" Target="https://www.elespanol.com/malaga/vivir/gastronomia/20241027/pueblo-pesquero-almeria-mejor-come-cocina-recomendada-guia-repsol/896160899_0.html" TargetMode="External"/><Relationship Id="rId1337" Type="http://schemas.openxmlformats.org/officeDocument/2006/relationships/hyperlink" Target="https://emprendedores.es/gestion/ley-atencion-cliente/" TargetMode="External"/><Relationship Id="rId2668" Type="http://schemas.openxmlformats.org/officeDocument/2006/relationships/hyperlink" Target="https://www.diariodejerez.es/que-hacer/23-mejores-restaurantes-bares-cafeterias_0_2001834150.html" TargetMode="External"/><Relationship Id="rId3998" Type="http://schemas.openxmlformats.org/officeDocument/2006/relationships/hyperlink" Target="https://www.elmundo.es/economia/empresas/2024/10/27/671e2e2ce4d4d8af668b4575.html" TargetMode="External"/><Relationship Id="rId1338" Type="http://schemas.openxmlformats.org/officeDocument/2006/relationships/hyperlink" Target="https://www.elle.com/es/gourmet/gastronomia/g60184126/mejores-restaurantes-toledo/" TargetMode="External"/><Relationship Id="rId2669" Type="http://schemas.openxmlformats.org/officeDocument/2006/relationships/hyperlink" Target="https://elperiodicodelaenergia.com/nuevo-modelo-mejora-prediccion-aerodinamica-palas-aerogeneradores/" TargetMode="External"/><Relationship Id="rId1339" Type="http://schemas.openxmlformats.org/officeDocument/2006/relationships/hyperlink" Target="https://okdiario.com/economia/precio-luz-va-cero-confirma-burbuja-renovables-fomentada-gobierno-12595274" TargetMode="External"/><Relationship Id="rId745" Type="http://schemas.openxmlformats.org/officeDocument/2006/relationships/hyperlink" Target="https://www.cartagena.es/detalle_noticias.asp?id=76953" TargetMode="External"/><Relationship Id="rId744" Type="http://schemas.openxmlformats.org/officeDocument/2006/relationships/hyperlink" Target="https://www.repsol.com/es/sala-prensa/notas-prensa/2024/repsol-y-vueling-se-unen-en-un-vuelo-de-pelicula-con-el-festival/index.cshtml" TargetMode="External"/><Relationship Id="rId743" Type="http://schemas.openxmlformats.org/officeDocument/2006/relationships/hyperlink" Target="https://ultimasnoticias.com.ve/economia/pdvsa-y-repsol-impulsan-cooperacion-energetica/" TargetMode="External"/><Relationship Id="rId742" Type="http://schemas.openxmlformats.org/officeDocument/2006/relationships/hyperlink" Target="https://www.guiarepsol.com/es/viajar/vamos-de-excursion/escenarios-serie-reina-roja-prime-video/" TargetMode="External"/><Relationship Id="rId749" Type="http://schemas.openxmlformats.org/officeDocument/2006/relationships/hyperlink" Target="https://www.expansion.com/empresas/motor/2024/02/29/65e06c5ce5fdea94518b457f.html" TargetMode="External"/><Relationship Id="rId748" Type="http://schemas.openxmlformats.org/officeDocument/2006/relationships/hyperlink" Target="https://www.economiadigital.es/economia/repsol-y-vueling-aterrizan-en-el-festival-de-malaga-con-un-50-de-saf.html" TargetMode="External"/><Relationship Id="rId747" Type="http://schemas.openxmlformats.org/officeDocument/2006/relationships/hyperlink" Target="https://www.guiarepsol.com/es/comer/nuestros-favoritos/restaurante-il-bocconcino-tenerife/" TargetMode="External"/><Relationship Id="rId746" Type="http://schemas.openxmlformats.org/officeDocument/2006/relationships/hyperlink" Target="https://www.interempresas.net/Estaciones-servicio/Articulos/542864-Repsol-y-Vueling-llevan-el-combustible-sostenible-al-Festival-de-Malaga.html" TargetMode="External"/><Relationship Id="rId3991" Type="http://schemas.openxmlformats.org/officeDocument/2006/relationships/hyperlink" Target="https://elcomercio.pe/deporte-total/futbol-peruano/leonas-del-sur-vs-club-balon-rosa-en-vivo-transmision-del-partido-por-semillero-repsol-futbol-femenino-noticia/" TargetMode="External"/><Relationship Id="rId2660" Type="http://schemas.openxmlformats.org/officeDocument/2006/relationships/hyperlink" Target="https://elgeneracionalpost.com/cultura/2024/0720/158704/mis-tias-asi-es-el-nuevo-single-de-juanjo-bona.html" TargetMode="External"/><Relationship Id="rId3990" Type="http://schemas.openxmlformats.org/officeDocument/2006/relationships/hyperlink" Target="https://www.boxrepsol.com/es/motogp/resultados-de-la-clasificacion-del-gp-de-tailandia-de-motogp-2024/" TargetMode="External"/><Relationship Id="rId741" Type="http://schemas.openxmlformats.org/officeDocument/2006/relationships/hyperlink" Target="https://www.huelvainformacion.es/destino-huelva/restaurante-Antilla-recomienda-Guia-Repsol_0_1879613223.html" TargetMode="External"/><Relationship Id="rId1330" Type="http://schemas.openxmlformats.org/officeDocument/2006/relationships/hyperlink" Target="https://cadenaser.com/rioja/2024/03/27/casalarreina-gastronomia-patrimonio-naturaleza-y-buena-gente-radio-rioja/" TargetMode="External"/><Relationship Id="rId2661" Type="http://schemas.openxmlformats.org/officeDocument/2006/relationships/hyperlink" Target="https://www.epe.es/es/la-vida-contigo/20240720/estacion-canfranc-hotel-museo-orsay-refugio-nazi-105800889" TargetMode="External"/><Relationship Id="rId3993" Type="http://schemas.openxmlformats.org/officeDocument/2006/relationships/hyperlink" Target="https://www.libremercado.com/2024-10-27/domingo-soriano-repsol-hace-muy-bien-llevandose-sus-inversiones-a-portugal-7179087/" TargetMode="External"/><Relationship Id="rId740" Type="http://schemas.openxmlformats.org/officeDocument/2006/relationships/hyperlink" Target="https://www.eldiario.es/murcia/cultura/cartagena-convertira-semana-capital-gastronomia-gala-soles-guia-repsol_1_10965649.html" TargetMode="External"/><Relationship Id="rId1331" Type="http://schemas.openxmlformats.org/officeDocument/2006/relationships/hyperlink" Target="https://www.infobae.com/espana/2024/03/27/unos-influencers-escriben-a-un-restaurante-para-cenar-gratis-en-su-proyecto-recorrer-espana-sin-gastar-ni-un-euro-y-el-chef-les-dice-que-se-pongan-a-trabajar/" TargetMode="External"/><Relationship Id="rId2662" Type="http://schemas.openxmlformats.org/officeDocument/2006/relationships/hyperlink" Target="https://www.20minutos.es/gastronomia/restaurantes/restaurante-exclusivo-madrid-aperitivo-35-euros-5531537/" TargetMode="External"/><Relationship Id="rId3992" Type="http://schemas.openxmlformats.org/officeDocument/2006/relationships/hyperlink" Target="https://elcomercio.pe/deporte-total/futbol-peruano/semillero-repsol-futbol-femenino-juan-aurelio-arevalo-miro-quesada-hemos-tratado-de-hacer-en-este-ultimo-tiempo-es-retomar-programas-emblematicos-para-el-comercio-noticia/" TargetMode="External"/><Relationship Id="rId1332" Type="http://schemas.openxmlformats.org/officeDocument/2006/relationships/hyperlink" Target="https://elpais.com/gastronomia/2024-03-27/comida-y-fotografia-una-armonia-posible.html" TargetMode="External"/><Relationship Id="rId2663" Type="http://schemas.openxmlformats.org/officeDocument/2006/relationships/hyperlink" Target="https://castellondiario.com/repsol-lleva-la-multienergia-al-fib-2024/" TargetMode="External"/><Relationship Id="rId3995" Type="http://schemas.openxmlformats.org/officeDocument/2006/relationships/hyperlink" Target="https://okdiario.com/economia/naturgy-repsol-ni-contigo-ni-sin-ti-tienen-mis-penas-remedio-13700737" TargetMode="External"/><Relationship Id="rId1333" Type="http://schemas.openxmlformats.org/officeDocument/2006/relationships/hyperlink" Target="https://www.hispanidad.com/economia/cierre-mercado/mapfre-doce-anos-despues-triste-gestion-antonio-huertas-accion-vale-mismo_12049842_102.html" TargetMode="External"/><Relationship Id="rId2664" Type="http://schemas.openxmlformats.org/officeDocument/2006/relationships/hyperlink" Target="https://www.economiadigital.es/empresas/iberdrola-endesa-repsol-avivan-guerra-cargadores-electricos-burocracia-infinita.html" TargetMode="External"/><Relationship Id="rId3994" Type="http://schemas.openxmlformats.org/officeDocument/2006/relationships/hyperlink" Target="https://www.eldiario.es/economia/brufau-celebra-20-anos-presidencia-repsol-impuesto-energeticas-aire_1_11765505.html" TargetMode="External"/><Relationship Id="rId1323" Type="http://schemas.openxmlformats.org/officeDocument/2006/relationships/hyperlink" Target="https://elperiodicodelaenergia.com/las-companias-electricas-que-mas-energia-vendieron-en-2023-y-superaron-el-teravatio/" TargetMode="External"/><Relationship Id="rId2654" Type="http://schemas.openxmlformats.org/officeDocument/2006/relationships/hyperlink" Target="https://www.eldebate.com/espana/comunidad-valenciana/20240720/chef-castellon-galardonado-sol-repsol-convertira-viejo-almacen-pesquero-restaurante_210364.html" TargetMode="External"/><Relationship Id="rId3986" Type="http://schemas.openxmlformats.org/officeDocument/2006/relationships/hyperlink" Target="https://www.eldiadevalladolid.com/noticia/z79c8c768-a36b-ed34-b35bbddc269d3baf/202410/una-bodega-de-toda-la-vida-con-solete-repsol" TargetMode="External"/><Relationship Id="rId1324" Type="http://schemas.openxmlformats.org/officeDocument/2006/relationships/hyperlink" Target="https://www.guiarepsol.com/es/dormir/en-la-gloria/hotel-casa-palacio-don-ramon-sevilla/" TargetMode="External"/><Relationship Id="rId2655" Type="http://schemas.openxmlformats.org/officeDocument/2006/relationships/hyperlink" Target="https://www.elespanol.com/sevilla/vivir/20240720/puerto-rota-pueblo-cadiz-venta-centenaria-recomienda-guia-repsol/869663240_0.html" TargetMode="External"/><Relationship Id="rId3985" Type="http://schemas.openxmlformats.org/officeDocument/2006/relationships/hyperlink" Target="https://www.elespanol.com/invertia/empresas/energia/20241026/iberdrola-cox-repsol-apuestan-mercado-almacenamiento-energia-crecera/896410394_0.html" TargetMode="External"/><Relationship Id="rId1325" Type="http://schemas.openxmlformats.org/officeDocument/2006/relationships/hyperlink" Target="https://energiaestrategica.es/repsol-y-bunge-se-alian-para-impulsar-el-suministro-de-combustibles-renovables/" TargetMode="External"/><Relationship Id="rId2656" Type="http://schemas.openxmlformats.org/officeDocument/2006/relationships/hyperlink" Target="https://www.epe.es/es/activos/20240720/inteligencia-artificial-gestion-talento-entornos-bani-vuca-105795939" TargetMode="External"/><Relationship Id="rId3988" Type="http://schemas.openxmlformats.org/officeDocument/2006/relationships/hyperlink" Target="https://elcomercio.pe/deporte-total/futbol-peruano/semillero-repsol-futbol-femenino-se-inauguro-el-torneo-que-impulsa-la-cultura-deportiva-entre-ninas-y-adolescentes-noticia/" TargetMode="External"/><Relationship Id="rId1326" Type="http://schemas.openxmlformats.org/officeDocument/2006/relationships/hyperlink" Target="https://www.laopiniondemalaga.es/malaga/2024/03/27/asomo-civilizacion-terrenos-repsol-99943466.html" TargetMode="External"/><Relationship Id="rId2657" Type="http://schemas.openxmlformats.org/officeDocument/2006/relationships/hyperlink" Target="https://www.expansion.com/mercados/2024/07/20/669aa5e9e5fdea313c8b4590.html" TargetMode="External"/><Relationship Id="rId3987" Type="http://schemas.openxmlformats.org/officeDocument/2006/relationships/hyperlink" Target="https://www.boxrepsol.com/es/trial/resultados-y-resumen-del-x-trial-de-tallinn-2024/" TargetMode="External"/><Relationship Id="rId1327" Type="http://schemas.openxmlformats.org/officeDocument/2006/relationships/hyperlink" Target="https://www.merca2.es/2024/03/27/repsol-top-ten-marca-petroleo-gas-1621730/" TargetMode="External"/><Relationship Id="rId2658" Type="http://schemas.openxmlformats.org/officeDocument/2006/relationships/hyperlink" Target="https://okdiario.com/okgreen/descubre-que-temperatura-hara-tu-ciudad-dentro-60-anos-este-mapa-dinamico-13172207" TargetMode="External"/><Relationship Id="rId1328" Type="http://schemas.openxmlformats.org/officeDocument/2006/relationships/hyperlink" Target="https://www.elperiodicoextremadura.com/caceres-local/2024/03/27/ascenso-meteorico-borona-bistro-sol-100362240.html" TargetMode="External"/><Relationship Id="rId2659" Type="http://schemas.openxmlformats.org/officeDocument/2006/relationships/hyperlink" Target="https://www.20minutos.es/noticia/5533195/0/me-ha-rechazado-pago-con-tarjeta-no-funciona-app-asi-ha-afectado-los-consumidores-fallo-informatico-mundial/" TargetMode="External"/><Relationship Id="rId3989" Type="http://schemas.openxmlformats.org/officeDocument/2006/relationships/hyperlink" Target="https://cronicavasca.elespanol.com/bateria/necesita-conectarse/20241026/josu-jon-imaz-el-impuesto-las-energeticas/896160432_0.html" TargetMode="External"/><Relationship Id="rId1329" Type="http://schemas.openxmlformats.org/officeDocument/2006/relationships/hyperlink" Target="https://www.eldiario.es/economia/grandes-energeticas-espanolas-aumentan-inversion-22-pese-impuesto-extraordinario-sector_1_11234480.html" TargetMode="External"/><Relationship Id="rId739" Type="http://schemas.openxmlformats.org/officeDocument/2006/relationships/hyperlink" Target="https://efe.com/murcia/2024-02-28/gala-entrega-soles-guia-repsol-2024-actividades/" TargetMode="External"/><Relationship Id="rId734" Type="http://schemas.openxmlformats.org/officeDocument/2006/relationships/hyperlink" Target="https://www.desdeadentro.pe/2024/02/programa-de-apoyo-a-la-liga-contra-el-cancer-repsol-peru/" TargetMode="External"/><Relationship Id="rId733" Type="http://schemas.openxmlformats.org/officeDocument/2006/relationships/hyperlink" Target="https://www.guiarepsol.com/es/viajar/vamos-de-excursion/fuente-de-con-nieve-cantabria/" TargetMode="External"/><Relationship Id="rId732" Type="http://schemas.openxmlformats.org/officeDocument/2006/relationships/hyperlink" Target="https://www.infobae.com/peru/2024/02/25/dos-anos-despues-del-derrame-de-petroleo-de-repsol-pescadores-de-huaral-no-pueden-realizar-sus-faenas/" TargetMode="External"/><Relationship Id="rId731" Type="http://schemas.openxmlformats.org/officeDocument/2006/relationships/hyperlink" Target="https://www.lavozdegalicia.es/noticia/coruna/coruna/2024/02/27/punta-langosteira-primera-darsena-galicia/00031709035762411920132.htm" TargetMode="External"/><Relationship Id="rId738" Type="http://schemas.openxmlformats.org/officeDocument/2006/relationships/hyperlink" Target="https://www.guiarepsol.com/es/soles-repsol/soles-2024/acciones-en-calle-en-cartagena-y-murcia-en-soles-2024/" TargetMode="External"/><Relationship Id="rId737" Type="http://schemas.openxmlformats.org/officeDocument/2006/relationships/hyperlink" Target="https://www.gasteizhoy.com/soles-y-soletes-guia-repsol-iluminan-alava/" TargetMode="External"/><Relationship Id="rId736" Type="http://schemas.openxmlformats.org/officeDocument/2006/relationships/hyperlink" Target="https://elperiodicodelaenergia.com/repsol-lleva-combustibles-renovables-antartida-mano-ejercito-tierra/" TargetMode="External"/><Relationship Id="rId735" Type="http://schemas.openxmlformats.org/officeDocument/2006/relationships/hyperlink" Target="https://www.repsol.com/es/sala-prensa/notas-prensa/2024/repsol-ejercito-tierra-llevan-combustibles-renovables-campana-antartica/index.cshtml" TargetMode="External"/><Relationship Id="rId3980" Type="http://schemas.openxmlformats.org/officeDocument/2006/relationships/hyperlink" Target="https://elcomercio.pe/deporte-total/futbol-peruano/semillero-repsol-futbol-femenino-con-doce-equipos-sub-13-conoce-todos-los-detalles-del-torneo-que-empieza-este-sabado-igma-sports-noticia/" TargetMode="External"/><Relationship Id="rId730" Type="http://schemas.openxmlformats.org/officeDocument/2006/relationships/hyperlink" Target="https://www.heraldo.es/noticias/economia/2024/02/27/zara-revalida-cuarto-ano-titulo-marca-valiosa-espana-1714486.html" TargetMode="External"/><Relationship Id="rId2650" Type="http://schemas.openxmlformats.org/officeDocument/2006/relationships/hyperlink" Target="https://www.infobae.com/espana/2024/07/19/el-bar-de-carretera-en-plena-a-3-que-se-ha-convertido-en-destino-gastronomico-por-su-carne-y-sus-torreznos-el-producto-esta-por-encima-de-todo/" TargetMode="External"/><Relationship Id="rId3982" Type="http://schemas.openxmlformats.org/officeDocument/2006/relationships/hyperlink" Target="https://elcomercio.pe/deporte-total/futbol-peruano/los-semilleros-de-el-comercio-una-historia-con-mas-de-30-anos-de-vida-semillero-repsol-futbol-femenino-2024-noticia/" TargetMode="External"/><Relationship Id="rId1320" Type="http://schemas.openxmlformats.org/officeDocument/2006/relationships/hyperlink" Target="https://www.elnacional.cat/oneconomia/es/empresas/repsol-compra-40-tres-instalaciones-bunge-espana-313-millones_1185198_102.html" TargetMode="External"/><Relationship Id="rId2651" Type="http://schemas.openxmlformats.org/officeDocument/2006/relationships/hyperlink" Target="https://www.eldiariomontanes.es/sociedad/caida-nivel-mundial-sistema-microsoft-afecta-numerosas-20240719090410-nt.html" TargetMode="External"/><Relationship Id="rId3981" Type="http://schemas.openxmlformats.org/officeDocument/2006/relationships/hyperlink" Target="https://www.ujat.mx/Noticias/Interior/33129" TargetMode="External"/><Relationship Id="rId1321" Type="http://schemas.openxmlformats.org/officeDocument/2006/relationships/hyperlink" Target="https://www.guiarepsol.com/es/comer/nuestros-favoritos/pastelerias-obradores-centanarios-dulces-con-historia-canal-cocina/" TargetMode="External"/><Relationship Id="rId2652" Type="http://schemas.openxmlformats.org/officeDocument/2006/relationships/hyperlink" Target="https://www.antena3.com/noticias/economia/caida-microsoft-directo-ultima-hora-incidencias-aena-mercedes-petronor-repsol-unicaja-osakidetza_20240719669a3a78a548610001594413.html" TargetMode="External"/><Relationship Id="rId3984" Type="http://schemas.openxmlformats.org/officeDocument/2006/relationships/hyperlink" Target="https://www.salamancahoy.es/salamanca/ciudad/bar-vegano-barrio-bohemio-salamanca-solete-repsol-20241025184343-nt.html" TargetMode="External"/><Relationship Id="rId1322" Type="http://schemas.openxmlformats.org/officeDocument/2006/relationships/hyperlink" Target="https://www.elespanol.com/madrid/ocio/20240326/bar-taberneras-arrasa-latina-ensaladilla-recomendada-guia-repsol/842666127_0.html" TargetMode="External"/><Relationship Id="rId2653" Type="http://schemas.openxmlformats.org/officeDocument/2006/relationships/hyperlink" Target="https://www.juventudrebelde.cu/ciencia-tecnica/2024-07-19/error-en-actualizacion-de-ciberseguridad-de-un-proveedor-de-windows-provoca-caida-global-en-sistemas-informaticos" TargetMode="External"/><Relationship Id="rId3983" Type="http://schemas.openxmlformats.org/officeDocument/2006/relationships/hyperlink" Target="https://www.bolsamania.com/noticias/empresas/grifols-repsol-lideran-nueva-semana-consolidacion-alcista-ibex-35--17813056.html" TargetMode="External"/><Relationship Id="rId1356" Type="http://schemas.openxmlformats.org/officeDocument/2006/relationships/hyperlink" Target="https://www.eldiario.es/economia/iberdrola-guarda-hacha-guerra-gobierno-lanza-repsol-competencia-desleal_1_11244758.html" TargetMode="External"/><Relationship Id="rId2687" Type="http://schemas.openxmlformats.org/officeDocument/2006/relationships/hyperlink" Target="https://www.larazon.es/economia/inditex-firma-acuerdo-repsol-iberia-emplear-5-saf-transporte-sus-productos_20240723669f9477a548610001269e4a.html" TargetMode="External"/><Relationship Id="rId1357" Type="http://schemas.openxmlformats.org/officeDocument/2006/relationships/hyperlink" Target="https://www.guiarepsol.com/es/comer/nuestros-favoritos/restaurante-ricardo-temino-burgos/" TargetMode="External"/><Relationship Id="rId2688" Type="http://schemas.openxmlformats.org/officeDocument/2006/relationships/hyperlink" Target="https://www.aviacionline.com/repsol-suministrara-saf-a-vuelos-de-iberia-con-carga-de-inditex" TargetMode="External"/><Relationship Id="rId1358" Type="http://schemas.openxmlformats.org/officeDocument/2006/relationships/hyperlink" Target="https://www.eleconomista.es/retail-consumo/noticias/12740340/03/24/los-duenos-de-lizarran-superan-los-142-millones-en-ventas-y-buscan-crecer-en-el-canal-de-viajes.html" TargetMode="External"/><Relationship Id="rId2689" Type="http://schemas.openxmlformats.org/officeDocument/2006/relationships/hyperlink" Target="https://www.huelva24.com/gastronomia/heladeria-huelva-cuenta-solete-repsol-verano-20240723094937-nth.html" TargetMode="External"/><Relationship Id="rId1359" Type="http://schemas.openxmlformats.org/officeDocument/2006/relationships/hyperlink" Target="https://www.comunidad.madrid/noticias/2024/03/31/comunidad-madrid-crea-hub-innovacion-tecnologica-desarrollo-combustibles-aviacion-menos-contaminantes" TargetMode="External"/><Relationship Id="rId767" Type="http://schemas.openxmlformats.org/officeDocument/2006/relationships/hyperlink" Target="https://festivaldemalaga.com/el-festival/sostenibilidad/" TargetMode="External"/><Relationship Id="rId766" Type="http://schemas.openxmlformats.org/officeDocument/2006/relationships/hyperlink" Target="https://www.faconauto.com/noticias-automocion/faconauto-neutraliza-las-emisiones-de-co%E2%82%82-en-su-congreso-anual-con-ayuda-de-fundacion-repsol/" TargetMode="External"/><Relationship Id="rId765" Type="http://schemas.openxmlformats.org/officeDocument/2006/relationships/hyperlink" Target="https://www.ondacero.es/emisoras/galicia/coruna/noticias/conselleria-educacion-refineria-repsol-renuevan-convenios-seguir-formando-alumnos-coruna-cervo-ferrol_2024030165e1e68d29d814000169561e.html" TargetMode="External"/><Relationship Id="rId764" Type="http://schemas.openxmlformats.org/officeDocument/2006/relationships/hyperlink" Target="https://www.economiadigital.es/empresas/vueling-repsol-festival-malaga.html" TargetMode="External"/><Relationship Id="rId769" Type="http://schemas.openxmlformats.org/officeDocument/2006/relationships/hyperlink" Target="https://www.guiarepsol.com/es/dormir/en-la-gloria/kamezi-boutique-villas-lanzarote/" TargetMode="External"/><Relationship Id="rId768" Type="http://schemas.openxmlformats.org/officeDocument/2006/relationships/hyperlink" Target="https://forbes.es/brandvoice/419627/las-mejores-marcas-espanolas-se-dan-cita-en-el-museo-del-prado-de-la-mano-de-interbrand/" TargetMode="External"/><Relationship Id="rId2680" Type="http://schemas.openxmlformats.org/officeDocument/2006/relationships/hyperlink" Target="https://www.guiarepsol.com/es/sala-de-prensa/el-primer-menu-de-una-gala-gastronomica-hecho-por-cocineras/" TargetMode="External"/><Relationship Id="rId1350" Type="http://schemas.openxmlformats.org/officeDocument/2006/relationships/hyperlink" Target="https://peru21.pe/politica/poder-judicial-suspende-al-juez-juan-varillas-solano-suspension-autoridad-nacional-de-control-sanciones-fpf-golperu-liga-1-noticia/" TargetMode="External"/><Relationship Id="rId2681" Type="http://schemas.openxmlformats.org/officeDocument/2006/relationships/hyperlink" Target="https://grupo.iberia.es/pressrelease/details/20336" TargetMode="External"/><Relationship Id="rId1351" Type="http://schemas.openxmlformats.org/officeDocument/2006/relationships/hyperlink" Target="https://www.guiarepsol.com/es/comer/nuestros-favoritos/restaurante-desborre-madrid/" TargetMode="External"/><Relationship Id="rId2682" Type="http://schemas.openxmlformats.org/officeDocument/2006/relationships/hyperlink" Target="https://www.elconfidencial.com/juridico/2024-07-23/iberdrola-repsol-greenwashing-demanda_3928123/" TargetMode="External"/><Relationship Id="rId763" Type="http://schemas.openxmlformats.org/officeDocument/2006/relationships/hyperlink" Target="https://www.lavozdegalicia.es/noticia/coruna/2024/03/01/repsol-xunta-firman-nuevo-convenio-ofrecer-cuatro-modalidades-fp-coruna/00031709304790648997253.htm" TargetMode="External"/><Relationship Id="rId1352" Type="http://schemas.openxmlformats.org/officeDocument/2006/relationships/hyperlink" Target="https://www.elespanol.com/alicante/vivir/gastronomia/20240330/mejores-torreznos-alicante-salen-bar-solete-repsol-une-personas/843665783_0.html" TargetMode="External"/><Relationship Id="rId2683" Type="http://schemas.openxmlformats.org/officeDocument/2006/relationships/hyperlink" Target="https://www.eleconomista.es/motor/noticias/12921751/07/24/de-la-freidora-de-tu-cocina-al-deposito-del-coche-asi-es-el-nuevo-diesel-renovable-de-repsol.html" TargetMode="External"/><Relationship Id="rId762" Type="http://schemas.openxmlformats.org/officeDocument/2006/relationships/hyperlink" Target="https://okdiario.com/economia/repsol-estudia-venta-negocio-noruega-valorado-460-923-000-millones-euros-12462702" TargetMode="External"/><Relationship Id="rId1353" Type="http://schemas.openxmlformats.org/officeDocument/2006/relationships/hyperlink" Target="https://www.farodevigo.es/arousa/2024/03/30/dleria-taberna-marinera-vistas-isla-100431327.html" TargetMode="External"/><Relationship Id="rId2684" Type="http://schemas.openxmlformats.org/officeDocument/2006/relationships/hyperlink" Target="https://www.europapress.es/turismo/transportes/noticia-repsol-iberia-firman-acuerdo-inditex-emplear-saf-transporte-carga-aerea-20240723103514.html" TargetMode="External"/><Relationship Id="rId761" Type="http://schemas.openxmlformats.org/officeDocument/2006/relationships/hyperlink" Target="https://www.elespanol.com/quincemil/economia/empresas/20240301/repsol-xunta-galicia-firman-nuevo-convenio-marco-formacion-profesional/836666873_0.html" TargetMode="External"/><Relationship Id="rId1354" Type="http://schemas.openxmlformats.org/officeDocument/2006/relationships/hyperlink" Target="https://www.deia.eus/actualidad/sociedad/2024/03/30/mejor-sumiller-restaurante-bizkaia-8057719.html" TargetMode="External"/><Relationship Id="rId2685" Type="http://schemas.openxmlformats.org/officeDocument/2006/relationships/hyperlink" Target="https://elperiodicodelaenergia.com/juicioiberdrola-contra-repsol-competencia-desleal-sera-21-noviembre/" TargetMode="External"/><Relationship Id="rId760" Type="http://schemas.openxmlformats.org/officeDocument/2006/relationships/hyperlink" Target="https://cincodias.elpais.com/companias/2024-03-01/repsol-estudia-vender-sus-operaciones-en-noruega-por-unos-1000-millones-segun-bloomberg.html" TargetMode="External"/><Relationship Id="rId1355" Type="http://schemas.openxmlformats.org/officeDocument/2006/relationships/hyperlink" Target="https://elperiodicodelaenergia.com/repsol-avanza-apuesta-combustibles-sinteticos-luz-verde-megaproyecto-bilbao/" TargetMode="External"/><Relationship Id="rId2686" Type="http://schemas.openxmlformats.org/officeDocument/2006/relationships/hyperlink" Target="https://www.abc.es/deportes/repsol-honda-calienta-motores-llegada-formula-madrid-20240723125040-nt.html" TargetMode="External"/><Relationship Id="rId1345" Type="http://schemas.openxmlformats.org/officeDocument/2006/relationships/hyperlink" Target="https://www.abc.es/economia/sector-quimico-cayo-2023-importante-ajuste-demanda-20240330162256-nt.html" TargetMode="External"/><Relationship Id="rId2676" Type="http://schemas.openxmlformats.org/officeDocument/2006/relationships/hyperlink" Target="https://www.infobae.com/espana/2024/07/22/las-12-mejores-terrazas-para-disfrutar-del-verano-en-galicia-musica-en-directo-vistas-al-mar-y-tortillas-a-la-lena/" TargetMode="External"/><Relationship Id="rId1346" Type="http://schemas.openxmlformats.org/officeDocument/2006/relationships/hyperlink" Target="https://www.elespanol.com/quincemil/vivir/gastrogalicia/20240329/unico-restaurante-betanzos-recomendado-guias-no-tortilla/843665843_0.html" TargetMode="External"/><Relationship Id="rId2677" Type="http://schemas.openxmlformats.org/officeDocument/2006/relationships/hyperlink" Target="https://www.guiarepsol.com/es/comer/nuestros-favoritos/restaurante-mae-sant-gervasi-barcelona/" TargetMode="External"/><Relationship Id="rId1347" Type="http://schemas.openxmlformats.org/officeDocument/2006/relationships/hyperlink" Target="https://cincodias.elpais.com/companias/2024-03-29/pwc-lidera-los-ingresos-por-las-auditorias-del-ibex-gracias-al-contrato-de-oro-del-santander.html" TargetMode="External"/><Relationship Id="rId2678" Type="http://schemas.openxmlformats.org/officeDocument/2006/relationships/hyperlink" Target="https://www.todocircuito.com/noticias/36487-dos-honda-fireblade-joan-mir-y-luca-marini-y-el-nuevo-circuito-de-madrid-de-f1.html" TargetMode="External"/><Relationship Id="rId1348" Type="http://schemas.openxmlformats.org/officeDocument/2006/relationships/hyperlink" Target="https://www.20minutos.es/gastronomia/restaurantes/restaurantes-estrella-michelin-mas-baratos-comunidad-madrid-menu-35-euros-5230690/" TargetMode="External"/><Relationship Id="rId2679" Type="http://schemas.openxmlformats.org/officeDocument/2006/relationships/hyperlink" Target="https://www.bonviveur.es/noticias/mejores-restaurantes-galicia" TargetMode="External"/><Relationship Id="rId1349" Type="http://schemas.openxmlformats.org/officeDocument/2006/relationships/hyperlink" Target="https://www.malagahoy.es/la-farola/mejores-restaurantes-carretera-Espana-Malaga_0_1888612120.html" TargetMode="External"/><Relationship Id="rId756" Type="http://schemas.openxmlformats.org/officeDocument/2006/relationships/hyperlink" Target="https://primicia.com.ve/economia/pdvsa-fortalece-alianzas-con-repsol/" TargetMode="External"/><Relationship Id="rId755" Type="http://schemas.openxmlformats.org/officeDocument/2006/relationships/hyperlink" Target="https://www.guiarepsol.com/es/viajar/vamos-de-excursion/el-rinconin-gijon/" TargetMode="External"/><Relationship Id="rId754" Type="http://schemas.openxmlformats.org/officeDocument/2006/relationships/hyperlink" Target="https://www.laopiniondemalaga.es/malaga/2024/02/29/aterriza-malaga-primer-vuelo-sostenible-98825184.html" TargetMode="External"/><Relationship Id="rId753" Type="http://schemas.openxmlformats.org/officeDocument/2006/relationships/hyperlink" Target="https://www.aragondigital.es/articulo/sociedad/calle-zaragoza-que-acumula-mas-bares-solete-guia-repsol/20240229105004864609.html" TargetMode="External"/><Relationship Id="rId759" Type="http://schemas.openxmlformats.org/officeDocument/2006/relationships/hyperlink" Target="https://www.xunta.gal/es/notas-de-prensa/-/nova/88048/xunta-repsol-afianzan-colaboracion-materia-dual-con-formacion-41-alumnos-certificado" TargetMode="External"/><Relationship Id="rId758" Type="http://schemas.openxmlformats.org/officeDocument/2006/relationships/hyperlink" Target="https://www.guiarepsol.com/es/comer/nuestros-favoritos/restaurante-los-33-madrid/" TargetMode="External"/><Relationship Id="rId757" Type="http://schemas.openxmlformats.org/officeDocument/2006/relationships/hyperlink" Target="https://cronicaglobal.elespanol.com/cronica-directo/curiosidades/20240229/las-croquetas-de-cataluna-restaurante-barcelona-repsol/836416481_0.html" TargetMode="External"/><Relationship Id="rId2670" Type="http://schemas.openxmlformats.org/officeDocument/2006/relationships/hyperlink" Target="https://elperiodicodelaenergia.com/multimillonario-proyecto-gnl-argentina-desata-competencia-provincias/" TargetMode="External"/><Relationship Id="rId1340" Type="http://schemas.openxmlformats.org/officeDocument/2006/relationships/hyperlink" Target="https://www.elindependiente.com/sociedad/2024/03/28/varios-accidentes-de-trafico-complican-la-operacion-salida-de-semana-santa-2/" TargetMode="External"/><Relationship Id="rId2671" Type="http://schemas.openxmlformats.org/officeDocument/2006/relationships/hyperlink" Target="https://larepublica.pe/sociedad/2024/07/21/pescadores-de-piura-anuncian-paro-contra-barcos-chinos-los-acusan-de-promover-la-pesca-ilegal-pesca-piura-2050818" TargetMode="External"/><Relationship Id="rId752" Type="http://schemas.openxmlformats.org/officeDocument/2006/relationships/hyperlink" Target="https://www.elnacional.com/economia/tellechea-visito-espana-y-expreso-el-compromiso-del-gobierno-con-repsol/" TargetMode="External"/><Relationship Id="rId1341" Type="http://schemas.openxmlformats.org/officeDocument/2006/relationships/hyperlink" Target="https://www.elespanol.com/cocinillas/restaurantes/20240328/guia-michelin-camioneros-mapa-restaurantes-comer-rico-barato-abundante/842915974_0.html" TargetMode="External"/><Relationship Id="rId2672" Type="http://schemas.openxmlformats.org/officeDocument/2006/relationships/hyperlink" Target="https://www.guiarepsol.com/es/sala-de-prensa/La-nueva-app-de-Guia-Repsol-es-ese-amigo-que-te-descubre-donde-ir/" TargetMode="External"/><Relationship Id="rId751" Type="http://schemas.openxmlformats.org/officeDocument/2006/relationships/hyperlink" Target="https://www.elespanol.com/espana/murcia/20240229/agricultores-cortan-refineria-repsol-cartagena-negociado-planas-no-sirve/836416476_0.html" TargetMode="External"/><Relationship Id="rId1342" Type="http://schemas.openxmlformats.org/officeDocument/2006/relationships/hyperlink" Target="https://emprendedores.es/ideas-de-negocio/construccion-industrializada/" TargetMode="External"/><Relationship Id="rId2673" Type="http://schemas.openxmlformats.org/officeDocument/2006/relationships/hyperlink" Target="https://as.com/motor/videos/el-repsol-honda-descubre-el-futuro-circuito-de-f1-en-madrid-v/" TargetMode="External"/><Relationship Id="rId750" Type="http://schemas.openxmlformats.org/officeDocument/2006/relationships/hyperlink" Target="https://www.lne.es/asturias/2024/02/29/cocina-asturiana-brillo-nuevos-soles-98799300.html" TargetMode="External"/><Relationship Id="rId1343" Type="http://schemas.openxmlformats.org/officeDocument/2006/relationships/hyperlink" Target="https://www.vemostv.com/noticias/12072/masterchef-12-fecha-estreno-horario-avance-primer-programa" TargetMode="External"/><Relationship Id="rId2674" Type="http://schemas.openxmlformats.org/officeDocument/2006/relationships/hyperlink" Target="https://www.larazon.es/deportes/joan-mir-luca-marini-recorren-dos-honda-cbr-trazado-ifema_20240722669e91bc46f972000144c254.html" TargetMode="External"/><Relationship Id="rId1344" Type="http://schemas.openxmlformats.org/officeDocument/2006/relationships/hyperlink" Target="https://gananzia.com/begas-cierra-una-nueva-ronda-millonaria-con-sus-actuales-socios/" TargetMode="External"/><Relationship Id="rId2675" Type="http://schemas.openxmlformats.org/officeDocument/2006/relationships/hyperlink" Target="https://www.elespanol.com/cocinillas/actualidad-gastronomica/restaurante-carretera-arrasa-menu-dia-eur-guia-repsol-recomiendan-camioneros/871662997_0.html" TargetMode="External"/><Relationship Id="rId2621" Type="http://schemas.openxmlformats.org/officeDocument/2006/relationships/hyperlink" Target="https://www.energias-renovables.com/eolica/repsol-y-edf-renewables-firman-un-acuerdo-20240718" TargetMode="External"/><Relationship Id="rId3953" Type="http://schemas.openxmlformats.org/officeDocument/2006/relationships/hyperlink" Target="https://cadenaser.com/castillalamancha/2024/10/24/seguimiento-total-e-incidentes-leves-en-el-primer-huelga-indefinida-de-los-trabajadores-de-navec-en-puertollano-ser-ciudad-real/" TargetMode="External"/><Relationship Id="rId2622" Type="http://schemas.openxmlformats.org/officeDocument/2006/relationships/hyperlink" Target="https://elperiodicodelaenergia.com/repsol-se-alia-exclusividad-edf-renewables-proyectos-eolica-marina-espana-portugal/" TargetMode="External"/><Relationship Id="rId3952" Type="http://schemas.openxmlformats.org/officeDocument/2006/relationships/hyperlink" Target="https://www.cmmedia.es/noticias/castilla-la-mancha/ciudad-real/trabajadores-navec-huelga-indefinida-concentran-puertas-repsol-quimicas-puertollano.html" TargetMode="External"/><Relationship Id="rId2623" Type="http://schemas.openxmlformats.org/officeDocument/2006/relationships/hyperlink" Target="https://lamardemusicas.cartagena.es/2024/detalle_noticia.asp?id=79073&amp;pagina=" TargetMode="External"/><Relationship Id="rId3955" Type="http://schemas.openxmlformats.org/officeDocument/2006/relationships/hyperlink" Target="https://www.elmundo.es/economia/2024/10/24/671a3adbe9cf4a5c1e8b458f.html" TargetMode="External"/><Relationship Id="rId2624" Type="http://schemas.openxmlformats.org/officeDocument/2006/relationships/hyperlink" Target="https://www.elespanol.com/invertia/empresas/energia/20240718/repsol-edf-renewables-firman-acuerdo-exclusiva-cooperacion-eolica-marina-espana-portugal/871412980_0.html" TargetMode="External"/><Relationship Id="rId3954" Type="http://schemas.openxmlformats.org/officeDocument/2006/relationships/hyperlink" Target="https://www.lacomarcadepuertollano.com/articulo/puertollano/puertollano-tension-gran-presencia-policial-proclamas-empresa-inicio-huelga-indefinida-navec/20241024111601567138.html" TargetMode="External"/><Relationship Id="rId2625" Type="http://schemas.openxmlformats.org/officeDocument/2006/relationships/hyperlink" Target="https://www.eleconomista.es/energia/noticias/12915077/07/24/repsol-y-edf-renewables-firman-un-acuerdo-de-exclusividad-para-eolica-marina-en-espana-y-portugal.html" TargetMode="External"/><Relationship Id="rId3957" Type="http://schemas.openxmlformats.org/officeDocument/2006/relationships/hyperlink" Target="https://www.estrategiasdeinversion.com/actualidad/noticias/bolsa-espana/el-ibex-35-se-mantiene-en-verde-por-encima-de-n-755443" TargetMode="External"/><Relationship Id="rId2626" Type="http://schemas.openxmlformats.org/officeDocument/2006/relationships/hyperlink" Target="https://www.ideal.es/andalucia/mejores-chiringuitos-andalucia-guia-repsol-20240718102758-nt.html" TargetMode="External"/><Relationship Id="rId3956" Type="http://schemas.openxmlformats.org/officeDocument/2006/relationships/hyperlink" Target="https://www.diaridetarragona.com/economia/la-petroquimica-de-tarragona-celebra-el-apoyo-de-la-ue-al-almacen-de-co2-MP21595339" TargetMode="External"/><Relationship Id="rId2627" Type="http://schemas.openxmlformats.org/officeDocument/2006/relationships/hyperlink" Target="https://www.elnacional.cat/oneconomia/es/empresas/repsol-se-alia-con-edf-renewables-licitar-por-eolica-marina-en-espana-portugal_1254569_102.html" TargetMode="External"/><Relationship Id="rId3959" Type="http://schemas.openxmlformats.org/officeDocument/2006/relationships/hyperlink" Target="https://blogs.elconfidencial.com/espana/notebook/2024-10-24/senor-ibex-imaz-levanta-voz-gobierno_3989199/" TargetMode="External"/><Relationship Id="rId2628" Type="http://schemas.openxmlformats.org/officeDocument/2006/relationships/hyperlink" Target="https://www.epe.es/es/activos/20240718/repsol-edf-eolica-marina-espana-105795917" TargetMode="External"/><Relationship Id="rId3958" Type="http://schemas.openxmlformats.org/officeDocument/2006/relationships/hyperlink" Target="https://www.europapress.es/castilla-lamancha/noticia-totalidad-plantilla-navec-puertollano-secunda-huelga-indefinida-contra-ere-20241024110526.html" TargetMode="External"/><Relationship Id="rId709" Type="http://schemas.openxmlformats.org/officeDocument/2006/relationships/hyperlink" Target="https://www.guiarepsol.com/es/soletes/donde-comer-rico-barato-cartagena/" TargetMode="External"/><Relationship Id="rId2629" Type="http://schemas.openxmlformats.org/officeDocument/2006/relationships/hyperlink" Target="https://info-veritas.com/desinformacion-estafa-repsol-ipad-phishing/" TargetMode="External"/><Relationship Id="rId708" Type="http://schemas.openxmlformats.org/officeDocument/2006/relationships/hyperlink" Target="https://www.infobae.com/peru/2024/02/23/repsol-pide-197-millones-dolares-a-una-naviera-por-el-derrame-de-petroleo-en-peru-de-2022/" TargetMode="External"/><Relationship Id="rId707" Type="http://schemas.openxmlformats.org/officeDocument/2006/relationships/hyperlink" Target="https://www.lavozdegalicia.es/noticia/coruna/coruna/2024/02/24/ano-historico-volveran-grandes-petroleros-200000-toneladas-crudo-coruna/00031708790779094908346.htm" TargetMode="External"/><Relationship Id="rId706" Type="http://schemas.openxmlformats.org/officeDocument/2006/relationships/hyperlink" Target="https://www.motor16.com/noticias/inform-precios-gasolina-en-espana/" TargetMode="External"/><Relationship Id="rId701" Type="http://schemas.openxmlformats.org/officeDocument/2006/relationships/hyperlink" Target="https://elcomercio.pe/lima/repsol-exige-197-millones-de-dolares-a-naviera-italiana-por-el-derrame-en-ventanilla-la-pampilla-fratelli-damico-armatori-spa-ultimas-noticia/" TargetMode="External"/><Relationship Id="rId700" Type="http://schemas.openxmlformats.org/officeDocument/2006/relationships/hyperlink" Target="https://www.eleconomista.es/mercados-cotizaciones/noticias/12688987/02/24/como-queda-el-ranking-de-dividendos-del-ibex-para-2024-tras-los-ultimos-cambios-anunciados.html" TargetMode="External"/><Relationship Id="rId705" Type="http://schemas.openxmlformats.org/officeDocument/2006/relationships/hyperlink" Target="https://www.guiarepsol.com/es/soles-repsol/soles-2024/coctail-vegetal-de-david-lopez-en-la-gala-de-los-soles-2024/" TargetMode="External"/><Relationship Id="rId704" Type="http://schemas.openxmlformats.org/officeDocument/2006/relationships/hyperlink" Target="https://larepublica.pe/economia/2024/02/24/dictan-medidas-por-escasez-de-combustible-para-avion-minem-combustibles-repsol-petroperu-1142136" TargetMode="External"/><Relationship Id="rId703" Type="http://schemas.openxmlformats.org/officeDocument/2006/relationships/hyperlink" Target="https://www.eleconomista.es/retail-consumo/noticias/12688406/02/24/zarate-un-estrella-michelin-poseido-por-neptuno.html" TargetMode="External"/><Relationship Id="rId702" Type="http://schemas.openxmlformats.org/officeDocument/2006/relationships/hyperlink" Target="https://www.infobae.com/espana/2024/02/24/sanchez-galan-botin-y-goirigolzarri-se-suben-el-sueldo-por-encima-de-la-inflacion-el-impuestazo-no-afecta-a-las-remuneraciones-de-los-ceo/" TargetMode="External"/><Relationship Id="rId3951" Type="http://schemas.openxmlformats.org/officeDocument/2006/relationships/hyperlink" Target="https://www.latribunadeciudadreal.es/noticia/z62e2fd1f-988c-0d95-ec22a214633ac336/202410/incidentes-en-el-inicio-de-la-huelga-indefinida-de-navec" TargetMode="External"/><Relationship Id="rId2620" Type="http://schemas.openxmlformats.org/officeDocument/2006/relationships/hyperlink" Target="https://www.repsol.com/es/sala-prensa/notas-prensa/2024/repsol-edf-renewables-firman-acuerdo-cooperacion-exclusiva-eolica-marina-espana-portugal/index.cshtml" TargetMode="External"/><Relationship Id="rId3950" Type="http://schemas.openxmlformats.org/officeDocument/2006/relationships/hyperlink" Target="https://dondiario.com/actualidad/hasta-cuando-cepsa-y-repsol-dejan-repartir-butano-domicilio" TargetMode="External"/><Relationship Id="rId2610" Type="http://schemas.openxmlformats.org/officeDocument/2006/relationships/hyperlink" Target="https://www.larazon.es/economia/repsol-lanza-primer-proyecto-agrovoltaico-espana-estructura-elevada-vinedo-aranda-duero_2024071766979035c53ff80001c99f39.html" TargetMode="External"/><Relationship Id="rId3942" Type="http://schemas.openxmlformats.org/officeDocument/2006/relationships/hyperlink" Target="https://confilegal.com/20241024-pablo-blanco-repsol-el-abogado-que-utilice-inteligencia-artificial-acabara-con-el-abogado-que-no-la-utilice/" TargetMode="External"/><Relationship Id="rId2611" Type="http://schemas.openxmlformats.org/officeDocument/2006/relationships/hyperlink" Target="https://www.cartagenadehoy.com/index.php/2-noticia/49259-repsol-y-cruz-roja-forman-en-el-ambito-industrial-a-mujeres-en-riesgo-de-vulnerabilidad" TargetMode="External"/><Relationship Id="rId3941" Type="http://schemas.openxmlformats.org/officeDocument/2006/relationships/hyperlink" Target="https://www.marketingdirecto.com/brands-in-festivals/festival-ciudad-sostenible-caso-exito-repsol" TargetMode="External"/><Relationship Id="rId2612" Type="http://schemas.openxmlformats.org/officeDocument/2006/relationships/hyperlink" Target="https://www.elmundo.es/andalucia/2024/07/17/6697a8c421efa077458b4578.html" TargetMode="External"/><Relationship Id="rId3944" Type="http://schemas.openxmlformats.org/officeDocument/2006/relationships/hyperlink" Target="https://cincodias.elpais.com/companias/2024-10-24/ortiz-bankinter-se-separa-de-la-polemica-con-repsol-no-hay-ninguna-amenaza-de-llevarnos-nada-a-ningun-sitio.html" TargetMode="External"/><Relationship Id="rId2613" Type="http://schemas.openxmlformats.org/officeDocument/2006/relationships/hyperlink" Target="https://motor.elpais.com/virales-motor/que-gasolinera-sortea-un-millon-de-euros-entre-sus-conductores/" TargetMode="External"/><Relationship Id="rId3943" Type="http://schemas.openxmlformats.org/officeDocument/2006/relationships/hyperlink" Target="https://www.xataka.com/energia/impuesto-permanente-gobierno-repsol-ha-tomado-decision-paralizar-sus-proyectos-hidrogeno-espana" TargetMode="External"/><Relationship Id="rId2614" Type="http://schemas.openxmlformats.org/officeDocument/2006/relationships/hyperlink" Target="https://www.ig.com/es/ideas-de-trading-y-noticias/ibex-35-hoy--acciones-de-merlin-properties-y-repsol-lideran-las--240717" TargetMode="External"/><Relationship Id="rId3946" Type="http://schemas.openxmlformats.org/officeDocument/2006/relationships/hyperlink" Target="https://www.diaridetarragona.com/opinion/tribunas/la-marcha-de-repsol-un-jaque-mate-al-empleo-y-la-industria-MO21582187" TargetMode="External"/><Relationship Id="rId2615" Type="http://schemas.openxmlformats.org/officeDocument/2006/relationships/hyperlink" Target="https://www.larazon.es/lr-content/asi-construyen-festivales-musica-mas-importantes-espana_20240717668e6068c53ff8000177bccb.html" TargetMode="External"/><Relationship Id="rId3945" Type="http://schemas.openxmlformats.org/officeDocument/2006/relationships/hyperlink" Target="https://www.economiadigital.es/empresas/iberdrola-desmarca-estrategia-repsol-impuesto-permanente-gobierno.html" TargetMode="External"/><Relationship Id="rId2616" Type="http://schemas.openxmlformats.org/officeDocument/2006/relationships/hyperlink" Target="https://climatica.coop/biocombustibles-palma-no-combustibles-sostenibles/" TargetMode="External"/><Relationship Id="rId3948" Type="http://schemas.openxmlformats.org/officeDocument/2006/relationships/hyperlink" Target="https://www.guiarepsol.com/es/dormir/como-en-casa/escapada-a-casas-rurales/" TargetMode="External"/><Relationship Id="rId2617" Type="http://schemas.openxmlformats.org/officeDocument/2006/relationships/hyperlink" Target="https://www.actualidadambiental.pe/derrame-de-petroleo-en-ventanilla-4-revelaciones-del-reportaje-la-caja-negra-del-mare-doricum/" TargetMode="External"/><Relationship Id="rId3947" Type="http://schemas.openxmlformats.org/officeDocument/2006/relationships/hyperlink" Target="https://www.elmundo.es/pais-vasco/2024/10/24/671a32fde85ece8a358b4598.html" TargetMode="External"/><Relationship Id="rId2618" Type="http://schemas.openxmlformats.org/officeDocument/2006/relationships/hyperlink" Target="https://www.infobae.com/espana/2024/07/18/el-bar-de-manzanas-especializado-en-sidra-y-parrilla-carnivoro-vegana-que-andoni-luis-aduriz-recomienda-en-gipuzkoa/" TargetMode="External"/><Relationship Id="rId2619" Type="http://schemas.openxmlformats.org/officeDocument/2006/relationships/hyperlink" Target="https://www.diariodecadiz.es/cadizfornia/descubre-terraza-cadiz-disfrutar-refrescante_0_2001694272.html" TargetMode="External"/><Relationship Id="rId3949" Type="http://schemas.openxmlformats.org/officeDocument/2006/relationships/hyperlink" Target="https://www.laopinioncoruna.es/economia/2024/10/24/repsol-amenaza-frenar-inversion-refineria-110211153.html" TargetMode="External"/><Relationship Id="rId3940" Type="http://schemas.openxmlformats.org/officeDocument/2006/relationships/hyperlink" Target="https://intereconomia.com/noticia/empresas/cuerpo-preocupado-por-la-amenaza-de-repsol-de-frenar-inversiones-pide-tranquilidad-y-que-no-se-especule-20241024-0004/" TargetMode="External"/><Relationship Id="rId1312" Type="http://schemas.openxmlformats.org/officeDocument/2006/relationships/hyperlink" Target="https://www.capitalradio.es/noticias/bolsa/iberdrola-vs-repsol-cual-tiene-mayor-potencial-bolsa-guerra-energetica_124513005.html" TargetMode="External"/><Relationship Id="rId2643" Type="http://schemas.openxmlformats.org/officeDocument/2006/relationships/hyperlink" Target="https://www.drivingeco.com/como-grandes-empresas-ofrecen-descuentos-combustible/" TargetMode="External"/><Relationship Id="rId3975" Type="http://schemas.openxmlformats.org/officeDocument/2006/relationships/hyperlink" Target="https://www.bolsamania.com/noticias/analisis-tecnico/consultorio--17771812.html" TargetMode="External"/><Relationship Id="rId1313" Type="http://schemas.openxmlformats.org/officeDocument/2006/relationships/hyperlink" Target="https://intereconomia.com/noticia/empresas/repsol-refuerza-con-bunge-su-apuesta-por-los-combustibles-renovables-que-desprecia-ribera-20240326-1119/" TargetMode="External"/><Relationship Id="rId2644" Type="http://schemas.openxmlformats.org/officeDocument/2006/relationships/hyperlink" Target="https://www.20minutos.es/motor/movilidad/aviso-conductores-afectar-caida-internet-echar-gasolina-5533092/" TargetMode="External"/><Relationship Id="rId3974" Type="http://schemas.openxmlformats.org/officeDocument/2006/relationships/hyperlink" Target="https://www.heraldo.es/noticias/gastronomia/2024/10/25/restaurante-carretera-area280-calatorao-zaragoza-solete-repsol-1741536.html" TargetMode="External"/><Relationship Id="rId1314" Type="http://schemas.openxmlformats.org/officeDocument/2006/relationships/hyperlink" Target="https://www.lavanguardia.com/economia/20240326/9582619/repsol-compra-plantas-bunge-espana.html" TargetMode="External"/><Relationship Id="rId2645" Type="http://schemas.openxmlformats.org/officeDocument/2006/relationships/hyperlink" Target="https://www.huelvainformacion.es/destino-huelva/nuevo-restaurante-reconocido-chef-sevillano_0_2001762837.html" TargetMode="External"/><Relationship Id="rId3977" Type="http://schemas.openxmlformats.org/officeDocument/2006/relationships/hyperlink" Target="https://www.boxrepsol.com/es/motogp/resultados-de-los-entrenamientos-del-gp-de-tailandia-de-motogp-2024/" TargetMode="External"/><Relationship Id="rId1315" Type="http://schemas.openxmlformats.org/officeDocument/2006/relationships/hyperlink" Target="https://www.libremercado.com/2024-03-26/repsol-inicia-este-martes-un-programa-de-recompra-de-acciones-por-importe-maximo-de-9139-millones-de-euros-7111259/" TargetMode="External"/><Relationship Id="rId2646" Type="http://schemas.openxmlformats.org/officeDocument/2006/relationships/hyperlink" Target="https://www.antena3.com/noticias/economia/estas-son-empresas-espanolas-afectadas-fallo-microsoft_20240719669a2ba8a548610001589626.html" TargetMode="External"/><Relationship Id="rId3976" Type="http://schemas.openxmlformats.org/officeDocument/2006/relationships/hyperlink" Target="https://www.cronista.com/espana/ibex-euro/repsol-asi-abre-la-cotizacion-hoy-viernes-25-de-octubre-cuanto-rinden-los-dividendos/" TargetMode="External"/><Relationship Id="rId1316" Type="http://schemas.openxmlformats.org/officeDocument/2006/relationships/hyperlink" Target="https://cincodias.elpais.com/companias/2024-03-26/repsol-compra-a-bunge-el-40-de-tres-plantas-de-produccion-de-biocombustibles-por-hasta-313-millones-de-euros.html" TargetMode="External"/><Relationship Id="rId2647" Type="http://schemas.openxmlformats.org/officeDocument/2006/relationships/hyperlink" Target="https://www.guiarepsol.com/es/soletes/donde-tomar-algo-en-madrid-segun-los-chefs/" TargetMode="External"/><Relationship Id="rId3979" Type="http://schemas.openxmlformats.org/officeDocument/2006/relationships/hyperlink" Target="https://www.guiarepsol.com/es/comer/nuestros-favoritos/a-cafe-santiago-de-compostela/" TargetMode="External"/><Relationship Id="rId1317" Type="http://schemas.openxmlformats.org/officeDocument/2006/relationships/hyperlink" Target="https://www.elmundo.es/economia/empresas/2024/03/26/660276eae85ece17148b459e.html" TargetMode="External"/><Relationship Id="rId2648" Type="http://schemas.openxmlformats.org/officeDocument/2006/relationships/hyperlink" Target="https://www.burgosconecta.es/burgos/bancos-gasolineras-burgos-sufren-incidencias-apagon-microsoft-20240719145001-nt.html" TargetMode="External"/><Relationship Id="rId3978" Type="http://schemas.openxmlformats.org/officeDocument/2006/relationships/hyperlink" Target="https://forbes.es/forbes-women/517862/lucia-gutierrez-la-mejor-chef-mas-joven-de-espana-propietaria-visionaria-y-lider-destacada-en-la-guia-repsol/" TargetMode="External"/><Relationship Id="rId1318" Type="http://schemas.openxmlformats.org/officeDocument/2006/relationships/hyperlink" Target="https://www.diariodelpuerto.com/logistica/repsol-adquiere-el-40-de-las-plantas-de-bunge-iberica-en-bilbao-barcelona-y-cartagena-DJ18993176" TargetMode="External"/><Relationship Id="rId2649" Type="http://schemas.openxmlformats.org/officeDocument/2006/relationships/hyperlink" Target="https://www.laopiniondezamora.es/zamora-ciudad/2024/07/19/fallo-microsoft-provoca-incidencias-nivel-105837577.html" TargetMode="External"/><Relationship Id="rId1319" Type="http://schemas.openxmlformats.org/officeDocument/2006/relationships/hyperlink" Target="https://murciaeconomia.com/art/95213/repsol-adquiere-el-40-de-tres-plantas-industriales-de-bunge-en-cartagena-bilbao-y-barcelona" TargetMode="External"/><Relationship Id="rId729" Type="http://schemas.openxmlformats.org/officeDocument/2006/relationships/hyperlink" Target="https://www.boxrepsol.com/es/vive-tu-moto/rutas-en-moto-valencia/" TargetMode="External"/><Relationship Id="rId728" Type="http://schemas.openxmlformats.org/officeDocument/2006/relationships/hyperlink" Target="https://www.comillas.edu/noticias/modelo-de-costes-del-hidrogeno-dorado/" TargetMode="External"/><Relationship Id="rId723" Type="http://schemas.openxmlformats.org/officeDocument/2006/relationships/hyperlink" Target="https://elperiodicodelaenergia.com/iberdrola-suministrara-energia-verde-durante-15-anos-a-telefonica-en-alemania/" TargetMode="External"/><Relationship Id="rId722" Type="http://schemas.openxmlformats.org/officeDocument/2006/relationships/hyperlink" Target="https://www.telecinco.es/noticias/galicia/20240226/unai-martinez-justicia-operario-fallecido-refineria-coruna_18_011809503.html" TargetMode="External"/><Relationship Id="rId721" Type="http://schemas.openxmlformats.org/officeDocument/2006/relationships/hyperlink" Target="https://www.laopiniondemurcia.es/ocio/gastronomia/2024/02/26/chef-local-ensayo-llevara-huerta-98673746.html" TargetMode="External"/><Relationship Id="rId720" Type="http://schemas.openxmlformats.org/officeDocument/2006/relationships/hyperlink" Target="https://www.laprovincia.es/cultura/2024/02/26/23-michelin-soles-repsol-gran-98681572.html" TargetMode="External"/><Relationship Id="rId727" Type="http://schemas.openxmlformats.org/officeDocument/2006/relationships/hyperlink" Target="https://www.expansion.com/mercados/2024/02/27/65dce2dee5fdead76a8b45a9.html" TargetMode="External"/><Relationship Id="rId726" Type="http://schemas.openxmlformats.org/officeDocument/2006/relationships/hyperlink" Target="https://www.guiarepsol.com/es/comer/nuestros-favoritos/restaurante-char-la-caleta-tenerife/" TargetMode="External"/><Relationship Id="rId725" Type="http://schemas.openxmlformats.org/officeDocument/2006/relationships/hyperlink" Target="https://www.publico.es/economia/imaz-gana-3-93-millones-consejero-delegado-repsol-2023.html" TargetMode="External"/><Relationship Id="rId724" Type="http://schemas.openxmlformats.org/officeDocument/2006/relationships/hyperlink" Target="https://www.guiarepsol.com/es/viajar/nos-gusta/cesteria-pirgano-lanzarote/" TargetMode="External"/><Relationship Id="rId3971" Type="http://schemas.openxmlformats.org/officeDocument/2006/relationships/hyperlink" Target="https://cadenaser.com/castillalamancha/2024/10/25/la-juez-no-dicta-medidas-cautelares-y-sigue-adelante-la-huelga-en-rlesa-puertollano-ser-ciudad-real/" TargetMode="External"/><Relationship Id="rId2640" Type="http://schemas.openxmlformats.org/officeDocument/2006/relationships/hyperlink" Target="https://www.eleconomista.es/actualidad/noticias/12916505/07/24/detectado-el-fallo-que-tumba-a-microsoft-y-bloquea-la-actividad-de-millones-de-empresas-en-el-mundo-repsol-aena-kutxabank-las-primeras-afectadas.html" TargetMode="External"/><Relationship Id="rId3970" Type="http://schemas.openxmlformats.org/officeDocument/2006/relationships/hyperlink" Target="https://www.miciudadreal.es/2024/10/25/el-juzgado-respalda-la-huelga-indefinida-de-los-trabajadores-de-repsol-lubricantes-y-asfaltos-en-puertollano-y-las-partes-se-aprestan-para-mediacion/" TargetMode="External"/><Relationship Id="rId1310" Type="http://schemas.openxmlformats.org/officeDocument/2006/relationships/hyperlink" Target="https://climatica.coop/greenwashing-iberdrola-repsol/" TargetMode="External"/><Relationship Id="rId2641" Type="http://schemas.openxmlformats.org/officeDocument/2006/relationships/hyperlink" Target="https://www.diariosur.es/tecnologia/caida-nivel-mundial-sistema-microsoft-aena-repsol-tarjetas-20240719092306-nt.html" TargetMode="External"/><Relationship Id="rId3973" Type="http://schemas.openxmlformats.org/officeDocument/2006/relationships/hyperlink" Target="https://www.guiarepsol.com/es/viajar/con-ninos/taller-de-micologia-para-ninos-en-soria/" TargetMode="External"/><Relationship Id="rId1311" Type="http://schemas.openxmlformats.org/officeDocument/2006/relationships/hyperlink" Target="https://www.eleconomista.es/energia/noticias/12740416/03/24/repsol-se-olvida-de-ribera-y-se-alia-con-bunge-para-impulsar-los-biocarburantes-en-espana.html" TargetMode="External"/><Relationship Id="rId2642" Type="http://schemas.openxmlformats.org/officeDocument/2006/relationships/hyperlink" Target="https://www.horajaen.com/2024/07/19/la-uja-reunira-a-una-quincena-de-estrellas-michelin-y-una-veintena-de-soles-repsol-en-un-curso-de-gastronomia/" TargetMode="External"/><Relationship Id="rId3972" Type="http://schemas.openxmlformats.org/officeDocument/2006/relationships/hyperlink" Target="https://infosocuellamos.com/el-yugo-ud-socuellamos-firma-un-convenio-con-la-empresa-repsol-dtbo/" TargetMode="External"/><Relationship Id="rId1301" Type="http://schemas.openxmlformats.org/officeDocument/2006/relationships/hyperlink" Target="https://www.repsol.com/es/energia-futuro/futuro-planeta/ods-9/index.cshtml" TargetMode="External"/><Relationship Id="rId2632" Type="http://schemas.openxmlformats.org/officeDocument/2006/relationships/hyperlink" Target="https://www.elle.com/es/gourmet/donde-comer/a61623621/casanatalia-restaurante-formentera-cocina-mediterranea-catalana/" TargetMode="External"/><Relationship Id="rId3964" Type="http://schemas.openxmlformats.org/officeDocument/2006/relationships/hyperlink" Target="https://www.elconfidencial.com/empresas/2024-10-25/cepsa-se-une-a-repsol-deja-en-stand-by-sus-inversiones-en-espana-por-el-impuestazo-y-da-prioridad-a-otros-paises_3990534/" TargetMode="External"/><Relationship Id="rId1302" Type="http://schemas.openxmlformats.org/officeDocument/2006/relationships/hyperlink" Target="https://www.moto1pro.com/enduropro/actualidad/doblete-para-el-repsol-honda-team-en-gironella" TargetMode="External"/><Relationship Id="rId2633" Type="http://schemas.openxmlformats.org/officeDocument/2006/relationships/hyperlink" Target="https://elperiodicodelaenergia.com/iberdrola-endesa-naturgy-y-repsol-lideran-el-ranking-de-autoconsumo-en-espana/" TargetMode="External"/><Relationship Id="rId3963" Type="http://schemas.openxmlformats.org/officeDocument/2006/relationships/hyperlink" Target="https://www.eleconomista.es/energia/noticias/13052503/10/24/repsol-se-alia-con-sr-mendrugo-para-la-fabricacion-de-cerveza.html" TargetMode="External"/><Relationship Id="rId1303" Type="http://schemas.openxmlformats.org/officeDocument/2006/relationships/hyperlink" Target="https://www.guiarepsol.com/es/soletes/donde-comer-rico-barato-zamora/" TargetMode="External"/><Relationship Id="rId2634" Type="http://schemas.openxmlformats.org/officeDocument/2006/relationships/hyperlink" Target="https://www.infobae.com/espana/2024/07/18/la-cafeteria-que-begona-rodrigo-recomienda-para-un-desayuno-frente-al-mar-en-valencia/" TargetMode="External"/><Relationship Id="rId3966" Type="http://schemas.openxmlformats.org/officeDocument/2006/relationships/hyperlink" Target="https://www.lasexta.com/noticias/nacional/cepsa-une-repsol-amenaza-retirar-sus-inversiones-espana-mantiene-impuesto-energeticas_20241025671b9fdad05841000170a2ab.html" TargetMode="External"/><Relationship Id="rId1304" Type="http://schemas.openxmlformats.org/officeDocument/2006/relationships/hyperlink" Target="https://ipmark.com/shell-marca-de-petroleo-y-gas-mas-valiosa-del-mundo/" TargetMode="External"/><Relationship Id="rId2635" Type="http://schemas.openxmlformats.org/officeDocument/2006/relationships/hyperlink" Target="https://www.elespanol.com/madrid/ocio/20240718/nueva-terraza-casa-comidas-solete-repsol-madrid-mezcla-rico-arroz-dj/870663091_0.html" TargetMode="External"/><Relationship Id="rId3965" Type="http://schemas.openxmlformats.org/officeDocument/2006/relationships/hyperlink" Target="https://cincodias.elpais.com/companias/2024-10-26/son-falsas-las-amenazas-de-repsol-y-cepsa-contra-el-impuesto-energetico.html" TargetMode="External"/><Relationship Id="rId1305" Type="http://schemas.openxmlformats.org/officeDocument/2006/relationships/hyperlink" Target="https://elperiodicodelaenergia.com/repsol-dispara-cuota-luz-6-iberdrola-endesa-lideres-pero-baja/" TargetMode="External"/><Relationship Id="rId2636" Type="http://schemas.openxmlformats.org/officeDocument/2006/relationships/hyperlink" Target="https://www.guiarepsol.com/es/soletes/donde-comer-en-la-costa-brava-segun-los-chefs/" TargetMode="External"/><Relationship Id="rId3968" Type="http://schemas.openxmlformats.org/officeDocument/2006/relationships/hyperlink" Target="https://www.elnacional.cat/oneconomia/es/empresas/cepsa-se-suma-repsol-congela-inversiones-por-impuestazo_1306159_102.html" TargetMode="External"/><Relationship Id="rId1306" Type="http://schemas.openxmlformats.org/officeDocument/2006/relationships/hyperlink" Target="https://www.eldebate.com/espana/galicia/la-coruna/20240325/estos-son-empleos-generara-nueva-planta-hidrogeno-cerceda-coruna_184298.html" TargetMode="External"/><Relationship Id="rId2637" Type="http://schemas.openxmlformats.org/officeDocument/2006/relationships/hyperlink" Target="https://www.elespanol.com/valencia/ocio/20240718/restaurante-carretera-solete-repsol-parar-pasas-valencia-trt/871412940_0.html" TargetMode="External"/><Relationship Id="rId3967" Type="http://schemas.openxmlformats.org/officeDocument/2006/relationships/hyperlink" Target="https://okdiario.com/economia/cepsa-sigue-repsol-lleva-sus-inversiones-fuera-espana-impuesto-extraordinario-sector-13703161" TargetMode="External"/><Relationship Id="rId1307" Type="http://schemas.openxmlformats.org/officeDocument/2006/relationships/hyperlink" Target="https://www.repsol.com/es/energia-futuro/futuro-planeta/ods-13/index.cshtml" TargetMode="External"/><Relationship Id="rId2638" Type="http://schemas.openxmlformats.org/officeDocument/2006/relationships/hyperlink" Target="https://www.sweetpress.com/noticias-breves/repsol-ofrece-el-servicio-de-devoluciones-amazon-KB16352932" TargetMode="External"/><Relationship Id="rId1308" Type="http://schemas.openxmlformats.org/officeDocument/2006/relationships/hyperlink" Target="https://elmercantil.com/2024/03/26/repsol-entra-como-accionista-en-las-terminales-de-bunge-en-bilbao-barcelona-y-cartagena/" TargetMode="External"/><Relationship Id="rId2639" Type="http://schemas.openxmlformats.org/officeDocument/2006/relationships/hyperlink" Target="https://www.ideal.es/economia/mi-hucha/repsol-confirma-problemas-pago-mayoria-gasolineras-fallo-20240719120541-nt.html" TargetMode="External"/><Relationship Id="rId3969" Type="http://schemas.openxmlformats.org/officeDocument/2006/relationships/hyperlink" Target="https://consensodelmercado.com/es/ibex-35/noticias/la-aop-de-la-que-forma-parte-repsol-contra-el-gobierno-y-su-intencion-de-mantener-el-impuesto-a-las-companias-energeticas" TargetMode="External"/><Relationship Id="rId1309" Type="http://schemas.openxmlformats.org/officeDocument/2006/relationships/hyperlink" Target="https://www.repsol.com/es/sala-prensa/notas-prensa/2024/repsol-bunge-alian-espana-impulsar-suministro-combustibles-renovables/index.cshtml" TargetMode="External"/><Relationship Id="rId719" Type="http://schemas.openxmlformats.org/officeDocument/2006/relationships/hyperlink" Target="https://www.guiarepsol.com/es/comer/nuestros-favoritos/restaurante-bakea-mungia-bizkaia/" TargetMode="External"/><Relationship Id="rId718" Type="http://schemas.openxmlformats.org/officeDocument/2006/relationships/hyperlink" Target="https://www.expansion.com/empresas/2024/02/26/65db88f3e5fdea21368b458a.html" TargetMode="External"/><Relationship Id="rId717" Type="http://schemas.openxmlformats.org/officeDocument/2006/relationships/hyperlink" Target="https://www.interempresas.net/Estaciones-servicio/Articulos/542399-Repsol-distribuira-combustibles-100-por-ciento-renovables-en-2000-estaciones-de-servicio.html" TargetMode="External"/><Relationship Id="rId712" Type="http://schemas.openxmlformats.org/officeDocument/2006/relationships/hyperlink" Target="https://www.mundodeportivo.com/motor/motogp/20240225/1002197374/marc-marquez-responde-opciones-futuro-mas-2024-smd.html" TargetMode="External"/><Relationship Id="rId711" Type="http://schemas.openxmlformats.org/officeDocument/2006/relationships/hyperlink" Target="https://elpais.com/gastronomia/restaurantes/2024-02-26/donde-comer-en-huesca-segun-los-propietarios-del-restaurante-callizo.html" TargetMode="External"/><Relationship Id="rId710" Type="http://schemas.openxmlformats.org/officeDocument/2006/relationships/hyperlink" Target="https://www.motor.mapfre.es/coches/noticias-coches/wible-servicio-carsharing-kia-repsol/" TargetMode="External"/><Relationship Id="rId716" Type="http://schemas.openxmlformats.org/officeDocument/2006/relationships/hyperlink" Target="https://www.libremercado.com/2024-02-26/repsol-pondra-en-operacion-este-ano-la-cifra-record-de-13-gw-renovables-7101486/" TargetMode="External"/><Relationship Id="rId715" Type="http://schemas.openxmlformats.org/officeDocument/2006/relationships/hyperlink" Target="https://www.eleconomista.es/energia/noticias/12693737/02/24/repsol-alcanzara-los-4-millones-de-clientes-de-luz-y-gas-en-2027.html" TargetMode="External"/><Relationship Id="rId714" Type="http://schemas.openxmlformats.org/officeDocument/2006/relationships/hyperlink" Target="https://www.20minutos.es/gastronomia/restaurantes/cuantos-restaurantes-tiene-martin-berasategui-cuanto-cuesta-comer-5219523/" TargetMode="External"/><Relationship Id="rId713" Type="http://schemas.openxmlformats.org/officeDocument/2006/relationships/hyperlink" Target="https://elcierredigital.com/investigacion/dia-que-condenaron-luis-roldan-exjefe-guardia-civil" TargetMode="External"/><Relationship Id="rId3960" Type="http://schemas.openxmlformats.org/officeDocument/2006/relationships/hyperlink" Target="https://elperiodicodelaenergia.com/montero-admite-que-sin-apoyo-suficiente-en-el-congreso-el-impuesto-a-energeticas-y-banca-no-podra-continuar/" TargetMode="External"/><Relationship Id="rId2630" Type="http://schemas.openxmlformats.org/officeDocument/2006/relationships/hyperlink" Target="https://www.heraldo.es/noticias/gastronomia/2024/07/18/restaurante-posada-lalola-buera-nuevo-solete-repsol-verano-2024-1746342.html" TargetMode="External"/><Relationship Id="rId3962" Type="http://schemas.openxmlformats.org/officeDocument/2006/relationships/hyperlink" Target="https://energiaadebate.com/renuncia-repsol-a-parte-de-bloque-en-aguas-profundas/" TargetMode="External"/><Relationship Id="rId1300" Type="http://schemas.openxmlformats.org/officeDocument/2006/relationships/hyperlink" Target="https://www.expansion.com/empresas/energia/2024/03/25/6600a540e5fdea2a288b45a2.html" TargetMode="External"/><Relationship Id="rId2631" Type="http://schemas.openxmlformats.org/officeDocument/2006/relationships/hyperlink" Target="https://www.guiarepsol.com/es/viajar/vamos-de-excursion/visita-a-los-jardines-del-palacio-de-liria-madrid/" TargetMode="External"/><Relationship Id="rId3961" Type="http://schemas.openxmlformats.org/officeDocument/2006/relationships/hyperlink" Target="https://elpais.com/economia/2024-10-25/hacienda-busca-blindar-el-impuesto-a-banca-y-energeticas-con-un-nuevo-diseno-para-evitar-litigios.html" TargetMode="External"/><Relationship Id="rId3117" Type="http://schemas.openxmlformats.org/officeDocument/2006/relationships/hyperlink" Target="https://www.bolsamania.com/noticias/analisis-tecnico/negros-nubarrones-en-repsol--17395314.html" TargetMode="External"/><Relationship Id="rId4448" Type="http://schemas.openxmlformats.org/officeDocument/2006/relationships/hyperlink" Target="https://www.repsol.es/autonomos-y-empresas/asesoramiento/instalacion-obligatoria-de-cargadores-electricos-en-aparcamientos/" TargetMode="External"/><Relationship Id="rId3116" Type="http://schemas.openxmlformats.org/officeDocument/2006/relationships/hyperlink" Target="https://www.cronista.com/espana/economia-finanzas/la-accion-de-repsol-en-caida-libre-oportunidad-para-comprar/" TargetMode="External"/><Relationship Id="rId4447" Type="http://schemas.openxmlformats.org/officeDocument/2006/relationships/hyperlink" Target="https://www.heraldo.es/noticias/gastronomia/2024/11/15/establecimientos-zaragoza-solete-solera-guia-repsol-2024-1777835.html" TargetMode="External"/><Relationship Id="rId3119" Type="http://schemas.openxmlformats.org/officeDocument/2006/relationships/hyperlink" Target="https://www.bolsamania.com/noticias/analisis-tecnico/consultorio-de-analisis-tecnico-iag-endesa-enagas-repsol-talgo-acerinox-dow-jones--17396670.html" TargetMode="External"/><Relationship Id="rId3118" Type="http://schemas.openxmlformats.org/officeDocument/2006/relationships/hyperlink" Target="https://metropoliabierta.elespanol.com/gastro/20240904/el-bar-de-carretera-con-solete-repsol-donde-tienes-que-parar-si-vas-mataro-tiene-un-menu-euros/883411657_0.html" TargetMode="External"/><Relationship Id="rId4449" Type="http://schemas.openxmlformats.org/officeDocument/2006/relationships/hyperlink" Target="https://motor.elpais.com/tecnologia/el-nuevo-y-revolucionario-combustible-que-llega-a-las-gasolineras/" TargetMode="External"/><Relationship Id="rId4440" Type="http://schemas.openxmlformats.org/officeDocument/2006/relationships/hyperlink" Target="https://www.heraldo.es/multimedia/imagenes/gastronomia/fotos-nueva-hamburgueseria-juacnchobbq-solete-repsol-zaragoza/" TargetMode="External"/><Relationship Id="rId3111" Type="http://schemas.openxmlformats.org/officeDocument/2006/relationships/hyperlink" Target="https://as.com/motor/motociclismo/marini-tira-de-humor-al-final-gane-y-marquez-fue-segundo-n/" TargetMode="External"/><Relationship Id="rId4442" Type="http://schemas.openxmlformats.org/officeDocument/2006/relationships/hyperlink" Target="https://www.elespanol.com/eldigitalcastillalamancha/vivir/gastro/20241114/restaurante-pueblo-guadalajara-habitantes-recomienda-guia-repsol-ideal-perderse/901160298_0.html" TargetMode="External"/><Relationship Id="rId3110" Type="http://schemas.openxmlformats.org/officeDocument/2006/relationships/hyperlink" Target="https://www.eleconomista.es/mercados-cotizaciones/noticias/12969357/09/24/las-empresas-retoman-las-emisiones-de-deuda-antes-de-lo-habitual-tras-el-paron-del-verano.html" TargetMode="External"/><Relationship Id="rId4441" Type="http://schemas.openxmlformats.org/officeDocument/2006/relationships/hyperlink" Target="https://www.guiarepsol.com/es/viajar/vamos-de-excursion/pueblos-bonitos-de-zaragoza/" TargetMode="External"/><Relationship Id="rId3113" Type="http://schemas.openxmlformats.org/officeDocument/2006/relationships/hyperlink" Target="https://www.bolsamania.com/noticias/analisis-tecnico/telefonica-y-dos-valores-mas-que-han-perforado-resistencias-este-martes--17402882.html" TargetMode="External"/><Relationship Id="rId4444" Type="http://schemas.openxmlformats.org/officeDocument/2006/relationships/hyperlink" Target="https://www.elnortedecastilla.es/palencia/establecimientos-palencia-solete-repsol-20241115182919-nt.html" TargetMode="External"/><Relationship Id="rId3112" Type="http://schemas.openxmlformats.org/officeDocument/2006/relationships/hyperlink" Target="https://www.guiarepsol.com/es/dormir/en-la-gloria/hotel-cala-saona-formentera/" TargetMode="External"/><Relationship Id="rId4443" Type="http://schemas.openxmlformats.org/officeDocument/2006/relationships/hyperlink" Target="https://www.elespanol.com/cocinillas/actualidad-gastronomica/20241114/restaurante-valladolid-cocina-mejor-pincho-mundo-tapas-premiado-guia-repsol/901160000_0.html" TargetMode="External"/><Relationship Id="rId3115" Type="http://schemas.openxmlformats.org/officeDocument/2006/relationships/hyperlink" Target="https://es.ara.cat/economia/empresas/drones-militares-pozos-petroleo-diplomacia-trama-golpea-repsol_1_5130545.html" TargetMode="External"/><Relationship Id="rId4446" Type="http://schemas.openxmlformats.org/officeDocument/2006/relationships/hyperlink" Target="https://www.europapress.es/castilla-lamancha/noticia-comite-repsol-lubricantes-asfaltos-puertollano-desconvoca-huelga-miedo-perder-empleos-20241115134432.html" TargetMode="External"/><Relationship Id="rId3114" Type="http://schemas.openxmlformats.org/officeDocument/2006/relationships/hyperlink" Target="https://tarifaluzhora.es/companias/repsol/app-waylet" TargetMode="External"/><Relationship Id="rId4445" Type="http://schemas.openxmlformats.org/officeDocument/2006/relationships/hyperlink" Target="https://www.valenciabonita.es/2024/11/15/soletes-guia-repsol-2024-comunitat-valenciana/" TargetMode="External"/><Relationship Id="rId3106" Type="http://schemas.openxmlformats.org/officeDocument/2006/relationships/hyperlink" Target="https://www.diaridetarragona.com/tarragona/reactor-nave-espacial-repsol-quimica-poligono-petroquimica-tarragona-KL20905618" TargetMode="External"/><Relationship Id="rId4437" Type="http://schemas.openxmlformats.org/officeDocument/2006/relationships/hyperlink" Target="https://www.eleconomista.es/mercados-cotizaciones/noticias/13084512/11/24/el-petroleo-del-pais-con-mas-reservas-del-mundo-resurge-con-espana-como-protagonista-el-crudo-con-el-que-nadie-contaba-ha-vuelto.html" TargetMode="External"/><Relationship Id="rId3105" Type="http://schemas.openxmlformats.org/officeDocument/2006/relationships/hyperlink" Target="https://www.bolsamania.com/noticias/empresas/jp-morgan-repsol-grupo-petroleras-favoritas-recorta-precio--17402064.html" TargetMode="External"/><Relationship Id="rId4436" Type="http://schemas.openxmlformats.org/officeDocument/2006/relationships/hyperlink" Target="https://www.diariodejerez.es/que-hacer/venta-medina-sidonia-solete-solera_0_2002779628.html" TargetMode="External"/><Relationship Id="rId3108" Type="http://schemas.openxmlformats.org/officeDocument/2006/relationships/hyperlink" Target="https://www.repsol.es/particulares/hogar/bombona-butano-propano/accesorios-bombonas/" TargetMode="External"/><Relationship Id="rId4439" Type="http://schemas.openxmlformats.org/officeDocument/2006/relationships/hyperlink" Target="https://www.elespanol.com/aragon/vivir/20241114/bar-historico-zaragoza-solete-repsol-invento-jamon-batido-tapas-deliciosas-aragon-trt/900660227_0.html" TargetMode="External"/><Relationship Id="rId3107" Type="http://schemas.openxmlformats.org/officeDocument/2006/relationships/hyperlink" Target="https://www.estrategiasdeinversion.com/actualidad/noticias/bolsa-espana/el-ibex-35-se-impulsa-por-encima-de-los-11400-n-741269" TargetMode="External"/><Relationship Id="rId4438" Type="http://schemas.openxmlformats.org/officeDocument/2006/relationships/hyperlink" Target="https://www.guiarepsol.com/es/comer/nuestros-favoritos/provincia-de-granada-que-hacer-y-donde-comer/" TargetMode="External"/><Relationship Id="rId3109" Type="http://schemas.openxmlformats.org/officeDocument/2006/relationships/hyperlink" Target="https://www.boxrepsol.com/es/motogp/horarios-donde-ver-motogp-san-marino/" TargetMode="External"/><Relationship Id="rId3100" Type="http://schemas.openxmlformats.org/officeDocument/2006/relationships/hyperlink" Target="https://www.expansion.com/mercados/2024/09/03/66d62938e5fdea434d8b45aa.html" TargetMode="External"/><Relationship Id="rId4431" Type="http://schemas.openxmlformats.org/officeDocument/2006/relationships/hyperlink" Target="https://www.hellochefs.es/pasteleria/v/mas-de-50-pastelerias-sabores-siempre-reciben-distincion-solete-solera-guia-repsol" TargetMode="External"/><Relationship Id="rId4430" Type="http://schemas.openxmlformats.org/officeDocument/2006/relationships/hyperlink" Target="https://www.heraldo.es/noticias/gastronomia/2024/11/14/hamburgueseria-juanchobbq-solete-repsol-centro-zaragoza-1777658.html" TargetMode="External"/><Relationship Id="rId3102" Type="http://schemas.openxmlformats.org/officeDocument/2006/relationships/hyperlink" Target="https://www.xtb.com/es/analisis-de-mercado/las-acciones-de-repsol-caen-a-pesar-de-las-compras-de-su-ceo" TargetMode="External"/><Relationship Id="rId4433" Type="http://schemas.openxmlformats.org/officeDocument/2006/relationships/hyperlink" Target="https://cronicavasca.elespanol.com/gastronomia/20241114/este-restaurante-bizkaia-guia-repsol-cocina-tradicional/901159916_0.html" TargetMode="External"/><Relationship Id="rId3101" Type="http://schemas.openxmlformats.org/officeDocument/2006/relationships/hyperlink" Target="https://www.repsol.es/particulares/asesoramiento-consumo/como-canjear-saldo-waylet-en-factura-luz/" TargetMode="External"/><Relationship Id="rId4432" Type="http://schemas.openxmlformats.org/officeDocument/2006/relationships/hyperlink" Target="https://www.andaluciacentro.com/malaga/antequera/antequera/47193/la-guia-repsol-distingue-un-bar-de-antequera-con-uno-de-sus-soletes" TargetMode="External"/><Relationship Id="rId3104" Type="http://schemas.openxmlformats.org/officeDocument/2006/relationships/hyperlink" Target="https://www.guiarepsol.com/es/comer/nuestros-favoritos/restaurante-donaire-costa-adeje-tenerife/" TargetMode="External"/><Relationship Id="rId4435" Type="http://schemas.openxmlformats.org/officeDocument/2006/relationships/hyperlink" Target="https://www.infobierzo.com/bierzo-noticias/restaurante-bierzo-madrid-soletes-solera-repsol_1018645_102.html" TargetMode="External"/><Relationship Id="rId3103" Type="http://schemas.openxmlformats.org/officeDocument/2006/relationships/hyperlink" Target="https://www.capitalradio.es/noticias/bolsa/niveles-compra-repsol-buen-refugio-donde-estar_132757628.html" TargetMode="External"/><Relationship Id="rId4434" Type="http://schemas.openxmlformats.org/officeDocument/2006/relationships/hyperlink" Target="https://www.hoyaragon.es/articulo/gastrolike/juancho-s-bbq-conquista-zaragoza-hamburguesas-premiadas-solete-repsol/20241114174534079680.html" TargetMode="External"/><Relationship Id="rId3139" Type="http://schemas.openxmlformats.org/officeDocument/2006/relationships/hyperlink" Target="https://www.guiarepsol.com/es/comer/nuestros-favoritos/heladeria-artesanal-helados-de-luna-somo-castro-urdiales-cantabr/" TargetMode="External"/><Relationship Id="rId3138" Type="http://schemas.openxmlformats.org/officeDocument/2006/relationships/hyperlink" Target="https://www.laopinioncoruna.es/economia/2024/09/06/repsol-cepsa-bp-alertan-crimen-107797633.html" TargetMode="External"/><Relationship Id="rId4469" Type="http://schemas.openxmlformats.org/officeDocument/2006/relationships/hyperlink" Target="https://www.eleconomista.es/mercados-cotizaciones/noticias/13088456/11/24/las-perdidas-en-cellnex-y-repsol-son-recuperables-para-la-cartera.html" TargetMode="External"/><Relationship Id="rId4460" Type="http://schemas.openxmlformats.org/officeDocument/2006/relationships/hyperlink" Target="https://www.diariodecadiz.es/cadizfornia/son-platos-estrella-podras-probar_0_2002791519.html" TargetMode="External"/><Relationship Id="rId3131" Type="http://schemas.openxmlformats.org/officeDocument/2006/relationships/hyperlink" Target="https://www.huleymantel.com/barras-estrellas/unico-buffet-libre-aragon-solete-repsol_102347_102.html" TargetMode="External"/><Relationship Id="rId4462" Type="http://schemas.openxmlformats.org/officeDocument/2006/relationships/hyperlink" Target="https://www.guiarepsol.com/es/comer/nuestros-favoritos/el-nuevo-kappo-de-mario-payan-madrid/" TargetMode="External"/><Relationship Id="rId3130" Type="http://schemas.openxmlformats.org/officeDocument/2006/relationships/hyperlink" Target="https://okdiario.com/gastronomia/4-mejores-bares-carretera-si-viajas-madrid-barcelona-segun-guia-repsol-13394424" TargetMode="External"/><Relationship Id="rId4461" Type="http://schemas.openxmlformats.org/officeDocument/2006/relationships/hyperlink" Target="https://www.expansion.com/directivos/estilo-vida/rincones-gastronomicos/2024/11/15/6737adb0e5fdeadd108b45a0.html" TargetMode="External"/><Relationship Id="rId3133" Type="http://schemas.openxmlformats.org/officeDocument/2006/relationships/hyperlink" Target="https://www.bancaynegocios.com/exportaciones-de-petroleo-venezolano-reportaron-aumento-mensual-de-50-porciento-en-agosto/" TargetMode="External"/><Relationship Id="rId4464" Type="http://schemas.openxmlformats.org/officeDocument/2006/relationships/hyperlink" Target="https://okdiario.com/gastronomia/favorito-camioneros-restaurante-carretera-que-puedes-comer-15-euros-aparece-guia-repsol-13822373" TargetMode="External"/><Relationship Id="rId3132" Type="http://schemas.openxmlformats.org/officeDocument/2006/relationships/hyperlink" Target="https://www.elespanol.com/valencia/ocio/20240905/pueblo-mejor-come-valencia-combinacion-cocina-tradicional-huerta-mar-trt/883661708_0.html" TargetMode="External"/><Relationship Id="rId4463" Type="http://schemas.openxmlformats.org/officeDocument/2006/relationships/hyperlink" Target="https://elpais.com/suscripciones/elpaismas/experiencias/2024-11-15/asiste-a-los-premios-cincodias-a-la-innovacion-empresarial-2024.html" TargetMode="External"/><Relationship Id="rId3135" Type="http://schemas.openxmlformats.org/officeDocument/2006/relationships/hyperlink" Target="https://www.aragonhoy.es/medio-ambiente-turismo/medio-ambiente-firma-convenio-repsol-instalar-70-puntos-recogida-aceite-cocina-usado-estaciones-servicio-97220" TargetMode="External"/><Relationship Id="rId4466" Type="http://schemas.openxmlformats.org/officeDocument/2006/relationships/hyperlink" Target="https://www.lacomarcadepuertollano.com/articulo/puertollano/puertollano-huelga-indefinida-rlesa-llega-fin-39-dias-despues-miedo-perder-puestos-trabajo/20241115095017569854.html" TargetMode="External"/><Relationship Id="rId3134" Type="http://schemas.openxmlformats.org/officeDocument/2006/relationships/hyperlink" Target="https://finanzasdigital.com/exportaciones-petroleo-venezuela-agosto-2024/" TargetMode="External"/><Relationship Id="rId4465" Type="http://schemas.openxmlformats.org/officeDocument/2006/relationships/hyperlink" Target="https://www.miciudadreal.es/2024/11/15/el-comite-de-repsol-lubricantes-y-asfaltos-de-puertollano-desconvoca-la-huelga-por-miedo-a-perder-empleos-y-parte-de-la-plantilla-critica-la-estrategia-sindical/" TargetMode="External"/><Relationship Id="rId3137" Type="http://schemas.openxmlformats.org/officeDocument/2006/relationships/hyperlink" Target="https://www.europapress.es/economia/noticia-imaz-repsol-reconocido-mejor-ceo-europa-sector-hidrocarburos-20240906144509.html" TargetMode="External"/><Relationship Id="rId4468" Type="http://schemas.openxmlformats.org/officeDocument/2006/relationships/hyperlink" Target="https://www.boxrepsol.com/es/motogp/resultados-de-los-entrenamientos-del-gp-solidario-de-motogp-2024/" TargetMode="External"/><Relationship Id="rId3136" Type="http://schemas.openxmlformats.org/officeDocument/2006/relationships/hyperlink" Target="https://www.heraldo.es/noticias/sociedad/2024/09/06/repsol-instalara-puntos-recogida-aceite-cocina-usado-estaciones-servicio-1760793.html" TargetMode="External"/><Relationship Id="rId4467" Type="http://schemas.openxmlformats.org/officeDocument/2006/relationships/hyperlink" Target="https://www.elconfidencial.com/espana/aragon/2024-11-15/restaurante-zaragoza-solete-repsol-1qrt-1tna_4004711/" TargetMode="External"/><Relationship Id="rId3128" Type="http://schemas.openxmlformats.org/officeDocument/2006/relationships/hyperlink" Target="https://www.eleconomista.es/mercados-cotizaciones/noticias/12972667/09/24/la-caida-del-precio-del-crudo-eleva-la-rentabilidad-por-dividendo-de-las-petroleras-europeas-al-67.html" TargetMode="External"/><Relationship Id="rId4459" Type="http://schemas.openxmlformats.org/officeDocument/2006/relationships/hyperlink" Target="https://www.huelvainformacion.es/destino-huelva/platos-debes-probar-bodeguita-huelva_0_2002787953.html" TargetMode="External"/><Relationship Id="rId3127" Type="http://schemas.openxmlformats.org/officeDocument/2006/relationships/hyperlink" Target="https://www.guiarepsol.com/es/comer/nuestros-favoritos/fritura-malaguena-top-bar-guerra-san-pedro-alcantara-malaga/" TargetMode="External"/><Relationship Id="rId4458" Type="http://schemas.openxmlformats.org/officeDocument/2006/relationships/hyperlink" Target="https://autopos.es/posventa-camion/los-politicos-espanoles-van-a-bruselas-a-defender-ideologia/" TargetMode="External"/><Relationship Id="rId3129" Type="http://schemas.openxmlformats.org/officeDocument/2006/relationships/hyperlink" Target="https://cincodias.elpais.com/economia/2024-09-05/imaz-reclama-la-eliminacion-del-impuesto-a-las-energeticas-para-acelerar-las-inversiones.html" TargetMode="External"/><Relationship Id="rId3120" Type="http://schemas.openxmlformats.org/officeDocument/2006/relationships/hyperlink" Target="https://www.capitalradio.es/noticias/bolsa/invertir-bitcoin-acabara-yendo-alza-segun-ortega_132784643.html" TargetMode="External"/><Relationship Id="rId4451" Type="http://schemas.openxmlformats.org/officeDocument/2006/relationships/hyperlink" Target="https://www.elespanol.com/quincemil/vivir/gastrosantiago/20241115/guia-repsol-premia-tradicion-santiago-soletes-no-esperaba-rapido/901160360_0.html" TargetMode="External"/><Relationship Id="rId4450" Type="http://schemas.openxmlformats.org/officeDocument/2006/relationships/hyperlink" Target="https://elcierredigital.com/investigacion/pnv-y-junts-abandonan-pedro-sanchez-para-alegria-repsol-y-colonial" TargetMode="External"/><Relationship Id="rId3122" Type="http://schemas.openxmlformats.org/officeDocument/2006/relationships/hyperlink" Target="https://okdiario.com/gastronomia/restaurante-carretera-mas-espanol-camino-barcelona-abierto-24-horas-buffet-libre-13394843" TargetMode="External"/><Relationship Id="rId4453" Type="http://schemas.openxmlformats.org/officeDocument/2006/relationships/hyperlink" Target="https://www.guiarepsol.com/es/comer/nuestros-favoritos/restaurante-bar-fm-granada/" TargetMode="External"/><Relationship Id="rId3121" Type="http://schemas.openxmlformats.org/officeDocument/2006/relationships/hyperlink" Target="https://www.elperiodicoextremadura.com/ocio/tv/2024/09/04/alaska-dioni-camela-leticia-sabater-107733268.html" TargetMode="External"/><Relationship Id="rId4452" Type="http://schemas.openxmlformats.org/officeDocument/2006/relationships/hyperlink" Target="https://www.energias-renovables.com/panorama/el-pp-da-el-nltimo-paso-para-20241115" TargetMode="External"/><Relationship Id="rId3124" Type="http://schemas.openxmlformats.org/officeDocument/2006/relationships/hyperlink" Target="https://www.libremercado.com/2024-09-05/una-parte-del-gobierno-se-lanza-a-por-repsol-por-desafiar-los-mantras-ecologista-quiere-sanciones-por-greenwashing-7160732/" TargetMode="External"/><Relationship Id="rId4455" Type="http://schemas.openxmlformats.org/officeDocument/2006/relationships/hyperlink" Target="https://www.vozpopuli.com/gastropoli/soletes-repsol-2024-otros-330-nuevos-se-unen-a-la-tradicion-gastronomica.html" TargetMode="External"/><Relationship Id="rId3123" Type="http://schemas.openxmlformats.org/officeDocument/2006/relationships/hyperlink" Target="https://www.bolsamania.com/noticias/analisis-tecnico/grifols-se-anima-este-es-el-nivel-clave-de-resistencia--17402634.html" TargetMode="External"/><Relationship Id="rId4454" Type="http://schemas.openxmlformats.org/officeDocument/2006/relationships/hyperlink" Target="https://cadenaser.com/galicia/2024/11/15/conocemos-los-solete-con-solera-de-la-guia-repsol-en-a-coruna-radio-coruna/" TargetMode="External"/><Relationship Id="rId3126" Type="http://schemas.openxmlformats.org/officeDocument/2006/relationships/hyperlink" Target="https://www.epe.es/es/activos/20240905/fraude-gasolinerras-gasolina-diesel-repsol-cepsa-bp-crimen-organizado-107778678" TargetMode="External"/><Relationship Id="rId4457" Type="http://schemas.openxmlformats.org/officeDocument/2006/relationships/hyperlink" Target="https://www.economiadigital.es/economia/merlin-y-colonial-tiran-del-manual-repsol-para-bloquear-la-supresion-del-regimen-de-las-socimis.html" TargetMode="External"/><Relationship Id="rId3125" Type="http://schemas.openxmlformats.org/officeDocument/2006/relationships/hyperlink" Target="https://www.heraldo.es/noticias/gastronomia/2024/09/05/mejores-restaurantes-soletes-carretera-aragon-guia-repsol-1672255.html" TargetMode="External"/><Relationship Id="rId4456" Type="http://schemas.openxmlformats.org/officeDocument/2006/relationships/hyperlink" Target="https://www.farodevigo.es/escaparate/2024/11/15/codisoil-estrena-servicio-luz-gas-111385955.html" TargetMode="External"/><Relationship Id="rId1378" Type="http://schemas.openxmlformats.org/officeDocument/2006/relationships/hyperlink" Target="https://www.boxrepsol.com/es/rally/isidre-esteve-lucas-moraes-y-seth-quintero-preparados-para-el-rally-transiberico-2024/" TargetMode="External"/><Relationship Id="rId4404" Type="http://schemas.openxmlformats.org/officeDocument/2006/relationships/hyperlink" Target="https://www.hola.com/cocina/noticias/20241112729416/guia-repsol-listado-soletes-con-solera-restaurantes-cocina-tradicional-2024/" TargetMode="External"/><Relationship Id="rId1379" Type="http://schemas.openxmlformats.org/officeDocument/2006/relationships/hyperlink" Target="https://www.elespanol.com/malaga/malaga-ciudad/20240402/bosque-urbano-anos-batalla-gran-zona-verde-no-pone-piedras-desarrollo-malaga-favorece/844415906_0.html" TargetMode="External"/><Relationship Id="rId4403" Type="http://schemas.openxmlformats.org/officeDocument/2006/relationships/hyperlink" Target="https://www.elespanol.com/treintayseis/vivir/gastrovigo/20241112/molino-vigo-celebra-solete-respetamos-tradicion-innovando/900660071_0.html" TargetMode="External"/><Relationship Id="rId4406" Type="http://schemas.openxmlformats.org/officeDocument/2006/relationships/hyperlink" Target="https://cadenaser.com/castillayleon/2024/11/13/aranda-de-duero-suma-un-nuevo-local-reconocido-por-la-guia-repsol-radio-aranda/" TargetMode="External"/><Relationship Id="rId4405" Type="http://schemas.openxmlformats.org/officeDocument/2006/relationships/hyperlink" Target="https://www.eleconomista.es/infraestructuras-servicios/noticias/13081630/11/24/serveo-se-queda-con-el-negocio-de-mantenimiento-de-la-concursada-navec.html" TargetMode="External"/><Relationship Id="rId4408" Type="http://schemas.openxmlformats.org/officeDocument/2006/relationships/hyperlink" Target="https://www.bolsamania.com/noticias/analisis-tecnico/repsol-siguen-los-equilibrios-en-el-borde-del-acantilado--18015536.html" TargetMode="External"/><Relationship Id="rId4407" Type="http://schemas.openxmlformats.org/officeDocument/2006/relationships/hyperlink" Target="https://www.elconfidencial.com/espana/madrid/2024-11-13/madrid-soletes-solera-guia-repsol-1qrt-1tna_4002072/" TargetMode="External"/><Relationship Id="rId4409" Type="http://schemas.openxmlformats.org/officeDocument/2006/relationships/hyperlink" Target="https://okdiario.com/coolthelifestyle/lifestyle/kebab-not-kebab-madrid-solete-repsol-envuelto-oro-que-esta-arrasando-772283" TargetMode="External"/><Relationship Id="rId789" Type="http://schemas.openxmlformats.org/officeDocument/2006/relationships/hyperlink" Target="https://www.lavozdegalicia.es/noticia/coruna/2024/03/02/repsol-invirtio-126-millones-traslado-puerto-exterior-corunes/00031709404036881542839.htm" TargetMode="External"/><Relationship Id="rId788" Type="http://schemas.openxmlformats.org/officeDocument/2006/relationships/hyperlink" Target="https://www.faconauto.com/noticias-automocion/repsol/" TargetMode="External"/><Relationship Id="rId787" Type="http://schemas.openxmlformats.org/officeDocument/2006/relationships/hyperlink" Target="https://www.gastroeconomy.com/2024/03/lista-completa-de-restaurantes-con-soles-de-guia-repsol-en-2024/" TargetMode="External"/><Relationship Id="rId786" Type="http://schemas.openxmlformats.org/officeDocument/2006/relationships/hyperlink" Target="https://gestion.pe/tendencias/combustible-promociones-club-de-suscriptores-ahorra-en-combustible-con-las-promos-de-repsol-club-de-suscriptores-repsol-noticia/" TargetMode="External"/><Relationship Id="rId781" Type="http://schemas.openxmlformats.org/officeDocument/2006/relationships/hyperlink" Target="https://www.laopiniondemurcia.es/murcia/2024/03/03/tapas-autor-conquistan-murcia-motivo-98959368.html" TargetMode="External"/><Relationship Id="rId1370" Type="http://schemas.openxmlformats.org/officeDocument/2006/relationships/hyperlink" Target="https://www.academiatv.es/masterchef-12-regresa-a-la-1/" TargetMode="External"/><Relationship Id="rId780" Type="http://schemas.openxmlformats.org/officeDocument/2006/relationships/hyperlink" Target="https://cincodias.elpais.com/companias/2024-03-04/el-trienio-de-oro-de-las-energeticas.html" TargetMode="External"/><Relationship Id="rId1371" Type="http://schemas.openxmlformats.org/officeDocument/2006/relationships/hyperlink" Target="https://noticiastrabajo.huffingtonpost.es/economia/consumo/precio-gasolina-diesel-1-abril-2024/" TargetMode="External"/><Relationship Id="rId1372" Type="http://schemas.openxmlformats.org/officeDocument/2006/relationships/hyperlink" Target="https://www.traveler.es/galerias/razones-culinarias-para-reservar-en-el-royal-hideaway-corales" TargetMode="External"/><Relationship Id="rId1373" Type="http://schemas.openxmlformats.org/officeDocument/2006/relationships/hyperlink" Target="https://emprendedores.es/ayudas/legit-health/" TargetMode="External"/><Relationship Id="rId785" Type="http://schemas.openxmlformats.org/officeDocument/2006/relationships/hyperlink" Target="https://www.elespanol.com/quincemil/economia/empresas/20240303/terminal-maritimo-repsol-puerto-exterior-coruna-cumple-ano/837166456_0.html" TargetMode="External"/><Relationship Id="rId1374" Type="http://schemas.openxmlformats.org/officeDocument/2006/relationships/hyperlink" Target="https://rpp.pe/lima/actualidad/ventanilla-extorsionador-homicidas-y-acusado-de-trafico-de-armas-cobraron-indemnizacion-por-el-derrame-de-petroleo-noticia-1544462" TargetMode="External"/><Relationship Id="rId4400" Type="http://schemas.openxmlformats.org/officeDocument/2006/relationships/hyperlink" Target="https://www.lne.es/grado/2024/11/12/restaurante-grado-entra-exclusivo-club-111617719.html" TargetMode="External"/><Relationship Id="rId784" Type="http://schemas.openxmlformats.org/officeDocument/2006/relationships/hyperlink" Target="https://efe.com/murcia/2024-03-03/chicote-freitas-y-susi-diaz-prepararon-el-aperitivo-en-bares-emblematicos-de-murcia/" TargetMode="External"/><Relationship Id="rId1375" Type="http://schemas.openxmlformats.org/officeDocument/2006/relationships/hyperlink" Target="https://www.elconfidencialdigital.com/articulo/dinero/guerra-iberdrola-repsol-esconde-pugna-poder-pais-vasco/20240329000000750065.html" TargetMode="External"/><Relationship Id="rId783" Type="http://schemas.openxmlformats.org/officeDocument/2006/relationships/hyperlink" Target="https://cadenaser.com/galicia/2024/03/03/lucia-freitas-galardonada-con-un-sol-sostenible-la-gastronomia-de-este-pais-esta-sostenida-por-mujeres-radio-galicia/" TargetMode="External"/><Relationship Id="rId1376" Type="http://schemas.openxmlformats.org/officeDocument/2006/relationships/hyperlink" Target="https://www.comillas.edu/noticias/el-potencial-de-la-descarbonizacion-de-la-industria-papelera/" TargetMode="External"/><Relationship Id="rId4402" Type="http://schemas.openxmlformats.org/officeDocument/2006/relationships/hyperlink" Target="https://almadepueblos.es/cinco-soletes-con-solera-en-jaen-establecimientos-fieles-a-sus-raices/" TargetMode="External"/><Relationship Id="rId782" Type="http://schemas.openxmlformats.org/officeDocument/2006/relationships/hyperlink" Target="https://www.orm.es/noticias-2024/chicote-lucia-freitas-y-susi-diaz-preparan-el-aperitivo-en-los-bares-de-la-ciudad-de-murcia/" TargetMode="External"/><Relationship Id="rId1377" Type="http://schemas.openxmlformats.org/officeDocument/2006/relationships/hyperlink" Target="https://www.repsol.com/es/energia-futuro/futuro-planeta/ods-8/index.cshtml" TargetMode="External"/><Relationship Id="rId4401" Type="http://schemas.openxmlformats.org/officeDocument/2006/relationships/hyperlink" Target="https://metropoliabierta.elespanol.com/vivir-en-barcelona/20241112/el-restaurante-de-fast-food-toda-la-vida-en-barcelona-con-solete-repsol-bocadillos-desde-los-euros/900659959_0.html" TargetMode="External"/><Relationship Id="rId1367" Type="http://schemas.openxmlformats.org/officeDocument/2006/relationships/hyperlink" Target="https://elpais.com/economia/branded/economia-circular/2024-04-01/el-combustible-renovable-innovadora-solucion-para-reducir-las-emisiones-del-transporte.html" TargetMode="External"/><Relationship Id="rId2698" Type="http://schemas.openxmlformats.org/officeDocument/2006/relationships/hyperlink" Target="https://www.cartagena.es/detalle_noticias.asp?id=79132" TargetMode="External"/><Relationship Id="rId1368" Type="http://schemas.openxmlformats.org/officeDocument/2006/relationships/hyperlink" Target="https://cadenaser.com/cmadrid/2024/04/01/mostoles-en-el-centro-del-desarrollo-de-combustibles-sostenibles-de-aviacion-con-un-hub-de-innovacion-tecnologica-ser-madrid-oeste/" TargetMode="External"/><Relationship Id="rId2699" Type="http://schemas.openxmlformats.org/officeDocument/2006/relationships/hyperlink" Target="https://www.elmundo.es/economia/empresas/2024/07/24/66a0a823fc6c830e528b45ad.html" TargetMode="External"/><Relationship Id="rId1369" Type="http://schemas.openxmlformats.org/officeDocument/2006/relationships/hyperlink" Target="https://elcomercio.pe/lima/indemnizaron-a-delincuentes-y-asesinos-criminales-ocuparon-el-lugar-de-damnificados-por-el-derrame-de-petroleo-de-repsol-sicarios-traficantes-la-pampilla-ventanilla-derrame-de-petroleo-noticia/" TargetMode="External"/><Relationship Id="rId778" Type="http://schemas.openxmlformats.org/officeDocument/2006/relationships/hyperlink" Target="https://diariodeavisos.elespanol.com/2024/03/soles-repsol-tenerife/" TargetMode="External"/><Relationship Id="rId777" Type="http://schemas.openxmlformats.org/officeDocument/2006/relationships/hyperlink" Target="https://www.guiarepsol.com/es/soles-repsol/soles-2024/de-tapas-con-los-soles-por-murcia-gala-2024/" TargetMode="External"/><Relationship Id="rId776" Type="http://schemas.openxmlformats.org/officeDocument/2006/relationships/hyperlink" Target="https://forococheselectricos.com/2024/03/cuanto-cuesta-cargar-coche-electrico-frente-diesel-gasolina-en-2024.html" TargetMode="External"/><Relationship Id="rId775" Type="http://schemas.openxmlformats.org/officeDocument/2006/relationships/hyperlink" Target="https://motociclismo.pt/es/red-bull-deja-a-honda-y-sigue-a-marc-marquez-hacia-la-gresini-ducati/" TargetMode="External"/><Relationship Id="rId779" Type="http://schemas.openxmlformats.org/officeDocument/2006/relationships/hyperlink" Target="https://www.elidealgallego.com/articulo/a-coruna/terminal-repsol-langosteira-cumple-ano-descargas-crudo-4743537" TargetMode="External"/><Relationship Id="rId770" Type="http://schemas.openxmlformats.org/officeDocument/2006/relationships/hyperlink" Target="https://www.motor16.com/noticias/gasolina-nuevos-descuentos-repsol/2/" TargetMode="External"/><Relationship Id="rId2690" Type="http://schemas.openxmlformats.org/officeDocument/2006/relationships/hyperlink" Target="https://www.infobae.com/espana/2024/07/24/el-restaurante-de-carretera-mas-grande-de-espana-especializado-en-carne-a-la-brasa-y-recomendado-por-la-guia-repsol/" TargetMode="External"/><Relationship Id="rId1360" Type="http://schemas.openxmlformats.org/officeDocument/2006/relationships/hyperlink" Target="https://www.elcorreo.com/economia/electrolineras-nuevo-campo-batalla-grandes-energeticas-20240401002342-nt.html" TargetMode="External"/><Relationship Id="rId2691" Type="http://schemas.openxmlformats.org/officeDocument/2006/relationships/hyperlink" Target="https://www.hoyaragon.es/articulo/noticias-aragon/aragon-suscribe-un-plan-de-recogida-de-aceites-para-impulsar-el-reciclaje-del-domestico/20240723040000072618.html" TargetMode="External"/><Relationship Id="rId1361" Type="http://schemas.openxmlformats.org/officeDocument/2006/relationships/hyperlink" Target="https://www.eldebate.com/motor/20240331/combustible-premium-low-cost-cual-gasta-menos-coche_185609.html" TargetMode="External"/><Relationship Id="rId2692" Type="http://schemas.openxmlformats.org/officeDocument/2006/relationships/hyperlink" Target="https://www.diariodejerez.es/que-hacer/11-mejores-chiringuitos-bares-restaurantes-chipiona-rota-sanlucar_0_2001876558.html" TargetMode="External"/><Relationship Id="rId1362" Type="http://schemas.openxmlformats.org/officeDocument/2006/relationships/hyperlink" Target="https://www.ultimahora.es/deportes/motor/2024/03/31/2122717/motogp-augusto-fernandez-joan-mir-ante-ano-clave-para-futuro-motogp.html" TargetMode="External"/><Relationship Id="rId2693" Type="http://schemas.openxmlformats.org/officeDocument/2006/relationships/hyperlink" Target="https://www.expansion.com/empresas/energia/2024/07/24/66a0940ae5fdea977a8b45a0.html" TargetMode="External"/><Relationship Id="rId774" Type="http://schemas.openxmlformats.org/officeDocument/2006/relationships/hyperlink" Target="https://www.diariodealmeria.es/almeria/gasolineras-almerienses-caras-pais_0_1880513835.html" TargetMode="External"/><Relationship Id="rId1363" Type="http://schemas.openxmlformats.org/officeDocument/2006/relationships/hyperlink" Target="https://elperiodicodelaenergia.com/36-millones-barriles-diarios-capacidad-mundial-refino-estan-alto-riesgo-cierre/" TargetMode="External"/><Relationship Id="rId2694" Type="http://schemas.openxmlformats.org/officeDocument/2006/relationships/hyperlink" Target="https://www.abc.es/economia/repsol-gana-1626-millones-junio-fuerte-aumento-20240724085139-nt.html" TargetMode="External"/><Relationship Id="rId773" Type="http://schemas.openxmlformats.org/officeDocument/2006/relationships/hyperlink" Target="https://www.motor.es/noticias/isidre-esteve-repsol-toyota-rally-team-tendran-toyota-gr-dkr-hilux-t1-motor-v6-dakar-2025-2024100711.html" TargetMode="External"/><Relationship Id="rId1364" Type="http://schemas.openxmlformats.org/officeDocument/2006/relationships/hyperlink" Target="https://www.65ymas.com/sabores-mi-tierra/gastronomia-madrid/soles-repsol-nos-llevan-ruta-por-mejores-restaurantes-comunidad-madrid_58732_102.html" TargetMode="External"/><Relationship Id="rId2695" Type="http://schemas.openxmlformats.org/officeDocument/2006/relationships/hyperlink" Target="https://www.estrategiasdeinversion.com/actualidad/noticias/bolsa-espana/la-petrolera-repsol-duplica-su-beneficio-en-el-n-733559" TargetMode="External"/><Relationship Id="rId772" Type="http://schemas.openxmlformats.org/officeDocument/2006/relationships/hyperlink" Target="https://www.heraldo.es/noticias/gastronomia/2024/03/02/soles-repsol-aragon-inspector-restaurantes-1715595.html" TargetMode="External"/><Relationship Id="rId1365" Type="http://schemas.openxmlformats.org/officeDocument/2006/relationships/hyperlink" Target="https://www.expansion.com/empresas/energia/2024/04/01/6609d3b1e5fdea5e3b8b457e.html" TargetMode="External"/><Relationship Id="rId2696" Type="http://schemas.openxmlformats.org/officeDocument/2006/relationships/hyperlink" Target="https://blog.selfbank.es/resultados-repsol-registra-un-bpa-de-071-un-11-mas-que-hace-un-ano/" TargetMode="External"/><Relationship Id="rId771" Type="http://schemas.openxmlformats.org/officeDocument/2006/relationships/hyperlink" Target="https://www.cartagena.es/detalle_noticias.asp?id=77001" TargetMode="External"/><Relationship Id="rId1366" Type="http://schemas.openxmlformats.org/officeDocument/2006/relationships/hyperlink" Target="https://www.infolibre.es/medioambiente/iberdrola-denuncia-repsol-greenwashing-no-ecologistas_1_1752440.html" TargetMode="External"/><Relationship Id="rId2697" Type="http://schemas.openxmlformats.org/officeDocument/2006/relationships/hyperlink" Target="https://cincodias.elpais.com/companias/2024-07-24/repsol-gana-1626-millones-hasta-junio-un-145-mas-pese-a-los-menores-margenes-de-refino.html" TargetMode="External"/><Relationship Id="rId4426" Type="http://schemas.openxmlformats.org/officeDocument/2006/relationships/hyperlink" Target="https://www.businessinsider.es/retail/fortuna-martin-berasategui-cocinero-espanol-estrellas-michelin-1418467" TargetMode="External"/><Relationship Id="rId4425" Type="http://schemas.openxmlformats.org/officeDocument/2006/relationships/hyperlink" Target="https://www.guiarepsol.com/es/viajar/vamos-de-excursion/recorrido-por-la-sierra-del-sueve-asturias/" TargetMode="External"/><Relationship Id="rId4428" Type="http://schemas.openxmlformats.org/officeDocument/2006/relationships/hyperlink" Target="https://www.guiarepsol.com/es/sobre-nosotros/guia-repsol-portugal/" TargetMode="External"/><Relationship Id="rId4427" Type="http://schemas.openxmlformats.org/officeDocument/2006/relationships/hyperlink" Target="https://elcomercio.pe/deporte-total/futbol-peruano/semillero-repsol-futbol-femenino-sonia-soria-consultora-fifa-el-semillero-de-el-comercio-promueve-una-categoria-fundamental-noticia/" TargetMode="External"/><Relationship Id="rId4429" Type="http://schemas.openxmlformats.org/officeDocument/2006/relationships/hyperlink" Target="https://www.eldiariomontanes.es/cantabria/repsol-proyecta-parque-eolico-aerogeneradores-frente-cabarceno-20241114170941-nt.html" TargetMode="External"/><Relationship Id="rId1390" Type="http://schemas.openxmlformats.org/officeDocument/2006/relationships/hyperlink" Target="https://okdiario.com/economia/repsol-da-perdidos-329-millones-venezuela-nuevas-sanciones-estados-unidos-maduro-12617268" TargetMode="External"/><Relationship Id="rId1391" Type="http://schemas.openxmlformats.org/officeDocument/2006/relationships/hyperlink" Target="https://www.orm.es/noticias-2024/la-planta-de-repsol-en-escombreras-comienza-la-produccion-a-gran-escala/" TargetMode="External"/><Relationship Id="rId1392" Type="http://schemas.openxmlformats.org/officeDocument/2006/relationships/hyperlink" Target="https://spanishrevolution.net/repsol-y-su-futuro-verde-que-es-en-realidad-un-futuro-negro/" TargetMode="External"/><Relationship Id="rId1393" Type="http://schemas.openxmlformats.org/officeDocument/2006/relationships/hyperlink" Target="https://www.lne.es/llanera/2024/04/03/restaurante-llanera-hueco-guias-repsol-100586206.html" TargetMode="External"/><Relationship Id="rId1394" Type="http://schemas.openxmlformats.org/officeDocument/2006/relationships/hyperlink" Target="https://www.guiarepsol.com/es/viajar/vamos-de-excursion/que-hacer-barrio-pacifico-madrid/" TargetMode="External"/><Relationship Id="rId4420" Type="http://schemas.openxmlformats.org/officeDocument/2006/relationships/hyperlink" Target="https://www.elnacional.cat/es/gourmeteria/articulos/mitico-frankfurt-barcelona-bocadillos-premiado-principal-guia-estado_1316518_102.html" TargetMode="External"/><Relationship Id="rId1395" Type="http://schemas.openxmlformats.org/officeDocument/2006/relationships/hyperlink" Target="https://www.epe.es/es/sociedad/20240403/repsol-reforestacion-huella-carbono-motor-verde-100566286" TargetMode="External"/><Relationship Id="rId1396" Type="http://schemas.openxmlformats.org/officeDocument/2006/relationships/hyperlink" Target="https://www.infobae.com/espana/2024/04/04/las-principales-empresas-contaminantes-aumentaron-sus-emisiones-tras-la-firma-del-acuerdo-de-paris-contra-el-cambio-climatico/" TargetMode="External"/><Relationship Id="rId4422" Type="http://schemas.openxmlformats.org/officeDocument/2006/relationships/hyperlink" Target="https://www.publimetro.com.mx/nacional/2024/11/13/video-donde-sheinbaum-invita-a-invertir-en-repsol-es-una-estafa-creada-con-ia/" TargetMode="External"/><Relationship Id="rId1397" Type="http://schemas.openxmlformats.org/officeDocument/2006/relationships/hyperlink" Target="https://www.elconfidencial.com/juridico/2024-04-04/repsol-asesoria-juridica-espana-ia-harvey_3860355/" TargetMode="External"/><Relationship Id="rId4421" Type="http://schemas.openxmlformats.org/officeDocument/2006/relationships/hyperlink" Target="https://www.msn.com/es-es/recetas/noticias/esta-pasteler%C3%ADa-de-arag%C3%B3n-con-m%C3%A1s-de-100-a%C3%B1os-de-historia-tiene-un-solete-repsol-triunfa-su-pastel-ruso/ar-AA1u0mWd?apiversion=v2&amp;noservercache=1&amp;domshim=1&amp;renderwebcomponents=1&amp;wcseo=1&amp;batchservertelemetry=1&amp;noservertelemetry=1" TargetMode="External"/><Relationship Id="rId1398" Type="http://schemas.openxmlformats.org/officeDocument/2006/relationships/hyperlink" Target="https://elperiodicodelaenergia.com/repsol-la-unica-empresa-espanola-entre-las-mas-contaminantes-del-planeta/" TargetMode="External"/><Relationship Id="rId4424" Type="http://schemas.openxmlformats.org/officeDocument/2006/relationships/hyperlink" Target="https://cadenaser.com/extremadura/2024/11/13/marisa-garrido-es-una-satisfaccion-trabajar-con-la-familia-y-poder-celebrar-con-ellos-un-reconocimiento-asi-radio-extremadura/" TargetMode="External"/><Relationship Id="rId1399" Type="http://schemas.openxmlformats.org/officeDocument/2006/relationships/hyperlink" Target="https://elpais.com/clima-y-medio-ambiente/2024-04-04/un-informe-situa-a-repsol-entre-los-50-grandes-emisores-mundiales-de-co-de-los-ultimos-170-anos.html" TargetMode="External"/><Relationship Id="rId4423" Type="http://schemas.openxmlformats.org/officeDocument/2006/relationships/hyperlink" Target="https://www.guiarepsol.com/es/comer/de-tapeo/ruta-pinchos-calle-laurel-logrono/" TargetMode="External"/><Relationship Id="rId1389" Type="http://schemas.openxmlformats.org/officeDocument/2006/relationships/hyperlink" Target="https://www.elespanol.com/invertia/empresas/energia/20240403/repsol-impulsa-apuesta-combustibles-renovables-inicio-produccion-gran-escala-cartagena/844915797_0.html" TargetMode="External"/><Relationship Id="rId4415" Type="http://schemas.openxmlformats.org/officeDocument/2006/relationships/hyperlink" Target="https://www.repsol.com/es/energia-futuro/futuro-planeta/bateria-de-condensador/index.cshtml" TargetMode="External"/><Relationship Id="rId4414" Type="http://schemas.openxmlformats.org/officeDocument/2006/relationships/hyperlink" Target="https://www.guiarepsol.com/es/comer/nuestros-favoritos/restaurantes-sin-gluten-en-madrid/" TargetMode="External"/><Relationship Id="rId4417" Type="http://schemas.openxmlformats.org/officeDocument/2006/relationships/hyperlink" Target="https://www.infobae.com/espana/2024/11/14/la-taberna-de-badajoz-que-defiende-lo-extremeno-y-tiene-su-carta-en-pesetas-un-nuevo-solete-repsol-que-premia-la-tradicion/" TargetMode="External"/><Relationship Id="rId4416" Type="http://schemas.openxmlformats.org/officeDocument/2006/relationships/hyperlink" Target="https://www.cronista.com/espana/ibex-euro/repsol-a-cuanto-cotiza-hoy-miercoles-13-de-noviembre-y-cuanto-rinden-los-dividendos/" TargetMode="External"/><Relationship Id="rId4419" Type="http://schemas.openxmlformats.org/officeDocument/2006/relationships/hyperlink" Target="https://www.elespanol.com/sevilla/vivir/gastronomia/20241113/calenteria-solera-sevilla-anos-famosa-textura-sabor-churros-trt/900660316_0.html" TargetMode="External"/><Relationship Id="rId4418" Type="http://schemas.openxmlformats.org/officeDocument/2006/relationships/hyperlink" Target="https://www.azcostadelsol.com/marbella/el-bar-diamante-de-marbella-nuevo-solete-con-solera-de-la-guia-repsol/" TargetMode="External"/><Relationship Id="rId799" Type="http://schemas.openxmlformats.org/officeDocument/2006/relationships/hyperlink" Target="https://vinosdecastillalamancha.es/restaurantes-con-soles-repsol-en-castilla-la-mancha/" TargetMode="External"/><Relationship Id="rId798" Type="http://schemas.openxmlformats.org/officeDocument/2006/relationships/hyperlink" Target="https://www.abc.es/gurme/sevilla/sevi-senor-cangrejo-nuevo-repsol-sevilla-202403050952_noticia.html" TargetMode="External"/><Relationship Id="rId797" Type="http://schemas.openxmlformats.org/officeDocument/2006/relationships/hyperlink" Target="https://www.diariosur.es/malagaenlamesa/lista-soles-guia-repsol-malaga-20240304192617-nt.html" TargetMode="External"/><Relationship Id="rId1380" Type="http://schemas.openxmlformats.org/officeDocument/2006/relationships/hyperlink" Target="https://www.actualidadambiental.pe/derrame-de-repsol-denuncian-que-criminales-fueron-incluidos-en-la-lista-de-indemnizados/" TargetMode="External"/><Relationship Id="rId792" Type="http://schemas.openxmlformats.org/officeDocument/2006/relationships/hyperlink" Target="https://www.lasprovincias.es/gastronomia/nuevos-soles-repsol-comunitat-2024-20240304215211-nt.html" TargetMode="External"/><Relationship Id="rId1381" Type="http://schemas.openxmlformats.org/officeDocument/2006/relationships/hyperlink" Target="https://autohebdosport.com/competicion/off-road/isidre-esteve-vuelve-a-la-accion-con-miras-al-dakar" TargetMode="External"/><Relationship Id="rId791" Type="http://schemas.openxmlformats.org/officeDocument/2006/relationships/hyperlink" Target="https://www.elcomercio.es/gastronomia/asturias-soles-guia-repsol-alenda-quince-nudos-20240304201103-nt.html" TargetMode="External"/><Relationship Id="rId1382" Type="http://schemas.openxmlformats.org/officeDocument/2006/relationships/hyperlink" Target="https://elperiodicodelaenergia.com/asociacion-castellano-leonesa-hidrogeno-h2cyl-pide-junta-estrategia-autonomica/" TargetMode="External"/><Relationship Id="rId790" Type="http://schemas.openxmlformats.org/officeDocument/2006/relationships/hyperlink" Target="https://www.caranddriver.com/es/movilidad/sostenibilidad-ecologia/a60070458/la-razon-por-la-que-repsol-trabaja-con-el-ejercito-de-espana-en-la-antartida/" TargetMode="External"/><Relationship Id="rId1383" Type="http://schemas.openxmlformats.org/officeDocument/2006/relationships/hyperlink" Target="https://www.rtve.es/play/videos/masterchef/programa-1/16039101/" TargetMode="External"/><Relationship Id="rId1384" Type="http://schemas.openxmlformats.org/officeDocument/2006/relationships/hyperlink" Target="https://www.defensoria.gob.pe/defensoria-del-pueblo-en-defensa-de-afectados-por-derrame-de-petroleo-en-mar-de-ventanilla/" TargetMode="External"/><Relationship Id="rId796" Type="http://schemas.openxmlformats.org/officeDocument/2006/relationships/hyperlink" Target="https://www.elespanol.com/cocinillas/actualidad-gastronomica/20240304/soles-repsol-soletes-recomendaciones-guia-otorga-premios/835666814_0.html" TargetMode="External"/><Relationship Id="rId1385" Type="http://schemas.openxmlformats.org/officeDocument/2006/relationships/hyperlink" Target="https://www.repsol.com/es/sala-prensa/notas-prensa/2024/repsol-comienza-produccion-gran-escala-combustibles-renovables-cartagena/index.cshtml" TargetMode="External"/><Relationship Id="rId4411" Type="http://schemas.openxmlformats.org/officeDocument/2006/relationships/hyperlink" Target="https://es.investing.com/academy/statistics/ceo-historia-y-facturacion-de-repsol/" TargetMode="External"/><Relationship Id="rId795" Type="http://schemas.openxmlformats.org/officeDocument/2006/relationships/hyperlink" Target="https://es.ara.cat/comer/guia-repsol-lista-premia-restaurantes-catalanes_1_4957208.html" TargetMode="External"/><Relationship Id="rId1386" Type="http://schemas.openxmlformats.org/officeDocument/2006/relationships/hyperlink" Target="https://elmercantil.com/2024/04/03/repsol-inicia-la-produccion-de-combustibles-renovables-en-el-puerto-de-cartagena/" TargetMode="External"/><Relationship Id="rId4410" Type="http://schemas.openxmlformats.org/officeDocument/2006/relationships/hyperlink" Target="https://5barricas.valenciaplaza.com/seis-locales-de-castellon-reciben-el-solerte-con-solera-de-la-guia-repsol/" TargetMode="External"/><Relationship Id="rId794" Type="http://schemas.openxmlformats.org/officeDocument/2006/relationships/hyperlink" Target="https://elpais.com/gastronomia/2024-03-04/los-nuevos-soles-de-la-guia-repsol-tres-para-la-salita-valencia-y-dos-de-una-tacada-para-osa-madrid.html" TargetMode="External"/><Relationship Id="rId1387" Type="http://schemas.openxmlformats.org/officeDocument/2006/relationships/hyperlink" Target="https://www.larazon.es/economia/repsol-lanza-produccion-gran-escala-combustibles-renovables-espana_20240403660d5e500999030001ce46b1.html" TargetMode="External"/><Relationship Id="rId4413" Type="http://schemas.openxmlformats.org/officeDocument/2006/relationships/hyperlink" Target="https://sivarious.com/b2c/criticas/recorrido-para-disfrutar-de-la-gastronomia-valenciana-a-traves-de-los-soletes-guia-repsol-2024/" TargetMode="External"/><Relationship Id="rId793" Type="http://schemas.openxmlformats.org/officeDocument/2006/relationships/hyperlink" Target="https://www.guiarepsol.com/es/soles-repsol/soles-2024/nuevos-restaurantes-3-soles-guia-repsol-2024/" TargetMode="External"/><Relationship Id="rId1388" Type="http://schemas.openxmlformats.org/officeDocument/2006/relationships/hyperlink" Target="https://www.eleconomista.es/energia/noticias/12751549/04/24/repsol-lanza-su-primera-gran-planta-de-biocarburantes-en-cartagena.html" TargetMode="External"/><Relationship Id="rId4412" Type="http://schemas.openxmlformats.org/officeDocument/2006/relationships/hyperlink" Target="https://www.merca2.es/2024/11/13/iberdrola-repsol-accion-trump-2064298/" TargetMode="External"/><Relationship Id="rId3191" Type="http://schemas.openxmlformats.org/officeDocument/2006/relationships/hyperlink" Target="https://www.motosan.es/motogp/pol-espargaro-es-triste-repsol-ha-llevado-a-pilotos-como-marc-marquez-a-lo-mas-alto/" TargetMode="External"/><Relationship Id="rId3190" Type="http://schemas.openxmlformats.org/officeDocument/2006/relationships/hyperlink" Target="https://www.guiarepsol.com/es/comer/vinos-y-bodegas/la-casa-del-vino-de-tenerife-el-sauzal/" TargetMode="External"/><Relationship Id="rId3193" Type="http://schemas.openxmlformats.org/officeDocument/2006/relationships/hyperlink" Target="https://www.repsol.es/particulares/asesoramiento-consumo/elimina-olores-con-purificador-aire/" TargetMode="External"/><Relationship Id="rId3192" Type="http://schemas.openxmlformats.org/officeDocument/2006/relationships/hyperlink" Target="https://es.mongabay.com/2024/09/testimonios-revelan-graves-secuelas-derrame-petroleo-repsol-mar-peruano/" TargetMode="External"/><Relationship Id="rId3195" Type="http://schemas.openxmlformats.org/officeDocument/2006/relationships/hyperlink" Target="https://www.elespanol.com/valencia/ocio/20240909/pueblo-mejor-come-castellon-restaurantes-gran-tradicion-sabor-trt/884661622_0.html" TargetMode="External"/><Relationship Id="rId3194" Type="http://schemas.openxmlformats.org/officeDocument/2006/relationships/hyperlink" Target="https://www.infobae.com/peru/2024/09/09/derrame-de-petroleo-de-repsol-a-dos-anos-del-desastre-los-animos-de-los-damnificados-estan-por-los-suelos/" TargetMode="External"/><Relationship Id="rId3197" Type="http://schemas.openxmlformats.org/officeDocument/2006/relationships/hyperlink" Target="https://canaln.pe/actualidad/repsol-reitero-que-cumplio-pagos-98-afectados-derrame-n476501" TargetMode="External"/><Relationship Id="rId3196" Type="http://schemas.openxmlformats.org/officeDocument/2006/relationships/hyperlink" Target="https://www.puntal.com.ar/motogp/ruptura-un-acuerdo-historico-repsol-no-renovara-su-acuerdo-honda-racing-motogp-n224139" TargetMode="External"/><Relationship Id="rId3199" Type="http://schemas.openxmlformats.org/officeDocument/2006/relationships/hyperlink" Target="https://elbierzo.eldiario.es/comarca/gobierno-obliga-tramitacion-ordinaria-parque-eolico-repsol-sierra-gistredo-alto-impacto_1_11641455.html" TargetMode="External"/><Relationship Id="rId3198" Type="http://schemas.openxmlformats.org/officeDocument/2006/relationships/hyperlink" Target="https://www.20minutos.es/lainformacion/empresas/repsol-desmarca-low-cost-gasolineras-multienergia-5631930/" TargetMode="External"/><Relationship Id="rId3180" Type="http://schemas.openxmlformats.org/officeDocument/2006/relationships/hyperlink" Target="https://www.motogp.com/es/news/2024/09/08/luca-marini-withdraws-from-san-marino-gp/507895" TargetMode="External"/><Relationship Id="rId3182" Type="http://schemas.openxmlformats.org/officeDocument/2006/relationships/hyperlink" Target="https://andina.pe/ingles/noticia-ventanilla-incendio-refineria-pampilla-deja-dos-heridos-996326.aspx" TargetMode="External"/><Relationship Id="rId3181" Type="http://schemas.openxmlformats.org/officeDocument/2006/relationships/hyperlink" Target="https://www.elespanol.com/alicante/vivir/20240908/pueblo-mejor-come-alicante-santuario-gamba-roja/883911829_0.html" TargetMode="External"/><Relationship Id="rId3184" Type="http://schemas.openxmlformats.org/officeDocument/2006/relationships/hyperlink" Target="https://www.epe.es/es/activos/20240909/cepsa-reta-naturgy-repsol-abre-107930328" TargetMode="External"/><Relationship Id="rId3183" Type="http://schemas.openxmlformats.org/officeDocument/2006/relationships/hyperlink" Target="https://andina.pe/ingles/noticia-incendio-ventanilla-emergencia-dentro-refineria-pampilla-ha-sido-controlada-996307.aspx" TargetMode="External"/><Relationship Id="rId3186" Type="http://schemas.openxmlformats.org/officeDocument/2006/relationships/hyperlink" Target="https://www.laopiniondemurcia.es/cartagena/2024/09/09/ayuntamiento-negociara-repsol-retirada-gasolinera-107902902.html" TargetMode="External"/><Relationship Id="rId3185" Type="http://schemas.openxmlformats.org/officeDocument/2006/relationships/hyperlink" Target="https://www.diaridetarragona.com/repsol-encaja-las-ultimas-piezas-de-sus-mejoras-en-el-area-quimica-AO20957766" TargetMode="External"/><Relationship Id="rId3188" Type="http://schemas.openxmlformats.org/officeDocument/2006/relationships/hyperlink" Target="https://es.motorsport.com/motogp/news/marquez-espargaro-marcha-repsol-perdida-motogp/10652605/" TargetMode="External"/><Relationship Id="rId3187" Type="http://schemas.openxmlformats.org/officeDocument/2006/relationships/hyperlink" Target="https://intereconomia.com/noticia/empresas/repsol-rompe-con-honda-motogp-20240909-0029/" TargetMode="External"/><Relationship Id="rId3189" Type="http://schemas.openxmlformats.org/officeDocument/2006/relationships/hyperlink" Target="https://www.abc.es/economia/cepsa-golpe-repsol-naturgy-guerra-gases-verdes-20240909163017-nt.html" TargetMode="External"/><Relationship Id="rId4480" Type="http://schemas.openxmlformats.org/officeDocument/2006/relationships/hyperlink" Target="https://www.expansion.com/empresas/energia/2024/11/17/6739d326e5fdea5d6d8b4571.html" TargetMode="External"/><Relationship Id="rId3151" Type="http://schemas.openxmlformats.org/officeDocument/2006/relationships/hyperlink" Target="https://www.20minutos.es/gastronomia/restaurantes/buffet-libre-carretera-guia-repsol-comida-tradicional-5598068/" TargetMode="External"/><Relationship Id="rId4482" Type="http://schemas.openxmlformats.org/officeDocument/2006/relationships/hyperlink" Target="https://www.aragondigital.es/articulo/sociedad/pastelerias-solera-aragon-tienen-solete-guia-repsol/20241117110000895368.html" TargetMode="External"/><Relationship Id="rId3150" Type="http://schemas.openxmlformats.org/officeDocument/2006/relationships/hyperlink" Target="https://www.merca2.es/2024/09/07/repsol-oportunidad-inversores-1895184/" TargetMode="External"/><Relationship Id="rId4481" Type="http://schemas.openxmlformats.org/officeDocument/2006/relationships/hyperlink" Target="https://www.salamancahoy.es/salamanca/ciudad/centrico-restaurante-salamanca-1980-solete-repsol-cocina-20241115124323-nt.html" TargetMode="External"/><Relationship Id="rId3153" Type="http://schemas.openxmlformats.org/officeDocument/2006/relationships/hyperlink" Target="https://www.eleconomista.es/mercados-cotizaciones/noticias/12976316/09/24/la-cartera-compra-global-dominion-con-un-130-de-potencial-alcista.html" TargetMode="External"/><Relationship Id="rId4484" Type="http://schemas.openxmlformats.org/officeDocument/2006/relationships/hyperlink" Target="https://www.boxrepsol.com/es/motogp/resultados-del-gp-solidario-de-motogp-2024/" TargetMode="External"/><Relationship Id="rId3152" Type="http://schemas.openxmlformats.org/officeDocument/2006/relationships/hyperlink" Target="https://www.motogp.com/es/news/2024/09/07/joan-mir-withdraws-from-san-marino-gp/507681" TargetMode="External"/><Relationship Id="rId4483" Type="http://schemas.openxmlformats.org/officeDocument/2006/relationships/hyperlink" Target="https://www.heraldo.es/noticias/gastronomia/2024/11/17/restaurante-villarluengo-latrucha-orillas-rio-pitarque-solete-repsol-1778051.html" TargetMode="External"/><Relationship Id="rId3155" Type="http://schemas.openxmlformats.org/officeDocument/2006/relationships/hyperlink" Target="https://www.lasexta.com/motor/competicion/motogp-honda-repsol-separan_2024090866ddc0853c878700017e8bef.html" TargetMode="External"/><Relationship Id="rId4486" Type="http://schemas.openxmlformats.org/officeDocument/2006/relationships/hyperlink" Target="https://elpais.com/espana/catalunya/2024-11-18/junts-saca-el-gen-de-convergencia-y-se-alia-con-la-banca-y-las-empresas-para-presionar-al-gobierno.html" TargetMode="External"/><Relationship Id="rId3154" Type="http://schemas.openxmlformats.org/officeDocument/2006/relationships/hyperlink" Target="https://elpais.com/deportes/motociclismo/2024-09-08/repsol-rompe-con-honda-despues-de-30-anos-y-15-titulos-en-motogp.html" TargetMode="External"/><Relationship Id="rId4485" Type="http://schemas.openxmlformats.org/officeDocument/2006/relationships/hyperlink" Target="https://www.malagahoy.es/la-farola/platos-estrella-restaurante-marbella-solete-guia-repsol_0_2002801367.html" TargetMode="External"/><Relationship Id="rId3157" Type="http://schemas.openxmlformats.org/officeDocument/2006/relationships/hyperlink" Target="https://www.elcorreo.com/deportes/motor/motociclismo/repsol-honda-separaran-caminos-2025-20240908184552-ntrc.html" TargetMode="External"/><Relationship Id="rId4488" Type="http://schemas.openxmlformats.org/officeDocument/2006/relationships/hyperlink" Target="https://elcomercio.pe/deporte-total/futbol-peruano/as-tingo-vs-real-brio-por-la-cuarta-fecha-del-semillero-repsol-de-futbol-femenino-noticia/" TargetMode="External"/><Relationship Id="rId3156" Type="http://schemas.openxmlformats.org/officeDocument/2006/relationships/hyperlink" Target="https://www.elconfidencial.com/deportes/motociclismo/2024-09-08/repsol-honda-fin-patrocinio-30-anos_3957915/" TargetMode="External"/><Relationship Id="rId4487" Type="http://schemas.openxmlformats.org/officeDocument/2006/relationships/hyperlink" Target="https://elcomercio.pe/deporte-total/futbol-peruano/balon-rosa-vs-ef-valquiria-por-la-cuarta-fecha-del-semillero-repsol-de-futbol-femenino-noticia/" TargetMode="External"/><Relationship Id="rId3159" Type="http://schemas.openxmlformats.org/officeDocument/2006/relationships/hyperlink" Target="https://www.2playbook.com/patrocinio/repsol-dejara-patrocinar-honda-en-motogp-partir-2025-treinta-anos-despues_15707_102.html" TargetMode="External"/><Relationship Id="rId3158" Type="http://schemas.openxmlformats.org/officeDocument/2006/relationships/hyperlink" Target="https://www.relevo.com/motociclismo/motogp/repsol-honda-renovacion-contrato-fuentes-20240908194505-nt.html" TargetMode="External"/><Relationship Id="rId4489" Type="http://schemas.openxmlformats.org/officeDocument/2006/relationships/hyperlink" Target="https://elcomercio.pe/deporte-total/futbol-peruano/cruzeiro-ec-vs-ed-kairos-por-la-cuarta-fecha-del-semillero-repsol-de-futbol-femenino-noticia/" TargetMode="External"/><Relationship Id="rId3149" Type="http://schemas.openxmlformats.org/officeDocument/2006/relationships/hyperlink" Target="https://www.mejorenergia.com.ar/noticias/2024/09/06/3248-los-petroleros-se-reunen-en-rincon-para-recordar-el-paro-contra-repsol-de-1999" TargetMode="External"/><Relationship Id="rId3140" Type="http://schemas.openxmlformats.org/officeDocument/2006/relationships/hyperlink" Target="https://okdiario.com/gastronomia/restaurante-carretera-recomendado-guia-repsol-comer-carne-brasa-13426168" TargetMode="External"/><Relationship Id="rId4471" Type="http://schemas.openxmlformats.org/officeDocument/2006/relationships/hyperlink" Target="https://latintadealmansa.com/economia/alfredo-reig-confiteria-almansa-solete-repsol/" TargetMode="External"/><Relationship Id="rId4470" Type="http://schemas.openxmlformats.org/officeDocument/2006/relationships/hyperlink" Target="https://okdiario.com/motor/repsol-duplica-red-recarga-coche-electrico-2024-alcanzar-2-000-puntos-espana-13825308" TargetMode="External"/><Relationship Id="rId3142" Type="http://schemas.openxmlformats.org/officeDocument/2006/relationships/hyperlink" Target="https://elfarodeceuta.es/golosa-recibe-solete-gastronomico/" TargetMode="External"/><Relationship Id="rId4473" Type="http://schemas.openxmlformats.org/officeDocument/2006/relationships/hyperlink" Target="https://www.boxrepsol.com/es/trial/resultados-y-resumen-del-x-trial-de-pamplona-2024/" TargetMode="External"/><Relationship Id="rId3141" Type="http://schemas.openxmlformats.org/officeDocument/2006/relationships/hyperlink" Target="https://www.diarimes.com/es/camp-tarragona/tarragones/240906/aca-estudia-pantano-gaia-descarta-suprimir-parte-presa_149332.html" TargetMode="External"/><Relationship Id="rId4472" Type="http://schemas.openxmlformats.org/officeDocument/2006/relationships/hyperlink" Target="https://www.totbarcelona.cat/es/sociedad/el-frankfurt-mas-emblematico-de-barcelona-reconocido-con-un-premio-importante-565209/" TargetMode="External"/><Relationship Id="rId3144" Type="http://schemas.openxmlformats.org/officeDocument/2006/relationships/hyperlink" Target="https://www.boxrepsol.com/es/motogp/resultados-de-los-entrenamientos-del-gp-de-san-marino-de-motogp-2024/" TargetMode="External"/><Relationship Id="rId4475" Type="http://schemas.openxmlformats.org/officeDocument/2006/relationships/hyperlink" Target="https://www.europapress.es/deportes/motociclismo-00311/noticia-joan-mir-he-podido-ver-donde-hemos-mejorado-moto-largo-ano-20241116184307.html" TargetMode="External"/><Relationship Id="rId3143" Type="http://schemas.openxmlformats.org/officeDocument/2006/relationships/hyperlink" Target="https://www.infobae.com/espana/2024/09/06/el-restaurante-de-carretera-en-plena-a-3-especializado-en-paellas-y-arroces-a-la-lena-un-negocio-familiar-recomendado-por-la-guia-repsol/" TargetMode="External"/><Relationship Id="rId4474" Type="http://schemas.openxmlformats.org/officeDocument/2006/relationships/hyperlink" Target="https://www.diariodecadiz.es/cadizfornia/mejor-arroz-pollo-desayunos-famosos_0_2002794736.html" TargetMode="External"/><Relationship Id="rId3146" Type="http://schemas.openxmlformats.org/officeDocument/2006/relationships/hyperlink" Target="https://www.14ymedio.com/internacional/espana-convertido-principales-compradores-petroleo_1_1106069.html" TargetMode="External"/><Relationship Id="rId4477" Type="http://schemas.openxmlformats.org/officeDocument/2006/relationships/hyperlink" Target="https://www.boxrepsol.com/es/motogp/resultados-de-los-entrenamientos-cronometrados-del-gp-solidario-de-motogp-2024/" TargetMode="External"/><Relationship Id="rId3145" Type="http://schemas.openxmlformats.org/officeDocument/2006/relationships/hyperlink" Target="https://www.elcorreo.com/economia/imaz-reconocido-mejor-ceo-europa-sector-hidrocarburos-20240907004911-nt.html" TargetMode="External"/><Relationship Id="rId4476" Type="http://schemas.openxmlformats.org/officeDocument/2006/relationships/hyperlink" Target="https://www.boxrepsol.com/es/motogp/resultados-la-carrera-sprint-del-gp-solidario-de-motogp-2024/" TargetMode="External"/><Relationship Id="rId3148" Type="http://schemas.openxmlformats.org/officeDocument/2006/relationships/hyperlink" Target="https://cooperaccion.org.pe/afectados-por-el-derrame-de-repsol-iniciaran-un-paro-el-9-de-septiembre-en-demanda-de-atencion/" TargetMode="External"/><Relationship Id="rId4479" Type="http://schemas.openxmlformats.org/officeDocument/2006/relationships/hyperlink" Target="https://elperiodicodelaenergia.com/iberdrola-y-repsol-se-ven-las-caras-este-jueves-en-los-juzgados-de-santander-por-demanda-por-greenwashing/" TargetMode="External"/><Relationship Id="rId3147" Type="http://schemas.openxmlformats.org/officeDocument/2006/relationships/hyperlink" Target="https://www.guiarepsol.com/es/soletes/donde-comer-arenas-san-pedro-avila/" TargetMode="External"/><Relationship Id="rId4478" Type="http://schemas.openxmlformats.org/officeDocument/2006/relationships/hyperlink" Target="https://www.elconfidencial.com/espana/comunidad-valenciana/2024-11-16/valencia-la-cantina-de-ruzafa-solete-dana-guia-repsol-1tna_4005007/" TargetMode="External"/><Relationship Id="rId3171" Type="http://schemas.openxmlformats.org/officeDocument/2006/relationships/hyperlink" Target="https://www.mundodeportivo.com/motor/motogp/20240908/1002312019/repsol-renovara-acuerdo-hrc-motogp.html" TargetMode="External"/><Relationship Id="rId3170" Type="http://schemas.openxmlformats.org/officeDocument/2006/relationships/hyperlink" Target="https://www.motociclismo.es/mundial-motogp/repsol-no-renovara-honda-motogp_299290_102.html" TargetMode="External"/><Relationship Id="rId3173" Type="http://schemas.openxmlformats.org/officeDocument/2006/relationships/hyperlink" Target="https://cincodias.elpais.com/companias/2024-09-08/repsol-no-renovara-su-patrocinio-con-honda-en-el-mundial-de-moto-gp.html" TargetMode="External"/><Relationship Id="rId3172" Type="http://schemas.openxmlformats.org/officeDocument/2006/relationships/hyperlink" Target="https://www.malagahoy.es/la-farola/plan-gastronomica-perfecto-guia-repsol-fuengirola_0_2002350608.html" TargetMode="External"/><Relationship Id="rId3175" Type="http://schemas.openxmlformats.org/officeDocument/2006/relationships/hyperlink" Target="https://www.motosan.es/motogp/repsol-y-honda-el-final-de-una-era-que-conto-con-doohan-rossi-stoner-o-marquez-entre-otros/" TargetMode="External"/><Relationship Id="rId3174" Type="http://schemas.openxmlformats.org/officeDocument/2006/relationships/hyperlink" Target="https://www.motorbikemag.es/repsol-honda-separan-caminos/" TargetMode="External"/><Relationship Id="rId3177" Type="http://schemas.openxmlformats.org/officeDocument/2006/relationships/hyperlink" Target="https://lat.motorsport.com/motogp/news/repsol-final-relacion-honda-30-anos-motogp/10652491/" TargetMode="External"/><Relationship Id="rId3176" Type="http://schemas.openxmlformats.org/officeDocument/2006/relationships/hyperlink" Target="https://www.alhaurindelatorre.com/el-restaurante-karmela-de-alhaurin-de-la-torre-logra-un-solete-repsol/" TargetMode="External"/><Relationship Id="rId3179" Type="http://schemas.openxmlformats.org/officeDocument/2006/relationships/hyperlink" Target="https://www.motosan.es/motogp/ultima-hora-honda-pierde-a-su-patrocinador-principal-en-motogp/" TargetMode="External"/><Relationship Id="rId3178" Type="http://schemas.openxmlformats.org/officeDocument/2006/relationships/hyperlink" Target="https://www.eleconomista.es/energia/noticias/12977844/09/24/repsol-anuncia-su-decision-de-no-renovar-el-acuerdo-con-honda-en-mundial-motogp.html" TargetMode="External"/><Relationship Id="rId3160" Type="http://schemas.openxmlformats.org/officeDocument/2006/relationships/hyperlink" Target="https://todotrial.com/honda-racing-corporation-y-repsol-se-despiden-tras-30-anos/" TargetMode="External"/><Relationship Id="rId4491" Type="http://schemas.openxmlformats.org/officeDocument/2006/relationships/hyperlink" Target="https://elperiodicodelaenergia.com/primor-se-alia-con-repsol-para-transformar-sus-estaciones-de-servicio-en-centros-de-belleza/" TargetMode="External"/><Relationship Id="rId4490" Type="http://schemas.openxmlformats.org/officeDocument/2006/relationships/hyperlink" Target="https://es.greenpeace.org/es/sala-de-prensa/comunicados/greenpeace-proyecta-en-el-congreso-de-los-diputados-el-mensaje-aqui-manda-repsol/" TargetMode="External"/><Relationship Id="rId3162" Type="http://schemas.openxmlformats.org/officeDocument/2006/relationships/hyperlink" Target="https://www.boxrepsol.com/es/motogp/repsol-no-renovara-su-acuerdo-con-hrc-en-motogp/" TargetMode="External"/><Relationship Id="rId4493" Type="http://schemas.openxmlformats.org/officeDocument/2006/relationships/hyperlink" Target="https://www.capitalmadrid.com/2024/11/18/68468/iberdrola-y-repsol-dirimen-esta-semana-su-estrafalaria-pelea-de-gallos-por-el-cliente-verde.html" TargetMode="External"/><Relationship Id="rId3161" Type="http://schemas.openxmlformats.org/officeDocument/2006/relationships/hyperlink" Target="https://www.marca.com/motor/motogp/gp-san-marino/2024/09/08/66ddc00822601df6418b4598.html" TargetMode="External"/><Relationship Id="rId4492" Type="http://schemas.openxmlformats.org/officeDocument/2006/relationships/hyperlink" Target="https://www.revistainforetail.com/noticiadet/alianza-entre-repsol-y-perfumerias-primor/2ab593f41e68cb43118338a925c9a7bc" TargetMode="External"/><Relationship Id="rId3164" Type="http://schemas.openxmlformats.org/officeDocument/2006/relationships/hyperlink" Target="https://www.todocircuito.com/noticias/36848-29-anos-despues-oficialmente-repsol-se-divorcia-de-honda-en-motogp.html" TargetMode="External"/><Relationship Id="rId4495" Type="http://schemas.openxmlformats.org/officeDocument/2006/relationships/hyperlink" Target="https://www.idealista.com/news/inmobiliario/retail/2024/11/18/821328-primor-y-repsol-se-unen-para-llevar-el-cuidado-personal-a-sus-estaciones-de-servicio" TargetMode="External"/><Relationship Id="rId3163" Type="http://schemas.openxmlformats.org/officeDocument/2006/relationships/hyperlink" Target="https://www.lavanguardia.com/deportes/20240908/9923916/repsol-honda-divorcian-30-anos-motogp-patrocinio-separan.html" TargetMode="External"/><Relationship Id="rId4494" Type="http://schemas.openxmlformats.org/officeDocument/2006/relationships/hyperlink" Target="https://www.estrategiasdeinversion.com/actualidad/noticias/bolsa-espana/juicio-entre-iberdrola-y-repsol-por-publicidad-n-762861" TargetMode="External"/><Relationship Id="rId3166" Type="http://schemas.openxmlformats.org/officeDocument/2006/relationships/hyperlink" Target="https://as.com/motor/motociclismo/honda-y-repsol-rompen-su-relacion-n/" TargetMode="External"/><Relationship Id="rId4497" Type="http://schemas.openxmlformats.org/officeDocument/2006/relationships/hyperlink" Target="https://www.elperiodico.com/es/videos/sociedad/greenpeace-proyecta-mensaje-aqui-manda-repsol-congreso-diputados-video/111791240.shtml" TargetMode="External"/><Relationship Id="rId3165" Type="http://schemas.openxmlformats.org/officeDocument/2006/relationships/hyperlink" Target="https://okdiario.com/deportes/historico-repsol-no-renovara-acuerdo-honda-dejara-motogp-13432814" TargetMode="External"/><Relationship Id="rId4496" Type="http://schemas.openxmlformats.org/officeDocument/2006/relationships/hyperlink" Target="https://confilegal.com/20241118-iberdrola-y-repsol-se-veran-las-caras-este-jueves-en-los-juzgados-de-santander-por-demanda-por-greenwashing/" TargetMode="External"/><Relationship Id="rId3168" Type="http://schemas.openxmlformats.org/officeDocument/2006/relationships/hyperlink" Target="https://www.20minutos.es/lainformacion/economia-y-finanzas/repsol-anuncia-que-no-renovara-acuerdo-con-honda-mundial-motogp-5631694/" TargetMode="External"/><Relationship Id="rId4499" Type="http://schemas.openxmlformats.org/officeDocument/2006/relationships/hyperlink" Target="https://www.20minutos.es/lainformacion/consumo/alianza-entre-repsol-primor-se-venderan-kits-belleza-cadena-perfumerias-gasolineras-5655269/" TargetMode="External"/><Relationship Id="rId3167" Type="http://schemas.openxmlformats.org/officeDocument/2006/relationships/hyperlink" Target="https://valor-compartido.com/repsol-presenta-plan-global-de-sostenibilidad-2024/" TargetMode="External"/><Relationship Id="rId4498" Type="http://schemas.openxmlformats.org/officeDocument/2006/relationships/hyperlink" Target="https://www.abc.es/natural/greenpeace-proyecta-mensaje-manda-repsol-sobre-congreso-20241118120006-vi.html" TargetMode="External"/><Relationship Id="rId3169" Type="http://schemas.openxmlformats.org/officeDocument/2006/relationships/hyperlink" Target="https://es.motorsport.com/motogp/news/oficial-repsol-deja-honda-hrc-motogp-oficial/10652433/" TargetMode="External"/><Relationship Id="rId2700" Type="http://schemas.openxmlformats.org/officeDocument/2006/relationships/hyperlink" Target="https://www.larazon.es/economia/repsol-dispara-145-sus-beneficios-gana-1626-millones-primer-semestre_2024072466a09c5def89480001120b54.html" TargetMode="External"/><Relationship Id="rId2701" Type="http://schemas.openxmlformats.org/officeDocument/2006/relationships/hyperlink" Target="https://elperiodicodelaenergia.com/repsol-esta-conversaciones-adquirir-60-estadounidense-hecate-energy/" TargetMode="External"/><Relationship Id="rId2702" Type="http://schemas.openxmlformats.org/officeDocument/2006/relationships/hyperlink" Target="https://es.ara.cat/economia/energia/grandes-energeticas-mantienen-buenos-resultados-iberdrola-cabeza_1_5098262.html" TargetMode="External"/><Relationship Id="rId2703" Type="http://schemas.openxmlformats.org/officeDocument/2006/relationships/hyperlink" Target="https://www.20minutos.es/lainformacion/empresas/repsol-eleva-8-dividendo-ano-que-viene-disparar-beneficio-junio-5534412/" TargetMode="External"/><Relationship Id="rId2704" Type="http://schemas.openxmlformats.org/officeDocument/2006/relationships/hyperlink" Target="https://www.bolsamania.com/noticias/resultados-anuncios/repsol-beneficio-1626-millones-junio-nueva-recompra-acciones--17129009.html" TargetMode="External"/><Relationship Id="rId2705" Type="http://schemas.openxmlformats.org/officeDocument/2006/relationships/hyperlink" Target="https://capital.es/empresas/repsol-alcanza-los-1-626-millones-de-beneficio-en-el-primer-semestre-de-2024/96509/" TargetMode="External"/><Relationship Id="rId2706" Type="http://schemas.openxmlformats.org/officeDocument/2006/relationships/hyperlink" Target="https://www.eleconomista.es/energia/noticias/12923369/07/24/repsol-negocia-la-compra-del-60-de-hecate-energy-para-hacerse-con-40-gw-de-renovables-en-desarrollo.html" TargetMode="External"/><Relationship Id="rId2707" Type="http://schemas.openxmlformats.org/officeDocument/2006/relationships/hyperlink" Target="https://prnoticias.com/2024/07/24/inditex-busca-una-imagen-mas-sostenible-de-la-mano-de-repsol-e-iberia/" TargetMode="External"/><Relationship Id="rId2708" Type="http://schemas.openxmlformats.org/officeDocument/2006/relationships/hyperlink" Target="https://www.guiarepsol.com/es/soletes/terrazas-favoritas-cocineros-a-coruna/" TargetMode="External"/><Relationship Id="rId2709" Type="http://schemas.openxmlformats.org/officeDocument/2006/relationships/hyperlink" Target="https://www.vozpopuli.com/economia/empresas/repsol-resultados-primer-semestre-2024.html" TargetMode="External"/><Relationship Id="rId2720" Type="http://schemas.openxmlformats.org/officeDocument/2006/relationships/hyperlink" Target="https://vegabajadigital.com/tu-coche-limpio-cada-dia-por-795e-al-mes-es-posible-en-la-estacion-del-poligono-industrial-puente-alto-de-orihuela/" TargetMode="External"/><Relationship Id="rId2721" Type="http://schemas.openxmlformats.org/officeDocument/2006/relationships/hyperlink" Target="https://www.expansion.com/ahorro/2024/07/25/669f8648e5fdea0c188b4571.html" TargetMode="External"/><Relationship Id="rId2722" Type="http://schemas.openxmlformats.org/officeDocument/2006/relationships/hyperlink" Target="https://www.eleconomista.es/energia/noticias/12924284/07/24/las-energeticas-dan-por-muerto-el-gravamen-temporal-que-paga-el-sector.html" TargetMode="External"/><Relationship Id="rId2723" Type="http://schemas.openxmlformats.org/officeDocument/2006/relationships/hyperlink" Target="https://elpais.com/america/2024-07-25/francisco-monaldi-el-actual-pragmatismo-economico-de-maduro-se-debe-al-ciclo-electoral-y-no-es-viable.html" TargetMode="External"/><Relationship Id="rId2724" Type="http://schemas.openxmlformats.org/officeDocument/2006/relationships/hyperlink" Target="https://www.marca.com/motor/motogp/2024/07/25/66a23b6f268e3e7e1a8b456d.html" TargetMode="External"/><Relationship Id="rId2725" Type="http://schemas.openxmlformats.org/officeDocument/2006/relationships/hyperlink" Target="https://dfsud.com/america/industria-petrolera-venezolana-se-recupera-junto-a-privados-pero-sin" TargetMode="External"/><Relationship Id="rId2726" Type="http://schemas.openxmlformats.org/officeDocument/2006/relationships/hyperlink" Target="https://www.eleconomista.es/informalia/estilo-de-vida/noticias/12925478/07/24/sabor-tradicional-toque-moderno-la-formula-de-los-padron-para-revolucionar-la-cocina-canaria.html" TargetMode="External"/><Relationship Id="rId2727" Type="http://schemas.openxmlformats.org/officeDocument/2006/relationships/hyperlink" Target="https://simplywall.st/es/stocks/es/energy/bme-rep/repsol-shares/news/resultados-repsol-segundo-trimestre-2024-bpa-054-euros-frent" TargetMode="External"/><Relationship Id="rId2728" Type="http://schemas.openxmlformats.org/officeDocument/2006/relationships/hyperlink" Target="http://a21.com.mx/aerolineas/2024/07/26/se-asocian-iberia-y-inditex-para-comprar-saf-de-repsol" TargetMode="External"/><Relationship Id="rId2729" Type="http://schemas.openxmlformats.org/officeDocument/2006/relationships/hyperlink" Target="https://www.bolsamania.com/noticias/empresas/rbc-confia-menos-repsol-resultados-hasta-junio--17139841.html" TargetMode="External"/><Relationship Id="rId2710" Type="http://schemas.openxmlformats.org/officeDocument/2006/relationships/hyperlink" Target="https://cincodias.elpais.com/companias/2024-07-25/bbva-se-siente-victima-de-una-causa-general-y-discriminada-con-respecto-a-repsol-y-caixabank-en-villarejo.html" TargetMode="External"/><Relationship Id="rId2711" Type="http://schemas.openxmlformats.org/officeDocument/2006/relationships/hyperlink" Target="https://www.20minutos.es/gastronomia/restaurantes/la-gabia-dels-mussols-chiringuito-preferido-hermanos-torres-playa-girona-5530206/" TargetMode="External"/><Relationship Id="rId2712" Type="http://schemas.openxmlformats.org/officeDocument/2006/relationships/hyperlink" Target="https://www.eleconomista.com.mx/mercados/Repsol-recomprara-acciones-tras-mejorar-sus-resultados-en-el-segundo-trimestre-20240724-0025.html" TargetMode="External"/><Relationship Id="rId2713" Type="http://schemas.openxmlformats.org/officeDocument/2006/relationships/hyperlink" Target="https://www.motociclismo.es/noticias/joan-mir-luca-marini-pasean-honda-cbr-nuevo-circuito-f1-madrid_297085_102.html" TargetMode="External"/><Relationship Id="rId2714" Type="http://schemas.openxmlformats.org/officeDocument/2006/relationships/hyperlink" Target="https://efe.com/economia/2024-07-24/resultados-grandes-energeticas-espanolas/" TargetMode="External"/><Relationship Id="rId2715" Type="http://schemas.openxmlformats.org/officeDocument/2006/relationships/hyperlink" Target="https://www.vanitatis.elconfidencial.com/famosos/2024-07-24/alvaro-munoz-escassi-hiba-abouk-cita-madrid_3931024/" TargetMode="External"/><Relationship Id="rId2716" Type="http://schemas.openxmlformats.org/officeDocument/2006/relationships/hyperlink" Target="https://gestion.pe/economia/empresas/beneficio-de-espanola-repsol-sube-145-en-junio-mientras-busca-crecer-en-eeuu-noticia/" TargetMode="External"/><Relationship Id="rId2717" Type="http://schemas.openxmlformats.org/officeDocument/2006/relationships/hyperlink" Target="https://www.estrategiasdeinversion.com/actualidad/noticias/bolsa-espana/la-petrolera-repsol-decepciona-a-los-inversores-n-733931" TargetMode="External"/><Relationship Id="rId2718" Type="http://schemas.openxmlformats.org/officeDocument/2006/relationships/hyperlink" Target="https://www.cartagena.es/detalle_noticias.asp?id=79170" TargetMode="External"/><Relationship Id="rId2719" Type="http://schemas.openxmlformats.org/officeDocument/2006/relationships/hyperlink" Target="https://www.energias-renovables.com/panorama/el-gas-natural-de-espaa-el-mas-20240724" TargetMode="External"/><Relationship Id="rId1455" Type="http://schemas.openxmlformats.org/officeDocument/2006/relationships/hyperlink" Target="https://www.uoc.edu/es/news/2024/fin-greenwashing-falsa-sostenibilidad-empresas" TargetMode="External"/><Relationship Id="rId2786" Type="http://schemas.openxmlformats.org/officeDocument/2006/relationships/hyperlink" Target="https://www.desdeadentro.pe/2024/07/refineria-la-pampilla-incrementa-su-produccion-de-gasolinas-en-20/" TargetMode="External"/><Relationship Id="rId1456" Type="http://schemas.openxmlformats.org/officeDocument/2006/relationships/hyperlink" Target="https://www.rtve.es/play/videos/diario-24/isidre-esteve-combustible-renovable-rally-portugal/16052204/" TargetMode="External"/><Relationship Id="rId2787" Type="http://schemas.openxmlformats.org/officeDocument/2006/relationships/hyperlink" Target="https://gestion.pe/economia/empresas/la-pampilla-elevara-su-produccion-de-gasolinas-en-20-tras-inversion-en-plantas-empresas-repsol-callao-gasolinas-noticia/" TargetMode="External"/><Relationship Id="rId1457" Type="http://schemas.openxmlformats.org/officeDocument/2006/relationships/hyperlink" Target="https://www.huleymantel.com/menu-dia/chef-miguel-carretero-1911-madreamiga-entre-premiados-por-acyre-madrid-2024_102047_102.html" TargetMode="External"/><Relationship Id="rId2788" Type="http://schemas.openxmlformats.org/officeDocument/2006/relationships/hyperlink" Target="https://www.elperiodico.com/es/economia/20240801/iberia-vueling-iag-compra-repsol-combustible-verde-saf-106385835" TargetMode="External"/><Relationship Id="rId1458" Type="http://schemas.openxmlformats.org/officeDocument/2006/relationships/hyperlink" Target="https://www.malagahoy.es/la-farola/Restaurantes-tabernas-chiringuitos-Malaga-probar-2024_0_1891912450.html" TargetMode="External"/><Relationship Id="rId2789" Type="http://schemas.openxmlformats.org/officeDocument/2006/relationships/hyperlink" Target="https://www.guiarepsol.com/es/comer/nuestros-favoritos/restaurante-bolboreta-madrid/" TargetMode="External"/><Relationship Id="rId1459" Type="http://schemas.openxmlformats.org/officeDocument/2006/relationships/hyperlink" Target="https://www.chasiscero.com/articulo/fabricantes/es-ninguna-broma-compras-coche-marca-regala-gasolina-todo-ano/20240409091319019342.html" TargetMode="External"/><Relationship Id="rId629" Type="http://schemas.openxmlformats.org/officeDocument/2006/relationships/hyperlink" Target="https://www.guiarepsol.com/es/comer/nuestros-favoritos/restaurante-o-fragon-fisterra-acoruna/" TargetMode="External"/><Relationship Id="rId624" Type="http://schemas.openxmlformats.org/officeDocument/2006/relationships/hyperlink" Target="https://elperiodicodelaenergia.com/repsol-recorta-un-255-su-beneficio-en-2023-hasta-los-3-168-millones-de-euros/" TargetMode="External"/><Relationship Id="rId623" Type="http://schemas.openxmlformats.org/officeDocument/2006/relationships/hyperlink" Target="https://cronicaglobal.elespanol.com/cronica-directo/curiosidades/20240220/asi-de-restaurantes-prestigiosos-sostenibles-cataluna-corral/834166604_0.html" TargetMode="External"/><Relationship Id="rId622" Type="http://schemas.openxmlformats.org/officeDocument/2006/relationships/hyperlink" Target="https://www.guiarepsol.com/es/viajar/nos-gusta/taller-de-ceramica-raposina-a-coruna/" TargetMode="External"/><Relationship Id="rId621" Type="http://schemas.openxmlformats.org/officeDocument/2006/relationships/hyperlink" Target="https://www.miciudadreal.es/2024/02/20/el-subdelegado-del-gobierno-en-ciudad-real-se-reune-con-el-director-de-repsol-en-puertollano/" TargetMode="External"/><Relationship Id="rId628" Type="http://schemas.openxmlformats.org/officeDocument/2006/relationships/hyperlink" Target="https://www.cmmedia.es/noticias/castilla-la-mancha/ciudad-real/repsol-parara-marzo-planta-puertollano-invirtiendo-120-millones-euros-empleando-2-000-personas.html" TargetMode="External"/><Relationship Id="rId627" Type="http://schemas.openxmlformats.org/officeDocument/2006/relationships/hyperlink" Target="https://www.salamancahoy.es/salamanca/ciudad/junta-repsol-promueven-uso-combustibles-renovables-transporte-20240221163219-nt.html" TargetMode="External"/><Relationship Id="rId626" Type="http://schemas.openxmlformats.org/officeDocument/2006/relationships/hyperlink" Target="https://www.malagahoy.es/la-farola/Soles-Repsol-restaurantes-Malaga_0_1877514520.html" TargetMode="External"/><Relationship Id="rId625" Type="http://schemas.openxmlformats.org/officeDocument/2006/relationships/hyperlink" Target="https://www.eleconomista.es/mercados-cotizaciones/noticias/12684203/02/24/el-mercado-preve-un-dividendo-un-16-mayor-al-prometido-por-repsol-en-2025-.html" TargetMode="External"/><Relationship Id="rId2780" Type="http://schemas.openxmlformats.org/officeDocument/2006/relationships/hyperlink" Target="https://www.malagahoy.es/la-farola/mejores-chiringuitos-litoral-oriental-malaga_0_2001978036.html" TargetMode="External"/><Relationship Id="rId1450" Type="http://schemas.openxmlformats.org/officeDocument/2006/relationships/hyperlink" Target="https://www.expansion.com/mercados/2024/04/09/66146436468aebf9508b4575.html" TargetMode="External"/><Relationship Id="rId2781" Type="http://schemas.openxmlformats.org/officeDocument/2006/relationships/hyperlink" Target="https://www.boxrepsol.com/es/vive-tu-moto/motos-custom-125/" TargetMode="External"/><Relationship Id="rId620" Type="http://schemas.openxmlformats.org/officeDocument/2006/relationships/hyperlink" Target="https://www.hoy.es/sociedad/repsol-analiza-futuro-vehiculos-diesel-gasolina-20240220184724-nt.html" TargetMode="External"/><Relationship Id="rId1451" Type="http://schemas.openxmlformats.org/officeDocument/2006/relationships/hyperlink" Target="https://petronor.eus/es/2024/04/presentacion-plan-estrategico-de-repsol/" TargetMode="External"/><Relationship Id="rId2782" Type="http://schemas.openxmlformats.org/officeDocument/2006/relationships/hyperlink" Target="https://www.infobae.com/espana/2024/07/31/el-restaurante-en-un-pequeno-pueblo-costero-que-sirve-las-mejores-hamburguesas-de-bizkaia-recetas-originales-y-unas-espectaculares-vistas-al-mar/" TargetMode="External"/><Relationship Id="rId1452" Type="http://schemas.openxmlformats.org/officeDocument/2006/relationships/hyperlink" Target="https://elmercantil.com/2024/04/09/petronor-recibe-luz-verde-para-el-desarrollo-de-su-planta-de-e-fueles-en-el-puerto-de-bilbao/" TargetMode="External"/><Relationship Id="rId2783" Type="http://schemas.openxmlformats.org/officeDocument/2006/relationships/hyperlink" Target="https://www.elespanol.com/castilla-y-leon/region/zamora/20240731/prestigiosa-guia-repsol-recomienda-bodegas-famosas-zamora-refrescarse-vivir-experiencia-unica/874662562_0.html" TargetMode="External"/><Relationship Id="rId1453" Type="http://schemas.openxmlformats.org/officeDocument/2006/relationships/hyperlink" Target="https://www.guiarepsol.com/es/comer/nuestros-favoritos/restaurante-abya-madrid/" TargetMode="External"/><Relationship Id="rId2784" Type="http://schemas.openxmlformats.org/officeDocument/2006/relationships/hyperlink" Target="https://gestion.pe/economia/empresas/la-pampilla-de-repsol-contempla-mejora-tecnologica-en-callao-de-que-se-trata-repsol-empresas-peru-refineria-senace-noticia/" TargetMode="External"/><Relationship Id="rId1454" Type="http://schemas.openxmlformats.org/officeDocument/2006/relationships/hyperlink" Target="https://www.larazon.es/deportes/isidre-esteve-estar-misma-carrera-loeb-attiyah-carlos-sainz-muy-guapo_202404096614f93e5e1b1f0001374d92.html" TargetMode="External"/><Relationship Id="rId2785" Type="http://schemas.openxmlformats.org/officeDocument/2006/relationships/hyperlink" Target="https://www.bolsamania.com/noticias/analisis-tecnico/este-es-el-valor-favorito-del-ibex-para-el-mes-de-agosto--17146265.html" TargetMode="External"/><Relationship Id="rId1444" Type="http://schemas.openxmlformats.org/officeDocument/2006/relationships/hyperlink" Target="https://www.eleconomista.es/energia/noticias/12757665/04/24/lluvia-de-millones-para-el-sector-energetico-espanol-enagas-repsol-ree-y-edp-triunfan-en-la-ue.html" TargetMode="External"/><Relationship Id="rId2775" Type="http://schemas.openxmlformats.org/officeDocument/2006/relationships/hyperlink" Target="https://www.interior.gob.es/opencms/eu/detalle/articulo/La-Guardia-Civil-comienza-a-volar-con-combustible-sostenible/" TargetMode="External"/><Relationship Id="rId1445" Type="http://schemas.openxmlformats.org/officeDocument/2006/relationships/hyperlink" Target="https://www.boxrepsol.com/es/motogp/como-ver-el-motogp-de-las-americas/" TargetMode="External"/><Relationship Id="rId2776" Type="http://schemas.openxmlformats.org/officeDocument/2006/relationships/hyperlink" Target="https://www.diariopalentino.es/noticia/z34f3e623-9e09-4db7-a69196c21234343c/202407/repsol-entra-en-el-accionariado-de-dos-filiales-de-oregon" TargetMode="External"/><Relationship Id="rId1446" Type="http://schemas.openxmlformats.org/officeDocument/2006/relationships/hyperlink" Target="https://www.caranddriver.com/es/coches/planeta-motor/a60428083/el-mg3-hybrid-tiene-un-precio-rompedor-para-ser-eco-y-te-regala-mas-de-500-euros-en-combustible-repsol/" TargetMode="External"/><Relationship Id="rId2777" Type="http://schemas.openxmlformats.org/officeDocument/2006/relationships/hyperlink" Target="https://www.guiarepsol.com/es/comer/nuestros-favoritos/restaurante-narea-vejer-de-la-frontera-cadiz/" TargetMode="External"/><Relationship Id="rId1447" Type="http://schemas.openxmlformats.org/officeDocument/2006/relationships/hyperlink" Target="https://cincodias.elpais.com/mercados-financieros/2024-04-08/la-bolsa-y-el-ibex-35-en-directo.html" TargetMode="External"/><Relationship Id="rId2778" Type="http://schemas.openxmlformats.org/officeDocument/2006/relationships/hyperlink" Target="https://www.elespanol.com/invertia/empresas/energia/20240731/recrudece-guerra-sector-petrolifero-minoritarios-denuncian-cnmc-repsol-cepsa-total-cartel/874662964_0.html" TargetMode="External"/><Relationship Id="rId1448" Type="http://schemas.openxmlformats.org/officeDocument/2006/relationships/hyperlink" Target="https://www.expansion.com/empresas/energia/2024/04/08/661317fee5fdea30118b45ad.html" TargetMode="External"/><Relationship Id="rId2779" Type="http://schemas.openxmlformats.org/officeDocument/2006/relationships/hyperlink" Target="https://www.elperiodicodearagon.com/ideas/Repsol-kilito/index.html" TargetMode="External"/><Relationship Id="rId1449" Type="http://schemas.openxmlformats.org/officeDocument/2006/relationships/hyperlink" Target="https://www.interempresas.net/Estaciones-servicio/Articulos/544032-Analisis-de-ciclo-de-vida-herramienta-para-la-movilidad-sostenible.html" TargetMode="External"/><Relationship Id="rId619" Type="http://schemas.openxmlformats.org/officeDocument/2006/relationships/hyperlink" Target="https://objetivocastillalamancha.es/contenidos/repsol-puertollano-inicia-mayor-parada-mantenimiento-centrada-innovacion-tecnologica-descarbonizacion" TargetMode="External"/><Relationship Id="rId618" Type="http://schemas.openxmlformats.org/officeDocument/2006/relationships/hyperlink" Target="https://www.hola.com/cocina/noticias/20240220249580/restaurantes-soles-sostenibles-2024-lescols-atafona-loreto-revelia/" TargetMode="External"/><Relationship Id="rId613" Type="http://schemas.openxmlformats.org/officeDocument/2006/relationships/hyperlink" Target="https://www.ondacero.es/noticias/gastronomia/guia-repsol-premia-estos-cuatro-restaurantes-sol-sostenible_2024022065d4988a4129260001c9a37b.html" TargetMode="External"/><Relationship Id="rId612" Type="http://schemas.openxmlformats.org/officeDocument/2006/relationships/hyperlink" Target="https://www.abc.es/sevilla/economia/nueva-oferta-repsol-puedes-ahorrar-400-euros-20240220180432-nts.html" TargetMode="External"/><Relationship Id="rId611" Type="http://schemas.openxmlformats.org/officeDocument/2006/relationships/hyperlink" Target="https://elperiodicodelaenergia.com/repsol-acometera-mayor-parada-tecnica-puertollano-660-000-horas-120-millones/" TargetMode="External"/><Relationship Id="rId610" Type="http://schemas.openxmlformats.org/officeDocument/2006/relationships/hyperlink" Target="https://www.puertollano.es/una-media-de-1-000-trabajadores-participaran-desde-marzo-en-la-parada-de-repsol/" TargetMode="External"/><Relationship Id="rId617" Type="http://schemas.openxmlformats.org/officeDocument/2006/relationships/hyperlink" Target="https://www.infobae.com/peru/2024/02/18/demandantes-de-repsol-en-el-extranjero-las-victimas-han-firmado-acuerdos-para-subsistir-pero-la-compensacion-no-ha-sido-justa/" TargetMode="External"/><Relationship Id="rId616" Type="http://schemas.openxmlformats.org/officeDocument/2006/relationships/hyperlink" Target="https://www.elcorreogallego.es/santiago/2024/02/20/lucia-freitas-galardonada-sol-sostenible-98378671.html" TargetMode="External"/><Relationship Id="rId615" Type="http://schemas.openxmlformats.org/officeDocument/2006/relationships/hyperlink" Target="https://www.guiarepsol.com/es/comer/nuestros-favoritos/nuevos-platos-la-salita-valencia/" TargetMode="External"/><Relationship Id="rId614" Type="http://schemas.openxmlformats.org/officeDocument/2006/relationships/hyperlink" Target="https://es-us.finanzas.yahoo.com/noticias/repsol-%C3%BAnica-petroleras-europeas-perder-092000365.html" TargetMode="External"/><Relationship Id="rId2770" Type="http://schemas.openxmlformats.org/officeDocument/2006/relationships/hyperlink" Target="https://www.elconfidencial.com/empresas/2024-07-30/energeticas-logran-beneficio-historico-impuestazo_3933433/" TargetMode="External"/><Relationship Id="rId1440" Type="http://schemas.openxmlformats.org/officeDocument/2006/relationships/hyperlink" Target="https://www.eleconomista.es/energia/noticias/12755243/04/24/repsol-lanza-una-ofensiva-para-ganar-clientes-de-luz-y-gas-con-cien-tiendas.html" TargetMode="External"/><Relationship Id="rId2771" Type="http://schemas.openxmlformats.org/officeDocument/2006/relationships/hyperlink" Target="https://www.expansion.com/mercados/2024/07/30/66a7caac468aeb12208b457b.html" TargetMode="External"/><Relationship Id="rId1441" Type="http://schemas.openxmlformats.org/officeDocument/2006/relationships/hyperlink" Target="https://www.diaridetarragona.com/economia/economia-empresas/javier-sancho-estudiamos-la-posibilidad-de-alguna-nueva-planta-en-tarragona-BI19118797" TargetMode="External"/><Relationship Id="rId2772" Type="http://schemas.openxmlformats.org/officeDocument/2006/relationships/hyperlink" Target="https://www.elperiodic.com/alicante/alicante-gastronomica-convierte-evento-experiencial-culinario-grande-espana-estrellas-michelin-soles-repsol_973250" TargetMode="External"/><Relationship Id="rId1442" Type="http://schemas.openxmlformats.org/officeDocument/2006/relationships/hyperlink" Target="https://www.laopiniondemalaga.es/malaga/2024/04/08/bosque-urbano-recurre-junta-proyecto-100783552.html" TargetMode="External"/><Relationship Id="rId2773" Type="http://schemas.openxmlformats.org/officeDocument/2006/relationships/hyperlink" Target="https://www.motorbikemag.es/disenos-vintage-era-motogp-antes-gran-bretana-2024/" TargetMode="External"/><Relationship Id="rId1443" Type="http://schemas.openxmlformats.org/officeDocument/2006/relationships/hyperlink" Target="https://www.merca2.es/2024/04/08/grenergy-separa-presidente-ceo-1632672/" TargetMode="External"/><Relationship Id="rId2774" Type="http://schemas.openxmlformats.org/officeDocument/2006/relationships/hyperlink" Target="https://www.elespanol.com/invertia/mercados/20240730/sacyr-logista-iag-analistas-eligen-valores-favoritos-ibex-pleno-aluvion-resultados/874162792_0.html" TargetMode="External"/><Relationship Id="rId1477" Type="http://schemas.openxmlformats.org/officeDocument/2006/relationships/hyperlink" Target="https://www.ig.com/es/ideas-de-trading-y-noticias/acciones-repsol-en-bolsa--superando-obstaculos-con-un-alza-del-1-240411" TargetMode="External"/><Relationship Id="rId4503" Type="http://schemas.openxmlformats.org/officeDocument/2006/relationships/hyperlink" Target="https://www.elcorreogallego.es/concellos/2024/11/18/restaurantes-soles-repsol-santiago-area-cenar-rey-irse-lejos-111811588.html" TargetMode="External"/><Relationship Id="rId1478" Type="http://schemas.openxmlformats.org/officeDocument/2006/relationships/hyperlink" Target="https://elperiodicodelaenergia.com/repsol-finaliza-estados-unidos-mayor-planta-fotovoltaica-637-mw/" TargetMode="External"/><Relationship Id="rId4502" Type="http://schemas.openxmlformats.org/officeDocument/2006/relationships/hyperlink" Target="https://nuevaalcarria.com/articulos/el-catacaldos-de-molina-de-aragon-obtiene-un-solete-repsol" TargetMode="External"/><Relationship Id="rId1479" Type="http://schemas.openxmlformats.org/officeDocument/2006/relationships/hyperlink" Target="https://www.energynews.es/resol-biometano-capital-genia-bioenergy/" TargetMode="External"/><Relationship Id="rId4505" Type="http://schemas.openxmlformats.org/officeDocument/2006/relationships/hyperlink" Target="https://www.ecoticias.com/cambio-climatico/pnv-y-junts-impuesto-energeticas-repsol" TargetMode="External"/><Relationship Id="rId4504" Type="http://schemas.openxmlformats.org/officeDocument/2006/relationships/hyperlink" Target="https://www.eldebate.com/espana/andalucia/20241118/cinco-tabernas-granada-ganadoras-soletes-solera-guia-repsol_244762.html" TargetMode="External"/><Relationship Id="rId4507" Type="http://schemas.openxmlformats.org/officeDocument/2006/relationships/hyperlink" Target="https://xcatalunya.cat/es/sociedad/come-por-menos-5-euros-restaurante-premiado-por-guia-repsol" TargetMode="External"/><Relationship Id="rId4506" Type="http://schemas.openxmlformats.org/officeDocument/2006/relationships/hyperlink" Target="https://www.infobae.com/espana/2024/11/18/aqui-manda-repsol-el-mensaje-que-greenpeace-ha-proyectado-en-el-congreso-para-pedir-que-se-mantenga-el-impuesto-a-las-energeticas/" TargetMode="External"/><Relationship Id="rId4509" Type="http://schemas.openxmlformats.org/officeDocument/2006/relationships/hyperlink" Target="https://www.kelisto.es/tarjetas-credito/consejos-y-analisis/que-tarjetas-te-permiten-ahorrar-en-gasolina-5026" TargetMode="External"/><Relationship Id="rId4508" Type="http://schemas.openxmlformats.org/officeDocument/2006/relationships/hyperlink" Target="https://www.abc.es/gastronomia/cadiz-san-sebastian-diez-sitios-clasicos-tapear-20241117134323-nt.html" TargetMode="External"/><Relationship Id="rId646" Type="http://schemas.openxmlformats.org/officeDocument/2006/relationships/hyperlink" Target="https://www.estrategiasdeinversion.com/actualidad/noticias/bolsa-espana/repsol-reduce-su-beneficio-hasta-los-3168-millones-n-690955" TargetMode="External"/><Relationship Id="rId645" Type="http://schemas.openxmlformats.org/officeDocument/2006/relationships/hyperlink" Target="https://efe.com/economia/2024-02-22/repsol-gano-2023-255-menos-por-menores-precios-crudo-gas/" TargetMode="External"/><Relationship Id="rId644" Type="http://schemas.openxmlformats.org/officeDocument/2006/relationships/hyperlink" Target="https://www.laverdad.es/murcia/cartagena/repsol-arrancara-mes-planta-biocombustibles-cartagena-20240223004653-nt.html" TargetMode="External"/><Relationship Id="rId643" Type="http://schemas.openxmlformats.org/officeDocument/2006/relationships/hyperlink" Target="https://www.elperiodico.com/es/economia/20240222/repsol-plan-estrategico-2027-condiciona-inversiones-fiscalidad-98491611" TargetMode="External"/><Relationship Id="rId649" Type="http://schemas.openxmlformats.org/officeDocument/2006/relationships/hyperlink" Target="https://cincodias.elpais.com/companias/2024-02-22/repsol-repartira-entre-sus-accionistas-hasta-10000-millones-en-cuatro-anos.html" TargetMode="External"/><Relationship Id="rId648" Type="http://schemas.openxmlformats.org/officeDocument/2006/relationships/hyperlink" Target="https://ciarglobal.com/como-acabo-el-arbitraje-entre-repsol-y-la-china-sinopec/" TargetMode="External"/><Relationship Id="rId647" Type="http://schemas.openxmlformats.org/officeDocument/2006/relationships/hyperlink" Target="https://www.elnacional.cat/oneconomia/es/empresas/repsol-anuncia-pago-extra-05-euros-dividendo-pagara-90-centimos-por-accion-en-2024_1164445_102.html" TargetMode="External"/><Relationship Id="rId1470" Type="http://schemas.openxmlformats.org/officeDocument/2006/relationships/hyperlink" Target="https://www.guiarepsol.com/es/comer/nuestros-favoritos/restaurante-steakhouse-origen-carnes-maduradas-las-palmas-gran-canaria/" TargetMode="External"/><Relationship Id="rId1471" Type="http://schemas.openxmlformats.org/officeDocument/2006/relationships/hyperlink" Target="https://regalosymuestrasgratis.com/repsol-sortea-10-packs-de-gafas-sun-planet.html" TargetMode="External"/><Relationship Id="rId1472" Type="http://schemas.openxmlformats.org/officeDocument/2006/relationships/hyperlink" Target="https://www.repsol.com/es/sala-prensa/notas-prensa/2024/repsol-completa-estados-unidos-construccion-frye-solar-su-mayor-planta-fotovoltaica/index.cshtml" TargetMode="External"/><Relationship Id="rId642" Type="http://schemas.openxmlformats.org/officeDocument/2006/relationships/hyperlink" Target="https://www.lavozdegalicia.es/noticia/economia/2024/02/22/repsol-preve-elevar-dividendo-80-cuatro-anos-126-euros-accion-2027/00031708596383993346904.htm" TargetMode="External"/><Relationship Id="rId1473" Type="http://schemas.openxmlformats.org/officeDocument/2006/relationships/hyperlink" Target="https://www.abc.es/economia/repsol-entra-carrera-naturgy-competir-gas-renovable-20240410142012-nt.html" TargetMode="External"/><Relationship Id="rId641" Type="http://schemas.openxmlformats.org/officeDocument/2006/relationships/hyperlink" Target="https://www.20minutos.es/lainformacion/empresas/imaz-asegura-que-repsol-no-tiene-prisa-para-decidir-sus-inversiones-espana-5268104/" TargetMode="External"/><Relationship Id="rId1474" Type="http://schemas.openxmlformats.org/officeDocument/2006/relationships/hyperlink" Target="https://www.pv-magazine.es/2024/04/11/repsol-completa-en-estados-unidos-la-construccion-de-su-mayor-planta-fotovoltaica-de-637-mw/" TargetMode="External"/><Relationship Id="rId640" Type="http://schemas.openxmlformats.org/officeDocument/2006/relationships/hyperlink" Target="https://elperiodicodelaenergia.com/repsol-preve-elevar-80-dividendo-cuatro-anos-alcanzando-126-euros-accion-2027/" TargetMode="External"/><Relationship Id="rId1475" Type="http://schemas.openxmlformats.org/officeDocument/2006/relationships/hyperlink" Target="https://www.elsaltodiario.com/cambio-climatico/repsol-repite-empresa-espanola-contribuye-crisis-climatica" TargetMode="External"/><Relationship Id="rId4501" Type="http://schemas.openxmlformats.org/officeDocument/2006/relationships/hyperlink" Target="https://www.expansion.com/mercados/2024/11/18/673ae451e5fdeab5638b458c.html" TargetMode="External"/><Relationship Id="rId1476" Type="http://schemas.openxmlformats.org/officeDocument/2006/relationships/hyperlink" Target="https://www.industriaquimica.es/noticias/20240411/repsol-entra-en-la-produccion-de-biometano-con-la-adquisicion-del-40-de-genia-bioenergy" TargetMode="External"/><Relationship Id="rId4500" Type="http://schemas.openxmlformats.org/officeDocument/2006/relationships/hyperlink" Target="https://www.guiarepsol.com/es/comer/nuestros-favoritos/baste-taberna-getxo/" TargetMode="External"/><Relationship Id="rId1466" Type="http://schemas.openxmlformats.org/officeDocument/2006/relationships/hyperlink" Target="https://www.elespanol.com/motor/20240410/mg-tira-casa-ventana-lanza-coche-hibrido-barato-regala-ano-gasolina-repsol/846415821_0.html" TargetMode="External"/><Relationship Id="rId2797" Type="http://schemas.openxmlformats.org/officeDocument/2006/relationships/hyperlink" Target="https://www.ondacero.es/emisoras/comunidad-valenciana/castellon/noticias/repsol-lleva-multienergia-arenal-sound-burriana_2024080266aca98eb33dfc0001c19c1b.html" TargetMode="External"/><Relationship Id="rId1467" Type="http://schemas.openxmlformats.org/officeDocument/2006/relationships/hyperlink" Target="https://www.elcomercio.es/gijon/ahorra-tus-suministros-luz-gas-gasoleo-vimoil-20240410132032-nt.html" TargetMode="External"/><Relationship Id="rId2798" Type="http://schemas.openxmlformats.org/officeDocument/2006/relationships/hyperlink" Target="https://www.elconfidencial.com/tecnologia/2024-08-02/repsol-alerta-llamada-fraude-no-somos-nosotros_3935826/" TargetMode="External"/><Relationship Id="rId1468" Type="http://schemas.openxmlformats.org/officeDocument/2006/relationships/hyperlink" Target="https://www.vavel.com/es/motor/2024/04/10/motogp/1179133-remember-del-gp-de-las-americas-2013-cuando-marc-marquez-hizo-historia-en-motogp.html" TargetMode="External"/><Relationship Id="rId2799" Type="http://schemas.openxmlformats.org/officeDocument/2006/relationships/hyperlink" Target="https://www.negocios.com/repsol-y-pdvsa-amplian-su-colaboracion-en-venezuela/" TargetMode="External"/><Relationship Id="rId1469" Type="http://schemas.openxmlformats.org/officeDocument/2006/relationships/hyperlink" Target="https://www.guiarepsol.com/es/viajar/vamos-de-excursion/pueblos-rio-espana/" TargetMode="External"/><Relationship Id="rId635" Type="http://schemas.openxmlformats.org/officeDocument/2006/relationships/hyperlink" Target="https://www.guiarepsol.com/es/comer/nuestros-favoritos/restaurante-la-posada-de-horcajuelo-madrid/" TargetMode="External"/><Relationship Id="rId634" Type="http://schemas.openxmlformats.org/officeDocument/2006/relationships/hyperlink" Target="https://www.guiarepsol.com/es/comer/nuestros-favoritos/restaurante-varra-madrid/" TargetMode="External"/><Relationship Id="rId633" Type="http://schemas.openxmlformats.org/officeDocument/2006/relationships/hyperlink" Target="https://www.laprovincia.es/obituarios/2024/02/21/muere-anna-eder-propietaria-restaurante-bamira-dos-soles-repsol-98469093.html" TargetMode="External"/><Relationship Id="rId632" Type="http://schemas.openxmlformats.org/officeDocument/2006/relationships/hyperlink" Target="https://www.eldebate.com/motor/20240221/marca-gasolina-te-permite-hacer-kilometros-deposito-lleno_176178.html" TargetMode="External"/><Relationship Id="rId639" Type="http://schemas.openxmlformats.org/officeDocument/2006/relationships/hyperlink" Target="https://www.eleconomista.es/mercados-cotizaciones/noticias/12687925/02/24/repsol-acelera-con-el-dividendo-rozara-1-euro-en-metalico-el-ano-que-viene-segun-su-nuevo-plan-estrategico.html" TargetMode="External"/><Relationship Id="rId638" Type="http://schemas.openxmlformats.org/officeDocument/2006/relationships/hyperlink" Target="https://okdiario.com/economia/repsol-sigue-pasos-ferrovial-sacara-bolsa-filial-exploracion-produccion-eeuu-12418171" TargetMode="External"/><Relationship Id="rId637" Type="http://schemas.openxmlformats.org/officeDocument/2006/relationships/hyperlink" Target="https://www.energias-renovables.com/panorama/repsol-describe-al-2023-como-un-ao-20240222" TargetMode="External"/><Relationship Id="rId636" Type="http://schemas.openxmlformats.org/officeDocument/2006/relationships/hyperlink" Target="https://www.guiarepsol.com/es/viajar/con-mi-mascota/malasana-barrio-petfriendly/" TargetMode="External"/><Relationship Id="rId2790" Type="http://schemas.openxmlformats.org/officeDocument/2006/relationships/hyperlink" Target="https://actualidadaeroespacial.com/la-guardia-civil-realiza-su-primer-vuelo-con-combustible-sostenible-gracias-a-repsol/" TargetMode="External"/><Relationship Id="rId1460" Type="http://schemas.openxmlformats.org/officeDocument/2006/relationships/hyperlink" Target="https://www.eleconomista.es/energia/noticias/12761404/04/24/repsol-compra-el-40-de-genia-bioenergy-para-crecer-en-biometano.html" TargetMode="External"/><Relationship Id="rId2791" Type="http://schemas.openxmlformats.org/officeDocument/2006/relationships/hyperlink" Target="https://www.motociclismo.es/mundial-motogp/todas-decoraciones-especiales-75-aniversario-mundial-motogp_297458_102.html" TargetMode="External"/><Relationship Id="rId1461" Type="http://schemas.openxmlformats.org/officeDocument/2006/relationships/hyperlink" Target="https://cincodias.elpais.com/companias/2024-04-10/repsol-compra-el-40-de-la-espanola-genia-bioenergy-e-irrumpe-en-el-negocio-del-biometano.html" TargetMode="External"/><Relationship Id="rId2792" Type="http://schemas.openxmlformats.org/officeDocument/2006/relationships/hyperlink" Target="https://www.guiarepsol.com/es/dormir/como-en-casa/hotel-sabina-arenas-san-pedro-avila/" TargetMode="External"/><Relationship Id="rId631" Type="http://schemas.openxmlformats.org/officeDocument/2006/relationships/hyperlink" Target="https://www.motor16.com/noticias/gasolina-coche-kilometros/4/" TargetMode="External"/><Relationship Id="rId1462" Type="http://schemas.openxmlformats.org/officeDocument/2006/relationships/hyperlink" Target="https://www.repsol.es/autonomos-y-empresas/asesoramiento/que-es-tarifa-3-0td/" TargetMode="External"/><Relationship Id="rId2793" Type="http://schemas.openxmlformats.org/officeDocument/2006/relationships/hyperlink" Target="https://www.boxrepsol.com/es/vive-tu-moto/cuales-son-las-mejores-motos-para-ciudad/" TargetMode="External"/><Relationship Id="rId630" Type="http://schemas.openxmlformats.org/officeDocument/2006/relationships/hyperlink" Target="https://elperiodicodelaenergia.com/repsol-tira-la-casa-por-la-ventana-invertira-19-000-millones-hasta-2027-siempre-y-cuando-no-apriete-el-gobierno/" TargetMode="External"/><Relationship Id="rId1463" Type="http://schemas.openxmlformats.org/officeDocument/2006/relationships/hyperlink" Target="https://energetica21.com/noticia/repsol-entra-en-la-produccion-de-biometano-con-la-adquisicion-del-40porciento-de-genia-bioenergy" TargetMode="External"/><Relationship Id="rId2794" Type="http://schemas.openxmlformats.org/officeDocument/2006/relationships/hyperlink" Target="https://www.guiarepsol.com/es/comer/nuestros-favoritos/restaurante-144-vitoria/" TargetMode="External"/><Relationship Id="rId1464" Type="http://schemas.openxmlformats.org/officeDocument/2006/relationships/hyperlink" Target="https://www.epe.es/es/activos/20240410/repsol-carrera-boom-gases-renovables-biometano-100868853" TargetMode="External"/><Relationship Id="rId2795" Type="http://schemas.openxmlformats.org/officeDocument/2006/relationships/hyperlink" Target="https://www.motogp.com/es/news/2024/08/01/all-pictures-from-special-liveries/504770" TargetMode="External"/><Relationship Id="rId1465" Type="http://schemas.openxmlformats.org/officeDocument/2006/relationships/hyperlink" Target="https://www.guiarepsol.com/es/comer/en-el-mercado/12-edicion-del-concurso-internacional-de-gamba-roja-de-denia/" TargetMode="External"/><Relationship Id="rId2796" Type="http://schemas.openxmlformats.org/officeDocument/2006/relationships/hyperlink" Target="https://noticiastrabajo.huffingtonpost.es/economia/consumo/precio-gasolina-cambia-partir-agosto-diesel-vende-1-euro/" TargetMode="External"/><Relationship Id="rId1411" Type="http://schemas.openxmlformats.org/officeDocument/2006/relationships/hyperlink" Target="https://www.informacion.es/medio-ambiente/2024/04/04/son-empresas-co2-emiten-atmosfera-100615698.html" TargetMode="External"/><Relationship Id="rId2742" Type="http://schemas.openxmlformats.org/officeDocument/2006/relationships/hyperlink" Target="https://www.20minutos.es/gastronomia/restaurantes/restaurante-madrid-jardin-arturo-soria-terraza-verano-carne-pescado-5534137/" TargetMode="External"/><Relationship Id="rId1412" Type="http://schemas.openxmlformats.org/officeDocument/2006/relationships/hyperlink" Target="https://unmsm.edu.pe/noticias-y-eventos/noticias/noticia-detalle/empresa-repsol-dona-un-sedimentador-didactico-a-la-facultad-de-quimica-e-ingenieria-quimica" TargetMode="External"/><Relationship Id="rId2743" Type="http://schemas.openxmlformats.org/officeDocument/2006/relationships/hyperlink" Target="https://www.malagahoy.es/la-farola/cinco-churrerias-malaga-churros-gozada_0_2002004579.html" TargetMode="External"/><Relationship Id="rId1413" Type="http://schemas.openxmlformats.org/officeDocument/2006/relationships/hyperlink" Target="https://www.infobae.com/colombia/2024/04/04/chef-colombiano-arrasa-en-espana-raviolis-de-platano-con-queso-costeno-su-plato-estrella/" TargetMode="External"/><Relationship Id="rId2744" Type="http://schemas.openxmlformats.org/officeDocument/2006/relationships/hyperlink" Target="https://www.consumidorglobal.com/alimentacion/susi-diaz-la-finca-te-llena-restaurante-no-es-estrella-michelin_11310_102.html" TargetMode="External"/><Relationship Id="rId1414" Type="http://schemas.openxmlformats.org/officeDocument/2006/relationships/hyperlink" Target="https://www.repsol.com/es/empleo/trabaja-en-repsol/trabaja-en-la-red-de-estaciones-de-servicio/index.cshtml" TargetMode="External"/><Relationship Id="rId2745" Type="http://schemas.openxmlformats.org/officeDocument/2006/relationships/hyperlink" Target="https://www.expansion.com/ahorro/2024/07/28/669f9dcae5fdea67098b4593.html" TargetMode="External"/><Relationship Id="rId1415" Type="http://schemas.openxmlformats.org/officeDocument/2006/relationships/hyperlink" Target="https://www.estrategiasdeinversion.com/actualidad/noticias/bolsa-espana/la-petrolera-repsol-goza-de-una-tregua-en-bolsa-n-702911" TargetMode="External"/><Relationship Id="rId2746" Type="http://schemas.openxmlformats.org/officeDocument/2006/relationships/hyperlink" Target="https://www.eleconomista.es/mercados-cotizaciones/noticias/12928089/07/24/las-grandes-energeticas-espanolas-del-ibex-ganaron-7600-millones-hasta-junio.html" TargetMode="External"/><Relationship Id="rId1416" Type="http://schemas.openxmlformats.org/officeDocument/2006/relationships/hyperlink" Target="https://www.guiarepsol.com/es/soletes/donde-comer-pizza/" TargetMode="External"/><Relationship Id="rId2747" Type="http://schemas.openxmlformats.org/officeDocument/2006/relationships/hyperlink" Target="https://www.laverdad.es/economia-region-murcia/charry-bbq-experiencia-gastronomica-comienza-termina-brasa-20240727082742-nt.html" TargetMode="External"/><Relationship Id="rId1417" Type="http://schemas.openxmlformats.org/officeDocument/2006/relationships/hyperlink" Target="https://www.diariodeferrol.com/articulo/ferrol/repsol-aborda-100-alumnos-cifp-ferrolterra-retos-energeticos-4781238" TargetMode="External"/><Relationship Id="rId2748" Type="http://schemas.openxmlformats.org/officeDocument/2006/relationships/hyperlink" Target="https://lavozdeibiza.com/actualidad/2024/07/28/fallece-joven-de-28-anos-en-un-accidente-de-moto-en-formentera/" TargetMode="External"/><Relationship Id="rId1418" Type="http://schemas.openxmlformats.org/officeDocument/2006/relationships/hyperlink" Target="https://www.elindependiente.com/economia/2024/04/05/cnmc-atencion-al-cliente-electricas-iberdrola-endesa-naturgy-edp-repsol/" TargetMode="External"/><Relationship Id="rId2749" Type="http://schemas.openxmlformats.org/officeDocument/2006/relationships/hyperlink" Target="https://www.diariodelpuerto.com/aereo/iag-y-repsol-acuerdan-la-mayor-compra-de-combustible-sostenible-para-aviacion-en-espana-EP20580994" TargetMode="External"/><Relationship Id="rId1419" Type="http://schemas.openxmlformats.org/officeDocument/2006/relationships/hyperlink" Target="https://www.lavozdegalicia.es/noticia/ferrol/2024/04/05/fp-cambio-vida-raul-44-anos-paro-fichar-repsol/0003_202404F5C3995.htm" TargetMode="External"/><Relationship Id="rId2740" Type="http://schemas.openxmlformats.org/officeDocument/2006/relationships/hyperlink" Target="https://www.leonoticias.com/comarcas/gasolineras-abren-horas-provincia-leon-20240727091802-nt.html" TargetMode="External"/><Relationship Id="rId1410" Type="http://schemas.openxmlformats.org/officeDocument/2006/relationships/hyperlink" Target="https://www.20minutos.es/noticia/5232943/0/acuerdo-paris-no-freno-las-emisiones-co2-sino-que-concentro-80-57-energeticas-cementeras-todo-mundo/" TargetMode="External"/><Relationship Id="rId2741" Type="http://schemas.openxmlformats.org/officeDocument/2006/relationships/hyperlink" Target="https://www.diariodeibiza.es/ocio/gastronomia/2024/07/27/restaurante-gaia-cocina-honesta-sostenible-105592377.html" TargetMode="External"/><Relationship Id="rId1400" Type="http://schemas.openxmlformats.org/officeDocument/2006/relationships/hyperlink" Target="https://www.viaempresa.cat/es/empresa/repsol-es-principales-responsables-contaminacion-mundial-segun-influencemap_2195964_102.html" TargetMode="External"/><Relationship Id="rId2731" Type="http://schemas.openxmlformats.org/officeDocument/2006/relationships/hyperlink" Target="https://www.infobae.com/espana/2024/07/26/el-restaurante-con-estrella-michelin-de-un-pueblo-de-lleida-donde-cocinan-mano-a-mano-una-madre-y-su-hijo/" TargetMode="External"/><Relationship Id="rId1401" Type="http://schemas.openxmlformats.org/officeDocument/2006/relationships/hyperlink" Target="https://www.lacomarcadepuertollano.com/articulo/puertollano/parada-complejo-industrial-repsol-puertollano-supera-ecuador-maximo-actividad/20240404102004540200.html" TargetMode="External"/><Relationship Id="rId2732" Type="http://schemas.openxmlformats.org/officeDocument/2006/relationships/hyperlink" Target="https://www.motorpoint.com/-joan-mir-renueva-con-hrc-hasta-el-2026" TargetMode="External"/><Relationship Id="rId1402" Type="http://schemas.openxmlformats.org/officeDocument/2006/relationships/hyperlink" Target="https://www.eleconomista.es/mercados-cotizaciones/noticias/12752249/04/24/repsol-alcanza-los-16-euros-por-accion-gracias-al-repunte-del-precio-del-petroleo.html" TargetMode="External"/><Relationship Id="rId2733" Type="http://schemas.openxmlformats.org/officeDocument/2006/relationships/hyperlink" Target="https://www.guiarepsol.com/es/viajar/vamos-de-excursion/excursiones-fresquitas-para-regatear-el-calor/" TargetMode="External"/><Relationship Id="rId1403" Type="http://schemas.openxmlformats.org/officeDocument/2006/relationships/hyperlink" Target="https://teveras.es/2024/04/04/30460/la-parada-de-repsol-en-puertollano-supera-su-ecuador/" TargetMode="External"/><Relationship Id="rId2734" Type="http://schemas.openxmlformats.org/officeDocument/2006/relationships/hyperlink" Target="https://www.guiarepsol.com/es/comer/nuestros-favoritos/chiringuito-sea-soul-cataria-chiclana-de-la-frontera-cadiz/" TargetMode="External"/><Relationship Id="rId1404" Type="http://schemas.openxmlformats.org/officeDocument/2006/relationships/hyperlink" Target="https://www.infobae.com/espana/2024/04/05/el-restaurante-con-un-sol-repsol-en-un-pequeno-pueblo-riojano-cocina-tradicional-renovada-en-una-bodega-subterranea-del-siglo-xvii/" TargetMode="External"/><Relationship Id="rId2735" Type="http://schemas.openxmlformats.org/officeDocument/2006/relationships/hyperlink" Target="https://www.eleconomista.es/energia/noticias/12927027/07/24/repsol-arrebata-a-iberdrola-su-alianza-con-el-grupo-oregon-para-crecer-en-electricidad.html" TargetMode="External"/><Relationship Id="rId1405" Type="http://schemas.openxmlformats.org/officeDocument/2006/relationships/hyperlink" Target="https://www.guiarepsol.com/es/comer/nuestros-favoritos/allegorie-restaurante-de-cocina-francesa-en-madrid/" TargetMode="External"/><Relationship Id="rId2736" Type="http://schemas.openxmlformats.org/officeDocument/2006/relationships/hyperlink" Target="https://okdiario.com/motor/asi-conducir-coche-diesel-renovable-repsol-13213968" TargetMode="External"/><Relationship Id="rId1406" Type="http://schemas.openxmlformats.org/officeDocument/2006/relationships/hyperlink" Target="https://climatica.coop/emisiones-deco2-57-empresas/" TargetMode="External"/><Relationship Id="rId2737" Type="http://schemas.openxmlformats.org/officeDocument/2006/relationships/hyperlink" Target="https://www.elespanol.com/motor/20240727/conducido-coche-aceite-usado-cocina-contaminar-experiencia/873412914_0.html" TargetMode="External"/><Relationship Id="rId1407" Type="http://schemas.openxmlformats.org/officeDocument/2006/relationships/hyperlink" Target="https://www.sweetpress.com/distribucion/gespevesa-cambia-su-estructura-societaria-BKSP27892" TargetMode="External"/><Relationship Id="rId2738" Type="http://schemas.openxmlformats.org/officeDocument/2006/relationships/hyperlink" Target="https://www.eleconomista.es/mercados-cotizaciones/noticias/12926962/07/24/repsol-sabadell-logista-linea-directa-los-dividendos-anunciados-en-la-ultima-semana.html" TargetMode="External"/><Relationship Id="rId1408" Type="http://schemas.openxmlformats.org/officeDocument/2006/relationships/hyperlink" Target="https://cronicavasca.elespanol.com/empresas/20240404/petronor-pnv-eh-bildu-posicionarse-enfrentamiento-politico/844915546_0.html" TargetMode="External"/><Relationship Id="rId2739" Type="http://schemas.openxmlformats.org/officeDocument/2006/relationships/hyperlink" Target="https://cronicaglobal.elespanol.com/gastronomia/20240727/la-restaurante-tarragona-national-geographic-guia-repsol/873412707_0.html" TargetMode="External"/><Relationship Id="rId1409" Type="http://schemas.openxmlformats.org/officeDocument/2006/relationships/hyperlink" Target="https://www.lasexta.com/noticias/internacional/80-emisiones-co2-globales-vinculan-57-empresas-petroleras-cemento_20240404660e3ba45e1b1f000128ef2d.html" TargetMode="External"/><Relationship Id="rId2730" Type="http://schemas.openxmlformats.org/officeDocument/2006/relationships/hyperlink" Target="https://www.guiarepsol.com/es/comer/nuestros-favoritos/restaurante-matias-lagunas-de-ruidera-ciudad-real/" TargetMode="External"/><Relationship Id="rId1433" Type="http://schemas.openxmlformats.org/officeDocument/2006/relationships/hyperlink" Target="https://cincodias.elpais.com/mercados-financieros/2024-04-07/los-pesos-pesados-que-deciden-el-rumbo-del-ibex.html" TargetMode="External"/><Relationship Id="rId2764" Type="http://schemas.openxmlformats.org/officeDocument/2006/relationships/hyperlink" Target="https://cronicaglobal.elespanol.com/business/20240729/iag-la-descarbonizacion-transporte-de-toneladas-saf/874162633_0.html" TargetMode="External"/><Relationship Id="rId1434" Type="http://schemas.openxmlformats.org/officeDocument/2006/relationships/hyperlink" Target="https://www.elindependiente.com/vida-sana/salud/2024/04/06/estos-son-los-siete-avances-que-demuestran-la-importancia-de-la-investigacion-medica-para-transformar-la-salud/" TargetMode="External"/><Relationship Id="rId2765" Type="http://schemas.openxmlformats.org/officeDocument/2006/relationships/hyperlink" Target="https://www.eleconomista.es/energia/noticias/12930196/07/24/repsol-avanza-con-sus-desinversiones-y-se-desprende-de-sus-oleoductos-en-eeuu-indonesia-y-ecuador.html" TargetMode="External"/><Relationship Id="rId1435" Type="http://schemas.openxmlformats.org/officeDocument/2006/relationships/hyperlink" Target="https://larepublica.pe/mundo/venezuela/2024/04/05/venezuela-y-ee-uu-juntos-pdvsa-y-chevron-inician-plan-para-incrementar-produccion-de-petroleo-lrtmv-459925" TargetMode="External"/><Relationship Id="rId2766" Type="http://schemas.openxmlformats.org/officeDocument/2006/relationships/hyperlink" Target="https://www.puertollano.es/catorce-becados-universitarios-inician-sus-practicas-en-el-complejo-industrial-de-repsol/" TargetMode="External"/><Relationship Id="rId1436" Type="http://schemas.openxmlformats.org/officeDocument/2006/relationships/hyperlink" Target="https://www.relevo.com/motociclismo/motogp/crisis-honda-repsol-marquez-motogp-20240404154113-nt.html" TargetMode="External"/><Relationship Id="rId2767" Type="http://schemas.openxmlformats.org/officeDocument/2006/relationships/hyperlink" Target="https://www.repsol.com/es/empleo/trabaja-en-repsol/testimonios-empleados/index.cshtml" TargetMode="External"/><Relationship Id="rId1437" Type="http://schemas.openxmlformats.org/officeDocument/2006/relationships/hyperlink" Target="https://diariodeavisos.elespanol.com/2024/04/babacar-fall-mi-sueno-es-abrir-una-escuela-de-cocina-en-senegal/" TargetMode="External"/><Relationship Id="rId2768" Type="http://schemas.openxmlformats.org/officeDocument/2006/relationships/hyperlink" Target="https://www.guiarepsol.com/es/viajar/vamos-de-excursion/embarcadero-suscalar-huesca/" TargetMode="External"/><Relationship Id="rId1438" Type="http://schemas.openxmlformats.org/officeDocument/2006/relationships/hyperlink" Target="https://www.repsol.com/es/energia-futuro/movilidad-sostenible/diferencia-hibrido-e-hibrido-enchufable/index.cshtml" TargetMode="External"/><Relationship Id="rId2769" Type="http://schemas.openxmlformats.org/officeDocument/2006/relationships/hyperlink" Target="https://www.vavel.com/es/motor/2024/07/30/motogp/1190336-remember-gran-premio-de-gran-bretana-1997-doohan-domino-donington-y-se-corono-tetracampeon.html" TargetMode="External"/><Relationship Id="rId1439" Type="http://schemas.openxmlformats.org/officeDocument/2006/relationships/hyperlink" Target="https://automovilismocanario.com/2024/04/07/isidre-esteve-logra-un-gran-resultado-en-el-inicio-de-su-preparacion-para-el-dakar-2025/" TargetMode="External"/><Relationship Id="rId609" Type="http://schemas.openxmlformats.org/officeDocument/2006/relationships/hyperlink" Target="https://www.elespanol.com/eldigitalcastillalamancha/economia/empresas/20240220/repsol-parara-planta-puertollano-invertira-millones-euros-mejoras/834166876_0.html" TargetMode="External"/><Relationship Id="rId608" Type="http://schemas.openxmlformats.org/officeDocument/2006/relationships/hyperlink" Target="https://www.elespanol.com/quincemil/vivir/gastrogalicia/20240219/restaurante-gallego-tafona-lucia-freitas-reconocido-sol-sostenible/833917168_0.html" TargetMode="External"/><Relationship Id="rId607" Type="http://schemas.openxmlformats.org/officeDocument/2006/relationships/hyperlink" Target="https://www.guiarepsol.com/es/comer/nuestros-favoritos/la-revelia-vizcaya/" TargetMode="External"/><Relationship Id="rId602" Type="http://schemas.openxmlformats.org/officeDocument/2006/relationships/hyperlink" Target="https://www.elcorreo.com/jantour/restaurantes/restaurante-vizcaino-cuatro-sostenibles-espana-segun-guia-20240219104851-nt.html" TargetMode="External"/><Relationship Id="rId601" Type="http://schemas.openxmlformats.org/officeDocument/2006/relationships/hyperlink" Target="https://www.laopiniondemurcia.es/ocio/gastronomia/2024/02/19/restaurante-loreto-jumilla-premio-sol-98360208.html" TargetMode="External"/><Relationship Id="rId600" Type="http://schemas.openxmlformats.org/officeDocument/2006/relationships/hyperlink" Target="https://www.huleymantel.com/menu-dia/estos-son-cuatro-nuevos-restaurantes-con-sol-sostenible-guia-repsol-2024_101930_102.html" TargetMode="External"/><Relationship Id="rId606" Type="http://schemas.openxmlformats.org/officeDocument/2006/relationships/hyperlink" Target="https://www.elespanol.com/invertia/disruptores-innovadores/disruptores/startups/20240219/ecosistema-disruptor-boutiques-digitales-capta-mejor-talento-companias-inditex-repsol-iberia/833166800_0.html" TargetMode="External"/><Relationship Id="rId605" Type="http://schemas.openxmlformats.org/officeDocument/2006/relationships/hyperlink" Target="https://www.heraldo.es/noticias/economia/2024/02/19/el-diesel-100-renovable-llega-a-aragon-1712260.html" TargetMode="External"/><Relationship Id="rId604" Type="http://schemas.openxmlformats.org/officeDocument/2006/relationships/hyperlink" Target="https://www.boxrepsol.com/es/motogp/test-de-catar-motogp-2024-resultados-de-la-primera-jornada/" TargetMode="External"/><Relationship Id="rId603" Type="http://schemas.openxmlformats.org/officeDocument/2006/relationships/hyperlink" Target="https://www.vanitatis.elconfidencial.com/gastronomia/2024-02-19/soles-repsol-sostenibles-2024_3833376/" TargetMode="External"/><Relationship Id="rId2760" Type="http://schemas.openxmlformats.org/officeDocument/2006/relationships/hyperlink" Target="https://cronicavasca.elespanol.com/empresas/20240729/francia-reino-unido-disparan-petronor-maquillan-exportaciones/872912744_0.html" TargetMode="External"/><Relationship Id="rId1430" Type="http://schemas.openxmlformats.org/officeDocument/2006/relationships/hyperlink" Target="https://www.epe.es/es/espana/20240406/frente-atlantico-domingo-temperaturas-peninsula-100714252" TargetMode="External"/><Relationship Id="rId2761" Type="http://schemas.openxmlformats.org/officeDocument/2006/relationships/hyperlink" Target="https://www.elmundo.es/uestudio/2024/07/29/66a760a0fdddff11068b4576.html" TargetMode="External"/><Relationship Id="rId1431" Type="http://schemas.openxmlformats.org/officeDocument/2006/relationships/hyperlink" Target="https://www.laopiniondemurcia.es/cartagena/2024/04/06/puertos-green-blue-mar-oportunidades-100667293.html" TargetMode="External"/><Relationship Id="rId2762" Type="http://schemas.openxmlformats.org/officeDocument/2006/relationships/hyperlink" Target="https://www.eleconomista.es/energia/noticias/12928837/07/24/iag-y-repsol-cierran-la-mayor-compra-de-combustible-sostenible-para-aviones-en-espana.html" TargetMode="External"/><Relationship Id="rId1432" Type="http://schemas.openxmlformats.org/officeDocument/2006/relationships/hyperlink" Target="https://www.elmundo.es/economia/empresas/2024/04/06/66103598e9cf4a97738b4588.html" TargetMode="External"/><Relationship Id="rId2763" Type="http://schemas.openxmlformats.org/officeDocument/2006/relationships/hyperlink" Target="https://www.bancaynegocios.com/repsol-apuesta-de-nuevo-por-libia-y-vzla/" TargetMode="External"/><Relationship Id="rId1422" Type="http://schemas.openxmlformats.org/officeDocument/2006/relationships/hyperlink" Target="https://www.diariodepontevedra.es/articulo/pontevedra/gasolinera-burgo-pendiente-recurso-hace-ano/202404050935231299028.html" TargetMode="External"/><Relationship Id="rId2753" Type="http://schemas.openxmlformats.org/officeDocument/2006/relationships/hyperlink" Target="https://cincodias.elpais.com/companias/2024-07-29/iag-y-repsol-van-a-mas-en-sus-planes-de-descarbonizacion-y-firman-el-mayor-contrato-de-saf-en-espana.html" TargetMode="External"/><Relationship Id="rId1423" Type="http://schemas.openxmlformats.org/officeDocument/2006/relationships/hyperlink" Target="https://murciaeconomia.com/art/95327/la-asturiana-duro-felguera-estrena-delegacion-en-cartagena-y-refuerza-su-compromiso-con-la-region" TargetMode="External"/><Relationship Id="rId2754" Type="http://schemas.openxmlformats.org/officeDocument/2006/relationships/hyperlink" Target="https://controlpublicidad.com/sostenibles-la-esg-de-las-marcas-a-examen/repsol-nestle-y-total-energies-senaladas-por-su-greenwashing/" TargetMode="External"/><Relationship Id="rId1424" Type="http://schemas.openxmlformats.org/officeDocument/2006/relationships/hyperlink" Target="https://www.elnortedecastilla.es/valladolid/fiscalia-investiga-contaminacion-parcelas-fuga-combustible-pago-20240405000126-nt.html" TargetMode="External"/><Relationship Id="rId2755" Type="http://schemas.openxmlformats.org/officeDocument/2006/relationships/hyperlink" Target="https://www.guiarepsol.com/es/soletes/las-heladerias-favoritas-de-los-cocineros-en-cadiz/" TargetMode="External"/><Relationship Id="rId1425" Type="http://schemas.openxmlformats.org/officeDocument/2006/relationships/hyperlink" Target="https://diariodeavisos.elespanol.com/2024/04/pedro-nel-y-viviana-sarria-celebran-la-concesion-de-los-dos-soles-repsol/" TargetMode="External"/><Relationship Id="rId2756" Type="http://schemas.openxmlformats.org/officeDocument/2006/relationships/hyperlink" Target="https://www.aviacionline.com/iag-y-repsol-sellan-un-acuerdo-record-de-compra-de-saf-en-espana" TargetMode="External"/><Relationship Id="rId1426" Type="http://schemas.openxmlformats.org/officeDocument/2006/relationships/hyperlink" Target="https://valenciasecreta.com/cuina-oberta-2024-primavera/" TargetMode="External"/><Relationship Id="rId2757" Type="http://schemas.openxmlformats.org/officeDocument/2006/relationships/hyperlink" Target="https://www.hosteltur.com/164813_iag-compra-record-de-saf-y-toque-de-atencion-de-gallego-para-producir-mas.html" TargetMode="External"/><Relationship Id="rId1427" Type="http://schemas.openxmlformats.org/officeDocument/2006/relationships/hyperlink" Target="https://www.motosan.es/motogp/oscar-haro-rossi-y-ezpeleta-han-hecho-un-trabajo-increible/" TargetMode="External"/><Relationship Id="rId2758" Type="http://schemas.openxmlformats.org/officeDocument/2006/relationships/hyperlink" Target="https://www.cronista.com/espana/economia-finanzas/mientras-se-especula-con-el-regreso-de-repsol-a-libia-y-venezuela-cierra-un-acuerdo-con-iag/" TargetMode="External"/><Relationship Id="rId1428" Type="http://schemas.openxmlformats.org/officeDocument/2006/relationships/hyperlink" Target="https://www.elconfidencialdigital.com/articulo/dinero/problemas-carga-coches-electricos-a3-repetiran-puente-mayo/20240405000000754699.html" TargetMode="External"/><Relationship Id="rId2759" Type="http://schemas.openxmlformats.org/officeDocument/2006/relationships/hyperlink" Target="https://www.abc.es/viajar/andalucia/playas-imprescindibles-granada-debes-visitar-segun-guia-20240729114920-nts.html" TargetMode="External"/><Relationship Id="rId1429" Type="http://schemas.openxmlformats.org/officeDocument/2006/relationships/hyperlink" Target="https://www.guiarepsol.com/es/viajar/nos-gusta/talleres-de-ceramica-en-madrid/" TargetMode="External"/><Relationship Id="rId2750" Type="http://schemas.openxmlformats.org/officeDocument/2006/relationships/hyperlink" Target="https://www.eleconomista.es/energia/noticias/12927915/07/24/repsol-vuelve-a-poner-el-foco-inversor-en-yacimientos-de-venezuela-y-libia.html" TargetMode="External"/><Relationship Id="rId1420" Type="http://schemas.openxmlformats.org/officeDocument/2006/relationships/hyperlink" Target="https://www.lacronicabadajoz.com/badajoz/2024/04/05/cierra-dromo-restaurante-badajoz-cuatro-soles-repsol-100778480.html" TargetMode="External"/><Relationship Id="rId2751" Type="http://schemas.openxmlformats.org/officeDocument/2006/relationships/hyperlink" Target="https://www.caranddriver.com/es/coches/planeta-motor/a61724050/ofensiva-de-repsol-con-su-nueva-gasolina-y-diesel-disponibles-hasta-en-1500-estaciones/" TargetMode="External"/><Relationship Id="rId1421" Type="http://schemas.openxmlformats.org/officeDocument/2006/relationships/hyperlink" Target="https://www.arquitecturaydiseno.es/estilo-de-vida/asi-es-interiorismo-neuvos-restaurante-guia-repsol_10039" TargetMode="External"/><Relationship Id="rId2752" Type="http://schemas.openxmlformats.org/officeDocument/2006/relationships/hyperlink" Target="https://www.elperiodico.com/es/economia/20240729/aerolineas-iag-comprara-repsol-combustible-sostenible-saf-106252029" TargetMode="External"/><Relationship Id="rId3238" Type="http://schemas.openxmlformats.org/officeDocument/2006/relationships/hyperlink" Target="https://www.vtv.gob.ve/vicepresidenta-reune-director-negocios-repsol/" TargetMode="External"/><Relationship Id="rId4569" Type="http://schemas.openxmlformats.org/officeDocument/2006/relationships/hyperlink" Target="https://www.lavanguardia.com/economia/20241121/10128259/repsol-e-iberdrola-encomienda-tecnicos-salvar-diferencias-sobre-greenwashing.html" TargetMode="External"/><Relationship Id="rId3237" Type="http://schemas.openxmlformats.org/officeDocument/2006/relationships/hyperlink" Target="https://www.elespanol.com/invertia/empresas/energia/20240913/venezuela-podria-sufrir-cortes-suministro-energetico-rompe-relaciones-comerciales-empresas-espanolas/885411858_0.html" TargetMode="External"/><Relationship Id="rId4568" Type="http://schemas.openxmlformats.org/officeDocument/2006/relationships/hyperlink" Target="https://www.energias-renovables.com/panorama/las-energeticas-no-invertiran-en-renovables-30-20241121" TargetMode="External"/><Relationship Id="rId3239" Type="http://schemas.openxmlformats.org/officeDocument/2006/relationships/hyperlink" Target="https://ultimasnoticias.com.ve/economia/delcy-rodriguez-se-reune-con-directivos-de-repsol/" TargetMode="External"/><Relationship Id="rId3230" Type="http://schemas.openxmlformats.org/officeDocument/2006/relationships/hyperlink" Target="https://www.universia.net/es/actualidad/empleo/trabajar-en-repsol.html" TargetMode="External"/><Relationship Id="rId4561" Type="http://schemas.openxmlformats.org/officeDocument/2006/relationships/hyperlink" Target="https://www.eitb.eus/es/noticias/economia/detalle/9632553/iberdrola-y-repsol-se-ven-caras-en-tribunales-en-primer-juicio-por-greenwashing-del-estado-espanol/" TargetMode="External"/><Relationship Id="rId4560" Type="http://schemas.openxmlformats.org/officeDocument/2006/relationships/hyperlink" Target="https://www.abc.es/economia/repsol-iberdrola-enfrentan-primer-juicio-greenwashing-historia-20241121103753-nt.html" TargetMode="External"/><Relationship Id="rId3232" Type="http://schemas.openxmlformats.org/officeDocument/2006/relationships/hyperlink" Target="https://www.elmundo.es/internacional/2024/09/13/66e3316521efa0d83d8b458b.html" TargetMode="External"/><Relationship Id="rId4563" Type="http://schemas.openxmlformats.org/officeDocument/2006/relationships/hyperlink" Target="https://www.heraldo.es/noticias/gastronomia/2024/11/21/restaurante-zaragoza-premio-repsol-para-comer-35-euros-1779053.html" TargetMode="External"/><Relationship Id="rId3231" Type="http://schemas.openxmlformats.org/officeDocument/2006/relationships/hyperlink" Target="http://www.transcamion.es/noticias.php/Lo-que-tiene-de-los-nervios-a-Repsol-y-Cepsa.--Los-crack-de-las-gasolineras-low-cost.,-Tags-Transporte-por-carretera,-gasolineras-low-cost,-MLC-Energ%C3%ADa,-Jos%C3%A9-Luis-Mart%C3%ADn/154489" TargetMode="External"/><Relationship Id="rId4562" Type="http://schemas.openxmlformats.org/officeDocument/2006/relationships/hyperlink" Target="https://cincodias.elpais.com/companias/2024-11-21/juicio-por-greenwashing-repsol-defiende-su-compromiso-con-la-sostenibilidad-e-iberdrola-lo-ve-incompatible-con-el-petroleo.html" TargetMode="External"/><Relationship Id="rId3234" Type="http://schemas.openxmlformats.org/officeDocument/2006/relationships/hyperlink" Target="https://www.eleconomista.es/economia/noticias/12984779/09/24/la-crisis-con-venezuela-compromete-mas-de-500-millones-de-inversiones-espanolas.html" TargetMode="External"/><Relationship Id="rId4565" Type="http://schemas.openxmlformats.org/officeDocument/2006/relationships/hyperlink" Target="https://somgandia.com/ramiro-solete-repsol" TargetMode="External"/><Relationship Id="rId3233" Type="http://schemas.openxmlformats.org/officeDocument/2006/relationships/hyperlink" Target="https://www.mundodeportivo.com/solomoto/20240913/1002314723/dineral-te-regala-repsol-litro-aceite-cocina-usado-lleves-estaciones-smd.html" TargetMode="External"/><Relationship Id="rId4564" Type="http://schemas.openxmlformats.org/officeDocument/2006/relationships/hyperlink" Target="https://www.mobilityplaza.org/news/39581" TargetMode="External"/><Relationship Id="rId3236" Type="http://schemas.openxmlformats.org/officeDocument/2006/relationships/hyperlink" Target="https://okdiario.com/economia/partido-chavista-pide-que-maduro-eche-repsol-venezuela-reconocimiento-edmundo-gonzalez-13455074" TargetMode="External"/><Relationship Id="rId4567" Type="http://schemas.openxmlformats.org/officeDocument/2006/relationships/hyperlink" Target="https://confilegal.com/20241121-iberdrola-contra-repsol-comienza-en-santander-el-primer-juicio-por-greenwashing-en-espana/" TargetMode="External"/><Relationship Id="rId3235" Type="http://schemas.openxmlformats.org/officeDocument/2006/relationships/hyperlink" Target="https://www.ondacero.es/noticias/economia/centenar-empresas-espanolas-atrapadas-enfrentamiento-diplomatico-venezuela_2024091366e4148e3c87870001de5109.html" TargetMode="External"/><Relationship Id="rId4566" Type="http://schemas.openxmlformats.org/officeDocument/2006/relationships/hyperlink" Target="https://www.elindependiente.com/espana/2024/11/21/las-siete-claves-que-hoy-enfrentaran-a-iberdrola-contra-repsol-ante-el-juez/" TargetMode="External"/><Relationship Id="rId3227" Type="http://schemas.openxmlformats.org/officeDocument/2006/relationships/hyperlink" Target="https://elperiodicodelaenergia.com/repsol-alcanza-acuerdo-omoda-jaecoo-impulsara-descarbonizacion-automovil-espana/" TargetMode="External"/><Relationship Id="rId4558" Type="http://schemas.openxmlformats.org/officeDocument/2006/relationships/hyperlink" Target="https://es.ara.cat/economia/energia/iberdrola-repsol-ven-caras-juicio-ecoblanqueo_1_5208445.html" TargetMode="External"/><Relationship Id="rId3226" Type="http://schemas.openxmlformats.org/officeDocument/2006/relationships/hyperlink" Target="https://www.interempresas.net/Estaciones-servicio/Articulos/572458-Repsol-y-Omoda-y-Jaecoo-alcanzan-un-acuerdo-multienergetico-unico-en-Espana.html" TargetMode="External"/><Relationship Id="rId4557" Type="http://schemas.openxmlformats.org/officeDocument/2006/relationships/hyperlink" Target="https://www.20minutos.es/lainformacion/empresas/energeticas-advierten-gobierno-impuesto-amenaza-30000-millones-inversion-tres-anos-5656207/" TargetMode="External"/><Relationship Id="rId3229" Type="http://schemas.openxmlformats.org/officeDocument/2006/relationships/hyperlink" Target="https://www.elespanol.com/motor/20240913/repsol-acuerda-omoda-jaecoo-proveedor-energetico-electricidad-combustibles-renovables/885661489_0.html" TargetMode="External"/><Relationship Id="rId3228" Type="http://schemas.openxmlformats.org/officeDocument/2006/relationships/hyperlink" Target="https://www.capitalradio.es/noticias/bolsa/repsol-foco-ante-tension-relaciones-venezuela_133000355.html" TargetMode="External"/><Relationship Id="rId4559" Type="http://schemas.openxmlformats.org/officeDocument/2006/relationships/hyperlink" Target="https://elperiodicodelaenergia.com/segundos-fuera-asi-fue-el-combate-judicial-entre-iberdrola-y-repsol-por-el-greenwashing/" TargetMode="External"/><Relationship Id="rId699" Type="http://schemas.openxmlformats.org/officeDocument/2006/relationships/hyperlink" Target="https://cadenaser.com/andalucia/2024/02/24/la-distribucion-y-produccion-de-diesel-renovable-se-expande-por-andalucia-radio-cordoba/" TargetMode="External"/><Relationship Id="rId698" Type="http://schemas.openxmlformats.org/officeDocument/2006/relationships/hyperlink" Target="https://www.20minutos.es/lainformacion/empresas/imaz-un-cable-luz-impuesto-alguien-puede-decir-que-esto-es-social-5268516/" TargetMode="External"/><Relationship Id="rId693" Type="http://schemas.openxmlformats.org/officeDocument/2006/relationships/hyperlink" Target="https://www.deia.eus/economia/2024/02/23/josu-jon-imaz-muestra-positivo-7913203.html" TargetMode="External"/><Relationship Id="rId4550" Type="http://schemas.openxmlformats.org/officeDocument/2006/relationships/hyperlink" Target="https://www.bolsamania.com/noticias/analisis-tecnico/consultorio-grifols-endesa-inditex-repsol--18090214.html" TargetMode="External"/><Relationship Id="rId692" Type="http://schemas.openxmlformats.org/officeDocument/2006/relationships/hyperlink" Target="https://cincodias.elpais.com/companias/2024-02-24/repsol-redujo-en-un-20-los-pagos-a-los-paises-en-los-que-extrae-crudo-y-gas-hasta-1300-millones.html" TargetMode="External"/><Relationship Id="rId691" Type="http://schemas.openxmlformats.org/officeDocument/2006/relationships/hyperlink" Target="https://www.huleymantel.com/barras-estrellas/idolos-mesas/martina-puigvert-les-cols-sostenibilidad-no-es-moda-es-un-camino-modo-trabajar_101940_102.html" TargetMode="External"/><Relationship Id="rId3221" Type="http://schemas.openxmlformats.org/officeDocument/2006/relationships/hyperlink" Target="https://www.boxrepsol.com/es/vive-tu-moto/mejores-motos-para-personas-bajas/" TargetMode="External"/><Relationship Id="rId4552" Type="http://schemas.openxmlformats.org/officeDocument/2006/relationships/hyperlink" Target="https://okdiario.com/economia/endesa-iberdrola-naturgy-repsol-advierten-que-impuestazo-amenaza-30-000-millones-inversiones-13851826" TargetMode="External"/><Relationship Id="rId690" Type="http://schemas.openxmlformats.org/officeDocument/2006/relationships/hyperlink" Target="https://www.infobae.com/espana/2024/02/24/la-empresa-de-la-que-no-has-oido-hablar-y-que-vale-en-bolsa-mas-que-inditex-santander-y-repsol-juntas/" TargetMode="External"/><Relationship Id="rId3220" Type="http://schemas.openxmlformats.org/officeDocument/2006/relationships/hyperlink" Target="https://intereconomia.com/noticia/empresas/si-venezuela-romper-relaciones-con-espana-que-pasa-con-repsol-20240912-1801/" TargetMode="External"/><Relationship Id="rId4551" Type="http://schemas.openxmlformats.org/officeDocument/2006/relationships/hyperlink" Target="https://www.libremercado.com/2024-11-20/rebelion-en-las-energeticas-contra-el-impuestazo-de-sanchez-30000-millones-en-juego-7188898/" TargetMode="External"/><Relationship Id="rId697" Type="http://schemas.openxmlformats.org/officeDocument/2006/relationships/hyperlink" Target="https://www.lavozdegalicia.es/album/coruna/coruna/2024/02/23/instalaciones-repsol-langosteira/01101708702019062994303.htm" TargetMode="External"/><Relationship Id="rId3223" Type="http://schemas.openxmlformats.org/officeDocument/2006/relationships/hyperlink" Target="https://www.expansion.com/empresas/energia/2024/09/13/66e40b7d468aeb87568b4594.html" TargetMode="External"/><Relationship Id="rId4554" Type="http://schemas.openxmlformats.org/officeDocument/2006/relationships/hyperlink" Target="https://www.eleconomista.es/energia/noticias/13096020/11/24/las-energeticas-alzan-la-voz-contra-el-impuestazo-amenazan-con-retirar-30000-millones-de-inversion-en-espana.html" TargetMode="External"/><Relationship Id="rId696" Type="http://schemas.openxmlformats.org/officeDocument/2006/relationships/hyperlink" Target="https://www.elespanol.com/invertia/empresas/energia/20240224/repsol-toma-control-mayor-parque-eolico-chile-valorado-millones-compra-ibereolica/834916733_0.html" TargetMode="External"/><Relationship Id="rId3222" Type="http://schemas.openxmlformats.org/officeDocument/2006/relationships/hyperlink" Target="https://www.repsol.com/es/sala-prensa/notas-prensa/2024/repsol-omoda-jaecoo-alcanzan-acuerdo-multienergetico-unico-espana/index.cshtml" TargetMode="External"/><Relationship Id="rId4553" Type="http://schemas.openxmlformats.org/officeDocument/2006/relationships/hyperlink" Target="https://www.20minutos.es/noticia/5656287/0/las-grandes-electricas-gasistas-advierten-gobierno-que-un-nuevo-impuesto-hara-peligrar-inversiones-para-transicion-verde/" TargetMode="External"/><Relationship Id="rId695" Type="http://schemas.openxmlformats.org/officeDocument/2006/relationships/hyperlink" Target="https://www.finanzas.com/ibex-35/repsol-dividendo-plan-analistas.html" TargetMode="External"/><Relationship Id="rId3225" Type="http://schemas.openxmlformats.org/officeDocument/2006/relationships/hyperlink" Target="https://okdiario.com/economia/expulsar-repsol-dejaria-sin-luz-venezuela-maduro-no-tiene-capacidad-gestionar-red-electrica-13455448" TargetMode="External"/><Relationship Id="rId4556" Type="http://schemas.openxmlformats.org/officeDocument/2006/relationships/hyperlink" Target="https://cincodias.elpais.com/companias/2024-11-20/las-energeticas-avisan-de-que-sus-inversiones-en-espana-peligran-si-se-aprueban-nuevos-impuestos-para-el-sector.html" TargetMode="External"/><Relationship Id="rId694" Type="http://schemas.openxmlformats.org/officeDocument/2006/relationships/hyperlink" Target="https://gestion.pe/peru/repsol-pide-us-197-millones-a-una-naviera-por-el-derrame-de-petroleo-en-peru-dano-ambiental-la-pampilla-refineria-noticia/" TargetMode="External"/><Relationship Id="rId3224" Type="http://schemas.openxmlformats.org/officeDocument/2006/relationships/hyperlink" Target="https://intereconomia.com/noticia/empresas/el-negocio-de-espana-con-venezuela-se-limita-casi-en-exclusiva-al-petroleo-de-repsol-20240913-1819/" TargetMode="External"/><Relationship Id="rId4555" Type="http://schemas.openxmlformats.org/officeDocument/2006/relationships/hyperlink" Target="https://www.larazon.es/lr-content/challenge-universitario-retando-talento-joven_2024112067362f3de378830001fa2085.html" TargetMode="External"/><Relationship Id="rId3259" Type="http://schemas.openxmlformats.org/officeDocument/2006/relationships/hyperlink" Target="https://thediplomatinspain.com/2024/09/15/delcy-rodriguez-se-reune-con-repsol-en-plena-crisis-diplomatica-entre-espana-y-venezuela/" TargetMode="External"/><Relationship Id="rId3250" Type="http://schemas.openxmlformats.org/officeDocument/2006/relationships/hyperlink" Target="https://www.huffingtonpost.es/global/delcy-rodriguez-reune-repsol-discutir-planes-cooperacion-energetica.html" TargetMode="External"/><Relationship Id="rId4581" Type="http://schemas.openxmlformats.org/officeDocument/2006/relationships/hyperlink" Target="https://www.europapress.es/nacional/noticia-irene-montero-dice-psoe-esconde-detras-junts-pnv-tambien-quiere-ceder-chantaje-repsol-20241121121326.html" TargetMode="External"/><Relationship Id="rId4580" Type="http://schemas.openxmlformats.org/officeDocument/2006/relationships/hyperlink" Target="https://www.economiadigital.es/empresas/iberdrola-repsol-publicidad-enganosa-limitacion-competencia.html" TargetMode="External"/><Relationship Id="rId3252" Type="http://schemas.openxmlformats.org/officeDocument/2006/relationships/hyperlink" Target="https://www.antena3.com/noticias/mundo/calma-tensa-relaciones-comerciales-espana-venezuela-reunion-delcy-rodriguez-repsol_2024091466e5b7b3fcf7b300015bf68f.html" TargetMode="External"/><Relationship Id="rId4583" Type="http://schemas.openxmlformats.org/officeDocument/2006/relationships/hyperlink" Target="https://cronicavasca.elespanol.com/empresas/20241121/primer-iberdrola-repsol-el-combate-judicial-greenwashing/902659822_0.html" TargetMode="External"/><Relationship Id="rId3251" Type="http://schemas.openxmlformats.org/officeDocument/2006/relationships/hyperlink" Target="https://www.telecinco.es/noticias/internacional/20240914/delcy-rodriguez-reune-repsol-cooperacion-energetica_18_013450836.html" TargetMode="External"/><Relationship Id="rId4582" Type="http://schemas.openxmlformats.org/officeDocument/2006/relationships/hyperlink" Target="https://www.eitb.eus/es/noticias/economia/detalle/9633182/iberdrola-acusa-de-mensajes-enganosos-a-repsol-que-defiende-su-compromiso-con-sostenibilidad/" TargetMode="External"/><Relationship Id="rId3254" Type="http://schemas.openxmlformats.org/officeDocument/2006/relationships/hyperlink" Target="https://www.14ymedio.com/internacional/venezuela-espanola-repsol-evaluan-alianzas_1_1106283.html" TargetMode="External"/><Relationship Id="rId4585" Type="http://schemas.openxmlformats.org/officeDocument/2006/relationships/hyperlink" Target="https://www.elespanol.com/invertia/mercados/20241121/repsol-aproxima-resistencia-horizontal-inmediata-cerca-euros/902909759_0.html" TargetMode="External"/><Relationship Id="rId3253" Type="http://schemas.openxmlformats.org/officeDocument/2006/relationships/hyperlink" Target="https://www.ansalatina.com/americalatina/noticia/latinoamerica/2024/09/14/caracas-y-repsol-juntos-en-cooperacion-energetica_8eb71173-75f8-4fd1-8f73-c82cdc5811b8.html" TargetMode="External"/><Relationship Id="rId4584" Type="http://schemas.openxmlformats.org/officeDocument/2006/relationships/hyperlink" Target="https://www.hispanidad.com/economia/ignacio-galan-obsesionado-contra-repsol_12055153_102.html" TargetMode="External"/><Relationship Id="rId3256" Type="http://schemas.openxmlformats.org/officeDocument/2006/relationships/hyperlink" Target="https://www.elobservador.com.uy/espana/actualidad/al-borde-la-ruptura-espana-el-chavismo-igual-negocia-alianzas-estrategicas-repsol-n5960878" TargetMode="External"/><Relationship Id="rId4587" Type="http://schemas.openxmlformats.org/officeDocument/2006/relationships/hyperlink" Target="https://www.lavozdegalicia.es/noticia/somosmar/2024/11/21/punta-langosteira-vive-simulacro-repsol-buque-situacion-emergencia/00031732201863699204368.htm" TargetMode="External"/><Relationship Id="rId3255" Type="http://schemas.openxmlformats.org/officeDocument/2006/relationships/hyperlink" Target="https://www.relevo.com/motociclismo/motogp/situacion-honda-test-misano-20240913103524-nt.html" TargetMode="External"/><Relationship Id="rId4586" Type="http://schemas.openxmlformats.org/officeDocument/2006/relationships/hyperlink" Target="https://www.diariovasco.com/economia/empresas/macroparque-eolico-gipuzkoa-navarra-20241121105622-nt.html" TargetMode="External"/><Relationship Id="rId3258" Type="http://schemas.openxmlformats.org/officeDocument/2006/relationships/hyperlink" Target="https://efectococuyo.com/economia/que-rol-juega-repsol-y-otras-petroleras-europeas-en-venezuela/" TargetMode="External"/><Relationship Id="rId4589" Type="http://schemas.openxmlformats.org/officeDocument/2006/relationships/hyperlink" Target="https://as.com/motor/motociclismo/no-tenia-sentido-traer-una-moto-negra-n/" TargetMode="External"/><Relationship Id="rId3257" Type="http://schemas.openxmlformats.org/officeDocument/2006/relationships/hyperlink" Target="https://efectococuyo.com/politica/delcy-rodriguez-se-reune-con-petrolera-de-espana-para-avanzar-en-cooperacion-estrategica/" TargetMode="External"/><Relationship Id="rId4588" Type="http://schemas.openxmlformats.org/officeDocument/2006/relationships/hyperlink" Target="https://www.hispanidad.com/politica/espana/por-senalamientos-similares-ione-belarra-irene-montero-comenzo-violencia-pre-guerra-civil-insisten-en-mencionar-empresarios-repsol-iberdrola-cepsa-endesa-naturgy_12055142_102.html" TargetMode="External"/><Relationship Id="rId3249" Type="http://schemas.openxmlformats.org/officeDocument/2006/relationships/hyperlink" Target="https://www.expansion.com/empresas/2024/09/14/66e4a99be5fdea554c8b45d6.html" TargetMode="External"/><Relationship Id="rId3248" Type="http://schemas.openxmlformats.org/officeDocument/2006/relationships/hyperlink" Target="https://okdiario.com/economia/delcy-rodriguez-repsol-reunen-abordar-planes-cooperacion-energetica-13464459" TargetMode="External"/><Relationship Id="rId4579" Type="http://schemas.openxmlformats.org/officeDocument/2006/relationships/hyperlink" Target="https://www.expansion.com/empresas/energia/2024/11/20/673e0183468aeb3f588b4582.html" TargetMode="External"/><Relationship Id="rId4570" Type="http://schemas.openxmlformats.org/officeDocument/2006/relationships/hyperlink" Target="https://www.noticiasdegipuzkoa.eus/economia/2024/11/21/repsol-plantea-macroparque-eolico-gipuzkoa-8957414.html" TargetMode="External"/><Relationship Id="rId3241" Type="http://schemas.openxmlformats.org/officeDocument/2006/relationships/hyperlink" Target="https://www.caranddriver.com/es/coches/planeta-motor/a62187872/omoda-jaecco-repsol-espana/" TargetMode="External"/><Relationship Id="rId4572" Type="http://schemas.openxmlformats.org/officeDocument/2006/relationships/hyperlink" Target="https://www.lacomarcadepuertollano.com/articulo/puertollano/puertollano-repsol-presenta-oferta-practicas-formativas-mas-mil-alumnos-fp-ciudad-real/20241121144245570822.html" TargetMode="External"/><Relationship Id="rId3240" Type="http://schemas.openxmlformats.org/officeDocument/2006/relationships/hyperlink" Target="https://www.elespanol.com/aragon/vivir/20240913/mejor-restaurante-carretera-huesa-recomendado-camioneros-guia-repsol-trt/885661505_0.html" TargetMode="External"/><Relationship Id="rId4571" Type="http://schemas.openxmlformats.org/officeDocument/2006/relationships/hyperlink" Target="https://www.europasur.es/campo-de-gibraltar/gobierno-resucita-impuesto-grandes-electricas-moeve-repsol-hidrogeno-verde_0_2002842913.html" TargetMode="External"/><Relationship Id="rId3243" Type="http://schemas.openxmlformats.org/officeDocument/2006/relationships/hyperlink" Target="https://www.segre.com/es/economia/240914/repsol-aboga-por-todas-las-tecnologias-de-la-electrificacion-al-combustible-tradicional_561649.html" TargetMode="External"/><Relationship Id="rId4574" Type="http://schemas.openxmlformats.org/officeDocument/2006/relationships/hyperlink" Target="https://www.ambientum.com/ambientum/iberdrola-y-repsol-se-enfrentan-en-el-primer-juicio-por-greenwashing-en-espana.asp" TargetMode="External"/><Relationship Id="rId3242" Type="http://schemas.openxmlformats.org/officeDocument/2006/relationships/hyperlink" Target="https://www.lavanguardia.com/dinero/20240914/9940932/repsol-reune-gobierno-venezuela-plena-crisis-diplomatica-espana.html" TargetMode="External"/><Relationship Id="rId4573" Type="http://schemas.openxmlformats.org/officeDocument/2006/relationships/hyperlink" Target="https://www.eldebate.com/economia/20241121/comienza-juicio-entre-iberdrola-repsol-primer-caso-greenwashing-espana_246570.html" TargetMode="External"/><Relationship Id="rId3245" Type="http://schemas.openxmlformats.org/officeDocument/2006/relationships/hyperlink" Target="https://www.elnacional.cat/oneconomia/es/empresas/venezuela-desvela-reuniones-con-repsol-en-plena-crisis-diplomatica_1282953_102.html" TargetMode="External"/><Relationship Id="rId4576" Type="http://schemas.openxmlformats.org/officeDocument/2006/relationships/hyperlink" Target="https://www.expansion.com/empresas/energia/2024/11/21/673e4759468aeb5e218b4598.html" TargetMode="External"/><Relationship Id="rId3244" Type="http://schemas.openxmlformats.org/officeDocument/2006/relationships/hyperlink" Target="https://elpais.com/espana/2024-09-14/maduro-intenta-tranquilizar-a-repsol-sobre-sus-inversiones-en-venezuela-en-plena-crisis-con-espana.html" TargetMode="External"/><Relationship Id="rId4575" Type="http://schemas.openxmlformats.org/officeDocument/2006/relationships/hyperlink" Target="https://www.repsol.com/es/energia-futuro/personas/challenge-universitario-retando-talento-joven/index.cshtml" TargetMode="External"/><Relationship Id="rId3247" Type="http://schemas.openxmlformats.org/officeDocument/2006/relationships/hyperlink" Target="https://www.guiarepsol.com/es/soletes/desayunar-pintxos-comer-barrios-parte-vieja-gros-san-sebastian/" TargetMode="External"/><Relationship Id="rId4578" Type="http://schemas.openxmlformats.org/officeDocument/2006/relationships/hyperlink" Target="https://www.20minutos.es/lainformacion/empresas/repsol-iberdrola-limita-competencia-electrica-acreditados-mensajes-enganosos-5656687/" TargetMode="External"/><Relationship Id="rId3246" Type="http://schemas.openxmlformats.org/officeDocument/2006/relationships/hyperlink" Target="https://www.elmundo.es/economia/empresas/2024/09/14/66e561c9fc6c8394538b4599.html" TargetMode="External"/><Relationship Id="rId4577" Type="http://schemas.openxmlformats.org/officeDocument/2006/relationships/hyperlink" Target="https://cincodias.elpais.com/companias/2024-11-22/iberdrola-vs-repsol-ocho-horas-para-dejar-vista-para-sentencia-una-demanda-historica-por-publicidad-enganosa.html" TargetMode="External"/><Relationship Id="rId1499" Type="http://schemas.openxmlformats.org/officeDocument/2006/relationships/hyperlink" Target="https://www.boxrepsol.com/es/motogp/resultados-de-la-clasificacion-del-gp-de-las-americas-de-motogp-2024/" TargetMode="External"/><Relationship Id="rId4525" Type="http://schemas.openxmlformats.org/officeDocument/2006/relationships/hyperlink" Target="https://barcelonasecreta.com/frankfurt-pedralbes-solete-repsol/" TargetMode="External"/><Relationship Id="rId4524" Type="http://schemas.openxmlformats.org/officeDocument/2006/relationships/hyperlink" Target="https://www.laopiniondemalaga.es/malaga/2024/11/19/nuevo-avance-repsol-adjudican-descontaminacion-111828293.html" TargetMode="External"/><Relationship Id="rId4527" Type="http://schemas.openxmlformats.org/officeDocument/2006/relationships/hyperlink" Target="https://www.elespanol.com/aragon/vivir/20241119/tradicional-bar-huesca-solete-repsol-perfecto-tapear-anos-historia-trt/902409955_0.html" TargetMode="External"/><Relationship Id="rId4526" Type="http://schemas.openxmlformats.org/officeDocument/2006/relationships/hyperlink" Target="https://www.ecoticias.com/cambio-climatico/dana-repsol" TargetMode="External"/><Relationship Id="rId4529" Type="http://schemas.openxmlformats.org/officeDocument/2006/relationships/hyperlink" Target="https://www.guiarepsol.com/es/soletes/tabernas-y-pastelerias-con-solera-en-cordoba/" TargetMode="External"/><Relationship Id="rId4528" Type="http://schemas.openxmlformats.org/officeDocument/2006/relationships/hyperlink" Target="https://elfarodemelilla.es/soletes-guia-repsol-olvida-melilla/" TargetMode="External"/><Relationship Id="rId668" Type="http://schemas.openxmlformats.org/officeDocument/2006/relationships/hyperlink" Target="https://www.diariodepontevedra.es/articulo/pontevedra/costas-da-finiquitada-gasolinera-repsol-burgo/202402221653361293197.html" TargetMode="External"/><Relationship Id="rId667" Type="http://schemas.openxmlformats.org/officeDocument/2006/relationships/hyperlink" Target="https://www.murciadiario.com/articulo/empresas/repsol-complejo-cartagena-resultados/20240222161658105744.html" TargetMode="External"/><Relationship Id="rId666" Type="http://schemas.openxmlformats.org/officeDocument/2006/relationships/hyperlink" Target="https://www.larazon.es/economia/repsol-avisa-gobierno-que-debe-replantearse-impuestazo-porque-inversiones-pueden-hacerse_2024022265d75554344c980001b629d1.html" TargetMode="External"/><Relationship Id="rId665" Type="http://schemas.openxmlformats.org/officeDocument/2006/relationships/hyperlink" Target="https://www.interempresas.net/Estaciones-servicio/Articulos/542012-Repsol-inicia-la-mayor-parada-del-Complejo-Industrial-de-Puertollano.html" TargetMode="External"/><Relationship Id="rId669" Type="http://schemas.openxmlformats.org/officeDocument/2006/relationships/hyperlink" Target="https://www.estrategiasdeinversion.com/analisis/trading/repsol-se-dispara-en-bolsa-es-momento-de-comprar-n-691005" TargetMode="External"/><Relationship Id="rId1490" Type="http://schemas.openxmlformats.org/officeDocument/2006/relationships/hyperlink" Target="https://www.vanitatis.elconfidencial.com/estilo/ocio/2024-04-12/magoga-estrella-michelin-cartagena_3864477/" TargetMode="External"/><Relationship Id="rId660" Type="http://schemas.openxmlformats.org/officeDocument/2006/relationships/hyperlink" Target="https://www.elindependiente.com/economia/2024/02/22/repsol-deja-en-el-aire-la-inversion-de-11-000-millones-en-espana-por-los-impuestazos-de-sanchez/" TargetMode="External"/><Relationship Id="rId1491" Type="http://schemas.openxmlformats.org/officeDocument/2006/relationships/hyperlink" Target="https://www.elindependiente.com/sociedad/2024/04/12/los-reyes-visitan-a-la-reina-sofia-en-el-hospital-ruber-internacional/" TargetMode="External"/><Relationship Id="rId1492" Type="http://schemas.openxmlformats.org/officeDocument/2006/relationships/hyperlink" Target="https://es.e-noticies.cat/gente/ana-soria-desvela-acelera-pulso-pensar-enrique-ponce" TargetMode="External"/><Relationship Id="rId1493" Type="http://schemas.openxmlformats.org/officeDocument/2006/relationships/hyperlink" Target="https://www.epe.es/es/sanidad/20240412/muface-peor-registra-seis-quejas-diarias-pruebas-medicas-docentes-100971867" TargetMode="External"/><Relationship Id="rId1494" Type="http://schemas.openxmlformats.org/officeDocument/2006/relationships/hyperlink" Target="https://www.lavanguardia.com/economia/20240413/9594454/repsol-sigue-ano-mas-empresa-mas-contaminante-espana-agenciaslv20240413.html" TargetMode="External"/><Relationship Id="rId664" Type="http://schemas.openxmlformats.org/officeDocument/2006/relationships/hyperlink" Target="https://cadenaser.com/andalucia/2024/02/22/aprobada-la-urbanizacion-del-entorno-de-la-torres-y-el-parque-de-repsol-ser-malaga/" TargetMode="External"/><Relationship Id="rId1495" Type="http://schemas.openxmlformats.org/officeDocument/2006/relationships/hyperlink" Target="https://www.malagahoy.es/la-farola/heladerias-Malaga-Guia-Repsol-mejores-Espana_0_1893112221.html" TargetMode="External"/><Relationship Id="rId4521" Type="http://schemas.openxmlformats.org/officeDocument/2006/relationships/hyperlink" Target="https://www.interempresas.net/Estaciones-servicio/Articulos/579552-Repsol-incorpora-productos-para-cuidado-personal-de-Primor-a-sus-estaciones-de-servicio.html" TargetMode="External"/><Relationship Id="rId663" Type="http://schemas.openxmlformats.org/officeDocument/2006/relationships/hyperlink" Target="https://elperiodicodelaenergia.com/repsol-reducira-las-mismas-emisiones-con-el-diesel-renovable-producido-en-cartagena-que-todos-los-vehiculos-electricos-de-espana/" TargetMode="External"/><Relationship Id="rId1496" Type="http://schemas.openxmlformats.org/officeDocument/2006/relationships/hyperlink" Target="https://www.larazon.es/deportes/huesos-aceituna-hacer-gasolina-motogp-dakar_20240413661a4fc5c18d40000175b1a1.html" TargetMode="External"/><Relationship Id="rId4520" Type="http://schemas.openxmlformats.org/officeDocument/2006/relationships/hyperlink" Target="https://www.20minutos.es/lainformacion/empresas/cambios-electrica-record-espana-repsol-no-para-atraer-clientes-5655374/" TargetMode="External"/><Relationship Id="rId662" Type="http://schemas.openxmlformats.org/officeDocument/2006/relationships/hyperlink" Target="https://www.diaridetarragona.com/tarragona/repsol-estudia-adaptar-sus-plantas-de-tarragona-a-los-combustibles-renovables-KM18639560" TargetMode="External"/><Relationship Id="rId1497" Type="http://schemas.openxmlformats.org/officeDocument/2006/relationships/hyperlink" Target="https://www.publico.es/sociedad/negocio-privado-caza-subvenciones-energia-comunitaria.html" TargetMode="External"/><Relationship Id="rId4523" Type="http://schemas.openxmlformats.org/officeDocument/2006/relationships/hyperlink" Target="https://www.energias-renovables.com/panorama/pnv-y-junts-la-llave-del-impuesto-20241119" TargetMode="External"/><Relationship Id="rId661" Type="http://schemas.openxmlformats.org/officeDocument/2006/relationships/hyperlink" Target="https://www.lavanguardia.com/economia/20240222/9526293/imaz-percibio-3-93-millones-2023-5-agenciaslv20240222.html" TargetMode="External"/><Relationship Id="rId1498" Type="http://schemas.openxmlformats.org/officeDocument/2006/relationships/hyperlink" Target="https://www.hibridosyelectricos.com/coches/por-19990-coche-hibrido-mas-barato-mercado-viene-con-ano-gasolina-gratis_73633_102.html" TargetMode="External"/><Relationship Id="rId4522" Type="http://schemas.openxmlformats.org/officeDocument/2006/relationships/hyperlink" Target="https://www.ocu.org/inversiones/invertir/acciones/analisis/2024/11/repsol-caida-de-los-beneficios" TargetMode="External"/><Relationship Id="rId1488" Type="http://schemas.openxmlformats.org/officeDocument/2006/relationships/hyperlink" Target="https://www.guiarepsol.com/es/comer/en-el-mercado/el-camaron-soldado-de-gran-canaria/" TargetMode="External"/><Relationship Id="rId4514" Type="http://schemas.openxmlformats.org/officeDocument/2006/relationships/hyperlink" Target="https://www.consumidorglobal.com/moda-belleza/primor-repsol-transforman-gasolineras-en-centros-belleza_12588_102.html" TargetMode="External"/><Relationship Id="rId1489" Type="http://schemas.openxmlformats.org/officeDocument/2006/relationships/hyperlink" Target="https://www.elespanol.com/madrid/ocio/20240412/regalo-ramon-freixa-aniversario-menu-platos-estrellas-michelin-sorpresa-euros/845415606_0.html" TargetMode="External"/><Relationship Id="rId4513" Type="http://schemas.openxmlformats.org/officeDocument/2006/relationships/hyperlink" Target="https://gestion.pe/economia/empresas/repsol-la-pampilla-preve-inversion-para-mejoras-en-terminales-portuarios-senace-empresas-hidrocarburos-petroleo-noticia/" TargetMode="External"/><Relationship Id="rId4516" Type="http://schemas.openxmlformats.org/officeDocument/2006/relationships/hyperlink" Target="https://www.abc.es/motor/economia/repsol-uber-caleido-auro-unen-desarrollar-recarga-20241119121308-nt.html" TargetMode="External"/><Relationship Id="rId4515" Type="http://schemas.openxmlformats.org/officeDocument/2006/relationships/hyperlink" Target="https://www.servimedia.es/noticias/repsol-uber-auro-abren-torre-caleido-madrid-hub-recarga-electrica/1411143718" TargetMode="External"/><Relationship Id="rId4518" Type="http://schemas.openxmlformats.org/officeDocument/2006/relationships/hyperlink" Target="https://elperiodicodelaenergia.com/repsol-entre-las-petroleras-que-mas-luchan-contra-el-cambio-climatico/" TargetMode="External"/><Relationship Id="rId4517" Type="http://schemas.openxmlformats.org/officeDocument/2006/relationships/hyperlink" Target="https://cincodias.elpais.com/companias/2024-11-20/iberdrola-y-repsol-frente-a-frente-en-el-primer-juicio-por-blanqueo-ecologico-en-espana.html" TargetMode="External"/><Relationship Id="rId4519" Type="http://schemas.openxmlformats.org/officeDocument/2006/relationships/hyperlink" Target="https://www.estrategiasdeinversion.com/analisis/trading/repsol-se-acerca-a-activar-senal-de-compra-que-n-763367" TargetMode="External"/><Relationship Id="rId657" Type="http://schemas.openxmlformats.org/officeDocument/2006/relationships/hyperlink" Target="https://cincodias.elpais.com/companias/2024-02-23/repsol-reduce-su-deuda-en-mas-de-4000-millones-en-los-tres-anos-de-crisis-energetica.html" TargetMode="External"/><Relationship Id="rId656" Type="http://schemas.openxmlformats.org/officeDocument/2006/relationships/hyperlink" Target="https://elperiodicodelaenergia.com/repsol-producira-puertollano-250-000-toneladas-combustibles-renovable-2025/" TargetMode="External"/><Relationship Id="rId655" Type="http://schemas.openxmlformats.org/officeDocument/2006/relationships/hyperlink" Target="https://okdiario.com/economia/repsol-invertira-cifra-record-hasta-19-000-millones-destinara-10-000-millones-accionistas-12411523" TargetMode="External"/><Relationship Id="rId654" Type="http://schemas.openxmlformats.org/officeDocument/2006/relationships/hyperlink" Target="https://elperiodicodelaenergia.com/ceo-repsol-gano-393-millones-euros-2023-5-menos/" TargetMode="External"/><Relationship Id="rId659" Type="http://schemas.openxmlformats.org/officeDocument/2006/relationships/hyperlink" Target="https://www.hispanidad.com/economia/repsol-imaz-rebaja-amenaza-sobre-inversiones-en-espana-pero-subraya-no-hay-prisa-en-toma-decisiones_12048944_102.html" TargetMode="External"/><Relationship Id="rId658" Type="http://schemas.openxmlformats.org/officeDocument/2006/relationships/hyperlink" Target="https://www.elespanol.com/malaga/malaga-ciudad/20240222/paso-clave-desarrollo-torres-gran-parque-repsol-luz-verde-proyecto-urbanizacion/834666542_0.html" TargetMode="External"/><Relationship Id="rId1480" Type="http://schemas.openxmlformats.org/officeDocument/2006/relationships/hyperlink" Target="https://www.estrategiasdeinversion.com/actualidad/noticias/bolsa-espana/repsol-potencial-alcista-resistencias-y-soportes-n-705015" TargetMode="External"/><Relationship Id="rId1481" Type="http://schemas.openxmlformats.org/officeDocument/2006/relationships/hyperlink" Target="https://www.lacomarcadepuertollano.com/articulo/puertollano/puertollano-fallo-electrico-externo-repsol-provoca-aparatosa-nube-humo-negro/20240411102633541061.html" TargetMode="External"/><Relationship Id="rId1482" Type="http://schemas.openxmlformats.org/officeDocument/2006/relationships/hyperlink" Target="https://www.infolibre.es/medioambiente/grandes-empresas-espana-redujeron-emisiones-14-2023-repsol-lidera-lista-ano_1_1763432.html" TargetMode="External"/><Relationship Id="rId1483" Type="http://schemas.openxmlformats.org/officeDocument/2006/relationships/hyperlink" Target="https://www.guiarepsol.com/es/viajar/con-mi-mascota/ruta-perro-parque-oeste-madrid/" TargetMode="External"/><Relationship Id="rId653" Type="http://schemas.openxmlformats.org/officeDocument/2006/relationships/hyperlink" Target="https://www.eleconomista.es/mercados-cotizaciones/noticias/12686524/02/24/repsol-gano-3168-millones-en-2023-un-255-menos-y-aumenta-el-dividendo-un-30.html" TargetMode="External"/><Relationship Id="rId1484" Type="http://schemas.openxmlformats.org/officeDocument/2006/relationships/hyperlink" Target="https://www.cuatrecasas.com/es/spain/art/geniadabar-aprueba-la-venta-del-40-del-capital-social-de-genia-bioenergy-a-repsol" TargetMode="External"/><Relationship Id="rId4510" Type="http://schemas.openxmlformats.org/officeDocument/2006/relationships/hyperlink" Target="https://www.mundodeportivo.com/motor/motogp/20241118/1002355405/marini-hermano-rossi-ve-marc-marquez-campeon-2025-intereses-esta-escrito.html" TargetMode="External"/><Relationship Id="rId652" Type="http://schemas.openxmlformats.org/officeDocument/2006/relationships/hyperlink" Target="https://www.elconfidencial.com/empresas/2024-02-22/repsol-gano-un-25-5-menos-3-168-m-afectado-por-la-caida-del-precio-del-petroleo_3835412/" TargetMode="External"/><Relationship Id="rId1485" Type="http://schemas.openxmlformats.org/officeDocument/2006/relationships/hyperlink" Target="https://mundoobrero.es/2024/04/12/crisis-climatica-repsol-es-la-empresa-espanola-que-mas-co2-emite/" TargetMode="External"/><Relationship Id="rId651" Type="http://schemas.openxmlformats.org/officeDocument/2006/relationships/hyperlink" Target="https://www.expansion.com/empresas/energia/2024/02/22/65d63ce8468aeb47048b45ba.html" TargetMode="External"/><Relationship Id="rId1486" Type="http://schemas.openxmlformats.org/officeDocument/2006/relationships/hyperlink" Target="https://www.guiarepsol.com/es/viajar/vamos-de-excursion/localizaciones-pared-con-pared/" TargetMode="External"/><Relationship Id="rId4512" Type="http://schemas.openxmlformats.org/officeDocument/2006/relationships/hyperlink" Target="https://elcomercio.pe/deporte-total/futbol-peruano/as-tingo-vs-cruzeiro-por-las-semifinales-del-semillero-repsol-de-futbol-femenino-noticia/" TargetMode="External"/><Relationship Id="rId650" Type="http://schemas.openxmlformats.org/officeDocument/2006/relationships/hyperlink" Target="https://www.xtb.com/es/analisis-de-mercado/repsol-se-dispara-tras-presentar-resultados" TargetMode="External"/><Relationship Id="rId1487" Type="http://schemas.openxmlformats.org/officeDocument/2006/relationships/hyperlink" Target="https://www.infoelectrico.com/index.php/institucional/repsol-suministrara-un-millar-de-puntos-de-carga-de-coche-electrico-a-las-estaciones-de-tren-de-adif" TargetMode="External"/><Relationship Id="rId4511" Type="http://schemas.openxmlformats.org/officeDocument/2006/relationships/hyperlink" Target="https://www.eleconomista.es/energia/noticias/13090183/11/24/fernandezcuesta-cerrar-nucleares-es-una-estupidez-se-mire-por-donde-se-mire.html" TargetMode="External"/><Relationship Id="rId3216" Type="http://schemas.openxmlformats.org/officeDocument/2006/relationships/hyperlink" Target="https://www.todocircuito.com/noticias/36880-puig-valora-el-adios-de-repsol:-hay-cosas-que-a-veces-llegan-a-su-final.html" TargetMode="External"/><Relationship Id="rId4547" Type="http://schemas.openxmlformats.org/officeDocument/2006/relationships/hyperlink" Target="https://www.elnacional.cat/oneconomia/es/economia/iberdrola-repsol-naturgy-se-unen-contra-impuesto-energeticas_1320991_102.html" TargetMode="External"/><Relationship Id="rId3215" Type="http://schemas.openxmlformats.org/officeDocument/2006/relationships/hyperlink" Target="https://www.guiarepsol.com/es/comer/nuestros-favoritos/nuevos-cocineros-malaga-palodu-base9-alitasoho-mind/" TargetMode="External"/><Relationship Id="rId4546" Type="http://schemas.openxmlformats.org/officeDocument/2006/relationships/hyperlink" Target="https://elmercantil.com/2024/11/20/mureloil-invierte-40-millones-en-un-buque-hibrido-de-bunkering-para-repsol/" TargetMode="External"/><Relationship Id="rId3218" Type="http://schemas.openxmlformats.org/officeDocument/2006/relationships/hyperlink" Target="https://www.motosan.es/motogp/alberto-puig-habla-de-la-ruptura-entre-repsol-y-honda-los-titulos-que-conseguimos-permaneceran-en-la-historia/" TargetMode="External"/><Relationship Id="rId4549" Type="http://schemas.openxmlformats.org/officeDocument/2006/relationships/hyperlink" Target="https://www.elconfidencial.com/espana/comunidad-valenciana/2024-11-20/valencia-bodega-valero-bar-rock-menus-diarios-1qrt-1tna_4007431/" TargetMode="External"/><Relationship Id="rId3217" Type="http://schemas.openxmlformats.org/officeDocument/2006/relationships/hyperlink" Target="https://trial.hondaracingcorporation.com/report/gabriel-marcelli-on-the-hunt-for-the-runner-up-spot-in-ripoll-spain/?lang=es" TargetMode="External"/><Relationship Id="rId4548" Type="http://schemas.openxmlformats.org/officeDocument/2006/relationships/hyperlink" Target="https://www.noticiasdenavarra.com/economia/2024/11/20/iberdrola-repsol-enfrentan-jueves-primer-8956059.html" TargetMode="External"/><Relationship Id="rId3219" Type="http://schemas.openxmlformats.org/officeDocument/2006/relationships/hyperlink" Target="https://elpais.com/economia/2024-09-13/venezuela-un-pais-cada-vez-menos-relevante-para-las-inversiones-espanolas.html" TargetMode="External"/><Relationship Id="rId689" Type="http://schemas.openxmlformats.org/officeDocument/2006/relationships/hyperlink" Target="https://www.thegourmetjournal.com/noticias/soles-sostenibles-guia-repsol-2024/" TargetMode="External"/><Relationship Id="rId688" Type="http://schemas.openxmlformats.org/officeDocument/2006/relationships/hyperlink" Target="https://www.estrategiasdeinversion.com/actualidad/noticias/bolsa-espana/repsol-la-unica-de-las-grandes-petroleras-europeas-n-690097" TargetMode="External"/><Relationship Id="rId687" Type="http://schemas.openxmlformats.org/officeDocument/2006/relationships/hyperlink" Target="https://www.guiarepsol.com/es/comer/nuestros-favoritos/restaurante-por-herencia-murcia-region-de-murcia/" TargetMode="External"/><Relationship Id="rId682" Type="http://schemas.openxmlformats.org/officeDocument/2006/relationships/hyperlink" Target="https://ipmark.com/repsol-presenta-su-plan-estrategico-para-los-proximos-tres-anos/" TargetMode="External"/><Relationship Id="rId681" Type="http://schemas.openxmlformats.org/officeDocument/2006/relationships/hyperlink" Target="https://www.elespanol.com/malaga/malaga-ciudad/20240223/gran-parque-malaga-dibuja-suelos-repsol-lago-auditorio-pistas-deportivas/834666984_0.html" TargetMode="External"/><Relationship Id="rId680" Type="http://schemas.openxmlformats.org/officeDocument/2006/relationships/hyperlink" Target="https://www.expansion.com/empresas/energia/2024/02/23/65d7df76e5fdeae5178b45d3.html" TargetMode="External"/><Relationship Id="rId3210" Type="http://schemas.openxmlformats.org/officeDocument/2006/relationships/hyperlink" Target="https://www.guiarepsol.com/es/viajar/vamos-de-excursion/excursion-por-el-embalse-de-ullibarri-gamboa-alava/" TargetMode="External"/><Relationship Id="rId4541" Type="http://schemas.openxmlformats.org/officeDocument/2006/relationships/hyperlink" Target="https://cincodias.elpais.com/companias/2024-11-21/guia-para-seguir-el-juicio-entre-iberdrola-y-repsol-por-ecopostureo-empresarial.html" TargetMode="External"/><Relationship Id="rId4540" Type="http://schemas.openxmlformats.org/officeDocument/2006/relationships/hyperlink" Target="https://www.20minutos.es/noticia/5655751/0/psoe-confirma-que-disenara-un-impuesto-las-energeticas-que-podran-esquivar-las-que-inviertan-descarbonizacion/" TargetMode="External"/><Relationship Id="rId686" Type="http://schemas.openxmlformats.org/officeDocument/2006/relationships/hyperlink" Target="https://www.elconfidencialdigital.com/articulo/el-chivato/josu-jon-imaz-tambien-apuesta-palancas-futuro-repsol/20240223000000729138.html" TargetMode="External"/><Relationship Id="rId3212" Type="http://schemas.openxmlformats.org/officeDocument/2006/relationships/hyperlink" Target="https://intereconomia.com/noticia/mercados/berenberg-baja-la-valoracion-de-repsol-a-1350-euros-por-la-caida-del-petroleo-20240912-0835/" TargetMode="External"/><Relationship Id="rId4543" Type="http://schemas.openxmlformats.org/officeDocument/2006/relationships/hyperlink" Target="https://www.elperiodico.com/es/economia/20241120/iberdrola-repsol-comienza-juicio-greenwashing-111876737" TargetMode="External"/><Relationship Id="rId685" Type="http://schemas.openxmlformats.org/officeDocument/2006/relationships/hyperlink" Target="https://www.elmundo.es/economia/empresas/2024/02/23/65d74d47fdddffd80b8b45c8.html" TargetMode="External"/><Relationship Id="rId3211" Type="http://schemas.openxmlformats.org/officeDocument/2006/relationships/hyperlink" Target="https://www.guiarepsol.com/es/viajar/vamos-de-excursion/escenarios-donde-se-grabo-la-tercera-temporada-de-rapa-movistar-/" TargetMode="External"/><Relationship Id="rId4542" Type="http://schemas.openxmlformats.org/officeDocument/2006/relationships/hyperlink" Target="https://www.guiarepsol.com/es/comer/nuestros-favoritos/suite-que-se-debe-exigir-a-una-buena-sala/" TargetMode="External"/><Relationship Id="rId684" Type="http://schemas.openxmlformats.org/officeDocument/2006/relationships/hyperlink" Target="https://www.larazon.es/economia/repsol-muestra-optimista-frente-impuestazo-replanteamiento-sanchez_2024022365d8270182085c000194b00c.html" TargetMode="External"/><Relationship Id="rId3214" Type="http://schemas.openxmlformats.org/officeDocument/2006/relationships/hyperlink" Target="https://www.mundodeportivo.com/motor/motogp/20240910/1002312897/marc-marquez-reacciona-decision-repsol-smd.html" TargetMode="External"/><Relationship Id="rId4545" Type="http://schemas.openxmlformats.org/officeDocument/2006/relationships/hyperlink" Target="https://www.elespanol.com/invertia/disruptores/grandes-actores/corporaciones/20241120/waylet-solucion-repsol-avanza-movilidad-electrica-eficiente/895410801_0.html" TargetMode="External"/><Relationship Id="rId683" Type="http://schemas.openxmlformats.org/officeDocument/2006/relationships/hyperlink" Target="https://elperiodicodelaenergia.com/repsol-pide-indemnizacion-197-millones-dolares-derrame-petroleo-peru-2022/" TargetMode="External"/><Relationship Id="rId3213" Type="http://schemas.openxmlformats.org/officeDocument/2006/relationships/hyperlink" Target="https://www.estrategiasdeinversion.com/analisis/los-brokers-recomiendan/recomendaciones-espana/la-petrolera-repsol-intenta-despegarse-de-sus-n-743653" TargetMode="External"/><Relationship Id="rId4544" Type="http://schemas.openxmlformats.org/officeDocument/2006/relationships/hyperlink" Target="https://sorianoticias.com/noticia/2024-11-20-la-guia-repsol-reconoce-a-6-restaurantes-de-soria-el-fogon-del-salvador-entre-los-premiados-115861" TargetMode="External"/><Relationship Id="rId3205" Type="http://schemas.openxmlformats.org/officeDocument/2006/relationships/hyperlink" Target="https://larepublica.pe/sociedad/2024/09/10/pescador-denuncia-que-fue-agredido-por-la-pnp-durante-protesta-por-derrame-de-petroleo-en-ventanilla-repsol-refineria-la-pampilla-487630" TargetMode="External"/><Relationship Id="rId4536" Type="http://schemas.openxmlformats.org/officeDocument/2006/relationships/hyperlink" Target="https://www.elmundo.es/andalucia/2024/11/19/673c7e1de4d4d80b618b4579.html" TargetMode="External"/><Relationship Id="rId3204" Type="http://schemas.openxmlformats.org/officeDocument/2006/relationships/hyperlink" Target="https://cooperaccion.org.pe/pescadores-afectados-por-derrame-de-repsol-piden-ser-parte-de-proceso-de-rehabilitacion/" TargetMode="External"/><Relationship Id="rId4535" Type="http://schemas.openxmlformats.org/officeDocument/2006/relationships/hyperlink" Target="https://www.motorpasionmoto.com/motogp/confirmado-repsol-honda-ha-acabado-ultimo-mundial-equipos-motogp-primera-vez-toda-historia" TargetMode="External"/><Relationship Id="rId3207" Type="http://schemas.openxmlformats.org/officeDocument/2006/relationships/hyperlink" Target="https://www.guiarepsol.com/es/comer/recetas/recetas-para-un-otono-caliente/" TargetMode="External"/><Relationship Id="rId4538" Type="http://schemas.openxmlformats.org/officeDocument/2006/relationships/hyperlink" Target="https://movilidadelectrica.com/madrid-servicio-recarga-uber-caleido/" TargetMode="External"/><Relationship Id="rId3206" Type="http://schemas.openxmlformats.org/officeDocument/2006/relationships/hyperlink" Target="https://www.infolibre.es/economia/espana-dispara-compra-petroleo-venezolano-crisis-politica-embarrar-lazos-comerciales_1_1873496.html" TargetMode="External"/><Relationship Id="rId4537" Type="http://schemas.openxmlformats.org/officeDocument/2006/relationships/hyperlink" Target="https://www.capitalmadrid.com/2024/11/19/68477/sanchez-desoye-al-pnv-y-junts-y-mantiene-el-impuestazo-a-energeticas-un-ano-mas.html" TargetMode="External"/><Relationship Id="rId3209" Type="http://schemas.openxmlformats.org/officeDocument/2006/relationships/hyperlink" Target="https://panampost.com/jose-gregorio-martinez/2024/09/11/regimen-de-maduro-empuja-a-venezuela-a-su-maximo-aislamiento/" TargetMode="External"/><Relationship Id="rId3208" Type="http://schemas.openxmlformats.org/officeDocument/2006/relationships/hyperlink" Target="https://www.motorpasionmoto.com/motogp/carreras-blanco-cero-podios-puntos-que-probadores-ktm-triste-adios-repsol-honda-peor-equipo-motogp" TargetMode="External"/><Relationship Id="rId4539" Type="http://schemas.openxmlformats.org/officeDocument/2006/relationships/hyperlink" Target="https://www.leonoticias.com/degustaleon/500-euros-cubierto-estrellas-michelin-gala-postin-20241119113905-nt.html" TargetMode="External"/><Relationship Id="rId679" Type="http://schemas.openxmlformats.org/officeDocument/2006/relationships/hyperlink" Target="https://www.capitalradio.es/noticias/bolsa/cable-alta-tension-repsol-desnuda-transicion_123531018.html" TargetMode="External"/><Relationship Id="rId678" Type="http://schemas.openxmlformats.org/officeDocument/2006/relationships/hyperlink" Target="https://cincodias.elpais.com/companias/2024-02-22/repsol-gano-3168-millones-en-2023-el-tercer-mayor-beneficio-de-su-historia-sin-extraordinarios.html" TargetMode="External"/><Relationship Id="rId677" Type="http://schemas.openxmlformats.org/officeDocument/2006/relationships/hyperlink" Target="https://www.publico.es/economia/repsol-gana-3-168-millones-2023-25-5-bajada-precio-crudo-gas.html" TargetMode="External"/><Relationship Id="rId676" Type="http://schemas.openxmlformats.org/officeDocument/2006/relationships/hyperlink" Target="https://es.fxmag.com/economia/iberdrola-repsol-telefonica" TargetMode="External"/><Relationship Id="rId671" Type="http://schemas.openxmlformats.org/officeDocument/2006/relationships/hyperlink" Target="https://cadenaser.com/galicia/2024/02/22/la-plataforma-xustiza-para-unai-denuncia-que-no-hay-avances-en-la-investigacion-dos-anos-despues-de-su-muerte-radio-coruna/" TargetMode="External"/><Relationship Id="rId670" Type="http://schemas.openxmlformats.org/officeDocument/2006/relationships/hyperlink" Target="https://www.bolsamania.com/noticias/empresas/repsol-pagara-dividendo-05-euros-julio-recomprara-35-millones-acciones--16277858.html" TargetMode="External"/><Relationship Id="rId4530" Type="http://schemas.openxmlformats.org/officeDocument/2006/relationships/hyperlink" Target="https://www.motor16.com/lo-mas-visto/repsol-uber-caleido-y-auro-tendran-su-propio-hub-de-recarga-electrica/" TargetMode="External"/><Relationship Id="rId675" Type="http://schemas.openxmlformats.org/officeDocument/2006/relationships/hyperlink" Target="https://www.eleconomista.com.mx/mercados/Beneficio-de-Repsol-cayo-25-en-2023-por-volatilidad-de-los-precios-del-petroleo-20240222-0023.html" TargetMode="External"/><Relationship Id="rId3201" Type="http://schemas.openxmlformats.org/officeDocument/2006/relationships/hyperlink" Target="https://soymotero.net/competicion/repsol-y-honda-hrc-rompen-su-acuerdo/" TargetMode="External"/><Relationship Id="rId4532" Type="http://schemas.openxmlformats.org/officeDocument/2006/relationships/hyperlink" Target="https://www.elconfidencial.com/espana/2024-11-19/extremadura-taberna-terron-badajoz-extremadura-pesetas-1qrt-1tna_4005884/" TargetMode="External"/><Relationship Id="rId674" Type="http://schemas.openxmlformats.org/officeDocument/2006/relationships/hyperlink" Target="https://www.marketingnews.es/investigacion/noticia/1182010031605/estos-directores-de-marketing-mas-influyentes-linkedin-2023.1.html" TargetMode="External"/><Relationship Id="rId3200" Type="http://schemas.openxmlformats.org/officeDocument/2006/relationships/hyperlink" Target="https://www.laopiniondemalaga.es/malaga/2024/09/10/bosque-urbano-malaga-ministerio-frene-torres-repsol-107966989.html" TargetMode="External"/><Relationship Id="rId4531" Type="http://schemas.openxmlformats.org/officeDocument/2006/relationships/hyperlink" Target="https://www.huelvainformacion.es/destino-huelva/tienes-pedir-taberna-aracena-conseguido_0_2002805139.html" TargetMode="External"/><Relationship Id="rId673" Type="http://schemas.openxmlformats.org/officeDocument/2006/relationships/hyperlink" Target="https://www.elmundo.es/economia/empresas/2024/02/22/65d62d4afc6c8301598b45e3.html" TargetMode="External"/><Relationship Id="rId3203" Type="http://schemas.openxmlformats.org/officeDocument/2006/relationships/hyperlink" Target="https://www.20minutos.es/gastronomia/restaurantes/restaurante-carretera-guia-repsol-especializado-arroz-lena-5631907/" TargetMode="External"/><Relationship Id="rId4534" Type="http://schemas.openxmlformats.org/officeDocument/2006/relationships/hyperlink" Target="https://www.abc.es/sociedad/manda-repsol-greenpeace-proyecta-congreso-diputados-mensaje-20241118105557-nt.html" TargetMode="External"/><Relationship Id="rId672" Type="http://schemas.openxmlformats.org/officeDocument/2006/relationships/hyperlink" Target="https://www.elmundo.es/economia/2024/02/22/65d7905efc6c83a52f8b4570.html" TargetMode="External"/><Relationship Id="rId3202" Type="http://schemas.openxmlformats.org/officeDocument/2006/relationships/hyperlink" Target="https://www.businessinsider.es/tecnologia/nuevo-reto-masorange-conseguir-600000-clientes-vendiendo-luz-gas-marca-orange-1404211" TargetMode="External"/><Relationship Id="rId4533" Type="http://schemas.openxmlformats.org/officeDocument/2006/relationships/hyperlink" Target="https://elperiodicodelaenergia.com/repsol-uber-caleido-y-auro-estrenan-un-pionero-hub-de-recarga-electrica/" TargetMode="External"/><Relationship Id="rId190" Type="http://schemas.openxmlformats.org/officeDocument/2006/relationships/hyperlink" Target="https://www.economiadigital.es/galicia/empresas/la-planta-de-hidrogeno-de-naturgy-reganosa-y-repsol-en-cerceda-mas-cerca.html" TargetMode="External"/><Relationship Id="rId5019" Type="http://schemas.openxmlformats.org/officeDocument/2006/relationships/hyperlink" Target="https://elbierzo.eldiario.es/comarca/coalicion-bierzo-denuncia-trato-favor-ayuntamiento-iguena-repsol-macroparque-eolico_1_11904803.html" TargetMode="External"/><Relationship Id="rId194" Type="http://schemas.openxmlformats.org/officeDocument/2006/relationships/hyperlink" Target="https://www.mundodeportivo.com/motor/rally-dakar/20240116/1002171376/dunas-dakar-clave-futuro-movilidad.html" TargetMode="External"/><Relationship Id="rId193" Type="http://schemas.openxmlformats.org/officeDocument/2006/relationships/hyperlink" Target="https://www.univision.com/noticias/videos-inversiones-petrolera-repsol-falsos" TargetMode="External"/><Relationship Id="rId192" Type="http://schemas.openxmlformats.org/officeDocument/2006/relationships/hyperlink" Target="https://www.lanzadigital.com/provincia/puertollano/puertollano-contara-con-una-estacion-de-servicio-de-combustible-renovable-de-repsol/" TargetMode="External"/><Relationship Id="rId191" Type="http://schemas.openxmlformats.org/officeDocument/2006/relationships/hyperlink" Target="https://www.motosan.es/motogp/repsol-honda-ya-tiene-fecha-de-presentacion/" TargetMode="External"/><Relationship Id="rId5010" Type="http://schemas.openxmlformats.org/officeDocument/2006/relationships/hyperlink" Target="https://www.diaridetarragona.com/tarragona/las-grandes-inversiones-en-tarragona-que-se-mantienen-en-pie-DE22374263" TargetMode="External"/><Relationship Id="rId187" Type="http://schemas.openxmlformats.org/officeDocument/2006/relationships/hyperlink" Target="https://www.20minutos.es/lainformacion/clima/repsol-preve-servir-combustibles-renovables-600-estaciones-fin-ano-5269911/" TargetMode="External"/><Relationship Id="rId5013" Type="http://schemas.openxmlformats.org/officeDocument/2006/relationships/hyperlink" Target="https://www.20minutos.es/gastronomia/restaurantes/restaurante-mejor-pollo-madrid-guia-repsol-menu-nueve-euros-casa-mingo-5660752/" TargetMode="External"/><Relationship Id="rId186" Type="http://schemas.openxmlformats.org/officeDocument/2006/relationships/hyperlink" Target="https://www.latribunadeciudadreal.es/noticia/zb44b34bf-ca92-99bc-7e86568f8a753d7e/202401/repsol-abrira-siete-gasolineras-de-combustible-renovable" TargetMode="External"/><Relationship Id="rId5014" Type="http://schemas.openxmlformats.org/officeDocument/2006/relationships/hyperlink" Target="https://www.elobservador.com.uy/espana/empresas-y-negocios/repsol-iberdrola-y-telefonica-las-companias-espana-que-mas-facturaron-2024-n5975243" TargetMode="External"/><Relationship Id="rId185" Type="http://schemas.openxmlformats.org/officeDocument/2006/relationships/hyperlink" Target="https://www.elcorreo.com/economia/empresas/repsol-superara-600-estaciones-combustible-renovable-2024-20240116145622-ntrc.html" TargetMode="External"/><Relationship Id="rId5011" Type="http://schemas.openxmlformats.org/officeDocument/2006/relationships/hyperlink" Target="https://intereconomia.com/castilla-y-leon/tres-municipios-de-el-bierzo-a-favor-y-uno-en-contra-de-un-parque-eolico-promovido-por-repsol-20241216-1643/" TargetMode="External"/><Relationship Id="rId184" Type="http://schemas.openxmlformats.org/officeDocument/2006/relationships/hyperlink" Target="https://cronicavasca.elespanol.com/empresas/20240116/repsol-ofrecera-combustible-renovable-en-estaciones-euskadi/825417539_0.html" TargetMode="External"/><Relationship Id="rId5012" Type="http://schemas.openxmlformats.org/officeDocument/2006/relationships/hyperlink" Target="https://digitaldeleon.com/provincia-leon/cierra-el-mentidero-riano/" TargetMode="External"/><Relationship Id="rId5017" Type="http://schemas.openxmlformats.org/officeDocument/2006/relationships/hyperlink" Target="https://www.lavanguardia.com/vida/20241216/10204508/curriculum-empresarial-inabarcable.html" TargetMode="External"/><Relationship Id="rId5018" Type="http://schemas.openxmlformats.org/officeDocument/2006/relationships/hyperlink" Target="https://www.guiarepsol.com/es/soletes/ruta-de-bares-por-granada-mas-alla-de-las-tapas/" TargetMode="External"/><Relationship Id="rId189" Type="http://schemas.openxmlformats.org/officeDocument/2006/relationships/hyperlink" Target="https://www.repsol.com/es/combustibles-renovables/index.cshtml" TargetMode="External"/><Relationship Id="rId5015" Type="http://schemas.openxmlformats.org/officeDocument/2006/relationships/hyperlink" Target="https://www.alimente.elconfidencial.com/gastronomia-y-cocina/2024-12-16/1qrt-restaurante-recomendado-guia-repsol-comido-fin-de-semana-david-broncano-menu-degustacion-45-euros_4024580/" TargetMode="External"/><Relationship Id="rId188" Type="http://schemas.openxmlformats.org/officeDocument/2006/relationships/hyperlink" Target="https://www.bolsamania.com/noticias/empresas/repsol-superara-600-estaciones-servicio-combustible-renovable-2024--15857110.html" TargetMode="External"/><Relationship Id="rId5016" Type="http://schemas.openxmlformats.org/officeDocument/2006/relationships/hyperlink" Target="https://www.elbierzodigital.com/bembibre-iguena-noceda-defienden-parque-eolico-alto-bierzo-sil-oportunidad-economica/" TargetMode="External"/><Relationship Id="rId5008" Type="http://schemas.openxmlformats.org/officeDocument/2006/relationships/hyperlink" Target="https://www.infobae.com/espana/2024/12/16/el-restaurante-recomendado-por-repsol-y-tripadvisor-donde-comio-broncano-en-salamanca-menu-degustacion-por-45-y-unas-vistas-a-la-catedral/" TargetMode="External"/><Relationship Id="rId5009" Type="http://schemas.openxmlformats.org/officeDocument/2006/relationships/hyperlink" Target="https://www.cronista.com/espana/ibex-euro/repsol-a-cuanto-cotiza-hoy-lunes-16-de-diciembre-y-cuanto-rinden-los-dividendos/" TargetMode="External"/><Relationship Id="rId183" Type="http://schemas.openxmlformats.org/officeDocument/2006/relationships/hyperlink" Target="https://elperiodicodelaenergia.com/repsol-acelera-apuesta-biocombustibles-preve-suministrarlos-600-estaciones-final-ano/" TargetMode="External"/><Relationship Id="rId182" Type="http://schemas.openxmlformats.org/officeDocument/2006/relationships/hyperlink" Target="https://www.eleconomista.es/energia/noticias/12625993/01/24/repsol-abre-camino-a-los-combustibles-renovables-600-gasolineras-ofreceran-estos-productos.html" TargetMode="External"/><Relationship Id="rId181" Type="http://schemas.openxmlformats.org/officeDocument/2006/relationships/hyperlink" Target="https://www.ceoe.es/es/ceoe-news/sostenibilidad/repsol-construye-una-planta-de-biocombustibles-producidos-partir-de" TargetMode="External"/><Relationship Id="rId180" Type="http://schemas.openxmlformats.org/officeDocument/2006/relationships/hyperlink" Target="https://www.repsol.com/es/sala-prensa/notas-prensa/2024/repsol-superara-las-600-estaciones-de-servicio-con-combustible-renovable-en-2024/index.cshtml" TargetMode="External"/><Relationship Id="rId176" Type="http://schemas.openxmlformats.org/officeDocument/2006/relationships/hyperlink" Target="https://www.americatv.com.pe/noticias/actualidad/ancon-anuncian-cierre-10-playas-ante-falta-rehabilitacion-derrame-petroleo-n486732" TargetMode="External"/><Relationship Id="rId5002" Type="http://schemas.openxmlformats.org/officeDocument/2006/relationships/hyperlink" Target="https://www.diaridetarragona.com/cat-es-mon/muere-javier-echenique-vicepresidente-y-consejero-de-telefonica-FF22360243" TargetMode="External"/><Relationship Id="rId175" Type="http://schemas.openxmlformats.org/officeDocument/2006/relationships/hyperlink" Target="https://gestion.pe/peru/ancon-anuncian-cierre-de-10-playas-no-saludables-tras-derrame-de-petroleo-repsol-alcalde-de-ancon-noticia/" TargetMode="External"/><Relationship Id="rId5003" Type="http://schemas.openxmlformats.org/officeDocument/2006/relationships/hyperlink" Target="https://www.faconauto.com/noticias-automocion/repsol-da-hasta-150-euros-en-repostaje-para-los-afectados-por-la-dana/" TargetMode="External"/><Relationship Id="rId174" Type="http://schemas.openxmlformats.org/officeDocument/2006/relationships/hyperlink" Target="https://panamericana.pe/24horas/locales/401193-alcalde-ancon-cierra-playas-contaminacion-repsol-parece-burlarse-municipalidad" TargetMode="External"/><Relationship Id="rId5000" Type="http://schemas.openxmlformats.org/officeDocument/2006/relationships/hyperlink" Target="https://www.articulo14.es/economia/muere-javier-echenique-vicepresidente-de-telefonica-a-los-74-anos-20241215.html" TargetMode="External"/><Relationship Id="rId173" Type="http://schemas.openxmlformats.org/officeDocument/2006/relationships/hyperlink" Target="https://www.rcrperu.com/a-dos-anos-de-la-tragedia-alcalde-de-ancon-cuestiona-a-repsol-por-no-dar-solucion-al-derrame-de-petroleo-en-el-mar/" TargetMode="External"/><Relationship Id="rId5001" Type="http://schemas.openxmlformats.org/officeDocument/2006/relationships/hyperlink" Target="https://www.eltriangle.eu/es/2024/12/15/muere-javier-echenique-vicepresidente-de-telefonica/" TargetMode="External"/><Relationship Id="rId5006" Type="http://schemas.openxmlformats.org/officeDocument/2006/relationships/hyperlink" Target="https://www.lanuevacronica.com/el-bierzo/bierzo-alto-se-desmarca-paramo-ve-oportunidad-en-proyectos-eolicos-repsol_167393_102.html" TargetMode="External"/><Relationship Id="rId179" Type="http://schemas.openxmlformats.org/officeDocument/2006/relationships/hyperlink" Target="https://larepublica.pe/sociedad/2024/01/15/cierre-de-playas-en-ancon-alcalde-anuncia-clausura-de-playas-no-saludables-tras-2-anos-de-derrame-de-petroleo-repsol-794325" TargetMode="External"/><Relationship Id="rId5007" Type="http://schemas.openxmlformats.org/officeDocument/2006/relationships/hyperlink" Target="https://bembibredigital.com/bierzoalto/84499-iguena-noceda-y-bembibre-apoyan-el-parque-eolico-promovido-por-repsol-frente-a-la-oposicion-de-paramo-del-sil" TargetMode="External"/><Relationship Id="rId178" Type="http://schemas.openxmlformats.org/officeDocument/2006/relationships/hyperlink" Target="https://www.actualidadambiental.pe/que-aprendizajes-deja-el-derrame-plantean-propuesta-para-fortalecer-la-rehabilitacion-ambiental/" TargetMode="External"/><Relationship Id="rId5004" Type="http://schemas.openxmlformats.org/officeDocument/2006/relationships/hyperlink" Target="https://www.guiarepsol.com/es/comer/en-el-mercado/cesta-de-productos-de-la-tienda-gourmet-guia-repsol/" TargetMode="External"/><Relationship Id="rId177" Type="http://schemas.openxmlformats.org/officeDocument/2006/relationships/hyperlink" Target="https://inforegion.pe/derrame-de-repsol-cual-es-la-situacion-de-los-pescadores/" TargetMode="External"/><Relationship Id="rId5005" Type="http://schemas.openxmlformats.org/officeDocument/2006/relationships/hyperlink" Target="https://elbierzo.eldiario.es/comarca/alcaldes-bembibre-noceda-e-iguena-apuestan-sacrificar-dinero-repsol-sierra-gistredo-alto-sil_1_11904523.html" TargetMode="External"/><Relationship Id="rId5031" Type="http://schemas.openxmlformats.org/officeDocument/2006/relationships/hyperlink" Target="https://www.reasonwhy.es/actualidad/radiografia-ecopostureo-espana-anuario-greenwashing-2024" TargetMode="External"/><Relationship Id="rId5032" Type="http://schemas.openxmlformats.org/officeDocument/2006/relationships/hyperlink" Target="https://eladelantado.com/actualidad/coches-diesel-segunda-vida-combustible/" TargetMode="External"/><Relationship Id="rId5030" Type="http://schemas.openxmlformats.org/officeDocument/2006/relationships/hyperlink" Target="https://www.leonoticias.com/comarcas/adios-mentidero-riano-20241217081931-nt.html" TargetMode="External"/><Relationship Id="rId5035" Type="http://schemas.openxmlformats.org/officeDocument/2006/relationships/hyperlink" Target="https://www.guiarepsol.com/es/comer/en-el-mercado/gospel-y-roscon-mercado-vallehermoso/" TargetMode="External"/><Relationship Id="rId5036" Type="http://schemas.openxmlformats.org/officeDocument/2006/relationships/hyperlink" Target="https://www.mundodeportivo.com/ocio/gastronomia/20241217/1002372749/gastronomia-catalana-recauda-mas-210-000-euros-valencia.html" TargetMode="External"/><Relationship Id="rId5033" Type="http://schemas.openxmlformats.org/officeDocument/2006/relationships/hyperlink" Target="https://www.lanuevacronica.com/el-bierzo/plataforma-defensa-cordillera-cantabrica-desaconseja-proyectos-eolicos-repsol-en-sierra-gistredo_167437_102.html" TargetMode="External"/><Relationship Id="rId5034" Type="http://schemas.openxmlformats.org/officeDocument/2006/relationships/hyperlink" Target="https://cronicaglobal.elespanol.com/gastronomia/20241217/este-restaurante-catalan-mick-jagger-repsol-especializado/909159177_0.html" TargetMode="External"/><Relationship Id="rId5039" Type="http://schemas.openxmlformats.org/officeDocument/2006/relationships/hyperlink" Target="https://www.guiarepsol.com/es/viajar/nos-gusta/novedades-de-las-estaciones-de-esqui-espanolas/" TargetMode="External"/><Relationship Id="rId5037" Type="http://schemas.openxmlformats.org/officeDocument/2006/relationships/hyperlink" Target="https://www.guiarepsol.com/es/comer/en-el-mercado/panettone-forn-mariu-ibi-alicante/" TargetMode="External"/><Relationship Id="rId5038" Type="http://schemas.openxmlformats.org/officeDocument/2006/relationships/hyperlink" Target="https://www.guiarepsol.com/es/comer/vinos-y-bodegas/como-es-el-cava-extremeno/" TargetMode="External"/><Relationship Id="rId5020" Type="http://schemas.openxmlformats.org/officeDocument/2006/relationships/hyperlink" Target="https://cadenaser.com/nacional/2024/12/16/la-guia-mas-reconocida-se-rinde-ante-el-restaurante-con-el-mejor-pollo-de-todo-madrid-cadena-ser/" TargetMode="External"/><Relationship Id="rId5021" Type="http://schemas.openxmlformats.org/officeDocument/2006/relationships/hyperlink" Target="https://www.guiarepsol.com/es/soletes/donde-comprar-roscon-reyes-madrid/" TargetMode="External"/><Relationship Id="rId198" Type="http://schemas.openxmlformats.org/officeDocument/2006/relationships/hyperlink" Target="https://www.agroperu.pe/oefa-impone-multas-a-repsol-por-omision-de-planes-de-rehabilitacion-tras-derrame-en-ventanilla/" TargetMode="External"/><Relationship Id="rId5024" Type="http://schemas.openxmlformats.org/officeDocument/2006/relationships/hyperlink" Target="https://www.diariodeleon.es/bierzo/241217/1733009/parque-eolico-repsol-divide-ayuntamientos-proyecto.html" TargetMode="External"/><Relationship Id="rId197" Type="http://schemas.openxmlformats.org/officeDocument/2006/relationships/hyperlink" Target="https://gestion.pe/peru/afectados-por-derrame-petrolero-sobreviven-comiendo-peces-de-zona-donde-cayo-el-crudo-peru-repsol-derrame-de-petroleo-pesca-contaminacion-pescados-noticia/" TargetMode="External"/><Relationship Id="rId5025" Type="http://schemas.openxmlformats.org/officeDocument/2006/relationships/hyperlink" Target="https://elbierzo.eldiario.es/comarca/plataforma-clama-grave-impacto-tres-macroparques-eolicos-repsol-urogallo-oso-pardo_1_11907556.html" TargetMode="External"/><Relationship Id="rId196" Type="http://schemas.openxmlformats.org/officeDocument/2006/relationships/hyperlink" Target="https://cooperaccion.org.pe/a-dos-anos-del-derrame-de-petroleo-de-repsol-se-expondra-la-actual-situacion-del-ambiente-y-la-vulneracion-de-los-derechos-humanos-de-los-afectados/" TargetMode="External"/><Relationship Id="rId5022" Type="http://schemas.openxmlformats.org/officeDocument/2006/relationships/hyperlink" Target="https://www.guiarepsol.com/es/mercado-de-vallehermoso/" TargetMode="External"/><Relationship Id="rId195" Type="http://schemas.openxmlformats.org/officeDocument/2006/relationships/hyperlink" Target="https://www.noudiari.es/local-ibiza/un-camion-de-bombonas-de-butano-pierde-la-carga-y-bloquea-una-salida-de-la-e-20-de-ibiza/" TargetMode="External"/><Relationship Id="rId5023" Type="http://schemas.openxmlformats.org/officeDocument/2006/relationships/hyperlink" Target="https://info-veritas.com/desinformacion-repsol-comprensor-aire/" TargetMode="External"/><Relationship Id="rId5028" Type="http://schemas.openxmlformats.org/officeDocument/2006/relationships/hyperlink" Target="https://www.innovaspain.com/waylet-la-app-que-cada-vez-se-hace-mas-indispensable-para-ir-a-la-gasolinera/" TargetMode="External"/><Relationship Id="rId5029" Type="http://schemas.openxmlformats.org/officeDocument/2006/relationships/hyperlink" Target="https://www.expansion.com/podcasts/la-primera-de-expansion/2024/12/17/676116c9e5fdeace3c8b459e.html" TargetMode="External"/><Relationship Id="rId5026" Type="http://schemas.openxmlformats.org/officeDocument/2006/relationships/hyperlink" Target="https://www.elbierzodigital.com/ramon-compatibles-reacciones-opuestas-ayuntamientos-socialistas-parque-eolico-repsol/" TargetMode="External"/><Relationship Id="rId199" Type="http://schemas.openxmlformats.org/officeDocument/2006/relationships/hyperlink" Target="https://inforegion.pe/municipalidad-de-ancon-cierra-playas-contaminadas-por-el-derrame-de-repsol/" TargetMode="External"/><Relationship Id="rId5027" Type="http://schemas.openxmlformats.org/officeDocument/2006/relationships/hyperlink" Target="https://www.bolsamania.com/noticias/analisis-tecnico/repsol-y-dos-valores-mas-que-han-perforado-soportes-o-resistencias-este-martes--18334169.html" TargetMode="External"/><Relationship Id="rId150" Type="http://schemas.openxmlformats.org/officeDocument/2006/relationships/hyperlink" Target="https://www.eleconomista.es/energia/noticias/12623643/01/24/repsol-y-telefonica-desembarcan-en-el-negocio-de-las-baterias-para-autoconsumo-con-turbo-energy.html" TargetMode="External"/><Relationship Id="rId149" Type="http://schemas.openxmlformats.org/officeDocument/2006/relationships/hyperlink" Target="https://elbuho.pe/2024/01/caso-repsol-a-dos-anos-del-desastroso-derrame-de-petroleo-en-el-mar-peruano/" TargetMode="External"/><Relationship Id="rId148" Type="http://schemas.openxmlformats.org/officeDocument/2006/relationships/hyperlink" Target="http://www.petroguia.com/pet/noticias/petr%C3%B3leo/repsol-espera-triplicar-e-incluso-cuadriplicar-producci%C3%B3n-de-petroquiriquire" TargetMode="External"/><Relationship Id="rId3270" Type="http://schemas.openxmlformats.org/officeDocument/2006/relationships/hyperlink" Target="https://intereconomia.com/noticia/empresas/repsol-a-salvo-de-la-fobia-del-regimen-chavista-de-maduro-a-espana-20240916-0051/" TargetMode="External"/><Relationship Id="rId3272" Type="http://schemas.openxmlformats.org/officeDocument/2006/relationships/hyperlink" Target="https://www.lavozdepuertollano.es/web/contenido/comarca/repsol-petroleo-solicita-construir-una-planta-de-autoconsumo-en-puertollano-con-una-inversion-de-29-6-millones-de-euros41889.html" TargetMode="External"/><Relationship Id="rId3271" Type="http://schemas.openxmlformats.org/officeDocument/2006/relationships/hyperlink" Target="https://www.lacomarcadepuertollano.com/articulo/puertollano/repsol-puertollano-construira-complejo-industrial-planta-fotovoltaica-autoconsumo-inversion-casi-30-millones/20240916092639561405.html" TargetMode="External"/><Relationship Id="rId143" Type="http://schemas.openxmlformats.org/officeDocument/2006/relationships/hyperlink" Target="https://www.laverdad.es/murcia/cartagena/seis-empresas-puerto-cartagena-invertiran-ano-millones-20240114080459-nt.html" TargetMode="External"/><Relationship Id="rId3274" Type="http://schemas.openxmlformats.org/officeDocument/2006/relationships/hyperlink" Target="https://cincodias.elpais.com/mercados-financieros/2024-09-16/ubs-corta-el-grifo-a-repsol-y-pone-en-duda-su-retribucion-al-accionista-hasta-2027.html" TargetMode="External"/><Relationship Id="rId142" Type="http://schemas.openxmlformats.org/officeDocument/2006/relationships/hyperlink" Target="https://www.boxrepsol.com/es/rally/resultados-de-la-septima-etapa-del-rally-dakar-2024/" TargetMode="External"/><Relationship Id="rId3273" Type="http://schemas.openxmlformats.org/officeDocument/2006/relationships/hyperlink" Target="https://www.hibridosyelectricos.com/coches/comprar-coche-electrico-estas-marcas-chinas-incluye-extras-van-mas-alla-facilitar-su-recarga_75977_102.html" TargetMode="External"/><Relationship Id="rId141" Type="http://schemas.openxmlformats.org/officeDocument/2006/relationships/hyperlink" Target="https://www.eleconomista.es/energia/noticias/12623268/01/24/una-fundacion-ambiental-exige-a-repsol-1200-millones-en-un-juzgado-de-holanda-por-el-vertido-de-peru.html" TargetMode="External"/><Relationship Id="rId3276" Type="http://schemas.openxmlformats.org/officeDocument/2006/relationships/hyperlink" Target="https://www.capitalradio.es/noticias/bolsa/cantos-todo-sector-energia-esta-sumamente-barato_133085837.html" TargetMode="External"/><Relationship Id="rId140" Type="http://schemas.openxmlformats.org/officeDocument/2006/relationships/hyperlink" Target="https://www.publico.es/internacional/dos-anos-solucion-derrame-petroleo-repsol-mar-peruano.html" TargetMode="External"/><Relationship Id="rId3275" Type="http://schemas.openxmlformats.org/officeDocument/2006/relationships/hyperlink" Target="https://www.guiarepsol.com/es/comer/vinos-y-bodegas/vinos-ocampo-de-jonatan-garcia-tacoronte-tenerife/" TargetMode="External"/><Relationship Id="rId147" Type="http://schemas.openxmlformats.org/officeDocument/2006/relationships/hyperlink" Target="https://diariodeavisos.elespanol.com/2024/01/jesus-camacho-chef/" TargetMode="External"/><Relationship Id="rId3278" Type="http://schemas.openxmlformats.org/officeDocument/2006/relationships/hyperlink" Target="https://www.boxrepsol.com/es/trial/resultados-y-resumen-del-trialgp-de-espana-2024/" TargetMode="External"/><Relationship Id="rId146" Type="http://schemas.openxmlformats.org/officeDocument/2006/relationships/hyperlink" Target="https://www.elnacional.cat/es/deportes/boicot-en-ducati-marc-marquez-no-gane-mundial-motogp_1145739_102.html" TargetMode="External"/><Relationship Id="rId3277" Type="http://schemas.openxmlformats.org/officeDocument/2006/relationships/hyperlink" Target="https://www.ig.com/es/ideas-de-trading-y-noticias/ibex-35-hoy--santander-y-bbva-suben-mientras-repsol-cae-por-la-i-240916" TargetMode="External"/><Relationship Id="rId145" Type="http://schemas.openxmlformats.org/officeDocument/2006/relationships/hyperlink" Target="https://elperiodicodelaenergia.com/blackrock-el-rey-midas-del-sector-energetico-espanol/" TargetMode="External"/><Relationship Id="rId144" Type="http://schemas.openxmlformats.org/officeDocument/2006/relationships/hyperlink" Target="https://www.motociclismo.es/mundial-motogp/motogp-2024-fechas-presentaciones-equipos-test-pretemporada_288424_102.html" TargetMode="External"/><Relationship Id="rId3279" Type="http://schemas.openxmlformats.org/officeDocument/2006/relationships/hyperlink" Target="https://www.eldebate.com/tecnologia/20240916/hay-aplicacion-total-puedes-hacer-todo-pagar-gasolina-ahorrar-luz-hacer-compra_227096.html" TargetMode="External"/><Relationship Id="rId139" Type="http://schemas.openxmlformats.org/officeDocument/2006/relationships/hyperlink" Target="https://rpp.pe/peru/actualidad/repsol-afectados-por-derrame-de-petroleo-presentaron-demanda-colectiva-en-corte-distrital-de-la-haya-noticia-1527177" TargetMode="External"/><Relationship Id="rId138" Type="http://schemas.openxmlformats.org/officeDocument/2006/relationships/hyperlink" Target="https://www.diariodesevilla.es/economia/descuentos-gasolineras-2024_0_1865814143.html" TargetMode="External"/><Relationship Id="rId137" Type="http://schemas.openxmlformats.org/officeDocument/2006/relationships/hyperlink" Target="https://autohebdosport.com/competicion/off-road/isidre-esteve-sigue-adelante-tras-vivir-una-epica-odisea-en-el-desierto" TargetMode="External"/><Relationship Id="rId4590" Type="http://schemas.openxmlformats.org/officeDocument/2006/relationships/hyperlink" Target="https://www.capitalmadrid.com/2024/11/22/68510/demanda-verde-de-iberdrola-contra-repsol-la-sentencia-a-principios-de-2025.html" TargetMode="External"/><Relationship Id="rId3261" Type="http://schemas.openxmlformats.org/officeDocument/2006/relationships/hyperlink" Target="https://elperiodicodelaenergia.com/delcy-rodriguez-se-reune-repsol-discutir-planes-cooperacion-energetica/" TargetMode="External"/><Relationship Id="rId4592" Type="http://schemas.openxmlformats.org/officeDocument/2006/relationships/hyperlink" Target="https://www.guiarepsol.com/es/comer/nuestros-favoritos/zacaffe--primera-cafeteria-de-zara-en-espana/" TargetMode="External"/><Relationship Id="rId3260" Type="http://schemas.openxmlformats.org/officeDocument/2006/relationships/hyperlink" Target="https://www.eleconomista.es/mercados-cotizaciones/noticias/12982605/09/24/la-caida-del-precio-del-petroleo-mete-a-repsol-en-la-cartera-en-una-segunda-operacion.html" TargetMode="External"/><Relationship Id="rId4591" Type="http://schemas.openxmlformats.org/officeDocument/2006/relationships/hyperlink" Target="https://www.elmundo.es/economia/empresas/2024/11/22/673f343be85ecec4758b4595.html" TargetMode="External"/><Relationship Id="rId132" Type="http://schemas.openxmlformats.org/officeDocument/2006/relationships/hyperlink" Target="https://www.expansion.com/latinoamerica/2024/01/13/65a27649468aeb62708b45ed.html" TargetMode="External"/><Relationship Id="rId3263" Type="http://schemas.openxmlformats.org/officeDocument/2006/relationships/hyperlink" Target="https://www.donbalon.com/motor/moto-gp/un-ano-despues-honda-recibe-otro-palo-de-marc-marquez-con-el-93-se-marcha-un-acuerdo-historico" TargetMode="External"/><Relationship Id="rId4594" Type="http://schemas.openxmlformats.org/officeDocument/2006/relationships/hyperlink" Target="https://cincodias.elpais.com/companias/2024-11-23/del-dieselgate-al-juicio-de-iberdrola-contra-repsol-cuando-las-empresas-se-ven-salpicadas-por-el-blanqueo-ecologico.html" TargetMode="External"/><Relationship Id="rId131" Type="http://schemas.openxmlformats.org/officeDocument/2006/relationships/hyperlink" Target="https://cincodias.elpais.com/companias/2024-01-13/demandan-a-repsol-por-912-millones-en-paises-bajos-por-el-derrame-en-peru-en-2022.html" TargetMode="External"/><Relationship Id="rId3262" Type="http://schemas.openxmlformats.org/officeDocument/2006/relationships/hyperlink" Target="https://www.elespanol.com/invertia/empresas/energia/20240915/carrera-hidrogeno-espanol-mueve-millones-euros-enamora-china/885411677_0.html" TargetMode="External"/><Relationship Id="rId4593" Type="http://schemas.openxmlformats.org/officeDocument/2006/relationships/hyperlink" Target="https://www.economiadigital.es/empresas/enredo-fiscal-gobierno-iberdrola-repsol-endesa-naturgy-impuesto-inversion.html" TargetMode="External"/><Relationship Id="rId130" Type="http://schemas.openxmlformats.org/officeDocument/2006/relationships/hyperlink" Target="https://www.rtve.es/noticias/20240113/repsol-demandada-por-900-millones-euros-paises-bajos-por-derrame-2022-refineria-peru/15914808.shtml" TargetMode="External"/><Relationship Id="rId3265" Type="http://schemas.openxmlformats.org/officeDocument/2006/relationships/hyperlink" Target="https://www.diariolasamericas.com/america-latina/petroleo-fuera-del-eventual-fin-relaciones-venezuela-y-espana-n5363600" TargetMode="External"/><Relationship Id="rId4596" Type="http://schemas.openxmlformats.org/officeDocument/2006/relationships/hyperlink" Target="https://www.larazon.es/lr-content/soles-guia-repsol-regresan-portugal_20241122673d9346d43601000150daf2.html" TargetMode="External"/><Relationship Id="rId3264" Type="http://schemas.openxmlformats.org/officeDocument/2006/relationships/hyperlink" Target="https://www.motosan.es/motogp/santi-hernandez-marc-marquez-siempre-saca-un-conejo-de-la-chistera-cuando-menos-te-lo-esperas/" TargetMode="External"/><Relationship Id="rId4595" Type="http://schemas.openxmlformats.org/officeDocument/2006/relationships/hyperlink" Target="https://consensodelmercado.com/es/ibex-35/noticias/iberdrola-endesa-repsolnaturgy-el-gobierno-se-compromete-a-consensuar-un-tributo-energetico-que-no-grave-la-descarbonizacion-o-prorrogar-el-existente" TargetMode="External"/><Relationship Id="rId136" Type="http://schemas.openxmlformats.org/officeDocument/2006/relationships/hyperlink" Target="https://www.peru-retail.com/demandan-a-repsol-por-us-1-200-millones-en-paises-bajos-por-el-derrame-en-peru/" TargetMode="External"/><Relationship Id="rId3267" Type="http://schemas.openxmlformats.org/officeDocument/2006/relationships/hyperlink" Target="https://www.expansion.com/mercados/2024/09/16/66e7ea88468aebea458b45ae.html" TargetMode="External"/><Relationship Id="rId4598" Type="http://schemas.openxmlformats.org/officeDocument/2006/relationships/hyperlink" Target="https://www.diaridetarragona.com/tarragona/chefs-tarraconenses-se-ponen-el-delantal-para-solidarizarse-con-valencia-KC22021748" TargetMode="External"/><Relationship Id="rId135" Type="http://schemas.openxmlformats.org/officeDocument/2006/relationships/hyperlink" Target="https://www.diariodemallorca.es/economia/2024/01/13/fondo-blackrock-convertira-gran-dueno-96853137.html" TargetMode="External"/><Relationship Id="rId3266" Type="http://schemas.openxmlformats.org/officeDocument/2006/relationships/hyperlink" Target="https://www.cio.com/article/3517725/talento-joven-y-formacion-ti-la-apuesta-de-repsol-para-impulsar-la-digitalizacion.html" TargetMode="External"/><Relationship Id="rId4597" Type="http://schemas.openxmlformats.org/officeDocument/2006/relationships/hyperlink" Target="https://www.elespanol.com/aragon/vivir/20241122/bonita-ruta-aragon-recomienda-guia-repsol-perfecta-epoca-puede-hacer-caballo-trt/903160013_0.html" TargetMode="External"/><Relationship Id="rId134" Type="http://schemas.openxmlformats.org/officeDocument/2006/relationships/hyperlink" Target="https://www.eldiariomontanes.es/economia/enagas-repsol-estudian-instalar-polanco-almacen-hidrogeno-20240113074217-nt.html" TargetMode="External"/><Relationship Id="rId3269" Type="http://schemas.openxmlformats.org/officeDocument/2006/relationships/hyperlink" Target="https://elperiodicodelaenergia.com/repsol-autoconsumira-energia-en-su-refineria-de-puertollano-con-una-planta-solar-de-48-mw-y-una-bateria-de-4-mw/" TargetMode="External"/><Relationship Id="rId133" Type="http://schemas.openxmlformats.org/officeDocument/2006/relationships/hyperlink" Target="https://www.lavozdegalicia.es/noticia/ferrol/2024/01/13/tienda-gasolinera-repsol-catabois/0003_202401F13C2997.htm" TargetMode="External"/><Relationship Id="rId3268" Type="http://schemas.openxmlformats.org/officeDocument/2006/relationships/hyperlink" Target="https://okdiario.com/economia/repsol-entorpece-financiacion-del-regimen-maduro-impide-que-rusia-o-china-compren-mas-petroleo-13461982" TargetMode="External"/><Relationship Id="rId4599" Type="http://schemas.openxmlformats.org/officeDocument/2006/relationships/hyperlink" Target="https://www.guiarepsol.com/es/comer/nuestros-favoritos/cenas-solidarias-por-la-dana-desde-valencia-para-valencia/" TargetMode="External"/><Relationship Id="rId172" Type="http://schemas.openxmlformats.org/officeDocument/2006/relationships/hyperlink" Target="https://canaln.pe/actualidad/vicepresidente-oceana-peru-hace-dos-anos-repsol-minimizo-asunto-derrame-petroleo-n469867" TargetMode="External"/><Relationship Id="rId171" Type="http://schemas.openxmlformats.org/officeDocument/2006/relationships/hyperlink" Target="https://elcomercio.pe/lima/ancon-cierra-playas-por-contaminacion-que-ocasiono-derrame-de-petroleo-y-repsol-responde-que-areas-estan-limpias-ultimas-noticia/" TargetMode="External"/><Relationship Id="rId170" Type="http://schemas.openxmlformats.org/officeDocument/2006/relationships/hyperlink" Target="https://www.actualidadambiental.pe/advierten-que-padron-de-afectados-por-el-derrame-de-petroleo-tendria-vacios/" TargetMode="External"/><Relationship Id="rId3290" Type="http://schemas.openxmlformats.org/officeDocument/2006/relationships/hyperlink" Target="https://www.eleconomista.es/energia/noticias/12989802/09/24/repsol-choca-con-hecate-en-su-mayor-operacion-de-compra-de-renovables-en-eeuu.html" TargetMode="External"/><Relationship Id="rId3292" Type="http://schemas.openxmlformats.org/officeDocument/2006/relationships/hyperlink" Target="https://intereconomia.com/noticia/empresas/malas-noticias-para-repsol-ribera-acumula-poder-en-bruselas-20240917-2000/" TargetMode="External"/><Relationship Id="rId3291" Type="http://schemas.openxmlformats.org/officeDocument/2006/relationships/hyperlink" Target="https://www.expansion.com/mercados/2024/09/17/66e95bc2468aeb84218b45b6.html" TargetMode="External"/><Relationship Id="rId3294" Type="http://schemas.openxmlformats.org/officeDocument/2006/relationships/hyperlink" Target="https://www.europapress.es/galicia/noticia-periodista-alberto-ramos-gana-xviii-premio-narrativa-breve-repsol-pirotecnia-20240917142852.html" TargetMode="External"/><Relationship Id="rId3293" Type="http://schemas.openxmlformats.org/officeDocument/2006/relationships/hyperlink" Target="https://blogs.elconfidencial.com/mercados/bolsagora/2024-09-17/cotizacion-repsol-primeros-grandes-soportes_3963738/" TargetMode="External"/><Relationship Id="rId165" Type="http://schemas.openxmlformats.org/officeDocument/2006/relationships/hyperlink" Target="https://www.infobae.com/peru/2024/01/15/ventanilla-rehabilitacion-ambiental-no-inicia-luego-de-dos-anos-del-derrame-de-repsol/" TargetMode="External"/><Relationship Id="rId3296" Type="http://schemas.openxmlformats.org/officeDocument/2006/relationships/hyperlink" Target="https://www.lavozdegalicia.es/noticia/coruna/2024/09/17/polifonia-alberto-ramos-alza-coruna-premio-narrativa-breve-repsol/00031726571199266979405.htm" TargetMode="External"/><Relationship Id="rId164" Type="http://schemas.openxmlformats.org/officeDocument/2006/relationships/hyperlink" Target="https://cooperaccion.org.pe/publicaciones/revelando-el-dano-valorizacion-economica-de-la-perdida-para-las-familias-pescadoras-afectadas-por-el-derrame-de-repsol-en-la-costa-de-peru/" TargetMode="External"/><Relationship Id="rId3295" Type="http://schemas.openxmlformats.org/officeDocument/2006/relationships/hyperlink" Target="https://www.interempresas.net/Estaciones-servicio/Articulos/572716-Repsol-instalara-70-puntos-recogida-aceite-cocina-usado-estaciones-servicio-Aragon.html" TargetMode="External"/><Relationship Id="rId163" Type="http://schemas.openxmlformats.org/officeDocument/2006/relationships/hyperlink" Target="https://www.elpais.cr/2024/01/15/pescadores-protestan-en-peru-a-dos-anos-del-derrame-de-petroleo-de-repsol/" TargetMode="External"/><Relationship Id="rId3298" Type="http://schemas.openxmlformats.org/officeDocument/2006/relationships/hyperlink" Target="https://www.economiadigital.es/empresas/encrucijada-repsol-venezuela-libia-1546-millones.html" TargetMode="External"/><Relationship Id="rId162" Type="http://schemas.openxmlformats.org/officeDocument/2006/relationships/hyperlink" Target="https://rpp.pe/lima/actualidad/repsol-pescadores-exigen-frente-pago-de-indeminizaciones-a-dos-anos-de-derrame-de-petroleo-en-ventanilla-noticia-1527474" TargetMode="External"/><Relationship Id="rId3297" Type="http://schemas.openxmlformats.org/officeDocument/2006/relationships/hyperlink" Target="https://www.elespanol.com/quincemil/cultura/20240917/alberto-ramos-gana-xviii-premio-narrativa-breve-repsol-gallego/886661617_0.html" TargetMode="External"/><Relationship Id="rId169" Type="http://schemas.openxmlformats.org/officeDocument/2006/relationships/hyperlink" Target="https://gestion.pe/peru/repsol-afirma-que-playas-de-lima-norte-estan-aptas-para-su-uso-tras-derrame-de-petroleo-el-2022-hidrocarburos-contaminacion-noticia/" TargetMode="External"/><Relationship Id="rId168" Type="http://schemas.openxmlformats.org/officeDocument/2006/relationships/hyperlink" Target="https://rpp.pe/lima/actualidad/pescadores-de-ventanilla-no-aceptan-condiciones-de-repsol-para-pago-de-compensaciones-senalo-representante-noticia-1527493" TargetMode="External"/><Relationship Id="rId3299" Type="http://schemas.openxmlformats.org/officeDocument/2006/relationships/hyperlink" Target="https://www.guiarepsol.com/es/comer/nuestros-favoritos/guia-repsol-portugal-festival-chefs-on-fire-cascais/" TargetMode="External"/><Relationship Id="rId167" Type="http://schemas.openxmlformats.org/officeDocument/2006/relationships/hyperlink" Target="https://gestion.pe/peru/presentan-demanda-millonaria-contra-repsol-en-holanda-por-derrame-de-petroleo-en-ventanilla-petroleo-fundacion-holandesa-de-derechos-ambientales-y-fundamentales-noticia/" TargetMode="External"/><Relationship Id="rId166" Type="http://schemas.openxmlformats.org/officeDocument/2006/relationships/hyperlink" Target="https://www.actualidadambiental.pe/a-dos-anos-del-derrame-de-petroleo-de-repsol-aun-no-se-inicia-rehabilitacion-ambiental-advierte-defensoria/" TargetMode="External"/><Relationship Id="rId161" Type="http://schemas.openxmlformats.org/officeDocument/2006/relationships/hyperlink" Target="https://cadenaser.com/cantabria/2024/01/15/vuelca-un-camion-cisterna-de-gas-propano-en-ruiloba-radio-santander/" TargetMode="External"/><Relationship Id="rId160" Type="http://schemas.openxmlformats.org/officeDocument/2006/relationships/hyperlink" Target="https://gestion.pe/peru/repsol-responde-a-demanda-en-paises-bajos-no-tiene-fundamento-y-debe-ser-abordado-en-peru-corte-de-la-haya-derrame-de-petroleo-refineria-la-pampilla-noticia/" TargetMode="External"/><Relationship Id="rId159" Type="http://schemas.openxmlformats.org/officeDocument/2006/relationships/hyperlink" Target="https://www.larepublica.co/globoeconomia/repsol-enfrenta-una-demandada-colectiva-por-derrame-de-petroleo-al-oceano-en-peru-3780968" TargetMode="External"/><Relationship Id="rId3281" Type="http://schemas.openxmlformats.org/officeDocument/2006/relationships/hyperlink" Target="https://www.moto1pro.com/enduropro/actualidad/gabriel-marcelli-se-lleva-el-subcampeonato-en-el-trialgp-en-ripoll" TargetMode="External"/><Relationship Id="rId3280" Type="http://schemas.openxmlformats.org/officeDocument/2006/relationships/hyperlink" Target="https://www.ntn24.com/noticias-politica/delcy-rodriguez-hace-un-guino-a-repsol-y-dice-que-los-negocios-con-los-espanoles-se-mantienen-513738" TargetMode="External"/><Relationship Id="rId3283" Type="http://schemas.openxmlformats.org/officeDocument/2006/relationships/hyperlink" Target="http://www.petroguia.com/pet/noticias/petr%C3%B3leo/venta-de-divisas-de-chevron-repsol-y-maurel-prom-representa-hasta-40-del-mercado" TargetMode="External"/><Relationship Id="rId3282" Type="http://schemas.openxmlformats.org/officeDocument/2006/relationships/hyperlink" Target="https://okdiario.com/motor/byd-omoda-jaecoo-marcas-chinas-alian-ibex-35-desembarco-espana-13468524" TargetMode="External"/><Relationship Id="rId154" Type="http://schemas.openxmlformats.org/officeDocument/2006/relationships/hyperlink" Target="https://www.guiarepsol.com/es/viajar/nos-gusta/mercadillos-artesanales-de-lanzarote/" TargetMode="External"/><Relationship Id="rId3285" Type="http://schemas.openxmlformats.org/officeDocument/2006/relationships/hyperlink" Target="https://www.pv-magazine.es/2024/09/17/repsol-instalara-un-autoconsumo-fotovoltaico-de-48-mw-y-una-bateria-de-4-mw-en-su-refineria-de-puertollano/" TargetMode="External"/><Relationship Id="rId153" Type="http://schemas.openxmlformats.org/officeDocument/2006/relationships/hyperlink" Target="https://saludconlupa.com/noticias/repsol-pescadores-no-pueden-vivir-del-mar-a-dos-anos-del-derrame-de-petroleo/" TargetMode="External"/><Relationship Id="rId3284" Type="http://schemas.openxmlformats.org/officeDocument/2006/relationships/hyperlink" Target="https://larepublica.pe/economia/2024/09/16/cuales-son-las-gasolineras-mas-baratas-en-lima-durante-septiembre-2024-ubicacion-y-precio-de-los-combustibles-atmp-492944" TargetMode="External"/><Relationship Id="rId152" Type="http://schemas.openxmlformats.org/officeDocument/2006/relationships/hyperlink" Target="https://www.diaridetarragona.com/tarragona/repsol-inicia-la-parada-programada-del-area-quimica-de-su-complejo-de-tarragona-DK18215446" TargetMode="External"/><Relationship Id="rId3287" Type="http://schemas.openxmlformats.org/officeDocument/2006/relationships/hyperlink" Target="https://www.fundacionrepsol.com/es/noticias/circularidad-como-eje-central-de-transformacion-industrial-competitiva/" TargetMode="External"/><Relationship Id="rId151" Type="http://schemas.openxmlformats.org/officeDocument/2006/relationships/hyperlink" Target="https://elperiodicodelaenergia.com/repsol-lanza-plan-adquisicion-dcciones-empleados-pedir-hasta-1695-millones-titulos/" TargetMode="External"/><Relationship Id="rId3286" Type="http://schemas.openxmlformats.org/officeDocument/2006/relationships/hyperlink" Target="https://www.xunta.gal/es/notas-de-prensa/-/nova/005260/periodista-alberto-ramos-gana-xviii-premio-narrativa-breve-repsol-con-que-colabora" TargetMode="External"/><Relationship Id="rId158" Type="http://schemas.openxmlformats.org/officeDocument/2006/relationships/hyperlink" Target="https://peru.oxfam.org/lo-ultimo/publicaciones/dos-anos-del-derrame-de-repsol-pescadores-pierden-mas-de-149-mil-soles-al" TargetMode="External"/><Relationship Id="rId3289" Type="http://schemas.openxmlformats.org/officeDocument/2006/relationships/hyperlink" Target="https://elcierredigital.com/investigacion/repsol-intenta-sortear-las-criticas-por-disparar-compra-petroleo-venezuela" TargetMode="External"/><Relationship Id="rId157" Type="http://schemas.openxmlformats.org/officeDocument/2006/relationships/hyperlink" Target="https://www.infobae.com/peru/2024/01/15/repsol-mantiene-impugnados-s97-millones-en-multas-contra-el-estado-peruano-segun-oefa/" TargetMode="External"/><Relationship Id="rId3288" Type="http://schemas.openxmlformats.org/officeDocument/2006/relationships/hyperlink" Target="https://www.estrategiasdeinversion.com/actualidad/noticias/bolsa-espana/choque-frontal-de-repsol-con-sus-socios-en-eeuu-n-744633" TargetMode="External"/><Relationship Id="rId156" Type="http://schemas.openxmlformats.org/officeDocument/2006/relationships/hyperlink" Target="https://convoca.pe/agenda-propia/mientras-fiscalia-investiga-sus-ejecutivos-repsol-sigue-negando-la-contaminacion-y" TargetMode="External"/><Relationship Id="rId155" Type="http://schemas.openxmlformats.org/officeDocument/2006/relationships/hyperlink" Target="https://www.boxrepsol.com/es/rally/resultados-de-la-octava-etapa-del-rally-dakar-2024/" TargetMode="External"/><Relationship Id="rId2820" Type="http://schemas.openxmlformats.org/officeDocument/2006/relationships/hyperlink" Target="https://www.guiarepsol.com/es/dormir/en-la-gloria/grand-hyatt-la-manga-club-cartagena/" TargetMode="External"/><Relationship Id="rId2821" Type="http://schemas.openxmlformats.org/officeDocument/2006/relationships/hyperlink" Target="https://www.lasexta.com/viajestic/destinos/menorca-celebra-copa-rey-repsol-barcos-epoca_2024080566b0b1a5b33dfc0001cab192.html" TargetMode="External"/><Relationship Id="rId2822" Type="http://schemas.openxmlformats.org/officeDocument/2006/relationships/hyperlink" Target="https://es.benzinga.com/news/spain/acciones-de-repsol-caen-un-274-en-la-apertura-del-ibex-35/" TargetMode="External"/><Relationship Id="rId2823" Type="http://schemas.openxmlformats.org/officeDocument/2006/relationships/hyperlink" Target="https://www.huffingtonpost.es/global/de-huida-marruecos-13nos-ganar-sol-repsol-chef.html" TargetMode="External"/><Relationship Id="rId2824" Type="http://schemas.openxmlformats.org/officeDocument/2006/relationships/hyperlink" Target="https://sobremesa.es/art/6256/chefs-on-fire-madrid-festival-gastronomico-fuego-brasas-plancha" TargetMode="External"/><Relationship Id="rId2825" Type="http://schemas.openxmlformats.org/officeDocument/2006/relationships/hyperlink" Target="https://www.guiarepsol.com/es/viajar/vamos-de-excursion/excursion-las-islas-medas-costa-del-montgri-lestartit-girona/" TargetMode="External"/><Relationship Id="rId2826" Type="http://schemas.openxmlformats.org/officeDocument/2006/relationships/hyperlink" Target="https://www.guiarepsol.com/es/viajar/vamos-de-excursion/cuevas-aguila-arenas-san-pedro-avila/" TargetMode="External"/><Relationship Id="rId2827" Type="http://schemas.openxmlformats.org/officeDocument/2006/relationships/hyperlink" Target="https://www.eleconomista.es/mercados-cotizaciones/noticias/12938601/08/24/el-yacimiento-de-petroleo-mas-grande-del-norte-de-africa-se-detiene-por-sorpresa-y-deja-de-bombear-crudo.html" TargetMode="External"/><Relationship Id="rId2828" Type="http://schemas.openxmlformats.org/officeDocument/2006/relationships/hyperlink" Target="https://www.directoalpaladar.com/viajes/mejor-restaurante-mundo-pescados-karlos-arguinano-esta-parrilla-guipuzcoa-1" TargetMode="External"/><Relationship Id="rId2829" Type="http://schemas.openxmlformats.org/officeDocument/2006/relationships/hyperlink" Target="https://www.expansion.com/empresas/energia/2024/08/06/66b2590d468aeb2d1b8b458d.html" TargetMode="External"/><Relationship Id="rId5093" Type="http://schemas.openxmlformats.org/officeDocument/2006/relationships/hyperlink" Target="https://www.diarimes.com/es/deportes/nastic/241220/repsol-nastic-renuevan-convenio-dos-anos_161975.html" TargetMode="External"/><Relationship Id="rId5094" Type="http://schemas.openxmlformats.org/officeDocument/2006/relationships/hyperlink" Target="https://www.lanuevacronica.com/el-bierzo/podemos-iu-tiende-mano-paramo-sil-en-su-no-parques-eolicos-repsol_167654_102.html" TargetMode="External"/><Relationship Id="rId5091" Type="http://schemas.openxmlformats.org/officeDocument/2006/relationships/hyperlink" Target="https://intereconomia.com/noticia/mercados/repsol-dividendo-a-cuenta-de-0025-euros-20241220-0902/" TargetMode="External"/><Relationship Id="rId5092" Type="http://schemas.openxmlformats.org/officeDocument/2006/relationships/hyperlink" Target="https://motor.elpais.com/actualidad/afectados-dana-podran-disfrutar-bono-150-euros-para-repostar-repsol/" TargetMode="External"/><Relationship Id="rId5097" Type="http://schemas.openxmlformats.org/officeDocument/2006/relationships/hyperlink" Target="https://www.lavozdegalicia.es/noticia/vigo/2024/12/20/gabriel-marcelli-renueva-repsol-honda-2027/00031734689996450309554.htm" TargetMode="External"/><Relationship Id="rId5098" Type="http://schemas.openxmlformats.org/officeDocument/2006/relationships/hyperlink" Target="https://consensodelmercado.com/es/ibex-35/dividendos/repsol-aprueba-un-dividendo-de-0025-eur-brutos-acc-como-consecuencia-los-accionistas-percibiran-en-enero-de-2025-una-retribucion-de-0475-eur-brutos-acc" TargetMode="External"/><Relationship Id="rId5095" Type="http://schemas.openxmlformats.org/officeDocument/2006/relationships/hyperlink" Target="https://www.mundodeportivo.com/solomoto/trial/20241220/1002374509/gabriel-marcelli-renueva-repsol-honda-team-2027.html" TargetMode="External"/><Relationship Id="rId5096" Type="http://schemas.openxmlformats.org/officeDocument/2006/relationships/hyperlink" Target="https://www.bolsamania.com/noticias/analisis-tecnico/repsol-y-dos-valores-mas-que-han-perforado-soportes-o-resistencias-este-viernes--18358972.html" TargetMode="External"/><Relationship Id="rId5099" Type="http://schemas.openxmlformats.org/officeDocument/2006/relationships/hyperlink" Target="https://www.pressdigital.es/articulo/economia/2024-12-20/5114908-gvc-gaesco-decanta-cierre-ano-valores-como-caixabank-repsol-edreams-tecnicas-reunidas" TargetMode="External"/><Relationship Id="rId2810" Type="http://schemas.openxmlformats.org/officeDocument/2006/relationships/hyperlink" Target="https://www.20minutos.es/motor/movilidad/mejores-areas-servicio-parar-ap7-5533335/" TargetMode="External"/><Relationship Id="rId2811" Type="http://schemas.openxmlformats.org/officeDocument/2006/relationships/hyperlink" Target="https://emprendedores.es/ideas-de-negocio/8-startups-super-campeonas-de-nicho/" TargetMode="External"/><Relationship Id="rId2812" Type="http://schemas.openxmlformats.org/officeDocument/2006/relationships/hyperlink" Target="https://cronicaglobal.elespanol.com/gastronomia/20240803/el-restaurante-girona-national-geographic-guia-michelin/874912564_0.html" TargetMode="External"/><Relationship Id="rId2813" Type="http://schemas.openxmlformats.org/officeDocument/2006/relationships/hyperlink" Target="https://okdiario.com/okgreen/enfriar-planeta-dispersando-aerosoles-cielo-radical-solucion-geoingenieria-solar-13261059" TargetMode="External"/><Relationship Id="rId2814" Type="http://schemas.openxmlformats.org/officeDocument/2006/relationships/hyperlink" Target="https://www.huelva24.com/gastronomia/heladeria-huelva-mitico-helado-marco-infancia-transportara-20240803214441-nth.html" TargetMode="External"/><Relationship Id="rId2815" Type="http://schemas.openxmlformats.org/officeDocument/2006/relationships/hyperlink" Target="https://www.20minutos.es/motor/actualidad/gasolineras-mas-baratas-ocu-ahorro-gasolina-diesel-espana-5204388/" TargetMode="External"/><Relationship Id="rId2816" Type="http://schemas.openxmlformats.org/officeDocument/2006/relationships/hyperlink" Target="https://www.elespanol.com/cocinillas/actualidad-gastronomica/20240803/mejor-chiringuito-manga-arroces-pescados-dia-cocteles-increibles-vistas-mar-menor/875162484_0.html" TargetMode="External"/><Relationship Id="rId2817" Type="http://schemas.openxmlformats.org/officeDocument/2006/relationships/hyperlink" Target="https://www.boxrepsol.com/es/motogp/resultados-del-gp-de-gran-bretana-de-motogp-2024/" TargetMode="External"/><Relationship Id="rId2818" Type="http://schemas.openxmlformats.org/officeDocument/2006/relationships/hyperlink" Target="https://www.swissinfo.ch/spa/bloqueo-parcial-del-campo-petrol%C3%ADfero-de-sharara-en-el-sur-de-libia/85992061" TargetMode="External"/><Relationship Id="rId2819" Type="http://schemas.openxmlformats.org/officeDocument/2006/relationships/hyperlink" Target="https://www.caranddriver.com/es/coches/planeta-motor/a61772453/ofensiva-de-repsol-con-su-nuevo-diesel-que-ya-se-vende-en-mas-de-300-gasolineras/" TargetMode="External"/><Relationship Id="rId5090" Type="http://schemas.openxmlformats.org/officeDocument/2006/relationships/hyperlink" Target="https://www.malagahoy.es/malaga/gobierno-cuestiona-conexion-necesitan-torres_0_2003018572.html" TargetMode="External"/><Relationship Id="rId5082" Type="http://schemas.openxmlformats.org/officeDocument/2006/relationships/hyperlink" Target="https://cronicaglobal.elespanol.com/business/20241219/junts-pp-el-congreso-tumbar-impuesto-energeticas/909909062_0.html" TargetMode="External"/><Relationship Id="rId5083" Type="http://schemas.openxmlformats.org/officeDocument/2006/relationships/hyperlink" Target="https://www.infobierzo.com/bierzo-noticias/diputacion-leon-equilibrio-proyecto-eolico-repsol-sostenibilidad-energia_1019673_102.html" TargetMode="External"/><Relationship Id="rId5080" Type="http://schemas.openxmlformats.org/officeDocument/2006/relationships/hyperlink" Target="https://www.infobierzo.com/bierzo-noticias/consejo-comarcal-bierzo-parque-eolico-repsol-medio-ambiente_1019608_102.html" TargetMode="External"/><Relationship Id="rId5081" Type="http://schemas.openxmlformats.org/officeDocument/2006/relationships/hyperlink" Target="https://www.eleconomista.es/branded-content/noticias/13130356/12/24/la-bala-magica-un-podcast-sobre-la-busqueda-de-la-verdad-a-ritmo-de-thriller.html" TargetMode="External"/><Relationship Id="rId5086" Type="http://schemas.openxmlformats.org/officeDocument/2006/relationships/hyperlink" Target="https://www.elplural.com/politica/belarra-aitor-esteban-cruzan-reproches-pasillos-congreso-redes-solo-interesa-pulso-sumar_343415102" TargetMode="External"/><Relationship Id="rId5087" Type="http://schemas.openxmlformats.org/officeDocument/2006/relationships/hyperlink" Target="https://www.repsol.com/es/como-en-casa/index.cshtml" TargetMode="External"/><Relationship Id="rId5084" Type="http://schemas.openxmlformats.org/officeDocument/2006/relationships/hyperlink" Target="https://www.pressdigital.es/articulo/politica/2024-12-19/5113880-belarra-replica-criticas-portavoz-pnv-tilda-diputado-repsol" TargetMode="External"/><Relationship Id="rId5085" Type="http://schemas.openxmlformats.org/officeDocument/2006/relationships/hyperlink" Target="https://www.diaridetarragona.com/economia/el-congreso-deroga-el-gravamen-extraordinario-a-las-grandes-energeticas-AG22421537" TargetMode="External"/><Relationship Id="rId5088" Type="http://schemas.openxmlformats.org/officeDocument/2006/relationships/hyperlink" Target="https://www.ceoe.es/es/ceoe-news/sostenibilidad/repsol-rehabilita-el-entorno-del-pantano-de-gaia-para-fomentar-la" TargetMode="External"/><Relationship Id="rId5089" Type="http://schemas.openxmlformats.org/officeDocument/2006/relationships/hyperlink" Target="https://www.capitalmadrid.com/2024/12/20/68676/repsol-iberdrola-endesa-y-naturgy-se-ahorran-800-millones-por-la-caida-del-impuestazo.html" TargetMode="External"/><Relationship Id="rId1510" Type="http://schemas.openxmlformats.org/officeDocument/2006/relationships/hyperlink" Target="https://viajes.nationalgeographic.com.es/gastronomia/restaurante-pueblo-emporda-donde-comerse-girona-clave-michelin_20338" TargetMode="External"/><Relationship Id="rId2841" Type="http://schemas.openxmlformats.org/officeDocument/2006/relationships/hyperlink" Target="https://www.guiarepsol.com/es/comer/nuestros-favoritos/heladeria-la-cremeria-cadiz/" TargetMode="External"/><Relationship Id="rId1511" Type="http://schemas.openxmlformats.org/officeDocument/2006/relationships/hyperlink" Target="https://metropolitano.gal/enfoque/takosushi-abrira-en-vigo-un-restaurante-unico-donde-los-comensales-elaboran-sus-platos/" TargetMode="External"/><Relationship Id="rId2842" Type="http://schemas.openxmlformats.org/officeDocument/2006/relationships/hyperlink" Target="https://www.libremercado.com/2024-08-07/repsol-inicia-su-programa-de-recompra-de-20-millones-de-acciones-el-17-de-su-capital-7153844/" TargetMode="External"/><Relationship Id="rId1512" Type="http://schemas.openxmlformats.org/officeDocument/2006/relationships/hyperlink" Target="https://diariodeavisos.elespanol.com/2024/04/panaderia-pasteleria-tenerife/" TargetMode="External"/><Relationship Id="rId2843" Type="http://schemas.openxmlformats.org/officeDocument/2006/relationships/hyperlink" Target="https://www.hispanidad.com/economia/cierre-mercado/repsol-recompra-acciones-no-funciona_12053065_102.html" TargetMode="External"/><Relationship Id="rId1513" Type="http://schemas.openxmlformats.org/officeDocument/2006/relationships/hyperlink" Target="https://correodelsur.com/politica/20240414/dorgathen-afirma-que-lo-del-mar-de-gas-fue-una-mentira-del-exministro-sanchez-y-que-evo-lo-sabia.html" TargetMode="External"/><Relationship Id="rId2844" Type="http://schemas.openxmlformats.org/officeDocument/2006/relationships/hyperlink" Target="https://www.estrategiasdeinversion.com/actualidad/noticias/bolsa-espana/la-petrolera-repsol-inicia-la-recompra-de-20-millones-n-737163" TargetMode="External"/><Relationship Id="rId1514" Type="http://schemas.openxmlformats.org/officeDocument/2006/relationships/hyperlink" Target="https://elpais.com/clima-y-medio-ambiente/2024-04-16/ecologistas-y-consumidores-se-unen-para-demandar-a-repsol-por-ecopostureo-ante-la-cnmc-y-consumo.html" TargetMode="External"/><Relationship Id="rId2845" Type="http://schemas.openxmlformats.org/officeDocument/2006/relationships/hyperlink" Target="https://www.guiarepsol.com/es/dormir/en-la-gloria/hotel-kimpton-vividora-barcelona/" TargetMode="External"/><Relationship Id="rId1515" Type="http://schemas.openxmlformats.org/officeDocument/2006/relationships/hyperlink" Target="https://www.guiarepsol.com/es/viajar/nos-gusta/que-leer-dia-libro/" TargetMode="External"/><Relationship Id="rId2846" Type="http://schemas.openxmlformats.org/officeDocument/2006/relationships/hyperlink" Target="https://www.elconfidencial.com/empresas/2024-08-07/gobierno-bengasi-sancion-espana-repsol_3938372/" TargetMode="External"/><Relationship Id="rId1516" Type="http://schemas.openxmlformats.org/officeDocument/2006/relationships/hyperlink" Target="https://www.miciudadreal.es/2024/04/15/repsol-premia-el-mejor-trabajo-de-fin-de-grado-en-el-ambito-de-la-energia-de-ingenieria-industrial/" TargetMode="External"/><Relationship Id="rId2847" Type="http://schemas.openxmlformats.org/officeDocument/2006/relationships/hyperlink" Target="https://www.servimedia.es/noticias/arenal-sound-evita-emision-83-toneladas-co2-gracias-combustible-100-renovable/1410223107" TargetMode="External"/><Relationship Id="rId1517" Type="http://schemas.openxmlformats.org/officeDocument/2006/relationships/hyperlink" Target="https://www.diarimes.com/es/camp-tarragona/240415/javier-sancho-parada-2026-cracker-permitira-reducir-150-000-toneladas-ano-co2_143347.html" TargetMode="External"/><Relationship Id="rId2848" Type="http://schemas.openxmlformats.org/officeDocument/2006/relationships/hyperlink" Target="https://www.guiarepsol.com/es/viajar/nos-gusta/monasterio-ucles-cuenca/" TargetMode="External"/><Relationship Id="rId1518" Type="http://schemas.openxmlformats.org/officeDocument/2006/relationships/hyperlink" Target="https://www.lavozdepuertollano.es/web/contenido/comarca/marcha-a-buen-ritmo-la-mayor-parada-realizada-hasta-la-fecha-en-el-complejo-industrial-de-repsol-en-puertollano39839.html" TargetMode="External"/><Relationship Id="rId2849" Type="http://schemas.openxmlformats.org/officeDocument/2006/relationships/hyperlink" Target="https://www.guiarepsol.com/es/viajar/vamos-de-excursion/piscinas-naturales-navaluenga-avila/" TargetMode="External"/><Relationship Id="rId1519" Type="http://schemas.openxmlformats.org/officeDocument/2006/relationships/hyperlink" Target="https://www.20minutos.es/noticia/5235694/0/aceite-cocina-deposito-avion-produccion-combustible-sostenible-para-aviacion-salta-nivel-industrial-espana/" TargetMode="External"/><Relationship Id="rId2840" Type="http://schemas.openxmlformats.org/officeDocument/2006/relationships/hyperlink" Target="https://www.eleconomista.es/mercados-cotizaciones/noticias/12939876/08/24/espana-prueba-un-nuevo-tipo-de-petroleo-de-gran-calidad-llega-el-primer-cargamento-de-crudo-utapate.html" TargetMode="External"/><Relationship Id="rId2830" Type="http://schemas.openxmlformats.org/officeDocument/2006/relationships/hyperlink" Target="https://www.libremercado.com/2024-08-06/repsol-recoge-mas-de-40000-litros-de-aceite-de-cocina-usado-para-fabricar-combustible-renovable-7153542/" TargetMode="External"/><Relationship Id="rId1500" Type="http://schemas.openxmlformats.org/officeDocument/2006/relationships/hyperlink" Target="https://www.expansion.com/empresas/2024/04/13/6619a627e5fdeaa81e8b45ae.html" TargetMode="External"/><Relationship Id="rId2831" Type="http://schemas.openxmlformats.org/officeDocument/2006/relationships/hyperlink" Target="https://as.com/actualidad/economia/cerrado-el-mayor-campo-de-petroleo-de-repsol-n/" TargetMode="External"/><Relationship Id="rId1501" Type="http://schemas.openxmlformats.org/officeDocument/2006/relationships/hyperlink" Target="https://www.abc.es/motor/reportajes/recarga-coche-electrico-rally-20240413110000-nt.html" TargetMode="External"/><Relationship Id="rId2832" Type="http://schemas.openxmlformats.org/officeDocument/2006/relationships/hyperlink" Target="https://elpais.com/sociedad/2024-08-06/un-millon-de-euros-por-repostar-con-la-app-waylet.html" TargetMode="External"/><Relationship Id="rId1502" Type="http://schemas.openxmlformats.org/officeDocument/2006/relationships/hyperlink" Target="https://www.vaguada.es/valdivieso-el-encantador-restaurante-con-alma-de-carlos-valdivieso/" TargetMode="External"/><Relationship Id="rId2833" Type="http://schemas.openxmlformats.org/officeDocument/2006/relationships/hyperlink" Target="https://www.guiarepsol.com/es/viajar/vamos-de-excursion/descenso-rio-orbigo-leon/" TargetMode="External"/><Relationship Id="rId1503" Type="http://schemas.openxmlformats.org/officeDocument/2006/relationships/hyperlink" Target="https://elbuho.pe/2024/04/sube-la-cifra-de-conflictos-sociales-en-medio-del-escandalo-rolex/" TargetMode="External"/><Relationship Id="rId2834" Type="http://schemas.openxmlformats.org/officeDocument/2006/relationships/hyperlink" Target="https://www.europapress.es/turismo/hoteles/noticia-parques-reunidos-alia-waylet-facilitar-pago-17-parques-atracciones-acuaticos-20240806105558.html" TargetMode="External"/><Relationship Id="rId1504" Type="http://schemas.openxmlformats.org/officeDocument/2006/relationships/hyperlink" Target="https://www.eleconomista.es/energia/noticias/12767592/04/24/repsol-lanza-tarifas-de-luz-para-crecer-en-segunda-residencia-y-teletrabajo.html" TargetMode="External"/><Relationship Id="rId2835" Type="http://schemas.openxmlformats.org/officeDocument/2006/relationships/hyperlink" Target="https://www.eleconomista.es/branded-content/noticias/12932043/07/24/sergio-y-su-millon-de-razones-para-una-vida-mas-tranquila.html" TargetMode="External"/><Relationship Id="rId1505" Type="http://schemas.openxmlformats.org/officeDocument/2006/relationships/hyperlink" Target="https://www.latribunadeciudadreal.es/noticia/z4346675e-0b66-648f-e92860ebad7e4871/202404/una-parada-es-un-trabajo-en-equipo" TargetMode="External"/><Relationship Id="rId2836" Type="http://schemas.openxmlformats.org/officeDocument/2006/relationships/hyperlink" Target="https://valenciasecreta.com/barietas/" TargetMode="External"/><Relationship Id="rId1506" Type="http://schemas.openxmlformats.org/officeDocument/2006/relationships/hyperlink" Target="https://www.elmundo.es/metropoli/otros-planes/2024/04/14/6618e33b21efa0c95b8b45b6.html" TargetMode="External"/><Relationship Id="rId2837" Type="http://schemas.openxmlformats.org/officeDocument/2006/relationships/hyperlink" Target="https://cronicavasca.elespanol.com/empresas/20240806/petronor-iniciara-octubre-de-material-construccion-reciclado/875162577_0.html" TargetMode="External"/><Relationship Id="rId1507" Type="http://schemas.openxmlformats.org/officeDocument/2006/relationships/hyperlink" Target="https://cincodias.elpais.com/companias/2024-04-15/naturgy-la-cotizada-menos-cotizada-del-ibex.html" TargetMode="External"/><Relationship Id="rId2838" Type="http://schemas.openxmlformats.org/officeDocument/2006/relationships/hyperlink" Target="https://www.eleconomista.com.mx/empresas/Repsol-arranca-programa-de-recompra-de-20-millones-de-acciones-20240806-0072.html" TargetMode="External"/><Relationship Id="rId1508" Type="http://schemas.openxmlformats.org/officeDocument/2006/relationships/hyperlink" Target="https://www.eldebate.com/motor/20240414/bruselas-autoriza-combustibles-sinteticos-permiten-seguir-conduciendo-coches-combustion_189003.html" TargetMode="External"/><Relationship Id="rId2839" Type="http://schemas.openxmlformats.org/officeDocument/2006/relationships/hyperlink" Target="https://www.infobae.com/peru/2024/08/06/derrame-de-repsol-pescadores-reiteran-alerta-sobre-la-contaminacion-por-petroleo-en-playa-santa-rosa/" TargetMode="External"/><Relationship Id="rId1509" Type="http://schemas.openxmlformats.org/officeDocument/2006/relationships/hyperlink" Target="https://okdiario.com/okgreen/aragon-andalucia-intercambian-pollos-quebrantahuesos-asegurar-diversidad-genetica-12675373" TargetMode="External"/><Relationship Id="rId5050" Type="http://schemas.openxmlformats.org/officeDocument/2006/relationships/hyperlink" Target="https://www.guiarepsol.com/es/viajar/nos-gusta/tiendas-para-compras-en-pamplona/" TargetMode="External"/><Relationship Id="rId5053" Type="http://schemas.openxmlformats.org/officeDocument/2006/relationships/hyperlink" Target="https://elperiodicodelaenergia.com/repsol-cierra-financiacion-por-348-millones-para-impulsar-su-cartera-de-proyectos-renovables-en-espana/" TargetMode="External"/><Relationship Id="rId5054" Type="http://schemas.openxmlformats.org/officeDocument/2006/relationships/hyperlink" Target="https://www.finanzas.com/ibex-35/claves-para-cobrar-el-dividendo-de-0475e-de-repsol.html" TargetMode="External"/><Relationship Id="rId5051" Type="http://schemas.openxmlformats.org/officeDocument/2006/relationships/hyperlink" Target="https://www.guiarepsol.com/es/viajar/nos-gusta/ruta-belenes-sevilla/" TargetMode="External"/><Relationship Id="rId5052" Type="http://schemas.openxmlformats.org/officeDocument/2006/relationships/hyperlink" Target="https://dircomfidencial.com/marketing/repsol-adjudica-su-cuenta-de-medios-a-carat-20241219-0405/" TargetMode="External"/><Relationship Id="rId5057" Type="http://schemas.openxmlformats.org/officeDocument/2006/relationships/hyperlink" Target="https://www.estrategiasdeinversion.com/actualidad/dividendos/la-petrolera-repsol-pagara-un-dividendo-de-0475-n-772579" TargetMode="External"/><Relationship Id="rId5058" Type="http://schemas.openxmlformats.org/officeDocument/2006/relationships/hyperlink" Target="https://www.kippel01.com/empresa/repsol-incrementa-187-dividendo-respecto-ano-anterior" TargetMode="External"/><Relationship Id="rId5055" Type="http://schemas.openxmlformats.org/officeDocument/2006/relationships/hyperlink" Target="https://www.europapress.es/economia/noticia-repsol-adhiere-pacto-ia-union-europea-20241219124513.html" TargetMode="External"/><Relationship Id="rId5056" Type="http://schemas.openxmlformats.org/officeDocument/2006/relationships/hyperlink" Target="https://www.bolsamania.com/noticias/empresas/consejo-repsol-aprueba-dividendo-cuenta-petrolera-pagara-enero--18347009.html" TargetMode="External"/><Relationship Id="rId5059" Type="http://schemas.openxmlformats.org/officeDocument/2006/relationships/hyperlink" Target="https://www.diaridetarragona.com/deportes/acuerdo-repsol-nastic-tarragona-acto-oficial-nou-estadi-ME22409894" TargetMode="External"/><Relationship Id="rId5042" Type="http://schemas.openxmlformats.org/officeDocument/2006/relationships/hyperlink" Target="https://www.eleconomista.es/energia/noticias/13138822/12/24/el-fondo-de-litigios-king-street-prepara-una-demanda-contra-repsol-moeve-y-bp.html" TargetMode="External"/><Relationship Id="rId5043" Type="http://schemas.openxmlformats.org/officeDocument/2006/relationships/hyperlink" Target="https://elbierzo.eldiario.es/comarca/consorcio-ponfeblino-negociara-repsol-condiciona-apoyo-cambio-parques-renovables_1_11913482.html" TargetMode="External"/><Relationship Id="rId5040" Type="http://schemas.openxmlformats.org/officeDocument/2006/relationships/hyperlink" Target="https://www.expansion.com/empresas/energia/2024/12/18/6761ec02468aeb541d8b4593.html" TargetMode="External"/><Relationship Id="rId5041" Type="http://schemas.openxmlformats.org/officeDocument/2006/relationships/hyperlink" Target="https://www.interempresas.net/Estaciones-servicio/Articulos/580131-Repsol-un-nuevo-modelo-de-estacion-de-servicio-para-adaptarse-a-los-retos-del-futuro.html" TargetMode="External"/><Relationship Id="rId5046" Type="http://schemas.openxmlformats.org/officeDocument/2006/relationships/hyperlink" Target="https://www.expansion.com/podcasts/la-primera-de-expansion/2024/12/18/676260d2468aeb1c068b4570.html" TargetMode="External"/><Relationship Id="rId5047" Type="http://schemas.openxmlformats.org/officeDocument/2006/relationships/hyperlink" Target="https://www.diaridetarragona.com/economia/la-petroquimica-alerta-sobre-un-efecto-domino-si-prospera-el-impuestazo-HE22407202" TargetMode="External"/><Relationship Id="rId5044" Type="http://schemas.openxmlformats.org/officeDocument/2006/relationships/hyperlink" Target="https://www.guiarepsol.com/es/comer/vinos-y-bodegas/vinos-sin-alcohol-cocteles-sin-alcohol-destilados-sin-alcohol/" TargetMode="External"/><Relationship Id="rId5045" Type="http://schemas.openxmlformats.org/officeDocument/2006/relationships/hyperlink" Target="https://www.vozpopuli.com/economia/empresas/zasca-a-teresa-ribera-en-wall-street-repsol-ejemplo-de-transicion-energetica.html" TargetMode="External"/><Relationship Id="rId5048" Type="http://schemas.openxmlformats.org/officeDocument/2006/relationships/hyperlink" Target="https://www.guiarepsol.com/es/viajar/vamos-de-excursion/villanueva-de-los-infantes-ciudad-real/" TargetMode="External"/><Relationship Id="rId5049" Type="http://schemas.openxmlformats.org/officeDocument/2006/relationships/hyperlink" Target="https://www.eltiempo.com/economia/empresas/queremos-seguir-sumando-a-la-seguridad-energetica-de-colombia-andres-ocampo-ceo-de-geopark-3409293" TargetMode="External"/><Relationship Id="rId2800" Type="http://schemas.openxmlformats.org/officeDocument/2006/relationships/hyperlink" Target="https://www.elconfidencialdigital.com/articulo/politica/telefonica-bbva-repsol-tienen-decidido-abandonar-venezuela/20240802000000824926.html" TargetMode="External"/><Relationship Id="rId2801" Type="http://schemas.openxmlformats.org/officeDocument/2006/relationships/hyperlink" Target="https://www.guiarepsol.com/es/viajar/vamos-de-excursion/playa-fluvial-peloche-badajoz-extremadura/" TargetMode="External"/><Relationship Id="rId2802" Type="http://schemas.openxmlformats.org/officeDocument/2006/relationships/hyperlink" Target="https://cincodias.elpais.com/mercados-financieros/2024-04-22/la-bolsa-y-el-ibex-35-en-directo.html" TargetMode="External"/><Relationship Id="rId2803" Type="http://schemas.openxmlformats.org/officeDocument/2006/relationships/hyperlink" Target="https://www.estrategiasdeinversion.com/analisis/bolsa-y-mercados/informes/las-inversiones-de-espana-en-venezuela-telefonica-n-734855" TargetMode="External"/><Relationship Id="rId2804" Type="http://schemas.openxmlformats.org/officeDocument/2006/relationships/hyperlink" Target="https://www.guiarepsol.com/es/viajar/vamos-de-excursion/barranco-blanco-malaga-ruta-acuatica-andalucia-/" TargetMode="External"/><Relationship Id="rId2805" Type="http://schemas.openxmlformats.org/officeDocument/2006/relationships/hyperlink" Target="https://www.guiarepsol.com/es/viajar/vamos-de-excursion/ver-estrellas-castilla-la-mancha/" TargetMode="External"/><Relationship Id="rId2806" Type="http://schemas.openxmlformats.org/officeDocument/2006/relationships/hyperlink" Target="https://cincodias.elpais.com/mercados-financieros/2024-07-11/la-bolsa-y-el-ibex-35-en-directo.html" TargetMode="External"/><Relationship Id="rId2807" Type="http://schemas.openxmlformats.org/officeDocument/2006/relationships/hyperlink" Target="https://cincodias.elpais.com/mercados-financieros/2024-08-04/repsol-un-grupo-con-alto-atractivo-que-permanece-en-la-sombra.html" TargetMode="External"/><Relationship Id="rId2808" Type="http://schemas.openxmlformats.org/officeDocument/2006/relationships/hyperlink" Target="https://www.lne.es/economia/2024/08/03/repsol-suma-sector-eolico-asturias-106485840.html" TargetMode="External"/><Relationship Id="rId2809" Type="http://schemas.openxmlformats.org/officeDocument/2006/relationships/hyperlink" Target="https://www.epe.es/es/activos/20240803/son-joyas-ibex-35-arrancan-106469003" TargetMode="External"/><Relationship Id="rId5071" Type="http://schemas.openxmlformats.org/officeDocument/2006/relationships/hyperlink" Target="https://www.xataka.com/energia/se-acabo-impuesto-a-energeticas-gravamen-se-cae-congreso-peso-repsol-cataluna" TargetMode="External"/><Relationship Id="rId5072" Type="http://schemas.openxmlformats.org/officeDocument/2006/relationships/hyperlink" Target="https://www.diariodetransporte.com/articulo/general/faconauto-colabora-repsol-apoyar-damnificados-dana-que-adquieran-vehiculo-nuevo-usado/20241219175500098897.html" TargetMode="External"/><Relationship Id="rId5070" Type="http://schemas.openxmlformats.org/officeDocument/2006/relationships/hyperlink" Target="https://www.bolsamania.com/noticias/empresas/repsol-obtiene-prestamo-348-millones-cartera-renovables-espana--18350204.html" TargetMode="External"/><Relationship Id="rId5075" Type="http://schemas.openxmlformats.org/officeDocument/2006/relationships/hyperlink" Target="https://www.lanuevacronica.com/el-bierzo/consorcio-ponfeblino-acepta-hablar-con-repsol-sobre-futuras-colaboraciones-con-oposicion-paramo-sil_167539_102.html" TargetMode="External"/><Relationship Id="rId5076" Type="http://schemas.openxmlformats.org/officeDocument/2006/relationships/hyperlink" Target="https://www.infobierzo.com/bierzo-noticias/bembibre-iguena-noceda-repsol-proyecto-eolico-hidrogeno-verde-bierzo-alto_1019573_102.html" TargetMode="External"/><Relationship Id="rId5073" Type="http://schemas.openxmlformats.org/officeDocument/2006/relationships/hyperlink" Target="https://www.infobierzo.com/bierzo-noticias/proyectos-eolicos-repsol-urogallo-oso-pardo-alto-sil_1019496_102.html" TargetMode="External"/><Relationship Id="rId5074" Type="http://schemas.openxmlformats.org/officeDocument/2006/relationships/hyperlink" Target="https://www.eldiario.es/politica/ultima-hora-actualidad-politica-directo_6_11913929_1111618.html" TargetMode="External"/><Relationship Id="rId5079" Type="http://schemas.openxmlformats.org/officeDocument/2006/relationships/hyperlink" Target="https://www.guiarepsol.com/es/comer/en-el-mercado/dulces-navidenos-turrones-bombones-panettones-polvorones-mantecados/" TargetMode="External"/><Relationship Id="rId5077" Type="http://schemas.openxmlformats.org/officeDocument/2006/relationships/hyperlink" Target="https://es.investing.com/news/stock-market-news/repsol-pagara-en-enero-un-dividendo-bruto-de-0025-euros-por-los-resultados-de-2024-2956083" TargetMode="External"/><Relationship Id="rId5078" Type="http://schemas.openxmlformats.org/officeDocument/2006/relationships/hyperlink" Target="https://www.elcorreo.com/politica/tregua-esteban-belarra-cachorritos-repsol-20241219001639-nt.html" TargetMode="External"/><Relationship Id="rId5060" Type="http://schemas.openxmlformats.org/officeDocument/2006/relationships/hyperlink" Target="https://elbierzo.eldiario.es/comarca/junta-no-acepta-repsol-condicione-inversiones-ponfeblino-gobierno-le-apruebe-tres-parques-eolicos_1_11915255.html" TargetMode="External"/><Relationship Id="rId5061" Type="http://schemas.openxmlformats.org/officeDocument/2006/relationships/hyperlink" Target="https://www.posventa.info/texto-diario/mostrar/5113440/faconauto-colabora-repsol-apoyar-damnificados-dana" TargetMode="External"/><Relationship Id="rId5064" Type="http://schemas.openxmlformats.org/officeDocument/2006/relationships/hyperlink" Target="https://www.anuncios.com/cuentas/noticia/1186193014501/carat-gana-repsol.1.html" TargetMode="External"/><Relationship Id="rId5065" Type="http://schemas.openxmlformats.org/officeDocument/2006/relationships/hyperlink" Target="https://globalenergy.mx/noticias/repsol-asegura-348-mde-para-proyectos-renovables-en-espana/" TargetMode="External"/><Relationship Id="rId5062" Type="http://schemas.openxmlformats.org/officeDocument/2006/relationships/hyperlink" Target="https://www.larazon.es/economia/repsol-repartira_2024121967643ab7bc785b0001653cdc.html" TargetMode="External"/><Relationship Id="rId5063" Type="http://schemas.openxmlformats.org/officeDocument/2006/relationships/hyperlink" Target="https://www.guiarepsol.com/es/comer/en-el-mercado/casa-bernardi-bakery-benissa/" TargetMode="External"/><Relationship Id="rId5068" Type="http://schemas.openxmlformats.org/officeDocument/2006/relationships/hyperlink" Target="https://www.infobierzo.com/bierzo-noticias/junta-lamenta-repsol-condicione-inversiones-alto-sil-proyecto-eolico_1019691_102.html" TargetMode="External"/><Relationship Id="rId5069" Type="http://schemas.openxmlformats.org/officeDocument/2006/relationships/hyperlink" Target="https://www.europapress.es/motor/sector-00644/noticia-faconauto-colabora-repsol-apoyar-damnificados-dana-150-euros-repostaje-20241219113529.html" TargetMode="External"/><Relationship Id="rId5066" Type="http://schemas.openxmlformats.org/officeDocument/2006/relationships/hyperlink" Target="https://gimnasticdetarragona.cat/es/repsol-i-nastic-mes-duna-decada-compartint-sinergies/" TargetMode="External"/><Relationship Id="rId5067" Type="http://schemas.openxmlformats.org/officeDocument/2006/relationships/hyperlink" Target="https://bembibredigital.com/sociedad/84614-upl-bierzo-muestra-su-rechazo-ante-los-proyectos-eolicos-que-repsol-planea-en-la-sierra-de-gistredo-y-el-alto-sil" TargetMode="External"/><Relationship Id="rId1576" Type="http://schemas.openxmlformats.org/officeDocument/2006/relationships/hyperlink" Target="https://www.eleconomista.es/mercados-cotizaciones/noticias/12777507/04/24/la-cartera-incluye-en-el-radar-a-prosegur-y-la-espera-en-los-155-euros.html" TargetMode="External"/><Relationship Id="rId4602" Type="http://schemas.openxmlformats.org/officeDocument/2006/relationships/hyperlink" Target="https://www.elespanol.com/eldigitalcastillalamancha/vivir/gastro/20241122/restaurante-favorito-camioneros-toledo-menu-eur-aparece-guia-repsol-trt/903159812_0.html" TargetMode="External"/><Relationship Id="rId1577" Type="http://schemas.openxmlformats.org/officeDocument/2006/relationships/hyperlink" Target="https://www.expansion.com/empresas/2024/04/19/6622dbae468aebe94b8b4578.html" TargetMode="External"/><Relationship Id="rId4601" Type="http://schemas.openxmlformats.org/officeDocument/2006/relationships/hyperlink" Target="https://elcomercio.pe/deporte-total/futbol-peruano/semillero-repsol-futbol-femenino-as-tingo-vs-ciclista-lima-la-final-y-las-figuras-a-seguir-en-la-definicion-del-titulo-igma-sports-noticia/" TargetMode="External"/><Relationship Id="rId1578" Type="http://schemas.openxmlformats.org/officeDocument/2006/relationships/hyperlink" Target="https://www.eleconomista.es/energia/noticias/12777764/04/24/emiratos-gestionara-el-55-del-gas-en-espana-si-desembarca-en-naturgy.html" TargetMode="External"/><Relationship Id="rId4604" Type="http://schemas.openxmlformats.org/officeDocument/2006/relationships/hyperlink" Target="https://elcomercio.pe/deporte-total/futbol-peruano/quiero-jugar-en-el-barcelona-valentina-torrico-figura-del-semillero-repsol-y-el-sueno-que-muestra-por-que-el-futbol-femenino-en-el-peru-esta-cambiando-ciclista-lima-noticia/" TargetMode="External"/><Relationship Id="rId1579" Type="http://schemas.openxmlformats.org/officeDocument/2006/relationships/hyperlink" Target="https://www.lavanguardia.com/local/canarias/20240420/9599626/marea-humana-responde-calles-turismo-masas-canarias-limite.html" TargetMode="External"/><Relationship Id="rId4603" Type="http://schemas.openxmlformats.org/officeDocument/2006/relationships/hyperlink" Target="https://www.latribunadeciudadreal.es/noticia/z6f0733b8-0008-0249-52d7d41a9d4109a7/202411/premio-a-repsol-por-su-inversion-en-innovacion-y-tecnologia" TargetMode="External"/><Relationship Id="rId4606" Type="http://schemas.openxmlformats.org/officeDocument/2006/relationships/hyperlink" Target="https://www.lavozdegalicia.es/noticia/yes/2024/11/23/locales-gallegos-soletes-solera/0003_202411SY23P28991.htm" TargetMode="External"/><Relationship Id="rId4605" Type="http://schemas.openxmlformats.org/officeDocument/2006/relationships/hyperlink" Target="https://elcomercio.pe/deporte-total/futbol-peruano/semillero-repsol-futbol-femenino-queremos-formar-ninas-que-lleguen-a-ser-profesionales-ciclista-lima-uno-de-los-clubes-mas-antiguos-y-su-mision-en-el-futbol-femenino-con-el-semillero-el-comercio-como-puntapie-inicial-noticia/" TargetMode="External"/><Relationship Id="rId4608" Type="http://schemas.openxmlformats.org/officeDocument/2006/relationships/hyperlink" Target="https://www.eleconomista.es/mercados-cotizaciones/noticias/13100337/11/24/bbva-tiene-un-recorrido-del-20-hasta-el-precio-previo-a-lanzar-la-opa.html" TargetMode="External"/><Relationship Id="rId4607" Type="http://schemas.openxmlformats.org/officeDocument/2006/relationships/hyperlink" Target="https://www.elconfidencial.com/espana/comunidad-valenciana/2024-11-23/valencia-ruzafa-la-chata-ultramarinos-1qrt-1tna_4009451/" TargetMode="External"/><Relationship Id="rId4609" Type="http://schemas.openxmlformats.org/officeDocument/2006/relationships/hyperlink" Target="https://www.prensa-latina.cu/2024/11/23/nicaragua-saludo-a-presidente-de-venezuela-por-su-cumpleanos/" TargetMode="External"/><Relationship Id="rId987" Type="http://schemas.openxmlformats.org/officeDocument/2006/relationships/hyperlink" Target="https://www.elespanol.com/quincemil/vivir/gastrogalicia/20240305/restaurante-simpar-nuevo-sol-guia-repsol-santiago-compostela/837666816_0.html" TargetMode="External"/><Relationship Id="rId986" Type="http://schemas.openxmlformats.org/officeDocument/2006/relationships/hyperlink" Target="https://www.ondavasca.com/julen-bergantinos-islares-tras-recibir-un-sol-repsol-es-un-honor-te-coloca-en-el-podio-de-los-grandes-restaurantes/" TargetMode="External"/><Relationship Id="rId985" Type="http://schemas.openxmlformats.org/officeDocument/2006/relationships/hyperlink" Target="https://www.elespanol.com/cocinillas/actualidad-gastronomica/20240305/restaurante-aguilas-mejor-pescado-nuevos-soles-repsol-saborear-murcia/837416404_0.html" TargetMode="External"/><Relationship Id="rId984" Type="http://schemas.openxmlformats.org/officeDocument/2006/relationships/hyperlink" Target="https://www.eldiadecordoba.es/vivir-cordoba/restaurantes-recomendados-Guia-Repsol-Cordoba_0_1881414116.html" TargetMode="External"/><Relationship Id="rId989" Type="http://schemas.openxmlformats.org/officeDocument/2006/relationships/hyperlink" Target="https://lloretgaceta.com/el-studio66-entra-en-el-sistema-solar-de-la-prestigiosa-guia-repsol-donde-ya-son-cuatro-restaurantes-de-lloret/" TargetMode="External"/><Relationship Id="rId988" Type="http://schemas.openxmlformats.org/officeDocument/2006/relationships/hyperlink" Target="https://www.antena3.com/noticias/cultura/begona-rodriguez-nueva-tres-soles-repsol-hables-mirada-femenina-cocina-habla-sensibilidad_2024030565e75802d33103000129183c.html" TargetMode="External"/><Relationship Id="rId1570" Type="http://schemas.openxmlformats.org/officeDocument/2006/relationships/hyperlink" Target="https://www.eitb.eus/es/deportes/futbol/athletic/videos/detalle/9475527/jon-uriarte-nos-hemos-puesto-reto-de-pelear-por-champions-league/" TargetMode="External"/><Relationship Id="rId1571" Type="http://schemas.openxmlformats.org/officeDocument/2006/relationships/hyperlink" Target="https://www.guiarepsol.com/es/dormir/en-la-gloria/hotel-olom-cadiz/" TargetMode="External"/><Relationship Id="rId983" Type="http://schemas.openxmlformats.org/officeDocument/2006/relationships/hyperlink" Target="https://www.elperiodicoextremadura.com/caceres-local/2024/03/04/restaurante-cacereno-estrena-sol-repsol-99020581.html" TargetMode="External"/><Relationship Id="rId1572" Type="http://schemas.openxmlformats.org/officeDocument/2006/relationships/hyperlink" Target="https://forbes.es/lifestyle/448865/las-principales-promotoras-de-festivales-de-musica-de-espana-y-portugal-se-alian-con-repsol-para-reducir-su-huella-de-carbono/" TargetMode="External"/><Relationship Id="rId982" Type="http://schemas.openxmlformats.org/officeDocument/2006/relationships/hyperlink" Target="https://avilared.com/art/75131/barro-se-une-al-universo-guia-repsol-con-un-sol" TargetMode="External"/><Relationship Id="rId1573" Type="http://schemas.openxmlformats.org/officeDocument/2006/relationships/hyperlink" Target="https://www.bancaynegocios.com/gobernador-de-trujillo-repsol-invertira-400-millones-de-dolares-en-el-estado-para-aumentar-produccion-petrolera/" TargetMode="External"/><Relationship Id="rId981" Type="http://schemas.openxmlformats.org/officeDocument/2006/relationships/hyperlink" Target="https://www.elespanol.com/quincemil/vivir/gastrogalicia/20240305/restaurantes-galicia-reconocidos-soles-repsol/837666815_0.html" TargetMode="External"/><Relationship Id="rId1574" Type="http://schemas.openxmlformats.org/officeDocument/2006/relationships/hyperlink" Target="https://www.guiarepsol.com/es/comer/nuestros-favoritos/restaurante-la-era-de-los-nogales-sardas-huesca/" TargetMode="External"/><Relationship Id="rId4600" Type="http://schemas.openxmlformats.org/officeDocument/2006/relationships/hyperlink" Target="https://cronicaglobal.elespanol.com/gastronomia/20241122/el-madrid-repsol-en-guia-macarfi-especializado/903159730_0.html" TargetMode="External"/><Relationship Id="rId980" Type="http://schemas.openxmlformats.org/officeDocument/2006/relationships/hyperlink" Target="https://www.lacronicabadajoz.com/badajoz/2024/03/04/son-cuatro-restaurantes-badajoz-premiados-100021070.html" TargetMode="External"/><Relationship Id="rId1575" Type="http://schemas.openxmlformats.org/officeDocument/2006/relationships/hyperlink" Target="https://www.elespanol.com/deportes/motor/20240420/dakar-motogp-piezas-claves-implantacion-repsol-combustibles-renovables/846665327_0.html" TargetMode="External"/><Relationship Id="rId1565" Type="http://schemas.openxmlformats.org/officeDocument/2006/relationships/hyperlink" Target="https://www.athletic-club.eus/noticias/2024/04/19/petronor-y-repsol-se-convierten-en-los-partners-de-energia-del-athletic/" TargetMode="External"/><Relationship Id="rId2896" Type="http://schemas.openxmlformats.org/officeDocument/2006/relationships/hyperlink" Target="https://www.elconfidencial.com/sociedad/2024-08-12/motor-verde-sylvestris-repsol-hurdes-reforestacion-bra_3939243/" TargetMode="External"/><Relationship Id="rId1566" Type="http://schemas.openxmlformats.org/officeDocument/2006/relationships/hyperlink" Target="https://petronor.eus/es/2024/04/acuerdo-petronor-athletic-y-repsol/" TargetMode="External"/><Relationship Id="rId2897" Type="http://schemas.openxmlformats.org/officeDocument/2006/relationships/hyperlink" Target="https://www.marketingnews.es/investigacion/noticia/1184330031605/energia-a-toda-mecha.1.html" TargetMode="External"/><Relationship Id="rId1567" Type="http://schemas.openxmlformats.org/officeDocument/2006/relationships/hyperlink" Target="https://www.piensageotermia.com/repsol-earth-solutions-holding-sl-la-nueva-empresa-de-repsol-enfocada-en-geotermia-e-hidrogeno/" TargetMode="External"/><Relationship Id="rId2898" Type="http://schemas.openxmlformats.org/officeDocument/2006/relationships/hyperlink" Target="https://www.elespanol.com/cocinillas/actualidad-gastronomica/20240812/restaurante-salamanca-cenado-elsa-pataky-maxi-iglesias-tapas-tipicas-recomendado-guia-repsol/877662325_0.html" TargetMode="External"/><Relationship Id="rId1568" Type="http://schemas.openxmlformats.org/officeDocument/2006/relationships/hyperlink" Target="https://www.mondosonoro.com/noticias-actualidad-musical/repsol-huella-carbono/" TargetMode="External"/><Relationship Id="rId2899" Type="http://schemas.openxmlformats.org/officeDocument/2006/relationships/hyperlink" Target="https://www.boxrepsol.com/es/motogp/horarios-donde-ver-motogp-austria/" TargetMode="External"/><Relationship Id="rId1569" Type="http://schemas.openxmlformats.org/officeDocument/2006/relationships/hyperlink" Target="https://www.guiarepsol.com/es/comer/nuestros-favoritos/restaurante-via-veneto-barcelona/" TargetMode="External"/><Relationship Id="rId976" Type="http://schemas.openxmlformats.org/officeDocument/2006/relationships/hyperlink" Target="https://okdiario.com/coolthelifestyle/lifestyle/romantico-escondido-restaurante-madrid-premiado-2-soles-repsol-665565" TargetMode="External"/><Relationship Id="rId975" Type="http://schemas.openxmlformats.org/officeDocument/2006/relationships/hyperlink" Target="https://www.vocesdecuenca.com/cuenca/el-restaurante-casas-colgadas-galardonado-con-dos-soles-repsol/" TargetMode="External"/><Relationship Id="rId974" Type="http://schemas.openxmlformats.org/officeDocument/2006/relationships/hyperlink" Target="https://madridsecreto.co/nuevas-estrellas-repsol/" TargetMode="External"/><Relationship Id="rId973" Type="http://schemas.openxmlformats.org/officeDocument/2006/relationships/hyperlink" Target="https://elperiodicodevillena.com/el-restaurante-cisoria-consigue-un-sol-repsol/" TargetMode="External"/><Relationship Id="rId979" Type="http://schemas.openxmlformats.org/officeDocument/2006/relationships/hyperlink" Target="https://www.heraldo.es/noticias/gastronomia/2024/03/05/soles-repsol-aragon-2024-emocionante-noche-1716340.html" TargetMode="External"/><Relationship Id="rId978" Type="http://schemas.openxmlformats.org/officeDocument/2006/relationships/hyperlink" Target="https://www.ondacero.es/noticias/gastronomia/lloreria-nuevo-sol-repsol-madrid-asi-come-este-restaurante-chueca_2024030565e76103ab79d800017d047b.html" TargetMode="External"/><Relationship Id="rId977" Type="http://schemas.openxmlformats.org/officeDocument/2006/relationships/hyperlink" Target="https://www.elplural.com/oxigena2/gastro/begona-rodrigo-nueva-estrella-tres-soles-repsol_325802102" TargetMode="External"/><Relationship Id="rId2890" Type="http://schemas.openxmlformats.org/officeDocument/2006/relationships/hyperlink" Target="https://okdiario.com/okgreen/angel-leon-panal-hay-que-hablar-aun-mas-del-cambio-climatico-que-mensaje-cale-13302637" TargetMode="External"/><Relationship Id="rId1560" Type="http://schemas.openxmlformats.org/officeDocument/2006/relationships/hyperlink" Target="https://www.guiarepsol.com/es/comer/nuestros-favoritos/restaurante-el-duende-del-fuego-los-llanos/" TargetMode="External"/><Relationship Id="rId2891" Type="http://schemas.openxmlformats.org/officeDocument/2006/relationships/hyperlink" Target="https://www.infobae.com/espana/2024/08/11/el-restaurante-con-estrella-michelin-de-un-pueblo-de-mallorca-que-esta-en-hotel-historico-y-donde-utilizan-productos-de-su-propio-huerto/" TargetMode="External"/><Relationship Id="rId972" Type="http://schemas.openxmlformats.org/officeDocument/2006/relationships/hyperlink" Target="https://www.eleconomista.es/actualidad/noticias/12706914/03/24/-la-triunfadora-de-los-soles-repsol-2024-la-chef-begona-rodrigo-de-la-salita-en-valencia-nos-da-su-receta-de-exito.html" TargetMode="External"/><Relationship Id="rId1561" Type="http://schemas.openxmlformats.org/officeDocument/2006/relationships/hyperlink" Target="https://www.eleconomista.es/energia/noticias/12774866/04/24/petronor-impulsa-un-mercado-de-hidrogeno-renovable-europeo-junto-a-empresas-de-alemania-y-holanda.html" TargetMode="External"/><Relationship Id="rId2892" Type="http://schemas.openxmlformats.org/officeDocument/2006/relationships/hyperlink" Target="https://lahora.pe/bonos/bono-repsol-de-3000-soles-agosto-2024-esto-es-lo-ultimo-que-se-sabe-dp/" TargetMode="External"/><Relationship Id="rId971" Type="http://schemas.openxmlformats.org/officeDocument/2006/relationships/hyperlink" Target="https://www.lacomarcadepuertollano.com/articulo/puertollano/gerencia-puertollano-celebra-jornada-mujer-nina-ciencia-promover-vocacion-investigadora-escolares/20240305123530536139.html" TargetMode="External"/><Relationship Id="rId1562" Type="http://schemas.openxmlformats.org/officeDocument/2006/relationships/hyperlink" Target="https://www.laradiodelsur.com.ve/pdvsa-y-repsol-acuerdan-ampliar-la-explotacion-de-campos/" TargetMode="External"/><Relationship Id="rId2893" Type="http://schemas.openxmlformats.org/officeDocument/2006/relationships/hyperlink" Target="https://okdiario.com/economia/repsol-recupera-venezuela-como-proveedor-petroleo-medio-del-pucherazo-maduro-comicios-13298749" TargetMode="External"/><Relationship Id="rId970" Type="http://schemas.openxmlformats.org/officeDocument/2006/relationships/hyperlink" Target="https://infoleon.infobierzo.com/noticias-leon/soles-repsol-restaurantes-provincia-leon_1009133_102.html" TargetMode="External"/><Relationship Id="rId1563" Type="http://schemas.openxmlformats.org/officeDocument/2006/relationships/hyperlink" Target="https://primicia.com.ve/economia/pdvsa-y-repsol-firman-acuerdo-para-ampliar-extension-de-petroquiriquire/" TargetMode="External"/><Relationship Id="rId2894" Type="http://schemas.openxmlformats.org/officeDocument/2006/relationships/hyperlink" Target="https://serlajanda.com/la-guia-repsol-reconoce-la-gastronomia-de-barbate-con-6-nuevos-soletes/" TargetMode="External"/><Relationship Id="rId1564" Type="http://schemas.openxmlformats.org/officeDocument/2006/relationships/hyperlink" Target="https://www.eleconomista.com.mx/internacionales/Pese-a-nuevas-sanciones-al-petroleo-y-al-gas-de-Venezuela-EU-deja-ventanas-abiertas-20240418-0087.html" TargetMode="External"/><Relationship Id="rId2895" Type="http://schemas.openxmlformats.org/officeDocument/2006/relationships/hyperlink" Target="https://www.guiarepsol.com/es/comer/en-el-mercado/temporada-de-oregano-en-galicia/" TargetMode="External"/><Relationship Id="rId1598" Type="http://schemas.openxmlformats.org/officeDocument/2006/relationships/hyperlink" Target="https://www.eleconomista.es/mercados-cotizaciones/noticias/12780124/04/24/repsol-atacara-este-ano-los-margenes-de-beneficio-record-del-2022.html" TargetMode="External"/><Relationship Id="rId4624" Type="http://schemas.openxmlformats.org/officeDocument/2006/relationships/hyperlink" Target="https://www.elespanol.com/invertia/empresas/energia/20241125/cabra-repsol-ver-termina-embrollo-impuesto-energeticas-decidir-inversiones/903909679_0.html" TargetMode="External"/><Relationship Id="rId1599" Type="http://schemas.openxmlformats.org/officeDocument/2006/relationships/hyperlink" Target="https://www.marca.com/motor/motogp/gp-jerez/2024/04/23/6627cadf268e3ec80f8b45b2.html" TargetMode="External"/><Relationship Id="rId4623" Type="http://schemas.openxmlformats.org/officeDocument/2006/relationships/hyperlink" Target="https://www.libremercado.com/2024-11-25/repsol-vuelve-a-poner-en-pausa-las-inversiones-en-espana-por-el-impuestazo-de-sanchez-7190415/" TargetMode="External"/><Relationship Id="rId4626" Type="http://schemas.openxmlformats.org/officeDocument/2006/relationships/hyperlink" Target="https://www.epe.es/es/activos/20241125/repsol-impuesto-energeticas-inversiones-milmillonarias-espana-112020081" TargetMode="External"/><Relationship Id="rId4625" Type="http://schemas.openxmlformats.org/officeDocument/2006/relationships/hyperlink" Target="https://www.elnacional.cat/oneconomia/es/empresas/repsol-anuncia-sus-inversiones-siguen-espera-impuestazo_1323349_102.html" TargetMode="External"/><Relationship Id="rId4628" Type="http://schemas.openxmlformats.org/officeDocument/2006/relationships/hyperlink" Target="https://www.larazon.es/economia/repsol-avisa-mas-impuestos-implica-menos-inversion-espana_2024112567445b25488d69000107d71b.html" TargetMode="External"/><Relationship Id="rId4627" Type="http://schemas.openxmlformats.org/officeDocument/2006/relationships/hyperlink" Target="https://www.bolsamania.com/noticias/empresas/repsol-planes-inversion-espana-espera-impuesto--18167522.html" TargetMode="External"/><Relationship Id="rId4629" Type="http://schemas.openxmlformats.org/officeDocument/2006/relationships/hyperlink" Target="https://www.diaridetarragona.com/economia/repsol-vuelve-a-dejar-en-el-aire-sus-inversiones-JG22068313" TargetMode="External"/><Relationship Id="rId1590" Type="http://schemas.openxmlformats.org/officeDocument/2006/relationships/hyperlink" Target="https://www.guiarepsol.com/es/comer/nuestros-favoritos/restaurantes-de-cocina-japonesa-con-soles-guia-repsol/" TargetMode="External"/><Relationship Id="rId1591" Type="http://schemas.openxmlformats.org/officeDocument/2006/relationships/hyperlink" Target="https://www.interempresas.net/Estaciones-servicio/Articulos/559886-Petronor-y-Repsol-nuevos-socios-energeticos-del-Athletic-Club.html" TargetMode="External"/><Relationship Id="rId1592" Type="http://schemas.openxmlformats.org/officeDocument/2006/relationships/hyperlink" Target="https://castillalamancha.es/actualidad/notasdeprensa/castilla-la-mancha-bate-su-r%C3%A9cord-de-producci%C3%B3n-de-energ%C3%ADa-renovable-y-se-convierte-en-la-comunidad" TargetMode="External"/><Relationship Id="rId1593" Type="http://schemas.openxmlformats.org/officeDocument/2006/relationships/hyperlink" Target="https://www.guiarepsol.com/es/comer/nuestros-favoritos/restaurante-la-gaviota-barlovento-la-palma/" TargetMode="External"/><Relationship Id="rId1594" Type="http://schemas.openxmlformats.org/officeDocument/2006/relationships/hyperlink" Target="https://www.laverdad.es/murcia/hola-horizontal-20240421090712-nt.html" TargetMode="External"/><Relationship Id="rId4620" Type="http://schemas.openxmlformats.org/officeDocument/2006/relationships/hyperlink" Target="https://elcomercio.pe/deporte-total/futbol-peruano/entrenador-campeon-del-semillero-repsol-futbol-femenino-elogio-la-organizacion-del-certamen-no-buscamos-premios-o-medallas-sino-que-las-chicas-sean-conocidas-noticia/" TargetMode="External"/><Relationship Id="rId1595" Type="http://schemas.openxmlformats.org/officeDocument/2006/relationships/hyperlink" Target="https://aprensamalaga.com/sala-de-prensa/noticias/jornada-de-debate-fape-repsol-la-inteligencia-artificial-supondra-un-vuelco-total-en-la-forma-de-hacer-periodismo-20240422115785.html" TargetMode="External"/><Relationship Id="rId1596" Type="http://schemas.openxmlformats.org/officeDocument/2006/relationships/hyperlink" Target="https://www.infobae.com/espana/2024/04/22/el-restaurante-en-un-pueblo-de-cuenca-que-lleva-en-manos-de-la-misma-familia-tres-generaciones-y-que-esta-recomendado-por-la-guia-michelin/" TargetMode="External"/><Relationship Id="rId4622" Type="http://schemas.openxmlformats.org/officeDocument/2006/relationships/hyperlink" Target="https://ethic.es/2024/11/iberdrola-vs-repsol-un-juicio-que-va-mas-alla-de-los-tribunales/" TargetMode="External"/><Relationship Id="rId1597" Type="http://schemas.openxmlformats.org/officeDocument/2006/relationships/hyperlink" Target="https://www.losreplicantes.com/articulos/el-corte-ingles-abre-350-tiendas-espana/" TargetMode="External"/><Relationship Id="rId4621" Type="http://schemas.openxmlformats.org/officeDocument/2006/relationships/hyperlink" Target="https://elcomercio.pe/deporte-total/futbol-peruano/as-tingo-vs-ciclista-lima-en-vivo-transmision-de-la-final-del-semillero-repsol-futbol-femenino-noticia/" TargetMode="External"/><Relationship Id="rId1587" Type="http://schemas.openxmlformats.org/officeDocument/2006/relationships/hyperlink" Target="https://www.epe.es/es/reportajes/20240421/caso-sancho-rey-cachopo-documental-true-crime-101269204" TargetMode="External"/><Relationship Id="rId4613" Type="http://schemas.openxmlformats.org/officeDocument/2006/relationships/hyperlink" Target="https://www.diariovasco.com/especial/90urtezurekin/liga-economia-gipuzkoa-juega-mejores-debe-aspirar-20241124100516-nt.html" TargetMode="External"/><Relationship Id="rId1588" Type="http://schemas.openxmlformats.org/officeDocument/2006/relationships/hyperlink" Target="https://www.eleconomista.es/energia/noticias/12777778/04/24/repsol-y-el-corte-ingles-pactan-la-apertura-de-350-tiendas-stop-go-hasta-2028.html" TargetMode="External"/><Relationship Id="rId4612" Type="http://schemas.openxmlformats.org/officeDocument/2006/relationships/hyperlink" Target="https://cronicaglobal.elespanol.com/pensamiento/20241124/repsol-liquida-petrocat-red-gasolineras-impulsada-pujolismo/903539640_13.html" TargetMode="External"/><Relationship Id="rId1589" Type="http://schemas.openxmlformats.org/officeDocument/2006/relationships/hyperlink" Target="https://www.lavanguardia.com/economia/20240422/9600613/promotoras-mas-importantes-espana-alian-repsol-descarbonizar-77-festivales-musica.html" TargetMode="External"/><Relationship Id="rId4615" Type="http://schemas.openxmlformats.org/officeDocument/2006/relationships/hyperlink" Target="https://elcomercio.pe/deporte-total/futbol-peruano/balon-rosa-vs-ed-kairos-en-vivo-transmision-por-el-tercer-puesto-del-semillero-repsol-futbol-femenino-noticia/" TargetMode="External"/><Relationship Id="rId4614" Type="http://schemas.openxmlformats.org/officeDocument/2006/relationships/hyperlink" Target="https://www.motosan.es/motogp/bradl-se-retira-de-las-carreras-marquez-me-defendio/" TargetMode="External"/><Relationship Id="rId4617" Type="http://schemas.openxmlformats.org/officeDocument/2006/relationships/hyperlink" Target="https://elcomercio.pe/deporte-total/futbol-peruano/las-mejores-postales-de-la-fecha-final-del-semillero-repsol-futbol-femenino-noticia/" TargetMode="External"/><Relationship Id="rId4616" Type="http://schemas.openxmlformats.org/officeDocument/2006/relationships/hyperlink" Target="https://www.elespanol.com/invertia/empresas/energia/20241124/inversores-afinan-carteras-reactivacion-compras-ponen-ojo-eolica-hibridada/903160133_0.html" TargetMode="External"/><Relationship Id="rId4619" Type="http://schemas.openxmlformats.org/officeDocument/2006/relationships/hyperlink" Target="https://elcomercio.pe/deporte-total/futbol-peruano/repsol-y-el-balance-del-semillero-repsol-futbol-femenino-mas-que-buscar-triunfos-inmediatos-estamos-promoviendo-competir-con-esfuerzo-y-planificacion-noticia/" TargetMode="External"/><Relationship Id="rId4618" Type="http://schemas.openxmlformats.org/officeDocument/2006/relationships/hyperlink" Target="https://gestion.pe/economia/empresas/un-tanque-lleno-en-el-norte-los-siguiente-pasos-de-valero-peru-tras-nuevo-termina-combustibles-petroleo-repsol-terpel-inversion-privada-noticia/" TargetMode="External"/><Relationship Id="rId998" Type="http://schemas.openxmlformats.org/officeDocument/2006/relationships/hyperlink" Target="https://segoviaudaz.es/los-6-restaurantes-de-segovia-con-sol-de-la-guia-repsol/" TargetMode="External"/><Relationship Id="rId997" Type="http://schemas.openxmlformats.org/officeDocument/2006/relationships/hyperlink" Target="https://cadenaser.com/cmadrid/2024/03/05/los-restaurantes-chiron-valdemoro-y-la-trasiega-getafe-repiten-sus-soles-repsol-ser-madrid-sur/" TargetMode="External"/><Relationship Id="rId996" Type="http://schemas.openxmlformats.org/officeDocument/2006/relationships/hyperlink" Target="https://cadenaser.com/canarias/2024/03/05/12-soles-iluminan-la-gastronomia-de-gran-canaria-ser-las-palmas/" TargetMode="External"/><Relationship Id="rId995" Type="http://schemas.openxmlformats.org/officeDocument/2006/relationships/hyperlink" Target="https://www.diariodesevilla.es/vivirensevilla/soles-soletes-guia-repsol-sevilla-2024_0_1881712573.html" TargetMode="External"/><Relationship Id="rId999" Type="http://schemas.openxmlformats.org/officeDocument/2006/relationships/hyperlink" Target="https://cadenaser.com/andalucia/2024/03/05/la-provincia-de-jaen-suma-dos-soles-repsol-en-sus-restaurantes-radio-ubeda/" TargetMode="External"/><Relationship Id="rId990" Type="http://schemas.openxmlformats.org/officeDocument/2006/relationships/hyperlink" Target="https://www.infobierzo.com/bierzo-noticias/restaurantes-bierzo-sol-repsol_1009116_102.html" TargetMode="External"/><Relationship Id="rId1580" Type="http://schemas.openxmlformats.org/officeDocument/2006/relationships/hyperlink" Target="https://cronicavasca.elespanol.com/sociedad/20240420/el-mejor-de-euskadi-pesquero-bizkaia-delante/847915244_0.html" TargetMode="External"/><Relationship Id="rId1581" Type="http://schemas.openxmlformats.org/officeDocument/2006/relationships/hyperlink" Target="https://mundoobrero.es/2024/04/21/el-movimiento-ecologista-denuncia-a-repsol-por-greenwashing/" TargetMode="External"/><Relationship Id="rId1582" Type="http://schemas.openxmlformats.org/officeDocument/2006/relationships/hyperlink" Target="https://metropoliabierta.elespanol.com/gastro/20240421/los-mejores-bocadillos-de-barcelona-se-comen-en-este-bar-clasico-aparece-la-guia-repsol/849415080_0.html" TargetMode="External"/><Relationship Id="rId994" Type="http://schemas.openxmlformats.org/officeDocument/2006/relationships/hyperlink" Target="https://www.elespanol.com/madrid/ocio/20240305/bar-barrio-jovenes-chefs-ganado-sorpresa-sol-repsol-barra-triunfa-chueca/837416708_0.html" TargetMode="External"/><Relationship Id="rId1583" Type="http://schemas.openxmlformats.org/officeDocument/2006/relationships/hyperlink" Target="https://elpais.com/economia/negocios/2024-04-22/faine-quiere-deshacer-el-nudo-gordiano-de-naturgy.html" TargetMode="External"/><Relationship Id="rId993" Type="http://schemas.openxmlformats.org/officeDocument/2006/relationships/hyperlink" Target="https://hosteleriaenzamora.com/el-cuzeo-consigue-un-nuevo-sol-repsol-en-el-cielo-zamorano-donde-brillan-los-dos-soles-de-lera-y-el-ermitano/" TargetMode="External"/><Relationship Id="rId1584" Type="http://schemas.openxmlformats.org/officeDocument/2006/relationships/hyperlink" Target="https://www.epe.es/es/deportes/20240421/barcelona-real-madrid-clasicos-mas-goles-historia-dv-101328015" TargetMode="External"/><Relationship Id="rId992" Type="http://schemas.openxmlformats.org/officeDocument/2006/relationships/hyperlink" Target="https://www.granadahoy.com/vivir/Chechu-Gonzalez-Sol-Repsol-Maria-O-Granada_0_1881712721.html" TargetMode="External"/><Relationship Id="rId1585" Type="http://schemas.openxmlformats.org/officeDocument/2006/relationships/hyperlink" Target="https://www.laverdad.es/murcia/cartagena/empresa-auxiliar-carga-trabajo-cartagena-20240422010109-nt.html" TargetMode="External"/><Relationship Id="rId4611" Type="http://schemas.openxmlformats.org/officeDocument/2006/relationships/hyperlink" Target="https://www.huelvainformacion.es/destino-huelva/unico-restaurante-huelva-sol-guia_0_2002826162.html" TargetMode="External"/><Relationship Id="rId991" Type="http://schemas.openxmlformats.org/officeDocument/2006/relationships/hyperlink" Target="https://www.infoaguilas.es/post/restaurante-el-poli-de-aguilas-galardonado-con-uno-de-los-prestigiosos-soles-de-la-guia-repsol" TargetMode="External"/><Relationship Id="rId1586" Type="http://schemas.openxmlformats.org/officeDocument/2006/relationships/hyperlink" Target="https://cincodias.elpais.com/companias/2024-04-22/la-entrada-de-emiratos-en-naturgy-agiganta-la-huella-de-los-petrodolares-en-el-ibex.html" TargetMode="External"/><Relationship Id="rId4610" Type="http://schemas.openxmlformats.org/officeDocument/2006/relationships/hyperlink" Target="https://www.lavozdegalicia.es/noticia/coruna/2024/11/24/luz-verde-repsol-derribar-silos/0003_202411H24C1991.htm" TargetMode="External"/><Relationship Id="rId1532" Type="http://schemas.openxmlformats.org/officeDocument/2006/relationships/hyperlink" Target="https://www.eleconomista.es/energia/noticias/12771382/04/24/repsol-arranca-en-madrid-su-alianza-con-el-rey-del-jamon-enrique-tomas.html" TargetMode="External"/><Relationship Id="rId2863" Type="http://schemas.openxmlformats.org/officeDocument/2006/relationships/hyperlink" Target="https://www.guiarepsol.com/es/dormir/como-en-casa/aguamadera-agroturismo-ibiza/" TargetMode="External"/><Relationship Id="rId1533" Type="http://schemas.openxmlformats.org/officeDocument/2006/relationships/hyperlink" Target="https://elperiodicodelaenergia.com/repsol-crea-una-nueva-sociedad-para-sus-proyectos-de-geotermica-e-hidrogeno/" TargetMode="External"/><Relationship Id="rId2864" Type="http://schemas.openxmlformats.org/officeDocument/2006/relationships/hyperlink" Target="https://www.20minutos.es/lainformacion/empresas/masdar-lobby-europeo-hidrogeno-iberdrola-repsol-cepsa-bum-inversiones-5575391/" TargetMode="External"/><Relationship Id="rId1534" Type="http://schemas.openxmlformats.org/officeDocument/2006/relationships/hyperlink" Target="https://cronicaglobal.elespanol.com/business/20240416/repsol-gana-la-primera-batalla-guerra-iberdrola/848165284_0.html" TargetMode="External"/><Relationship Id="rId2865" Type="http://schemas.openxmlformats.org/officeDocument/2006/relationships/hyperlink" Target="https://www.repsol.com/es/energia-futuro/futuro-planeta/biomasa-recurso-reactivar-zonas-rurales/index.cshtml" TargetMode="External"/><Relationship Id="rId1535" Type="http://schemas.openxmlformats.org/officeDocument/2006/relationships/hyperlink" Target="https://www.diariodecadiz.es/cadizfornia/heladerias-Soletes-Guia-Repsol-Cadiz_0_1894012216.html" TargetMode="External"/><Relationship Id="rId2866" Type="http://schemas.openxmlformats.org/officeDocument/2006/relationships/hyperlink" Target="https://www.infobae.com/peru/2024/08/09/incendio-en-la-refineria-la-pampilla-en-ventanilla-personal-de-la-empresa-intenta-controlar-el-siniestro/" TargetMode="External"/><Relationship Id="rId1536" Type="http://schemas.openxmlformats.org/officeDocument/2006/relationships/hyperlink" Target="https://www.elnacional.cat/oneconomia/es/empresas/ecologistas-accion-cecu-greenpeace-denuncian-repsol-publicidad-enganosa_1197566_102.html" TargetMode="External"/><Relationship Id="rId2867" Type="http://schemas.openxmlformats.org/officeDocument/2006/relationships/hyperlink" Target="https://www.repsol.com/es/energia-futuro/futuro-planeta/biomasa-agroforestal-ganadera/index.cshtml" TargetMode="External"/><Relationship Id="rId1537" Type="http://schemas.openxmlformats.org/officeDocument/2006/relationships/hyperlink" Target="https://www.eldiario.es/sociedad/ecologistas-consumidores-denuncian-repsol-greenwashing_1_11292753.html" TargetMode="External"/><Relationship Id="rId2868" Type="http://schemas.openxmlformats.org/officeDocument/2006/relationships/hyperlink" Target="https://gestion.pe/economia/empresas/repsol-incendio-en-la-refineria-la-pampilla-ya-esta-controlado-ventanilla-noticia/" TargetMode="External"/><Relationship Id="rId1538" Type="http://schemas.openxmlformats.org/officeDocument/2006/relationships/hyperlink" Target="https://www.asambleanacional.gob.ve/noticias/legislativo-autoriza-extension-geografica-de-empresa-mixta-petroquiriquire" TargetMode="External"/><Relationship Id="rId2869" Type="http://schemas.openxmlformats.org/officeDocument/2006/relationships/hyperlink" Target="https://elcomercio.pe/lima/accidentes/incendio-la-refineria-la-pampilla-dos-heridos-ventanilla-repsol-callao-ultimas-noticia/" TargetMode="External"/><Relationship Id="rId1539" Type="http://schemas.openxmlformats.org/officeDocument/2006/relationships/hyperlink" Target="https://www.reasonwhy.es/actualidad/autocontrol-desestima-reclamacion-iberdrola-publicidad-enganosa-repsol" TargetMode="External"/><Relationship Id="rId949" Type="http://schemas.openxmlformats.org/officeDocument/2006/relationships/hyperlink" Target="https://www.lavozdigital.es/gurme/cadiz/lvdi-cadiz-deslumbra-tres-nuevos-soles-repsol-202403051206_noticia.html" TargetMode="External"/><Relationship Id="rId948" Type="http://schemas.openxmlformats.org/officeDocument/2006/relationships/hyperlink" Target="https://www.abc.es/espana/cataluna/restaurantes-cataluna-premiados-soles-guia-repsol-2024-20240305130644-nt.html" TargetMode="External"/><Relationship Id="rId943" Type="http://schemas.openxmlformats.org/officeDocument/2006/relationships/hyperlink" Target="https://www.abc.es/gurme/sevilla/sevi-como-senor-cangrejo-nuevo-repsol-sevilla-202403051025_noticia.html" TargetMode="External"/><Relationship Id="rId942" Type="http://schemas.openxmlformats.org/officeDocument/2006/relationships/hyperlink" Target="https://e-noticies.cat/es/actualidad/los-6-restaurantes-barcelona-premiados-con-3-soles-guia-repsol-2024" TargetMode="External"/><Relationship Id="rId941" Type="http://schemas.openxmlformats.org/officeDocument/2006/relationships/hyperlink" Target="https://sorianoticias.com/noticia/2024-03-05-soria-mantiene-sus-soles-repsol-estos-son-los-seis-establecimientos-que-mantienen-la-etiqueta-108731" TargetMode="External"/><Relationship Id="rId940" Type="http://schemas.openxmlformats.org/officeDocument/2006/relationships/hyperlink" Target="https://www.abc.es/espana/castilla-la-mancha/nuevos-soles-guia-repsol-2024-castillala-mancha-20240305111058-nt.html" TargetMode="External"/><Relationship Id="rId947" Type="http://schemas.openxmlformats.org/officeDocument/2006/relationships/hyperlink" Target="https://www.guiarepsol.com/es/soles-repsol/soles-2024/jefas-de-sala-soles-2024/" TargetMode="External"/><Relationship Id="rId946" Type="http://schemas.openxmlformats.org/officeDocument/2006/relationships/hyperlink" Target="https://www.abc.es/espana/madrid/restaurantes-madrid-premiados-soles-guia-repsol-2024-20240305132544-nt.html" TargetMode="External"/><Relationship Id="rId945" Type="http://schemas.openxmlformats.org/officeDocument/2006/relationships/hyperlink" Target="https://barcelonasecreta.com/soles-repsol-2024-barcelona/" TargetMode="External"/><Relationship Id="rId944" Type="http://schemas.openxmlformats.org/officeDocument/2006/relationships/hyperlink" Target="https://www.elespanol.com/treintayseis/vivir/gastrovigo/20240305/restaurantes-recomendados-guia-repsol-vigo/837666768_0.html" TargetMode="External"/><Relationship Id="rId2860" Type="http://schemas.openxmlformats.org/officeDocument/2006/relationships/hyperlink" Target="https://www.clarin.com/economia/juicio-estatizacion-ypf-fondo-gano-ahora-quiere-negociar-argentina_0_t55eoaEvv4.html" TargetMode="External"/><Relationship Id="rId1530" Type="http://schemas.openxmlformats.org/officeDocument/2006/relationships/hyperlink" Target="https://www.abc.es/economia/juicio-villarejo-exdirectivos-repsol-caixabank-celebrara-enero-20240416211229-nt.html" TargetMode="External"/><Relationship Id="rId2861" Type="http://schemas.openxmlformats.org/officeDocument/2006/relationships/hyperlink" Target="https://lahora.pe/bonos/bono-repsol-3000-soles-agosto-2024-consulta-todos-los-detalles-sobre-la-disponibilidad-de-este-beneficio-otorgado-por-la-compania-ru/" TargetMode="External"/><Relationship Id="rId1531" Type="http://schemas.openxmlformats.org/officeDocument/2006/relationships/hyperlink" Target="https://elpais.com/clima-y-medio-ambiente/cambio-climatico/2024-04-16/autocontrol-desestima-una-reclamacion-de-iberdrola-contra-repsol-por-publicidad-enganosa.html" TargetMode="External"/><Relationship Id="rId2862" Type="http://schemas.openxmlformats.org/officeDocument/2006/relationships/hyperlink" Target="https://biwenger.as.com/blog/repsol-reparte-100e-cada-jornada-para-los-10-mejores-en-su-liga-waylet-de-biwenger/" TargetMode="External"/><Relationship Id="rId1521" Type="http://schemas.openxmlformats.org/officeDocument/2006/relationships/hyperlink" Target="https://elcomercio.pe/lima/sucesos/denuncian-estafa-a-afectados-por-derrame-de-repsol-abogados-y-dirigentes-ofrecen-gestionar-indemnizacion-a-cambio-de-dinero-derrame-de-petroleo-ventanilla-lima-callao-noticia/" TargetMode="External"/><Relationship Id="rId2852" Type="http://schemas.openxmlformats.org/officeDocument/2006/relationships/hyperlink" Target="https://www.20minutos.es/lainformacion/empresas/iberdrola-endesa-naturgy-repsol-renovables-suministrar-luz-35-millones-hogares-5570829/" TargetMode="External"/><Relationship Id="rId1522" Type="http://schemas.openxmlformats.org/officeDocument/2006/relationships/hyperlink" Target="https://www.diariodevalderrueda.es/texto-diario/mostrar/4796674/popular-restaurante-unica-oceja-valdellorma-cerrara-no-encontrar-trabajadores" TargetMode="External"/><Relationship Id="rId2853" Type="http://schemas.openxmlformats.org/officeDocument/2006/relationships/hyperlink" Target="https://www.guiarepsol.com/es/comer/nuestros-favoritos/un-dia-con-yayo-daporta-por-cambados/" TargetMode="External"/><Relationship Id="rId1523" Type="http://schemas.openxmlformats.org/officeDocument/2006/relationships/hyperlink" Target="https://www.noticiasfides.com/economia/capitania-guarani-de-parapitiguasu-protesta-contra-repsol-y-amenaza-con-cerrar-valvulas-de-gas" TargetMode="External"/><Relationship Id="rId2854" Type="http://schemas.openxmlformats.org/officeDocument/2006/relationships/hyperlink" Target="https://www.guiarepsol.com/es/viajar/vamos-de-excursion/piscina-riosequillo-buitrago-del-lozoya/" TargetMode="External"/><Relationship Id="rId1524" Type="http://schemas.openxmlformats.org/officeDocument/2006/relationships/hyperlink" Target="https://www.lostiempos.com/actualidad/pais/20240415/evo-morales-su-ministro-hidrocarburos-le-mintieron-al-pais-mar-gas" TargetMode="External"/><Relationship Id="rId2855" Type="http://schemas.openxmlformats.org/officeDocument/2006/relationships/hyperlink" Target="https://www.elespanol.com/quincemil/deporte/otros-deportes/20240808/nacional-autocross-cita-arteixo-coruna-pilotos-fin-semana/876662657_0.html" TargetMode="External"/><Relationship Id="rId1525" Type="http://schemas.openxmlformats.org/officeDocument/2006/relationships/hyperlink" Target="https://climatica.coop/repsol-denuncia-consumidores-publicidad-enganosa/" TargetMode="External"/><Relationship Id="rId2856" Type="http://schemas.openxmlformats.org/officeDocument/2006/relationships/hyperlink" Target="https://www.vozpopuli.com/economia/valores-ibex-35-baratos-potencial-doble-digito.html" TargetMode="External"/><Relationship Id="rId1526" Type="http://schemas.openxmlformats.org/officeDocument/2006/relationships/hyperlink" Target="https://www.energias-renovables.com/bioenergia/la-cecu-y-los-ecologistas-denuncian-a-20240416" TargetMode="External"/><Relationship Id="rId2857" Type="http://schemas.openxmlformats.org/officeDocument/2006/relationships/hyperlink" Target="https://www.elnacional.cat/oneconomia/es/mercados/ibex-35-rojo-pierde-cota-10500-puntos_1265184_102.html" TargetMode="External"/><Relationship Id="rId1527" Type="http://schemas.openxmlformats.org/officeDocument/2006/relationships/hyperlink" Target="https://www.eldiario.es/economia/autocontrol-desestima-reclamacion-iberdrola-repsol-publicidad-enganosa_1_11293353.html" TargetMode="External"/><Relationship Id="rId2858" Type="http://schemas.openxmlformats.org/officeDocument/2006/relationships/hyperlink" Target="https://worldenergytrade.com/tripoli-ordena-el-arresto-del-ministro-libio-del-petroleo-por-cargos-de-corrupcion/" TargetMode="External"/><Relationship Id="rId1528" Type="http://schemas.openxmlformats.org/officeDocument/2006/relationships/hyperlink" Target="https://www.elsaltodiario.com/greenwashing/repsol-denunciada-cnmv-consumo-publicidad-enganosa" TargetMode="External"/><Relationship Id="rId2859" Type="http://schemas.openxmlformats.org/officeDocument/2006/relationships/hyperlink" Target="https://www.20minutos.es/motor/movilidad/riesgos-gasolina-deposito-low-cost-barata-mecanica-coche-5138288/" TargetMode="External"/><Relationship Id="rId1529" Type="http://schemas.openxmlformats.org/officeDocument/2006/relationships/hyperlink" Target="https://www.ecologistasenaccion.org/314608/cecu-ecologistas-en-accion-y-greenpeace-presentan-una-denuncia-contra-repsol-por-publicidad-enganosa/" TargetMode="External"/><Relationship Id="rId939" Type="http://schemas.openxmlformats.org/officeDocument/2006/relationships/hyperlink" Target="https://www.abc.es/gastronomia/mapa-restaurantes-soles-repsol-2024-20240305093255-nt.html" TargetMode="External"/><Relationship Id="rId938" Type="http://schemas.openxmlformats.org/officeDocument/2006/relationships/hyperlink" Target="https://www.europapress.es/cantabria/noticia-cantabria-suma-12-soles-guia-repsol-incorporacion-restaurante-pico-velasco-20240305094444.html" TargetMode="External"/><Relationship Id="rId937" Type="http://schemas.openxmlformats.org/officeDocument/2006/relationships/hyperlink" Target="https://www.laverdad.es/gastronomia/restaurantes-region-murcia-cuentan-sol-repsol-20240304203858-nt.html" TargetMode="External"/><Relationship Id="rId932" Type="http://schemas.openxmlformats.org/officeDocument/2006/relationships/hyperlink" Target="https://www.abc.es/gurme/cordoba/sevi-cordoba-alza-nuevos-soles-repsol-202403051117_noticia.html" TargetMode="External"/><Relationship Id="rId931" Type="http://schemas.openxmlformats.org/officeDocument/2006/relationships/hyperlink" Target="https://www.elconfidencial.com/motor/nueva-movilidad/2024-03-05/repsol-adif-av-puntos-carga-coche-electrico-estacion-tren-ave_3842340/" TargetMode="External"/><Relationship Id="rId930" Type="http://schemas.openxmlformats.org/officeDocument/2006/relationships/hyperlink" Target="https://www.traveler.es/articulos/soles-guia-repsol-2024-restaurantes-premiados" TargetMode="External"/><Relationship Id="rId936" Type="http://schemas.openxmlformats.org/officeDocument/2006/relationships/hyperlink" Target="https://sobremesa.es/art/6086/soles-repsol-y-premios-time-out-cada-vez-mas-influencia-premios-restaurantes" TargetMode="External"/><Relationship Id="rId935" Type="http://schemas.openxmlformats.org/officeDocument/2006/relationships/hyperlink" Target="https://www.diariovasco.com/gastronomia/restaurantes/restaurantes-soles-repsol-20240305094809-nt.html" TargetMode="External"/><Relationship Id="rId934" Type="http://schemas.openxmlformats.org/officeDocument/2006/relationships/hyperlink" Target="https://7televalencia.com/60-restaurantes-valecnianos-soles-repsol/" TargetMode="External"/><Relationship Id="rId933" Type="http://schemas.openxmlformats.org/officeDocument/2006/relationships/hyperlink" Target="https://www.elespanol.com/madrid/ocio/20240305/lista-nuevos-restaurantes-soles-repsol-comunidad-madrid/837416647_0.html" TargetMode="External"/><Relationship Id="rId2850" Type="http://schemas.openxmlformats.org/officeDocument/2006/relationships/hyperlink" Target="https://www.larazon.es/editoriales/caras-noticia-7-agosto-2024_2024080766b2a02db33dfc0001dd84fc.html" TargetMode="External"/><Relationship Id="rId1520" Type="http://schemas.openxmlformats.org/officeDocument/2006/relationships/hyperlink" Target="https://www.boxrepsol.com/es/vive-tu-moto/concentracion-motera-lago-sanabria/" TargetMode="External"/><Relationship Id="rId2851" Type="http://schemas.openxmlformats.org/officeDocument/2006/relationships/hyperlink" Target="https://www.economiadigital.es/tendenciashoy/gastronomia/cadiz-pueblo-restaurante-centenario.html" TargetMode="External"/><Relationship Id="rId1554" Type="http://schemas.openxmlformats.org/officeDocument/2006/relationships/hyperlink" Target="https://www.marketingdirecto.com/anunciantes-general/repsol-multienergia-principales-festivales-musica-peninsula" TargetMode="External"/><Relationship Id="rId2885" Type="http://schemas.openxmlformats.org/officeDocument/2006/relationships/hyperlink" Target="https://okdiario.com/okgreen/espana-tendra-que-dejar-importar-petroleo-13-paises-culpa-este-gas-13235449" TargetMode="External"/><Relationship Id="rId1555" Type="http://schemas.openxmlformats.org/officeDocument/2006/relationships/hyperlink" Target="https://dircomfidencial.com/rsc/las-principales-promotoras-de-festivales-de-musica-de-espana-se-alian-con-repsol-para-reducir-su-huella-de-carbono-20240418-1604/" TargetMode="External"/><Relationship Id="rId2886" Type="http://schemas.openxmlformats.org/officeDocument/2006/relationships/hyperlink" Target="https://www.elespanol.com/cocinillas/actualidad-gastronomica/20240811/mejores-bocadillos-fuengirola-llevarte-playa-guia-repsol-grandes-sabrosos/876912392_0.html" TargetMode="External"/><Relationship Id="rId1556" Type="http://schemas.openxmlformats.org/officeDocument/2006/relationships/hyperlink" Target="https://www.ecoavant.com/actualidad/denuncian-a-repsol-por-publicidad-enganosa_13288_102.html" TargetMode="External"/><Relationship Id="rId2887" Type="http://schemas.openxmlformats.org/officeDocument/2006/relationships/hyperlink" Target="https://www.infobae.com/espana/2024/08/12/el-restaurante-de-un-pueblo-recomendado-por-la-guia-michelin-que-se-especializa-en-productos-de-a-huerta-de-la-rioja/" TargetMode="External"/><Relationship Id="rId1557" Type="http://schemas.openxmlformats.org/officeDocument/2006/relationships/hyperlink" Target="https://www.guiarepsol.com/es/viajar/vamos-de-excursion/senda-de-izarbe-huesca/" TargetMode="External"/><Relationship Id="rId2888" Type="http://schemas.openxmlformats.org/officeDocument/2006/relationships/hyperlink" Target="https://www.diariosur.es/malaga/refugio-verde-crece-malaga-20240809000719-nt.html" TargetMode="External"/><Relationship Id="rId1558" Type="http://schemas.openxmlformats.org/officeDocument/2006/relationships/hyperlink" Target="https://www.europapress.es/economia/energia-00341/noticia-repsol-petrolera-venezolana-pdvsa-acuerdan-ampliar-colaboracion-empresa-mixta-venezuela-20240418132011.html" TargetMode="External"/><Relationship Id="rId2889" Type="http://schemas.openxmlformats.org/officeDocument/2006/relationships/hyperlink" Target="https://www.lavozdegalicia.es/noticia/mercados/2024/08/11/tres-factorias-sostienen-sello-verde-carburantes-galicia/0003_202408SM11P3991.htm" TargetMode="External"/><Relationship Id="rId1559" Type="http://schemas.openxmlformats.org/officeDocument/2006/relationships/hyperlink" Target="https://www.bancaynegocios.com/pdvsa-y-repsol-firman-acuerdo-de-ampliacion-geografica-de-petroquiriquire/" TargetMode="External"/><Relationship Id="rId965" Type="http://schemas.openxmlformats.org/officeDocument/2006/relationships/hyperlink" Target="https://www.eldiario.es/murcia/cultura/esferas-ceramica-estrellas-cocina-paparajota-gala-soles-guia-repsol-2024-imagenes_3_10983110.html" TargetMode="External"/><Relationship Id="rId964" Type="http://schemas.openxmlformats.org/officeDocument/2006/relationships/hyperlink" Target="https://www.elespanol.com/quincemil/vivir/gastrogalicia/20240305/restaurantes-santiago-compostela-recomendados-guia-repsol/837666792_0.html" TargetMode="External"/><Relationship Id="rId963" Type="http://schemas.openxmlformats.org/officeDocument/2006/relationships/hyperlink" Target="https://efe.com/cultura/2024-03-05/mas-de-100-soles-repsol-brillan-en-madrid/" TargetMode="External"/><Relationship Id="rId962" Type="http://schemas.openxmlformats.org/officeDocument/2006/relationships/hyperlink" Target="https://ileon.eldiario.es/sociedad-y-vida/guia-repsol-sube-tres-restaurantes-leoneses-reconocidos-soles_1_10980259.html" TargetMode="External"/><Relationship Id="rId969" Type="http://schemas.openxmlformats.org/officeDocument/2006/relationships/hyperlink" Target="https://www.diariodenavarra.es/noticias/vivir/gastronomia/2024/03/04/son-19-restaurantes-navarros-mantienen-soles-repsol-600941-3192.html" TargetMode="External"/><Relationship Id="rId968" Type="http://schemas.openxmlformats.org/officeDocument/2006/relationships/hyperlink" Target="https://www.elfielato.es/articulo/turismo/nuevos-soles-repsol-asturianos-restaurantes-oriente/20240305101500060127.html" TargetMode="External"/><Relationship Id="rId967" Type="http://schemas.openxmlformats.org/officeDocument/2006/relationships/hyperlink" Target="https://elpirineoaragones.com/2024/03/05/la-era-de-los-nogales-de-sardas-se-convierte-en-el-restaurante-mas-pequeno-de-espana-en-lucir-un-sol-de-la-guia-repsol/" TargetMode="External"/><Relationship Id="rId966" Type="http://schemas.openxmlformats.org/officeDocument/2006/relationships/hyperlink" Target="http://eldiario.es/" TargetMode="External"/><Relationship Id="rId2880" Type="http://schemas.openxmlformats.org/officeDocument/2006/relationships/hyperlink" Target="https://www.eleconomista.es/mercados-cotizaciones/noticias/12943560/08/24/siete-valores-del-ibex-que-se-abaratan-en-el-ano-con-recomendacion-de-compra.html" TargetMode="External"/><Relationship Id="rId961" Type="http://schemas.openxmlformats.org/officeDocument/2006/relationships/hyperlink" Target="https://www.eldiadecordoba.es/vivir-cordoba/Javier-Campos-Sol-Repsol-Cordoba_0_1881713488.html" TargetMode="External"/><Relationship Id="rId1550" Type="http://schemas.openxmlformats.org/officeDocument/2006/relationships/hyperlink" Target="https://www.interempresas.net/Estaciones-servicio/Articulos/559668-Enrique-Tomas-Rey-del-Jamon-se-une-a-Repsol.html" TargetMode="External"/><Relationship Id="rId2881" Type="http://schemas.openxmlformats.org/officeDocument/2006/relationships/hyperlink" Target="https://www.infobae.com/espana/2024/08/11/el-bar-mas-antiguo-de-caceres-abierto-desde-1961-y-especializado-en-plancha/" TargetMode="External"/><Relationship Id="rId960" Type="http://schemas.openxmlformats.org/officeDocument/2006/relationships/hyperlink" Target="https://www.diariodemallorca.es/sociedad/2024/03/05/restaurantes-guia-repsol-mallorca-99050123.html" TargetMode="External"/><Relationship Id="rId1551" Type="http://schemas.openxmlformats.org/officeDocument/2006/relationships/hyperlink" Target="https://intereconomia.com/noticia/empresas/reves-para-repsol-en-venezuela-ee-uu-restaura-las-sanciones-al-petroleo-20240418-0038/" TargetMode="External"/><Relationship Id="rId2882" Type="http://schemas.openxmlformats.org/officeDocument/2006/relationships/hyperlink" Target="https://okdiario.com/okgreen/arenal-sound-reduce-huella-carbono-gracias-combustible-100-renovable-13288758" TargetMode="External"/><Relationship Id="rId1552" Type="http://schemas.openxmlformats.org/officeDocument/2006/relationships/hyperlink" Target="https://www.europapress.es/economia/noticia-repsol-entra-musica-acuerdo-suministrar-multienergia-descarbonizar-festivales-20240418122746.html" TargetMode="External"/><Relationship Id="rId2883" Type="http://schemas.openxmlformats.org/officeDocument/2006/relationships/hyperlink" Target="https://www.eleconomista.es/mercados-cotizaciones/noticias/12943706/08/24/la-cartera-todavia-ofrece-casi-10-puntos-mas-de-potencial-que-el-ibex.html" TargetMode="External"/><Relationship Id="rId1553" Type="http://schemas.openxmlformats.org/officeDocument/2006/relationships/hyperlink" Target="https://elperiodicodelaenergia.com/pdvsa-repsol-acuerdan-ampliar-explotacion-campos-empresa-petrolera-conjunta/" TargetMode="External"/><Relationship Id="rId2884" Type="http://schemas.openxmlformats.org/officeDocument/2006/relationships/hyperlink" Target="https://okdiario.com/okgreen/esta-comunidad-espanola-que-lidera-generacion-energia-limpia-junto-noruega-13302438" TargetMode="External"/><Relationship Id="rId1543" Type="http://schemas.openxmlformats.org/officeDocument/2006/relationships/hyperlink" Target="https://www.guiarepsol.com/es/viajar/vamos-de-excursion/excursion-por-fontanales-y-valleseco-norte-de-gran-canaria/" TargetMode="External"/><Relationship Id="rId2874" Type="http://schemas.openxmlformats.org/officeDocument/2006/relationships/hyperlink" Target="https://www.tvperu.gob.pe/noticias/locales/incendio-en-refineria-la-pampilla-en-vivo-personal-intenta-controlar-el-siniestro" TargetMode="External"/><Relationship Id="rId1544" Type="http://schemas.openxmlformats.org/officeDocument/2006/relationships/hyperlink" Target="https://ultimasnoticias.com.ve/economia/repsol-y-pdvsa-firman-acuerdo-de-extension-geografica-petroquiriquire/" TargetMode="External"/><Relationship Id="rId2875" Type="http://schemas.openxmlformats.org/officeDocument/2006/relationships/hyperlink" Target="https://www.expreso.com.pe/actualidad/incendio-en-refineria-la-pampilla-en-ventanilla-moviliza-a-bomberos-se-activa-plan-de-contingencia-repsol-callao-noticia/1122616/" TargetMode="External"/><Relationship Id="rId1545" Type="http://schemas.openxmlformats.org/officeDocument/2006/relationships/hyperlink" Target="https://www.elespanol.com/reportajes/20240417/mellado-ia-traera-despidos-periodistas-permitira-regreso-mejor-periodismo/848165712_0.html" TargetMode="External"/><Relationship Id="rId2876" Type="http://schemas.openxmlformats.org/officeDocument/2006/relationships/hyperlink" Target="https://andina.pe/agencia/noticia-incendio-ventanilla-emergencia-dentro-refinaria-pampilla-ha-sido-controlada-996307.aspx" TargetMode="External"/><Relationship Id="rId1546" Type="http://schemas.openxmlformats.org/officeDocument/2006/relationships/hyperlink" Target="https://motorcyclesports.net/es/luca-marini-en-una-serie-sin-precedentes-de-resultados-negativos/" TargetMode="External"/><Relationship Id="rId2877" Type="http://schemas.openxmlformats.org/officeDocument/2006/relationships/hyperlink" Target="https://larepublica.pe/sociedad/2024/08/09/ventanilla-se-registra-un-incendio-en-el-interior-de-la-refineria-de-petroleo-la-pampilla-repsol-165843" TargetMode="External"/><Relationship Id="rId1547" Type="http://schemas.openxmlformats.org/officeDocument/2006/relationships/hyperlink" Target="https://regalosymuestrasgratis.com/consigue-unas-gafas-sun-planet-a-solo-795e-o-1-305-puntos-en-repsol.html" TargetMode="External"/><Relationship Id="rId2878" Type="http://schemas.openxmlformats.org/officeDocument/2006/relationships/hyperlink" Target="https://okdiario.com/economia/chantaje-senor-guerra-libio-espana-ordena-cerrar-yacimiento-clave-repsol-13302961" TargetMode="External"/><Relationship Id="rId1548" Type="http://schemas.openxmlformats.org/officeDocument/2006/relationships/hyperlink" Target="https://venezuela-news.com/pdvsa-firma-acuerdo-repsol-ampliar-extension-empresa-mixta-petroquiriquire/" TargetMode="External"/><Relationship Id="rId2879" Type="http://schemas.openxmlformats.org/officeDocument/2006/relationships/hyperlink" Target="https://www.finanzas.com/ibex-35/unicaja-doblara-sus-dividendos-y-rozara-una-rentabilidad-del-8-por-ciento.html" TargetMode="External"/><Relationship Id="rId1549" Type="http://schemas.openxmlformats.org/officeDocument/2006/relationships/hyperlink" Target="https://www.repsol.com/es/sala-prensa/notas-prensa/2024/repsol-lleva-multienergia-principales-festivales-musica-espana-portugal/index.cshtml" TargetMode="External"/><Relationship Id="rId959" Type="http://schemas.openxmlformats.org/officeDocument/2006/relationships/hyperlink" Target="https://valenciasecreta.com/la-salita-3-soles/" TargetMode="External"/><Relationship Id="rId954" Type="http://schemas.openxmlformats.org/officeDocument/2006/relationships/hyperlink" Target="https://www.abc.es/gurme/malaga/sevi-palodu-y-areia-marbella-nuevos-soles-repsol-iluminan-hosteleria-malaguena-202403051258_noticia.html" TargetMode="External"/><Relationship Id="rId953" Type="http://schemas.openxmlformats.org/officeDocument/2006/relationships/hyperlink" Target="https://www.elperiodico.com/es/cata-mayor/actualidad-gastronomica/20240305/nuevos-soles-guia-repsol-2024-restaurantes-99031144" TargetMode="External"/><Relationship Id="rId952" Type="http://schemas.openxmlformats.org/officeDocument/2006/relationships/hyperlink" Target="https://www.elespanol.com/treintayseis/vivir/gastropontevedra/20240305/restaurantes-recomendados-guia-repsol-pontevedra/837666755_0.html" TargetMode="External"/><Relationship Id="rId951" Type="http://schemas.openxmlformats.org/officeDocument/2006/relationships/hyperlink" Target="https://www.larazon.es/galicia/galicia-suma-6-nuevos-soles-repsol_2024030565e6e36aab79d800017b5c3b.html" TargetMode="External"/><Relationship Id="rId958" Type="http://schemas.openxmlformats.org/officeDocument/2006/relationships/hyperlink" Target="https://www.jaenhoy.es/jaen/restaurantes-Jaen-Soles-guia-Repsol-Almoroje-Siles-Malak-capital-Juan-Jurado-Alejandro-Ramirez_0_1881712001.html" TargetMode="External"/><Relationship Id="rId957" Type="http://schemas.openxmlformats.org/officeDocument/2006/relationships/hyperlink" Target="https://vivabarbate.es/barbate/1581684/los-soles-soletes-y-recomendaciones-de-la-guia-repsol-en-barbate-zahara-vejer-y-conil/" TargetMode="External"/><Relationship Id="rId956" Type="http://schemas.openxmlformats.org/officeDocument/2006/relationships/hyperlink" Target="https://www.marbella24horas.es/local/marbella-alcanza-los-nueve-soles-repsol-al-sumar-una-nueva-distincion-37455" TargetMode="External"/><Relationship Id="rId955" Type="http://schemas.openxmlformats.org/officeDocument/2006/relationships/hyperlink" Target="https://elterrat.com/noticia/silvia-abril-conduce-de-nuevo-la-gala-de-los-soles-guia-repsol/" TargetMode="External"/><Relationship Id="rId950" Type="http://schemas.openxmlformats.org/officeDocument/2006/relationships/hyperlink" Target="https://www.eldiario.es/canariasahora/lapalmaahora/sociedad/restaurantes-casa-osmunda-brena-alta-sitio-tazacorte-logran-sol-guia-repsol-2024_1_10980354.html" TargetMode="External"/><Relationship Id="rId2870" Type="http://schemas.openxmlformats.org/officeDocument/2006/relationships/hyperlink" Target="https://www.guiarepsol.com/es/comer/nuestros-favoritos/sevilla-azoteas-verano/" TargetMode="External"/><Relationship Id="rId1540" Type="http://schemas.openxmlformats.org/officeDocument/2006/relationships/hyperlink" Target="https://www.infolibre.es/medioambiente/estudio-calcula-repsol-importado-cinco-anos-530-000-toneladas-aceite-palma-acelerando-deforestacion-indonesia_1_1768191.html" TargetMode="External"/><Relationship Id="rId2871" Type="http://schemas.openxmlformats.org/officeDocument/2006/relationships/hyperlink" Target="https://www.peru-retail.com/incendio-en-la-pampilla-dos-heridos-deja-siniestro-en-refineria-de-repsol-en-ventanilla/" TargetMode="External"/><Relationship Id="rId1541" Type="http://schemas.openxmlformats.org/officeDocument/2006/relationships/hyperlink" Target="https://www.apmadrid.es/el-primer-debate-del-ciclo-fape-repsol-concluye-que-la-ia-supondra-un-vuelco-total-en-la-forma-de-hacer-periodismo/" TargetMode="External"/><Relationship Id="rId2872" Type="http://schemas.openxmlformats.org/officeDocument/2006/relationships/hyperlink" Target="https://rpp.pe/peru/callao/alarma-en-ventanilla-incendio-se-registra-en-la-refineria-la-pampilla-noticia-1575414" TargetMode="External"/><Relationship Id="rId1542" Type="http://schemas.openxmlformats.org/officeDocument/2006/relationships/hyperlink" Target="https://www.marca.com/coches-y-motos/tecnologia/2024/04/17/661d0641e2704e65678b45b9.html" TargetMode="External"/><Relationship Id="rId2873" Type="http://schemas.openxmlformats.org/officeDocument/2006/relationships/hyperlink" Target="https://andina.pe/agencia/noticia-ventanilla-incendio-refineria-pampilla-deja-dos-heridos-996326.aspx" TargetMode="External"/><Relationship Id="rId2027" Type="http://schemas.openxmlformats.org/officeDocument/2006/relationships/hyperlink" Target="https://www.maracaibo.gob.ve/centro-de-diagnostico-medico-de-maracaibo-estrena-salon-de-usos-multiples-y-comedor-gracias-a-repsol-venezuela/" TargetMode="External"/><Relationship Id="rId3359" Type="http://schemas.openxmlformats.org/officeDocument/2006/relationships/hyperlink" Target="https://www.malagahoy.es/la-farola/restaurantes-jovenes-malaga-enamoran-guia-repsol_0_2002422227.html" TargetMode="External"/><Relationship Id="rId2028" Type="http://schemas.openxmlformats.org/officeDocument/2006/relationships/hyperlink" Target="https://www.guiarepsol.com/es/comer/nuestros-favoritos/ultramarinos-pope-el-nuevo-colmado-bar-en-valencia/" TargetMode="External"/><Relationship Id="rId3358" Type="http://schemas.openxmlformats.org/officeDocument/2006/relationships/hyperlink" Target="https://elperiodicodelaenergia.com/grenergy-adquiere-a-repsol-e-ibereolica-una-cartera-solar-de-1gw-por-114-millones-de-euros/" TargetMode="External"/><Relationship Id="rId4689" Type="http://schemas.openxmlformats.org/officeDocument/2006/relationships/hyperlink" Target="https://www.larazon.es/economia/repsol-vende-dos-activos-colombia-geopark-500-millones-euros_2024112967497f9985d24c0001ca3241.html" TargetMode="External"/><Relationship Id="rId2029" Type="http://schemas.openxmlformats.org/officeDocument/2006/relationships/hyperlink" Target="https://www.elespanol.com/treintayseis/cultura/conoce-pontevedra/20240601/cangas-sanxenxo-pueblo-costero-desconocido-pontevedra-sabido-preservar-singularidad/859414510_0.html" TargetMode="External"/><Relationship Id="rId107" Type="http://schemas.openxmlformats.org/officeDocument/2006/relationships/hyperlink" Target="https://elperiodicodelaenergia.com/repsol-destina-150-millones-mejoras-area-quimica-tarragona-durante-parada-programada/" TargetMode="External"/><Relationship Id="rId106" Type="http://schemas.openxmlformats.org/officeDocument/2006/relationships/hyperlink" Target="https://www.guiarepsol.com/es/viajar/nos-gusta/donde-ver-las-obras-de-eduardo-chillida-en-madrid/" TargetMode="External"/><Relationship Id="rId105" Type="http://schemas.openxmlformats.org/officeDocument/2006/relationships/hyperlink" Target="https://www.heraldo.es/noticias/nacional/2024/01/10/playas-tarragona-pellets-gigantes-plastico-1702959.html" TargetMode="External"/><Relationship Id="rId104" Type="http://schemas.openxmlformats.org/officeDocument/2006/relationships/hyperlink" Target="https://metropoliabierta.elespanol.com/gastro/20240110/ocho-restaurantes-para-desayunar-de-cuchillo-tenedor-en-barcelona-recomendados-por-la-guia-repsol/823917642_0.html" TargetMode="External"/><Relationship Id="rId109" Type="http://schemas.openxmlformats.org/officeDocument/2006/relationships/hyperlink" Target="https://elmon.cat/moneconomia/es/empresas/repsol-invirtiera-150-millones-planta-quimica-tarragona-parada-programada-49251/" TargetMode="External"/><Relationship Id="rId4680" Type="http://schemas.openxmlformats.org/officeDocument/2006/relationships/hyperlink" Target="https://es.investing.com/analysis/analisis-tecnico-de-telefonica-puig-solaria-naturgy-repsol-redeia-sacyr-200473992" TargetMode="External"/><Relationship Id="rId108" Type="http://schemas.openxmlformats.org/officeDocument/2006/relationships/hyperlink" Target="https://www.diarimes.com/es/tarragona/240111/repsol-invertira-150-meur-parada-planta-quimica-derivada-durara-52-dies_139019.html" TargetMode="External"/><Relationship Id="rId3351" Type="http://schemas.openxmlformats.org/officeDocument/2006/relationships/hyperlink" Target="https://www.boxrepsol.com/en/motogp-en/resultados-de-la-carrera-sprint-del-gp-de-la-emilia-romagna-de-motogp-2024/" TargetMode="External"/><Relationship Id="rId4682" Type="http://schemas.openxmlformats.org/officeDocument/2006/relationships/hyperlink" Target="https://www.cronista.com/espana/viajes-recetas/donde-comer-en-triana-el-restaurante-que-cautiva-con-sus-deliciosos-mariscos-y-cuenta-con-un-sol-de-la-guia-repsol/" TargetMode="External"/><Relationship Id="rId2020" Type="http://schemas.openxmlformats.org/officeDocument/2006/relationships/hyperlink" Target="https://www.eleconomista.es/energia/noticias/12831037/05/24/repsol-emplea-a-mas-de-25000-personas-de-77-nacionalidades.html" TargetMode="External"/><Relationship Id="rId3350" Type="http://schemas.openxmlformats.org/officeDocument/2006/relationships/hyperlink" Target="https://www.eleconomista.es/mercados-cotizaciones/noticias/12996540/09/24/la-doble-posicion-de-repsol-deja-un-nuevo-precio-de-equilibrio-en-1275-euros.html" TargetMode="External"/><Relationship Id="rId4681" Type="http://schemas.openxmlformats.org/officeDocument/2006/relationships/hyperlink" Target="https://www.mundodeportivo.com/motor/rally-dakar/20241128/1002361010/isidre-esteve-afronta-maxima-ilusion-20-dakar-10-coche.html" TargetMode="External"/><Relationship Id="rId2021" Type="http://schemas.openxmlformats.org/officeDocument/2006/relationships/hyperlink" Target="https://www.eldiadevalladolid.com/noticia/z10e76ccf-cfee-fb20-bc276ca7841211ae/202405/dos-colegios-de-valladolid-premiados-por-repsol" TargetMode="External"/><Relationship Id="rId3353" Type="http://schemas.openxmlformats.org/officeDocument/2006/relationships/hyperlink" Target="https://www.huleymantel.com/menu-dia/chef-artur-martinez-aurt-es-galardonado-como-cocinero-responsable-por-movimiento-slow-food_102383_102.html" TargetMode="External"/><Relationship Id="rId4684" Type="http://schemas.openxmlformats.org/officeDocument/2006/relationships/hyperlink" Target="https://elperiodicodelaenergia.com/solarprofit-se-alia-con-solar360-para-desarrollar-su-negocio-de-autoconsumo/" TargetMode="External"/><Relationship Id="rId2022" Type="http://schemas.openxmlformats.org/officeDocument/2006/relationships/hyperlink" Target="https://www.caranddriver.com/es/coches/planeta-motor/a60956645/nissan-ariya-oferta/" TargetMode="External"/><Relationship Id="rId3352" Type="http://schemas.openxmlformats.org/officeDocument/2006/relationships/hyperlink" Target="https://cincodias.elpais.com/mercados-financieros/2024-09-22/el-precio-del-crudo-pone-a-prueba-la-generosidad-de-las-petroleras.html" TargetMode="External"/><Relationship Id="rId4683" Type="http://schemas.openxmlformats.org/officeDocument/2006/relationships/hyperlink" Target="https://www.larazon.es/lr-content/como-encontrar-empleo-2025_2024112867443cc9d43601000155ad55.html" TargetMode="External"/><Relationship Id="rId103" Type="http://schemas.openxmlformats.org/officeDocument/2006/relationships/hyperlink" Target="https://www.eleconomista.es/actualidad/noticias/12617040/01/24/repsol-y-portico-sport-apuestan-por-las-energias-renovables-y-la-movilidad-sostenible-en-el-padel.html" TargetMode="External"/><Relationship Id="rId2023" Type="http://schemas.openxmlformats.org/officeDocument/2006/relationships/hyperlink" Target="https://es.mongabay.com/2024/05/las-secuelas-del-derrame-de-repsol-no-nos-alcanza-las-chalanas-estan-deterioradas-y-no-salen-desde-hace-dos-anos/" TargetMode="External"/><Relationship Id="rId3355" Type="http://schemas.openxmlformats.org/officeDocument/2006/relationships/hyperlink" Target="https://www.boxrepsol.com/es/motogp/2024-emilia-romagna-gp-qualifying-results/" TargetMode="External"/><Relationship Id="rId4686" Type="http://schemas.openxmlformats.org/officeDocument/2006/relationships/hyperlink" Target="https://elperiodicodelaenergia.com/repsol-vende-activos-de-gas-y-petroleo-en-colombia-a-geopark-por-500-millones/" TargetMode="External"/><Relationship Id="rId102" Type="http://schemas.openxmlformats.org/officeDocument/2006/relationships/hyperlink" Target="https://www.eventoplus.com/articulos/ganadores-mejor-presentacion-producto-premios-eventoplus/" TargetMode="External"/><Relationship Id="rId2024" Type="http://schemas.openxmlformats.org/officeDocument/2006/relationships/hyperlink" Target="https://motorcyclesports.net/es/fin-de-una-era-repsol-y-honda-se-separaran-despues-de-decadas-de-dominio-en-motogp/" TargetMode="External"/><Relationship Id="rId3354" Type="http://schemas.openxmlformats.org/officeDocument/2006/relationships/hyperlink" Target="https://www.infobae.com/espana/2024/09/22/miguel-cano-el-chef-estrella-michelin-que-llevo-la-revolucion-gastronomica-a-la-rioja-y-que-solo-cocina-en-torno-al-fuego/" TargetMode="External"/><Relationship Id="rId4685" Type="http://schemas.openxmlformats.org/officeDocument/2006/relationships/hyperlink" Target="https://www.expansion.com/empresas/energia/2024/11/29/67497274468aebf8128b45ca.html" TargetMode="External"/><Relationship Id="rId101" Type="http://schemas.openxmlformats.org/officeDocument/2006/relationships/hyperlink" Target="https://www.boxrepsol.com/es/rally/resultados-de-la-quinta-etapa-del-rally-dakar-2024/" TargetMode="External"/><Relationship Id="rId2025" Type="http://schemas.openxmlformats.org/officeDocument/2006/relationships/hyperlink" Target="https://www.eleconomista.es/energia/noticias/12842077/05/24/taylor-swift-utiliza-11000-litros-de-combustible-renovable-de-repsol-para-sus-conciertos-de-madrid.html" TargetMode="External"/><Relationship Id="rId3357" Type="http://schemas.openxmlformats.org/officeDocument/2006/relationships/hyperlink" Target="https://elpais.com/economia/2024-09-23/venezuela-y-repsol-obligados-a-entenderse.html" TargetMode="External"/><Relationship Id="rId4688" Type="http://schemas.openxmlformats.org/officeDocument/2006/relationships/hyperlink" Target="https://www.lavanguardia.com/dinero/20241129/10156184/repsol-vende-activos-gas-petroleo-colombia-geopark-500-millones-euros.html" TargetMode="External"/><Relationship Id="rId100" Type="http://schemas.openxmlformats.org/officeDocument/2006/relationships/hyperlink" Target="https://www.mundodeportivo.com/motor/rally-dakar/20240110/1002167529/repsol-toyota-rally-team-esteve-villalobos-sigue-remontando-24o-absoluto.html" TargetMode="External"/><Relationship Id="rId2026" Type="http://schemas.openxmlformats.org/officeDocument/2006/relationships/hyperlink" Target="https://www.boxrepsol.com/es/motogp/resultados-de-los-entrenamientos-del-gp-de-italia-motogp-2024/" TargetMode="External"/><Relationship Id="rId3356" Type="http://schemas.openxmlformats.org/officeDocument/2006/relationships/hyperlink" Target="https://www.boxrepsol.com/es/motogp/2024-emilia-romagna-gp-qualifying-results-2/" TargetMode="External"/><Relationship Id="rId4687" Type="http://schemas.openxmlformats.org/officeDocument/2006/relationships/hyperlink" Target="https://www.eleconomista.es/energia/noticias/13110586/11/24/repsol-vende-activos-petroliferos-en-colombia-por-470-millones.html" TargetMode="External"/><Relationship Id="rId2016" Type="http://schemas.openxmlformats.org/officeDocument/2006/relationships/hyperlink" Target="https://www.infobae.com/espana/2024/05/30/el-restaurante-recomendado-por-la-guia-michelin-que-esta-en-un-pueblo-de-unos-150-vecinos-caza-huerto-y-salazones-en-pleno-pirineo/" TargetMode="External"/><Relationship Id="rId3348" Type="http://schemas.openxmlformats.org/officeDocument/2006/relationships/hyperlink" Target="https://globalenergy.mx/noticias/repsol-refuerza-su-presencia-en-mexico-con-la-compra-del-16-de-pttep-en-el-bloque-29/" TargetMode="External"/><Relationship Id="rId4679" Type="http://schemas.openxmlformats.org/officeDocument/2006/relationships/hyperlink" Target="https://www.repsol.com/es/energia-futuro/tecnologia-innovacion/que-es-deep-learning/index.cshtml" TargetMode="External"/><Relationship Id="rId2017" Type="http://schemas.openxmlformats.org/officeDocument/2006/relationships/hyperlink" Target="https://eltelevisero.huffingtonpost.es/2024/05/jordi-cruz-la-toma-contra-esta-concursante-y-le-hace-llorar-en-masterchef-12-es-mentira/" TargetMode="External"/><Relationship Id="rId3347" Type="http://schemas.openxmlformats.org/officeDocument/2006/relationships/hyperlink" Target="https://www.boxrepsol.com/es/motogp/resultados-de-los-entrenamientos-del-gp-de-la-emilia-romagna-motogp-2024/" TargetMode="External"/><Relationship Id="rId4678" Type="http://schemas.openxmlformats.org/officeDocument/2006/relationships/hyperlink" Target="https://www.elconfidencialdigital.com/articulo/gourmet/restaurante-ha-sido-galardonado-solete-repsol/20241128174322887209.html" TargetMode="External"/><Relationship Id="rId2018" Type="http://schemas.openxmlformats.org/officeDocument/2006/relationships/hyperlink" Target="https://www.motorpasionmoto.com/motogp/jorge-martin-sera-piloto-oficial-ducati-motogp-ahora-querrian-convencer-a-marc-marquez-que-no-se-vaya-a-aprilia" TargetMode="External"/><Relationship Id="rId2019" Type="http://schemas.openxmlformats.org/officeDocument/2006/relationships/hyperlink" Target="https://www.salsarosa.com/television/jordi-cruz-hace-llorar-nueva-ganadora-masterchef_7180_102.html" TargetMode="External"/><Relationship Id="rId3349" Type="http://schemas.openxmlformats.org/officeDocument/2006/relationships/hyperlink" Target="https://www.xataka.com/seguridad/ciberataque-golpea-base-datos-clientes-repsol-espana-nombres-dni-informacion-comprometida" TargetMode="External"/><Relationship Id="rId3340" Type="http://schemas.openxmlformats.org/officeDocument/2006/relationships/hyperlink" Target="https://www.guiarepsol.com/es/viajar/vamos-de-excursion/ruta-por-el-valle-del-tajo-de-toledo/" TargetMode="External"/><Relationship Id="rId4671" Type="http://schemas.openxmlformats.org/officeDocument/2006/relationships/hyperlink" Target="https://www.eleconomista.es/actualidad/noticias/13099397/11/24/repsol-se-compromete-con-el-desarrollo-sostenible.html" TargetMode="External"/><Relationship Id="rId4670" Type="http://schemas.openxmlformats.org/officeDocument/2006/relationships/hyperlink" Target="https://soymotor.com/competicion/noticias/repsol-el-aliado-de-toyota-para-los-combustibles-sostenibles-del-dakar" TargetMode="External"/><Relationship Id="rId2010" Type="http://schemas.openxmlformats.org/officeDocument/2006/relationships/hyperlink" Target="https://www.motorpasionmoto.com/motogp/honda-se-va-a-quedar-repsol-motogp-tiene-dos-opciones-para-seguir-teniendo-patrocinador-principal" TargetMode="External"/><Relationship Id="rId3342" Type="http://schemas.openxmlformats.org/officeDocument/2006/relationships/hyperlink" Target="https://www.fundacionrepsol.com/es/noticias/fundacion-repsol-jornada-x-de-familia-y-discapacidad-universidad-pontificia-comillas/" TargetMode="External"/><Relationship Id="rId4673" Type="http://schemas.openxmlformats.org/officeDocument/2006/relationships/hyperlink" Target="https://neomotor.epe.es/industria/repsol-alcanza-un-hito-clave-en-la-transicion-energetica-600-estaciones-de-servicio-con-combustible-100-renovable-en-la-peninsula-iberica-FC2004227" TargetMode="External"/><Relationship Id="rId2011" Type="http://schemas.openxmlformats.org/officeDocument/2006/relationships/hyperlink" Target="https://www.latinspots.com/noticia/ddb-crea-t-vas-por-delante-la-nueva-campaa-de-repsol-de-motogp/70093" TargetMode="External"/><Relationship Id="rId3341" Type="http://schemas.openxmlformats.org/officeDocument/2006/relationships/hyperlink" Target="https://www.repsol.es/particulares/asesoramiento-consumo/nueva-normativa-calderas-de-gas-union-europea/" TargetMode="External"/><Relationship Id="rId4672" Type="http://schemas.openxmlformats.org/officeDocument/2006/relationships/hyperlink" Target="https://www.murciadiario.com/articulo/empresas/repsol-comunidad-alian-transformar-aceite-cocina-usado-biocombustible/20241128134617119218.html" TargetMode="External"/><Relationship Id="rId2012" Type="http://schemas.openxmlformats.org/officeDocument/2006/relationships/hyperlink" Target="https://www.diariodelpuerto.com/logistica/la-logistica-apuesta-por-la-ia-ante-el-estancamiento-del-blockchain-GL19747616" TargetMode="External"/><Relationship Id="rId3344" Type="http://schemas.openxmlformats.org/officeDocument/2006/relationships/hyperlink" Target="https://www.lne.es/economia/2024/09/20/repsol-moderniza-centenaria-central-hidroelectrica-108334512.html" TargetMode="External"/><Relationship Id="rId4675" Type="http://schemas.openxmlformats.org/officeDocument/2006/relationships/hyperlink" Target="https://www.boxrepsol.com/es/rally/el-repsol-toyota-rally-team-e-isidre-esteve-a-por-el-dakar-del-20-aniversario/" TargetMode="External"/><Relationship Id="rId2013" Type="http://schemas.openxmlformats.org/officeDocument/2006/relationships/hyperlink" Target="https://www.lavanguardia.com/local/madrid/20240530/9690101/camion-cisterna-vuelca-vierte-500-litros-gasoil-calzada-titulcia.html" TargetMode="External"/><Relationship Id="rId3343" Type="http://schemas.openxmlformats.org/officeDocument/2006/relationships/hyperlink" Target="https://www.elespanol.com/mujer/actualidad/20240920/sagunto-javea-pueblo-medieval-bonito-valencia-guia-repsol/887411331_0.html" TargetMode="External"/><Relationship Id="rId4674" Type="http://schemas.openxmlformats.org/officeDocument/2006/relationships/hyperlink" Target="https://www.cambio16.com/inicia-batalla-judicial-entre-iberdrola-y-repsol-por-ecopostureo/" TargetMode="External"/><Relationship Id="rId2014" Type="http://schemas.openxmlformats.org/officeDocument/2006/relationships/hyperlink" Target="https://www.rtve.es/play/videos/programa/chefs-innovacion-para-puertas-semifinal/16124729/" TargetMode="External"/><Relationship Id="rId3346" Type="http://schemas.openxmlformats.org/officeDocument/2006/relationships/hyperlink" Target="https://www.infobae.com/mexico/2024/09/20/amlo-niega-tener-empresas-favoritas-para-contratos-calderon-tenia-a-repsol-y-pena-a-ohl/" TargetMode="External"/><Relationship Id="rId4677" Type="http://schemas.openxmlformats.org/officeDocument/2006/relationships/hyperlink" Target="https://elperiodicodelaenergia.com/kia-renombra-su-servicio-de-alquiler-aunque-mantendra-la-marca-wible-en-madrid-y-su-alianza-con-repsol/" TargetMode="External"/><Relationship Id="rId2015" Type="http://schemas.openxmlformats.org/officeDocument/2006/relationships/hyperlink" Target="https://www.elconfidencial.com/television/programas-tv/2024-05-30/masterchef-jordi-cruz-hace-llorar-angela-prueba_3892958/" TargetMode="External"/><Relationship Id="rId3345" Type="http://schemas.openxmlformats.org/officeDocument/2006/relationships/hyperlink" Target="https://www.eleconomista.com.mx/empresas/Repsol-eleva-su-peso-en-el-Bloque-29-tras-comprar-participacion-a-la-tailandesa-PTTEP-20240920-0019.html" TargetMode="External"/><Relationship Id="rId4676" Type="http://schemas.openxmlformats.org/officeDocument/2006/relationships/hyperlink" Target="https://as.com/actualidad/economia/abierto-bajo-minimos-el-pozo-de-repsol-en-libia-n/" TargetMode="External"/><Relationship Id="rId2049" Type="http://schemas.openxmlformats.org/officeDocument/2006/relationships/hyperlink" Target="https://www.huffingtonpost.es/life/consumo/dos-marcas-aceite-oliva-tiran-precios-niveles-2020.html" TargetMode="External"/><Relationship Id="rId129" Type="http://schemas.openxmlformats.org/officeDocument/2006/relationships/hyperlink" Target="https://www.infobae.com/economia/2024/01/12/expropiacion-de-ypf-la-argentina-podria-terminar-pagando-casi-el-triple-de-lo-que-vale-actualmente-la-compania/" TargetMode="External"/><Relationship Id="rId128" Type="http://schemas.openxmlformats.org/officeDocument/2006/relationships/hyperlink" Target="https://elcomercio.pe/lima/repsol-sobre-demanda-judicial-contra-refineria-la-pampilla-no-tiene-fundamento-derrame-de-petroleo-ventanilla-dano-ambiental-ultimas-noticia/" TargetMode="External"/><Relationship Id="rId127" Type="http://schemas.openxmlformats.org/officeDocument/2006/relationships/hyperlink" Target="https://wayka.pe/pescadores-artesanales-a-dos-anos-del-derrame-de-petroleo-de-repsol-cuando-vamos-a-volver-a-pescar/" TargetMode="External"/><Relationship Id="rId126" Type="http://schemas.openxmlformats.org/officeDocument/2006/relationships/hyperlink" Target="https://elcomercio.pe/lima/presentaran-demanda-colectiva-contra-repsol-por-mil-millones-de-dolares-ante-corte-distrital-de-la-haya-la-pampilla-reino-unido-ventanilla-petroleo-playa-noticia/" TargetMode="External"/><Relationship Id="rId3371" Type="http://schemas.openxmlformats.org/officeDocument/2006/relationships/hyperlink" Target="https://www.camarabilbao.com/empresa/petronor-repsol-celebraran-jornada-fiscalidad-transicion-energetica-202409231454/" TargetMode="External"/><Relationship Id="rId2040" Type="http://schemas.openxmlformats.org/officeDocument/2006/relationships/hyperlink" Target="https://theobjective.com/internacional/2024-06-02/venezuela-reseco-campo-atrae-negocios/" TargetMode="External"/><Relationship Id="rId3370" Type="http://schemas.openxmlformats.org/officeDocument/2006/relationships/hyperlink" Target="https://www.repsol.com/es/energia-futuro/tecnologia-innovacion/open-innovation/index.cshtml" TargetMode="External"/><Relationship Id="rId121" Type="http://schemas.openxmlformats.org/officeDocument/2006/relationships/hyperlink" Target="https://www.infobae.com/peru/2024/01/12/repsol-presentan-demanda-millonaria-en-holanda-contra-la-empresa-a-dos-anos-del-derrame-de-petroleo-en-peru/" TargetMode="External"/><Relationship Id="rId2041" Type="http://schemas.openxmlformats.org/officeDocument/2006/relationships/hyperlink" Target="https://www.diariocordoba.com/cordoba/2024/06/02/fallece-profesor-investigador-egabrense-antonio-103246185.html" TargetMode="External"/><Relationship Id="rId3373" Type="http://schemas.openxmlformats.org/officeDocument/2006/relationships/hyperlink" Target="https://www.lacomarcadepuertollano.com/articulo/puertollano/puertollano-convocada-huelga-indefinida-repsol-lubricantes-asfaltos-partir-7-octubre/20240923224834562511.html" TargetMode="External"/><Relationship Id="rId120" Type="http://schemas.openxmlformats.org/officeDocument/2006/relationships/hyperlink" Target="https://www.todocircuito.com/noticias/35072-red-bull-desaparece-de-la-lista-de-patrocinadores-del-repsol-honda-team.html" TargetMode="External"/><Relationship Id="rId2042" Type="http://schemas.openxmlformats.org/officeDocument/2006/relationships/hyperlink" Target="https://www.estadiodeportivo.com/motor/motogp/aleix-espargaro-tiene-nuevo-equipo-motogp-20240602-453779.html" TargetMode="External"/><Relationship Id="rId3372" Type="http://schemas.openxmlformats.org/officeDocument/2006/relationships/hyperlink" Target="https://intereconomia.com/noticia/mercados/la-petrolera-repsol-vende-todo-su-negocio-fotovoltaico-en-chile-a-grenergy-20240923-1345/" TargetMode="External"/><Relationship Id="rId2043" Type="http://schemas.openxmlformats.org/officeDocument/2006/relationships/hyperlink" Target="https://www.energias-renovables.com/autoconsumo/repsol-y-telefonica-pinchan-en-autoconsumo-20240603" TargetMode="External"/><Relationship Id="rId3375" Type="http://schemas.openxmlformats.org/officeDocument/2006/relationships/hyperlink" Target="https://www.eleconomista.es/energia/noticias/12998250/09/24/grenergy-compra-1000-mw-a-repsol-e-ibereolica-en-chile-para-reforzar-su-proyecto-oasis.html" TargetMode="External"/><Relationship Id="rId2044" Type="http://schemas.openxmlformats.org/officeDocument/2006/relationships/hyperlink" Target="https://www.fundacionrepsol.com/es/noticias/tercera-edicion-premios-zinkers/" TargetMode="External"/><Relationship Id="rId3374" Type="http://schemas.openxmlformats.org/officeDocument/2006/relationships/hyperlink" Target="https://www.expansion.com/empresas/energia/2024/09/23/66f0833d468aebd75d8b459c.html" TargetMode="External"/><Relationship Id="rId125" Type="http://schemas.openxmlformats.org/officeDocument/2006/relationships/hyperlink" Target="https://cadenaser.com/castillalamancha/2024/01/12/se-imaginan-una-isla-que-se-abastezca-energeticamente-solo-con-hidrogeno-verde-y-renovables-el-centro-nacional-del-hidrogeno-de-puertollano-participa-en-el-proyecto-green-hysland-ser-ciudad-real/" TargetMode="External"/><Relationship Id="rId2045" Type="http://schemas.openxmlformats.org/officeDocument/2006/relationships/hyperlink" Target="https://www.eleconomista.es/energia/noticias/12843520/05/24/repsol-alcanza-los-ocho-millones-de-usuarios-de-su-plataforma-de-pagos-waylet.html" TargetMode="External"/><Relationship Id="rId3377" Type="http://schemas.openxmlformats.org/officeDocument/2006/relationships/hyperlink" Target="https://consensodelmercado.com/es/ibex-35/noticias/repsol-incrementa-su-exposicion-al-golfo-de-mexico-con-la-compra-de-un-1667-adicional-en-el-bloque-29-de-la-cuenca-salina" TargetMode="External"/><Relationship Id="rId124" Type="http://schemas.openxmlformats.org/officeDocument/2006/relationships/hyperlink" Target="https://www.motor16.com/noticias/ocu-gasolineras-mas-baratas/2/" TargetMode="External"/><Relationship Id="rId2046" Type="http://schemas.openxmlformats.org/officeDocument/2006/relationships/hyperlink" Target="https://www.puertollano.es/las-quemas-controladas-se-extenderan-el-miercoles-a-la-variante-del-minero-cerro-del-tio-pedrillo-y-entorno-de-repsol/" TargetMode="External"/><Relationship Id="rId3376" Type="http://schemas.openxmlformats.org/officeDocument/2006/relationships/hyperlink" Target="https://www.elespanol.com/invertia/empresas/energia/20240923/grenergy-adquiere-repsol-ibereolica-porfolio-solar-millones/888161179_0.html" TargetMode="External"/><Relationship Id="rId123" Type="http://schemas.openxmlformats.org/officeDocument/2006/relationships/hyperlink" Target="https://www.boxrepsol.com/es/rally/resultados-de-la-sexta-etapa-del-rally-dakar-2024/" TargetMode="External"/><Relationship Id="rId2047" Type="http://schemas.openxmlformats.org/officeDocument/2006/relationships/hyperlink" Target="https://es.motor1.com/news/721640/carga-gratis-coche-electrico-repsol-waylet/" TargetMode="External"/><Relationship Id="rId3379" Type="http://schemas.openxmlformats.org/officeDocument/2006/relationships/hyperlink" Target="https://www.elconfidencial.com/empresas/2024-09-23/cotizacion-grenergy-bolsa-compra-fotovoltaica-repsol-chile_3967901/" TargetMode="External"/><Relationship Id="rId122" Type="http://schemas.openxmlformats.org/officeDocument/2006/relationships/hyperlink" Target="https://www.guiarepsol.com/es/viajar/vamos-de-excursion/que-ver-ciutadella-menorca/" TargetMode="External"/><Relationship Id="rId2048" Type="http://schemas.openxmlformats.org/officeDocument/2006/relationships/hyperlink" Target="https://www.guiarepsol.com/es/viajar/vamos-de-excursion/un-paseo-por-la-calle-feria-sevilla/" TargetMode="External"/><Relationship Id="rId3378" Type="http://schemas.openxmlformats.org/officeDocument/2006/relationships/hyperlink" Target="https://www.elnacional.cat/oneconomia/es/empresas/grenergy-compra-iberdrola-repsol-por-114-millones-1-gw-ampliar-su-megaparque-atacama_1287546_102.html" TargetMode="External"/><Relationship Id="rId2038" Type="http://schemas.openxmlformats.org/officeDocument/2006/relationships/hyperlink" Target="https://www.elespanol.com/madrid/ocio/20240602/sergio-lucia-mejor-chef-joven-espana-arrasan-legazpi-lur-mesas-verduras-rivas/858914486_0.html" TargetMode="External"/><Relationship Id="rId2039" Type="http://schemas.openxmlformats.org/officeDocument/2006/relationships/hyperlink" Target="https://elpais.com/gastronomia/donde-comen-los-cocineros/2024-06-03/donde-comer-en-asturias-segun-marcos-moran-casa-gerardo.html" TargetMode="External"/><Relationship Id="rId3369" Type="http://schemas.openxmlformats.org/officeDocument/2006/relationships/hyperlink" Target="https://www.mobilityplaza.org/news/38972" TargetMode="External"/><Relationship Id="rId118" Type="http://schemas.openxmlformats.org/officeDocument/2006/relationships/hyperlink" Target="https://www.puertollano.es/repsol-abre-la-convocatoria-de-ayudas-a-proyectos-sociales-de-colectivos-de-puertollano/" TargetMode="External"/><Relationship Id="rId117" Type="http://schemas.openxmlformats.org/officeDocument/2006/relationships/hyperlink" Target="https://www.eleconomista.es/energia/noticias/12621248/01/24/blackrock-un-buen-accionista-de-repsol-e-iberdrola-sera-clave-para-la-operacion-geminis-de-naturgy.html" TargetMode="External"/><Relationship Id="rId116" Type="http://schemas.openxmlformats.org/officeDocument/2006/relationships/hyperlink" Target="https://www.diarimes.com/es/tarragona/240111/roben-l-amazon-locker-situat-benzinera-repsol-sant-salvador_139001.html" TargetMode="External"/><Relationship Id="rId115" Type="http://schemas.openxmlformats.org/officeDocument/2006/relationships/hyperlink" Target="https://www.dw.com/es/corte-de-nueva-york-deniega-a-argentina-ampliar-plazo-para-garant%C3%ADas-en-caso-de-petrolera-ypf/a-67958886" TargetMode="External"/><Relationship Id="rId3360" Type="http://schemas.openxmlformats.org/officeDocument/2006/relationships/hyperlink" Target="https://www.eldiariomontanes.es/economia/brittany-ferries-estrena-santander-nuevo-biocombustible-suministrado-20240922073847-nt.html" TargetMode="External"/><Relationship Id="rId4691" Type="http://schemas.openxmlformats.org/officeDocument/2006/relationships/hyperlink" Target="https://cincodias.elpais.com/companias/2024-11-29/repsol-vende-activos-en-colombia-por-500-millones-de-euros-a-geopark.html" TargetMode="External"/><Relationship Id="rId119" Type="http://schemas.openxmlformats.org/officeDocument/2006/relationships/hyperlink" Target="https://www.bierzotv.com/la-guia-repsol-muestra-los-encantos-del-castillo-de-los-templarios-y-la-tebaida-berciana/" TargetMode="External"/><Relationship Id="rId4690" Type="http://schemas.openxmlformats.org/officeDocument/2006/relationships/hyperlink" Target="https://es.finance.yahoo.com/noticias/petrolera-repsol-vende-activos-colombia-084000831.html" TargetMode="External"/><Relationship Id="rId110" Type="http://schemas.openxmlformats.org/officeDocument/2006/relationships/hyperlink" Target="https://www.diaridetarragona.com/economia/repsol-afronta-la-parada-programada-mas-importante-en-cuanto-a-inversion-150-millones-PA18187228" TargetMode="External"/><Relationship Id="rId2030" Type="http://schemas.openxmlformats.org/officeDocument/2006/relationships/hyperlink" Target="https://www.eleconomista.es/economia/noticias/12843448/05/24/la-victoria-de-sheinbaum-en-mexico-amenaza-con-mas-intervencionismo.html" TargetMode="External"/><Relationship Id="rId3362" Type="http://schemas.openxmlformats.org/officeDocument/2006/relationships/hyperlink" Target="https://cronicavasca.elespanol.com/sociedad/20240922/ni-rabas-gildas-estrella-tipico-euskadi-vascos/887161303_0.html" TargetMode="External"/><Relationship Id="rId4693" Type="http://schemas.openxmlformats.org/officeDocument/2006/relationships/hyperlink" Target="https://www.economiadigital.es/empresas/repsol-vende-activos-gas-petroleo-colombia-500-millones-geopark.html" TargetMode="External"/><Relationship Id="rId2031" Type="http://schemas.openxmlformats.org/officeDocument/2006/relationships/hyperlink" Target="https://www.elespanol.com/quincemil/economia/tecnologia/20240601/women-in-data-science-vuelve-reunir-coruna-mujeres-referentes-tecnologia/859664224_0.html" TargetMode="External"/><Relationship Id="rId3361" Type="http://schemas.openxmlformats.org/officeDocument/2006/relationships/hyperlink" Target="https://www.boxrepsol.com/es/motogp/resultados-del-gp-de-la-emilia-romagna-de-motogp-2024/" TargetMode="External"/><Relationship Id="rId4692" Type="http://schemas.openxmlformats.org/officeDocument/2006/relationships/hyperlink" Target="https://e-noticies.cat/es/sociedad/repsol-endesa-haz-esto-gas-saldra-mucho-mas-barato" TargetMode="External"/><Relationship Id="rId2032" Type="http://schemas.openxmlformats.org/officeDocument/2006/relationships/hyperlink" Target="https://www.diariodenavarra.es/noticias/magazine/television/2024/06/01/cocinar-edificio-tres-plantas-ultima-propuesta-original-telecinco-610561-1036.html" TargetMode="External"/><Relationship Id="rId3364" Type="http://schemas.openxmlformats.org/officeDocument/2006/relationships/hyperlink" Target="https://cincodias.elpais.com/companias/2024-09-23/grenergy-invierte-128-millones-para-duplicar-su-generacion-de-fotovoltaica-en-el-oasis-de-atacama.html" TargetMode="External"/><Relationship Id="rId4695" Type="http://schemas.openxmlformats.org/officeDocument/2006/relationships/hyperlink" Target="https://www.20minutos.es/lainformacion/empresas/repsol-vende-activos-petroleros-colombia-5659037/" TargetMode="External"/><Relationship Id="rId2033" Type="http://schemas.openxmlformats.org/officeDocument/2006/relationships/hyperlink" Target="https://www.perfil.com/noticias/columnistas/ypf-burford-ya-sabe-como-cobrarle-a-argentina-por-carlos-burgueno.phtml" TargetMode="External"/><Relationship Id="rId3363" Type="http://schemas.openxmlformats.org/officeDocument/2006/relationships/hyperlink" Target="https://www.proceso.com.mx/economia/2024/9/22/repsol-aumenta-su-presencia-en-proyecto-petrolero-de-mexico-337202.html" TargetMode="External"/><Relationship Id="rId4694" Type="http://schemas.openxmlformats.org/officeDocument/2006/relationships/hyperlink" Target="https://www.bolsamania.com/noticias/analisis-tecnico/consultorio-repsol-total-sacyr-naturgy-volkswagen--18195038.html" TargetMode="External"/><Relationship Id="rId114" Type="http://schemas.openxmlformats.org/officeDocument/2006/relationships/hyperlink" Target="https://cincodias.elpais.com/economia/2024-01-11/la-justicia-abre-la-puerta-al-embargo-de-15000-millones-de-euros-a-argentina-por-ypf.html" TargetMode="External"/><Relationship Id="rId2034" Type="http://schemas.openxmlformats.org/officeDocument/2006/relationships/hyperlink" Target="https://www.eleconomista.es/energia/noticias/12844702/06/24/solar360-la-alianza-de-repsol-y-telefonica-para-autoconsumo-registra-unas-perdidas-de-7-millones-en-2023.html" TargetMode="External"/><Relationship Id="rId3366" Type="http://schemas.openxmlformats.org/officeDocument/2006/relationships/hyperlink" Target="https://trial.hondaracingcorporation.com/report/bou-and-marcelli-win-2024-trial-of-nations/?lang=es" TargetMode="External"/><Relationship Id="rId4697" Type="http://schemas.openxmlformats.org/officeDocument/2006/relationships/hyperlink" Target="https://www.caranddriver.com/es/movilidad/sostenibilidad-ecologia/a63040285/el-nuevo-diesel-que-ya-esta-disponible-en-600-gasolineras-y-que-llegara-a-1500-en-2025/" TargetMode="External"/><Relationship Id="rId113" Type="http://schemas.openxmlformats.org/officeDocument/2006/relationships/hyperlink" Target="https://www.guiarepsol.com/es/dormir/en-la-gloria/hotel-mas-fontanelles-biar-alicante/" TargetMode="External"/><Relationship Id="rId2035" Type="http://schemas.openxmlformats.org/officeDocument/2006/relationships/hyperlink" Target="https://www.boxrepsol.com/es/motogp/resultados-del-gp-de-italia-de-motogp-2024/" TargetMode="External"/><Relationship Id="rId3365" Type="http://schemas.openxmlformats.org/officeDocument/2006/relationships/hyperlink" Target="https://elperiodicodelaenergia.com/estatal-venezolana-pdvsa-busca-incrementar-capacidad-procesamiento-crudo-diluido/" TargetMode="External"/><Relationship Id="rId4696" Type="http://schemas.openxmlformats.org/officeDocument/2006/relationships/hyperlink" Target="https://formularapida.net/es/el-repsol-toyota-rally-team-e-isidre-esteve-a-por-el-dakar-del-20-aniversario/" TargetMode="External"/><Relationship Id="rId112" Type="http://schemas.openxmlformats.org/officeDocument/2006/relationships/hyperlink" Target="https://www.autobild.es/noticias/descuento-30-centimos-litro-carburante-vuelta-1355964" TargetMode="External"/><Relationship Id="rId2036" Type="http://schemas.openxmlformats.org/officeDocument/2006/relationships/hyperlink" Target="https://ojo-publico.com/sala-del-poder/repsol-del-derrame-el-mar-la-empresa-mas-ingresos-el-2023" TargetMode="External"/><Relationship Id="rId3368" Type="http://schemas.openxmlformats.org/officeDocument/2006/relationships/hyperlink" Target="https://www.energias-renovables.com/fotovoltaica/grenergy-compra-a-repsol-e-ibereolica-1-20240923" TargetMode="External"/><Relationship Id="rId4699" Type="http://schemas.openxmlformats.org/officeDocument/2006/relationships/hyperlink" Target="https://www.elconfidencial.com/empresas/2024-11-29/repsol-venta-activos-gas-petroleo-colombia-millones_4013556/" TargetMode="External"/><Relationship Id="rId111" Type="http://schemas.openxmlformats.org/officeDocument/2006/relationships/hyperlink" Target="https://21noticias.com/2024/01/11/los-vigilantes-de-seguridad-de-la-refineria-de-a-coruna-contra-repsol-y-prosegur-por-sus-condicines-laborales/" TargetMode="External"/><Relationship Id="rId2037" Type="http://schemas.openxmlformats.org/officeDocument/2006/relationships/hyperlink" Target="https://www.elperiodico.com/es/economia/20240602/regalan-gasolina-aceite-cocina-dv-103032674" TargetMode="External"/><Relationship Id="rId3367" Type="http://schemas.openxmlformats.org/officeDocument/2006/relationships/hyperlink" Target="https://elmercantil.com/2024/09/23/repsol-suministra-biometano-licuado-a-los-buques-de-brittany-ferries-en-santander/" TargetMode="External"/><Relationship Id="rId4698" Type="http://schemas.openxmlformats.org/officeDocument/2006/relationships/hyperlink" Target="https://www.diaridetarragona.com/economia/maria-jose-morales-adillon-jefa-de-fabrica-de-repsol-es-un-sector-con-estabilidad-seguridad-y-que-favorece-el-crecimiento-profesional-GC22136819" TargetMode="External"/><Relationship Id="rId3315" Type="http://schemas.openxmlformats.org/officeDocument/2006/relationships/hyperlink" Target="https://www.elespanol.com/madrid/ocio/20240918/oscar-chino-guia-repsol-abre-puesto-mercado-biang-madrid-llenamos-diario/886661760_0.html" TargetMode="External"/><Relationship Id="rId4646" Type="http://schemas.openxmlformats.org/officeDocument/2006/relationships/hyperlink" Target="https://www.elespanol.com/quincemil/vivir/gastroferrol/20241126/oliva-bar-levar-solete-repsol-lleva-cocina-tradicional-ferrol-alto/902910052_0.html" TargetMode="External"/><Relationship Id="rId3314" Type="http://schemas.openxmlformats.org/officeDocument/2006/relationships/hyperlink" Target="https://www.diariosur.es/malagaenlamesa/restaurantes/karmela-mete-alhaurin-torre-club-soletes-repsol-20240911122027-nt.html" TargetMode="External"/><Relationship Id="rId4645" Type="http://schemas.openxmlformats.org/officeDocument/2006/relationships/hyperlink" Target="https://soymotor.com/competicion/noticias/toyota-ya-tiene-alineacion-para-el-dakar-2025-y-repsol-gana-protagonismo" TargetMode="External"/><Relationship Id="rId3317" Type="http://schemas.openxmlformats.org/officeDocument/2006/relationships/hyperlink" Target="https://www.motor16.com/noticias/movimiento-repsol-low-cost/" TargetMode="External"/><Relationship Id="rId4648" Type="http://schemas.openxmlformats.org/officeDocument/2006/relationships/hyperlink" Target="https://www.eldiariomontanes.es/region/besaya/cartes-presume-gasolinera-combustible-100-renovable-20241126175055-nt.html" TargetMode="External"/><Relationship Id="rId3316" Type="http://schemas.openxmlformats.org/officeDocument/2006/relationships/hyperlink" Target="https://www.bolsamania.com/noticias/analisis-tecnico/consultorio-de-analisis-tecnico-santander-bbva-talgo-ence-repsol-aedas-homes-grenergy--17502824.html" TargetMode="External"/><Relationship Id="rId4647" Type="http://schemas.openxmlformats.org/officeDocument/2006/relationships/hyperlink" Target="https://cincodias.elpais.com/fortunas/2024-11-25/entrega-de-premios-cincodias-a-la-innovacion-empresarial.html" TargetMode="External"/><Relationship Id="rId3319" Type="http://schemas.openxmlformats.org/officeDocument/2006/relationships/hyperlink" Target="https://www.farodevigo.es/ourense/2024/09/18/periodista-alberto-ramos-gana-xviii-108265438.html" TargetMode="External"/><Relationship Id="rId3318" Type="http://schemas.openxmlformats.org/officeDocument/2006/relationships/hyperlink" Target="https://www.elsaltodiario.com/cambio-climatico/messi-nadal-sportswashing-lavar-cara-petroleo" TargetMode="External"/><Relationship Id="rId4649" Type="http://schemas.openxmlformats.org/officeDocument/2006/relationships/hyperlink" Target="https://www.economiadigital.es/economia/impuestazo-apagon-nuclear-frentes-abiertos-aagesen-transicion-ecologica.html" TargetMode="External"/><Relationship Id="rId4640" Type="http://schemas.openxmlformats.org/officeDocument/2006/relationships/hyperlink" Target="https://www.larazon.es/economia/repsol-suministra-combustible-100-renovable-600-sus-estaciones-servicio_202411266745cc38f3b2a10001a79705.html" TargetMode="External"/><Relationship Id="rId3311" Type="http://schemas.openxmlformats.org/officeDocument/2006/relationships/hyperlink" Target="https://simplywall.st/es/stocks/es/energy/bme-rep/repsol-shares/news/repsol-bmerep-asume-cierto-riesgo-con-su-uso-de-la-deuda-1" TargetMode="External"/><Relationship Id="rId4642" Type="http://schemas.openxmlformats.org/officeDocument/2006/relationships/hyperlink" Target="https://www.bolsamania.com/noticias/empresas/economia--repsol-alcanza-su-meta-de-las-600-estaciones-de-servicio-con-combustible-renovable-antes-de-acabar-2024--18183500.html" TargetMode="External"/><Relationship Id="rId3310" Type="http://schemas.openxmlformats.org/officeDocument/2006/relationships/hyperlink" Target="https://intereconomia.com/noticia/empresas/solaria-y-repsol-junto-a-la-caza-de-terrenos-20240918-0941/" TargetMode="External"/><Relationship Id="rId4641" Type="http://schemas.openxmlformats.org/officeDocument/2006/relationships/hyperlink" Target="https://www.boxrepsol.com/es/rally/repsol-toyota-gazoo-racing-alianza-tecnologica-competicion-mas-sostenible/" TargetMode="External"/><Relationship Id="rId3313" Type="http://schemas.openxmlformats.org/officeDocument/2006/relationships/hyperlink" Target="https://www.guiarepsol.com/es/comer/nuestros-favoritos/restaurante-cal-viva-moron-de-la-frontera-sevilla/" TargetMode="External"/><Relationship Id="rId4644" Type="http://schemas.openxmlformats.org/officeDocument/2006/relationships/hyperlink" Target="https://consensodelmercado.com/es/ibex-35/noticias/repsol-afirma-que-siguen-pendientes-de-la-solucion-a-la-posible-prolongacion-del-impuesto-a-las-energeticas" TargetMode="External"/><Relationship Id="rId3312" Type="http://schemas.openxmlformats.org/officeDocument/2006/relationships/hyperlink" Target="https://www.lasprovincias.es/valenciacf/restaurante-solete-repsol-plantilla-valencia-conjurado-salir-20240918182533-nt.html" TargetMode="External"/><Relationship Id="rId4643" Type="http://schemas.openxmlformats.org/officeDocument/2006/relationships/hyperlink" Target="https://www.elconfidencial.com/juridico/2024-11-26/entrevista-pablo-blanco-repsol-asesoria-juridica_4010432/" TargetMode="External"/><Relationship Id="rId3304" Type="http://schemas.openxmlformats.org/officeDocument/2006/relationships/hyperlink" Target="https://www.elespanol.com/invertia/mis-finanzas/fondos-de-inversion/20240917/fundador-repsol-consejero-ferrovial-oscar-fanjul-promueve-gestora-capital-riesgo/886411932_0.html" TargetMode="External"/><Relationship Id="rId4635" Type="http://schemas.openxmlformats.org/officeDocument/2006/relationships/hyperlink" Target="https://www.eldiasegovia.es/noticia/zeddf2632-b6cc-746b-f156708d369e016c/202411/soletes-para-los-restaurantes-que-resisten-en-segovia" TargetMode="External"/><Relationship Id="rId3303" Type="http://schemas.openxmlformats.org/officeDocument/2006/relationships/hyperlink" Target="https://www.guiarepsol.com/es/dormir/como-en-casa/camping-motero-de-anzanigo-huesca/" TargetMode="External"/><Relationship Id="rId4634" Type="http://schemas.openxmlformats.org/officeDocument/2006/relationships/hyperlink" Target="https://www.guiarepsol.com/es/dormir/como-en-casa/alojamiento-monbull-el-puerto-el-puerto-de-santa-maria-cadiz/" TargetMode="External"/><Relationship Id="rId3306" Type="http://schemas.openxmlformats.org/officeDocument/2006/relationships/hyperlink" Target="https://gestion.pe/economia/empresas/la-pampilla-con-luz-verde-para-obras-de-infraestructura-en-terminal-portuario-autoridad-portuaria-nacional-empresas-relapasa-terminal-portuario-multiboyas-noticia/" TargetMode="External"/><Relationship Id="rId4637" Type="http://schemas.openxmlformats.org/officeDocument/2006/relationships/hyperlink" Target="https://elperiodicodelaenergia.com/repsol-alcanza-las-600-estaciones-de-servicio-con-combustible-100-renovable/" TargetMode="External"/><Relationship Id="rId3305" Type="http://schemas.openxmlformats.org/officeDocument/2006/relationships/hyperlink" Target="https://lavozdeltrubia.es/2024/09/17/seo-birdlife-alega-contra-el-parque-eolico-de-bufaran/" TargetMode="External"/><Relationship Id="rId4636" Type="http://schemas.openxmlformats.org/officeDocument/2006/relationships/hyperlink" Target="https://elcomercio.pe/deporte-total/futbol-peruano/emily-lima-y-el-elogio-al-as-tingo-de-tingo-maria-y-su-titulo-historico-en-el-semillero-repsol-futbol-femenino-dentro-de-diez-anos-vamos-a-recordar-este-dia-semilleros-el-comercio-noticia/" TargetMode="External"/><Relationship Id="rId3308" Type="http://schemas.openxmlformats.org/officeDocument/2006/relationships/hyperlink" Target="https://cincodias.elpais.com/companias/2024-09-18/solaria-y-repsol-se-alian-para-la-busqueda-de-terrenos-donde-desarrollar-proyectos-renovables.html" TargetMode="External"/><Relationship Id="rId4639" Type="http://schemas.openxmlformats.org/officeDocument/2006/relationships/hyperlink" Target="https://as.com/motor/mas_motor/repsol-y-toyota-gazoo-racing-renuevan-su-alianza-n/" TargetMode="External"/><Relationship Id="rId3307" Type="http://schemas.openxmlformats.org/officeDocument/2006/relationships/hyperlink" Target="https://www.estrategiasdeinversion.com/actualidad/noticias/bolsa-espana/generia-filial-de-solaria-firma-acuerdo-con-repsol-n-745041" TargetMode="External"/><Relationship Id="rId4638" Type="http://schemas.openxmlformats.org/officeDocument/2006/relationships/hyperlink" Target="https://www.capitalmadrid.com/2024/11/26/68540/repsol-alcanza-las-600-estaciones-de-servicio-con-combustible-100-renovable.html" TargetMode="External"/><Relationship Id="rId3309" Type="http://schemas.openxmlformats.org/officeDocument/2006/relationships/hyperlink" Target="https://www.eleconomista.es/energia/noticias/12991969/09/24/solaria-y-repsol-se-alian-para-la-adquisicion-de-terrenos-para-renovables.html" TargetMode="External"/><Relationship Id="rId3300" Type="http://schemas.openxmlformats.org/officeDocument/2006/relationships/hyperlink" Target="https://www.diariodesantiago.es/portada/alberto-ramos-gana-el-xviii-premio-de-narrativa-breve-repsol-en-lengua-gallega-con-su-obra-pirotecnia/" TargetMode="External"/><Relationship Id="rId4631" Type="http://schemas.openxmlformats.org/officeDocument/2006/relationships/hyperlink" Target="https://motor.elpais.com/actualidad/esta-es-la-sencilla-manera-de-ahorrar-20-centimos-al-llenar-el-deposito/" TargetMode="External"/><Relationship Id="rId4630" Type="http://schemas.openxmlformats.org/officeDocument/2006/relationships/hyperlink" Target="https://www.lavanguardia.com/economia/20241125/10138961/presion-repsol-primer-frente-aagesen-ministra-transicion-energetica.html" TargetMode="External"/><Relationship Id="rId3302" Type="http://schemas.openxmlformats.org/officeDocument/2006/relationships/hyperlink" Target="https://misionverdad.com/venezuela/petroleo-y-gas-venezolano-su-importancia-estrategica-para-espana" TargetMode="External"/><Relationship Id="rId4633" Type="http://schemas.openxmlformats.org/officeDocument/2006/relationships/hyperlink" Target="https://www.lacomarcadepuertollano.com/articulo/puertollano/buenos-resultados-equipos-tenis-club-recreativo-repsol-puertollano/20241125094916571235.html" TargetMode="External"/><Relationship Id="rId3301" Type="http://schemas.openxmlformats.org/officeDocument/2006/relationships/hyperlink" Target="https://www.eleconomista.es/energia/noticias/12989743/09/24/repsol-instalara-autoconsumo-con-baterias-en-su-refineria-de-puertollano.html" TargetMode="External"/><Relationship Id="rId4632" Type="http://schemas.openxmlformats.org/officeDocument/2006/relationships/hyperlink" Target="https://www.economiadigital.es/empresas/pequenas-comercializadoras-iberdrola-endesa-naturgy-repsol-acaparen-mercado.html" TargetMode="External"/><Relationship Id="rId2005" Type="http://schemas.openxmlformats.org/officeDocument/2006/relationships/hyperlink" Target="https://www.mundodeportivo.com/solomoto/20240526/1002251293/tires-aceite-cocina-usado-llevalo-gasolinera-repsol-litro-te-regalan-saldo-llenar-deposito-gasolina.html" TargetMode="External"/><Relationship Id="rId3337" Type="http://schemas.openxmlformats.org/officeDocument/2006/relationships/hyperlink" Target="https://www.alimente.elconfidencial.com/gastronomia-y-cocina/2024-09-20/1qrt-restaurante-recomendado-guia-repsol-donde-come-por-menos-30-euros-encuentra-pueblo-azul_3965420/" TargetMode="External"/><Relationship Id="rId4668" Type="http://schemas.openxmlformats.org/officeDocument/2006/relationships/hyperlink" Target="https://gestion.pe/publirreportaje/impulsared-el-programa-de-repsol-que-transforma-comunidades-con-sostenibilidad-e-inclusion-noticia/" TargetMode="External"/><Relationship Id="rId2006" Type="http://schemas.openxmlformats.org/officeDocument/2006/relationships/hyperlink" Target="https://www.estrategiasdeinversion.com/actualidad/noticias/bolsa-espana/este-es-el-calendario-del-dividendo-de-repsol-n-718867" TargetMode="External"/><Relationship Id="rId3336" Type="http://schemas.openxmlformats.org/officeDocument/2006/relationships/hyperlink" Target="https://capital.es/tecnologia/que-se-sabe-del-ciberataque-que-ha-sufrido-repsol/99438/" TargetMode="External"/><Relationship Id="rId4667" Type="http://schemas.openxmlformats.org/officeDocument/2006/relationships/hyperlink" Target="https://www.mundodeportivo.com/solomoto/20241127/1002360627/llevas-aceite-cocina-usado-gasolinera-repsol-tendras-descuento-ayudas-fabricar-gasolina-renovable-puedes-comprar.html" TargetMode="External"/><Relationship Id="rId2007" Type="http://schemas.openxmlformats.org/officeDocument/2006/relationships/hyperlink" Target="https://cincodias.elpais.com/companias/2024-05-31/hacienda-pierde-la-batalla-contra-un-ex-alto-cargo-de-repsol-por-los-7-millones-de-indemnizacion-de-su-despido.html" TargetMode="External"/><Relationship Id="rId3339" Type="http://schemas.openxmlformats.org/officeDocument/2006/relationships/hyperlink" Target="https://www.adslzone.net/noticias/seguridad/robo-datos-contacto-clientes-luz-repsol/" TargetMode="External"/><Relationship Id="rId2008" Type="http://schemas.openxmlformats.org/officeDocument/2006/relationships/hyperlink" Target="https://www.magisnet.com/2024/05/fundacion-repsol-entrega-los-premios-zinkers-a-los-34-centros-que-han-impulsado-la-transicion-ecologica-a-traves-de-sus-iniciativas/" TargetMode="External"/><Relationship Id="rId3338" Type="http://schemas.openxmlformats.org/officeDocument/2006/relationships/hyperlink" Target="https://hipertextual.com/2024/09/repsol-sufre-el-mayor-hackeo-de-su-historia-te-afectan-los-datos-robados" TargetMode="External"/><Relationship Id="rId4669" Type="http://schemas.openxmlformats.org/officeDocument/2006/relationships/hyperlink" Target="https://www.capitalradio.es/noticias/bolsa/marc-ribes-cauteloso-repsol_135328006.html" TargetMode="External"/><Relationship Id="rId2009" Type="http://schemas.openxmlformats.org/officeDocument/2006/relationships/hyperlink" Target="https://okdiario.com/motor/nissan-repsol-renuevan-alianza-regalando-dos-recargas-electricas-que-compren-ariya-12913764" TargetMode="External"/><Relationship Id="rId4660" Type="http://schemas.openxmlformats.org/officeDocument/2006/relationships/hyperlink" Target="https://www.fotogramas.es/series-tv-noticias/a62972731/irene-escolar-bala-magica-repsol/" TargetMode="External"/><Relationship Id="rId3331" Type="http://schemas.openxmlformats.org/officeDocument/2006/relationships/hyperlink" Target="https://www.lavanguardia.com/andro4all/tecnologia/repsol-victima-de-un-ciberataque-los-datos-de-miles-de-clientes-habrian-sido-robados" TargetMode="External"/><Relationship Id="rId4662" Type="http://schemas.openxmlformats.org/officeDocument/2006/relationships/hyperlink" Target="https://www.guiarepsol.com/es/viajar/vamos-de-excursion/bosque-castanos-de-calabazas-caceres/" TargetMode="External"/><Relationship Id="rId2000" Type="http://schemas.openxmlformats.org/officeDocument/2006/relationships/hyperlink" Target="https://cadenaser.com/nacional/2024/05/29/no-tires-el-aceite-de-cocina-usado-asi-puedes-ganar-hasta-30-centimos-por-cada-litro-cadena-ser/" TargetMode="External"/><Relationship Id="rId3330" Type="http://schemas.openxmlformats.org/officeDocument/2006/relationships/hyperlink" Target="https://www.fundacionrepsol.com/es/noticias/fundacion-repsol-formaciones-asturias-extremadura-impulsar-empleo-sostenible-zonas-rurales/" TargetMode="External"/><Relationship Id="rId4661" Type="http://schemas.openxmlformats.org/officeDocument/2006/relationships/hyperlink" Target="https://www.elmundo.es/economia/empresas/2024/11/27/67472a0de85ece13768b45bf.html" TargetMode="External"/><Relationship Id="rId2001" Type="http://schemas.openxmlformats.org/officeDocument/2006/relationships/hyperlink" Target="https://www.heraldo.es/noticias/aragon/2024/05/29/alicantina-acteco-adquiere-plantas-zaragozanas-unilevel-invierte-millon-euros-1737585.html" TargetMode="External"/><Relationship Id="rId3333" Type="http://schemas.openxmlformats.org/officeDocument/2006/relationships/hyperlink" Target="https://www.ocu.org/tecnologia/antivirus/noticias/ciberataque-repsol" TargetMode="External"/><Relationship Id="rId4664" Type="http://schemas.openxmlformats.org/officeDocument/2006/relationships/hyperlink" Target="https://www.diariodelanzarote.com/noticia/el-restaurante-con-men%C3%BA-105-euros-que-trae-la-primera-estrella-michel%C3%ADn-lanzarote" TargetMode="External"/><Relationship Id="rId2002" Type="http://schemas.openxmlformats.org/officeDocument/2006/relationships/hyperlink" Target="https://www.infobae.com/peru/2024/05/30/detectan-presencia-de-petroleo-en-playa-del-callao-ong-advierte-que-hidrocarburo-podria-afectar-isla-san-lorenzo/" TargetMode="External"/><Relationship Id="rId3332" Type="http://schemas.openxmlformats.org/officeDocument/2006/relationships/hyperlink" Target="https://www.eleconomista.es/energia/noticias/12997305/09/24/repsol-compra-a-la-tailandesa-pttp-un-16-de-un-gran-yacimiento-en-mexico.html" TargetMode="External"/><Relationship Id="rId4663" Type="http://schemas.openxmlformats.org/officeDocument/2006/relationships/hyperlink" Target="https://www.ivoox.com/diego-gutierrez-analiza-acciones-telefonica-puig-audios-mp3_rf_136353191_1.html" TargetMode="External"/><Relationship Id="rId2003" Type="http://schemas.openxmlformats.org/officeDocument/2006/relationships/hyperlink" Target="https://www.lasprovincias.es/economia/repsol-paga-aceite-cocina-usado-quieres-casa-20240529014931-nt.html" TargetMode="External"/><Relationship Id="rId3335" Type="http://schemas.openxmlformats.org/officeDocument/2006/relationships/hyperlink" Target="https://elperiodicodelaenergia.com/repsol-eleva-peso-bloque-29-mexico-46-67-tras-comprar-participacion-tailandesa-pttep/" TargetMode="External"/><Relationship Id="rId4666" Type="http://schemas.openxmlformats.org/officeDocument/2006/relationships/hyperlink" Target="https://elcomercio.pe/publirreportaje/impulsared-el-programa-de-repsol-que-transforma-comunidades-con-sostenibilidad-e-inclusion-noticia/" TargetMode="External"/><Relationship Id="rId2004" Type="http://schemas.openxmlformats.org/officeDocument/2006/relationships/hyperlink" Target="https://www.elespanol.com/sociedad/consumo/repsol-regala-dinero-litro-aceite-cocina-usado-lleves-gasolineras/859164363_0.html" TargetMode="External"/><Relationship Id="rId3334" Type="http://schemas.openxmlformats.org/officeDocument/2006/relationships/hyperlink" Target="https://www.20minutos.es/lainformacion/empresas/iberdrola-repsol-cepsa-naturgy-precio-referencia-hidrogeno-abrir-mercado-espana-5635313/" TargetMode="External"/><Relationship Id="rId4665" Type="http://schemas.openxmlformats.org/officeDocument/2006/relationships/hyperlink" Target="https://www.huelvahoy.com/articulo/gastronomia/descubre-unico-restaurante-huelva-que-cuenta-estrella-verde-michelin/20241127110810333391.html" TargetMode="External"/><Relationship Id="rId3326" Type="http://schemas.openxmlformats.org/officeDocument/2006/relationships/hyperlink" Target="https://www.elespanol.com/cocinillas/actualidad-gastronomica/20240919/restaurante-pamplona-mejor-chef-cocina-verduras-vistas-ciudadela-sol-repsol/886911589_0.html" TargetMode="External"/><Relationship Id="rId4657" Type="http://schemas.openxmlformats.org/officeDocument/2006/relationships/hyperlink" Target="https://transporteprofesional.es/industria-auxiliar/servicios-transporte-logistica/repsol-alcanza-las-600-estaciones-de-servicio-con-combustible-100-renovable" TargetMode="External"/><Relationship Id="rId3325" Type="http://schemas.openxmlformats.org/officeDocument/2006/relationships/hyperlink" Target="https://elcierredigital.com/investigacion/gobierno-vende-naturgy-fondos-inversion-dominan-empresas-clave" TargetMode="External"/><Relationship Id="rId4656" Type="http://schemas.openxmlformats.org/officeDocument/2006/relationships/hyperlink" Target="https://diariodeavisos.elespanol.com/2024/11/tenerife-guia-michelin/" TargetMode="External"/><Relationship Id="rId3328" Type="http://schemas.openxmlformats.org/officeDocument/2006/relationships/hyperlink" Target="https://www.larazon.es/economia/que-diferencia-hay-gasolineras-low-cost-normales_2024091966eba2cefcf7b300013956ae.html" TargetMode="External"/><Relationship Id="rId4659" Type="http://schemas.openxmlformats.org/officeDocument/2006/relationships/hyperlink" Target="https://www.elespanol.com/motor/20241127/repsol-acerca-estaciones-cuentan-nuevo-diesel-renovable-reduce-co2/904160165_0.html" TargetMode="External"/><Relationship Id="rId3327" Type="http://schemas.openxmlformats.org/officeDocument/2006/relationships/hyperlink" Target="https://www.libremercado.com/2024-09-19/hacienda-planea-extender-la-aplicacion-del-impuesto-energetico-para-castigar-especificamente-a-los-combustibles-fosiles-7164743/" TargetMode="External"/><Relationship Id="rId4658" Type="http://schemas.openxmlformats.org/officeDocument/2006/relationships/hyperlink" Target="https://www.mundodeportivo.com/motor/rally-dakar/20241127/1002360790/repsol-toyota-renuevan-acuerdo-dakar.html" TargetMode="External"/><Relationship Id="rId3329" Type="http://schemas.openxmlformats.org/officeDocument/2006/relationships/hyperlink" Target="https://www.alimente.elconfidencial.com/gastronomia-y-cocina/2024-09-19/1qrt-restaurante-recomienda-guia-michelin-pueblo-300-habitantes-donde-comes-por-menos-40-euros_3964684/" TargetMode="External"/><Relationship Id="rId3320" Type="http://schemas.openxmlformats.org/officeDocument/2006/relationships/hyperlink" Target="https://elperiodicodelaenergia.com/presentan-proyecto-generar-biometano-restos-olivar-granjas-porcinas/" TargetMode="External"/><Relationship Id="rId4651" Type="http://schemas.openxmlformats.org/officeDocument/2006/relationships/hyperlink" Target="https://elperiodicodelaenergia.com/brufau-e-imaz-supervisan-el-proyecto-alba-de-repsol-en-portugal/" TargetMode="External"/><Relationship Id="rId4650" Type="http://schemas.openxmlformats.org/officeDocument/2006/relationships/hyperlink" Target="https://www.lavanguardia.com/economia/20241126/10140331/junts-exigen-electricas-paguen-impuesto-energetico.html" TargetMode="External"/><Relationship Id="rId3322" Type="http://schemas.openxmlformats.org/officeDocument/2006/relationships/hyperlink" Target="https://www.motorbikemag.es/santi-hernandez-analisis-tecnico-motogp-puntos-debiles-honda/" TargetMode="External"/><Relationship Id="rId4653" Type="http://schemas.openxmlformats.org/officeDocument/2006/relationships/hyperlink" Target="https://metropoliabierta.elespanol.com/vivir-en-barcelona/20241126/estos-son-los-mejores-bocadillos-de-barcelona-segun-la-guia-repsol-hacen-en-un-bar-centenario/904159640_0.html" TargetMode="External"/><Relationship Id="rId3321" Type="http://schemas.openxmlformats.org/officeDocument/2006/relationships/hyperlink" Target="https://www.retema.es/actualidad/jaen-se-prepara-para-nuevos-proyectos-de-produccion-de-biometano" TargetMode="External"/><Relationship Id="rId4652" Type="http://schemas.openxmlformats.org/officeDocument/2006/relationships/hyperlink" Target="https://autohebdosport.com/competicion/off-road/toyota-gazoo-racing-desvela-sus-cartas-para-el-dakar-2025" TargetMode="External"/><Relationship Id="rId3324" Type="http://schemas.openxmlformats.org/officeDocument/2006/relationships/hyperlink" Target="https://www.20minutos.es/gastronomia/restaurantes/bar-castizo-madrid-mejor-pincho-tortilla-patatas-guia-repsol-5633281/" TargetMode="External"/><Relationship Id="rId4655" Type="http://schemas.openxmlformats.org/officeDocument/2006/relationships/hyperlink" Target="https://cincodias.elpais.com/fortunas/2024-11-26/los-xvii-premios-cincodias-a-la-innovacion-empresarial-en-imagenes.html" TargetMode="External"/><Relationship Id="rId3323" Type="http://schemas.openxmlformats.org/officeDocument/2006/relationships/hyperlink" Target="https://www.desdeadentro.pe/2024/09/emprendimiento-del-bajo-urubamba-apoyado-por-repsol-es-reconocido-con-un-premio-nacional/" TargetMode="External"/><Relationship Id="rId4654" Type="http://schemas.openxmlformats.org/officeDocument/2006/relationships/hyperlink" Target="https://gestion.pe/publirreportaje/repsol-lidera-la-seguridad-y-transformacion-energetica-en-el-peru-noticia/" TargetMode="External"/><Relationship Id="rId5130" Type="http://schemas.openxmlformats.org/officeDocument/2006/relationships/hyperlink" Target="https://elperiodicodelaenergia.com/repsol-recibe-4-779-millones-de-fondos-europeos-gestionados-por-un-organismo-de-transicion-ecologica/" TargetMode="External"/><Relationship Id="rId5131" Type="http://schemas.openxmlformats.org/officeDocument/2006/relationships/hyperlink" Target="https://www.pressdigital.es/articulo/economia/2024-12-23/5117635-repsol-recibe-4779-millones-fondos-europeos-gestionados-organismo-transicion-ecologica" TargetMode="External"/><Relationship Id="rId5134" Type="http://schemas.openxmlformats.org/officeDocument/2006/relationships/hyperlink" Target="https://www.periodicopublicidad.com/articulo/campanas/primera-felicitacion-navidena-inteligencia-artificial/20241223104244151745.html" TargetMode="External"/><Relationship Id="rId5135" Type="http://schemas.openxmlformats.org/officeDocument/2006/relationships/hyperlink" Target="https://www.moto1pro.com/enduropro/actualidad/gabriel-marcelli-renueva-con-el-repsol-honda-team-hasta-el-2027" TargetMode="External"/><Relationship Id="rId5132" Type="http://schemas.openxmlformats.org/officeDocument/2006/relationships/hyperlink" Target="https://www.elpublicista.es/anunciantes/repsol-permte-crear-tu-felicitacion-navidena-ia" TargetMode="External"/><Relationship Id="rId5133" Type="http://schemas.openxmlformats.org/officeDocument/2006/relationships/hyperlink" Target="https://www.guiarepsol.com/es/comer/en-el-mercado/el-beato-el-burgo-de-osma-soria-dulce-torrezno/" TargetMode="External"/><Relationship Id="rId5138" Type="http://schemas.openxmlformats.org/officeDocument/2006/relationships/hyperlink" Target="https://www.eleconomista.es/mercados-cotizaciones/noticias/13144253/12/24/repsol-acs-vidrala-amadeus-acerinox-neinor-las-ultimas-novedades-en-dividendos.html" TargetMode="External"/><Relationship Id="rId5139" Type="http://schemas.openxmlformats.org/officeDocument/2006/relationships/hyperlink" Target="https://www.abc.es/gente/vida-javier-capitan-presentador-informal-tras-desaparecer-20241223082434-nt.html" TargetMode="External"/><Relationship Id="rId5136" Type="http://schemas.openxmlformats.org/officeDocument/2006/relationships/hyperlink" Target="https://www.cronista.com/espana/ibex-euro/repsol-asi-abre-la-cotizacion-hoy-lunes-23-de-diciembre-cuanto-rinden-los-dividendos/" TargetMode="External"/><Relationship Id="rId5137" Type="http://schemas.openxmlformats.org/officeDocument/2006/relationships/hyperlink" Target="https://www.guiarepsol.com/es/comer/en-el-mercado/roscon-boske-bakrey-torrelodones/" TargetMode="External"/><Relationship Id="rId5129" Type="http://schemas.openxmlformats.org/officeDocument/2006/relationships/hyperlink" Target="https://elasombrario.publico.es/gistredo-el-negocio-eolico-de-repsol-o-el-oso-pardo-y-el-urogallo/" TargetMode="External"/><Relationship Id="rId2090" Type="http://schemas.openxmlformats.org/officeDocument/2006/relationships/hyperlink" Target="https://www.repsol.com/es/energia-futuro/personas/fp-con-mas-salidas/index.cshtml" TargetMode="External"/><Relationship Id="rId2091" Type="http://schemas.openxmlformats.org/officeDocument/2006/relationships/hyperlink" Target="https://www.energynews.es/suma-capital-repsol-capta-125-millones/" TargetMode="External"/><Relationship Id="rId2092" Type="http://schemas.openxmlformats.org/officeDocument/2006/relationships/hyperlink" Target="https://www.economistjurist.es/podcast/metaverso-harvey-y-el-proyecto-protea-en-legaltech-zone/" TargetMode="External"/><Relationship Id="rId2093" Type="http://schemas.openxmlformats.org/officeDocument/2006/relationships/hyperlink" Target="https://www.ecologistasenaccion.org/318572/ecologistas-en-accion-denuncia-el-patrocinio-de-repsol-en-la-feria-del-libro-de-madrid-con-una-protesta-en-el-retiro/" TargetMode="External"/><Relationship Id="rId5120" Type="http://schemas.openxmlformats.org/officeDocument/2006/relationships/hyperlink" Target="https://www.estrategiasdeinversion.com/analisis/bolsa-y-mercados/el-experto-opina/iag-repsol-tesla-solaria-y-nvida-entre-las-acciones-n-772785" TargetMode="External"/><Relationship Id="rId2094" Type="http://schemas.openxmlformats.org/officeDocument/2006/relationships/hyperlink" Target="https://www.repsol.es/particulares/asesoramiento-consumo/cambio-contadores-analogicos-gas-por-digitales/" TargetMode="External"/><Relationship Id="rId2095" Type="http://schemas.openxmlformats.org/officeDocument/2006/relationships/hyperlink" Target="https://brandfinance.com/press-releases/los-espanoles-buscan-empresas-con-buena-reputacion-y-altas-remuneraciones-para-trabajar" TargetMode="External"/><Relationship Id="rId2096" Type="http://schemas.openxmlformats.org/officeDocument/2006/relationships/hyperlink" Target="https://www.boxrepsol.com/es/cultura-motera/motos-mas-baratas-del-mercado/" TargetMode="External"/><Relationship Id="rId5123" Type="http://schemas.openxmlformats.org/officeDocument/2006/relationships/hyperlink" Target="https://www.lavanguardia.com/economia/20241222/10230388/pedro-sanchez-le-queda-politica.html" TargetMode="External"/><Relationship Id="rId2097" Type="http://schemas.openxmlformats.org/officeDocument/2006/relationships/hyperlink" Target="https://www.huelva24.com/provincia/costa/debes-ver-visitas-isla-cristina-segun-guia-20240605175612-nth.html" TargetMode="External"/><Relationship Id="rId5124" Type="http://schemas.openxmlformats.org/officeDocument/2006/relationships/hyperlink" Target="https://www.rtve.es/play/videos/telediario-fin-de-semana/toni-bou-cae-ante-busto-prueba-trail-indoor-madrid/16383224/" TargetMode="External"/><Relationship Id="rId2098" Type="http://schemas.openxmlformats.org/officeDocument/2006/relationships/hyperlink" Target="https://www.elmundo.es/economia/dinero-inversion/2024/06/07/66631b16fdddfff8a48b45b2.html" TargetMode="External"/><Relationship Id="rId5121" Type="http://schemas.openxmlformats.org/officeDocument/2006/relationships/hyperlink" Target="https://www.bancaynegocios.com/petroperu-confirma-derrame-de-crudo-en-terminal-submarino-de-la-refineria-de-talara/" TargetMode="External"/><Relationship Id="rId2099" Type="http://schemas.openxmlformats.org/officeDocument/2006/relationships/hyperlink" Target="https://expansion.mx/empresas/2024/06/07/iberdrola-vs-repsol-muestra-de-greenwashing-sector-petrolero" TargetMode="External"/><Relationship Id="rId5122" Type="http://schemas.openxmlformats.org/officeDocument/2006/relationships/hyperlink" Target="https://diariodeavisos.elespanol.com/2024/12/la-chasnera-no-deja-de-sorprender-ademas-de-varios-premios-de-la-loteria-de-navidad-da-la-primitiva/" TargetMode="External"/><Relationship Id="rId5127" Type="http://schemas.openxmlformats.org/officeDocument/2006/relationships/hyperlink" Target="https://www.energias-renovables.com/panorama/repsol-la-petrolera-del-no-al-impuesto-20241223" TargetMode="External"/><Relationship Id="rId5128" Type="http://schemas.openxmlformats.org/officeDocument/2006/relationships/hyperlink" Target="https://www.eleconomista.es/energia/noticias/13143549/12/24/repsol-tira-la-toalla-con-la-geotermia-canaria-y-abandona-el-concurso-de-la-palma.html" TargetMode="External"/><Relationship Id="rId5125" Type="http://schemas.openxmlformats.org/officeDocument/2006/relationships/hyperlink" Target="https://www.infobae.com/peru/2024/12/22/derrame-de-petroleo-en-lobitos-piura-claves-para-comprender-la-magnitud-de-esta-emergencia-ambiental-que-impacta-fauna-playas-y-medios-de-vida/" TargetMode="External"/><Relationship Id="rId5126" Type="http://schemas.openxmlformats.org/officeDocument/2006/relationships/hyperlink" Target="https://www.lavanguardia.com/deportes/20241222/10231538/toni-bou-trial-madrid-derrota-pierde-jaime-busto-mundial-indoor-primera-carrera.html" TargetMode="External"/><Relationship Id="rId5152" Type="http://schemas.openxmlformats.org/officeDocument/2006/relationships/hyperlink" Target="https://www.eldebate.com/estilo-vida/restaurantes/20241224/bar-madrid-mejor-bocata-calamares-segun-guia-repsol_255780.html" TargetMode="External"/><Relationship Id="rId5153" Type="http://schemas.openxmlformats.org/officeDocument/2006/relationships/hyperlink" Target="https://www.economiadigital.es/empresas/impuesto-iberdrola-repsol-endesa-naturgy-deducirse-inversion-hidrogeno.html" TargetMode="External"/><Relationship Id="rId5150" Type="http://schemas.openxmlformats.org/officeDocument/2006/relationships/hyperlink" Target="https://www.guiarepsol.com/es/comer/en-el-mercado/mercado-san-cristobal-madrid/" TargetMode="External"/><Relationship Id="rId5151" Type="http://schemas.openxmlformats.org/officeDocument/2006/relationships/hyperlink" Target="https://www.cronista.com/espana/ibex-euro/repsol-asi-abre-la-cotizacion-hoy-martes-24-de-diciembre-cuanto-rinden-los-dividendos/" TargetMode="External"/><Relationship Id="rId5156" Type="http://schemas.openxmlformats.org/officeDocument/2006/relationships/hyperlink" Target="https://www.lacomarca.net/bajo-aragon-historico-ilumina-cinco-nuevos-soletes-solera-guia-repsol/" TargetMode="External"/><Relationship Id="rId5157" Type="http://schemas.openxmlformats.org/officeDocument/2006/relationships/hyperlink" Target="https://www.merca2.es/2024/12/25/acerinox-redeia-dividendo-2104121/" TargetMode="External"/><Relationship Id="rId5154" Type="http://schemas.openxmlformats.org/officeDocument/2006/relationships/hyperlink" Target="https://www.elespanol.com/invertia/empresas/energia/20241224/energeticas-convencidas-pnv-junts-frenaran-impuestazo-salvaran-millones-inversion/910909201_0.html" TargetMode="External"/><Relationship Id="rId5155" Type="http://schemas.openxmlformats.org/officeDocument/2006/relationships/hyperlink" Target="https://www.infobae.com/peru/2024/12/23/derrame-de-petroleo-en-piura-2500-familias-de-pescadores-artesanales-fueron-afectadas-por-hidrocarburos-en-el-mar/" TargetMode="External"/><Relationship Id="rId5158" Type="http://schemas.openxmlformats.org/officeDocument/2006/relationships/hyperlink" Target="https://cincodias.elpais.com/opinion/2024-12-26/las-claves-el-gris-debate-sobre-la-inversion-verde.html" TargetMode="External"/><Relationship Id="rId5159" Type="http://schemas.openxmlformats.org/officeDocument/2006/relationships/hyperlink" Target="https://www.elespanol.com/quincemil/vivir/gastroferrol/20241225/mejores-restaurantes-ferrol-revelan-clave-exito-honestidad-producto-local/911159032_0.html" TargetMode="External"/><Relationship Id="rId5141" Type="http://schemas.openxmlformats.org/officeDocument/2006/relationships/hyperlink" Target="https://buenapepa.pe/talara-esto-dice-petroperu-sobre-derrame-de-petroleo/" TargetMode="External"/><Relationship Id="rId5142" Type="http://schemas.openxmlformats.org/officeDocument/2006/relationships/hyperlink" Target="https://graficoaldia.mx/2024/12/23/repsol-las-potrancas-y-la-fontana-realizan-posada-navidena-a-los-ninos/" TargetMode="External"/><Relationship Id="rId5140" Type="http://schemas.openxmlformats.org/officeDocument/2006/relationships/hyperlink" Target="https://www.guiarepsol.com/es/viajar/vamos-de-excursion/destinos-para-viajar-en-2025/" TargetMode="External"/><Relationship Id="rId5145" Type="http://schemas.openxmlformats.org/officeDocument/2006/relationships/hyperlink" Target="https://ileon.eldiario.es/opinion/la-sierra-de-gistredo-repsol-y-el-psoe-columna-luis-alvarez-ecologia-peligros-energias-renovables-oso-y-urogallo_129_11923576.html" TargetMode="External"/><Relationship Id="rId5146" Type="http://schemas.openxmlformats.org/officeDocument/2006/relationships/hyperlink" Target="https://www.elperiodicoextremadura.com/caceres-local/2024/12/24/pueblo-41-habitantes-caceres-solete-112887916.html" TargetMode="External"/><Relationship Id="rId5143" Type="http://schemas.openxmlformats.org/officeDocument/2006/relationships/hyperlink" Target="https://controlpublicidad.com/campanas-publicitarias/repsol-lanza-una-felicitacion-navidena-con-inteligencia-artificial/" TargetMode="External"/><Relationship Id="rId5144" Type="http://schemas.openxmlformats.org/officeDocument/2006/relationships/hyperlink" Target="https://www.businessinsider.es/desarrollo-profesional/opinan-teletrabajo-flexibilidad-lideres-rrhh-mcdonalds-telefonica-bbva-repsol-no-freir-croquetas-poner-lavadoras-1429215" TargetMode="External"/><Relationship Id="rId5149" Type="http://schemas.openxmlformats.org/officeDocument/2006/relationships/hyperlink" Target="https://cronicavasca.elespanol.com/empresas/20241224/en-standby-millones-de-inversiones-petronor-euskadi/910908953_0.html" TargetMode="External"/><Relationship Id="rId5147" Type="http://schemas.openxmlformats.org/officeDocument/2006/relationships/hyperlink" Target="https://www.elconfidencial.com/sociedad/2024-12-24/voluntariado-repsol-eficiencia-energetica-bra_4031228/" TargetMode="External"/><Relationship Id="rId5148" Type="http://schemas.openxmlformats.org/officeDocument/2006/relationships/hyperlink" Target="https://www.economiadigital.es/empresas/iberdrola-repsol-endesa-naturgy-deducirse-60-impuesto.html" TargetMode="External"/><Relationship Id="rId3391" Type="http://schemas.openxmlformats.org/officeDocument/2006/relationships/hyperlink" Target="https://www.articulo66.com/2024/09/23/maduro-se-reune-con-directivos-repsol-medio-tension-venezuela-espana/" TargetMode="External"/><Relationship Id="rId2060" Type="http://schemas.openxmlformats.org/officeDocument/2006/relationships/hyperlink" Target="https://www.repsol.es/particulares/asesoramiento-consumo/usos-waylet-movilidad-electrica/" TargetMode="External"/><Relationship Id="rId3390" Type="http://schemas.openxmlformats.org/officeDocument/2006/relationships/hyperlink" Target="https://radiomiraflores.net.ve/repsol/" TargetMode="External"/><Relationship Id="rId2061" Type="http://schemas.openxmlformats.org/officeDocument/2006/relationships/hyperlink" Target="https://www.diariomotor.com/noticia/iberdrola-repsol-greenwashing/" TargetMode="External"/><Relationship Id="rId3393" Type="http://schemas.openxmlformats.org/officeDocument/2006/relationships/hyperlink" Target="https://www.vtv.gob.ve/directivos-repsol-ministra-delcy-rodriguez-alianzas/" TargetMode="External"/><Relationship Id="rId2062" Type="http://schemas.openxmlformats.org/officeDocument/2006/relationships/hyperlink" Target="https://www.guiarepsol.com/es/comer/nuestros-favoritos/restaurante-muka-donostia/" TargetMode="External"/><Relationship Id="rId3392" Type="http://schemas.openxmlformats.org/officeDocument/2006/relationships/hyperlink" Target="https://efectococuyo.com/economia/gobierno-de-maduro-y-repsol-avanzan-en-nuevos-acuerdos-de-cooperacion-energetica/" TargetMode="External"/><Relationship Id="rId2063" Type="http://schemas.openxmlformats.org/officeDocument/2006/relationships/hyperlink" Target="https://www.guiarepsol.com/es/viajar/nos-gusta/wooldreamers-mota-del-cuervo/" TargetMode="External"/><Relationship Id="rId3395" Type="http://schemas.openxmlformats.org/officeDocument/2006/relationships/hyperlink" Target="https://www.redimin.cl/espanola-grenergy-adquiere-el-100-de-la-cartera-solar-en-chile-al-joint-venture-entre-repsol-y-el-grupo-ibereolica/" TargetMode="External"/><Relationship Id="rId2064" Type="http://schemas.openxmlformats.org/officeDocument/2006/relationships/hyperlink" Target="https://www.eldiariomontanes.es/region/occidental/ies-jose-hierro-san-vicente-gana-premio-20240604115211-nt.html" TargetMode="External"/><Relationship Id="rId3394" Type="http://schemas.openxmlformats.org/officeDocument/2006/relationships/hyperlink" Target="https://www.notitarde.com.ve/pais/57843/presidente-nicolas-maduro-se-reunio-con-directivos-de-repsol" TargetMode="External"/><Relationship Id="rId2065" Type="http://schemas.openxmlformats.org/officeDocument/2006/relationships/hyperlink" Target="https://www.elespanol.com/madrid/ocio/20240604/increible-menu-nikkei-madrid-restaurante-sol-repsol-entrantes-plato-principal-nigiris/859164267_0.html" TargetMode="External"/><Relationship Id="rId3397" Type="http://schemas.openxmlformats.org/officeDocument/2006/relationships/hyperlink" Target="http://radiomundial.com.ve/presidente-maduro-se-reune-con-ejecutivos-de-repsol-para-fortalecer-acuerdos-energeticos/" TargetMode="External"/><Relationship Id="rId2066" Type="http://schemas.openxmlformats.org/officeDocument/2006/relationships/hyperlink" Target="https://www.las2orillas.co/ellos-son-los-petroleros-espanoles-que-llevan-40-anos-explorando-y-sacando-crudo-en-colombia/" TargetMode="External"/><Relationship Id="rId3396" Type="http://schemas.openxmlformats.org/officeDocument/2006/relationships/hyperlink" Target="https://www.eluniversal.com.mx/mundo/gobierno-de-venezuela-y-repsol-avanzan-en-nuevos-acuerdos-de-cooperacion-energetica/" TargetMode="External"/><Relationship Id="rId2067" Type="http://schemas.openxmlformats.org/officeDocument/2006/relationships/hyperlink" Target="https://www.latribunadeautomocion.es/2024/06/sese-repsol-alcanzan-mayor-acuerdo-suministro-combustible-renovable-espana/" TargetMode="External"/><Relationship Id="rId3399" Type="http://schemas.openxmlformats.org/officeDocument/2006/relationships/hyperlink" Target="https://primicia.com.ve/nacion/maduro-se-reunio-con-representantes-de-repsol-en-busca-de-nuevas-alianzas/" TargetMode="External"/><Relationship Id="rId2068" Type="http://schemas.openxmlformats.org/officeDocument/2006/relationships/hyperlink" Target="https://elperiodicodelaenergia.com/gamesa-electric-suministrara-245-mw-inversores-solares-repsol-plantas-fotovoltaicas/" TargetMode="External"/><Relationship Id="rId3398" Type="http://schemas.openxmlformats.org/officeDocument/2006/relationships/hyperlink" Target="https://ultimasnoticias.com.ve/general/pdvsa-y-repsol-revisan-acuerdos-de-cooperacion-energetica/" TargetMode="External"/><Relationship Id="rId2069" Type="http://schemas.openxmlformats.org/officeDocument/2006/relationships/hyperlink" Target="https://www.ideal.es/andalucia/guia-repsol-mejores-chiringuitos-terrazas-andalucia-provincias-20240605112339-nt.html" TargetMode="External"/><Relationship Id="rId3380" Type="http://schemas.openxmlformats.org/officeDocument/2006/relationships/hyperlink" Target="https://www.elnuevoherald.com/noticias/america-latina/venezuela-es/article292946299.html" TargetMode="External"/><Relationship Id="rId2050" Type="http://schemas.openxmlformats.org/officeDocument/2006/relationships/hyperlink" Target="https://www.puromarketing.com/146/213910/sostenibilidad-impulsa-crecimiento-marcas-espanolas-zara-santander-mercadona-cabeza" TargetMode="External"/><Relationship Id="rId3382" Type="http://schemas.openxmlformats.org/officeDocument/2006/relationships/hyperlink" Target="https://apnews.com/world-news/general-news-4b5abc8488d4d7be2a0f43d4ec151df5" TargetMode="External"/><Relationship Id="rId2051" Type="http://schemas.openxmlformats.org/officeDocument/2006/relationships/hyperlink" Target="https://elperiodicodelaenergia.com/autoridades-japonesas-entran-sede-toyota-irregularidades-certificacion-coches/" TargetMode="External"/><Relationship Id="rId3381" Type="http://schemas.openxmlformats.org/officeDocument/2006/relationships/hyperlink" Target="https://www.motor16.com/comunicados/cuanto-cuesta-litro-adblue-gasolineras/" TargetMode="External"/><Relationship Id="rId2052" Type="http://schemas.openxmlformats.org/officeDocument/2006/relationships/hyperlink" Target="https://www.motogp.com/es/news/2024/06/03/al-minuto-asi-vivimos-todas-las-novedades-del-test-de-mugello/500687" TargetMode="External"/><Relationship Id="rId3384" Type="http://schemas.openxmlformats.org/officeDocument/2006/relationships/hyperlink" Target="https://www.repsol.es/particulares/asesoramiento-consumo/mejores-cargadores-coches-electricos/" TargetMode="External"/><Relationship Id="rId2053" Type="http://schemas.openxmlformats.org/officeDocument/2006/relationships/hyperlink" Target="https://www.repsol.com/es/productos-y-servicios/apps-y-herramientas/wible/index.cshtml" TargetMode="External"/><Relationship Id="rId3383" Type="http://schemas.openxmlformats.org/officeDocument/2006/relationships/hyperlink" Target="https://www.infodefensa.com/texto-diario/mostrar/5006447/caza-f-18-ejercito-aire-vuela-primera-vez-combustible-sostenible-repsol" TargetMode="External"/><Relationship Id="rId2054" Type="http://schemas.openxmlformats.org/officeDocument/2006/relationships/hyperlink" Target="https://www.repsol.com/es/productos-y-servicios/apps-y-herramientas/waylet/index.cshtml" TargetMode="External"/><Relationship Id="rId3386" Type="http://schemas.openxmlformats.org/officeDocument/2006/relationships/hyperlink" Target="https://www.elespanol.com/malaga/malaga-ciudad/20240923/bosque-urbano-malaga-abre-nueva-colecta-vecinal-pagar-lucha-judicial-torres-repsol/888161496_0.html" TargetMode="External"/><Relationship Id="rId2055" Type="http://schemas.openxmlformats.org/officeDocument/2006/relationships/hyperlink" Target="https://www.repsol.com/es/productos-y-servicios/apps-y-herramientas/index.cshtml" TargetMode="External"/><Relationship Id="rId3385" Type="http://schemas.openxmlformats.org/officeDocument/2006/relationships/hyperlink" Target="https://edatv.news/actualidad/popular-estafa-acaba-regresar-espana-no-abras-puerta" TargetMode="External"/><Relationship Id="rId2056" Type="http://schemas.openxmlformats.org/officeDocument/2006/relationships/hyperlink" Target="https://www.repsol.com/es/productos-y-servicios/soluciones-de-movilidad/combustibles/index.cshtml" TargetMode="External"/><Relationship Id="rId3388" Type="http://schemas.openxmlformats.org/officeDocument/2006/relationships/hyperlink" Target="https://www.telesurtv.net/presidente-maduro-sostiene-encuentro-con-autoridades-de-la-energetica-repsol/" TargetMode="External"/><Relationship Id="rId2057" Type="http://schemas.openxmlformats.org/officeDocument/2006/relationships/hyperlink" Target="https://www.repsol.com/es/productos-y-servicios/apps-y-herramientas/vivit/index.cshtml" TargetMode="External"/><Relationship Id="rId3387" Type="http://schemas.openxmlformats.org/officeDocument/2006/relationships/hyperlink" Target="https://www.boxrepsol.com/es/motogp/motogp-indonesia-horarios-donde-ver-la-carrera-tv-online-directo/" TargetMode="External"/><Relationship Id="rId2058" Type="http://schemas.openxmlformats.org/officeDocument/2006/relationships/hyperlink" Target="https://www.repsol.com/es/productos-y-servicios/soluciones-de-movilidad/index.cshtml" TargetMode="External"/><Relationship Id="rId2059" Type="http://schemas.openxmlformats.org/officeDocument/2006/relationships/hyperlink" Target="https://www.repsol.com/es/productos-y-servicios/soluciones-de-movilidad/movilidad-electrica/index.cshtml" TargetMode="External"/><Relationship Id="rId3389" Type="http://schemas.openxmlformats.org/officeDocument/2006/relationships/hyperlink" Target="https://www.lapatilla.com/2024/09/23/el-pais-venezuela-y-repsol-obligados-a-entenderse/" TargetMode="External"/><Relationship Id="rId5118" Type="http://schemas.openxmlformats.org/officeDocument/2006/relationships/hyperlink" Target="https://okdiario.com/gastronomia/uno-mejores-bares-carretera-espana-esta-pleno-camino-santiago-no-tiene-carta-lo-recomienda-repsol-13971192" TargetMode="External"/><Relationship Id="rId5119" Type="http://schemas.openxmlformats.org/officeDocument/2006/relationships/hyperlink" Target="https://www.finanzas.com/ibex-35/iberdrola-repsol-las-companias-espanolas-repartiran-3-000me-de-dividendos-en-enero.html" TargetMode="External"/><Relationship Id="rId2080" Type="http://schemas.openxmlformats.org/officeDocument/2006/relationships/hyperlink" Target="https://diario.infoperiodistas.info/sanchez-galan-dispara-desde-iberdrola-a-repsol/" TargetMode="External"/><Relationship Id="rId2081" Type="http://schemas.openxmlformats.org/officeDocument/2006/relationships/hyperlink" Target="https://www.legalsport.net/polideportivo/motor/moto-gp/incierto-futuro-honda-sin-repsol-resultados/" TargetMode="External"/><Relationship Id="rId2082" Type="http://schemas.openxmlformats.org/officeDocument/2006/relationships/hyperlink" Target="https://www.guiarepsol.com/es/viajar/vamos-de-excursion/donde-se-rodo-segunda-muerte-movistar/" TargetMode="External"/><Relationship Id="rId2083" Type="http://schemas.openxmlformats.org/officeDocument/2006/relationships/hyperlink" Target="https://www.20minutos.es/lainformacion/economia-y-finanzas/marc-marquez-ficha-por-ducati-dinero-que-ha-ganado-moto-gp-sus-negocios-fuera-las-pistas-5422004/" TargetMode="External"/><Relationship Id="rId2084" Type="http://schemas.openxmlformats.org/officeDocument/2006/relationships/hyperlink" Target="https://www.elnacional.cat/es/gourmeteria/articulos/premios-restaurante-disfrutar_1229109_102.html" TargetMode="External"/><Relationship Id="rId2085" Type="http://schemas.openxmlformats.org/officeDocument/2006/relationships/hyperlink" Target="https://www.harpersbazaar.com/es/cultura/viajes-planes/a61012115/disfrutar-restaurante-barcelona-mejor-mundo/" TargetMode="External"/><Relationship Id="rId5112" Type="http://schemas.openxmlformats.org/officeDocument/2006/relationships/hyperlink" Target="https://www.diario.red/articulo/canal-red/repsol-vota-congreso-elcierre/20241220132620040200.html" TargetMode="External"/><Relationship Id="rId2086" Type="http://schemas.openxmlformats.org/officeDocument/2006/relationships/hyperlink" Target="https://www.expansion.com/mercados/2024/05/30/66581663f2348d00497b9faa-directo.html" TargetMode="External"/><Relationship Id="rId5113" Type="http://schemas.openxmlformats.org/officeDocument/2006/relationships/hyperlink" Target="https://www.boxrepsol.com/es/trial/resultados-y-resumen-del-x-trial-de-madrid-2025/" TargetMode="External"/><Relationship Id="rId2087" Type="http://schemas.openxmlformats.org/officeDocument/2006/relationships/hyperlink" Target="https://okdiario.com/okgreen/sonometro-tu-moto-combustion-primer-paso-controlar-contaminacion-acustica-12942688" TargetMode="External"/><Relationship Id="rId5110" Type="http://schemas.openxmlformats.org/officeDocument/2006/relationships/hyperlink" Target="https://okdiario.com/gastronomia/guia-repsol-tres-mejor-bares-madrid-comer-bocadillo-calamares-2024-13953648" TargetMode="External"/><Relationship Id="rId2088" Type="http://schemas.openxmlformats.org/officeDocument/2006/relationships/hyperlink" Target="https://forbes.es/economia/475104/repsol-zara-y-mercadona-obtienen-la-mejor-puntuacion-entre-las-marcas-empleadoras-segun-brand-finance/" TargetMode="External"/><Relationship Id="rId5111" Type="http://schemas.openxmlformats.org/officeDocument/2006/relationships/hyperlink" Target="https://www.merca2.es/2024/12/21/repsol-350-kilos-inversiones-2101891/" TargetMode="External"/><Relationship Id="rId2089" Type="http://schemas.openxmlformats.org/officeDocument/2006/relationships/hyperlink" Target="https://www.elindependiente.com/economia/2024/06/07/las-low-cost-aprovechan-los-minimos-anuales-y-ponen-30-centimos-mas-barata-la-gasolina-que-repsol-y-cepsa/" TargetMode="External"/><Relationship Id="rId5116" Type="http://schemas.openxmlformats.org/officeDocument/2006/relationships/hyperlink" Target="https://www.larazon.es/castilla-la-mancha/son-46-restaurantes-castilla-mancha-recomendados-chefs-mas-top-espana/20241221/1141766.html" TargetMode="External"/><Relationship Id="rId5117" Type="http://schemas.openxmlformats.org/officeDocument/2006/relationships/hyperlink" Target="https://www.diario.red/articulo/actualidad/semana-pnv-alio-pp-vox-derogar-gravamen-energeticas-como-pedia-josu-jon-imaz/20241220114546040191.html" TargetMode="External"/><Relationship Id="rId5114" Type="http://schemas.openxmlformats.org/officeDocument/2006/relationships/hyperlink" Target="https://www.finanzas.com/ibex-35/seis-valores-de-la-bolsa-espanola-para-hacer-cartera-estas-navidades.html" TargetMode="External"/><Relationship Id="rId5115" Type="http://schemas.openxmlformats.org/officeDocument/2006/relationships/hyperlink" Target="https://diariodeavisos.elespanol.com/2024/12/la-loteria-de-navidad-se-cita-con-la-chasnera-el-surtidor-de-la-fortuna/" TargetMode="External"/><Relationship Id="rId5109" Type="http://schemas.openxmlformats.org/officeDocument/2006/relationships/hyperlink" Target="https://elbierzo.eldiario.es/comarca/iu-laciana-ataca-negociacion-ponfeblino-repsol-no-vendan-punado-euros_1_11920464.html" TargetMode="External"/><Relationship Id="rId5107" Type="http://schemas.openxmlformats.org/officeDocument/2006/relationships/hyperlink" Target="https://www.lasexta.com/motor/noticias/repsol-ayudara-150-euros-repostaje-afectados-dana_202412216766e4e14f1fb70001992fd6.html" TargetMode="External"/><Relationship Id="rId5108" Type="http://schemas.openxmlformats.org/officeDocument/2006/relationships/hyperlink" Target="https://www.diariodeleon.es/bierzo/241221/1745900/repsol-completa-macroplan-eolico-bierzo.html" TargetMode="External"/><Relationship Id="rId2070" Type="http://schemas.openxmlformats.org/officeDocument/2006/relationships/hyperlink" Target="https://madridsecreto.co/en/new-repsol-stars-madrid/" TargetMode="External"/><Relationship Id="rId2071" Type="http://schemas.openxmlformats.org/officeDocument/2006/relationships/hyperlink" Target="https://www.estrategiasdeinversion.com/analisis/bolsa-y-mercados/el-experto-opina/respondemos-a-sus-preguntas-sobre-telefonica-repsol-n-720793" TargetMode="External"/><Relationship Id="rId2072" Type="http://schemas.openxmlformats.org/officeDocument/2006/relationships/hyperlink" Target="https://www.todocircuito.com/noticias/36151-repsol-esta-muy-quemada-con-los-resultados-de-honda-desvela-criville.html" TargetMode="External"/><Relationship Id="rId2073" Type="http://schemas.openxmlformats.org/officeDocument/2006/relationships/hyperlink" Target="https://www.elindependiente.com/economia/2024/06/05/naturgy-se-una-la-guerra-iniciada-por-iberdrola-y-repsol-bajando-el-precio-de-gas-y-luz-a-miles-de-clientes/" TargetMode="External"/><Relationship Id="rId2074" Type="http://schemas.openxmlformats.org/officeDocument/2006/relationships/hyperlink" Target="https://navarra.okdiario.com/articulo/sociedad/restaurante-pamplona-que-estrena/20240605081959539851.html" TargetMode="External"/><Relationship Id="rId5101" Type="http://schemas.openxmlformats.org/officeDocument/2006/relationships/hyperlink" Target="https://www.cronista.com/espana/ibex-euro/repsol-asi-abre-la-cotizacion-hoy-viernes-20-de-diciembre-cuanto-rinden-los-dividendos/" TargetMode="External"/><Relationship Id="rId2075" Type="http://schemas.openxmlformats.org/officeDocument/2006/relationships/hyperlink" Target="https://www.larazon.es/lr-content/marquesina-inteligente-autobus-espana-vaciada_202406056659a4a0f4db14000105878e.html" TargetMode="External"/><Relationship Id="rId5102" Type="http://schemas.openxmlformats.org/officeDocument/2006/relationships/hyperlink" Target="https://www.elespanol.com/alicante/vivir/gastronomia/20241220/menu-navideno-estrellas-michelin-soles-repsol-afectados-riada-valencia/910159303_0.html" TargetMode="External"/><Relationship Id="rId2076" Type="http://schemas.openxmlformats.org/officeDocument/2006/relationships/hyperlink" Target="https://www.dazn.com/es-ES/news/motor/cuanto-cobra-marc-marquez-gresini-racing-salario-honda/1vtjg1vkwbfwh1ohaftzkp526u" TargetMode="External"/><Relationship Id="rId2077" Type="http://schemas.openxmlformats.org/officeDocument/2006/relationships/hyperlink" Target="https://autopos.es/recambios-automovil/los-motores-de-combustion-son-tambien-el-futuro/" TargetMode="External"/><Relationship Id="rId5100" Type="http://schemas.openxmlformats.org/officeDocument/2006/relationships/hyperlink" Target="https://www.diariodeleon.es/bierzo/241220/1743017/junta-upl-rechazan-estrategia-repsol-lograr-propositos-eolicos-alto-sil-gistredo.html" TargetMode="External"/><Relationship Id="rId2078" Type="http://schemas.openxmlformats.org/officeDocument/2006/relationships/hyperlink" Target="https://cincodias.elpais.com/companias/2024-06-06/el-fondo-de-suma-capital-y-repsol-capta-125-millones-para-invertir-en-startups-de-energia.html" TargetMode="External"/><Relationship Id="rId5105" Type="http://schemas.openxmlformats.org/officeDocument/2006/relationships/hyperlink" Target="https://www.diariodeleon.es/bierzo/241220/1743712/iu-laciana-exige-consorcio-ponfeblino-rompa-acuerdo-repsol.html" TargetMode="External"/><Relationship Id="rId2079" Type="http://schemas.openxmlformats.org/officeDocument/2006/relationships/hyperlink" Target="https://www.elconfidencial.com/mercados/2024-06-06/fondo-repsol-suma-capital-net-zero-ventures-inversor-ancla_3897593/" TargetMode="External"/><Relationship Id="rId5106" Type="http://schemas.openxmlformats.org/officeDocument/2006/relationships/hyperlink" Target="https://www.msn.com/es-es/dinero/noticias/repsol-capta-casi-350-kilos-para-las-inversiones-que-ha-amenazado-con-retirar/ar-AA1wfZRc" TargetMode="External"/><Relationship Id="rId5103" Type="http://schemas.openxmlformats.org/officeDocument/2006/relationships/hyperlink" Target="https://www.motor16.com/noticias/dana-compania-regala-150-euros-afectados/" TargetMode="External"/><Relationship Id="rId5104" Type="http://schemas.openxmlformats.org/officeDocument/2006/relationships/hyperlink" Target="https://www.eldiario.es/politica/pnv-declaran-guerra-enredan-equilibrios-parlamentarios-gobierno_1_11916203.html" TargetMode="External"/><Relationship Id="rId2940" Type="http://schemas.openxmlformats.org/officeDocument/2006/relationships/hyperlink" Target="https://allmusicspain.com/eventos/festivales/brunch-electronik-festival-2025-cartel/" TargetMode="External"/><Relationship Id="rId1610" Type="http://schemas.openxmlformats.org/officeDocument/2006/relationships/hyperlink" Target="https://www.elespanol.com/invertia/empresas/energia/20240424/puertollano-queda-sin-hoteles-casas-alquilar-parada-planta-repsol-ciudad/848915309_0.html" TargetMode="External"/><Relationship Id="rId2941" Type="http://schemas.openxmlformats.org/officeDocument/2006/relationships/hyperlink" Target="https://elpopular.pe/actualidad/noticias-peru/2024/08/16/chiclayo-joven-obrero-muere-electrocutado-cuando-realizaba-mantenimiento-en-grifo-repsol-884224" TargetMode="External"/><Relationship Id="rId1611" Type="http://schemas.openxmlformats.org/officeDocument/2006/relationships/hyperlink" Target="https://www.farodevigo.es/o-morrazo/2024/04/24/chuleta-moana-repsol-101465131.html" TargetMode="External"/><Relationship Id="rId2942" Type="http://schemas.openxmlformats.org/officeDocument/2006/relationships/hyperlink" Target="https://www.infobae.com/espana/2024/08/17/el-sueldo-de-los-empleados-de-repsol-en-2024-desde-26234-euros-anuales-hasta-105702-euros-para-los-puestos-mas-altos/" TargetMode="External"/><Relationship Id="rId1612" Type="http://schemas.openxmlformats.org/officeDocument/2006/relationships/hyperlink" Target="https://www.guiarepsol.com/es/comer/nuestros-favoritos/pasteleria-cafeteria-by-torreblanca-madrid/" TargetMode="External"/><Relationship Id="rId2943" Type="http://schemas.openxmlformats.org/officeDocument/2006/relationships/hyperlink" Target="https://cincodias.elpais.com/fortunas/2024-08-18/valero-marin-quien-va-a-ser-realmente-valido-en-esta-sociedad-quien-sepa-responder-a-todo-o-el-que-sepa-hacer-preguntas.html" TargetMode="External"/><Relationship Id="rId1613" Type="http://schemas.openxmlformats.org/officeDocument/2006/relationships/hyperlink" Target="https://www.eleconomista.es/galerias/eleconomista/21298/Estrategia-para-la-Captura-de-Carbono-y-CO2" TargetMode="External"/><Relationship Id="rId2944" Type="http://schemas.openxmlformats.org/officeDocument/2006/relationships/hyperlink" Target="https://okdiario.com/gastronomia/bares-carretera-que-recomiendan-camioneros-cerca-valencia-todos-salen-guia-repsol-13315862" TargetMode="External"/><Relationship Id="rId1614" Type="http://schemas.openxmlformats.org/officeDocument/2006/relationships/hyperlink" Target="https://www.elnortedecastilla.es/valladolid/adios-ultimas-gasolineras-centro-valladolid-cien-anos-20240424135815-nt.html" TargetMode="External"/><Relationship Id="rId2945" Type="http://schemas.openxmlformats.org/officeDocument/2006/relationships/hyperlink" Target="https://www.elespanol.com/madrid/ocio/20240817/javis-vallehermoso-separan-discrepancias-cierran-puesto-mercado-llego-guia-repsol/876412508_0.html" TargetMode="External"/><Relationship Id="rId1615" Type="http://schemas.openxmlformats.org/officeDocument/2006/relationships/hyperlink" Target="https://cadenaser.com/castillayleon/2024/04/24/jose-maria-gonzalez-munoz-un-abulense-ciudadano-del-mundo-ser-avila/" TargetMode="External"/><Relationship Id="rId2946" Type="http://schemas.openxmlformats.org/officeDocument/2006/relationships/hyperlink" Target="https://gananzia.com/ranking-de-grupos-empresariales-vascos-2024/" TargetMode="External"/><Relationship Id="rId1616" Type="http://schemas.openxmlformats.org/officeDocument/2006/relationships/hyperlink" Target="https://elperiodicodelaenergia.com/todos-los-grandes-proyectos-que-se-veran-beneficiados-con-la-nueva-planificacion-electrica-fabricas-de-coches-electricos-baterias-centros-de-datos-bombeos/" TargetMode="External"/><Relationship Id="rId2947" Type="http://schemas.openxmlformats.org/officeDocument/2006/relationships/hyperlink" Target="https://www.elespanol.com/sevilla/vivir/20240817/aldea-habitantes-sirven-mejores-huevos-fritos-cadiz-solo-minutos-playa/878912118_0.html" TargetMode="External"/><Relationship Id="rId907" Type="http://schemas.openxmlformats.org/officeDocument/2006/relationships/hyperlink" Target="https://cadenaser.com/comunitat-valenciana/2024/03/05/el-restaurante-cisoria-de-villena-premiado-con-uno-de-los-premios-sol-repsol-radio-villena/" TargetMode="External"/><Relationship Id="rId1617" Type="http://schemas.openxmlformats.org/officeDocument/2006/relationships/hyperlink" Target="https://www.elidealgallego.com/articulo/a-coruna/traslado-actividad-industrial-puerto-iniciara-mitad-2026-durara-seis-meses-4806968" TargetMode="External"/><Relationship Id="rId2948" Type="http://schemas.openxmlformats.org/officeDocument/2006/relationships/hyperlink" Target="https://www.laprovincia.es/las-palmas/2024/08/17/consignataria-hamilton-asiste-repsol-cierre-107097064.html" TargetMode="External"/><Relationship Id="rId906" Type="http://schemas.openxmlformats.org/officeDocument/2006/relationships/hyperlink" Target="https://www.laopiniondezamora.es/zamora/2024/03/04/restaurante-zamora-estrena-sol-repsol-99018930.html" TargetMode="External"/><Relationship Id="rId1618" Type="http://schemas.openxmlformats.org/officeDocument/2006/relationships/hyperlink" Target="https://cincodias.elpais.com/companias/2024-04-25/repsol-gana-969-millones-entre-enero-y-marzo-un-13-menos-que-un-ano-antes.html" TargetMode="External"/><Relationship Id="rId2949" Type="http://schemas.openxmlformats.org/officeDocument/2006/relationships/hyperlink" Target="https://www.huffingtonpost.es/economia/venezuela-inunda-espana-petroleo-pese-sanciones.html" TargetMode="External"/><Relationship Id="rId905" Type="http://schemas.openxmlformats.org/officeDocument/2006/relationships/hyperlink" Target="https://www.cmmedia.es/noticias/castilla-la-mancha/cuenca/restaurante-casas-colgadas-cuenca-distinguido-2-soles-guia-repsol-2024.html" TargetMode="External"/><Relationship Id="rId1619" Type="http://schemas.openxmlformats.org/officeDocument/2006/relationships/hyperlink" Target="https://www.estrategiasdeinversion.com/actualidad/noticias/bolsa-espana/repsol-gana-un-13-menos-por-la-caida-del-precio-n-709105" TargetMode="External"/><Relationship Id="rId904" Type="http://schemas.openxmlformats.org/officeDocument/2006/relationships/hyperlink" Target="https://www.elidealgallego.com/articulo/gastroideal/galicia-cuenta-desde-hoy-seis-nuevos-restaurantes-1-sol-guia-repsol-4744947" TargetMode="External"/><Relationship Id="rId909" Type="http://schemas.openxmlformats.org/officeDocument/2006/relationships/hyperlink" Target="https://www.elespanol.com/quincemil/vivir/gastrogalicia/20240304/nuevos-restaurantes-galicia-sol-repsol/837416841_0.html" TargetMode="External"/><Relationship Id="rId908" Type="http://schemas.openxmlformats.org/officeDocument/2006/relationships/hyperlink" Target="https://www.diariodemallorca.es/sociedad/2024/03/04/restaurantes-mallorca-brut-sala-personal-99015487.html" TargetMode="External"/><Relationship Id="rId903" Type="http://schemas.openxmlformats.org/officeDocument/2006/relationships/hyperlink" Target="https://www.cantabriadirecta.es/107441-2-noticias-cantabria-santander-junta-voto-pico-velasco/" TargetMode="External"/><Relationship Id="rId902" Type="http://schemas.openxmlformats.org/officeDocument/2006/relationships/hyperlink" Target="https://www.lasexta.com/noticias/cultura/listado-completo-nuevos-restaurantes-premiados-soles-guia-repsol-2024_2024030465e64036d3310300012613da.html" TargetMode="External"/><Relationship Id="rId901" Type="http://schemas.openxmlformats.org/officeDocument/2006/relationships/hyperlink" Target="https://www.miciudadreal.es/2024/03/04/repsol-patrocina-los-i-premios-nacionales-a-trabajos-fin-de-master-avelino-corma/" TargetMode="External"/><Relationship Id="rId900" Type="http://schemas.openxmlformats.org/officeDocument/2006/relationships/hyperlink" Target="https://www.benaventedigital.es/el-capricho-de-jimenez-de-jamuz-logra-dos-soles-repsol/" TargetMode="External"/><Relationship Id="rId2930" Type="http://schemas.openxmlformats.org/officeDocument/2006/relationships/hyperlink" Target="https://www.infobae.com/peru/2024/08/16/el-oro-negro-extraido-de-peru-ha-derivado-en-mas-de-1400-derrames-petroleros-en-las-ultimas-dos-decadas/" TargetMode="External"/><Relationship Id="rId1600" Type="http://schemas.openxmlformats.org/officeDocument/2006/relationships/hyperlink" Target="https://intereconomia.com/noticia/repsol-lleva-su-multienergia-a-los-principales-festivales-de-musica-de-espana-y-portugal-20240423-1300/" TargetMode="External"/><Relationship Id="rId2931" Type="http://schemas.openxmlformats.org/officeDocument/2006/relationships/hyperlink" Target="https://misionverdad.com/globalistan/eeuu-tiene-capacidad-para-intensificar-las-sanciones-contra-pdvsa" TargetMode="External"/><Relationship Id="rId1601" Type="http://schemas.openxmlformats.org/officeDocument/2006/relationships/hyperlink" Target="https://www.farodevigo.es/o-morrazo/2024/04/23/restaurante-taberna-lino-guia-repsol-101425799.html" TargetMode="External"/><Relationship Id="rId2932" Type="http://schemas.openxmlformats.org/officeDocument/2006/relationships/hyperlink" Target="https://www.guiarepsol.com/es/dormir/en-la-gloria/hotel-almanac-barcelona/" TargetMode="External"/><Relationship Id="rId1602" Type="http://schemas.openxmlformats.org/officeDocument/2006/relationships/hyperlink" Target="https://www.guiarepsol.com/es/comer/en-el-mercado/vaca-palmera-ecofinca-nogales-la-palma/" TargetMode="External"/><Relationship Id="rId2933" Type="http://schemas.openxmlformats.org/officeDocument/2006/relationships/hyperlink" Target="https://www.elespanol.com/mujer/actualidad/mejor-chiringuito-almeria-guia-repsol-mejores-playas-buenos-precios/864413640_0.html" TargetMode="External"/><Relationship Id="rId1603" Type="http://schemas.openxmlformats.org/officeDocument/2006/relationships/hyperlink" Target="https://www.elcorreo.com/bizkaia/margen-derecha/incendia-madrugada-surtidor-gasolineras-avanzada-20240423084606-nt.html" TargetMode="External"/><Relationship Id="rId2934" Type="http://schemas.openxmlformats.org/officeDocument/2006/relationships/hyperlink" Target="https://www.repsol.es/particulares/asesoramiento-consumo/que-es-resistencia-electrica/" TargetMode="External"/><Relationship Id="rId1604" Type="http://schemas.openxmlformats.org/officeDocument/2006/relationships/hyperlink" Target="https://www.elindependiente.com/economia/2024/04/23/la-tombola-de-galan-en-la-junta-de-iberdrola-sorteo-de-bicis-dinero-por-ir-y-la-polemica-con-repsol-de-fondo/" TargetMode="External"/><Relationship Id="rId2935" Type="http://schemas.openxmlformats.org/officeDocument/2006/relationships/hyperlink" Target="https://www.capitalradio.es/noticias/bolsa/iturralde-consultorio-bolsa-cuidado-mercado_132368801.html" TargetMode="External"/><Relationship Id="rId1605" Type="http://schemas.openxmlformats.org/officeDocument/2006/relationships/hyperlink" Target="https://www.lasexta.com/noticias/deportes/motor/marc-marquez-desvela-verdadero-motivo-salida-honda-salud-mental-estaria-juego_20240423662759408e6602000160a014.html" TargetMode="External"/><Relationship Id="rId2936" Type="http://schemas.openxmlformats.org/officeDocument/2006/relationships/hyperlink" Target="https://www.guiarepsol.com/es/dormir/en-la-gloria/hoteles-piscina-granvia-madrid/" TargetMode="External"/><Relationship Id="rId1606" Type="http://schemas.openxmlformats.org/officeDocument/2006/relationships/hyperlink" Target="http://www.petroguia.com/pet/noticias/petr%C3%B3leo/pdvsa-y-repsol-prev%C3%A9n-inversi%C3%B3n-por-400-millones-con-ampliaci%C3%B3n-de-petroquiriquire" TargetMode="External"/><Relationship Id="rId2937" Type="http://schemas.openxmlformats.org/officeDocument/2006/relationships/hyperlink" Target="https://www.businessinsider.es/economia/cepsa-vende-negocio-butano-propano-autogas-espana-portugal-275-millones-euros-1400541" TargetMode="External"/><Relationship Id="rId1607" Type="http://schemas.openxmlformats.org/officeDocument/2006/relationships/hyperlink" Target="https://www.libremercado.com/2024-04-23/malaga-aumento-oferta-alquiler-gracias-a-reformas-desbloqueo-urbanismo-reduccion-burocracia-ayuntamiento-7119889/" TargetMode="External"/><Relationship Id="rId2938" Type="http://schemas.openxmlformats.org/officeDocument/2006/relationships/hyperlink" Target="https://www.eleconomista.es/energia/noticias/12942667/08/24/holaluz-lidera-la-caida-de-clientes-entre-las-electricas-y-acentua-su-sangria.html" TargetMode="External"/><Relationship Id="rId1608" Type="http://schemas.openxmlformats.org/officeDocument/2006/relationships/hyperlink" Target="https://www.mrcyb.es/el-trofeo-repsol-recupera-el-clasico-recorrido-entre-baiona-y-sanxenxo/" TargetMode="External"/><Relationship Id="rId2939" Type="http://schemas.openxmlformats.org/officeDocument/2006/relationships/hyperlink" Target="https://www.laopiniondemalaga.es/malaga/2024/08/16/sabores-helado-extravagantes-malaga-107053162.html" TargetMode="External"/><Relationship Id="rId1609" Type="http://schemas.openxmlformats.org/officeDocument/2006/relationships/hyperlink" Target="https://www.eleconomista.es/infraestructuras-servicios/noticias/12785099/04/24/acteco-amplia-horizontes-con-repsol-compra-el-35-de-ecoaqua-para-reciclar-colchones-.html" TargetMode="External"/><Relationship Id="rId1631" Type="http://schemas.openxmlformats.org/officeDocument/2006/relationships/hyperlink" Target="https://valenciaplaza.com/acteco-toma-el-35-de-la-valenciana-ecoaqua-para-reciclar-colchones" TargetMode="External"/><Relationship Id="rId2962" Type="http://schemas.openxmlformats.org/officeDocument/2006/relationships/hyperlink" Target="https://okdiario.com/okgreen/como-debes-asegurar-instalacion-tus-placas-fotovoltaicas-antes-que-sufras-siniestro-13335846" TargetMode="External"/><Relationship Id="rId1632" Type="http://schemas.openxmlformats.org/officeDocument/2006/relationships/hyperlink" Target="https://elperiodicodelaenergia.com/genia-bioenergy-anuncia-construccion-planta-biometano-tortosa-campredo/" TargetMode="External"/><Relationship Id="rId2963" Type="http://schemas.openxmlformats.org/officeDocument/2006/relationships/hyperlink" Target="https://www.salamancahoy.es/salamanca/ciudad/nueva-cafeteria-premiada-salamanca-apuesta-producto-cercania-20240817121519-nt.html" TargetMode="External"/><Relationship Id="rId1633" Type="http://schemas.openxmlformats.org/officeDocument/2006/relationships/hyperlink" Target="https://mase.lmneuquen.com/reuters/repsol-espera-duplicar-su-produccion-venezuela-n1109777" TargetMode="External"/><Relationship Id="rId2964" Type="http://schemas.openxmlformats.org/officeDocument/2006/relationships/hyperlink" Target="https://okdiario.com/okgreen/alertan-caza-ilegal-varios-linces-ibericos-procedentes-proyectos-reintroduccion-13337227" TargetMode="External"/><Relationship Id="rId1634" Type="http://schemas.openxmlformats.org/officeDocument/2006/relationships/hyperlink" Target="https://www.guiarepsol.com/es/comer/vinos-y-bodegas/ron-aldea-los-sauces-la-palma/" TargetMode="External"/><Relationship Id="rId2965" Type="http://schemas.openxmlformats.org/officeDocument/2006/relationships/hyperlink" Target="https://okdiario.com/okgreen/desafio-aumentar-poblacion-mariposas-reforestando-sierra-guadarrama-13313548" TargetMode="External"/><Relationship Id="rId1635" Type="http://schemas.openxmlformats.org/officeDocument/2006/relationships/hyperlink" Target="https://www.cartagena.es/detalle_noticias_imprimir.asp?id=77899" TargetMode="External"/><Relationship Id="rId2966" Type="http://schemas.openxmlformats.org/officeDocument/2006/relationships/hyperlink" Target="https://www.eleconomista.es/motor/noticias/12954119/08/24/repsol-se-alia-con-honeywell-en-busca-de-nuevas-vias-para-producir-combustibles-renovables.html" TargetMode="External"/><Relationship Id="rId1636" Type="http://schemas.openxmlformats.org/officeDocument/2006/relationships/hyperlink" Target="https://www.dentons.com/es/about-dentons/news-events-and-awards/news/2024/april/pdvsa-and-repsol-sign-deal-for-development-of-la-ceiba-and-tomoporro-oil-fields-in-venezuela" TargetMode="External"/><Relationship Id="rId2967" Type="http://schemas.openxmlformats.org/officeDocument/2006/relationships/hyperlink" Target="https://www.finanzas.com/ibex-35/telefonica-y-repsol-ponen-en-peligro-la-racha-alcista-del-ibex-35.html" TargetMode="External"/><Relationship Id="rId1637" Type="http://schemas.openxmlformats.org/officeDocument/2006/relationships/hyperlink" Target="https://www.cartagenaactualidad.com/articulo/actualidad/repsol-supera-150-estaciones-servicio-combustible-100-renovable/20240426124114149601.html" TargetMode="External"/><Relationship Id="rId2968" Type="http://schemas.openxmlformats.org/officeDocument/2006/relationships/hyperlink" Target="https://www.guiarepsol.com/es/comer/nuestros-favoritos/chiringuitos-punta-umbria-huelva/" TargetMode="External"/><Relationship Id="rId1638" Type="http://schemas.openxmlformats.org/officeDocument/2006/relationships/hyperlink" Target="https://murciaeconomia.com/art/95593/repsol-presenta-la-expansion-de-los-combustibles-100-renovables-en-cartagena" TargetMode="External"/><Relationship Id="rId2969" Type="http://schemas.openxmlformats.org/officeDocument/2006/relationships/hyperlink" Target="https://www.gasteizhoy.com/soletes-repsol-alava-edorta-lamo/" TargetMode="External"/><Relationship Id="rId929" Type="http://schemas.openxmlformats.org/officeDocument/2006/relationships/hyperlink" Target="https://www.20minutos.es/gastronomia/restaurantes/soles-repsol-restaurantes-premiados-ganadores-2024-5223471/" TargetMode="External"/><Relationship Id="rId1639" Type="http://schemas.openxmlformats.org/officeDocument/2006/relationships/hyperlink" Target="https://www.expansion.com/economia-digital/companias/2024/04/26/662a34f7e5fdea502c8b4599.html" TargetMode="External"/><Relationship Id="rId928" Type="http://schemas.openxmlformats.org/officeDocument/2006/relationships/hyperlink" Target="https://www.lavozdegalicia.es/noticia/sociedad/2024/03/05/soles-repsol-iluminan-seis-restaurantes-gallegos-van-40/0003_202403G5P24_COPY994.htm" TargetMode="External"/><Relationship Id="rId927" Type="http://schemas.openxmlformats.org/officeDocument/2006/relationships/hyperlink" Target="https://www.elblogdegastromadrid.com/listado-soles-repsol-restaurantes-comunidad-de-madrid-2024" TargetMode="External"/><Relationship Id="rId926" Type="http://schemas.openxmlformats.org/officeDocument/2006/relationships/hyperlink" Target="https://conelmorrofino.com/nuevos-soles-repsol-madrid-2024/" TargetMode="External"/><Relationship Id="rId921" Type="http://schemas.openxmlformats.org/officeDocument/2006/relationships/hyperlink" Target="https://www.cartagena.es/detalle_noticias.asp?id=77057" TargetMode="External"/><Relationship Id="rId920" Type="http://schemas.openxmlformats.org/officeDocument/2006/relationships/hyperlink" Target="https://www.ultimahora.es/xaloc/gastronomia/2024/03/04/2118203/are-facefood-celebra-primera-edicion-mallorca.html" TargetMode="External"/><Relationship Id="rId925" Type="http://schemas.openxmlformats.org/officeDocument/2006/relationships/hyperlink" Target="https://cadenaser.com/castillalamancha/2024/03/05/descubre-los-platos-estrella-del-restaurante-de-cuenca-con-dos-soles-repsol-ser-cuenca/" TargetMode="External"/><Relationship Id="rId924" Type="http://schemas.openxmlformats.org/officeDocument/2006/relationships/hyperlink" Target="https://www.elmundo.es/metropoli/gastronomia/2024/03/05/65e6ec93e4d4d867618b45ad.html" TargetMode="External"/><Relationship Id="rId923" Type="http://schemas.openxmlformats.org/officeDocument/2006/relationships/hyperlink" Target="https://www.eleconomista.es/mercados-cotizaciones/noticias/12704246/03/24/repsol-vuelve-a-colocarse-entre-las-diez-mejores-recomendaciones-del-ibex-.html" TargetMode="External"/><Relationship Id="rId922" Type="http://schemas.openxmlformats.org/officeDocument/2006/relationships/hyperlink" Target="https://www.elcorreo.com/jantour/tres-restaurantes-vizcainos-nuevos-soles-guia-repsol-20240304200008-nt.html" TargetMode="External"/><Relationship Id="rId2960" Type="http://schemas.openxmlformats.org/officeDocument/2006/relationships/hyperlink" Target="https://elcierredigital.com/investigacion/verano-mas-complicado-juan-urdangarin-vuelve-madrid-junto-reina-sofia" TargetMode="External"/><Relationship Id="rId1630" Type="http://schemas.openxmlformats.org/officeDocument/2006/relationships/hyperlink" Target="https://www.laopiniondemalaga.es/malaga/2024/04/25/unicas-heladerias-malaga-aparecen-guia-repsol-101539192.html" TargetMode="External"/><Relationship Id="rId2961" Type="http://schemas.openxmlformats.org/officeDocument/2006/relationships/hyperlink" Target="https://www.elle.com/es/gourmet/donde-comer/a28465415/restaurantes-rias-baixas-galicia/" TargetMode="External"/><Relationship Id="rId1620" Type="http://schemas.openxmlformats.org/officeDocument/2006/relationships/hyperlink" Target="https://www.eleconomista.es/tecnologia/noticias/12784634/04/24/alberto-mendoza-repsol-la-seguridad-es-el-mayor-reto-que-afrontan-los-medios-de-pago.html" TargetMode="External"/><Relationship Id="rId2951" Type="http://schemas.openxmlformats.org/officeDocument/2006/relationships/hyperlink" Target="https://www.20minutos.es/gastronomia/restaurantes/murcia-chiringuitos-playas-mejores-vistas-mar-toques-internacionales-5534511/" TargetMode="External"/><Relationship Id="rId1621" Type="http://schemas.openxmlformats.org/officeDocument/2006/relationships/hyperlink" Target="https://www.periodicopublicidad.com/articulo/negocios/repsol-obtiene-resultado-neto-969-millones-euros-primer-trimestre/20240425105639141615.html" TargetMode="External"/><Relationship Id="rId2952" Type="http://schemas.openxmlformats.org/officeDocument/2006/relationships/hyperlink" Target="https://elpais.com/gastronomia/donde-comen-los-cocineros/2024-08-26/donde-comer-en-cartagena-murcia-segun-maria-gomez-magoga.html" TargetMode="External"/><Relationship Id="rId1622" Type="http://schemas.openxmlformats.org/officeDocument/2006/relationships/hyperlink" Target="https://www.expansion.com/empresas/energia/2024/04/25/6629ee23468aebad0a8b4589.html" TargetMode="External"/><Relationship Id="rId2953" Type="http://schemas.openxmlformats.org/officeDocument/2006/relationships/hyperlink" Target="https://www.lne.es/asturias/2024/08/18/lastres-protagonista-anuncio-gran-compania-107100844.html" TargetMode="External"/><Relationship Id="rId1623" Type="http://schemas.openxmlformats.org/officeDocument/2006/relationships/hyperlink" Target="https://www.larazon.es/economia/repsol-gana-969-millones-marzo_202404256629fa3bc18d400001859cb0.html" TargetMode="External"/><Relationship Id="rId2954" Type="http://schemas.openxmlformats.org/officeDocument/2006/relationships/hyperlink" Target="https://www.elconfidencial.com/mercados/2024-08-18/cuatro-dividendos-ibex-crecen-mas-un-35-uno-regresa-con-fuerza_3944472/" TargetMode="External"/><Relationship Id="rId1624" Type="http://schemas.openxmlformats.org/officeDocument/2006/relationships/hyperlink" Target="https://www.eldiario.es/castilla-la-mancha/provincias/ciudad_real/conato-incendio-planta-lubricantes-repsol-puertollano-obliga-activar-plan-emergencia_1_11320667.html" TargetMode="External"/><Relationship Id="rId2955" Type="http://schemas.openxmlformats.org/officeDocument/2006/relationships/hyperlink" Target="https://www.europapress.es/deportes/motociclismo-00311/noticia-joan-mir-hemos-hecho-hemos-podido-20240818173911.html" TargetMode="External"/><Relationship Id="rId1625" Type="http://schemas.openxmlformats.org/officeDocument/2006/relationships/hyperlink" Target="https://www.guiarepsol.com/es/comer/nuestros-favoritos/restaurante-la-libreta-san-agustin-de-guadalix/" TargetMode="External"/><Relationship Id="rId2956" Type="http://schemas.openxmlformats.org/officeDocument/2006/relationships/hyperlink" Target="https://www.infobae.com/espana/2024/08/19/el-restaurante-de-carretera-recomendado-por-la-guia-repsol-que-triunfa-con-un-buffet-libre-de-cocina-tradicional-por-menos-de-20-euros/" TargetMode="External"/><Relationship Id="rId1626" Type="http://schemas.openxmlformats.org/officeDocument/2006/relationships/hyperlink" Target="https://www.repsol.com/es/productos-y-servicios/materiales/materiales-news/soluciones-sostenibles-poliolefinas-finalistas-premios-prse/index.cshtml" TargetMode="External"/><Relationship Id="rId2957" Type="http://schemas.openxmlformats.org/officeDocument/2006/relationships/hyperlink" Target="https://www.guiarepsol.com/es/soletes/las-heladerias-favoritas-de-los-cocineros-en-tenerife/" TargetMode="External"/><Relationship Id="rId1627" Type="http://schemas.openxmlformats.org/officeDocument/2006/relationships/hyperlink" Target="https://www.latribunadeciudadreal.es/noticia/zde40239e-a34a-6df2-20753ff1499fabbd/202404/repsol-registra-un-conato-de-fuego-en-la-zona-de-lubricantes" TargetMode="External"/><Relationship Id="rId2958" Type="http://schemas.openxmlformats.org/officeDocument/2006/relationships/hyperlink" Target="https://www.economiadigital.es/galicia/empresas/huelga-indefinida-y-preconcurso-en-la-empresa-de-mantenimiento-de-la-refineria-de-repsol.html" TargetMode="External"/><Relationship Id="rId918" Type="http://schemas.openxmlformats.org/officeDocument/2006/relationships/hyperlink" Target="https://www.huffingtonpost.es/life/consumo/este-menu-precio-salita-nuevo-restaurante-tres-soles-repsol.html" TargetMode="External"/><Relationship Id="rId1628" Type="http://schemas.openxmlformats.org/officeDocument/2006/relationships/hyperlink" Target="https://www.encastillalamancha.es/castilla-la-mancha-cat/ciudad-real/susto-en-puertollano-al-producirse-un-conato-de-incendio-en-el-complejo-de-repsol/" TargetMode="External"/><Relationship Id="rId2959" Type="http://schemas.openxmlformats.org/officeDocument/2006/relationships/hyperlink" Target="https://www.eleconomista.es/mercados-cotizaciones/noticias/12953027/08/24/el-71-de-los-valores-del-ibex-ya-se-ha-recuperado-del-desplome-del-inicio-de-agosto.html" TargetMode="External"/><Relationship Id="rId917" Type="http://schemas.openxmlformats.org/officeDocument/2006/relationships/hyperlink" Target="https://www.diariocordoba.com/ocio/gastronomia/2024/03/04/salita-valenciana-begona-rodrigo-unico-99019298.html" TargetMode="External"/><Relationship Id="rId1629" Type="http://schemas.openxmlformats.org/officeDocument/2006/relationships/hyperlink" Target="https://fusionasturias.com/gastronomia/bruno-lomban-un-nuevo-sol-repsol-brilla-en-asturias.htm" TargetMode="External"/><Relationship Id="rId916" Type="http://schemas.openxmlformats.org/officeDocument/2006/relationships/hyperlink" Target="https://www.abc.es/gastronomia/vinagres-chacinas-vegetales-cocina-begona-rodrigo-nueva-20240304110602-nt.html" TargetMode="External"/><Relationship Id="rId915" Type="http://schemas.openxmlformats.org/officeDocument/2006/relationships/hyperlink" Target="https://www.murciadiario.com/articulo/empresas/david-lopez-chef-local-ensayo-profesor-grado-gastronomia-ucam-elabora-menu-huertano-soles-repsol/20240304132657106272.html" TargetMode="External"/><Relationship Id="rId919" Type="http://schemas.openxmlformats.org/officeDocument/2006/relationships/hyperlink" Target="https://www.boxrepsol.com/es/motogp/motogp-de-qatar-horarios-y-donde-ver-la-carrera-en-directo-por-tv-y-online/" TargetMode="External"/><Relationship Id="rId910" Type="http://schemas.openxmlformats.org/officeDocument/2006/relationships/hyperlink" Target="https://www.diariodeavila.es/noticia/z6995243b-faf9-db47-eb0dc6cc8ece197a/202403/barro-sigue-luciendo-la-alta-cocina-abulense" TargetMode="External"/><Relationship Id="rId914" Type="http://schemas.openxmlformats.org/officeDocument/2006/relationships/hyperlink" Target="https://www.elespanol.com/quincemil/vivir/gastrogalicia/20240304/cocinera-gallega-lucia-freitas-prepara-aperitivo-previo-gala-soles-guia-repsol/837416859_0.html" TargetMode="External"/><Relationship Id="rId913" Type="http://schemas.openxmlformats.org/officeDocument/2006/relationships/hyperlink" Target="https://www.huleymantel.com/barras-estrellas/idolos-mesas/cocina-begona-rodrigo-en-salita-huerta-valenciana-chacineria-vegetal-3-soles-repsol_101965_102.html" TargetMode="External"/><Relationship Id="rId912" Type="http://schemas.openxmlformats.org/officeDocument/2006/relationships/hyperlink" Target="https://entomelloso.com/2024/clm/nuevos-soles-repsol-en-castilla-la-mancha-2-para-casas-colgadas-y-1-para-ababol-y-ancestral/473817/" TargetMode="External"/><Relationship Id="rId911" Type="http://schemas.openxmlformats.org/officeDocument/2006/relationships/hyperlink" Target="https://cadenaser.com/baleares/2024/03/04/es-codol-foradat-en-formentera-y-omakase-by-walt-en-ibiza-entran-con-un-sol-en-la-guia-repsol-radio-ibiza/" TargetMode="External"/><Relationship Id="rId2950" Type="http://schemas.openxmlformats.org/officeDocument/2006/relationships/hyperlink" Target="https://www.abc.es/economia/nueva-vida-butano-barbacoas-estudiantes-tecnologia-20240818132647-nt.html" TargetMode="External"/><Relationship Id="rId2900" Type="http://schemas.openxmlformats.org/officeDocument/2006/relationships/hyperlink" Target="https://energiaestrategica.es/25-gw-eolica-offshore-esperando/" TargetMode="External"/><Relationship Id="rId2901" Type="http://schemas.openxmlformats.org/officeDocument/2006/relationships/hyperlink" Target="https://www.expansion.com/mercados/2024/08/12/66b9a2d4b266aa00432d9233-directo.html" TargetMode="External"/><Relationship Id="rId2902" Type="http://schemas.openxmlformats.org/officeDocument/2006/relationships/hyperlink" Target="https://motorcyclesports.net/es/marc-marquez-cambio-de-equipo-y-de-moto-pero-sigue-liderando-en-caidas/" TargetMode="External"/><Relationship Id="rId2903" Type="http://schemas.openxmlformats.org/officeDocument/2006/relationships/hyperlink" Target="https://www.lacomarcadepuertollano.com/articulo/puertollano/ccoo-clm-rinde-recuerdo-homenaje-lunes-victimas-20o-aniversario-tragedia-repsol-puertollano/20240813185544557816.html" TargetMode="External"/><Relationship Id="rId2904" Type="http://schemas.openxmlformats.org/officeDocument/2006/relationships/hyperlink" Target="https://www.larazon.es/economia/repsol-une-fuerzas-honeywell-produccion-combustibles-renovables_2024081366bb20c576ed0d000178c6fa.html" TargetMode="External"/><Relationship Id="rId2905" Type="http://schemas.openxmlformats.org/officeDocument/2006/relationships/hyperlink" Target="https://www.guiarepsol.com/es/comer/nuestros-favoritos/chiringuito-sol-cala-saona-formentera/" TargetMode="External"/><Relationship Id="rId2906" Type="http://schemas.openxmlformats.org/officeDocument/2006/relationships/hyperlink" Target="https://www.elespanol.com/eldigitalcastillalamancha/economia/empresas/20240813/denuncian-mayor-contrata-repsol-puertollano-deja-pagar-amenaza-trabajadores/877912491_0.html" TargetMode="External"/><Relationship Id="rId2907" Type="http://schemas.openxmlformats.org/officeDocument/2006/relationships/hyperlink" Target="https://cadenaser.com/castillalamancha/2024/08/13/la-empresa-responsable-de-los-principales-mantenimientos-en-repsol-puertollano-presenta-preconcurso-de-acreedores-ser-ciudad-real/" TargetMode="External"/><Relationship Id="rId2908" Type="http://schemas.openxmlformats.org/officeDocument/2006/relationships/hyperlink" Target="https://www.latribunadeciudadreal.es/noticia/zfbc5e5f4-f4e5-f559-9b2d70362cb777af/202408/denuncian-impagos-salariales-de-navec-en-puertollano" TargetMode="External"/><Relationship Id="rId2909" Type="http://schemas.openxmlformats.org/officeDocument/2006/relationships/hyperlink" Target="https://www.elconfidencial.com/economia/2024-08-13/espana-dispara-importaciones-petroleo-venezuela_3941787/" TargetMode="External"/><Relationship Id="rId5170" Type="http://schemas.openxmlformats.org/officeDocument/2006/relationships/hyperlink" Target="https://www.puertollano.es/el-parque-tematico-de-la-navidad-la-central-de-los-suenos-abre-sus-puertas-a-la-diversion-de-ninos-y-jovenes/" TargetMode="External"/><Relationship Id="rId5171" Type="http://schemas.openxmlformats.org/officeDocument/2006/relationships/hyperlink" Target="https://www.caranddriver.com/es/coches/planeta-motor/a63289752/cambio-estrategia-cepsa-cambia-a-moeve/" TargetMode="External"/><Relationship Id="rId5174" Type="http://schemas.openxmlformats.org/officeDocument/2006/relationships/hyperlink" Target="https://formularapida.net/es/txema-villalobos-el-angel-de-la-guarda-del-repsol-toyota-rally-team/" TargetMode="External"/><Relationship Id="rId5175" Type="http://schemas.openxmlformats.org/officeDocument/2006/relationships/hyperlink" Target="https://www.cronista.com/espana/ibex-euro/repsol-a-cuanto-cotiza-hoy-viernes-27-de-diciembre-y-cuanto-rinden-los-dividendos/" TargetMode="External"/><Relationship Id="rId5172" Type="http://schemas.openxmlformats.org/officeDocument/2006/relationships/hyperlink" Target="https://www.guiarepsol.com/es/comer/nuestros-favoritos/restaurantes-nuevos-en-madrid/" TargetMode="External"/><Relationship Id="rId5173" Type="http://schemas.openxmlformats.org/officeDocument/2006/relationships/hyperlink" Target="https://www.economiadigital.es/galicia/empresas/iberdrola-forestal-del-atlantico-lence-y-repsol-captan-178-millones-en-ayudas-para-sus-proyectos-renovables.html" TargetMode="External"/><Relationship Id="rId5178" Type="http://schemas.openxmlformats.org/officeDocument/2006/relationships/hyperlink" Target="https://www.mundodeportivo.com/videos/motor/20241227/1002375863/magia-isidre-esteve-volante-asi-pilota-toyota-hilux-team-repsol-dakar.html" TargetMode="External"/><Relationship Id="rId5179" Type="http://schemas.openxmlformats.org/officeDocument/2006/relationships/hyperlink" Target="https://as.com/motor/motociclismo/el-fin-de-una-era-historica-n/" TargetMode="External"/><Relationship Id="rId5176" Type="http://schemas.openxmlformats.org/officeDocument/2006/relationships/hyperlink" Target="https://www.marca.com/motor/dakar/2024/12/27/perfume-toyota-repsol-quieren-historia-dakar.html" TargetMode="External"/><Relationship Id="rId5177" Type="http://schemas.openxmlformats.org/officeDocument/2006/relationships/hyperlink" Target="https://cronicavasca.elespanol.com/gastronomia/20241227/este-restaurante-de-euskadi-recomendado-guia-repsol/909909118_0.html" TargetMode="External"/><Relationship Id="rId5160" Type="http://schemas.openxmlformats.org/officeDocument/2006/relationships/hyperlink" Target="https://www.plusmoto.com/confirmadas-fechas-definitivas-test-2025-motogp-moto2-moto3.html" TargetMode="External"/><Relationship Id="rId5163" Type="http://schemas.openxmlformats.org/officeDocument/2006/relationships/hyperlink" Target="https://www.interempresas.net/Estaciones-servicio/Articulos/583135-Faconauto-Repsol-lanzan-iniciativa-apoyar-damnificados-DANA-adquieran-vehiculo.html" TargetMode="External"/><Relationship Id="rId5164" Type="http://schemas.openxmlformats.org/officeDocument/2006/relationships/hyperlink" Target="https://www.20minutos.es/lainformacion/empresas/iberdrola-endesa-naturgy-repsol-moeve-invertir-4100-millones-reducir-minimo-impuestazo-5667078/" TargetMode="External"/><Relationship Id="rId5161" Type="http://schemas.openxmlformats.org/officeDocument/2006/relationships/hyperlink" Target="https://www.europasur.es/campo-de-gibraltar/gobierno-aprueba-tasa-energeticas-2025-moeve-san-roque_0_2003044942.html" TargetMode="External"/><Relationship Id="rId5162" Type="http://schemas.openxmlformats.org/officeDocument/2006/relationships/hyperlink" Target="https://www.publico.es/opinion/diputados-repsol.html" TargetMode="External"/><Relationship Id="rId5167" Type="http://schemas.openxmlformats.org/officeDocument/2006/relationships/hyperlink" Target="https://www.elconfidencial.com/medioambiente/energia/2024-12-26/energia-conspiraciones-podcast-bala-magica-bra_4023001/" TargetMode="External"/><Relationship Id="rId5168" Type="http://schemas.openxmlformats.org/officeDocument/2006/relationships/hyperlink" Target="https://petronor.eus/es/2024/12/se-incorporan-3-robots-para-colaborar-con-los-equipos-de-seguridad-de-petronor/" TargetMode="External"/><Relationship Id="rId5165" Type="http://schemas.openxmlformats.org/officeDocument/2006/relationships/hyperlink" Target="https://comunicacionmarketing.es/marketing/26/12/2024/repsol-personaliza-con-ia-su-felicitacion-navidena/35235.html" TargetMode="External"/><Relationship Id="rId5166" Type="http://schemas.openxmlformats.org/officeDocument/2006/relationships/hyperlink" Target="https://www.miciudadreal.es/2024/12/26/abre-sus-puertas-la-central-de-los-suenos-la-gran-feria-navidena-de-puertollano-patrocinada-por-repsol/" TargetMode="External"/><Relationship Id="rId5169" Type="http://schemas.openxmlformats.org/officeDocument/2006/relationships/hyperlink" Target="https://www.latribunadeciudadreal.es/noticia/z1d5d9873-91dd-9628-2434dd70c624fb94/202412/la-central-de-los-suenos-abre-hasta-el-3-de-enero" TargetMode="External"/><Relationship Id="rId2920" Type="http://schemas.openxmlformats.org/officeDocument/2006/relationships/hyperlink" Target="https://www.gob.pe/institucion/minam/noticias/1003949-minam-refuerza-sus-capacidades-de-respuesta-ante-eventuales-derrames-de-petroleo-y-otros-desastres-maritimos" TargetMode="External"/><Relationship Id="rId2921" Type="http://schemas.openxmlformats.org/officeDocument/2006/relationships/hyperlink" Target="https://www.lanzadigital.com/provincia/ciudad-real/accidente-repsol/" TargetMode="External"/><Relationship Id="rId2922" Type="http://schemas.openxmlformats.org/officeDocument/2006/relationships/hyperlink" Target="https://www.guiarepsol.com/es/viajar/vamos-de-excursion/que-ver-y-hacer-en-la-isla-de-formentera-illes-balears/" TargetMode="External"/><Relationship Id="rId2923" Type="http://schemas.openxmlformats.org/officeDocument/2006/relationships/hyperlink" Target="https://noticiastrabajo.huffingtonpost.es/economia/consumo/el-precio-de-la-gasolina-cambia-en-espana-estas-gasolineras-venden-el-diesel-a-099-eur/" TargetMode="External"/><Relationship Id="rId2924" Type="http://schemas.openxmlformats.org/officeDocument/2006/relationships/hyperlink" Target="https://www.estrategiasdeinversion.com/actualidad/la-bolsa-hoy-en-directo/15-08-2024" TargetMode="External"/><Relationship Id="rId2925" Type="http://schemas.openxmlformats.org/officeDocument/2006/relationships/hyperlink" Target="https://www.bonviveur.es/noticias/mejores-restaurantes-marbella" TargetMode="External"/><Relationship Id="rId2926" Type="http://schemas.openxmlformats.org/officeDocument/2006/relationships/hyperlink" Target="https://www.elperiodico.com/es/consumo/20240815/gasolina-baja-minimos-puente-agosto-mas-desplazamientos-ano-107025673" TargetMode="External"/><Relationship Id="rId2927" Type="http://schemas.openxmlformats.org/officeDocument/2006/relationships/hyperlink" Target="https://www.elle.com/es/gourmet/donde-comer/g45320696/restaurantes-siguenza/" TargetMode="External"/><Relationship Id="rId2928" Type="http://schemas.openxmlformats.org/officeDocument/2006/relationships/hyperlink" Target="https://sobremesa.es/art/6268/sergio-ortiz-de-zarate-cocina-marinera-bilbao-donde-comer" TargetMode="External"/><Relationship Id="rId2929" Type="http://schemas.openxmlformats.org/officeDocument/2006/relationships/hyperlink" Target="https://okdiario.com/okgreen/como-prevenir-riesgo-incendios-control-casi-17-000-colmenas-13320991" TargetMode="External"/><Relationship Id="rId5192" Type="http://schemas.openxmlformats.org/officeDocument/2006/relationships/hyperlink" Target="https://elperiodicodelaenergia.com/josu-jon-imaz-repsol-acusa-al-gobierno-de-dirimir-las-politicas-fiscales-en-un-bazar/" TargetMode="External"/><Relationship Id="rId5193" Type="http://schemas.openxmlformats.org/officeDocument/2006/relationships/hyperlink" Target="https://intereconomia.com/noticia/empresas/imaz-ceo-de-repsol-asegura-que-sanchez-hace-imposible-la-inversion-en-espana-por-su-politica-de-bazar-20241229-1417/" TargetMode="External"/><Relationship Id="rId5190" Type="http://schemas.openxmlformats.org/officeDocument/2006/relationships/hyperlink" Target="https://www.abc.es/recreo/trabajador-gasolinera-aconseja-repostar-siempre-combustible-low-20241228083000-nt.html" TargetMode="External"/><Relationship Id="rId5191" Type="http://schemas.openxmlformats.org/officeDocument/2006/relationships/hyperlink" Target="https://www.expansion.com/empresas/energia/2024/12/29/67711cd0468aeb02748b45c9.html" TargetMode="External"/><Relationship Id="rId5196" Type="http://schemas.openxmlformats.org/officeDocument/2006/relationships/hyperlink" Target="https://www.laopinioncoruna.es/ocio/planes/2024/12/29/cinco-pueblos-coruna-guia-repsol-dv-93425853.html" TargetMode="External"/><Relationship Id="rId5197" Type="http://schemas.openxmlformats.org/officeDocument/2006/relationships/hyperlink" Target="https://www.vozpopuli.com/economia/energeticas-cierran-2024-incertidumbre-legal-batalla-companias.html" TargetMode="External"/><Relationship Id="rId5194" Type="http://schemas.openxmlformats.org/officeDocument/2006/relationships/hyperlink" Target="https://www.infobae.com/colombia/2024/12/29/ecopetrol-anuncio-acuerdo-de-compra-de-la-participacion-del-45-de-repsol/" TargetMode="External"/><Relationship Id="rId5195" Type="http://schemas.openxmlformats.org/officeDocument/2006/relationships/hyperlink" Target="https://es-us.finanzas.yahoo.com/noticias/ecopetrol-logra-acuerdo-repsol-completar-223000373.html" TargetMode="External"/><Relationship Id="rId5198" Type="http://schemas.openxmlformats.org/officeDocument/2006/relationships/hyperlink" Target="https://www.portafolio.co/negocios/empresas/ecopetrol-concluyo-negociacion-con-repsol-para-adquirir-participacion-en-bloque-cpo-09-620622" TargetMode="External"/><Relationship Id="rId5199" Type="http://schemas.openxmlformats.org/officeDocument/2006/relationships/hyperlink" Target="https://www.infobae.com/america/agencias/2024/12/29/ecopetrol-logra-acuerdo-para-comprar-el-45-de-participacion-de-repsol-en-pozo-petrolero/" TargetMode="External"/><Relationship Id="rId2910" Type="http://schemas.openxmlformats.org/officeDocument/2006/relationships/hyperlink" Target="https://www.bonviveur.es/noticias/mejores-restaurantes-baleares" TargetMode="External"/><Relationship Id="rId2911" Type="http://schemas.openxmlformats.org/officeDocument/2006/relationships/hyperlink" Target="https://www.hosteleriasalamanca.es/restaurantes/restaurantes-en-salamanca/cafeteria-berysa-disfruta-de-la-esencia-de-salamanca-en-plena-plaza-mayor.php" TargetMode="External"/><Relationship Id="rId2912" Type="http://schemas.openxmlformats.org/officeDocument/2006/relationships/hyperlink" Target="https://www.puertollano.es/concejales-del-ayuntamiento-se-suman-al-homenaje-por-las-victimas-del-14-de-agosto-de-2003-en-repsol/" TargetMode="External"/><Relationship Id="rId2913" Type="http://schemas.openxmlformats.org/officeDocument/2006/relationships/hyperlink" Target="https://www.encastillalamancha.es/castilla-la-mancha-cat/ciudad-real/21-anos-de-la-tragedia-de-repsol-en-puertollano/" TargetMode="External"/><Relationship Id="rId2914" Type="http://schemas.openxmlformats.org/officeDocument/2006/relationships/hyperlink" Target="https://www.guiarepsol.com/es/soletes/campings-donde-comer-bien/" TargetMode="External"/><Relationship Id="rId2915" Type="http://schemas.openxmlformats.org/officeDocument/2006/relationships/hyperlink" Target="https://www.autofacil.es/tecnica/diesel-renovable-prueba-adac/731764.html" TargetMode="External"/><Relationship Id="rId2916" Type="http://schemas.openxmlformats.org/officeDocument/2006/relationships/hyperlink" Target="https://www.lavanguardia.com/comer/al-dia/20240814/9870124/petrolera-convierte-aceite-usado-cocina-dinero.html" TargetMode="External"/><Relationship Id="rId2917" Type="http://schemas.openxmlformats.org/officeDocument/2006/relationships/hyperlink" Target="https://www.lacomarcadepuertollano.com/articulo/puertollano/cumplen-21-anos-dia-mas-tragico-historia-puertollano/20240814001442557842.html" TargetMode="External"/><Relationship Id="rId2918" Type="http://schemas.openxmlformats.org/officeDocument/2006/relationships/hyperlink" Target="https://www.areacostadelsol.com/2024/08/14/aqui-preparan-los-mejores-bocadillos-para-llevarte-a-la-playa-en-fuengirola-segun-la-guia-repsol/" TargetMode="External"/><Relationship Id="rId2919" Type="http://schemas.openxmlformats.org/officeDocument/2006/relationships/hyperlink" Target="https://www.atlanticohoy.com/sociedad/chiringuito-arroces-tropical-canarias-playa-blanca-lanzarote-solete-repsol_1535471_102.html" TargetMode="External"/><Relationship Id="rId5181" Type="http://schemas.openxmlformats.org/officeDocument/2006/relationships/hyperlink" Target="https://www.elmundo.es/economia/empresas/2024/12/28/676d751afdddff321d8b458b.html" TargetMode="External"/><Relationship Id="rId5182" Type="http://schemas.openxmlformats.org/officeDocument/2006/relationships/hyperlink" Target="https://automovilismocanario.com/2024/12/28/txema-villalobos-el-angel-de-la-guarda-del-repsol-toyota-rally-team/" TargetMode="External"/><Relationship Id="rId5180" Type="http://schemas.openxmlformats.org/officeDocument/2006/relationships/hyperlink" Target="https://www.rtve.es/play/videos/masterchef-junior/masterchef-junior-temporada-11-programa-1/16384317/" TargetMode="External"/><Relationship Id="rId5185" Type="http://schemas.openxmlformats.org/officeDocument/2006/relationships/hyperlink" Target="https://www.20minutos.es/lainformacion/economia-y-finanzas/primeras-empresas-ibex-pagaran-dividendos-2025-5667488/" TargetMode="External"/><Relationship Id="rId5186" Type="http://schemas.openxmlformats.org/officeDocument/2006/relationships/hyperlink" Target="https://www.diariodeleon.es/monograficos/revista/241228/1749154/esconden-depredadores-sierra-gistredo.html" TargetMode="External"/><Relationship Id="rId5183" Type="http://schemas.openxmlformats.org/officeDocument/2006/relationships/hyperlink" Target="https://www.bolsamania.com/noticias/empresas/indra-repsol-lideran-semana-ibex-enagas-cae-iag-toma-respiro--18402426.html" TargetMode="External"/><Relationship Id="rId5184" Type="http://schemas.openxmlformats.org/officeDocument/2006/relationships/hyperlink" Target="https://www.infobierzo.com/bierzo-noticias/plazo-alegaciones-parques-eolicos-repsol-bierzo_1019888_102.html" TargetMode="External"/><Relationship Id="rId5189" Type="http://schemas.openxmlformats.org/officeDocument/2006/relationships/hyperlink" Target="https://www.diario.red/opinion/diego-ferraz-castineiras/greenwashing-espana-como-grandes-petroleras-siguen-enganando-planeta/20241227090352040409.html" TargetMode="External"/><Relationship Id="rId5187" Type="http://schemas.openxmlformats.org/officeDocument/2006/relationships/hyperlink" Target="https://noticiastrabajo.huffingtonpost.es/economia/adios-plenoil-2025-gasolinera-low-cost-toma-importante-decision/" TargetMode="External"/><Relationship Id="rId5188" Type="http://schemas.openxmlformats.org/officeDocument/2006/relationships/hyperlink" Target="https://www.eleconomista.es/mercados-cotizaciones/noticias/13150956/12/24/la-cartera-cierra-2024-con-un-6-pero-espera-hasta-cuatro-dividendos-en-enero.html" TargetMode="External"/><Relationship Id="rId1697" Type="http://schemas.openxmlformats.org/officeDocument/2006/relationships/hyperlink" Target="https://www.20minutos.es/lainformacion/economia-y-finanzas/los-empleos-mejor-pagados-sin-tener-carrera-top-10-espana-5264764/" TargetMode="External"/><Relationship Id="rId4723" Type="http://schemas.openxmlformats.org/officeDocument/2006/relationships/hyperlink" Target="https://www.huelva24.com/gastronomia/restaurante-sierra-huelva-solete-repsol-mejor-lugar-20241201143219-nth.html" TargetMode="External"/><Relationship Id="rId1698" Type="http://schemas.openxmlformats.org/officeDocument/2006/relationships/hyperlink" Target="https://casareal.es/ES/Actividades/Paginas/actividades_actividades_detalle.aspx?data=16010" TargetMode="External"/><Relationship Id="rId4722" Type="http://schemas.openxmlformats.org/officeDocument/2006/relationships/hyperlink" Target="https://www.estrategiasdeinversion.com/analisis/bolsa-y-mercados/el-experto-opina/la-fiesta-sigue-en-la-petrolera-repsol-mientras-n-766793" TargetMode="External"/><Relationship Id="rId1699" Type="http://schemas.openxmlformats.org/officeDocument/2006/relationships/hyperlink" Target="https://www.eleconomista.es/energia/noticias/12795973/05/24/repsol-desembarca-en-el-desarrollo-de-renovables-e-hidrogeno-en-argelia-con-sonatrach.html" TargetMode="External"/><Relationship Id="rId4725" Type="http://schemas.openxmlformats.org/officeDocument/2006/relationships/hyperlink" Target="https://trial.hondaracingcorporation.com/report/spanish-national-championship-round-8-3/?lang=es" TargetMode="External"/><Relationship Id="rId4724" Type="http://schemas.openxmlformats.org/officeDocument/2006/relationships/hyperlink" Target="https://vandal.elespanol.com/random/esta-es-la-mejor-tortilla-de-patata-de-espana-y-se-hace-en-leon-segun-la-guia-repsol/30189.html" TargetMode="External"/><Relationship Id="rId4727" Type="http://schemas.openxmlformats.org/officeDocument/2006/relationships/hyperlink" Target="https://murciaeconomia.com/art/98478/juan-guillamon-ese-concepto-de-que-murcia-es-la-gran-desconocida-esta-cambiando-nuestro-nivel-gastronomico-es-muy-alto-y-no-tenemos-nada-que-envidiar" TargetMode="External"/><Relationship Id="rId4726" Type="http://schemas.openxmlformats.org/officeDocument/2006/relationships/hyperlink" Target="https://www.lavozdegalicia.es/noticia/carballo/carballo/2024/12/01/gasolinera-calle-ponente-carballo-debera-cerrar-breve/0003_202412C1C3991.htm" TargetMode="External"/><Relationship Id="rId4729" Type="http://schemas.openxmlformats.org/officeDocument/2006/relationships/hyperlink" Target="https://www.20minutos.es/lainformacion/economia-y-finanzas/factura-luz-recupera-impuestos-2025-descuento-bono-social-cambia-5659399/" TargetMode="External"/><Relationship Id="rId4728" Type="http://schemas.openxmlformats.org/officeDocument/2006/relationships/hyperlink" Target="https://emprendedores.es/ayudas/entrevista-a-jose-maria-banos-fundador-de-letslaw/" TargetMode="External"/><Relationship Id="rId866" Type="http://schemas.openxmlformats.org/officeDocument/2006/relationships/hyperlink" Target="https://www.lavozdegalicia.es/noticia/carballo/2024/03/04/fragon-balares-traen-dos-soles-repsol-costa-da-morte/00031709584989614939761.htm" TargetMode="External"/><Relationship Id="rId865" Type="http://schemas.openxmlformats.org/officeDocument/2006/relationships/hyperlink" Target="https://www.vanitatis.elconfidencial.com/estilo/ocio/2024-03-04/begona-rodrigo-3-soles-repsol-2024-la-salita_3841605/" TargetMode="External"/><Relationship Id="rId864" Type="http://schemas.openxmlformats.org/officeDocument/2006/relationships/hyperlink" Target="https://cadenaser.com/castillayleon/2024/03/05/valladolid-suma-14-locales-distinguidos-con-los-soles-de-la-guia-repsol-radio-valladolid/" TargetMode="External"/><Relationship Id="rId863" Type="http://schemas.openxmlformats.org/officeDocument/2006/relationships/hyperlink" Target="https://www.thegourmetjournal.com/noticias/los-restaurantes-malaguenos-con-soles-de-la-guia-repsol-2024/" TargetMode="External"/><Relationship Id="rId869" Type="http://schemas.openxmlformats.org/officeDocument/2006/relationships/hyperlink" Target="https://www.eldiario.es/castilla-la-mancha/agroalimentaria/nuevos-soles-repsol-casas-colgadas-cuenca-ababol-albacete-ancestral-illescas_1_10979768.html" TargetMode="External"/><Relationship Id="rId868" Type="http://schemas.openxmlformats.org/officeDocument/2006/relationships/hyperlink" Target="https://nuevecuatrouno.com/2024/03/04/mas-rayos-uva-para-la-cocina-riojana-cuatro-nuevos-soles-de-la-guia-repsol/" TargetMode="External"/><Relationship Id="rId867" Type="http://schemas.openxmlformats.org/officeDocument/2006/relationships/hyperlink" Target="https://www.lavozdegalicia.es/noticia/coruna/vivir-coruna/2024/03/04/ocho-restaurantes-sol-repsol-coruna-area/00031709556564522686567.htm" TargetMode="External"/><Relationship Id="rId1690" Type="http://schemas.openxmlformats.org/officeDocument/2006/relationships/hyperlink" Target="https://www.guiarepsol.com/es/viajar/vamos-de-excursion/ruta-volcan-cumbre-vieja-la-palma/" TargetMode="External"/><Relationship Id="rId1691" Type="http://schemas.openxmlformats.org/officeDocument/2006/relationships/hyperlink" Target="https://hablandoenvidrio.com/estrellas-verdes-reciclaje-hosteleria/" TargetMode="External"/><Relationship Id="rId1692" Type="http://schemas.openxmlformats.org/officeDocument/2006/relationships/hyperlink" Target="https://ondafuerteventura.es/repsol-inaugura-en-morro-jable-la-primera-estacion-de-servicio-con-combustible-100-renovable-en-canarias" TargetMode="External"/><Relationship Id="rId862" Type="http://schemas.openxmlformats.org/officeDocument/2006/relationships/hyperlink" Target="https://efe.com/cultura/2024-03-04/la-guia-repsol-entrega-hoy-los-nuevos-soles-de-la-gastronomia-espanola/" TargetMode="External"/><Relationship Id="rId1693" Type="http://schemas.openxmlformats.org/officeDocument/2006/relationships/hyperlink" Target="https://www.elespanol.com/reportajes/20240501/vida-raul-cabarcos-fichado-repsol-despues-estudiar-fp-anos/847915514_0.html" TargetMode="External"/><Relationship Id="rId861" Type="http://schemas.openxmlformats.org/officeDocument/2006/relationships/hyperlink" Target="https://enfoquezamora.com/2024/03/04/el-restaurante-cuzeo-de-la-ciudad-logra-un-sol-guia-repsol-2024-un-reconocimiento-de-primer-nivel/" TargetMode="External"/><Relationship Id="rId1694" Type="http://schemas.openxmlformats.org/officeDocument/2006/relationships/hyperlink" Target="https://www.eldebate.com/motor/20240501/beneficios-desconocidos-llenar-coche-nuevos-combustibles-renovables_193577.html" TargetMode="External"/><Relationship Id="rId860" Type="http://schemas.openxmlformats.org/officeDocument/2006/relationships/hyperlink" Target="https://www.eldiadecordoba.es/vivir-cordoba/Cordoba-Soles-Repsol-Semana-Santa_0_1881412529.html" TargetMode="External"/><Relationship Id="rId1695" Type="http://schemas.openxmlformats.org/officeDocument/2006/relationships/hyperlink" Target="https://www.billboard.com/lists/festivales-de-musica-espana-que-apuestan-por-la-sostenibilidad-energetica/" TargetMode="External"/><Relationship Id="rId4721" Type="http://schemas.openxmlformats.org/officeDocument/2006/relationships/hyperlink" Target="https://cincodias.elpais.com/opinion/2024-12-01/son-sostenibles-los-combustibles-sostenibles.html" TargetMode="External"/><Relationship Id="rId1696" Type="http://schemas.openxmlformats.org/officeDocument/2006/relationships/hyperlink" Target="https://okdiario.com/okgreen/reconstruccion-notre-dame-milagro-que-sido-posible-gracias-madera-certificada-12761326" TargetMode="External"/><Relationship Id="rId4720" Type="http://schemas.openxmlformats.org/officeDocument/2006/relationships/hyperlink" Target="https://www.motortime.es/2024/11/isidre-esteve-a-por-su-vigesima-participacion-en-el-dakar-tenemos-muchas-ganas/" TargetMode="External"/><Relationship Id="rId1686" Type="http://schemas.openxmlformats.org/officeDocument/2006/relationships/hyperlink" Target="https://www.atlanticohoy.com/empresas/sacyr-acerinox-fluidra-repsol-amadeus-lideran-reduccion-su-deuda-en-ibex_1530969_102.html" TargetMode="External"/><Relationship Id="rId4712" Type="http://schemas.openxmlformats.org/officeDocument/2006/relationships/hyperlink" Target="https://es.finance.yahoo.com/noticias/fiesta-petrolera-repsol-acciones-desploman-070000355.html" TargetMode="External"/><Relationship Id="rId1687" Type="http://schemas.openxmlformats.org/officeDocument/2006/relationships/hyperlink" Target="https://www.murciadiario.com/articulo/murcia-economia-regional/antonio-mestre-innovacion-tecnologica-actual-tamano-empresarial-estamos-lejos-transicion-energetica/20240430131120108791.html" TargetMode="External"/><Relationship Id="rId4711" Type="http://schemas.openxmlformats.org/officeDocument/2006/relationships/hyperlink" Target="https://360radio.com.co/geopark-sacude-el-mercado-y-anuncia-compra-de-importante-unidad-de-negocio-de-repsol-en-colombia/168316/" TargetMode="External"/><Relationship Id="rId1688" Type="http://schemas.openxmlformats.org/officeDocument/2006/relationships/hyperlink" Target="https://cincodias.elpais.com/companias/2024-04-30/tres-proyectos-espanoles-captan-263-millones-en-la-primera-subasta-comunitaria-del-hidrogeno.html" TargetMode="External"/><Relationship Id="rId4714" Type="http://schemas.openxmlformats.org/officeDocument/2006/relationships/hyperlink" Target="https://www.101tv.es/bosque-urbano-de-malaga-un-centenar-de-personas-planta-cincuenta-nuevos-arboles-en-el-solar-de-repsol/" TargetMode="External"/><Relationship Id="rId1689" Type="http://schemas.openxmlformats.org/officeDocument/2006/relationships/hyperlink" Target="https://www.aragondigital.es/articulo/sociedad/cocteleria-zaragozana-moonlight-experimental-bar-hace-estrellas-soles-repsol/20240430125333871807.html" TargetMode="External"/><Relationship Id="rId4713" Type="http://schemas.openxmlformats.org/officeDocument/2006/relationships/hyperlink" Target="https://www.capitalmadrid.com/2024/11/30/68568/repsol-escapa-de-colombia-para-redibujar-su-mapa-petrolero.html" TargetMode="External"/><Relationship Id="rId4716" Type="http://schemas.openxmlformats.org/officeDocument/2006/relationships/hyperlink" Target="https://www.elespanol.com/motor/20241130/iberdrola-endesa-repsol-zunder-tesla-queda-ranking-puntos-carga-coche-electrico-espana/901909956_0.html" TargetMode="External"/><Relationship Id="rId4715" Type="http://schemas.openxmlformats.org/officeDocument/2006/relationships/hyperlink" Target="https://www.laopiniondemalaga.es/malaga/2024/11/30/bosque-urbano-planta-50-arboles-112212788.html" TargetMode="External"/><Relationship Id="rId4718" Type="http://schemas.openxmlformats.org/officeDocument/2006/relationships/hyperlink" Target="https://www.economiadigital.es/galicia/empresas/amancio-ortega-ganancias-parques-eolicos.html" TargetMode="External"/><Relationship Id="rId4717" Type="http://schemas.openxmlformats.org/officeDocument/2006/relationships/hyperlink" Target="https://www.caranddriver.com/es/movilidad/sostenibilidad-ecologia/a63042598/servicio-movilidad-kia-drive/" TargetMode="External"/><Relationship Id="rId4719" Type="http://schemas.openxmlformats.org/officeDocument/2006/relationships/hyperlink" Target="https://www.eleconomista.es/mercados-cotizaciones/noticias/13111770/11/24/la-cartera-se-compra-con-un-9-de-descuento-frente-al-ibex-por-per.html" TargetMode="External"/><Relationship Id="rId855" Type="http://schemas.openxmlformats.org/officeDocument/2006/relationships/hyperlink" Target="https://www.elperiodicomediterraneo.com/ocio/gastronomia/2024/03/04/guia-repsol-2024-nuevo-sol-99019577.html" TargetMode="External"/><Relationship Id="rId854" Type="http://schemas.openxmlformats.org/officeDocument/2006/relationships/hyperlink" Target="https://www.noticiasdegipuzkoa.eus/gipuzkoa/2024/03/04/listado-restaurantes-guia-repsol-gipuzkoa-7956360.html" TargetMode="External"/><Relationship Id="rId853" Type="http://schemas.openxmlformats.org/officeDocument/2006/relationships/hyperlink" Target="https://revistaplacet.es/guia-repsol-reconoce-con-2-soles-a-cuatro-restaurantes-madrilenos-y-con-1-sol-a-diez-mas/" TargetMode="External"/><Relationship Id="rId852" Type="http://schemas.openxmlformats.org/officeDocument/2006/relationships/hyperlink" Target="https://www.20minutos.es/gastronomia/restaurantes/sigue-directo-gala-los-soles-guia-repsol-2024-5224144/" TargetMode="External"/><Relationship Id="rId859" Type="http://schemas.openxmlformats.org/officeDocument/2006/relationships/hyperlink" Target="https://www.bonviveur.es/noticias/listado-de-restaurantes-con-soles-repsol" TargetMode="External"/><Relationship Id="rId858" Type="http://schemas.openxmlformats.org/officeDocument/2006/relationships/hyperlink" Target="https://www.deia.eus/bizkaia/2024/03/04/bizkaia-suma-tres-nuevos-soles-7956268.html" TargetMode="External"/><Relationship Id="rId857" Type="http://schemas.openxmlformats.org/officeDocument/2006/relationships/hyperlink" Target="https://www.heraldo.es/noticias/gastronomia/2024/03/04/torre-visco-restaurante-sol-repsol-aragon-fuentespalda-matarrana-teruel-1716236.html" TargetMode="External"/><Relationship Id="rId856" Type="http://schemas.openxmlformats.org/officeDocument/2006/relationships/hyperlink" Target="https://www.canarias7.es/gastronomia-c7/restaurantes/consulte-nuevos-soles-repsol-brillan-canarias-20240304201337-nt.html" TargetMode="External"/><Relationship Id="rId1680" Type="http://schemas.openxmlformats.org/officeDocument/2006/relationships/hyperlink" Target="https://www.desdeadentro.pe/2024/04/refineria-la-pampilla-redujo-sus-emisiones-de-co2-en-un-equivalente-a-lo-que-generan-100-mil-autos-al-ano/" TargetMode="External"/><Relationship Id="rId1681" Type="http://schemas.openxmlformats.org/officeDocument/2006/relationships/hyperlink" Target="https://www.valoraanalitik.com/produccion-de-petroleo-de-geopark-afectada-por-bloqueos-y-mantenimientos-en-colombia/" TargetMode="External"/><Relationship Id="rId851" Type="http://schemas.openxmlformats.org/officeDocument/2006/relationships/hyperlink" Target="https://www.palenciaenlared.es/adif-encarga-a-repsol-instalar-25-cargadores-para-coches-electricos-en-palencia/" TargetMode="External"/><Relationship Id="rId1682" Type="http://schemas.openxmlformats.org/officeDocument/2006/relationships/hyperlink" Target="https://murciaeconomia.com/art/95635/repsol-y-el-corte-ingles-proyectan-abrir-nuevos-locales-supercor-en-gasolineras-de-la-region" TargetMode="External"/><Relationship Id="rId850" Type="http://schemas.openxmlformats.org/officeDocument/2006/relationships/hyperlink" Target="https://www.elmundo.es/metropoli/gastronomia/2024/03/04/65e5e5dce85ecee56a8b458a.html" TargetMode="External"/><Relationship Id="rId1683" Type="http://schemas.openxmlformats.org/officeDocument/2006/relationships/hyperlink" Target="https://www.expansion.com/empresas/energia/2024/04/30/663028cc468aebc80b8b45b9.html" TargetMode="External"/><Relationship Id="rId1684" Type="http://schemas.openxmlformats.org/officeDocument/2006/relationships/hyperlink" Target="https://www.elcorreo.com/jantour/restaurantes/restaurante-vitoriano-anos-recomendado-guia-repsol-20240427152244-nt.html" TargetMode="External"/><Relationship Id="rId4710" Type="http://schemas.openxmlformats.org/officeDocument/2006/relationships/hyperlink" Target="https://www.eltiempo.com/economia/sectores/geopark-firmo-acuerdo-para-comprar-los-activos-petroleros-de-repsol-en-colombia-por-us-530-millones-3404418" TargetMode="External"/><Relationship Id="rId1685" Type="http://schemas.openxmlformats.org/officeDocument/2006/relationships/hyperlink" Target="https://www.guiarepsol.com/es/soletes/soletes-donde-comer-pollo/" TargetMode="External"/><Relationship Id="rId3414" Type="http://schemas.openxmlformats.org/officeDocument/2006/relationships/hyperlink" Target="https://www.20minutos.es/lainformacion/economia-y-finanzas/masdar-compra-saeta-yield-consolida-apuesta-renovables-espana-5636726/" TargetMode="External"/><Relationship Id="rId4745" Type="http://schemas.openxmlformats.org/officeDocument/2006/relationships/hyperlink" Target="https://www.elespanol.com/invertia/empresas/energia/20241203/repsol-suministrara-combustible-renovable-db-schenker-reducir-emisiones-co2/905909715_0.html" TargetMode="External"/><Relationship Id="rId3413" Type="http://schemas.openxmlformats.org/officeDocument/2006/relationships/hyperlink" Target="https://cronicavasca.elespanol.com/empresas/20240924/petronor-compra-tercios-petroleo-paises-americanos-rusia/888161209_0.html" TargetMode="External"/><Relationship Id="rId4744" Type="http://schemas.openxmlformats.org/officeDocument/2006/relationships/hyperlink" Target="https://elmercantil.com/2024/12/03/repsol-suministrara-hvo-a-la-flota-de-iberia-de-db-schenker/" TargetMode="External"/><Relationship Id="rId3416" Type="http://schemas.openxmlformats.org/officeDocument/2006/relationships/hyperlink" Target="https://autopos.es/recambios-automovil/europa-impondra-multas-de-hasta-2-700-euros-por-coche-a-partir-de-2025/" TargetMode="External"/><Relationship Id="rId4747" Type="http://schemas.openxmlformats.org/officeDocument/2006/relationships/hyperlink" Target="https://www.101tv.es/admitido-a-tramite-el-recurso-contra-la-autorizacion-ambiental-unificada-de-los-terrenos-de-repsol/" TargetMode="External"/><Relationship Id="rId3415" Type="http://schemas.openxmlformats.org/officeDocument/2006/relationships/hyperlink" Target="https://worldenergytrade.com/venezuela-y-repsol-avanzan-en-nuevos-acuerdos-de-cooperacion-energetica/" TargetMode="External"/><Relationship Id="rId4746" Type="http://schemas.openxmlformats.org/officeDocument/2006/relationships/hyperlink" Target="https://www.merca2.es/2024/12/03/mercado-aplaude-repsol-colombia-2084871/" TargetMode="External"/><Relationship Id="rId3418" Type="http://schemas.openxmlformats.org/officeDocument/2006/relationships/hyperlink" Target="https://www.guiarepsol.com/es/soletes/donde-comer-rico-y-barato-en-cantabria-segun-los-chefs/" TargetMode="External"/><Relationship Id="rId4749" Type="http://schemas.openxmlformats.org/officeDocument/2006/relationships/hyperlink" Target="https://www.heraldodiariodesoria.es/soria/241203/195748/gasolineras-soria-ubicacion-pueblos-horarios.html" TargetMode="External"/><Relationship Id="rId3417" Type="http://schemas.openxmlformats.org/officeDocument/2006/relationships/hyperlink" Target="https://www.bolsamania.com/noticias/analisis-tecnico/repsol-no-levanta-cabeza--17536610.html" TargetMode="External"/><Relationship Id="rId4748" Type="http://schemas.openxmlformats.org/officeDocument/2006/relationships/hyperlink" Target="https://www.lacomarcadepuertollano.com/articulo/puertollano/tenis-club-recreativo-repsol-puertollano/20241203101904572465.html" TargetMode="External"/><Relationship Id="rId3419" Type="http://schemas.openxmlformats.org/officeDocument/2006/relationships/hyperlink" Target="https://www.alimente.elconfidencial.com/gastronomia-y-cocina/2024-09-24/restaurante-michelin-granada-barato-palacete-1qrt_3968311/" TargetMode="External"/><Relationship Id="rId888" Type="http://schemas.openxmlformats.org/officeDocument/2006/relationships/hyperlink" Target="https://www.eldia.es/ocio/gastronomia/2024/03/04/son-siete-nuevos-soles-repsol-99014449.html" TargetMode="External"/><Relationship Id="rId887" Type="http://schemas.openxmlformats.org/officeDocument/2006/relationships/hyperlink" Target="https://entomelloso.com/2024/tomelloso/la-guia-repsol-sigue-reconociendo-al-restaurante-epilogo-de-tomelloso-con-un-sol/473841/" TargetMode="External"/><Relationship Id="rId886" Type="http://schemas.openxmlformats.org/officeDocument/2006/relationships/hyperlink" Target="https://www.latribunadeciudadreal.es/noticia/z6d88d750-0284-84b4-1e1339ba128e6c37/202403/los-soles-de-repsol-iluminan-ciudad-real" TargetMode="External"/><Relationship Id="rId885" Type="http://schemas.openxmlformats.org/officeDocument/2006/relationships/hyperlink" Target="https://metropolitano.gal/enfoque/descubre-los-40-mejores-restaurantes-de-galicia-segun-la-guia-repsol-asi-son-los-nuevos-soles/" TargetMode="External"/><Relationship Id="rId889" Type="http://schemas.openxmlformats.org/officeDocument/2006/relationships/hyperlink" Target="https://www.lavozdegalicia.es/noticia/amarina/ribadeo/2024/03/04/javier-montero-suma-elitegastronomica-sol-guia-repsol/00031709577902770215216.htm" TargetMode="External"/><Relationship Id="rId880" Type="http://schemas.openxmlformats.org/officeDocument/2006/relationships/hyperlink" Target="https://www.informacion.es/cultura/2024/03/04/tres-restaurantes-provincia-alicante-sol-repsol-99009528.html" TargetMode="External"/><Relationship Id="rId884" Type="http://schemas.openxmlformats.org/officeDocument/2006/relationships/hyperlink" Target="https://www.cantabriadirecta.es/107437-2-noticias-cantabria-santander-cobo-evolucion-guia-repsol-sol/" TargetMode="External"/><Relationship Id="rId3410" Type="http://schemas.openxmlformats.org/officeDocument/2006/relationships/hyperlink" Target="https://www.elconfidencial.com/empresas/2024-09-24/repsol-se-reune-de-nuevo-con-el-equipo-de-maduro-en-plena-tension-entre-espana-y-venezuela_3968780/" TargetMode="External"/><Relationship Id="rId4741" Type="http://schemas.openxmlformats.org/officeDocument/2006/relationships/hyperlink" Target="https://www.las2orillas.co/despues-de-40-anos-los-petroleros-espanoles-de-repsol-le-dicen-adios-a-colombia/" TargetMode="External"/><Relationship Id="rId883" Type="http://schemas.openxmlformats.org/officeDocument/2006/relationships/hyperlink" Target="https://cadenaser.com/nacional/2024/03/04/begona-rodrigo-mas-top-chef-que-nunca-el-restaurante-la-salita-consigue-su-tercer-sol-repsol-cadena-ser/" TargetMode="External"/><Relationship Id="rId4740" Type="http://schemas.openxmlformats.org/officeDocument/2006/relationships/hyperlink" Target="https://www.cronista.com/espana/ibex-euro/repsol-a-cuanto-cotiza-hoy-lunes-02-de-diciembre-y-cuanto-rinden-los-dividendos/" TargetMode="External"/><Relationship Id="rId882" Type="http://schemas.openxmlformats.org/officeDocument/2006/relationships/hyperlink" Target="https://murciaplaza.com/murciaplaza/estos-son-los-nuevos-98-soles-de-la-guia-repsol" TargetMode="External"/><Relationship Id="rId3412" Type="http://schemas.openxmlformats.org/officeDocument/2006/relationships/hyperlink" Target="https://www.diario.red/articulo/america-latina/como-repsol-enriquece-sanciones-venezuela/20240923163742035773.html" TargetMode="External"/><Relationship Id="rId4743" Type="http://schemas.openxmlformats.org/officeDocument/2006/relationships/hyperlink" Target="https://mundoplast.com/ministro-visita-repsol-sines/" TargetMode="External"/><Relationship Id="rId881" Type="http://schemas.openxmlformats.org/officeDocument/2006/relationships/hyperlink" Target="https://www.larioja.com/degusta/soles-riojanos-2024-segundo-nublo-primero-vieja-20240304200004-nt.html" TargetMode="External"/><Relationship Id="rId3411" Type="http://schemas.openxmlformats.org/officeDocument/2006/relationships/hyperlink" Target="https://confilegal.com/20240924-clifford-chance-asesora-a-grenergy-en-la-compra-a-repsol-e-ibereolica-de-un-portfolio-solar-en-chile-de-1-000-mw/" TargetMode="External"/><Relationship Id="rId4742" Type="http://schemas.openxmlformats.org/officeDocument/2006/relationships/hyperlink" Target="https://elperiodicodelaenergia.com/repsol-suministrara-combustible-renovable-a-db-schenker-para-reducir-en-un-90-las-emisiones-de-co2/" TargetMode="External"/><Relationship Id="rId3403" Type="http://schemas.openxmlformats.org/officeDocument/2006/relationships/hyperlink" Target="https://www.estrategiasdeinversion.com/actualidad/noticias/bolsa-espana/los-analistas-rebajan-en-bloque-las-perspectivas-n-746457" TargetMode="External"/><Relationship Id="rId4734" Type="http://schemas.openxmlformats.org/officeDocument/2006/relationships/hyperlink" Target="https://consensodelmercado.com/es/ibex-35/noticias/repsol-vende-sus-activos-colombianos-a-geopark-con-una-estimacion-de-reducir-la-deuda-neta-del-grupo-en-unos-500-m" TargetMode="External"/><Relationship Id="rId3402" Type="http://schemas.openxmlformats.org/officeDocument/2006/relationships/hyperlink" Target="https://blog.selfbank.es/repsol-las-fuertes-caidas-de-los-ultimos-meses-disparan-la-rentabilidad-por-dividendo/" TargetMode="External"/><Relationship Id="rId4733" Type="http://schemas.openxmlformats.org/officeDocument/2006/relationships/hyperlink" Target="https://cincodias.elpais.com/mercados-financieros/2024-12-02/asi-puede-regalar-acciones-de-nvidia-repsol-o-caixabank-por-navidad.html" TargetMode="External"/><Relationship Id="rId3405" Type="http://schemas.openxmlformats.org/officeDocument/2006/relationships/hyperlink" Target="https://www.capitalmadrid.com/2024/9/24/68111/repsol-mantendra-su-politica-de-dividendos-pese-a-la-caida-del-crudo-y-el-margen-de-refino.html" TargetMode="External"/><Relationship Id="rId4736" Type="http://schemas.openxmlformats.org/officeDocument/2006/relationships/hyperlink" Target="https://www.mapa.gob.es/es/prensa/ultimas-noticias/aumenta-el-consumo-responsable-de-los-ciudadanos-en-l%C3%ADnea-con-los-valores-de-la-estrategia-alimentos-de-espa%C3%B1a/tcm:30-697484" TargetMode="External"/><Relationship Id="rId3404" Type="http://schemas.openxmlformats.org/officeDocument/2006/relationships/hyperlink" Target="https://www.finanzas.com/ibex-35/repsol-flirtea-con-los-minimos-anuales-tras-la-llegada-del-primer-bajista-en-dos-anos.html" TargetMode="External"/><Relationship Id="rId4735" Type="http://schemas.openxmlformats.org/officeDocument/2006/relationships/hyperlink" Target="https://lamarinaalta.com/tres-restaurantes-legendarios-brillan-con-nuevos-soletes-2024-de-la-guia-repsol-en-la-vall-de-gallinera-pedreguer-y-jesus-pobre/" TargetMode="External"/><Relationship Id="rId3407" Type="http://schemas.openxmlformats.org/officeDocument/2006/relationships/hyperlink" Target="https://www.bolsamania.com/noticias/analisis-fundamental/jp-morgan-recorta-repsol-neutral-baja-precio-objetivo-14-euros--17543564.html" TargetMode="External"/><Relationship Id="rId4738" Type="http://schemas.openxmlformats.org/officeDocument/2006/relationships/hyperlink" Target="https://www.cronista.com/espana/ibex-euro/repsol-asi-abre-la-cotizacion-hoy-lunes-02-de-diciembre-cuanto-rinden-los-dividendos/" TargetMode="External"/><Relationship Id="rId3406" Type="http://schemas.openxmlformats.org/officeDocument/2006/relationships/hyperlink" Target="https://es.benzinga.com/news/spain/stocks-spain-news/acciones-repsol-bajo-presion-analisis-tendencia-bajista/" TargetMode="External"/><Relationship Id="rId4737" Type="http://schemas.openxmlformats.org/officeDocument/2006/relationships/hyperlink" Target="https://www.juntadeandalucia.es/presidencia/portavoz/199571/JuntadeAndalucia/ConsejeriadeFomentoArticulaciondelTerritorioyVivienda/autobus/combustiblerenovable/Granada/emisiones/CO2" TargetMode="External"/><Relationship Id="rId3409" Type="http://schemas.openxmlformats.org/officeDocument/2006/relationships/hyperlink" Target="https://www.guiarepsol.com/es/dormir/como-en-casa/casa-sirfantas-cordoba/" TargetMode="External"/><Relationship Id="rId3408" Type="http://schemas.openxmlformats.org/officeDocument/2006/relationships/hyperlink" Target="https://www.laprovincia.es/finanzas-personales/2024/09/24/repsol-sido-victima-ciberataque-expone-datos-clientes-asi-debes-actuar-dv-108509624.html" TargetMode="External"/><Relationship Id="rId4739" Type="http://schemas.openxmlformats.org/officeDocument/2006/relationships/hyperlink" Target="https://www.elperiodicoextremadura.com/caceres-local/2024/12/02/bar-cacereno-comer-mejor-tortilla-112256558.html" TargetMode="External"/><Relationship Id="rId877" Type="http://schemas.openxmlformats.org/officeDocument/2006/relationships/hyperlink" Target="https://cadenaser.com/euskadi/2024/03/04/guia-repsol-reconoce-con-2-soles-a-los-restaurantes-guipzcoanos-ama-y-casa-julian-radio-san-sebastian/" TargetMode="External"/><Relationship Id="rId876" Type="http://schemas.openxmlformats.org/officeDocument/2006/relationships/hyperlink" Target="https://www.elespanol.com/malaga/vivir/gastronomia/20240304/malaga-suma-nuevos-soles-guia-repsol-palodu-areia/837416620_0.html" TargetMode="External"/><Relationship Id="rId875" Type="http://schemas.openxmlformats.org/officeDocument/2006/relationships/hyperlink" Target="https://www.diariodesevilla.es/andalucia/restaurantes-Andalucia-soles-Guia-Repsol_0_1881413135.html" TargetMode="External"/><Relationship Id="rId874" Type="http://schemas.openxmlformats.org/officeDocument/2006/relationships/hyperlink" Target="https://www.diariodelaltoaragon.es/noticias/comarcas/2024/03/04/ansils-y-la-era-de-los-nogales-nuevos-soles-repsol-en-la-provincia-de-huesca-1716245-daa.html" TargetMode="External"/><Relationship Id="rId879" Type="http://schemas.openxmlformats.org/officeDocument/2006/relationships/hyperlink" Target="https://forbes.es/ultima-hora/420907/begona-rodrigo-la-salita-nueva-3-soles-guia-repsol-en-un-ano-brillante-para-la-gastronomia/" TargetMode="External"/><Relationship Id="rId878" Type="http://schemas.openxmlformats.org/officeDocument/2006/relationships/hyperlink" Target="https://www.diariodeleon.es/ocio/gastronomia/240304/1513617/fotos-restaurantes-leoneses-han-ganado-soles-guia-repsol.html" TargetMode="External"/><Relationship Id="rId873" Type="http://schemas.openxmlformats.org/officeDocument/2006/relationships/hyperlink" Target="https://www.laverdad.es/gastronomia/locura-chicote-murcia-20240303163952-nt.html" TargetMode="External"/><Relationship Id="rId4730" Type="http://schemas.openxmlformats.org/officeDocument/2006/relationships/hyperlink" Target="https://www.kelisto.es/energia/companias/repsol" TargetMode="External"/><Relationship Id="rId872" Type="http://schemas.openxmlformats.org/officeDocument/2006/relationships/hyperlink" Target="https://www.elespanol.com/quincemil/vivir/gastrogalicia/20240304/coruna-suma-soles-repsol-nueva-edicion-prestigiosa-guia/837416883_0.html" TargetMode="External"/><Relationship Id="rId871" Type="http://schemas.openxmlformats.org/officeDocument/2006/relationships/hyperlink" Target="https://www.lasprovincias.es/gastronomia/begona-rodrigo-ilumina-tres-soles-cartagena-comunitat-20240304182213-nt.html" TargetMode="External"/><Relationship Id="rId3401" Type="http://schemas.openxmlformats.org/officeDocument/2006/relationships/hyperlink" Target="https://www.fundacionrepsol.com/es/noticias/fundacion-repsol-incorpora-7-nuevas-startups-fondo-de-emprendedores/" TargetMode="External"/><Relationship Id="rId4732" Type="http://schemas.openxmlformats.org/officeDocument/2006/relationships/hyperlink" Target="https://www.capitalmadrid.com/2024/12/2/68571/a-repsol-no-le-gusta-colombia.html" TargetMode="External"/><Relationship Id="rId870" Type="http://schemas.openxmlformats.org/officeDocument/2006/relationships/hyperlink" Target="https://www.heraldo.es/noticias/gastronomia/2024/03/04/ansils-restaurante-sol-repsol-aragon-anciles-benasque-huesca-1716232.html" TargetMode="External"/><Relationship Id="rId3400" Type="http://schemas.openxmlformats.org/officeDocument/2006/relationships/hyperlink" Target="https://www.mundiario.com/articulo/economia/venezuela-repsol-mantienen-alianza-pesar-tension-diplomatica/20240923161504318581.html" TargetMode="External"/><Relationship Id="rId4731" Type="http://schemas.openxmlformats.org/officeDocument/2006/relationships/hyperlink" Target="https://www.denia.com/jesus-pobre-gana-un-solete-de-la-guia-repsol/" TargetMode="External"/><Relationship Id="rId1653" Type="http://schemas.openxmlformats.org/officeDocument/2006/relationships/hyperlink" Target="https://www.expansion.com/expansion-empleo/desarrollo-de-carrera/2024/04/26/662b93ad468aeb79488b458f.html" TargetMode="External"/><Relationship Id="rId2984" Type="http://schemas.openxmlformats.org/officeDocument/2006/relationships/hyperlink" Target="https://okdiario.com/okgreen/superficie-ecologica-andalucia-aumenta-88-decada-13343876" TargetMode="External"/><Relationship Id="rId1654" Type="http://schemas.openxmlformats.org/officeDocument/2006/relationships/hyperlink" Target="https://www.lanzadigital.com/provincia/puertollano/repsol-mueve-pieza-en-el-puzzle-de-la-transformacion-industrial/" TargetMode="External"/><Relationship Id="rId2985" Type="http://schemas.openxmlformats.org/officeDocument/2006/relationships/hyperlink" Target="https://okdiario.com/okgreen/canarias-recibira-asesoramiento-cientifico-reducir-riesgo-volcanico-13346962" TargetMode="External"/><Relationship Id="rId1655" Type="http://schemas.openxmlformats.org/officeDocument/2006/relationships/hyperlink" Target="https://www.eleconomista.es/energia/noticias/12788311/04/24/ester-moya-repsol-la-descarbonizacion-puede-y-debe-ser-una-palanca-para-potenciar-la-competitividad-de-espana.html" TargetMode="External"/><Relationship Id="rId2986" Type="http://schemas.openxmlformats.org/officeDocument/2006/relationships/hyperlink" Target="https://www.eleconomista.es/energia/noticias/12955899/08/24/repsol-roza-los-dos-millones-de-clientes-de-electricidad-y-lidera-las-subidas-desde-2019.html" TargetMode="External"/><Relationship Id="rId1656" Type="http://schemas.openxmlformats.org/officeDocument/2006/relationships/hyperlink" Target="https://radiomiraflores.net.ve/pdvsa-y-repsol-aumentaran-produccion-petrolera-pese-a-sanciones-de-ee-uu/" TargetMode="External"/><Relationship Id="rId2987" Type="http://schemas.openxmlformats.org/officeDocument/2006/relationships/hyperlink" Target="https://www.hoy.es/caceres/red-provincial-electrolineras-caceres-pasa-manos-repsol-20240822194456-nt.html" TargetMode="External"/><Relationship Id="rId1657" Type="http://schemas.openxmlformats.org/officeDocument/2006/relationships/hyperlink" Target="https://www.menorca.info/deportes/polideportivo/2024/04/27/2152751/marc-marquez-regresa-pole-jerez.html" TargetMode="External"/><Relationship Id="rId2988" Type="http://schemas.openxmlformats.org/officeDocument/2006/relationships/hyperlink" Target="https://www.guiarepsol.com/es/viajar/vamos-de-excursion/el-laberinto-de-piedrafita-de-jaca-huesca/" TargetMode="External"/><Relationship Id="rId1658" Type="http://schemas.openxmlformats.org/officeDocument/2006/relationships/hyperlink" Target="https://www.diariosur.es/malaga-capital/cuenta-atras-derribo-portillo-dar-paso-158-20240427141230-nt.html" TargetMode="External"/><Relationship Id="rId2989" Type="http://schemas.openxmlformats.org/officeDocument/2006/relationships/hyperlink" Target="https://www.heraldo.es/noticias/gastronomia/2024/08/22/lio-tapas-mejor-restaurante-carretera-comer-aragon-calatayud-1733232.html" TargetMode="External"/><Relationship Id="rId1659" Type="http://schemas.openxmlformats.org/officeDocument/2006/relationships/hyperlink" Target="https://www.boxrepsol.com/es/motogp/resultados-de-la-carrera-sprint-del-gp-de-espana-de-motogp-2024/" TargetMode="External"/><Relationship Id="rId829" Type="http://schemas.openxmlformats.org/officeDocument/2006/relationships/hyperlink" Target="https://www.periodicodeibiza.es/pitiusas/aldia/2024/03/04/2118461/ibiza-formentera-ganan-dos-nuevos-soles-guia-repsol.html" TargetMode="External"/><Relationship Id="rId828" Type="http://schemas.openxmlformats.org/officeDocument/2006/relationships/hyperlink" Target="https://www.encastillalamancha.es/castilla-la-mancha-cat/tres-chefs-de-clm-suman-soles-repsol-estos-son-los-28-restaurantes-que-triunfan-en-la-region/" TargetMode="External"/><Relationship Id="rId827" Type="http://schemas.openxmlformats.org/officeDocument/2006/relationships/hyperlink" Target="https://www.bonviveur.es/noticias/restaurantes-con-tres-soles-repsol" TargetMode="External"/><Relationship Id="rId822" Type="http://schemas.openxmlformats.org/officeDocument/2006/relationships/hyperlink" Target="https://www.burgosconecta.es/provincia/restaurantes-burgos-estrenan-sol-guia-repsol-20240304203435-nt.html" TargetMode="External"/><Relationship Id="rId821" Type="http://schemas.openxmlformats.org/officeDocument/2006/relationships/hyperlink" Target="https://www.20minutos.es/gastronomia/restaurantes/que-son-soles-guia-repsol-restaurantes-puntuacion-4963707/" TargetMode="External"/><Relationship Id="rId820" Type="http://schemas.openxmlformats.org/officeDocument/2006/relationships/hyperlink" Target="https://cadenaser.com/castillalamancha/2024/03/04/los-28-restaurantes-de-castilla-la-mancha-que-cuentan-con-soles-repsol-hay-tres-novedades-en-este-2024-ser-toledo/" TargetMode="External"/><Relationship Id="rId826" Type="http://schemas.openxmlformats.org/officeDocument/2006/relationships/hyperlink" Target="https://www.gastroactitud.com/pista/tres-soles-repsol-para-la-salita-valencia-y-dos-para-osa-madrid/" TargetMode="External"/><Relationship Id="rId825" Type="http://schemas.openxmlformats.org/officeDocument/2006/relationships/hyperlink" Target="https://www.elespanol.com/cocinillas/actualidad-gastronomica/20240304/soles-repsol-listado-completo-nuevos-restaurantes-premiados-guia/835666812_0.html" TargetMode="External"/><Relationship Id="rId824" Type="http://schemas.openxmlformats.org/officeDocument/2006/relationships/hyperlink" Target="https://www.diariojaen.es/jaen/dos-nuevos-soles-repsol-para-jaen-almoroje-y-malak-HF9711090" TargetMode="External"/><Relationship Id="rId823" Type="http://schemas.openxmlformats.org/officeDocument/2006/relationships/hyperlink" Target="https://www.ideal.es/almeria/gourmet/almeria-lleva-tres-soles-repsol-oferta-gastronomica-20240305230720-nt.html" TargetMode="External"/><Relationship Id="rId2980" Type="http://schemas.openxmlformats.org/officeDocument/2006/relationships/hyperlink" Target="https://www.guiarepsol.com/es/comer/nuestros-favoritos/terrazas-de-verano-en-valladolid/" TargetMode="External"/><Relationship Id="rId1650" Type="http://schemas.openxmlformats.org/officeDocument/2006/relationships/hyperlink" Target="https://www.boxrepsol.com/es/motogp/resultados-de-los-entrenamientos-del-gp-espana-de-motogp-2024/" TargetMode="External"/><Relationship Id="rId2981" Type="http://schemas.openxmlformats.org/officeDocument/2006/relationships/hyperlink" Target="https://okdiario.com/gastronomia/mejor-restaurante-carreteras-valencia-esta-lado-a3-lo-recomienda-guia-repsol-13315334" TargetMode="External"/><Relationship Id="rId1651" Type="http://schemas.openxmlformats.org/officeDocument/2006/relationships/hyperlink" Target="https://primicia.com.ve/economia/repsol-quiere-duplicar-su-produccion-petrolera-en-venezuela/" TargetMode="External"/><Relationship Id="rId2982" Type="http://schemas.openxmlformats.org/officeDocument/2006/relationships/hyperlink" Target="https://www.moto1pro.com/enduropro/actualidad/toni-bou-podria-de-ser-campeon-del-mundo-de-trialgp-este-fin-de-semana" TargetMode="External"/><Relationship Id="rId1652" Type="http://schemas.openxmlformats.org/officeDocument/2006/relationships/hyperlink" Target="https://www.eleconomista.es/energia/noticias/12789267/04/24/repsol-se-refuerza-en-venezuela-con-una-nueva-alianza-de-1590-millones.html" TargetMode="External"/><Relationship Id="rId2983" Type="http://schemas.openxmlformats.org/officeDocument/2006/relationships/hyperlink" Target="https://okdiario.com/okgreen/australia-da-luz-verde-levantar-mayor-planta-energia-solar-del-mundo-13345781" TargetMode="External"/><Relationship Id="rId1642" Type="http://schemas.openxmlformats.org/officeDocument/2006/relationships/hyperlink" Target="https://worldenergytrade.com/repsol-aumentara-la-produccion-de-petroleo-en-venezuela/" TargetMode="External"/><Relationship Id="rId2973" Type="http://schemas.openxmlformats.org/officeDocument/2006/relationships/hyperlink" Target="https://www.finanzas.com/ibex-35/el-ibex-35-corta-la-racha-de-subidas-con-el-lastre-de-telefonica-y-repsol.html" TargetMode="External"/><Relationship Id="rId1643" Type="http://schemas.openxmlformats.org/officeDocument/2006/relationships/hyperlink" Target="https://murciaplaza.com/murciaplaza/la-region-suma-38-gasolineras-repsol-que-venden-combustible-100-sostenible-el-mayor-numero-de-toda-espana" TargetMode="External"/><Relationship Id="rId2974" Type="http://schemas.openxmlformats.org/officeDocument/2006/relationships/hyperlink" Target="https://www.bonviveur.es/noticias/mejores-restaurantes-canarias" TargetMode="External"/><Relationship Id="rId1644" Type="http://schemas.openxmlformats.org/officeDocument/2006/relationships/hyperlink" Target="https://okdiario.com/economia/alemania-apoya-que-ue-prohiba-ya-compra-gas-rusia-complica-naturgy-repsol-12739489" TargetMode="External"/><Relationship Id="rId2975" Type="http://schemas.openxmlformats.org/officeDocument/2006/relationships/hyperlink" Target="https://www.eleconomista.es/branded-content/noticias/12929062/07/24/bacterias-para-convertir-dioxido-de-carbono-en-azucar.html" TargetMode="External"/><Relationship Id="rId1645" Type="http://schemas.openxmlformats.org/officeDocument/2006/relationships/hyperlink" Target="https://www.ideal.es/economia/mi-hucha/nuevas-tiendas-corte-ingles-repsol-llegan-ciudad-20240426105028-nt.html" TargetMode="External"/><Relationship Id="rId2976" Type="http://schemas.openxmlformats.org/officeDocument/2006/relationships/hyperlink" Target="https://www.guiarepsol.com/es/comer/nuestros-favoritos/restaurante-san-ho-costa-adeje-tenerife/" TargetMode="External"/><Relationship Id="rId1646" Type="http://schemas.openxmlformats.org/officeDocument/2006/relationships/hyperlink" Target="https://www.guiarepsol.com/es/dormir/en-la-gloria/cabanas-de-xaras-marin/" TargetMode="External"/><Relationship Id="rId2977" Type="http://schemas.openxmlformats.org/officeDocument/2006/relationships/hyperlink" Target="https://www.elespanol.com/quincemil/economia/20240821/balance-luz-sombra-puerto-coruna-repsol-cruceros-traficos-muelles/879912285_0.html" TargetMode="External"/><Relationship Id="rId1647" Type="http://schemas.openxmlformats.org/officeDocument/2006/relationships/hyperlink" Target="https://www.laverdad.es/murcia/cartagena/refineria-cartagena-preve-tener-ano-direccion-repsol-20240426135831-nt.html" TargetMode="External"/><Relationship Id="rId2978" Type="http://schemas.openxmlformats.org/officeDocument/2006/relationships/hyperlink" Target="https://trial.hondaracingcorporation.com/report/toni-bou-will-have-his-first-chance-to-become-world-champion-in-cahors-france/?lang=es" TargetMode="External"/><Relationship Id="rId1648" Type="http://schemas.openxmlformats.org/officeDocument/2006/relationships/hyperlink" Target="https://www.estrategiasdeinversion.com/analisis/bolsa-y-mercados/informes/tesla-da-un-aviso-y-la-petrolera-repsol-empieza-n-709821" TargetMode="External"/><Relationship Id="rId2979" Type="http://schemas.openxmlformats.org/officeDocument/2006/relationships/hyperlink" Target="https://okdiario.com/baleares/xx-aniversario-copa-del-rey-repsol-atrae-nuevos-barcos-13346673" TargetMode="External"/><Relationship Id="rId1649" Type="http://schemas.openxmlformats.org/officeDocument/2006/relationships/hyperlink" Target="https://www.elconfidencial.com/cultura/2024-04-26/elrow-town-madrid-edicion-sostenible_3874222/" TargetMode="External"/><Relationship Id="rId819" Type="http://schemas.openxmlformats.org/officeDocument/2006/relationships/hyperlink" Target="https://laprensadelrioja.com/enoturismo/gastronomia/la-guia-repsol-2024-confirma-el-gran-momento-de-la-gastronomia-de-la-rioja/" TargetMode="External"/><Relationship Id="rId818" Type="http://schemas.openxmlformats.org/officeDocument/2006/relationships/hyperlink" Target="https://www.lavozdeasturias.es/noticia/gastronomia/2024/03/04/asturias-suma-dos-nuevos-restaurantes-sol-repsol-premiados-guia-2024/00031709568524983302317.htm" TargetMode="External"/><Relationship Id="rId817" Type="http://schemas.openxmlformats.org/officeDocument/2006/relationships/hyperlink" Target="https://www.heraldo.es/noticias/gastronomia/2024/03/04/sol-repsol-restaurantes-teruel-2024-1712347.html" TargetMode="External"/><Relationship Id="rId816" Type="http://schemas.openxmlformats.org/officeDocument/2006/relationships/hyperlink" Target="https://www.diariovasco.com/gastronomia/mapa-restaurantes-soles-repsol-gipuzkoa-20240304195914-nt.html" TargetMode="External"/><Relationship Id="rId811" Type="http://schemas.openxmlformats.org/officeDocument/2006/relationships/hyperlink" Target="https://www.orm.es/noticias-2024/soles-guia-repsol-2024-estos-son-los-mejores-restaurantes-de-la-region-de-murcia/" TargetMode="External"/><Relationship Id="rId810" Type="http://schemas.openxmlformats.org/officeDocument/2006/relationships/hyperlink" Target="https://www.malagahoy.es/la-farola/Malaga-nuevos-Soles-Repsol-Areia-Palodu_0_1881413322.html" TargetMode="External"/><Relationship Id="rId815" Type="http://schemas.openxmlformats.org/officeDocument/2006/relationships/hyperlink" Target="https://www.elespanol.com/eldigitalcastillalamancha/vivir/gastro/20240304/restaurantes-toledo-cuenca-consiguen-primer-sol-repsol/837416680_0.html" TargetMode="External"/><Relationship Id="rId814" Type="http://schemas.openxmlformats.org/officeDocument/2006/relationships/hyperlink" Target="https://cadenaser.com/nacional/2024/03/04/chicote-la-periferia-y-hasta-un-pueblo-de-teruel-lista-completa-de-los-nuevos-soles-repsol-2024-cadena-ser/" TargetMode="External"/><Relationship Id="rId813" Type="http://schemas.openxmlformats.org/officeDocument/2006/relationships/hyperlink" Target="https://www.diariovasco.com/gastronomia/repsol-calienta-tolosa-casa-julian-ama-consiguen-20240304195906-nt.html" TargetMode="External"/><Relationship Id="rId812" Type="http://schemas.openxmlformats.org/officeDocument/2006/relationships/hyperlink" Target="https://www.leonoticias.com/degustaleon/bares-restaurantes/capricho-une-constelacion-soles-repsol-cocinandos-pablo-20240304200009-nt.html" TargetMode="External"/><Relationship Id="rId2970" Type="http://schemas.openxmlformats.org/officeDocument/2006/relationships/hyperlink" Target="https://www.huleymantel.com/barras-estrellas/unico-buffet-libre-cataluna-solete-repsol_102316_102.html" TargetMode="External"/><Relationship Id="rId1640" Type="http://schemas.openxmlformats.org/officeDocument/2006/relationships/hyperlink" Target="https://www.elindependiente.com/economia/2024/04/26/repsol-desafia-a-iberdrola-tras-ganar-100-000-clientes-en-un-trimestre-y-anticipa-nuevas-ofertas-en-electricidad/" TargetMode="External"/><Relationship Id="rId2971" Type="http://schemas.openxmlformats.org/officeDocument/2006/relationships/hyperlink" Target="https://www.miciudadreal.es/2024/08/20/navec-la-mayor-contrata-de-repsol-puertollano-abona-al-fin-las-nominas-de-agosto-a-sus-130-trabajadores/" TargetMode="External"/><Relationship Id="rId1641" Type="http://schemas.openxmlformats.org/officeDocument/2006/relationships/hyperlink" Target="https://www.boxrepsol.com/es/combustibles-renovables/combustibles-renovables-repsol-competicion/" TargetMode="External"/><Relationship Id="rId2972" Type="http://schemas.openxmlformats.org/officeDocument/2006/relationships/hyperlink" Target="https://www.boxrepsol.com/es/vive-tu-moto/mejores-motos-de-trail/" TargetMode="External"/><Relationship Id="rId1675" Type="http://schemas.openxmlformats.org/officeDocument/2006/relationships/hyperlink" Target="https://www.revistainversionesynegocios.com/mcdonalds-glovo-melia-repsol-saba-o-vueling-las-empresas-en-las-que-mas-gastan-los-trabajadores/" TargetMode="External"/><Relationship Id="rId4701" Type="http://schemas.openxmlformats.org/officeDocument/2006/relationships/hyperlink" Target="https://consensodelmercado.com/es/ibex-35/noticias/repsol-alcanza-un-acuerdo-de-venta-del-100-de-repsol-colombia-oil-gas-por-530-m" TargetMode="External"/><Relationship Id="rId1676" Type="http://schemas.openxmlformats.org/officeDocument/2006/relationships/hyperlink" Target="https://www.elespanol.com/invertia/empresas/energia/20240429/despliegue-europa-electrolizadores-acelera-espana-nordicos-ofrecen-hidrogeno-rentable/851164956_0.html" TargetMode="External"/><Relationship Id="rId4700" Type="http://schemas.openxmlformats.org/officeDocument/2006/relationships/hyperlink" Target="https://www.elespanol.com/invertia/empresas/energia/20241129/repsol-vende-activos-colombia-geopark-millones-euros/904909513_0.html" TargetMode="External"/><Relationship Id="rId1677" Type="http://schemas.openxmlformats.org/officeDocument/2006/relationships/hyperlink" Target="https://emprendedores.es/ayudas/copri/" TargetMode="External"/><Relationship Id="rId4703" Type="http://schemas.openxmlformats.org/officeDocument/2006/relationships/hyperlink" Target="https://www.bolsamania.com/noticias/empresas/repsol-finaliza-programa-recompra-adquirir-20-millones-acciones--18223214.html" TargetMode="External"/><Relationship Id="rId1678" Type="http://schemas.openxmlformats.org/officeDocument/2006/relationships/hyperlink" Target="https://elperiodicodelaenergia.com/industria-rusa-gnl-tambalea-impacto-sanciones-ue/" TargetMode="External"/><Relationship Id="rId4702" Type="http://schemas.openxmlformats.org/officeDocument/2006/relationships/hyperlink" Target="https://www.hispanidad.com/economia/repsol-avanza-en-su-revolucion-tranquila-vende-dos-activos-gas-petroleo-en-colombia-pero-no-abandona-pais_12055321_102.html" TargetMode="External"/><Relationship Id="rId1679" Type="http://schemas.openxmlformats.org/officeDocument/2006/relationships/hyperlink" Target="https://cadenaser.com/andalucia/2024/04/29/xanty-elias-y-luismi-lopez-referentes-de-la-alta-cocina-en-huelva-el-secreto-esta-en-el-sacrificio-o-el-compromiso-la-disciplina-y-la-constancia-radio-huelva/" TargetMode="External"/><Relationship Id="rId4705" Type="http://schemas.openxmlformats.org/officeDocument/2006/relationships/hyperlink" Target="https://forbes.co/2024/11/29/actualidad/petrolera-espanola-repsol-vende-a-geopark-activos-en-colombia-por-500-millones-de-euros/" TargetMode="External"/><Relationship Id="rId4704" Type="http://schemas.openxmlformats.org/officeDocument/2006/relationships/hyperlink" Target="https://www.bolsamania.com/noticias/empresas/repsol-vende-geopark-activos-colombia-530-millones-de-dolares--18216300.html" TargetMode="External"/><Relationship Id="rId4707" Type="http://schemas.openxmlformats.org/officeDocument/2006/relationships/hyperlink" Target="https://segurosnews.com/news/mgs-seguros-acompana-de-nuevo-a-isidre-esteve-en-su-participacion-en-el-dakar" TargetMode="External"/><Relationship Id="rId4706" Type="http://schemas.openxmlformats.org/officeDocument/2006/relationships/hyperlink" Target="https://www.larepublica.co/empresas/acuerdo-para-adquirir-activos-de-exploracion-y-produccion-de-repsol-por-geopark-4010080" TargetMode="External"/><Relationship Id="rId4709" Type="http://schemas.openxmlformats.org/officeDocument/2006/relationships/hyperlink" Target="https://www.diaridetarragona.com/economia/el-sur-de-catalunya-se-reposiciona-en-el-mapa-de-las-grandes-inversiones-OF22141719" TargetMode="External"/><Relationship Id="rId4708" Type="http://schemas.openxmlformats.org/officeDocument/2006/relationships/hyperlink" Target="https://www.valoraanalitik.com/repsol-vende-activos-de-upstream-en-colombia-geopark-hace-oferta-para-quedarse-con-ellos/" TargetMode="External"/><Relationship Id="rId849" Type="http://schemas.openxmlformats.org/officeDocument/2006/relationships/hyperlink" Target="https://www.la7tv.es/articulo/gastronomia/juan-guillamon-logra-segundo-sol-repsol-gala-que-confirma-cartagena-como-capital-gastronomica-turistica/20240304210552034551.html" TargetMode="External"/><Relationship Id="rId844" Type="http://schemas.openxmlformats.org/officeDocument/2006/relationships/hyperlink" Target="https://www.diariodealmeria.es/almeria-para-vivirla/restaurantes-almerienses-Sol-Guia-Repsol_0_1881413625.html" TargetMode="External"/><Relationship Id="rId843" Type="http://schemas.openxmlformats.org/officeDocument/2006/relationships/hyperlink" Target="https://www.guiarepsol.com/es/soles-repsol/soles-2024/bienvenida-soles-guia-repsol-2024-de-maria-ritter/" TargetMode="External"/><Relationship Id="rId842" Type="http://schemas.openxmlformats.org/officeDocument/2006/relationships/hyperlink" Target="https://www.granadahoy.com/granada/Granada-Soles-Repsol-Maria-Finca_0_1881412862.html" TargetMode="External"/><Relationship Id="rId841" Type="http://schemas.openxmlformats.org/officeDocument/2006/relationships/hyperlink" Target="https://www.noticiasdenavarra.com/gastronomia/2024/03/04/restaurantes-navarros-mantienen-soles-repsol-7956164.html" TargetMode="External"/><Relationship Id="rId848" Type="http://schemas.openxmlformats.org/officeDocument/2006/relationships/hyperlink" Target="https://www.guiarepsol.com/es/fichas/restaurante/casa-887-332690/" TargetMode="External"/><Relationship Id="rId847" Type="http://schemas.openxmlformats.org/officeDocument/2006/relationships/hyperlink" Target="https://www.diariodevalladolid.es/valladolid/240304/214017/alquimia-valladolid-une-universo-soles-repsol.html" TargetMode="External"/><Relationship Id="rId846" Type="http://schemas.openxmlformats.org/officeDocument/2006/relationships/hyperlink" Target="https://www.noticiasdealava.eus/alava/2024/03/04/alava-mantiene-soles-restaurantes-guia-7955420.html" TargetMode="External"/><Relationship Id="rId845" Type="http://schemas.openxmlformats.org/officeDocument/2006/relationships/hyperlink" Target="https://www.diariodecadiz.es/noticias-provincia-cadiz/Guia-Repsol-2024-soles-restaurantes-provincia-Cadiz_0_1881413496.html" TargetMode="External"/><Relationship Id="rId1670" Type="http://schemas.openxmlformats.org/officeDocument/2006/relationships/hyperlink" Target="https://www.20minutos.es/gastronomia/restaurantes/panaderia-croissants-4-kilos-sabores-5238483/" TargetMode="External"/><Relationship Id="rId840" Type="http://schemas.openxmlformats.org/officeDocument/2006/relationships/hyperlink" Target="https://www.ideal.es/andalucia/once-nuevos-restaurantes-andalucia-sol-guia-repsol-20240304195928-nt.html" TargetMode="External"/><Relationship Id="rId1671" Type="http://schemas.openxmlformats.org/officeDocument/2006/relationships/hyperlink" Target="https://www.infobae.com/peru/2024/04/21/megapuerto-de-chancay-estas-son-los-impactos-silenciados-del-proyecto-que-preocupan-al-distrito-norteno/" TargetMode="External"/><Relationship Id="rId1672" Type="http://schemas.openxmlformats.org/officeDocument/2006/relationships/hyperlink" Target="https://ferialibromadrid.com/flmadrid-acuerdo-repsol-patrocinador-multienergia-reduccion-huella-carbono/" TargetMode="External"/><Relationship Id="rId1673" Type="http://schemas.openxmlformats.org/officeDocument/2006/relationships/hyperlink" Target="https://www.guiarepsol.com/es/comer/nuestros-favoritos/restaurante-magoga-nuevos-platos-en-su-decimo-aniversario-2024/" TargetMode="External"/><Relationship Id="rId1674" Type="http://schemas.openxmlformats.org/officeDocument/2006/relationships/hyperlink" Target="https://www.farodevigo.es/deportes/2024/04/29/trofeo-repsol-tiro-fijo-101733804.html" TargetMode="External"/><Relationship Id="rId1664" Type="http://schemas.openxmlformats.org/officeDocument/2006/relationships/hyperlink" Target="https://www.laradiodelsur.com.ve/repsol-tacha-de-positivo-acuerdos-sostenidos-con-pdvsa/" TargetMode="External"/><Relationship Id="rId2995" Type="http://schemas.openxmlformats.org/officeDocument/2006/relationships/hyperlink" Target="https://okdiario.com/okgreen/que-mas-barato-mantenimiento-vehiculo-electrico-13346208" TargetMode="External"/><Relationship Id="rId1665" Type="http://schemas.openxmlformats.org/officeDocument/2006/relationships/hyperlink" Target="https://www.eleconomista.es/mercados-cotizaciones/noticias/12787754/04/24/se-acabo-llamarse-verde-o-eco-que-cambia-con-las-leyes-antigreenwashing.html" TargetMode="External"/><Relationship Id="rId2996" Type="http://schemas.openxmlformats.org/officeDocument/2006/relationships/hyperlink" Target="https://www.expansion.com/mercados/2024/08/23/66c77feb468aeb696d8b459c.html" TargetMode="External"/><Relationship Id="rId1666" Type="http://schemas.openxmlformats.org/officeDocument/2006/relationships/hyperlink" Target="https://www.epe.es/es/espana/20240428/pinos-centenarios-pirineo-alojan-ecosistema-101682375" TargetMode="External"/><Relationship Id="rId2997" Type="http://schemas.openxmlformats.org/officeDocument/2006/relationships/hyperlink" Target="https://www.guiarepsol.com/es/comer/nuestros-favoritos/ruta-gastro-huelva-con-xanty-elias/" TargetMode="External"/><Relationship Id="rId1667" Type="http://schemas.openxmlformats.org/officeDocument/2006/relationships/hyperlink" Target="https://as.com/ciclismo/vuelta-a-espana-femenina-2024-participantes-dorsales-y-favoritas-n/" TargetMode="External"/><Relationship Id="rId2998" Type="http://schemas.openxmlformats.org/officeDocument/2006/relationships/hyperlink" Target="https://talavera.es/noticias/el-alcalde-visita-los-soletes-de-la-ciudad/" TargetMode="External"/><Relationship Id="rId1668" Type="http://schemas.openxmlformats.org/officeDocument/2006/relationships/hyperlink" Target="https://www.dazn.com/es-ES/news/motor/gp-espana-motogp-jerez-fecha-hora-canal-donde-ver-online-gran-premio-mundial/7875bpv8okfw10qcf8xk6q5js" TargetMode="External"/><Relationship Id="rId2999" Type="http://schemas.openxmlformats.org/officeDocument/2006/relationships/hyperlink" Target="https://energiaestrategica.es/se-presentaron-15-gw-de-proyectos-renovables-hibridos-en-lo-que-va-del-2024/" TargetMode="External"/><Relationship Id="rId1669" Type="http://schemas.openxmlformats.org/officeDocument/2006/relationships/hyperlink" Target="https://elgeneracionalpost.com/cultura/2024/0428/144994/asi-se-ha-vivido-el-inicio-de-la-gira-de-ot-en-bibao.html" TargetMode="External"/><Relationship Id="rId839" Type="http://schemas.openxmlformats.org/officeDocument/2006/relationships/hyperlink" Target="https://www.tribunasalamanca.com/noticias/360644/los-restaurantes-de-salamanca-con-soles-de-repsol" TargetMode="External"/><Relationship Id="rId838" Type="http://schemas.openxmlformats.org/officeDocument/2006/relationships/hyperlink" Target="https://www.europapress.es/andalucia/noticia-andalucia-suma-tohqa-nuevo-restaurante-distinguido-dos-soles-repsol-otros-once-estrenan-20240304201447.html" TargetMode="External"/><Relationship Id="rId833" Type="http://schemas.openxmlformats.org/officeDocument/2006/relationships/hyperlink" Target="https://www.thegourmetjournal.com/noticias/guia-repsol-2024-listado-completo/" TargetMode="External"/><Relationship Id="rId832" Type="http://schemas.openxmlformats.org/officeDocument/2006/relationships/hyperlink" Target="https://www.ondacero.es/noticias/gastronomia/begona-rodrigo-salita-nueva-3-soles-guia-repsol_2024030465e471a4b7621f0001e79b7d.html" TargetMode="External"/><Relationship Id="rId831" Type="http://schemas.openxmlformats.org/officeDocument/2006/relationships/hyperlink" Target="https://www.diarimes.com/es/tarragona/240304/restaurante-citrus-tancat-alcanar-consigue-sol-repsol_141333.html" TargetMode="External"/><Relationship Id="rId830" Type="http://schemas.openxmlformats.org/officeDocument/2006/relationships/hyperlink" Target="https://auditorioelbatel.es/gala-de-entrega-de-los-soles-guia-repsol-2024-el-batel-cartagena/" TargetMode="External"/><Relationship Id="rId837" Type="http://schemas.openxmlformats.org/officeDocument/2006/relationships/hyperlink" Target="https://www.rtve.es/noticias/20240304/soles-repsol-cocina-espanola/15998303.shtml" TargetMode="External"/><Relationship Id="rId836" Type="http://schemas.openxmlformats.org/officeDocument/2006/relationships/hyperlink" Target="https://www.elespanol.com/sevilla/20240304/restaurantes-sevilla-sol-repsol-solo-premios/837416790_0.html" TargetMode="External"/><Relationship Id="rId835" Type="http://schemas.openxmlformats.org/officeDocument/2006/relationships/hyperlink" Target="https://www.lasprovincias.es/gastronomia/imagenes-gala-soles-guia-repsol-2024-20240304232756-ga.html" TargetMode="External"/><Relationship Id="rId834" Type="http://schemas.openxmlformats.org/officeDocument/2006/relationships/hyperlink" Target="https://www.europasur.es/campo-de-gibraltar/Atxa-Tarifa-Sol-Guia-Repsol_0_1881413506.html" TargetMode="External"/><Relationship Id="rId2990" Type="http://schemas.openxmlformats.org/officeDocument/2006/relationships/hyperlink" Target="https://www.elconfidencialdigital.com/articulo/defensa/militares-espanoles-excedencia-adiestran-milicias-libia/20240822000000831222.html" TargetMode="External"/><Relationship Id="rId1660" Type="http://schemas.openxmlformats.org/officeDocument/2006/relationships/hyperlink" Target="https://www.motogp.com/es/news/2024/04/29/al-minuto-asi-vivimos-todas-las-novedades-del-test-de-jerez/496285" TargetMode="External"/><Relationship Id="rId2991" Type="http://schemas.openxmlformats.org/officeDocument/2006/relationships/hyperlink" Target="https://cincodias.elpais.com/companias/2024-08-22/la-ocu-apoya-la-prohibicion-de-la-contratacion-telefonica-de-servicios-impulsada-por-el-gobierno.html" TargetMode="External"/><Relationship Id="rId1661" Type="http://schemas.openxmlformats.org/officeDocument/2006/relationships/hyperlink" Target="https://www.eldiadevalladolid.com/noticia/zde795c93-bd92-caf5-89da244c82f51ff7/202404/una-bodega-familiar-donde-manda-la-parrilla" TargetMode="External"/><Relationship Id="rId2992" Type="http://schemas.openxmlformats.org/officeDocument/2006/relationships/hyperlink" Target="https://www.expansion.com/mercados/2024/08/22/66c6d264a596520033a11302-directo.html" TargetMode="External"/><Relationship Id="rId1662" Type="http://schemas.openxmlformats.org/officeDocument/2006/relationships/hyperlink" Target="https://www.boxrepsol.com/es/motogp/resultados-del-gp-de-espana-de-motogp-2024/" TargetMode="External"/><Relationship Id="rId2993" Type="http://schemas.openxmlformats.org/officeDocument/2006/relationships/hyperlink" Target="https://elcierredigital.com/investigacion/aumento-suicidios-fuerzas-seguridad-ya-14-familias-rotas-desde-mayo" TargetMode="External"/><Relationship Id="rId1663" Type="http://schemas.openxmlformats.org/officeDocument/2006/relationships/hyperlink" Target="https://elperiodicodelaenergia.com/impuesto-a-las-energeticas-las-cuatro-grandes-ya-pagan-11-200-millones-al-ano-a-la-hacienda-espanola/" TargetMode="External"/><Relationship Id="rId2994" Type="http://schemas.openxmlformats.org/officeDocument/2006/relationships/hyperlink" Target="https://www.bonviveur.es/noticias/mejores-restaurantes-malaga" TargetMode="External"/><Relationship Id="rId2148" Type="http://schemas.openxmlformats.org/officeDocument/2006/relationships/hyperlink" Target="https://www.repsol.com/es/energia-futuro/futuro-planeta/parque-solar/index.cshtml" TargetMode="External"/><Relationship Id="rId2149" Type="http://schemas.openxmlformats.org/officeDocument/2006/relationships/hyperlink" Target="https://www.hoyaragon.es/articulo/tendencia-aragon/promociones-repsol-2024/20240613060000069311.html" TargetMode="External"/><Relationship Id="rId3479" Type="http://schemas.openxmlformats.org/officeDocument/2006/relationships/hyperlink" Target="https://elperiodicodelaenergia.com/venezuela-se-alia-con-rusia-para-explorar-nuevos-proyectos-de-gas-a-partir-de-2027/" TargetMode="External"/><Relationship Id="rId3470" Type="http://schemas.openxmlformats.org/officeDocument/2006/relationships/hyperlink" Target="https://www.diaridetarragona.com/costa/gastronomia-y-solidaridad-maridaje-unico-en-la-gala-benefica-contra-el-ictus-BE21251347" TargetMode="External"/><Relationship Id="rId2140" Type="http://schemas.openxmlformats.org/officeDocument/2006/relationships/hyperlink" Target="https://www.repsol.es/particulares/asesoramiento-consumo/consejos-para-ahorrar-al-cargar-vehiculo-electrico/" TargetMode="External"/><Relationship Id="rId3472" Type="http://schemas.openxmlformats.org/officeDocument/2006/relationships/hyperlink" Target="https://www.boxrepsol.com/es/motogp/resultados-de-la-carrera-sprint-del-gp-de-indonesia-de-motogp-2024/" TargetMode="External"/><Relationship Id="rId2141" Type="http://schemas.openxmlformats.org/officeDocument/2006/relationships/hyperlink" Target="https://www.diariodemallorca.es/palma/2024/06/12/repsol-culmina-desmantelamiento-antigua-gasolinera-103678992.html" TargetMode="External"/><Relationship Id="rId3471" Type="http://schemas.openxmlformats.org/officeDocument/2006/relationships/hyperlink" Target="https://www.elindependiente.com/tendencias/cultura/2024/09/28/467-kilometros-a-pie-el-cortejo-funerario-que-resucito-a-jose-antonio-y-la-falange/" TargetMode="External"/><Relationship Id="rId2142" Type="http://schemas.openxmlformats.org/officeDocument/2006/relationships/hyperlink" Target="https://www.epe.es/es/activos/20240611/repsol-cepsa-bp-reparten-megacontrato-103596061" TargetMode="External"/><Relationship Id="rId3474" Type="http://schemas.openxmlformats.org/officeDocument/2006/relationships/hyperlink" Target="https://www.elmundo.es/economia/2024/09/29/66f96f1be4d4d8d86c8b4578.html" TargetMode="External"/><Relationship Id="rId2143" Type="http://schemas.openxmlformats.org/officeDocument/2006/relationships/hyperlink" Target="https://www.guiarepsol.com/es/comer/nuestros-favoritos/chiringuito-bico-beach-sanxenxo-pontevedra/" TargetMode="External"/><Relationship Id="rId3473" Type="http://schemas.openxmlformats.org/officeDocument/2006/relationships/hyperlink" Target="https://www.farodevigo.es/ocio/planes/2024/09/29/tres-pueblos-ourense-mas-hermosos-galicia-dv-108559508.html" TargetMode="External"/><Relationship Id="rId2144" Type="http://schemas.openxmlformats.org/officeDocument/2006/relationships/hyperlink" Target="https://www.huffingtonpost.es/sociedad/atencion-apunta-gasolineras-dinero-aceite-rp.html" TargetMode="External"/><Relationship Id="rId3476" Type="http://schemas.openxmlformats.org/officeDocument/2006/relationships/hyperlink" Target="https://www.eluniversal.com/politica/191829/gigantes-energeticos-cierran-filas-con-el-gobierno-en-petroleo-y-gas" TargetMode="External"/><Relationship Id="rId2145" Type="http://schemas.openxmlformats.org/officeDocument/2006/relationships/hyperlink" Target="https://www.20minutos.es/gastronomia/restaurantes/soletes-de-barrio-madrid-donde-comer-bien-barato-5341032/" TargetMode="External"/><Relationship Id="rId3475" Type="http://schemas.openxmlformats.org/officeDocument/2006/relationships/hyperlink" Target="https://www.boxrepsol.com/es/motogp/resultados-del-gp-de-indonesia-de-motogp-2024/" TargetMode="External"/><Relationship Id="rId2146" Type="http://schemas.openxmlformats.org/officeDocument/2006/relationships/hyperlink" Target="https://www.todocircuito.com/noticias/36192-joan-mir:-cuando-firme-con-honda-tenia-muchas-ofertas-ahora-no.html" TargetMode="External"/><Relationship Id="rId3478" Type="http://schemas.openxmlformats.org/officeDocument/2006/relationships/hyperlink" Target="https://www.huffingtonpost.es/politica/mexicoespana-cinconos-crisis-diplomatica-acabado-felipe-vi-foco.html" TargetMode="External"/><Relationship Id="rId2147" Type="http://schemas.openxmlformats.org/officeDocument/2006/relationships/hyperlink" Target="https://www.abc.es/economia/repsol-regala-cinco-euros-carburante-recoja-pedidos-20240613092413-nt.html" TargetMode="External"/><Relationship Id="rId3477" Type="http://schemas.openxmlformats.org/officeDocument/2006/relationships/hyperlink" Target="https://www.estadiodeportivo.com/motor/motogp/pedro-acosta-recibe-fallo-investigacion-indonesia-20240929-465803.html" TargetMode="External"/><Relationship Id="rId2137" Type="http://schemas.openxmlformats.org/officeDocument/2006/relationships/hyperlink" Target="https://www.larazon.es/economia/repsol-amazon-5-euros-descuento-combustible-recoger-pedido-amazon-lockers_2024061266699f66b19e5e00015311ab.html" TargetMode="External"/><Relationship Id="rId3469" Type="http://schemas.openxmlformats.org/officeDocument/2006/relationships/hyperlink" Target="https://www.infobae.com/espana/2024/09/28/mexico-no-solo-se-pelea-con-felipe-vi-y-pedro-sanchez-estas-son-las-empresas-espanolas-que-han-estado-en-el-punto-de-mira-de-amlo/" TargetMode="External"/><Relationship Id="rId2138" Type="http://schemas.openxmlformats.org/officeDocument/2006/relationships/hyperlink" Target="https://www.reasonwhy.es/actualidad/segunda-carta-creatives-future-senala-empresas-greenwashing-repsol-nestletotal-energies" TargetMode="External"/><Relationship Id="rId3468" Type="http://schemas.openxmlformats.org/officeDocument/2006/relationships/hyperlink" Target="https://www.boxrepsol.com/es/motogp/resultados-de-la-clasificacion-del-gp-de-indonesia-de-motogp-2024/" TargetMode="External"/><Relationship Id="rId4799" Type="http://schemas.openxmlformats.org/officeDocument/2006/relationships/hyperlink" Target="https://www.diarimes.com/es/ebre/241206/plataforma-island-innovator-prepara-desmantelar-casablanca-repsol_160318.html" TargetMode="External"/><Relationship Id="rId2139" Type="http://schemas.openxmlformats.org/officeDocument/2006/relationships/hyperlink" Target="https://www.energynews.es/repsol-firma-un-acuerdo-de-venta-de-energia-renovable-a-largo-plazo-con-microsoft/" TargetMode="External"/><Relationship Id="rId4790" Type="http://schemas.openxmlformats.org/officeDocument/2006/relationships/hyperlink" Target="https://www.farodevigo.es/o-morrazo/2024/12/05/cocinas-medio-mundo-o-aldan-112338314.html" TargetMode="External"/><Relationship Id="rId3461" Type="http://schemas.openxmlformats.org/officeDocument/2006/relationships/hyperlink" Target="https://www.elconfidencial.com/medioambiente/energia/2024-09-27/biomasa-energias-renovables-bra_3969758/" TargetMode="External"/><Relationship Id="rId4792" Type="http://schemas.openxmlformats.org/officeDocument/2006/relationships/hyperlink" Target="https://gestion.pe/economia/empresas/repsol-reporta-afloramiento-de-hidrocarburo-en-terminal-de-ventanilla-noticia/" TargetMode="External"/><Relationship Id="rId2130" Type="http://schemas.openxmlformats.org/officeDocument/2006/relationships/hyperlink" Target="https://www.guiarepsol.com/es/viajar/vamos-de-excursion/playa-de-cue-llanes-asturias/" TargetMode="External"/><Relationship Id="rId3460" Type="http://schemas.openxmlformats.org/officeDocument/2006/relationships/hyperlink" Target="https://www.guiarepsol.com/es/viajar/vamos-de-excursion/en-bici-por-el-camino-natural-via-verde-del-cidacos-la-rioja/" TargetMode="External"/><Relationship Id="rId4791" Type="http://schemas.openxmlformats.org/officeDocument/2006/relationships/hyperlink" Target="https://metropoliabierta.elespanol.com/gastro/20241205/este-es-el-restaurante-favorito-de-pau-cubarsi-en-sant-just-desvern-recomendado-por-la-guia-michelin-repsol/906409369_0.html" TargetMode="External"/><Relationship Id="rId2131" Type="http://schemas.openxmlformats.org/officeDocument/2006/relationships/hyperlink" Target="https://www.20minutos.es/lainformacion/empresas/microsoft-abre-primera-region-centros-datos-espana-con-foco-ia-5483013/" TargetMode="External"/><Relationship Id="rId3463" Type="http://schemas.openxmlformats.org/officeDocument/2006/relationships/hyperlink" Target="https://www.ig.com/es/ideas-de-trading-y-noticias/ibex-35-hoy--a-las-puertas-de-los-12-000-puntos-impulsado-por-es-240927" TargetMode="External"/><Relationship Id="rId4794" Type="http://schemas.openxmlformats.org/officeDocument/2006/relationships/hyperlink" Target="https://www.larazon.es/editoriales/caras-noticia-5-diciembre-2024_202412056750e15585d24c0001d00289.html" TargetMode="External"/><Relationship Id="rId2132" Type="http://schemas.openxmlformats.org/officeDocument/2006/relationships/hyperlink" Target="https://motor.elpais.com/actualidad/descuentos-cinco-euros-taquillas-amazon-repsol/" TargetMode="External"/><Relationship Id="rId3462" Type="http://schemas.openxmlformats.org/officeDocument/2006/relationships/hyperlink" Target="https://www.estrategiasdeinversion.com/actualidad/noticias/bolsa-espana/el-ibex-35-titubea-en-su-ataque-a-los-12000-puntos-n-747633" TargetMode="External"/><Relationship Id="rId4793" Type="http://schemas.openxmlformats.org/officeDocument/2006/relationships/hyperlink" Target="https://www.guiarepsol.com/es/comer/nuestros-favoritos/donde-comer-papas-arrugadas-en-canarias/" TargetMode="External"/><Relationship Id="rId2133" Type="http://schemas.openxmlformats.org/officeDocument/2006/relationships/hyperlink" Target="https://www.guiarepsol.com/es/viajar/vamos-de-excursion/que-ver-donde-dormir-comer-en-fromista-palencia/" TargetMode="External"/><Relationship Id="rId3465" Type="http://schemas.openxmlformats.org/officeDocument/2006/relationships/hyperlink" Target="https://www.malagahoy.es/la-farola/restaurantes-mejores-vistas-bahia-malaga_0_2002453733.html" TargetMode="External"/><Relationship Id="rId4796" Type="http://schemas.openxmlformats.org/officeDocument/2006/relationships/hyperlink" Target="https://www.ideal.es/sierranevada/repsol-pone-funcionamiento-puntos-recarga-vehiculos-electricos-20241206010319-nt.html" TargetMode="External"/><Relationship Id="rId2134" Type="http://schemas.openxmlformats.org/officeDocument/2006/relationships/hyperlink" Target="https://motorcyclesports.net/es/nadie-sale-de-honda-de-la-misma-manera-en-que-entro-joan-mir/" TargetMode="External"/><Relationship Id="rId3464" Type="http://schemas.openxmlformats.org/officeDocument/2006/relationships/hyperlink" Target="https://www.boxrepsol.com/es/motogp/resultados-de-los-entrenamientos-del-gp-de-indonesia-motogp-2024/" TargetMode="External"/><Relationship Id="rId4795" Type="http://schemas.openxmlformats.org/officeDocument/2006/relationships/hyperlink" Target="https://www.desdeadentro.pe/2024/12/repsol-peru-presento-el-libro-raices-de-sanacion-medicina-tradicional-del-bajo-urubamba/" TargetMode="External"/><Relationship Id="rId2135" Type="http://schemas.openxmlformats.org/officeDocument/2006/relationships/hyperlink" Target="https://www.guiarepsol.com/es/comer/en-el-mercado/suerte-ampanera-lacteos-ecologicos/" TargetMode="External"/><Relationship Id="rId3467" Type="http://schemas.openxmlformats.org/officeDocument/2006/relationships/hyperlink" Target="https://www.expansion.com/empresas/energia/2024/09/28/66f71bd6e5fdea07378b4578.html" TargetMode="External"/><Relationship Id="rId4798" Type="http://schemas.openxmlformats.org/officeDocument/2006/relationships/hyperlink" Target="https://www.bolsamania.com/noticias/empresas/economia--repsol-pone-en-funcionamiento-43-puntos-de-recarga-para-vehiculos-electricos-en-la-estacion-de-sierra-nevada--18279156.html" TargetMode="External"/><Relationship Id="rId2136" Type="http://schemas.openxmlformats.org/officeDocument/2006/relationships/hyperlink" Target="https://www.fundssociety.com/es/noticias/negocio/ebn-banco-ofrece-hasta-250-euros-por-referir-amigos-que-inviertan-en-su-supermercado-de-fondos/" TargetMode="External"/><Relationship Id="rId3466" Type="http://schemas.openxmlformats.org/officeDocument/2006/relationships/hyperlink" Target="https://www.bonviveur.es/noticias/mejores-restaurantes-extremadura" TargetMode="External"/><Relationship Id="rId4797" Type="http://schemas.openxmlformats.org/officeDocument/2006/relationships/hyperlink" Target="https://www.interempresas.net/Estaciones-servicio/Articulos/581237-Moeve-Repsol-Endesa-Naturgy-el-CEE-y-ManpowerGroup-crean-el-Hub-de-Energia-Verde.html" TargetMode="External"/><Relationship Id="rId3490" Type="http://schemas.openxmlformats.org/officeDocument/2006/relationships/hyperlink" Target="https://okdiario.com/gastronomia/lo-recomienda-guia-repsol-este-mejor-restaurante-carretera-a4-andalucia-13538549" TargetMode="External"/><Relationship Id="rId2160" Type="http://schemas.openxmlformats.org/officeDocument/2006/relationships/hyperlink" Target="https://www.bolsamania.com/noticias/analisis-fundamental/grupo-saudi-aramco-negocia-comprar-25-repsol-renovables--16943282.html" TargetMode="External"/><Relationship Id="rId3492" Type="http://schemas.openxmlformats.org/officeDocument/2006/relationships/hyperlink" Target="https://www.epe.es/es/activos/20240929/revolucion-gasolineras-low-cost-revienta-108646524" TargetMode="External"/><Relationship Id="rId2161" Type="http://schemas.openxmlformats.org/officeDocument/2006/relationships/hyperlink" Target="https://www.lacomarcadepuertollano.com/articulo/puertollano/repsol-cumple-decada-colaborando-hermandad-donantes-sangre-puertollano/20240614112123550560.html" TargetMode="External"/><Relationship Id="rId3491" Type="http://schemas.openxmlformats.org/officeDocument/2006/relationships/hyperlink" Target="https://www.guiarepsol.com/es/comer/en-el-mercado/la-nueva-generacion-de-papa-canaria-se-cultiva-en-tenerife/" TargetMode="External"/><Relationship Id="rId2162" Type="http://schemas.openxmlformats.org/officeDocument/2006/relationships/hyperlink" Target="https://www.20minutos.es/lainformacion/economia/-truco-para-conseguir-5-euros-descuento-las-gasolineras-repsol-este-verano-5507213/" TargetMode="External"/><Relationship Id="rId3494" Type="http://schemas.openxmlformats.org/officeDocument/2006/relationships/hyperlink" Target="https://proactivo.com.pe/impulsared-ecochallenge-repsol-y-utec-lanzan-competencia-de-innovacion-para-la-descontaminacion-del-rio-chillon-y-la-playa-cavero-en-ventanilla/" TargetMode="External"/><Relationship Id="rId2163" Type="http://schemas.openxmlformats.org/officeDocument/2006/relationships/hyperlink" Target="https://www.repsol.es/particulares/asesoramiento-consumo/8-trucos-para-ahorrar-en-luz-y-gas/" TargetMode="External"/><Relationship Id="rId3493" Type="http://schemas.openxmlformats.org/officeDocument/2006/relationships/hyperlink" Target="https://www.infobae.com/espana/2024/09/30/el-restaurante-con-estrella-michelin-que-andrew-garfield-ha-visitado-en-bilbao-cocina-local-y-menu-degustacion-por-92-euros/" TargetMode="External"/><Relationship Id="rId2164" Type="http://schemas.openxmlformats.org/officeDocument/2006/relationships/hyperlink" Target="https://www.laopiniondemurcia.es/municipios/2024/06/14/castillo-lorca-acogera-gala-soletes-103788729.html" TargetMode="External"/><Relationship Id="rId3496" Type="http://schemas.openxmlformats.org/officeDocument/2006/relationships/hyperlink" Target="https://www.boxrepsol.com/es/motogp/horarios-y-donde-ver-gratis-la-motogp-de-japon/" TargetMode="External"/><Relationship Id="rId2165" Type="http://schemas.openxmlformats.org/officeDocument/2006/relationships/hyperlink" Target="https://cincodias.elpais.com/companias/2024-06-14/solaria-se-dispara-en-bolsa-entre-rumores-de-compra.html" TargetMode="External"/><Relationship Id="rId3495" Type="http://schemas.openxmlformats.org/officeDocument/2006/relationships/hyperlink" Target="https://www.alimente.elconfidencial.com/gastronomia-y-cocina/2024-09-30/1qrt-restaurante-gallego-pie-playa-guia-repsol-reyes-comido-este-fin-de-semana-leonor_3972776/" TargetMode="External"/><Relationship Id="rId2166" Type="http://schemas.openxmlformats.org/officeDocument/2006/relationships/hyperlink" Target="https://www.elperiodicoextremadura.com/caceres-local/2024/06/14/son-cuatro-restaurantes-caceres-triunfan-103710280.html" TargetMode="External"/><Relationship Id="rId3498" Type="http://schemas.openxmlformats.org/officeDocument/2006/relationships/hyperlink" Target="https://www.madridactual.es/7978579-motociclismo-repsol-presume-de-colores-en-el-museo-de-la-moto-made-in-spain-en-alcala-de-henares" TargetMode="External"/><Relationship Id="rId2167" Type="http://schemas.openxmlformats.org/officeDocument/2006/relationships/hyperlink" Target="https://metropoliabierta.elespanol.com/vivir-en-barcelona/20240615/los-mejores-bocadillos-de-barcelona-se-comen-en-un-bar-con-mas-anos-historia/863163699_0.html" TargetMode="External"/><Relationship Id="rId3497" Type="http://schemas.openxmlformats.org/officeDocument/2006/relationships/hyperlink" Target="https://www.alimente.elconfidencial.com/gastronomia-y-cocina/2024-09-30/restaurante-valencia-arde-guia-repsol-1qrt_3973104/" TargetMode="External"/><Relationship Id="rId2168" Type="http://schemas.openxmlformats.org/officeDocument/2006/relationships/hyperlink" Target="https://www.capitalmadrid.com/2024/6/15/67518/donde-estan-los-fondos-nextgeneration-de-la-ue.html" TargetMode="External"/><Relationship Id="rId2169" Type="http://schemas.openxmlformats.org/officeDocument/2006/relationships/hyperlink" Target="https://www.lavozdegalicia.es/noticia/economia/2024/06/15/formacion-reinventa-atender-demandas-mercado/0003_202406G15P30991.htm" TargetMode="External"/><Relationship Id="rId3499" Type="http://schemas.openxmlformats.org/officeDocument/2006/relationships/hyperlink" Target="https://www.repsol.com/es/productos-y-servicios/materiales/materiales-news/cambiamos-denominacion-nuestro-negocio-ahora-somos-repsol-materials/index.cshtml" TargetMode="External"/><Relationship Id="rId2159" Type="http://schemas.openxmlformats.org/officeDocument/2006/relationships/hyperlink" Target="https://www.eleconomista.es/energia/noticias/12865877/06/24/imaz-repsol-pide-mas-ambicion-energetica-a-europa-para-evitar-quedarse-atras.html" TargetMode="External"/><Relationship Id="rId3481" Type="http://schemas.openxmlformats.org/officeDocument/2006/relationships/hyperlink" Target="https://www.mundodeportivo.com/motor/motogp/20240928/1002323635/asi-queda-clasificacion-motogp-sprint-gp-indonesia.html" TargetMode="External"/><Relationship Id="rId2150" Type="http://schemas.openxmlformats.org/officeDocument/2006/relationships/hyperlink" Target="https://www.elconfidencial.com/medioambiente/energia/2024-06-13/marquesinas-inteligentes-repsol-energia-bra_3901370/" TargetMode="External"/><Relationship Id="rId3480" Type="http://schemas.openxmlformats.org/officeDocument/2006/relationships/hyperlink" Target="https://www.larazon.es/television/programas/quienes-son-famosos-que-visitan-esta-semana-cocinas-mastechef-celebrity_2024092966f9817dfcf7b3000146d45c.html" TargetMode="External"/><Relationship Id="rId2151" Type="http://schemas.openxmlformats.org/officeDocument/2006/relationships/hyperlink" Target="https://www.boxrepsol.com/es/cultura-motera/que-es-un-radar-anti-frenazo/" TargetMode="External"/><Relationship Id="rId3483" Type="http://schemas.openxmlformats.org/officeDocument/2006/relationships/hyperlink" Target="https://www.elconfidencial.com/empresas/2024-09-30/gas-petroleo-repsol-venezuela-maduro_3971630/" TargetMode="External"/><Relationship Id="rId2152" Type="http://schemas.openxmlformats.org/officeDocument/2006/relationships/hyperlink" Target="https://www.infobae.com/peru/2024/06/10/derrame-de-repsol-perdidas-por-desastre-ambiental-podria-alcanzar-mas-de-2-millones-de-dolares-al-ano/" TargetMode="External"/><Relationship Id="rId3482" Type="http://schemas.openxmlformats.org/officeDocument/2006/relationships/hyperlink" Target="https://www.mundodeportivo.com/motor/motogp/20240929/1002324246/asi-queda-clasificacion-motogp-gp-indonesia.html" TargetMode="External"/><Relationship Id="rId2153" Type="http://schemas.openxmlformats.org/officeDocument/2006/relationships/hyperlink" Target="https://www.repsol.com/es/energia-futuro/tecnologia-innovacion/hackaton/index.cshtml" TargetMode="External"/><Relationship Id="rId3485" Type="http://schemas.openxmlformats.org/officeDocument/2006/relationships/hyperlink" Target="https://www.eldiadecordoba.es/vivir-cordoba/restaurante-cordoba-sol-repsol-ermita-hospital_0_2002472062.html" TargetMode="External"/><Relationship Id="rId2154" Type="http://schemas.openxmlformats.org/officeDocument/2006/relationships/hyperlink" Target="https://theobjective.com/economia/2024-06-13/acusan-dos-empresas-diesel-ruso-repsol/" TargetMode="External"/><Relationship Id="rId3484" Type="http://schemas.openxmlformats.org/officeDocument/2006/relationships/hyperlink" Target="https://www.20minutos.es/lainformacion/empresas/iberdrola-naturgy-repsol-furor-bonos-demanda-cuatro-veces-mayor-5637978/" TargetMode="External"/><Relationship Id="rId2155" Type="http://schemas.openxmlformats.org/officeDocument/2006/relationships/hyperlink" Target="https://www.elespanol.com/invertia/medios/20240613/periodista-espanol-jose-luis-cano-premio-energia-enerclub/862414224_0.html" TargetMode="External"/><Relationship Id="rId3487" Type="http://schemas.openxmlformats.org/officeDocument/2006/relationships/hyperlink" Target="https://www.infolibre.es/economia/despilfarro-contamina-repsol-cepsa-queman-pozos-argelia-gas-consume-bizkaia_130_1874536.html" TargetMode="External"/><Relationship Id="rId2156" Type="http://schemas.openxmlformats.org/officeDocument/2006/relationships/hyperlink" Target="https://cadenaser.com/castillalamancha/2024/06/13/el-tren-de-hidrogeno-esta-entrando-en-la-estacion-y-del-repostaje-se-encarga-el-cnh2-de-puertollano-ser-ciudad-real/" TargetMode="External"/><Relationship Id="rId3486" Type="http://schemas.openxmlformats.org/officeDocument/2006/relationships/hyperlink" Target="https://www.boxrepsol.com/es/vive-tu-moto/repsol-presume-de-colores-en-el-museo-de-la-moto-made-in-spain/" TargetMode="External"/><Relationship Id="rId2157" Type="http://schemas.openxmlformats.org/officeDocument/2006/relationships/hyperlink" Target="https://www.bankinter.com/blog/empresas/noticias-repsol-analisis-acciones" TargetMode="External"/><Relationship Id="rId3489" Type="http://schemas.openxmlformats.org/officeDocument/2006/relationships/hyperlink" Target="https://todotrial.com/la-moto-de-toni-bou-o-la-de-toni-gorgot-en-la-nueva-exposicion-repsol/" TargetMode="External"/><Relationship Id="rId2158" Type="http://schemas.openxmlformats.org/officeDocument/2006/relationships/hyperlink" Target="https://www.expansion.com/empresas/energia/2024/06/14/666b53ca468aebec128b4581.html" TargetMode="External"/><Relationship Id="rId3488" Type="http://schemas.openxmlformats.org/officeDocument/2006/relationships/hyperlink" Target="https://www.elnacional.cat/es/tecnologia/repsol-quiere-tu-aceite-cocina-usado_1291038_102.html" TargetMode="External"/><Relationship Id="rId2104" Type="http://schemas.openxmlformats.org/officeDocument/2006/relationships/hyperlink" Target="https://www.lavozdelanzarote.com/ekonomus/gourmet/luis-benito-en-chiringuito-tropical-si-no-queda-tomate-tinajo-no-se-pone-tomate-en-ensalada_227005_102.html" TargetMode="External"/><Relationship Id="rId3436" Type="http://schemas.openxmlformats.org/officeDocument/2006/relationships/hyperlink" Target="https://www.guiarepsol.com/es/comer/nuestros-favoritos/trucos-para-aprovechar-desperdicios-alimientarios-en-cocina/" TargetMode="External"/><Relationship Id="rId4767" Type="http://schemas.openxmlformats.org/officeDocument/2006/relationships/hyperlink" Target="https://andaluciainformacion.es/malaga/1834751/bosque-urbano-malaga-recurre-la-autorizacion-ambiental-para-los-terrenos-de-repsol/" TargetMode="External"/><Relationship Id="rId2105" Type="http://schemas.openxmlformats.org/officeDocument/2006/relationships/hyperlink" Target="https://www.elespanol.com/motor/20240609/creciendo-puntos-carga-coche-electrico-iberdrola-endesa-repsol-lideran-ranking/860414462_0.html" TargetMode="External"/><Relationship Id="rId3435" Type="http://schemas.openxmlformats.org/officeDocument/2006/relationships/hyperlink" Target="https://elperiodicodelaenergia.com/equinor-repsol-petrobras-comenzaran-explotar-2028-mayor-campo-gas-brasil/" TargetMode="External"/><Relationship Id="rId4766" Type="http://schemas.openxmlformats.org/officeDocument/2006/relationships/hyperlink" Target="https://www.lavozdegalicia.es/noticia/coruna/coruna/2024/12/03/tienda-futuro-gasolinera-alfonso-molina/00031733254586302838703.htm" TargetMode="External"/><Relationship Id="rId2106" Type="http://schemas.openxmlformats.org/officeDocument/2006/relationships/hyperlink" Target="https://www.ecoticias.com/sostenibilidad/repsol-greenwashing-feria-del-libro-de-madrid-2024" TargetMode="External"/><Relationship Id="rId3438" Type="http://schemas.openxmlformats.org/officeDocument/2006/relationships/hyperlink" Target="https://www.guiarepsol.com/es/comer/nuestros-favoritos/25-aniversario-tasquita-enfrente-madrid/" TargetMode="External"/><Relationship Id="rId4769" Type="http://schemas.openxmlformats.org/officeDocument/2006/relationships/hyperlink" Target="https://www.20minutos.es/noticia/5660742/0/sirenas-alertas-movil-confinamientos-poligono-norte-tarragona-simulacro-accidente-quimico-con-10-000-afectados/" TargetMode="External"/><Relationship Id="rId2107" Type="http://schemas.openxmlformats.org/officeDocument/2006/relationships/hyperlink" Target="https://www.boxrepsol.com/es/trial/resultados-del-trialgp-de-andorra-2024/" TargetMode="External"/><Relationship Id="rId3437" Type="http://schemas.openxmlformats.org/officeDocument/2006/relationships/hyperlink" Target="https://intereconomia.com/noticia/mercados/el-ibex-35-14-anos-despues-recupera-el-nivel-de-los-11-900-puntos-20240926-1758/" TargetMode="External"/><Relationship Id="rId4768" Type="http://schemas.openxmlformats.org/officeDocument/2006/relationships/hyperlink" Target="https://comunicae.es/en/press-release/caixabank-correos-roams-noatum-santander" TargetMode="External"/><Relationship Id="rId2108" Type="http://schemas.openxmlformats.org/officeDocument/2006/relationships/hyperlink" Target="https://cincodias.elpais.com/mercados-financieros/2024-06-10/el-fantasma-de-ypf-acecha-a-milei-y-abre-la-puerta-al-embargo-de-bienes-argentinos-por-hasta-16000-millones.html" TargetMode="External"/><Relationship Id="rId2109" Type="http://schemas.openxmlformats.org/officeDocument/2006/relationships/hyperlink" Target="https://okdiario.com/economia/tailandia-sondea-energeticas-espanolas-implantar-red-renovable-pais-12952707" TargetMode="External"/><Relationship Id="rId3439" Type="http://schemas.openxmlformats.org/officeDocument/2006/relationships/hyperlink" Target="https://www.elcolombiano.com/internacional/espana-y-mexico-tension-diplomatica-por-desplante-al-rey-felipe-vi-y-posesion-de-sheinbaum-KL25488929" TargetMode="External"/><Relationship Id="rId3430" Type="http://schemas.openxmlformats.org/officeDocument/2006/relationships/hyperlink" Target="https://www.boxrepsol.com/es/vive-tu-moto/las-novedades-honda-salon-milan/" TargetMode="External"/><Relationship Id="rId4761" Type="http://schemas.openxmlformats.org/officeDocument/2006/relationships/hyperlink" Target="https://laciutat.cat/es/la-ciudad-de-tarragona/simulacre-accident-greu-repsol-ha-funcionat-prou-be" TargetMode="External"/><Relationship Id="rId4760" Type="http://schemas.openxmlformats.org/officeDocument/2006/relationships/hyperlink" Target="https://www.cronista.com/espana/ibex-euro/repsol-a-cuanto-cotiza-hoy-miercoles-04-de-diciembre-y-cuanto-rinden-los-dividendos/" TargetMode="External"/><Relationship Id="rId2100" Type="http://schemas.openxmlformats.org/officeDocument/2006/relationships/hyperlink" Target="https://www.motorpasion.com/industria/repsol-te-hace-descuento-gasolina-le-llevas-aceite-freidora-para-fabricar-biodiesel-puede-no-ser-oro-todo-que-reluce" TargetMode="External"/><Relationship Id="rId3432" Type="http://schemas.openxmlformats.org/officeDocument/2006/relationships/hyperlink" Target="https://www.alimente.elconfidencial.com/gastronomia-y-cocina/2024-09-25/1qrt-restaurante-estrella-michelin-dentro-espectacular-hotel-antigua-abadia-siglo-xii_3969068/" TargetMode="External"/><Relationship Id="rId4763" Type="http://schemas.openxmlformats.org/officeDocument/2006/relationships/hyperlink" Target="https://www.energias-renovables.com/panorama/las-grandes-energeticas-crean-el-hub-de-20241204" TargetMode="External"/><Relationship Id="rId2101" Type="http://schemas.openxmlformats.org/officeDocument/2006/relationships/hyperlink" Target="https://www.epe.es/es/activos/20240608/grupo-agreda-referente-aragones-sector-103476793" TargetMode="External"/><Relationship Id="rId3431" Type="http://schemas.openxmlformats.org/officeDocument/2006/relationships/hyperlink" Target="https://www.eleconomista.es/informalia/estilo-de-vida/noticias/13003677/09/24/la-vanguardia-culinaria-enciende-en-madrid-su-primer-chefs-on-fire.html" TargetMode="External"/><Relationship Id="rId4762" Type="http://schemas.openxmlformats.org/officeDocument/2006/relationships/hyperlink" Target="https://www.elespanol.com/malaga/malaga-ciudad/20241204/termica-repsol-grandes-suelos-malaga-quiere-hacer-caja-ano-viene/905909813_0.html" TargetMode="External"/><Relationship Id="rId2102" Type="http://schemas.openxmlformats.org/officeDocument/2006/relationships/hyperlink" Target="https://www.elespanol.com/cocinillas/restaurantes/20240608/chiringuito-cadiz-playa-aguas-cristalinas-sirve-increibles-almejas-jamon-gambones/860914152_0.html" TargetMode="External"/><Relationship Id="rId3434" Type="http://schemas.openxmlformats.org/officeDocument/2006/relationships/hyperlink" Target="https://www.r4.com/articulos-y-analisis/tecnico/el-peor-comportamiento-relativo-de-repsol-contra-el-ibex35-cercano-a-un-suelo" TargetMode="External"/><Relationship Id="rId4765" Type="http://schemas.openxmlformats.org/officeDocument/2006/relationships/hyperlink" Target="https://www.diaridetarragona.com/tarragona/simulacro-suenan-las-sirenas-del-plaseqta-por-un-incidente-en-repsol-GC22204075" TargetMode="External"/><Relationship Id="rId2103" Type="http://schemas.openxmlformats.org/officeDocument/2006/relationships/hyperlink" Target="https://okdiario.com/okgreen/inquietantes-fotografias-que-retratan-imparable-subida-del-nivel-del-mar-12953448" TargetMode="External"/><Relationship Id="rId3433" Type="http://schemas.openxmlformats.org/officeDocument/2006/relationships/hyperlink" Target="https://www.tribunaavila.com/noticias/380411/un-profesor-jubilado-de-leon-se-lleva-este-ano-el-millon-que-sortea-repsol-por-repostar-mas-de-30-euros" TargetMode="External"/><Relationship Id="rId4764" Type="http://schemas.openxmlformats.org/officeDocument/2006/relationships/hyperlink" Target="https://www.ocu.org/inversiones/invertir/acciones/analisis/2024/12/repsol-blackrock-roche-anglo-american" TargetMode="External"/><Relationship Id="rId3425" Type="http://schemas.openxmlformats.org/officeDocument/2006/relationships/hyperlink" Target="https://www.energias-renovables.com/panorama/el-nuevo-plan-nacional-de-energia-y-20240925" TargetMode="External"/><Relationship Id="rId4756" Type="http://schemas.openxmlformats.org/officeDocument/2006/relationships/hyperlink" Target="https://www.lavanguardia.com/andro4all/aplicaciones/si-tienes-un-vehiculo-electrico-la-app-waylet-de-repsol-se-convierte-en-tu-mejor-aliada" TargetMode="External"/><Relationship Id="rId3424" Type="http://schemas.openxmlformats.org/officeDocument/2006/relationships/hyperlink" Target="https://dircomfidencial.com/marketing/repsol-pone-en-revision-su-cuenta-publicitaria-de-medios-20240925-0405/" TargetMode="External"/><Relationship Id="rId4755" Type="http://schemas.openxmlformats.org/officeDocument/2006/relationships/hyperlink" Target="https://www.expansion.com/mercados/2024/12/04/6750068f468aeb4f558b457e.html" TargetMode="External"/><Relationship Id="rId3427" Type="http://schemas.openxmlformats.org/officeDocument/2006/relationships/hyperlink" Target="https://www.guiarepsol.com/es/viajar/vamos-de-excursion/balneario-de-la-hermida-cantabria/" TargetMode="External"/><Relationship Id="rId4758" Type="http://schemas.openxmlformats.org/officeDocument/2006/relationships/hyperlink" Target="https://elperiodicodelaenergia.com/moeve-repsol-endesa-naturgy-enerclub-y-manpowergroup-crean-el-hub-de-energia-verde/" TargetMode="External"/><Relationship Id="rId3426" Type="http://schemas.openxmlformats.org/officeDocument/2006/relationships/hyperlink" Target="https://www.elespanol.com/malaga/malaga-ciudad/20240925/millonaria-subasta-torres-plantas-malaga-terrenos-repsol-entra-recta-final/888661478_0.html" TargetMode="External"/><Relationship Id="rId4757" Type="http://schemas.openxmlformats.org/officeDocument/2006/relationships/hyperlink" Target="https://www.mundodeportivo.com/urbantecno/movilidad-urbana/las-numerosas-ventajas-de-usar-waylet-la-app-de-repsol-con-tu-coche-electrico" TargetMode="External"/><Relationship Id="rId3429" Type="http://schemas.openxmlformats.org/officeDocument/2006/relationships/hyperlink" Target="https://www.expansion.com/empresas/energia/2024/09/25/66f31d93468aebaa1a8b4575.html" TargetMode="External"/><Relationship Id="rId3428" Type="http://schemas.openxmlformats.org/officeDocument/2006/relationships/hyperlink" Target="https://www.estrategiasdeinversion.com/analisis/bolsa-y-mercados/el-experto-opina/respondemos-a-las-preguntas-de-iag-endesa-repsol-n-747053" TargetMode="External"/><Relationship Id="rId4759" Type="http://schemas.openxmlformats.org/officeDocument/2006/relationships/hyperlink" Target="https://www.guiarepsol.com/es/comer/en-el-mercado/lapaca-raul-bernal-huesca/" TargetMode="External"/><Relationship Id="rId899" Type="http://schemas.openxmlformats.org/officeDocument/2006/relationships/hyperlink" Target="https://as.com/tikitakas/la-salita-de-begona-rodrigo-triunfa-en-la-guia-repsol-2024-con-tres-soles-n/" TargetMode="External"/><Relationship Id="rId898" Type="http://schemas.openxmlformats.org/officeDocument/2006/relationships/hyperlink" Target="https://cadenaser.com/euskadi/2024/03/05/ni-estrellas-michelin-ni-nuevos-soles-repsol-en-2024-vitoria-pasa-sin-gloria-por-las-principales-distinciones-gastronomicas-ser-vitoria/" TargetMode="External"/><Relationship Id="rId897" Type="http://schemas.openxmlformats.org/officeDocument/2006/relationships/hyperlink" Target="https://www.abc.es/gastronomia/begona-rodrigo-salita-valencia-unica-nueva-tres-20240304140207-nt.html" TargetMode="External"/><Relationship Id="rId896" Type="http://schemas.openxmlformats.org/officeDocument/2006/relationships/hyperlink" Target="https://www.elle.com/es/gourmet/gastronomia/a60073361/restaurantes-soles-guia-repsol-2024/" TargetMode="External"/><Relationship Id="rId891" Type="http://schemas.openxmlformats.org/officeDocument/2006/relationships/hyperlink" Target="https://elapuron.com/noticias/economia/184376/dos-soles-la-guia-repsol-2024-la-palma-casa-osmunda-brena-alta-sitio-tazacorte/" TargetMode="External"/><Relationship Id="rId890" Type="http://schemas.openxmlformats.org/officeDocument/2006/relationships/hyperlink" Target="https://www.7canibales.com/actualidad/tercer-sol-repsol-para-la-salita-valencia/" TargetMode="External"/><Relationship Id="rId4750" Type="http://schemas.openxmlformats.org/officeDocument/2006/relationships/hyperlink" Target="https://www.elperiodico.com/es/tarragona/20241203/junts-atribuye-eliminacion-impuesto-energetico-112283827" TargetMode="External"/><Relationship Id="rId895" Type="http://schemas.openxmlformats.org/officeDocument/2006/relationships/hyperlink" Target="https://www.heraldo.es/noticias/gastronomia/2024/03/04/era-nogales-restaurante-sol-repsol-aragon-sardas-huesca-1716230.html" TargetMode="External"/><Relationship Id="rId3421" Type="http://schemas.openxmlformats.org/officeDocument/2006/relationships/hyperlink" Target="https://oilandgasmagazine.com.mx/2024/09/repsol-refuerza-su-participacion-en-el-bloque-29-del-golfo-de-mexico-con-la-compra-de-un-16-67-adicional/" TargetMode="External"/><Relationship Id="rId4752" Type="http://schemas.openxmlformats.org/officeDocument/2006/relationships/hyperlink" Target="https://mase.lmneuquen.com/internacionales/geopark-compro-activos-repsol-530-millones-dolares-n1159461" TargetMode="External"/><Relationship Id="rId894" Type="http://schemas.openxmlformats.org/officeDocument/2006/relationships/hyperlink" Target="https://harodigital.com/noticias-de-haro/la-rioja-suma-un-nuevo-restaurante-con-dos-soles-repsol-nublo-en-haro/" TargetMode="External"/><Relationship Id="rId3420" Type="http://schemas.openxmlformats.org/officeDocument/2006/relationships/hyperlink" Target="https://www.bolsamania.com/noticias/analisis-tecnico/nuevos-maximos-anuales-en-el-ibex-que-da-un-nuevo-paso-hacia-los-12000-puntos--17546998.html" TargetMode="External"/><Relationship Id="rId4751" Type="http://schemas.openxmlformats.org/officeDocument/2006/relationships/hyperlink" Target="https://www.ondacero.es/noticias/gastronomia/gastronomia-responsable-sostenible-dispara-interes-espanoles_20241203674efaff85d24c0001ce3ce4.html" TargetMode="External"/><Relationship Id="rId893" Type="http://schemas.openxmlformats.org/officeDocument/2006/relationships/hyperlink" Target="https://www.elespanol.com/cocinillas/actualidad-gastronomica/20240304/salita-begona-rodrigo-nuevo-restaurante-soles-repsol-cuesta-comer/836416852_0.html" TargetMode="External"/><Relationship Id="rId3423" Type="http://schemas.openxmlformats.org/officeDocument/2006/relationships/hyperlink" Target="https://www.puertollano.es/repsol-lanza-una-nueva-convocatoria-de-ayudas-a-la-cultura-y-el-deporte-local-de-10-000-euros/" TargetMode="External"/><Relationship Id="rId4754" Type="http://schemas.openxmlformats.org/officeDocument/2006/relationships/hyperlink" Target="https://oilandgasmagazine.com.mx/2024/12/mcdermott-liderara-diseno-de-campos-polok-y-chinwol/" TargetMode="External"/><Relationship Id="rId892" Type="http://schemas.openxmlformats.org/officeDocument/2006/relationships/hyperlink" Target="https://www.infobae.com/espana/2024/03/04/la-salita-el-nuevo-restaurante-con-tres-soles-repsol-que-triunfa-con-una-cocina-vegetal-con-raices-en-lo-mas-profundo-de-valencia/" TargetMode="External"/><Relationship Id="rId3422" Type="http://schemas.openxmlformats.org/officeDocument/2006/relationships/hyperlink" Target="https://www.revistaei.cl/grenergy-expande-proyecto-oasis-de-atacama-mediante-la-compra-de-1-gw-solar-a-repsol-e-ibereolica-por-us128-millones/" TargetMode="External"/><Relationship Id="rId4753" Type="http://schemas.openxmlformats.org/officeDocument/2006/relationships/hyperlink" Target="https://oilandgasmagazine.com.mx/2024/12/repsol-vende-activos-en-colombia-por-530-mdd/" TargetMode="External"/><Relationship Id="rId2126" Type="http://schemas.openxmlformats.org/officeDocument/2006/relationships/hyperlink" Target="https://cronicaglobal.elespanol.com/gastronomia/20240610/el-restaurante-vic-guias-repsol-michelin-xviii/861913844_0.html" TargetMode="External"/><Relationship Id="rId3458" Type="http://schemas.openxmlformats.org/officeDocument/2006/relationships/hyperlink" Target="https://www.lanuevacronica.com/actualidad/profesor-jubilado-leon-se-lleva-millon-euros-por-echar-gasolina_163123_102.html" TargetMode="External"/><Relationship Id="rId4789" Type="http://schemas.openxmlformats.org/officeDocument/2006/relationships/hyperlink" Target="https://www.bolsamania.com/noticias/analisis-tecnico/consultorio-iag-endesa-aena-telefonica--18257276.html" TargetMode="External"/><Relationship Id="rId2127" Type="http://schemas.openxmlformats.org/officeDocument/2006/relationships/hyperlink" Target="https://www.repsol.com/es/sala-prensa/notas-prensa/2024/repsol-firma-acuerdo-venta-energia-renovable-largo-plazo-microsoft/index.cshtml" TargetMode="External"/><Relationship Id="rId3457" Type="http://schemas.openxmlformats.org/officeDocument/2006/relationships/hyperlink" Target="https://www.repsol.com/es/energia-futuro/movilidad-sostenible/mitos-realidades-coche-electrico-espana/index.cshtml" TargetMode="External"/><Relationship Id="rId4788" Type="http://schemas.openxmlformats.org/officeDocument/2006/relationships/hyperlink" Target="https://cadenaser.com/nacional/2024/12/05/sara-aagesen-sobre-el-ordago-de-repsol-ante-un-impuesto-energetico-no-valen-las-amenazas-sino-apostar-por-espana-porque-es-una-gran-oportunidad-cadena-ser/" TargetMode="External"/><Relationship Id="rId2128" Type="http://schemas.openxmlformats.org/officeDocument/2006/relationships/hyperlink" Target="https://cincodias.elpais.com/companias/2024-06-11/repsol-suministrara-electricidad-renovable-a-microsoft-en-espana-los-12-proximos-anos.html" TargetMode="External"/><Relationship Id="rId2129" Type="http://schemas.openxmlformats.org/officeDocument/2006/relationships/hyperlink" Target="https://www.estrategiasdeinversion.com/actualidad/noticias/bolsa-espana/repsol-y-microsoft-firman-acuerdo-de-energia-renovable-n-722255" TargetMode="External"/><Relationship Id="rId3459" Type="http://schemas.openxmlformats.org/officeDocument/2006/relationships/hyperlink" Target="https://www.merca2.es/2024/09/27/repsol-premio-vecino-leon-waylet-1930664/" TargetMode="External"/><Relationship Id="rId3450" Type="http://schemas.openxmlformats.org/officeDocument/2006/relationships/hyperlink" Target="https://www.expansion.com/galicia/2024/09/27/66f6c0dee5fdeadd0f8b45a7.html" TargetMode="External"/><Relationship Id="rId4781" Type="http://schemas.openxmlformats.org/officeDocument/2006/relationships/hyperlink" Target="https://okdiario.com/economia/repsol-bp-cepsa-usan-sindicatos-discapacitados-prohibir-gasolineras-automaticas-1222809" TargetMode="External"/><Relationship Id="rId4780" Type="http://schemas.openxmlformats.org/officeDocument/2006/relationships/hyperlink" Target="https://transporteprofesional.es/noticias-actualidad-transporte-logistica/empresas-de-transporte-flotas/db-schenker-y-repsol-para-avanzar-hacia-una-logistica-mas-sostenible-con-combustible-renovable" TargetMode="External"/><Relationship Id="rId2120" Type="http://schemas.openxmlformats.org/officeDocument/2006/relationships/hyperlink" Target="https://es.mongabay.com/2024/06/las-secuelas-del-derrame-de-repsol-german-melchor/" TargetMode="External"/><Relationship Id="rId3452" Type="http://schemas.openxmlformats.org/officeDocument/2006/relationships/hyperlink" Target="https://www.guiarepsol.com/es/comer/nuestros-favoritos/pasteleria-la-barraquena-el-barraco-avila/" TargetMode="External"/><Relationship Id="rId4783" Type="http://schemas.openxmlformats.org/officeDocument/2006/relationships/hyperlink" Target="https://viajar.elperiodico.com/planes/gastro/restaurante-carretera-recomienda-guia-repsol-112310379" TargetMode="External"/><Relationship Id="rId2121" Type="http://schemas.openxmlformats.org/officeDocument/2006/relationships/hyperlink" Target="https://elperiodicodelaenergia.com/la-no-opa-sobre-naturgy-historia-de-una-compleja-operacion-en-una-empresa-estrategica-nacional/" TargetMode="External"/><Relationship Id="rId3451" Type="http://schemas.openxmlformats.org/officeDocument/2006/relationships/hyperlink" Target="https://www.leonoticias.com/leon/kilito-leones-pedro-diez-seguir-viviendo-igual-20240927113408-nt.html" TargetMode="External"/><Relationship Id="rId4782" Type="http://schemas.openxmlformats.org/officeDocument/2006/relationships/hyperlink" Target="https://www.guiarepsol.com/es/comer/nuestros-favoritos/donde-comer-fabada-en-asturias/" TargetMode="External"/><Relationship Id="rId2122" Type="http://schemas.openxmlformats.org/officeDocument/2006/relationships/hyperlink" Target="https://www.diariosur.es/sucesos/dos-heridos-colision-camion-gasolinera-pedrizas-20240609225344-nt.html" TargetMode="External"/><Relationship Id="rId3454" Type="http://schemas.openxmlformats.org/officeDocument/2006/relationships/hyperlink" Target="https://www.bolsamania.com/capitalbolsa/noticias/analisis-tecnico/el-peor-comportamiento-relativo-de-repsol-contra-el-ibex35-cercano-a-un-suelo--17566271.html" TargetMode="External"/><Relationship Id="rId4785" Type="http://schemas.openxmlformats.org/officeDocument/2006/relationships/hyperlink" Target="https://www.larazon.es/lr-content/voluntarios-personas-que-invierten-energia-ayudar-demas_2024120567507c657337f20001b4be4f.html" TargetMode="External"/><Relationship Id="rId2123" Type="http://schemas.openxmlformats.org/officeDocument/2006/relationships/hyperlink" Target="https://www.lavanguardia.com/dinero/20240610/9721544/caixabank-deprende-2-6-acciones-mantenia-cartera.html" TargetMode="External"/><Relationship Id="rId3453" Type="http://schemas.openxmlformats.org/officeDocument/2006/relationships/hyperlink" Target="https://www.laopinioncoruna.es/coruna/2024/09/27/refineria-coruna-comienza-parada-programada-108650819.html" TargetMode="External"/><Relationship Id="rId4784" Type="http://schemas.openxmlformats.org/officeDocument/2006/relationships/hyperlink" Target="https://www.cope.es/emisoras/region-de-murcia/murcia-provincia/cartagena/noticias/cartagena-consolida-epicentro-tecnologia-sostenible-repsol-20241205_3058393.html" TargetMode="External"/><Relationship Id="rId2124" Type="http://schemas.openxmlformats.org/officeDocument/2006/relationships/hyperlink" Target="https://www.elnacional.cat/oneconomia/es/management/20-mejores-empresas-espanolas-trabajar-segun-empleados_1231218_102.html" TargetMode="External"/><Relationship Id="rId3456" Type="http://schemas.openxmlformats.org/officeDocument/2006/relationships/hyperlink" Target="https://www.diariodeleon.es/leon/240927/1631418/leones-gana-segunda-campana-kilito-verano-trankilito-repsol-lleva-millon-euros.html" TargetMode="External"/><Relationship Id="rId4787" Type="http://schemas.openxmlformats.org/officeDocument/2006/relationships/hyperlink" Target="https://www.cronista.com/espana/ibex-euro/repsol-a-cuanto-cotiza-hoy-jueves-05-de-diciembre-y-cuanto-rinden-los-dividendos/" TargetMode="External"/><Relationship Id="rId2125" Type="http://schemas.openxmlformats.org/officeDocument/2006/relationships/hyperlink" Target="https://infoleon.infobierzo.com/noticias-leon/corte-trafico-avenida-saenz-miera-leon_1012858_102.html" TargetMode="External"/><Relationship Id="rId3455" Type="http://schemas.openxmlformats.org/officeDocument/2006/relationships/hyperlink" Target="https://www.lavozdegalicia.es/noticia/coruna/coruna/2024/09/27/refineria-coruna-contrata-700-trabajadores-46-empresas-parada-tecnica/00031727450640215787421.htm" TargetMode="External"/><Relationship Id="rId4786" Type="http://schemas.openxmlformats.org/officeDocument/2006/relationships/hyperlink" Target="https://theobjective.com/gastronomia/2024-12-05/cuatro-nuevos-soletes-repsol-reconocidos-solera/" TargetMode="External"/><Relationship Id="rId2115" Type="http://schemas.openxmlformats.org/officeDocument/2006/relationships/hyperlink" Target="https://www.ideal.es/almeria/gourmet/nueva-heladeria-solete-repsol-llega-almeria-granada-20240607190030-nt.html" TargetMode="External"/><Relationship Id="rId3447" Type="http://schemas.openxmlformats.org/officeDocument/2006/relationships/hyperlink" Target="https://consensodelmercado.com/es/ibex-35/analisis-tecnico/el-peor-comportamiento-relativo-de-repsol-contra-el-ibex35-cercano-a-un-suelo" TargetMode="External"/><Relationship Id="rId4778" Type="http://schemas.openxmlformats.org/officeDocument/2006/relationships/hyperlink" Target="https://www.bancaynegocios.com/espana-importa-el-mayor-volumen-de-crudo-venezolano-desde-2006/" TargetMode="External"/><Relationship Id="rId2116" Type="http://schemas.openxmlformats.org/officeDocument/2006/relationships/hyperlink" Target="https://www.guiarepsol.com/es/comer/nuestros-favoritos/sen-omakase-madrid/" TargetMode="External"/><Relationship Id="rId3446" Type="http://schemas.openxmlformats.org/officeDocument/2006/relationships/hyperlink" Target="https://www.larazon.es/castilla-y-leon/profesor-jubilado-leon-gana-millon-euros-gracias-kilito-repsol_2024092766f694a93c87870001ee8481.html" TargetMode="External"/><Relationship Id="rId4777" Type="http://schemas.openxmlformats.org/officeDocument/2006/relationships/hyperlink" Target="https://globalenergy.mx/noticias/mcdermott-disenara-los-campos-polok-y-chinwol-en-el-golfo-de-mexico-para-repsol-mexico/" TargetMode="External"/><Relationship Id="rId2117" Type="http://schemas.openxmlformats.org/officeDocument/2006/relationships/hyperlink" Target="https://www.elmundo.es/uestudio/2024/06/10/6666cbf0fc6c83592a8b45a8.html" TargetMode="External"/><Relationship Id="rId3449" Type="http://schemas.openxmlformats.org/officeDocument/2006/relationships/hyperlink" Target="https://intereconomia.com/noticia/empresas/repsol-sinopec-equinor-y-petrobas-explotaran-el-mayor-campo-de-gas-de-brasil-en-2028-20240927-1033/" TargetMode="External"/><Relationship Id="rId2118" Type="http://schemas.openxmlformats.org/officeDocument/2006/relationships/hyperlink" Target="https://elpais.com/clima-y-medio-ambiente/2024-06-10/publicistas-reclaman-al-supervisor-que-regula-los-anuncios-en-espana-mas-rigor-contra-el-greenwashing.html" TargetMode="External"/><Relationship Id="rId3448" Type="http://schemas.openxmlformats.org/officeDocument/2006/relationships/hyperlink" Target="https://es-us.finanzas.yahoo.com/noticias/repsol-vs-ibex-35-previsiones-084000791.html" TargetMode="External"/><Relationship Id="rId4779" Type="http://schemas.openxmlformats.org/officeDocument/2006/relationships/hyperlink" Target="https://www.pulzo.com/economia/repsol-anuncia-salida-colombia-40-anos-que-pasara-con-sus-negocios-PP4140161" TargetMode="External"/><Relationship Id="rId2119" Type="http://schemas.openxmlformats.org/officeDocument/2006/relationships/hyperlink" Target="https://tarifaluzhora.es/companias/repsol/compromiso-ahorro" TargetMode="External"/><Relationship Id="rId4770" Type="http://schemas.openxmlformats.org/officeDocument/2006/relationships/hyperlink" Target="https://www.elconfidencial.com/medioambiente/energia/2024-12-04/divulgadores-cientificos-internet-energia-bra_4012786/" TargetMode="External"/><Relationship Id="rId3441" Type="http://schemas.openxmlformats.org/officeDocument/2006/relationships/hyperlink" Target="https://www.bolsamania.com/noticias/analisis-tecnico/bbva-apaga-el-incendio--17543787.html" TargetMode="External"/><Relationship Id="rId4772" Type="http://schemas.openxmlformats.org/officeDocument/2006/relationships/hyperlink" Target="https://www.elcolombiano.com/negocios/repsol-petrolera-se-va-de-colombia-por-que-CH25991641" TargetMode="External"/><Relationship Id="rId2110" Type="http://schemas.openxmlformats.org/officeDocument/2006/relationships/hyperlink" Target="https://www.elespanol.com/valencia/ocio/20240609/pequeno-pueblo-castellon-restaurante-estrella-michelin-puede-comer-euros-trt/860164222_0.html" TargetMode="External"/><Relationship Id="rId3440" Type="http://schemas.openxmlformats.org/officeDocument/2006/relationships/hyperlink" Target="https://elpais.com/espana/2024-09-26/feijoo-avisa-a-las-empresas-espanolas-de-que-se-equivocan-si-colaboran-con-maduro.html" TargetMode="External"/><Relationship Id="rId4771" Type="http://schemas.openxmlformats.org/officeDocument/2006/relationships/hyperlink" Target="https://www.eltiempo.com/economia/sectores/repsol-y-cepsa-las-petroleras-espanolas-que-se-salen-de-colombia-en-2024-que-hay-detras-de-la-decision-3405827" TargetMode="External"/><Relationship Id="rId2111" Type="http://schemas.openxmlformats.org/officeDocument/2006/relationships/hyperlink" Target="https://okdiario.com/okgreen/luis-miguel-sanchez-vespa-siempre-va-mantener-estoica-sea-motor-gasolina-o-electrico-12957339" TargetMode="External"/><Relationship Id="rId3443" Type="http://schemas.openxmlformats.org/officeDocument/2006/relationships/hyperlink" Target="https://elperiodicodelaenergia.com/repsol-premia-con-un-millon-de-euros-a-un-vecino-de-leon-por-repostar-con-waylet-en-sus-estaciones-de-servicio/" TargetMode="External"/><Relationship Id="rId4774" Type="http://schemas.openxmlformats.org/officeDocument/2006/relationships/hyperlink" Target="https://www.cronista.com/espana/ibex-euro/repsol-asi-abre-la-cotizacion-hoy-miercoles-04-de-diciembre-cuanto-rinden-los-dividendos/" TargetMode="External"/><Relationship Id="rId2112" Type="http://schemas.openxmlformats.org/officeDocument/2006/relationships/hyperlink" Target="https://okdiario.com/okgreen/si-lees-este-libro-amaras-piojos-cucarachas-o-garrapatas-sobre-todas-cosas-12953946" TargetMode="External"/><Relationship Id="rId3442" Type="http://schemas.openxmlformats.org/officeDocument/2006/relationships/hyperlink" Target="https://okdiario.com/okgreen/europa-rebaja-proteccion-del-lobo-preservar-ganado-oposicion-espana-13533697" TargetMode="External"/><Relationship Id="rId4773" Type="http://schemas.openxmlformats.org/officeDocument/2006/relationships/hyperlink" Target="https://www.guiarepsol.com/es/comer/en-el-mercado/cerdos-ibericos-de-la-serrania-de-ronda-dehesa-monteros/" TargetMode="External"/><Relationship Id="rId2113" Type="http://schemas.openxmlformats.org/officeDocument/2006/relationships/hyperlink" Target="https://tarifaluzhora.es/companias/repsol/area-clientes" TargetMode="External"/><Relationship Id="rId3445" Type="http://schemas.openxmlformats.org/officeDocument/2006/relationships/hyperlink" Target="https://www.ideal.es/economia/mi-hucha/ultimas-horas-disfrutar-descuento-litro-diesel-repsol-20240927100843-nt.html" TargetMode="External"/><Relationship Id="rId4776" Type="http://schemas.openxmlformats.org/officeDocument/2006/relationships/hyperlink" Target="https://www.lavozdeltajo.com/noticia/84846/nuestra-gente/los-restaurantes-castellano-manchegos-raices-y-molino-de-alcuneza-acreditan-una-demanda-creciente-de-sus-clientes-por-una-gastronomia-responsable.html" TargetMode="External"/><Relationship Id="rId2114" Type="http://schemas.openxmlformats.org/officeDocument/2006/relationships/hyperlink" Target="https://www.elespanol.com/invertia/empresas/energia/20240610/repsol-amazon-alian-ofrecer-cupones-euros-carburante-recojan-pedidos-gasolineras/861413929_0.html" TargetMode="External"/><Relationship Id="rId3444" Type="http://schemas.openxmlformats.org/officeDocument/2006/relationships/hyperlink" Target="https://www.estrategiasdeinversion.com/analisis/bolsa-y-mercados/acciones-para-invertir/estrategia-de-trading-en-largo-sobre-repsol-con-n-747745" TargetMode="External"/><Relationship Id="rId4775" Type="http://schemas.openxmlformats.org/officeDocument/2006/relationships/hyperlink" Target="https://cronicaglobal.elespanol.com/gastronomia/20241204/el-el-que-por-lleida-guia-repsol/906159405_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0.38"/>
    <col customWidth="1" min="2" max="2" width="11.13"/>
    <col customWidth="1" min="3" max="3" width="12.13"/>
    <col customWidth="1" min="4" max="4" width="101.5"/>
    <col customWidth="1" min="5" max="5" width="102.0"/>
    <col customWidth="1" min="6" max="6" width="53.25"/>
    <col customWidth="1" min="7" max="7" width="37.63"/>
    <col customWidth="1" min="8" max="9" width="25.25"/>
    <col customWidth="1" min="10" max="10" width="11.25"/>
    <col customWidth="1" min="11" max="11" width="18.13"/>
    <col customWidth="1" min="12" max="12" width="48.75"/>
    <col customWidth="1" min="13" max="13" width="49.0"/>
    <col customWidth="1" min="14" max="15" width="25.25"/>
    <col customWidth="1" min="16" max="16" width="21.13"/>
    <col customWidth="1" min="18" max="18" width="18.13"/>
    <col customWidth="1" min="19" max="20" width="77.25"/>
  </cols>
  <sheetData>
    <row r="1">
      <c r="A1" s="1" t="s">
        <v>0</v>
      </c>
      <c r="B1" s="2" t="s">
        <v>1</v>
      </c>
      <c r="C1" s="2" t="s">
        <v>2</v>
      </c>
      <c r="D1" s="3" t="s">
        <v>3</v>
      </c>
      <c r="E1" s="3" t="s">
        <v>4</v>
      </c>
      <c r="F1" s="3" t="s">
        <v>5</v>
      </c>
      <c r="G1" s="3" t="s">
        <v>6</v>
      </c>
      <c r="H1" s="4" t="s">
        <v>7</v>
      </c>
      <c r="I1" s="5" t="s">
        <v>8</v>
      </c>
      <c r="J1" s="6" t="s">
        <v>9</v>
      </c>
      <c r="K1" s="7" t="s">
        <v>10</v>
      </c>
      <c r="L1" s="2" t="s">
        <v>11</v>
      </c>
      <c r="M1" s="2" t="s">
        <v>12</v>
      </c>
      <c r="N1" s="4" t="s">
        <v>13</v>
      </c>
      <c r="O1" s="6" t="s">
        <v>14</v>
      </c>
      <c r="P1" s="8" t="s">
        <v>15</v>
      </c>
      <c r="Q1" s="7" t="s">
        <v>16</v>
      </c>
      <c r="R1" s="9" t="s">
        <v>17</v>
      </c>
      <c r="S1" s="8" t="s">
        <v>18</v>
      </c>
      <c r="T1" s="8" t="s">
        <v>19</v>
      </c>
    </row>
    <row r="2">
      <c r="A2" s="10" t="s">
        <v>20</v>
      </c>
      <c r="B2" s="11" t="s">
        <v>21</v>
      </c>
      <c r="C2" s="12">
        <v>45292.0</v>
      </c>
      <c r="D2" s="11" t="s">
        <v>22</v>
      </c>
      <c r="E2" s="13" t="s">
        <v>23</v>
      </c>
      <c r="F2" s="14" t="s">
        <v>24</v>
      </c>
      <c r="G2" s="14" t="s">
        <v>25</v>
      </c>
      <c r="H2" s="15" t="s">
        <v>26</v>
      </c>
      <c r="I2" s="15" t="str">
        <f>IFERROR(__xludf.DUMMYFUNCTION("GOOGLETRANSLATE(H2,""EN"",""ES"")"),"Otro")</f>
        <v>Otro</v>
      </c>
      <c r="J2" s="16" t="s">
        <v>27</v>
      </c>
      <c r="K2" s="17">
        <v>0.0</v>
      </c>
      <c r="L2" s="15"/>
      <c r="M2" s="18"/>
      <c r="N2" s="19"/>
      <c r="O2" s="19"/>
      <c r="P2" s="20">
        <v>0.0</v>
      </c>
      <c r="Q2" s="18"/>
      <c r="R2" s="18"/>
      <c r="S2" s="21"/>
      <c r="T2" s="22"/>
    </row>
    <row r="3">
      <c r="A3" s="23" t="s">
        <v>28</v>
      </c>
      <c r="B3" s="11" t="s">
        <v>29</v>
      </c>
      <c r="C3" s="12">
        <v>45292.0</v>
      </c>
      <c r="D3" s="11" t="s">
        <v>30</v>
      </c>
      <c r="E3" s="13" t="s">
        <v>31</v>
      </c>
      <c r="F3" s="24" t="s">
        <v>32</v>
      </c>
      <c r="G3" s="24" t="s">
        <v>33</v>
      </c>
      <c r="H3" s="25" t="s">
        <v>34</v>
      </c>
      <c r="I3" s="25" t="str">
        <f>IFERROR(__xludf.DUMMYFUNCTION("GOOGLETRANSLATE(H3,""EN"",""ES"")"),"Responsabilidad Social Corporativa")</f>
        <v>Responsabilidad Social Corporativa</v>
      </c>
      <c r="J3" s="26" t="s">
        <v>35</v>
      </c>
      <c r="K3" s="27">
        <v>0.6</v>
      </c>
      <c r="L3" s="26" t="s">
        <v>36</v>
      </c>
      <c r="M3" s="28" t="s">
        <v>37</v>
      </c>
      <c r="N3" s="29" t="s">
        <v>38</v>
      </c>
      <c r="O3" s="29" t="str">
        <f>IFERROR(__xludf.DUMMYFUNCTION("GOOGLETRANSLATE(N3,""EN"",""ES"")"),"Los temas de sostenibilidad corporativa pueden impactar positivamente en la percepción ESG de Repsol.")</f>
        <v>Los temas de sostenibilidad corporativa pueden impactar positivamente en la percepción ESG de Repsol.</v>
      </c>
      <c r="P3" s="30">
        <v>0.8</v>
      </c>
      <c r="Q3" s="31" t="str">
        <f>IFERROR(__xludf.DUMMYFUNCTION("GOOGLETRANSLATE(R3,""ES"",""EN"")"),"human rights, sustainability")</f>
        <v>human rights, sustainability</v>
      </c>
      <c r="R3" s="28" t="s">
        <v>39</v>
      </c>
      <c r="S3" s="28" t="s">
        <v>40</v>
      </c>
      <c r="T3" s="32" t="s">
        <v>41</v>
      </c>
    </row>
    <row r="4">
      <c r="A4" s="33" t="s">
        <v>42</v>
      </c>
      <c r="B4" s="11" t="s">
        <v>43</v>
      </c>
      <c r="C4" s="12">
        <v>45292.0</v>
      </c>
      <c r="D4" s="11" t="s">
        <v>44</v>
      </c>
      <c r="E4" s="13" t="s">
        <v>45</v>
      </c>
      <c r="F4" s="14" t="s">
        <v>46</v>
      </c>
      <c r="G4" s="14" t="s">
        <v>47</v>
      </c>
      <c r="H4" s="15" t="s">
        <v>48</v>
      </c>
      <c r="I4" s="15" t="str">
        <f>IFERROR(__xludf.DUMMYFUNCTION("GOOGLETRANSLATE(H4,""EN"",""ES"")"),"Finanzas")</f>
        <v>Finanzas</v>
      </c>
      <c r="J4" s="16" t="s">
        <v>27</v>
      </c>
      <c r="K4" s="17">
        <v>0.0</v>
      </c>
      <c r="L4" s="15"/>
      <c r="M4" s="18"/>
      <c r="N4" s="19"/>
      <c r="O4" s="19"/>
      <c r="P4" s="20">
        <v>0.0</v>
      </c>
      <c r="Q4" s="18"/>
      <c r="R4" s="18"/>
      <c r="S4" s="34"/>
      <c r="T4" s="22"/>
    </row>
    <row r="5">
      <c r="A5" s="23" t="s">
        <v>49</v>
      </c>
      <c r="B5" s="11" t="s">
        <v>50</v>
      </c>
      <c r="C5" s="12">
        <v>45292.0</v>
      </c>
      <c r="D5" s="11" t="s">
        <v>51</v>
      </c>
      <c r="E5" s="13" t="s">
        <v>52</v>
      </c>
      <c r="F5" s="24" t="s">
        <v>53</v>
      </c>
      <c r="G5" s="24" t="s">
        <v>54</v>
      </c>
      <c r="H5" s="25" t="s">
        <v>55</v>
      </c>
      <c r="I5" s="25" t="str">
        <f>IFERROR(__xludf.DUMMYFUNCTION("GOOGLETRANSLATE(H5,""EN"",""ES"")"),"deportes de motor")</f>
        <v>deportes de motor</v>
      </c>
      <c r="J5" s="26" t="s">
        <v>27</v>
      </c>
      <c r="K5" s="17">
        <v>0.0</v>
      </c>
      <c r="L5" s="25"/>
      <c r="M5" s="31"/>
      <c r="N5" s="29"/>
      <c r="O5" s="29"/>
      <c r="P5" s="20">
        <v>0.0</v>
      </c>
      <c r="Q5" s="31"/>
      <c r="R5" s="31"/>
      <c r="S5" s="28"/>
      <c r="T5" s="32"/>
    </row>
    <row r="6">
      <c r="A6" s="33" t="s">
        <v>56</v>
      </c>
      <c r="B6" s="11" t="s">
        <v>57</v>
      </c>
      <c r="C6" s="12">
        <v>45292.0</v>
      </c>
      <c r="D6" s="11" t="s">
        <v>58</v>
      </c>
      <c r="E6" s="13" t="s">
        <v>59</v>
      </c>
      <c r="F6" s="14" t="s">
        <v>60</v>
      </c>
      <c r="G6" s="14" t="s">
        <v>61</v>
      </c>
      <c r="H6" s="15" t="s">
        <v>62</v>
      </c>
      <c r="I6" s="15" t="str">
        <f>IFERROR(__xludf.DUMMYFUNCTION("GOOGLETRANSLATE(H6,""EN"",""ES"")"),"Energía")</f>
        <v>Energía</v>
      </c>
      <c r="J6" s="16" t="s">
        <v>35</v>
      </c>
      <c r="K6" s="27">
        <v>0.0</v>
      </c>
      <c r="L6" s="15"/>
      <c r="M6" s="18"/>
      <c r="N6" s="19" t="s">
        <v>63</v>
      </c>
      <c r="O6" s="19" t="str">
        <f>IFERROR(__xludf.DUMMYFUNCTION("GOOGLETRANSLATE(N6,""EN"",""ES"")"),"La actualización de los precios del butano no impacta directamente en la imagen corporativa de Repsol.")</f>
        <v>La actualización de los precios del butano no impacta directamente en la imagen corporativa de Repsol.</v>
      </c>
      <c r="P6" s="30">
        <v>-0.3</v>
      </c>
      <c r="Q6" s="18" t="str">
        <f>IFERROR(__xludf.DUMMYFUNCTION("GOOGLETRANSLATE(R6,""ES"",""EN"")"),"butane gas, high price")</f>
        <v>butane gas, high price</v>
      </c>
      <c r="R6" s="34" t="s">
        <v>64</v>
      </c>
      <c r="S6" s="34" t="s">
        <v>65</v>
      </c>
      <c r="T6" s="22" t="s">
        <v>66</v>
      </c>
    </row>
    <row r="7">
      <c r="A7" s="23" t="s">
        <v>67</v>
      </c>
      <c r="B7" s="11" t="s">
        <v>68</v>
      </c>
      <c r="C7" s="12">
        <v>45292.0</v>
      </c>
      <c r="D7" s="11" t="s">
        <v>69</v>
      </c>
      <c r="E7" s="13" t="s">
        <v>70</v>
      </c>
      <c r="F7" s="24" t="s">
        <v>71</v>
      </c>
      <c r="G7" s="24" t="s">
        <v>72</v>
      </c>
      <c r="H7" s="25" t="s">
        <v>55</v>
      </c>
      <c r="I7" s="25" t="str">
        <f>IFERROR(__xludf.DUMMYFUNCTION("GOOGLETRANSLATE(H7,""EN"",""ES"")"),"deportes de motor")</f>
        <v>deportes de motor</v>
      </c>
      <c r="J7" s="26" t="s">
        <v>27</v>
      </c>
      <c r="K7" s="17">
        <v>0.0</v>
      </c>
      <c r="L7" s="25"/>
      <c r="M7" s="31"/>
      <c r="N7" s="29"/>
      <c r="O7" s="29"/>
      <c r="P7" s="20">
        <v>0.0</v>
      </c>
      <c r="Q7" s="31"/>
      <c r="R7" s="31"/>
      <c r="S7" s="28"/>
      <c r="T7" s="32"/>
    </row>
    <row r="8">
      <c r="A8" s="33" t="s">
        <v>73</v>
      </c>
      <c r="B8" s="11" t="s">
        <v>74</v>
      </c>
      <c r="C8" s="12">
        <v>45292.0</v>
      </c>
      <c r="D8" s="11" t="s">
        <v>75</v>
      </c>
      <c r="E8" s="13" t="s">
        <v>76</v>
      </c>
      <c r="F8" s="14" t="s">
        <v>77</v>
      </c>
      <c r="G8" s="14" t="s">
        <v>78</v>
      </c>
      <c r="H8" s="15" t="s">
        <v>55</v>
      </c>
      <c r="I8" s="15" t="str">
        <f>IFERROR(__xludf.DUMMYFUNCTION("GOOGLETRANSLATE(H8,""EN"",""ES"")"),"deportes de motor")</f>
        <v>deportes de motor</v>
      </c>
      <c r="J8" s="16" t="s">
        <v>27</v>
      </c>
      <c r="K8" s="17">
        <v>0.0</v>
      </c>
      <c r="L8" s="15"/>
      <c r="M8" s="18"/>
      <c r="N8" s="19"/>
      <c r="O8" s="19"/>
      <c r="P8" s="20">
        <v>0.0</v>
      </c>
      <c r="Q8" s="18"/>
      <c r="R8" s="18"/>
      <c r="S8" s="35"/>
      <c r="T8" s="22"/>
    </row>
    <row r="9">
      <c r="A9" s="23" t="s">
        <v>79</v>
      </c>
      <c r="B9" s="11" t="s">
        <v>21</v>
      </c>
      <c r="C9" s="12">
        <v>45292.0</v>
      </c>
      <c r="D9" s="11" t="s">
        <v>80</v>
      </c>
      <c r="E9" s="13" t="s">
        <v>81</v>
      </c>
      <c r="F9" s="24" t="s">
        <v>82</v>
      </c>
      <c r="G9" s="24" t="s">
        <v>83</v>
      </c>
      <c r="H9" s="25" t="s">
        <v>26</v>
      </c>
      <c r="I9" s="25" t="str">
        <f>IFERROR(__xludf.DUMMYFUNCTION("GOOGLETRANSLATE(H9,""EN"",""ES"")"),"Otro")</f>
        <v>Otro</v>
      </c>
      <c r="J9" s="26" t="s">
        <v>27</v>
      </c>
      <c r="K9" s="17">
        <v>0.0</v>
      </c>
      <c r="L9" s="25"/>
      <c r="M9" s="31"/>
      <c r="N9" s="29"/>
      <c r="O9" s="29"/>
      <c r="P9" s="20">
        <v>0.0</v>
      </c>
      <c r="Q9" s="31"/>
      <c r="R9" s="31"/>
      <c r="S9" s="36"/>
      <c r="T9" s="32"/>
    </row>
    <row r="10">
      <c r="A10" s="33" t="s">
        <v>84</v>
      </c>
      <c r="B10" s="11" t="s">
        <v>85</v>
      </c>
      <c r="C10" s="12">
        <v>45292.0</v>
      </c>
      <c r="D10" s="11" t="s">
        <v>86</v>
      </c>
      <c r="E10" s="13" t="s">
        <v>87</v>
      </c>
      <c r="F10" s="14" t="s">
        <v>88</v>
      </c>
      <c r="G10" s="14" t="s">
        <v>89</v>
      </c>
      <c r="H10" s="15" t="s">
        <v>26</v>
      </c>
      <c r="I10" s="15" t="str">
        <f>IFERROR(__xludf.DUMMYFUNCTION("GOOGLETRANSLATE(H10,""EN"",""ES"")"),"Otro")</f>
        <v>Otro</v>
      </c>
      <c r="J10" s="16" t="s">
        <v>27</v>
      </c>
      <c r="K10" s="17">
        <v>0.0</v>
      </c>
      <c r="L10" s="15"/>
      <c r="M10" s="18"/>
      <c r="N10" s="19"/>
      <c r="O10" s="19"/>
      <c r="P10" s="20">
        <v>0.0</v>
      </c>
      <c r="Q10" s="18"/>
      <c r="R10" s="18"/>
      <c r="S10" s="35"/>
      <c r="T10" s="22"/>
    </row>
    <row r="11">
      <c r="A11" s="23" t="s">
        <v>90</v>
      </c>
      <c r="B11" s="11" t="s">
        <v>91</v>
      </c>
      <c r="C11" s="12">
        <v>45293.0</v>
      </c>
      <c r="D11" s="11" t="s">
        <v>92</v>
      </c>
      <c r="E11" s="13" t="s">
        <v>93</v>
      </c>
      <c r="F11" s="24" t="s">
        <v>94</v>
      </c>
      <c r="G11" s="24" t="s">
        <v>95</v>
      </c>
      <c r="H11" s="25" t="s">
        <v>48</v>
      </c>
      <c r="I11" s="25" t="str">
        <f>IFERROR(__xludf.DUMMYFUNCTION("GOOGLETRANSLATE(H11,""EN"",""ES"")"),"Finanzas")</f>
        <v>Finanzas</v>
      </c>
      <c r="J11" s="26" t="s">
        <v>35</v>
      </c>
      <c r="K11" s="27">
        <v>0.6</v>
      </c>
      <c r="L11" s="26" t="s">
        <v>96</v>
      </c>
      <c r="M11" s="28" t="s">
        <v>97</v>
      </c>
      <c r="N11" s="29" t="s">
        <v>98</v>
      </c>
      <c r="O11" s="29" t="str">
        <f>IFERROR(__xludf.DUMMYFUNCTION("GOOGLETRANSLATE(N11,""EN"",""ES"")"),"Ser reconocido como un actor clave en el mercado refuerza el posicionamiento competitivo de Repsol.")</f>
        <v>Ser reconocido como un actor clave en el mercado refuerza el posicionamiento competitivo de Repsol.</v>
      </c>
      <c r="P11" s="30">
        <v>0.9</v>
      </c>
      <c r="Q11" s="31" t="str">
        <f>IFERROR(__xludf.DUMMYFUNCTION("GOOGLETRANSLATE(R11,""ES"",""EN"")"),"main operators, electrical sector")</f>
        <v>main operators, electrical sector</v>
      </c>
      <c r="R11" s="28" t="s">
        <v>99</v>
      </c>
      <c r="S11" s="36" t="s">
        <v>100</v>
      </c>
      <c r="T11" s="32" t="s">
        <v>101</v>
      </c>
    </row>
    <row r="12">
      <c r="A12" s="33" t="s">
        <v>102</v>
      </c>
      <c r="B12" s="11" t="s">
        <v>103</v>
      </c>
      <c r="C12" s="12">
        <v>45293.0</v>
      </c>
      <c r="D12" s="11" t="s">
        <v>104</v>
      </c>
      <c r="E12" s="13" t="s">
        <v>105</v>
      </c>
      <c r="F12" s="14" t="s">
        <v>106</v>
      </c>
      <c r="G12" s="14" t="s">
        <v>107</v>
      </c>
      <c r="H12" s="15" t="s">
        <v>48</v>
      </c>
      <c r="I12" s="15" t="str">
        <f>IFERROR(__xludf.DUMMYFUNCTION("GOOGLETRANSLATE(H12,""EN"",""ES"")"),"Finanzas")</f>
        <v>Finanzas</v>
      </c>
      <c r="J12" s="16" t="s">
        <v>35</v>
      </c>
      <c r="K12" s="27">
        <v>0.6</v>
      </c>
      <c r="L12" s="16" t="s">
        <v>108</v>
      </c>
      <c r="M12" s="34" t="s">
        <v>109</v>
      </c>
      <c r="N12" s="19" t="s">
        <v>110</v>
      </c>
      <c r="O12" s="19" t="str">
        <f>IFERROR(__xludf.DUMMYFUNCTION("GOOGLETRANSLATE(N12,""EN"",""ES"")"),"El reconocimiento como gran operador refuerza la posición de Repsol en el mercado.")</f>
        <v>El reconocimiento como gran operador refuerza la posición de Repsol en el mercado.</v>
      </c>
      <c r="P12" s="30">
        <v>0.9</v>
      </c>
      <c r="Q12" s="18" t="str">
        <f>IFERROR(__xludf.DUMMYFUNCTION("GOOGLETRANSLATE(R12,""ES"",""EN"")"),"main operators, electrical sector")</f>
        <v>main operators, electrical sector</v>
      </c>
      <c r="R12" s="34" t="s">
        <v>99</v>
      </c>
      <c r="S12" s="35" t="s">
        <v>111</v>
      </c>
      <c r="T12" s="22" t="s">
        <v>112</v>
      </c>
    </row>
    <row r="13">
      <c r="A13" s="23" t="s">
        <v>113</v>
      </c>
      <c r="B13" s="11" t="s">
        <v>43</v>
      </c>
      <c r="C13" s="12">
        <v>45293.0</v>
      </c>
      <c r="D13" s="11" t="s">
        <v>114</v>
      </c>
      <c r="E13" s="13" t="s">
        <v>115</v>
      </c>
      <c r="F13" s="24" t="s">
        <v>116</v>
      </c>
      <c r="G13" s="24" t="s">
        <v>117</v>
      </c>
      <c r="H13" s="25" t="s">
        <v>48</v>
      </c>
      <c r="I13" s="25" t="str">
        <f>IFERROR(__xludf.DUMMYFUNCTION("GOOGLETRANSLATE(H13,""EN"",""ES"")"),"Finanzas")</f>
        <v>Finanzas</v>
      </c>
      <c r="J13" s="26" t="s">
        <v>35</v>
      </c>
      <c r="K13" s="27">
        <v>0.6</v>
      </c>
      <c r="L13" s="26" t="s">
        <v>118</v>
      </c>
      <c r="M13" s="28" t="s">
        <v>119</v>
      </c>
      <c r="N13" s="29" t="s">
        <v>120</v>
      </c>
      <c r="O13" s="29" t="str">
        <f>IFERROR(__xludf.DUMMYFUNCTION("GOOGLETRANSLATE(N13,""EN"",""ES"")"),"Estar entre los cinco primeros refuerza la credibilidad de Repsol como actor clave.")</f>
        <v>Estar entre los cinco primeros refuerza la credibilidad de Repsol como actor clave.</v>
      </c>
      <c r="P13" s="30">
        <v>0.9</v>
      </c>
      <c r="Q13" s="31" t="str">
        <f>IFERROR(__xludf.DUMMYFUNCTION("GOOGLETRANSLATE(R13,""ES"",""EN"")"),"top 5, main operators")</f>
        <v>top 5, main operators</v>
      </c>
      <c r="R13" s="28" t="s">
        <v>121</v>
      </c>
      <c r="S13" s="36" t="s">
        <v>122</v>
      </c>
      <c r="T13" s="32" t="s">
        <v>123</v>
      </c>
    </row>
    <row r="14">
      <c r="A14" s="33" t="s">
        <v>124</v>
      </c>
      <c r="B14" s="11" t="s">
        <v>125</v>
      </c>
      <c r="C14" s="12">
        <v>45293.0</v>
      </c>
      <c r="D14" s="11" t="s">
        <v>126</v>
      </c>
      <c r="E14" s="13" t="s">
        <v>127</v>
      </c>
      <c r="F14" s="14" t="s">
        <v>128</v>
      </c>
      <c r="G14" s="14" t="s">
        <v>129</v>
      </c>
      <c r="H14" s="15" t="s">
        <v>130</v>
      </c>
      <c r="I14" s="15" t="str">
        <f>IFERROR(__xludf.DUMMYFUNCTION("GOOGLETRANSLATE(H14,""EN"",""ES"")"),"Sostenibilidad")</f>
        <v>Sostenibilidad</v>
      </c>
      <c r="J14" s="16" t="s">
        <v>35</v>
      </c>
      <c r="K14" s="27">
        <v>0.6</v>
      </c>
      <c r="L14" s="16" t="s">
        <v>131</v>
      </c>
      <c r="M14" s="34" t="s">
        <v>132</v>
      </c>
      <c r="N14" s="19" t="s">
        <v>133</v>
      </c>
      <c r="O14" s="19" t="str">
        <f>IFERROR(__xludf.DUMMYFUNCTION("GOOGLETRANSLATE(N14,""EN"",""ES"")"),"Aportar energías renovables potencia la imagen de sostenibilidad de Repsol.")</f>
        <v>Aportar energías renovables potencia la imagen de sostenibilidad de Repsol.</v>
      </c>
      <c r="P14" s="30">
        <v>0.8</v>
      </c>
      <c r="Q14" s="18" t="str">
        <f>IFERROR(__xludf.DUMMYFUNCTION("GOOGLETRANSLATE(R14,""ES"",""EN"")"),"renewable fuel, biodiesel")</f>
        <v>renewable fuel, biodiesel</v>
      </c>
      <c r="R14" s="34" t="s">
        <v>134</v>
      </c>
      <c r="S14" s="35" t="s">
        <v>135</v>
      </c>
      <c r="T14" s="22" t="s">
        <v>136</v>
      </c>
    </row>
    <row r="15">
      <c r="A15" s="23" t="s">
        <v>137</v>
      </c>
      <c r="B15" s="11" t="s">
        <v>138</v>
      </c>
      <c r="C15" s="12">
        <v>45293.0</v>
      </c>
      <c r="D15" s="11" t="s">
        <v>139</v>
      </c>
      <c r="E15" s="13" t="s">
        <v>140</v>
      </c>
      <c r="F15" s="24" t="s">
        <v>141</v>
      </c>
      <c r="G15" s="24" t="s">
        <v>142</v>
      </c>
      <c r="H15" s="25" t="s">
        <v>55</v>
      </c>
      <c r="I15" s="25" t="str">
        <f>IFERROR(__xludf.DUMMYFUNCTION("GOOGLETRANSLATE(H15,""EN"",""ES"")"),"deportes de motor")</f>
        <v>deportes de motor</v>
      </c>
      <c r="J15" s="26" t="s">
        <v>27</v>
      </c>
      <c r="K15" s="17">
        <v>0.0</v>
      </c>
      <c r="L15" s="25"/>
      <c r="M15" s="31"/>
      <c r="N15" s="29"/>
      <c r="O15" s="29"/>
      <c r="P15" s="20">
        <v>0.0</v>
      </c>
      <c r="Q15" s="31"/>
      <c r="R15" s="31"/>
      <c r="S15" s="36"/>
      <c r="T15" s="32"/>
    </row>
    <row r="16">
      <c r="A16" s="33" t="s">
        <v>143</v>
      </c>
      <c r="B16" s="11" t="s">
        <v>85</v>
      </c>
      <c r="C16" s="12">
        <v>45293.0</v>
      </c>
      <c r="D16" s="11" t="s">
        <v>144</v>
      </c>
      <c r="E16" s="13" t="s">
        <v>145</v>
      </c>
      <c r="F16" s="14" t="s">
        <v>146</v>
      </c>
      <c r="G16" s="14" t="s">
        <v>147</v>
      </c>
      <c r="H16" s="15" t="s">
        <v>148</v>
      </c>
      <c r="I16" s="15" t="str">
        <f>IFERROR(__xludf.DUMMYFUNCTION("GOOGLETRANSLATE(H16,""EN"",""ES"")"),"Gastronomía")</f>
        <v>Gastronomía</v>
      </c>
      <c r="J16" s="16" t="s">
        <v>27</v>
      </c>
      <c r="K16" s="17">
        <v>0.0</v>
      </c>
      <c r="L16" s="15"/>
      <c r="M16" s="18"/>
      <c r="N16" s="19"/>
      <c r="O16" s="19"/>
      <c r="P16" s="20">
        <v>0.0</v>
      </c>
      <c r="Q16" s="18"/>
      <c r="R16" s="18"/>
      <c r="S16" s="35"/>
      <c r="T16" s="22"/>
    </row>
    <row r="17">
      <c r="A17" s="23" t="s">
        <v>149</v>
      </c>
      <c r="B17" s="11" t="s">
        <v>150</v>
      </c>
      <c r="C17" s="12">
        <v>45293.0</v>
      </c>
      <c r="D17" s="11" t="s">
        <v>151</v>
      </c>
      <c r="E17" s="13" t="s">
        <v>152</v>
      </c>
      <c r="F17" s="24" t="s">
        <v>153</v>
      </c>
      <c r="G17" s="24" t="s">
        <v>154</v>
      </c>
      <c r="H17" s="25" t="s">
        <v>155</v>
      </c>
      <c r="I17" s="25" t="str">
        <f>IFERROR(__xludf.DUMMYFUNCTION("GOOGLETRANSLATE(H17,""EN"",""ES"")"),"Marketing")</f>
        <v>Marketing</v>
      </c>
      <c r="J17" s="26" t="s">
        <v>27</v>
      </c>
      <c r="K17" s="17">
        <v>0.0</v>
      </c>
      <c r="L17" s="25"/>
      <c r="M17" s="31"/>
      <c r="N17" s="29"/>
      <c r="O17" s="29"/>
      <c r="P17" s="20">
        <v>0.0</v>
      </c>
      <c r="Q17" s="31"/>
      <c r="R17" s="31"/>
      <c r="S17" s="36"/>
      <c r="T17" s="32"/>
    </row>
    <row r="18">
      <c r="A18" s="33" t="s">
        <v>156</v>
      </c>
      <c r="B18" s="11" t="s">
        <v>85</v>
      </c>
      <c r="C18" s="12">
        <v>45293.0</v>
      </c>
      <c r="D18" s="11" t="s">
        <v>157</v>
      </c>
      <c r="E18" s="13" t="s">
        <v>158</v>
      </c>
      <c r="F18" s="14" t="s">
        <v>159</v>
      </c>
      <c r="G18" s="14" t="s">
        <v>160</v>
      </c>
      <c r="H18" s="15" t="s">
        <v>161</v>
      </c>
      <c r="I18" s="15" t="str">
        <f>IFERROR(__xludf.DUMMYFUNCTION("GOOGLETRANSLATE(H18,""EN"",""ES"")"),"Estrategia corporativa")</f>
        <v>Estrategia corporativa</v>
      </c>
      <c r="J18" s="16" t="s">
        <v>27</v>
      </c>
      <c r="K18" s="17">
        <v>0.0</v>
      </c>
      <c r="L18" s="15"/>
      <c r="M18" s="18"/>
      <c r="N18" s="19"/>
      <c r="O18" s="19"/>
      <c r="P18" s="20">
        <v>0.0</v>
      </c>
      <c r="Q18" s="18"/>
      <c r="R18" s="18"/>
      <c r="S18" s="35"/>
      <c r="T18" s="22"/>
    </row>
    <row r="19">
      <c r="A19" s="23" t="s">
        <v>162</v>
      </c>
      <c r="B19" s="11" t="s">
        <v>163</v>
      </c>
      <c r="C19" s="12">
        <v>45294.0</v>
      </c>
      <c r="D19" s="11" t="s">
        <v>164</v>
      </c>
      <c r="E19" s="13" t="s">
        <v>165</v>
      </c>
      <c r="F19" s="24" t="s">
        <v>166</v>
      </c>
      <c r="G19" s="24" t="s">
        <v>167</v>
      </c>
      <c r="H19" s="25" t="s">
        <v>130</v>
      </c>
      <c r="I19" s="25" t="str">
        <f>IFERROR(__xludf.DUMMYFUNCTION("GOOGLETRANSLATE(H19,""EN"",""ES"")"),"Sostenibilidad")</f>
        <v>Sostenibilidad</v>
      </c>
      <c r="J19" s="26" t="s">
        <v>35</v>
      </c>
      <c r="K19" s="27">
        <v>0.7</v>
      </c>
      <c r="L19" s="26" t="s">
        <v>168</v>
      </c>
      <c r="M19" s="28" t="s">
        <v>169</v>
      </c>
      <c r="N19" s="29" t="s">
        <v>170</v>
      </c>
      <c r="O19" s="29" t="str">
        <f>IFERROR(__xludf.DUMMYFUNCTION("GOOGLETRANSLATE(N19,""EN"",""ES"")"),"La expansión hacia las energías renovables en EE.UU. fortalece las iniciativas verdes de Repsol.")</f>
        <v>La expansión hacia las energías renovables en EE.UU. fortalece las iniciativas verdes de Repsol.</v>
      </c>
      <c r="P19" s="30">
        <v>0.9</v>
      </c>
      <c r="Q19" s="31" t="str">
        <f>IFERROR(__xludf.DUMMYFUNCTION("GOOGLETRANSLATE(R19,""ES"",""EN"")"),"renewable electricity, photovoltaics")</f>
        <v>renewable electricity, photovoltaics</v>
      </c>
      <c r="R19" s="28" t="s">
        <v>171</v>
      </c>
      <c r="S19" s="36" t="s">
        <v>172</v>
      </c>
      <c r="T19" s="32" t="s">
        <v>173</v>
      </c>
    </row>
    <row r="20">
      <c r="A20" s="33" t="s">
        <v>174</v>
      </c>
      <c r="B20" s="11" t="s">
        <v>175</v>
      </c>
      <c r="C20" s="12">
        <v>45294.0</v>
      </c>
      <c r="D20" s="11" t="s">
        <v>176</v>
      </c>
      <c r="E20" s="13" t="s">
        <v>177</v>
      </c>
      <c r="F20" s="14" t="s">
        <v>178</v>
      </c>
      <c r="G20" s="14" t="s">
        <v>179</v>
      </c>
      <c r="H20" s="15" t="s">
        <v>130</v>
      </c>
      <c r="I20" s="15" t="str">
        <f>IFERROR(__xludf.DUMMYFUNCTION("GOOGLETRANSLATE(H20,""EN"",""ES"")"),"Sostenibilidad")</f>
        <v>Sostenibilidad</v>
      </c>
      <c r="J20" s="16" t="s">
        <v>35</v>
      </c>
      <c r="K20" s="27">
        <v>0.7</v>
      </c>
      <c r="L20" s="16" t="s">
        <v>180</v>
      </c>
      <c r="M20" s="34" t="s">
        <v>181</v>
      </c>
      <c r="N20" s="19" t="s">
        <v>182</v>
      </c>
      <c r="O20" s="19" t="str">
        <f>IFERROR(__xludf.DUMMYFUNCTION("GOOGLETRANSLATE(N20,""EN"",""ES"")"),"El proyecto mejora la reputación global de Repsol en energías renovables.")</f>
        <v>El proyecto mejora la reputación global de Repsol en energías renovables.</v>
      </c>
      <c r="P20" s="30">
        <v>0.9</v>
      </c>
      <c r="Q20" s="18" t="str">
        <f>IFERROR(__xludf.DUMMYFUNCTION("GOOGLETRANSLATE(R20,""ES"",""EN"")"),"renewable project, Andalusia")</f>
        <v>renewable project, Andalusia</v>
      </c>
      <c r="R20" s="34" t="s">
        <v>183</v>
      </c>
      <c r="S20" s="35" t="s">
        <v>184</v>
      </c>
      <c r="T20" s="22" t="s">
        <v>185</v>
      </c>
    </row>
    <row r="21">
      <c r="A21" s="23" t="s">
        <v>186</v>
      </c>
      <c r="B21" s="11" t="s">
        <v>21</v>
      </c>
      <c r="C21" s="12">
        <v>45294.0</v>
      </c>
      <c r="D21" s="11" t="s">
        <v>187</v>
      </c>
      <c r="E21" s="13" t="s">
        <v>188</v>
      </c>
      <c r="F21" s="24" t="s">
        <v>189</v>
      </c>
      <c r="G21" s="24" t="s">
        <v>190</v>
      </c>
      <c r="H21" s="25" t="s">
        <v>148</v>
      </c>
      <c r="I21" s="25" t="str">
        <f>IFERROR(__xludf.DUMMYFUNCTION("GOOGLETRANSLATE(H21,""EN"",""ES"")"),"Gastronomía")</f>
        <v>Gastronomía</v>
      </c>
      <c r="J21" s="26" t="s">
        <v>27</v>
      </c>
      <c r="K21" s="17">
        <v>0.0</v>
      </c>
      <c r="L21" s="25"/>
      <c r="M21" s="31"/>
      <c r="N21" s="29"/>
      <c r="O21" s="29"/>
      <c r="P21" s="20">
        <v>0.0</v>
      </c>
      <c r="Q21" s="31"/>
      <c r="R21" s="31"/>
      <c r="S21" s="36"/>
      <c r="T21" s="32"/>
    </row>
    <row r="22">
      <c r="A22" s="33" t="s">
        <v>191</v>
      </c>
      <c r="B22" s="11" t="s">
        <v>192</v>
      </c>
      <c r="C22" s="12">
        <v>45294.0</v>
      </c>
      <c r="D22" s="11" t="s">
        <v>193</v>
      </c>
      <c r="E22" s="13" t="s">
        <v>194</v>
      </c>
      <c r="F22" s="14" t="s">
        <v>195</v>
      </c>
      <c r="G22" s="14" t="s">
        <v>196</v>
      </c>
      <c r="H22" s="15" t="s">
        <v>62</v>
      </c>
      <c r="I22" s="15" t="str">
        <f>IFERROR(__xludf.DUMMYFUNCTION("GOOGLETRANSLATE(H22,""EN"",""ES"")"),"Energía")</f>
        <v>Energía</v>
      </c>
      <c r="J22" s="16" t="s">
        <v>35</v>
      </c>
      <c r="K22" s="27">
        <v>0.0</v>
      </c>
      <c r="L22" s="15"/>
      <c r="M22" s="18"/>
      <c r="N22" s="19" t="s">
        <v>197</v>
      </c>
      <c r="O22" s="19" t="str">
        <f>IFERROR(__xludf.DUMMYFUNCTION("GOOGLETRANSLATE(N22,""EN"",""ES"")"),"El artículo no impacta directamente en la posición ni en la reputación de Repsol.")</f>
        <v>El artículo no impacta directamente en la posición ni en la reputación de Repsol.</v>
      </c>
      <c r="P22" s="30">
        <v>-0.5</v>
      </c>
      <c r="Q22" s="18" t="str">
        <f>IFERROR(__xludf.DUMMYFUNCTION("GOOGLETRANSLATE(R22,""ES"",""EN"")"),"dominant operators, gas")</f>
        <v>dominant operators, gas</v>
      </c>
      <c r="R22" s="34" t="s">
        <v>198</v>
      </c>
      <c r="S22" s="35" t="s">
        <v>199</v>
      </c>
      <c r="T22" s="22" t="s">
        <v>200</v>
      </c>
    </row>
    <row r="23">
      <c r="A23" s="23" t="s">
        <v>201</v>
      </c>
      <c r="B23" s="11" t="s">
        <v>163</v>
      </c>
      <c r="C23" s="12">
        <v>45294.0</v>
      </c>
      <c r="D23" s="11" t="s">
        <v>202</v>
      </c>
      <c r="E23" s="13" t="s">
        <v>203</v>
      </c>
      <c r="F23" s="24" t="s">
        <v>204</v>
      </c>
      <c r="G23" s="24" t="s">
        <v>205</v>
      </c>
      <c r="H23" s="25" t="s">
        <v>55</v>
      </c>
      <c r="I23" s="25" t="str">
        <f>IFERROR(__xludf.DUMMYFUNCTION("GOOGLETRANSLATE(H23,""EN"",""ES"")"),"deportes de motor")</f>
        <v>deportes de motor</v>
      </c>
      <c r="J23" s="26" t="s">
        <v>27</v>
      </c>
      <c r="K23" s="17">
        <v>0.0</v>
      </c>
      <c r="L23" s="25"/>
      <c r="M23" s="31"/>
      <c r="N23" s="29"/>
      <c r="O23" s="29"/>
      <c r="P23" s="20">
        <v>0.0</v>
      </c>
      <c r="Q23" s="31"/>
      <c r="R23" s="31"/>
      <c r="S23" s="36"/>
      <c r="T23" s="32"/>
    </row>
    <row r="24">
      <c r="A24" s="33" t="s">
        <v>206</v>
      </c>
      <c r="B24" s="11" t="s">
        <v>207</v>
      </c>
      <c r="C24" s="12">
        <v>45294.0</v>
      </c>
      <c r="D24" s="11" t="s">
        <v>208</v>
      </c>
      <c r="E24" s="13" t="s">
        <v>209</v>
      </c>
      <c r="F24" s="14" t="s">
        <v>210</v>
      </c>
      <c r="G24" s="14" t="s">
        <v>211</v>
      </c>
      <c r="H24" s="15" t="s">
        <v>62</v>
      </c>
      <c r="I24" s="15" t="str">
        <f>IFERROR(__xludf.DUMMYFUNCTION("GOOGLETRANSLATE(H24,""EN"",""ES"")"),"Energía")</f>
        <v>Energía</v>
      </c>
      <c r="J24" s="16" t="s">
        <v>35</v>
      </c>
      <c r="K24" s="27">
        <v>0.0</v>
      </c>
      <c r="L24" s="15"/>
      <c r="M24" s="18"/>
      <c r="N24" s="19" t="s">
        <v>212</v>
      </c>
      <c r="O24" s="19" t="str">
        <f>IFERROR(__xludf.DUMMYFUNCTION("GOOGLETRANSLATE(N24,""EN"",""ES"")"),"No se menciona a Repsol como líder del mercado, pero esto no afecta a su imagen.")</f>
        <v>No se menciona a Repsol como líder del mercado, pero esto no afecta a su imagen.</v>
      </c>
      <c r="P24" s="30">
        <v>-0.4</v>
      </c>
      <c r="Q24" s="18" t="str">
        <f>IFERROR(__xludf.DUMMYFUNCTION("GOOGLETRANSLATE(R24,""ES"",""EN"")"),"oligopoly, dominant operators")</f>
        <v>oligopoly, dominant operators</v>
      </c>
      <c r="R24" s="34" t="s">
        <v>213</v>
      </c>
      <c r="S24" s="35" t="s">
        <v>214</v>
      </c>
      <c r="T24" s="22" t="s">
        <v>215</v>
      </c>
    </row>
    <row r="25">
      <c r="A25" s="23" t="s">
        <v>216</v>
      </c>
      <c r="B25" s="11" t="s">
        <v>217</v>
      </c>
      <c r="C25" s="12">
        <v>45294.0</v>
      </c>
      <c r="D25" s="11" t="s">
        <v>218</v>
      </c>
      <c r="E25" s="13" t="s">
        <v>219</v>
      </c>
      <c r="F25" s="24" t="s">
        <v>220</v>
      </c>
      <c r="G25" s="24" t="s">
        <v>221</v>
      </c>
      <c r="H25" s="25" t="s">
        <v>48</v>
      </c>
      <c r="I25" s="25" t="str">
        <f>IFERROR(__xludf.DUMMYFUNCTION("GOOGLETRANSLATE(H25,""EN"",""ES"")"),"Finanzas")</f>
        <v>Finanzas</v>
      </c>
      <c r="J25" s="26" t="s">
        <v>35</v>
      </c>
      <c r="K25" s="27">
        <v>-0.6</v>
      </c>
      <c r="L25" s="26" t="s">
        <v>222</v>
      </c>
      <c r="M25" s="28" t="s">
        <v>223</v>
      </c>
      <c r="N25" s="29" t="s">
        <v>224</v>
      </c>
      <c r="O25" s="29" t="str">
        <f>IFERROR(__xludf.DUMMYFUNCTION("GOOGLETRANSLATE(N25,""EN"",""ES"")"),"Los cambios de política que afecten negativamente a las empresas energéticas pueden afectar a la rentabilidad de Repsol.")</f>
        <v>Los cambios de política que afecten negativamente a las empresas energéticas pueden afectar a la rentabilidad de Repsol.</v>
      </c>
      <c r="P25" s="30">
        <v>-0.6</v>
      </c>
      <c r="Q25" s="31" t="str">
        <f>IFERROR(__xludf.DUMMYFUNCTION("GOOGLETRANSLATE(R25,""ES"",""EN"")"),"coup, doubles cost, Efficiency Fund")</f>
        <v>coup, doubles cost, Efficiency Fund</v>
      </c>
      <c r="R25" s="28" t="s">
        <v>225</v>
      </c>
      <c r="S25" s="36" t="s">
        <v>226</v>
      </c>
      <c r="T25" s="32" t="s">
        <v>227</v>
      </c>
    </row>
    <row r="26">
      <c r="A26" s="33" t="s">
        <v>228</v>
      </c>
      <c r="B26" s="11" t="s">
        <v>229</v>
      </c>
      <c r="C26" s="12">
        <v>45294.0</v>
      </c>
      <c r="D26" s="11" t="s">
        <v>230</v>
      </c>
      <c r="E26" s="13" t="s">
        <v>231</v>
      </c>
      <c r="F26" s="14" t="s">
        <v>232</v>
      </c>
      <c r="G26" s="14" t="s">
        <v>233</v>
      </c>
      <c r="H26" s="15" t="s">
        <v>62</v>
      </c>
      <c r="I26" s="15" t="str">
        <f>IFERROR(__xludf.DUMMYFUNCTION("GOOGLETRANSLATE(H26,""EN"",""ES"")"),"Energía")</f>
        <v>Energía</v>
      </c>
      <c r="J26" s="16" t="s">
        <v>35</v>
      </c>
      <c r="K26" s="27">
        <v>0.0</v>
      </c>
      <c r="L26" s="15"/>
      <c r="M26" s="18"/>
      <c r="N26" s="19" t="s">
        <v>234</v>
      </c>
      <c r="O26" s="19" t="str">
        <f>IFERROR(__xludf.DUMMYFUNCTION("GOOGLETRANSLATE(N26,""EN"",""ES"")"),"El artículo no afecta específicamente a la reputación de Repsol.")</f>
        <v>El artículo no afecta específicamente a la reputación de Repsol.</v>
      </c>
      <c r="P26" s="30">
        <v>-0.3</v>
      </c>
      <c r="Q26" s="18" t="str">
        <f>IFERROR(__xludf.DUMMYFUNCTION("GOOGLETRANSLATE(R26,""ES"",""EN"")"),"cheaper gasoline, competitive")</f>
        <v>cheaper gasoline, competitive</v>
      </c>
      <c r="R26" s="34" t="s">
        <v>235</v>
      </c>
      <c r="S26" s="35" t="s">
        <v>236</v>
      </c>
      <c r="T26" s="22" t="s">
        <v>237</v>
      </c>
    </row>
    <row r="27">
      <c r="A27" s="23" t="s">
        <v>238</v>
      </c>
      <c r="B27" s="11" t="s">
        <v>239</v>
      </c>
      <c r="C27" s="12">
        <v>45294.0</v>
      </c>
      <c r="D27" s="11" t="s">
        <v>240</v>
      </c>
      <c r="E27" s="13" t="s">
        <v>241</v>
      </c>
      <c r="F27" s="24" t="s">
        <v>242</v>
      </c>
      <c r="G27" s="24" t="s">
        <v>243</v>
      </c>
      <c r="H27" s="25" t="s">
        <v>55</v>
      </c>
      <c r="I27" s="25" t="str">
        <f>IFERROR(__xludf.DUMMYFUNCTION("GOOGLETRANSLATE(H27,""EN"",""ES"")"),"deportes de motor")</f>
        <v>deportes de motor</v>
      </c>
      <c r="J27" s="26" t="s">
        <v>27</v>
      </c>
      <c r="K27" s="17">
        <v>0.0</v>
      </c>
      <c r="L27" s="25"/>
      <c r="M27" s="31"/>
      <c r="N27" s="29"/>
      <c r="O27" s="29"/>
      <c r="P27" s="20">
        <v>0.0</v>
      </c>
      <c r="Q27" s="31"/>
      <c r="R27" s="31"/>
      <c r="S27" s="36"/>
      <c r="T27" s="32"/>
    </row>
    <row r="28">
      <c r="A28" s="33" t="s">
        <v>244</v>
      </c>
      <c r="B28" s="11" t="s">
        <v>175</v>
      </c>
      <c r="C28" s="12">
        <v>45294.0</v>
      </c>
      <c r="D28" s="11" t="s">
        <v>245</v>
      </c>
      <c r="E28" s="13" t="s">
        <v>246</v>
      </c>
      <c r="F28" s="14" t="s">
        <v>247</v>
      </c>
      <c r="G28" s="14" t="s">
        <v>248</v>
      </c>
      <c r="H28" s="15" t="s">
        <v>48</v>
      </c>
      <c r="I28" s="15" t="str">
        <f>IFERROR(__xludf.DUMMYFUNCTION("GOOGLETRANSLATE(H28,""EN"",""ES"")"),"Finanzas")</f>
        <v>Finanzas</v>
      </c>
      <c r="J28" s="16" t="s">
        <v>35</v>
      </c>
      <c r="K28" s="27">
        <v>-0.6</v>
      </c>
      <c r="L28" s="16" t="s">
        <v>249</v>
      </c>
      <c r="M28" s="34" t="s">
        <v>250</v>
      </c>
      <c r="N28" s="19" t="s">
        <v>251</v>
      </c>
      <c r="O28" s="19" t="str">
        <f>IFERROR(__xludf.DUMMYFUNCTION("GOOGLETRANSLATE(N28,""EN"",""ES"")"),"Perder su condición de operador dominante puede debilitar la percepción de Repsol en el mercado.")</f>
        <v>Perder su condición de operador dominante puede debilitar la percepción de Repsol en el mercado.</v>
      </c>
      <c r="P28" s="30">
        <v>-0.5</v>
      </c>
      <c r="Q28" s="18" t="str">
        <f>IFERROR(__xludf.DUMMYFUNCTION("GOOGLETRANSLATE(R28,""ES"",""EN"")"),"dominant operators, abandon")</f>
        <v>dominant operators, abandon</v>
      </c>
      <c r="R28" s="34" t="s">
        <v>252</v>
      </c>
      <c r="S28" s="35" t="s">
        <v>199</v>
      </c>
      <c r="T28" s="22" t="s">
        <v>200</v>
      </c>
    </row>
    <row r="29">
      <c r="A29" s="37" t="s">
        <v>253</v>
      </c>
      <c r="B29" s="11" t="s">
        <v>254</v>
      </c>
      <c r="C29" s="12">
        <v>45294.0</v>
      </c>
      <c r="D29" s="11" t="s">
        <v>255</v>
      </c>
      <c r="E29" s="13" t="s">
        <v>256</v>
      </c>
      <c r="F29" s="24" t="s">
        <v>257</v>
      </c>
      <c r="G29" s="24" t="s">
        <v>258</v>
      </c>
      <c r="H29" s="25" t="s">
        <v>130</v>
      </c>
      <c r="I29" s="25" t="str">
        <f>IFERROR(__xludf.DUMMYFUNCTION("GOOGLETRANSLATE(H29,""EN"",""ES"")"),"Sostenibilidad")</f>
        <v>Sostenibilidad</v>
      </c>
      <c r="J29" s="26" t="s">
        <v>27</v>
      </c>
      <c r="K29" s="17">
        <v>0.0</v>
      </c>
      <c r="L29" s="25"/>
      <c r="M29" s="31"/>
      <c r="N29" s="29"/>
      <c r="O29" s="29"/>
      <c r="P29" s="20">
        <v>0.0</v>
      </c>
      <c r="Q29" s="31"/>
      <c r="R29" s="31"/>
      <c r="S29" s="36"/>
      <c r="T29" s="32"/>
    </row>
    <row r="30">
      <c r="A30" s="33" t="s">
        <v>259</v>
      </c>
      <c r="B30" s="11" t="s">
        <v>260</v>
      </c>
      <c r="C30" s="12">
        <v>45295.0</v>
      </c>
      <c r="D30" s="11" t="s">
        <v>261</v>
      </c>
      <c r="E30" s="13" t="s">
        <v>262</v>
      </c>
      <c r="F30" s="14" t="s">
        <v>263</v>
      </c>
      <c r="G30" s="14" t="s">
        <v>264</v>
      </c>
      <c r="H30" s="15" t="s">
        <v>48</v>
      </c>
      <c r="I30" s="15" t="str">
        <f>IFERROR(__xludf.DUMMYFUNCTION("GOOGLETRANSLATE(H30,""EN"",""ES"")"),"Finanzas")</f>
        <v>Finanzas</v>
      </c>
      <c r="J30" s="16" t="s">
        <v>35</v>
      </c>
      <c r="K30" s="27">
        <v>0.6</v>
      </c>
      <c r="L30" s="16" t="s">
        <v>265</v>
      </c>
      <c r="M30" s="34" t="s">
        <v>266</v>
      </c>
      <c r="N30" s="19" t="s">
        <v>267</v>
      </c>
      <c r="O30" s="19" t="str">
        <f>IFERROR(__xludf.DUMMYFUNCTION("GOOGLETRANSLATE(N30,""EN"",""ES"")"),"Ser reconocida entre las firmas energéticas más poderosas refuerza la posición de Repsol.")</f>
        <v>Ser reconocida entre las firmas energéticas más poderosas refuerza la posición de Repsol.</v>
      </c>
      <c r="P30" s="30">
        <v>-0.6</v>
      </c>
      <c r="Q30" s="18" t="str">
        <f>IFERROR(__xludf.DUMMYFUNCTION("GOOGLETRANSLATE(R30,""ES"",""EN"")"),"forced, double savings")</f>
        <v>forced, double savings</v>
      </c>
      <c r="R30" s="34" t="s">
        <v>268</v>
      </c>
      <c r="S30" s="35" t="s">
        <v>269</v>
      </c>
      <c r="T30" s="22" t="s">
        <v>270</v>
      </c>
    </row>
    <row r="31">
      <c r="A31" s="23" t="s">
        <v>271</v>
      </c>
      <c r="B31" s="11" t="s">
        <v>272</v>
      </c>
      <c r="C31" s="12">
        <v>45295.0</v>
      </c>
      <c r="D31" s="11" t="s">
        <v>273</v>
      </c>
      <c r="E31" s="13" t="s">
        <v>274</v>
      </c>
      <c r="F31" s="24" t="s">
        <v>275</v>
      </c>
      <c r="G31" s="24" t="s">
        <v>276</v>
      </c>
      <c r="H31" s="25" t="s">
        <v>130</v>
      </c>
      <c r="I31" s="25" t="str">
        <f>IFERROR(__xludf.DUMMYFUNCTION("GOOGLETRANSLATE(H31,""EN"",""ES"")"),"Sostenibilidad")</f>
        <v>Sostenibilidad</v>
      </c>
      <c r="J31" s="26" t="s">
        <v>35</v>
      </c>
      <c r="K31" s="27">
        <v>0.7</v>
      </c>
      <c r="L31" s="26" t="s">
        <v>277</v>
      </c>
      <c r="M31" s="28" t="s">
        <v>278</v>
      </c>
      <c r="N31" s="29" t="s">
        <v>279</v>
      </c>
      <c r="O31" s="29" t="str">
        <f>IFERROR(__xludf.DUMMYFUNCTION("GOOGLETRANSLATE(N31,""EN"",""ES"")"),"Apoyar eventos públicos con biocombustibles mejora la reputación energética verde de Repsol.")</f>
        <v>Apoyar eventos públicos con biocombustibles mejora la reputación energética verde de Repsol.</v>
      </c>
      <c r="P31" s="30">
        <v>0.8</v>
      </c>
      <c r="Q31" s="31" t="str">
        <f>IFERROR(__xludf.DUMMYFUNCTION("GOOGLETRANSLATE(R31,""ES"",""EN"")"),"biofuel, sustainable fuel")</f>
        <v>biofuel, sustainable fuel</v>
      </c>
      <c r="R31" s="28" t="s">
        <v>280</v>
      </c>
      <c r="S31" s="36" t="s">
        <v>281</v>
      </c>
      <c r="T31" s="32" t="s">
        <v>282</v>
      </c>
    </row>
    <row r="32">
      <c r="A32" s="33" t="s">
        <v>283</v>
      </c>
      <c r="B32" s="11" t="s">
        <v>284</v>
      </c>
      <c r="C32" s="12">
        <v>45295.0</v>
      </c>
      <c r="D32" s="11" t="s">
        <v>285</v>
      </c>
      <c r="E32" s="13" t="s">
        <v>286</v>
      </c>
      <c r="F32" s="14" t="s">
        <v>287</v>
      </c>
      <c r="G32" s="14" t="s">
        <v>288</v>
      </c>
      <c r="H32" s="15" t="s">
        <v>130</v>
      </c>
      <c r="I32" s="15" t="str">
        <f>IFERROR(__xludf.DUMMYFUNCTION("GOOGLETRANSLATE(H32,""EN"",""ES"")"),"Sostenibilidad")</f>
        <v>Sostenibilidad</v>
      </c>
      <c r="J32" s="16" t="s">
        <v>35</v>
      </c>
      <c r="K32" s="27">
        <v>0.7</v>
      </c>
      <c r="L32" s="16" t="s">
        <v>289</v>
      </c>
      <c r="M32" s="34" t="s">
        <v>290</v>
      </c>
      <c r="N32" s="19" t="s">
        <v>291</v>
      </c>
      <c r="O32" s="19" t="str">
        <f>IFERROR(__xludf.DUMMYFUNCTION("GOOGLETRANSLATE(N32,""EN"",""ES"")"),"La asociación con Toyota para los combustibles renovables fortalece la reputación de Repsol en materia de energía verde.")</f>
        <v>La asociación con Toyota para los combustibles renovables fortalece la reputación de Repsol en materia de energía verde.</v>
      </c>
      <c r="P32" s="30">
        <v>0.8</v>
      </c>
      <c r="Q32" s="18" t="str">
        <f>IFERROR(__xludf.DUMMYFUNCTION("GOOGLETRANSLATE(R32,""ES"",""EN"")"),"renewable fuel, Dakar Rally")</f>
        <v>renewable fuel, Dakar Rally</v>
      </c>
      <c r="R32" s="34" t="s">
        <v>292</v>
      </c>
      <c r="S32" s="35" t="s">
        <v>293</v>
      </c>
      <c r="T32" s="22" t="s">
        <v>294</v>
      </c>
    </row>
    <row r="33">
      <c r="A33" s="23" t="s">
        <v>295</v>
      </c>
      <c r="B33" s="11" t="s">
        <v>21</v>
      </c>
      <c r="C33" s="12">
        <v>45295.0</v>
      </c>
      <c r="D33" s="11" t="s">
        <v>296</v>
      </c>
      <c r="E33" s="13" t="s">
        <v>297</v>
      </c>
      <c r="F33" s="24" t="s">
        <v>298</v>
      </c>
      <c r="G33" s="24" t="s">
        <v>299</v>
      </c>
      <c r="H33" s="25" t="s">
        <v>26</v>
      </c>
      <c r="I33" s="25" t="str">
        <f>IFERROR(__xludf.DUMMYFUNCTION("GOOGLETRANSLATE(H33,""EN"",""ES"")"),"Otro")</f>
        <v>Otro</v>
      </c>
      <c r="J33" s="26" t="s">
        <v>27</v>
      </c>
      <c r="K33" s="17">
        <v>0.0</v>
      </c>
      <c r="L33" s="25"/>
      <c r="M33" s="31"/>
      <c r="N33" s="29"/>
      <c r="O33" s="29"/>
      <c r="P33" s="20">
        <v>0.0</v>
      </c>
      <c r="Q33" s="31"/>
      <c r="R33" s="31"/>
      <c r="S33" s="36"/>
      <c r="T33" s="32"/>
    </row>
    <row r="34">
      <c r="A34" s="33" t="s">
        <v>300</v>
      </c>
      <c r="B34" s="11" t="s">
        <v>50</v>
      </c>
      <c r="C34" s="12">
        <v>45295.0</v>
      </c>
      <c r="D34" s="11" t="s">
        <v>301</v>
      </c>
      <c r="E34" s="13" t="s">
        <v>302</v>
      </c>
      <c r="F34" s="14" t="s">
        <v>303</v>
      </c>
      <c r="G34" s="14" t="s">
        <v>304</v>
      </c>
      <c r="H34" s="15" t="s">
        <v>55</v>
      </c>
      <c r="I34" s="15" t="str">
        <f>IFERROR(__xludf.DUMMYFUNCTION("GOOGLETRANSLATE(H34,""EN"",""ES"")"),"deportes de motor")</f>
        <v>deportes de motor</v>
      </c>
      <c r="J34" s="16" t="s">
        <v>27</v>
      </c>
      <c r="K34" s="17">
        <v>0.0</v>
      </c>
      <c r="L34" s="15"/>
      <c r="M34" s="18"/>
      <c r="N34" s="19"/>
      <c r="O34" s="19"/>
      <c r="P34" s="20">
        <v>0.0</v>
      </c>
      <c r="Q34" s="18"/>
      <c r="R34" s="18"/>
      <c r="S34" s="35"/>
      <c r="T34" s="22"/>
    </row>
    <row r="35">
      <c r="A35" s="23" t="s">
        <v>305</v>
      </c>
      <c r="B35" s="11" t="s">
        <v>163</v>
      </c>
      <c r="C35" s="12">
        <v>45295.0</v>
      </c>
      <c r="D35" s="11" t="s">
        <v>306</v>
      </c>
      <c r="E35" s="13" t="s">
        <v>307</v>
      </c>
      <c r="F35" s="24" t="s">
        <v>308</v>
      </c>
      <c r="G35" s="24" t="s">
        <v>309</v>
      </c>
      <c r="H35" s="25" t="s">
        <v>26</v>
      </c>
      <c r="I35" s="25" t="str">
        <f>IFERROR(__xludf.DUMMYFUNCTION("GOOGLETRANSLATE(H35,""EN"",""ES"")"),"Otro")</f>
        <v>Otro</v>
      </c>
      <c r="J35" s="26" t="s">
        <v>27</v>
      </c>
      <c r="K35" s="17">
        <v>0.0</v>
      </c>
      <c r="L35" s="25"/>
      <c r="M35" s="31"/>
      <c r="N35" s="29"/>
      <c r="O35" s="29"/>
      <c r="P35" s="20">
        <v>0.0</v>
      </c>
      <c r="Q35" s="31"/>
      <c r="R35" s="31"/>
      <c r="S35" s="36"/>
      <c r="T35" s="32"/>
    </row>
    <row r="36">
      <c r="A36" s="33" t="s">
        <v>310</v>
      </c>
      <c r="B36" s="11" t="s">
        <v>21</v>
      </c>
      <c r="C36" s="12">
        <v>45295.0</v>
      </c>
      <c r="D36" s="11" t="s">
        <v>311</v>
      </c>
      <c r="E36" s="13" t="s">
        <v>312</v>
      </c>
      <c r="F36" s="14" t="s">
        <v>313</v>
      </c>
      <c r="G36" s="14" t="s">
        <v>314</v>
      </c>
      <c r="H36" s="15" t="s">
        <v>26</v>
      </c>
      <c r="I36" s="15" t="str">
        <f>IFERROR(__xludf.DUMMYFUNCTION("GOOGLETRANSLATE(H36,""EN"",""ES"")"),"Otro")</f>
        <v>Otro</v>
      </c>
      <c r="J36" s="16" t="s">
        <v>27</v>
      </c>
      <c r="K36" s="17">
        <v>0.0</v>
      </c>
      <c r="L36" s="15"/>
      <c r="M36" s="18"/>
      <c r="N36" s="19"/>
      <c r="O36" s="19"/>
      <c r="P36" s="20">
        <v>0.0</v>
      </c>
      <c r="Q36" s="18"/>
      <c r="R36" s="18"/>
      <c r="S36" s="35"/>
      <c r="T36" s="22"/>
    </row>
    <row r="37">
      <c r="A37" s="23" t="s">
        <v>315</v>
      </c>
      <c r="B37" s="11" t="s">
        <v>316</v>
      </c>
      <c r="C37" s="12">
        <v>45295.0</v>
      </c>
      <c r="D37" s="11" t="s">
        <v>317</v>
      </c>
      <c r="E37" s="13" t="s">
        <v>318</v>
      </c>
      <c r="F37" s="24" t="s">
        <v>319</v>
      </c>
      <c r="G37" s="24" t="s">
        <v>320</v>
      </c>
      <c r="H37" s="25" t="s">
        <v>130</v>
      </c>
      <c r="I37" s="25" t="str">
        <f>IFERROR(__xludf.DUMMYFUNCTION("GOOGLETRANSLATE(H37,""EN"",""ES"")"),"Sostenibilidad")</f>
        <v>Sostenibilidad</v>
      </c>
      <c r="J37" s="26" t="s">
        <v>35</v>
      </c>
      <c r="K37" s="27">
        <v>0.7</v>
      </c>
      <c r="L37" s="26" t="s">
        <v>321</v>
      </c>
      <c r="M37" s="28" t="s">
        <v>322</v>
      </c>
      <c r="N37" s="29" t="s">
        <v>323</v>
      </c>
      <c r="O37" s="29" t="str">
        <f>IFERROR(__xludf.DUMMYFUNCTION("GOOGLETRANSLATE(N37,""EN"",""ES"")"),"El apoyo a proyectos de potabilización de agua mejora la imagen de responsabilidad social corporativa de Repsol.")</f>
        <v>El apoyo a proyectos de potabilización de agua mejora la imagen de responsabilidad social corporativa de Repsol.</v>
      </c>
      <c r="P37" s="30">
        <v>0.7</v>
      </c>
      <c r="Q37" s="31" t="str">
        <f>IFERROR(__xludf.DUMMYFUNCTION("GOOGLETRANSLATE(R37,""ES"",""EN"")"),"sow, Red Mangrove")</f>
        <v>sow, Red Mangrove</v>
      </c>
      <c r="R37" s="28" t="s">
        <v>324</v>
      </c>
      <c r="S37" s="36" t="s">
        <v>325</v>
      </c>
      <c r="T37" s="32" t="s">
        <v>326</v>
      </c>
    </row>
    <row r="38">
      <c r="A38" s="33" t="s">
        <v>327</v>
      </c>
      <c r="B38" s="11" t="s">
        <v>217</v>
      </c>
      <c r="C38" s="12">
        <v>45296.0</v>
      </c>
      <c r="D38" s="11" t="s">
        <v>328</v>
      </c>
      <c r="E38" s="13" t="s">
        <v>329</v>
      </c>
      <c r="F38" s="14" t="s">
        <v>330</v>
      </c>
      <c r="G38" s="14" t="s">
        <v>331</v>
      </c>
      <c r="H38" s="15" t="s">
        <v>48</v>
      </c>
      <c r="I38" s="15" t="str">
        <f>IFERROR(__xludf.DUMMYFUNCTION("GOOGLETRANSLATE(H38,""EN"",""ES"")"),"Finanzas")</f>
        <v>Finanzas</v>
      </c>
      <c r="J38" s="16" t="s">
        <v>35</v>
      </c>
      <c r="K38" s="27">
        <v>0.6</v>
      </c>
      <c r="L38" s="16" t="s">
        <v>332</v>
      </c>
      <c r="M38" s="34" t="s">
        <v>333</v>
      </c>
      <c r="N38" s="19" t="s">
        <v>334</v>
      </c>
      <c r="O38" s="19" t="str">
        <f>IFERROR(__xludf.DUMMYFUNCTION("GOOGLETRANSLATE(N38,""EN"",""ES"")"),"La expansión al mercado estadounidense refuerza la estrategia de crecimiento empresarial de Repsol.")</f>
        <v>La expansión al mercado estadounidense refuerza la estrategia de crecimiento empresarial de Repsol.</v>
      </c>
      <c r="P38" s="30">
        <v>-0.4</v>
      </c>
      <c r="Q38" s="18" t="str">
        <f>IFERROR(__xludf.DUMMYFUNCTION("GOOGLETRANSLATE(R38,""ES"",""EN"")"),"complaint, fail to comply")</f>
        <v>complaint, fail to comply</v>
      </c>
      <c r="R38" s="34" t="s">
        <v>335</v>
      </c>
      <c r="S38" s="35" t="s">
        <v>336</v>
      </c>
      <c r="T38" s="22" t="s">
        <v>337</v>
      </c>
    </row>
    <row r="39">
      <c r="A39" s="23" t="s">
        <v>338</v>
      </c>
      <c r="B39" s="11" t="s">
        <v>339</v>
      </c>
      <c r="C39" s="12">
        <v>45296.0</v>
      </c>
      <c r="D39" s="11" t="s">
        <v>340</v>
      </c>
      <c r="E39" s="13" t="s">
        <v>341</v>
      </c>
      <c r="F39" s="24" t="s">
        <v>342</v>
      </c>
      <c r="G39" s="24" t="s">
        <v>343</v>
      </c>
      <c r="H39" s="25" t="s">
        <v>130</v>
      </c>
      <c r="I39" s="25" t="str">
        <f>IFERROR(__xludf.DUMMYFUNCTION("GOOGLETRANSLATE(H39,""EN"",""ES"")"),"Sostenibilidad")</f>
        <v>Sostenibilidad</v>
      </c>
      <c r="J39" s="26" t="s">
        <v>35</v>
      </c>
      <c r="K39" s="27">
        <v>0.7</v>
      </c>
      <c r="L39" s="26" t="s">
        <v>344</v>
      </c>
      <c r="M39" s="28" t="s">
        <v>345</v>
      </c>
      <c r="N39" s="29" t="s">
        <v>346</v>
      </c>
      <c r="O39" s="29" t="str">
        <f>IFERROR(__xludf.DUMMYFUNCTION("GOOGLETRANSLATE(N39,""EN"",""ES"")"),"Aportar combustibles renovables en eventos de alto perfil potencia el liderazgo en sostenibilidad de Repsol.")</f>
        <v>Aportar combustibles renovables en eventos de alto perfil potencia el liderazgo en sostenibilidad de Repsol.</v>
      </c>
      <c r="P39" s="30">
        <v>0.8</v>
      </c>
      <c r="Q39" s="31" t="str">
        <f>IFERROR(__xludf.DUMMYFUNCTION("GOOGLETRANSLATE(R39,""ES"",""EN"")"),"renewable fuels, Dakar Rally")</f>
        <v>renewable fuels, Dakar Rally</v>
      </c>
      <c r="R39" s="28" t="s">
        <v>345</v>
      </c>
      <c r="S39" s="36" t="s">
        <v>293</v>
      </c>
      <c r="T39" s="32" t="s">
        <v>294</v>
      </c>
    </row>
    <row r="40">
      <c r="A40" s="33" t="s">
        <v>347</v>
      </c>
      <c r="B40" s="11" t="s">
        <v>163</v>
      </c>
      <c r="C40" s="12">
        <v>45296.0</v>
      </c>
      <c r="D40" s="11" t="s">
        <v>285</v>
      </c>
      <c r="E40" s="13" t="s">
        <v>348</v>
      </c>
      <c r="F40" s="14" t="s">
        <v>287</v>
      </c>
      <c r="G40" s="14" t="s">
        <v>288</v>
      </c>
      <c r="H40" s="15" t="s">
        <v>130</v>
      </c>
      <c r="I40" s="15" t="str">
        <f>IFERROR(__xludf.DUMMYFUNCTION("GOOGLETRANSLATE(H40,""EN"",""ES"")"),"Sostenibilidad")</f>
        <v>Sostenibilidad</v>
      </c>
      <c r="J40" s="16" t="s">
        <v>35</v>
      </c>
      <c r="K40" s="27">
        <v>0.7</v>
      </c>
      <c r="L40" s="16" t="s">
        <v>289</v>
      </c>
      <c r="M40" s="34" t="s">
        <v>290</v>
      </c>
      <c r="N40" s="19" t="s">
        <v>349</v>
      </c>
      <c r="O40" s="19" t="str">
        <f>IFERROR(__xludf.DUMMYFUNCTION("GOOGLETRANSLATE(N40,""EN"",""ES"")"),"La colaboración con Toyota pone de relieve el compromiso de Repsol con las energías verdes.")</f>
        <v>La colaboración con Toyota pone de relieve el compromiso de Repsol con las energías verdes.</v>
      </c>
      <c r="P40" s="30">
        <v>0.8</v>
      </c>
      <c r="Q40" s="18" t="str">
        <f>IFERROR(__xludf.DUMMYFUNCTION("GOOGLETRANSLATE(R40,""ES"",""EN"")"),"renewable fuel, Dakar Rally")</f>
        <v>renewable fuel, Dakar Rally</v>
      </c>
      <c r="R40" s="34" t="s">
        <v>292</v>
      </c>
      <c r="S40" s="35" t="s">
        <v>293</v>
      </c>
      <c r="T40" s="22" t="s">
        <v>294</v>
      </c>
    </row>
    <row r="41">
      <c r="A41" s="23" t="s">
        <v>350</v>
      </c>
      <c r="B41" s="11" t="s">
        <v>21</v>
      </c>
      <c r="C41" s="12">
        <v>45296.0</v>
      </c>
      <c r="D41" s="11" t="s">
        <v>351</v>
      </c>
      <c r="E41" s="13" t="s">
        <v>352</v>
      </c>
      <c r="F41" s="24" t="s">
        <v>353</v>
      </c>
      <c r="G41" s="24" t="s">
        <v>354</v>
      </c>
      <c r="H41" s="25" t="s">
        <v>26</v>
      </c>
      <c r="I41" s="25" t="str">
        <f>IFERROR(__xludf.DUMMYFUNCTION("GOOGLETRANSLATE(H41,""EN"",""ES"")"),"Otro")</f>
        <v>Otro</v>
      </c>
      <c r="J41" s="26" t="s">
        <v>27</v>
      </c>
      <c r="K41" s="17">
        <v>0.0</v>
      </c>
      <c r="L41" s="25"/>
      <c r="M41" s="31"/>
      <c r="N41" s="29"/>
      <c r="O41" s="29"/>
      <c r="P41" s="20">
        <v>0.0</v>
      </c>
      <c r="Q41" s="31"/>
      <c r="R41" s="31"/>
      <c r="S41" s="36"/>
      <c r="T41" s="32"/>
    </row>
    <row r="42">
      <c r="A42" s="33" t="s">
        <v>355</v>
      </c>
      <c r="B42" s="11" t="s">
        <v>356</v>
      </c>
      <c r="C42" s="12">
        <v>45296.0</v>
      </c>
      <c r="D42" s="11" t="s">
        <v>357</v>
      </c>
      <c r="E42" s="13" t="s">
        <v>358</v>
      </c>
      <c r="F42" s="14" t="s">
        <v>359</v>
      </c>
      <c r="G42" s="14" t="s">
        <v>360</v>
      </c>
      <c r="H42" s="15" t="s">
        <v>48</v>
      </c>
      <c r="I42" s="15" t="str">
        <f>IFERROR(__xludf.DUMMYFUNCTION("GOOGLETRANSLATE(H42,""EN"",""ES"")"),"Finanzas")</f>
        <v>Finanzas</v>
      </c>
      <c r="J42" s="16" t="s">
        <v>35</v>
      </c>
      <c r="K42" s="27">
        <v>-0.6</v>
      </c>
      <c r="L42" s="16" t="s">
        <v>361</v>
      </c>
      <c r="M42" s="34" t="s">
        <v>362</v>
      </c>
      <c r="N42" s="19" t="s">
        <v>363</v>
      </c>
      <c r="O42" s="19" t="str">
        <f>IFERROR(__xludf.DUMMYFUNCTION("GOOGLETRANSLATE(N42,""EN"",""ES"")"),"El aumento de las obligaciones financieras podría impactar negativamente en la rentabilidad de Repsol.")</f>
        <v>El aumento de las obligaciones financieras podría impactar negativamente en la rentabilidad de Repsol.</v>
      </c>
      <c r="P42" s="30">
        <v>-0.6</v>
      </c>
      <c r="Q42" s="18" t="str">
        <f>IFERROR(__xludf.DUMMYFUNCTION("GOOGLETRANSLATE(R42,""ES"",""EN"")"),"duplicate, contributions")</f>
        <v>duplicate, contributions</v>
      </c>
      <c r="R42" s="34" t="s">
        <v>364</v>
      </c>
      <c r="S42" s="35" t="s">
        <v>365</v>
      </c>
      <c r="T42" s="22" t="s">
        <v>366</v>
      </c>
    </row>
    <row r="43">
      <c r="A43" s="23" t="s">
        <v>367</v>
      </c>
      <c r="B43" s="11" t="s">
        <v>368</v>
      </c>
      <c r="C43" s="12">
        <v>45296.0</v>
      </c>
      <c r="D43" s="11" t="s">
        <v>369</v>
      </c>
      <c r="E43" s="13" t="s">
        <v>370</v>
      </c>
      <c r="F43" s="24" t="s">
        <v>371</v>
      </c>
      <c r="G43" s="24" t="s">
        <v>372</v>
      </c>
      <c r="H43" s="25" t="s">
        <v>62</v>
      </c>
      <c r="I43" s="25" t="str">
        <f>IFERROR(__xludf.DUMMYFUNCTION("GOOGLETRANSLATE(H43,""EN"",""ES"")"),"Energía")</f>
        <v>Energía</v>
      </c>
      <c r="J43" s="26" t="s">
        <v>27</v>
      </c>
      <c r="K43" s="17">
        <v>0.0</v>
      </c>
      <c r="L43" s="25"/>
      <c r="M43" s="31"/>
      <c r="N43" s="29"/>
      <c r="O43" s="29"/>
      <c r="P43" s="20">
        <v>0.0</v>
      </c>
      <c r="Q43" s="31"/>
      <c r="R43" s="31"/>
      <c r="S43" s="36"/>
      <c r="T43" s="32"/>
    </row>
    <row r="44">
      <c r="A44" s="33" t="s">
        <v>373</v>
      </c>
      <c r="B44" s="11" t="s">
        <v>374</v>
      </c>
      <c r="C44" s="12">
        <v>45296.0</v>
      </c>
      <c r="D44" s="11" t="s">
        <v>375</v>
      </c>
      <c r="E44" s="13" t="s">
        <v>376</v>
      </c>
      <c r="F44" s="14" t="s">
        <v>377</v>
      </c>
      <c r="G44" s="14" t="s">
        <v>378</v>
      </c>
      <c r="H44" s="15" t="s">
        <v>55</v>
      </c>
      <c r="I44" s="15" t="str">
        <f>IFERROR(__xludf.DUMMYFUNCTION("GOOGLETRANSLATE(H44,""EN"",""ES"")"),"deportes de motor")</f>
        <v>deportes de motor</v>
      </c>
      <c r="J44" s="16" t="s">
        <v>27</v>
      </c>
      <c r="K44" s="17">
        <v>0.0</v>
      </c>
      <c r="L44" s="15"/>
      <c r="M44" s="18"/>
      <c r="N44" s="19"/>
      <c r="O44" s="19"/>
      <c r="P44" s="20">
        <v>0.0</v>
      </c>
      <c r="Q44" s="18"/>
      <c r="R44" s="18"/>
      <c r="S44" s="35"/>
      <c r="T44" s="22"/>
    </row>
    <row r="45">
      <c r="A45" s="23" t="s">
        <v>379</v>
      </c>
      <c r="B45" s="11" t="s">
        <v>21</v>
      </c>
      <c r="C45" s="12">
        <v>45296.0</v>
      </c>
      <c r="D45" s="11" t="s">
        <v>380</v>
      </c>
      <c r="E45" s="13" t="s">
        <v>381</v>
      </c>
      <c r="F45" s="24" t="s">
        <v>382</v>
      </c>
      <c r="G45" s="24" t="s">
        <v>383</v>
      </c>
      <c r="H45" s="25" t="s">
        <v>26</v>
      </c>
      <c r="I45" s="25" t="str">
        <f>IFERROR(__xludf.DUMMYFUNCTION("GOOGLETRANSLATE(H45,""EN"",""ES"")"),"Otro")</f>
        <v>Otro</v>
      </c>
      <c r="J45" s="26" t="s">
        <v>27</v>
      </c>
      <c r="K45" s="17">
        <v>0.0</v>
      </c>
      <c r="L45" s="25"/>
      <c r="M45" s="31"/>
      <c r="N45" s="29"/>
      <c r="O45" s="29"/>
      <c r="P45" s="20">
        <v>0.0</v>
      </c>
      <c r="Q45" s="31"/>
      <c r="R45" s="31"/>
      <c r="S45" s="36"/>
      <c r="T45" s="32"/>
    </row>
    <row r="46">
      <c r="A46" s="33" t="s">
        <v>384</v>
      </c>
      <c r="B46" s="11" t="s">
        <v>85</v>
      </c>
      <c r="C46" s="12">
        <v>45296.0</v>
      </c>
      <c r="D46" s="11" t="s">
        <v>385</v>
      </c>
      <c r="E46" s="13" t="s">
        <v>386</v>
      </c>
      <c r="F46" s="14" t="s">
        <v>387</v>
      </c>
      <c r="G46" s="14" t="s">
        <v>388</v>
      </c>
      <c r="H46" s="15" t="s">
        <v>62</v>
      </c>
      <c r="I46" s="15" t="str">
        <f>IFERROR(__xludf.DUMMYFUNCTION("GOOGLETRANSLATE(H46,""EN"",""ES"")"),"Energía")</f>
        <v>Energía</v>
      </c>
      <c r="J46" s="16" t="s">
        <v>27</v>
      </c>
      <c r="K46" s="17">
        <v>0.0</v>
      </c>
      <c r="L46" s="15"/>
      <c r="M46" s="18"/>
      <c r="N46" s="19"/>
      <c r="O46" s="19"/>
      <c r="P46" s="20">
        <v>0.0</v>
      </c>
      <c r="Q46" s="18"/>
      <c r="R46" s="18"/>
      <c r="S46" s="35"/>
      <c r="T46" s="22"/>
    </row>
    <row r="47">
      <c r="A47" s="23" t="s">
        <v>389</v>
      </c>
      <c r="B47" s="11" t="s">
        <v>390</v>
      </c>
      <c r="C47" s="12">
        <v>45296.0</v>
      </c>
      <c r="D47" s="11" t="s">
        <v>391</v>
      </c>
      <c r="E47" s="13" t="s">
        <v>392</v>
      </c>
      <c r="F47" s="24" t="s">
        <v>393</v>
      </c>
      <c r="G47" s="24" t="s">
        <v>394</v>
      </c>
      <c r="H47" s="25" t="s">
        <v>395</v>
      </c>
      <c r="I47" s="25" t="str">
        <f>IFERROR(__xludf.DUMMYFUNCTION("GOOGLETRANSLATE(H47,""EN"",""ES"")"),"Ambiente")</f>
        <v>Ambiente</v>
      </c>
      <c r="J47" s="26" t="s">
        <v>35</v>
      </c>
      <c r="K47" s="27">
        <v>-0.8</v>
      </c>
      <c r="L47" s="26" t="s">
        <v>396</v>
      </c>
      <c r="M47" s="28" t="s">
        <v>397</v>
      </c>
      <c r="N47" s="29" t="s">
        <v>398</v>
      </c>
      <c r="O47" s="29" t="str">
        <f>IFERROR(__xludf.DUMMYFUNCTION("GOOGLETRANSLATE(N47,""EN"",""ES"")"),"Los daños medioambientales de Repsol podrían perjudicar gravemente su imagen pública.")</f>
        <v>Los daños medioambientales de Repsol podrían perjudicar gravemente su imagen pública.</v>
      </c>
      <c r="P47" s="30">
        <v>-0.9</v>
      </c>
      <c r="Q47" s="31" t="str">
        <f>IFERROR(__xludf.DUMMYFUNCTION("GOOGLETRANSLATE(R47,""ES"",""EN"")"),"beaches affected, unhealthy")</f>
        <v>beaches affected, unhealthy</v>
      </c>
      <c r="R47" s="28" t="s">
        <v>399</v>
      </c>
      <c r="S47" s="36" t="s">
        <v>400</v>
      </c>
      <c r="T47" s="32" t="s">
        <v>401</v>
      </c>
    </row>
    <row r="48">
      <c r="A48" s="33" t="s">
        <v>402</v>
      </c>
      <c r="B48" s="11" t="s">
        <v>403</v>
      </c>
      <c r="C48" s="12">
        <v>45297.0</v>
      </c>
      <c r="D48" s="11" t="s">
        <v>404</v>
      </c>
      <c r="E48" s="13" t="s">
        <v>405</v>
      </c>
      <c r="F48" s="14" t="s">
        <v>406</v>
      </c>
      <c r="G48" s="14" t="s">
        <v>407</v>
      </c>
      <c r="H48" s="15" t="s">
        <v>408</v>
      </c>
      <c r="I48" s="15" t="str">
        <f>IFERROR(__xludf.DUMMYFUNCTION("GOOGLETRANSLATE(H48,""EN"",""ES"")"),"Legal")</f>
        <v>Legal</v>
      </c>
      <c r="J48" s="16" t="s">
        <v>35</v>
      </c>
      <c r="K48" s="27">
        <v>-0.7</v>
      </c>
      <c r="L48" s="16" t="s">
        <v>409</v>
      </c>
      <c r="M48" s="34" t="s">
        <v>410</v>
      </c>
      <c r="N48" s="19" t="s">
        <v>411</v>
      </c>
      <c r="O48" s="19" t="str">
        <f>IFERROR(__xludf.DUMMYFUNCTION("GOOGLETRANSLATE(N48,""EN"",""ES"")"),"Los conflictos legales pueden generar riesgos reputacionales e incertidumbre financiera para Repsol.")</f>
        <v>Los conflictos legales pueden generar riesgos reputacionales e incertidumbre financiera para Repsol.</v>
      </c>
      <c r="P48" s="30">
        <v>-0.5</v>
      </c>
      <c r="Q48" s="18" t="str">
        <f>IFERROR(__xludf.DUMMYFUNCTION("GOOGLETRANSLATE(R48,""ES"",""EN"")"),"millionaire lawsuit, courts")</f>
        <v>millionaire lawsuit, courts</v>
      </c>
      <c r="R48" s="34" t="s">
        <v>412</v>
      </c>
      <c r="S48" s="35" t="s">
        <v>336</v>
      </c>
      <c r="T48" s="22" t="s">
        <v>337</v>
      </c>
    </row>
    <row r="49">
      <c r="A49" s="23" t="s">
        <v>413</v>
      </c>
      <c r="B49" s="11" t="s">
        <v>103</v>
      </c>
      <c r="C49" s="12">
        <v>45297.0</v>
      </c>
      <c r="D49" s="11" t="s">
        <v>414</v>
      </c>
      <c r="E49" s="13" t="s">
        <v>415</v>
      </c>
      <c r="F49" s="24" t="s">
        <v>416</v>
      </c>
      <c r="G49" s="24" t="s">
        <v>417</v>
      </c>
      <c r="H49" s="25" t="s">
        <v>395</v>
      </c>
      <c r="I49" s="25" t="str">
        <f>IFERROR(__xludf.DUMMYFUNCTION("GOOGLETRANSLATE(H49,""EN"",""ES"")"),"Ambiente")</f>
        <v>Ambiente</v>
      </c>
      <c r="J49" s="26" t="s">
        <v>35</v>
      </c>
      <c r="K49" s="27">
        <v>-0.7</v>
      </c>
      <c r="L49" s="26" t="s">
        <v>418</v>
      </c>
      <c r="M49" s="28" t="s">
        <v>419</v>
      </c>
      <c r="N49" s="29" t="s">
        <v>420</v>
      </c>
      <c r="O49" s="29" t="str">
        <f>IFERROR(__xludf.DUMMYFUNCTION("GOOGLETRANSLATE(N49,""EN"",""ES"")"),"Los vertidos de petróleo y las sanciones económicas impactan negativamente en la reputación de Repsol.")</f>
        <v>Los vertidos de petróleo y las sanciones económicas impactan negativamente en la reputación de Repsol.</v>
      </c>
      <c r="P49" s="30">
        <v>-0.7</v>
      </c>
      <c r="Q49" s="31" t="str">
        <f>IFERROR(__xludf.DUMMYFUNCTION("GOOGLETRANSLATE(R49,""ES"",""EN"")"),"spill, compensated")</f>
        <v>spill, compensated</v>
      </c>
      <c r="R49" s="28" t="s">
        <v>421</v>
      </c>
      <c r="S49" s="36" t="s">
        <v>422</v>
      </c>
      <c r="T49" s="32" t="s">
        <v>423</v>
      </c>
    </row>
    <row r="50">
      <c r="A50" s="33" t="s">
        <v>424</v>
      </c>
      <c r="B50" s="11" t="s">
        <v>425</v>
      </c>
      <c r="C50" s="12">
        <v>45297.0</v>
      </c>
      <c r="D50" s="11" t="s">
        <v>426</v>
      </c>
      <c r="E50" s="13" t="s">
        <v>427</v>
      </c>
      <c r="F50" s="14" t="s">
        <v>428</v>
      </c>
      <c r="G50" s="14" t="s">
        <v>429</v>
      </c>
      <c r="H50" s="15" t="s">
        <v>55</v>
      </c>
      <c r="I50" s="15" t="str">
        <f>IFERROR(__xludf.DUMMYFUNCTION("GOOGLETRANSLATE(H50,""EN"",""ES"")"),"deportes de motor")</f>
        <v>deportes de motor</v>
      </c>
      <c r="J50" s="16" t="s">
        <v>27</v>
      </c>
      <c r="K50" s="17">
        <v>0.0</v>
      </c>
      <c r="L50" s="15"/>
      <c r="M50" s="18"/>
      <c r="N50" s="19"/>
      <c r="O50" s="19"/>
      <c r="P50" s="20">
        <v>0.0</v>
      </c>
      <c r="Q50" s="18"/>
      <c r="R50" s="18"/>
      <c r="S50" s="35"/>
      <c r="T50" s="22"/>
    </row>
    <row r="51">
      <c r="A51" s="23" t="s">
        <v>430</v>
      </c>
      <c r="B51" s="11" t="s">
        <v>431</v>
      </c>
      <c r="C51" s="12">
        <v>45297.0</v>
      </c>
      <c r="D51" s="11" t="s">
        <v>432</v>
      </c>
      <c r="E51" s="13" t="s">
        <v>433</v>
      </c>
      <c r="F51" s="24" t="s">
        <v>434</v>
      </c>
      <c r="G51" s="24" t="s">
        <v>435</v>
      </c>
      <c r="H51" s="25" t="s">
        <v>148</v>
      </c>
      <c r="I51" s="25" t="str">
        <f>IFERROR(__xludf.DUMMYFUNCTION("GOOGLETRANSLATE(H51,""EN"",""ES"")"),"Gastronomía")</f>
        <v>Gastronomía</v>
      </c>
      <c r="J51" s="26" t="s">
        <v>27</v>
      </c>
      <c r="K51" s="17">
        <v>0.0</v>
      </c>
      <c r="L51" s="25"/>
      <c r="M51" s="31"/>
      <c r="N51" s="29"/>
      <c r="O51" s="29"/>
      <c r="P51" s="20">
        <v>0.0</v>
      </c>
      <c r="Q51" s="31"/>
      <c r="R51" s="31"/>
      <c r="S51" s="36"/>
      <c r="T51" s="32"/>
    </row>
    <row r="52">
      <c r="A52" s="33" t="s">
        <v>436</v>
      </c>
      <c r="B52" s="11" t="s">
        <v>437</v>
      </c>
      <c r="C52" s="12">
        <v>45297.0</v>
      </c>
      <c r="D52" s="11" t="s">
        <v>438</v>
      </c>
      <c r="E52" s="13" t="s">
        <v>439</v>
      </c>
      <c r="F52" s="14" t="s">
        <v>440</v>
      </c>
      <c r="G52" s="14" t="s">
        <v>441</v>
      </c>
      <c r="H52" s="15" t="s">
        <v>26</v>
      </c>
      <c r="I52" s="15" t="str">
        <f>IFERROR(__xludf.DUMMYFUNCTION("GOOGLETRANSLATE(H52,""EN"",""ES"")"),"Otro")</f>
        <v>Otro</v>
      </c>
      <c r="J52" s="16" t="s">
        <v>27</v>
      </c>
      <c r="K52" s="17">
        <v>0.0</v>
      </c>
      <c r="L52" s="15"/>
      <c r="M52" s="18"/>
      <c r="N52" s="19"/>
      <c r="O52" s="19"/>
      <c r="P52" s="20">
        <v>0.0</v>
      </c>
      <c r="Q52" s="18"/>
      <c r="R52" s="18"/>
      <c r="S52" s="35"/>
      <c r="T52" s="22"/>
    </row>
    <row r="53">
      <c r="A53" s="23" t="s">
        <v>442</v>
      </c>
      <c r="B53" s="11" t="s">
        <v>260</v>
      </c>
      <c r="C53" s="12">
        <v>45297.0</v>
      </c>
      <c r="D53" s="11" t="s">
        <v>443</v>
      </c>
      <c r="E53" s="13" t="s">
        <v>444</v>
      </c>
      <c r="F53" s="24" t="s">
        <v>445</v>
      </c>
      <c r="G53" s="24" t="s">
        <v>446</v>
      </c>
      <c r="H53" s="25" t="s">
        <v>26</v>
      </c>
      <c r="I53" s="25" t="str">
        <f>IFERROR(__xludf.DUMMYFUNCTION("GOOGLETRANSLATE(H53,""EN"",""ES"")"),"Otro")</f>
        <v>Otro</v>
      </c>
      <c r="J53" s="26" t="s">
        <v>27</v>
      </c>
      <c r="K53" s="17">
        <v>0.0</v>
      </c>
      <c r="L53" s="25"/>
      <c r="M53" s="31"/>
      <c r="N53" s="29"/>
      <c r="O53" s="29"/>
      <c r="P53" s="20">
        <v>0.0</v>
      </c>
      <c r="Q53" s="31"/>
      <c r="R53" s="31"/>
      <c r="S53" s="36"/>
      <c r="T53" s="32"/>
    </row>
    <row r="54">
      <c r="A54" s="33" t="s">
        <v>447</v>
      </c>
      <c r="B54" s="11" t="s">
        <v>448</v>
      </c>
      <c r="C54" s="12">
        <v>45297.0</v>
      </c>
      <c r="D54" s="11" t="s">
        <v>449</v>
      </c>
      <c r="E54" s="13" t="s">
        <v>450</v>
      </c>
      <c r="F54" s="14" t="s">
        <v>451</v>
      </c>
      <c r="G54" s="14" t="s">
        <v>452</v>
      </c>
      <c r="H54" s="15" t="s">
        <v>26</v>
      </c>
      <c r="I54" s="15" t="str">
        <f>IFERROR(__xludf.DUMMYFUNCTION("GOOGLETRANSLATE(H54,""EN"",""ES"")"),"Otro")</f>
        <v>Otro</v>
      </c>
      <c r="J54" s="16" t="s">
        <v>27</v>
      </c>
      <c r="K54" s="17">
        <v>0.0</v>
      </c>
      <c r="L54" s="15"/>
      <c r="M54" s="18"/>
      <c r="N54" s="19"/>
      <c r="O54" s="19"/>
      <c r="P54" s="20">
        <v>0.0</v>
      </c>
      <c r="Q54" s="18"/>
      <c r="R54" s="18"/>
      <c r="S54" s="35"/>
      <c r="T54" s="22"/>
    </row>
    <row r="55">
      <c r="A55" s="23" t="s">
        <v>453</v>
      </c>
      <c r="B55" s="11" t="s">
        <v>43</v>
      </c>
      <c r="C55" s="12">
        <v>45297.0</v>
      </c>
      <c r="D55" s="11" t="s">
        <v>454</v>
      </c>
      <c r="E55" s="13" t="s">
        <v>455</v>
      </c>
      <c r="F55" s="24" t="s">
        <v>456</v>
      </c>
      <c r="G55" s="24" t="s">
        <v>457</v>
      </c>
      <c r="H55" s="25" t="s">
        <v>55</v>
      </c>
      <c r="I55" s="25" t="str">
        <f>IFERROR(__xludf.DUMMYFUNCTION("GOOGLETRANSLATE(H55,""EN"",""ES"")"),"deportes de motor")</f>
        <v>deportes de motor</v>
      </c>
      <c r="J55" s="26" t="s">
        <v>27</v>
      </c>
      <c r="K55" s="17">
        <v>0.0</v>
      </c>
      <c r="L55" s="25"/>
      <c r="M55" s="31"/>
      <c r="N55" s="29"/>
      <c r="O55" s="29"/>
      <c r="P55" s="20">
        <v>0.0</v>
      </c>
      <c r="Q55" s="31"/>
      <c r="R55" s="31"/>
      <c r="S55" s="36"/>
      <c r="T55" s="32"/>
    </row>
    <row r="56">
      <c r="A56" s="33" t="s">
        <v>458</v>
      </c>
      <c r="B56" s="11" t="s">
        <v>217</v>
      </c>
      <c r="C56" s="12">
        <v>45297.0</v>
      </c>
      <c r="D56" s="11" t="s">
        <v>459</v>
      </c>
      <c r="E56" s="13" t="s">
        <v>460</v>
      </c>
      <c r="F56" s="14" t="s">
        <v>461</v>
      </c>
      <c r="G56" s="14" t="s">
        <v>462</v>
      </c>
      <c r="H56" s="15" t="s">
        <v>48</v>
      </c>
      <c r="I56" s="15" t="str">
        <f>IFERROR(__xludf.DUMMYFUNCTION("GOOGLETRANSLATE(H56,""EN"",""ES"")"),"Finanzas")</f>
        <v>Finanzas</v>
      </c>
      <c r="J56" s="16" t="s">
        <v>27</v>
      </c>
      <c r="K56" s="17">
        <v>0.0</v>
      </c>
      <c r="L56" s="15"/>
      <c r="M56" s="18"/>
      <c r="N56" s="19"/>
      <c r="O56" s="19"/>
      <c r="P56" s="20">
        <v>0.0</v>
      </c>
      <c r="Q56" s="18"/>
      <c r="R56" s="18"/>
      <c r="S56" s="35"/>
      <c r="T56" s="22"/>
    </row>
    <row r="57">
      <c r="A57" s="23" t="s">
        <v>463</v>
      </c>
      <c r="B57" s="11" t="s">
        <v>217</v>
      </c>
      <c r="C57" s="12">
        <v>45298.0</v>
      </c>
      <c r="D57" s="11" t="s">
        <v>464</v>
      </c>
      <c r="E57" s="13" t="s">
        <v>465</v>
      </c>
      <c r="F57" s="24" t="s">
        <v>466</v>
      </c>
      <c r="G57" s="24" t="s">
        <v>467</v>
      </c>
      <c r="H57" s="25" t="s">
        <v>62</v>
      </c>
      <c r="I57" s="25" t="str">
        <f>IFERROR(__xludf.DUMMYFUNCTION("GOOGLETRANSLATE(H57,""EN"",""ES"")"),"Energía")</f>
        <v>Energía</v>
      </c>
      <c r="J57" s="26" t="s">
        <v>35</v>
      </c>
      <c r="K57" s="27">
        <v>0.0</v>
      </c>
      <c r="L57" s="25"/>
      <c r="M57" s="31"/>
      <c r="N57" s="29" t="s">
        <v>468</v>
      </c>
      <c r="O57" s="29" t="str">
        <f>IFERROR(__xludf.DUMMYFUNCTION("GOOGLETRANSLATE(N57,""EN"",""ES"")"),"Si bien está relacionado con el sector energético, este litigio legal no impacta directamente a Repsol.")</f>
        <v>Si bien está relacionado con el sector energético, este litigio legal no impacta directamente a Repsol.</v>
      </c>
      <c r="P57" s="30">
        <v>0.0</v>
      </c>
      <c r="Q57" s="31"/>
      <c r="R57" s="31"/>
      <c r="S57" s="36" t="s">
        <v>469</v>
      </c>
      <c r="T57" s="32" t="s">
        <v>470</v>
      </c>
    </row>
    <row r="58">
      <c r="A58" s="33" t="s">
        <v>471</v>
      </c>
      <c r="B58" s="11" t="s">
        <v>229</v>
      </c>
      <c r="C58" s="12">
        <v>45298.0</v>
      </c>
      <c r="D58" s="11" t="s">
        <v>472</v>
      </c>
      <c r="E58" s="13" t="s">
        <v>473</v>
      </c>
      <c r="F58" s="14" t="s">
        <v>474</v>
      </c>
      <c r="G58" s="14" t="s">
        <v>475</v>
      </c>
      <c r="H58" s="15" t="s">
        <v>62</v>
      </c>
      <c r="I58" s="15" t="str">
        <f>IFERROR(__xludf.DUMMYFUNCTION("GOOGLETRANSLATE(H58,""EN"",""ES"")"),"Energía")</f>
        <v>Energía</v>
      </c>
      <c r="J58" s="16" t="s">
        <v>27</v>
      </c>
      <c r="K58" s="17">
        <v>0.0</v>
      </c>
      <c r="L58" s="15"/>
      <c r="M58" s="18"/>
      <c r="N58" s="19"/>
      <c r="O58" s="19"/>
      <c r="P58" s="20">
        <v>0.0</v>
      </c>
      <c r="Q58" s="18"/>
      <c r="R58" s="18"/>
      <c r="S58" s="35"/>
      <c r="T58" s="22"/>
    </row>
    <row r="59">
      <c r="A59" s="23" t="s">
        <v>476</v>
      </c>
      <c r="B59" s="11" t="s">
        <v>163</v>
      </c>
      <c r="C59" s="12">
        <v>45298.0</v>
      </c>
      <c r="D59" s="11" t="s">
        <v>477</v>
      </c>
      <c r="E59" s="13" t="s">
        <v>478</v>
      </c>
      <c r="F59" s="24" t="s">
        <v>479</v>
      </c>
      <c r="G59" s="24" t="s">
        <v>480</v>
      </c>
      <c r="H59" s="25" t="s">
        <v>55</v>
      </c>
      <c r="I59" s="25" t="str">
        <f>IFERROR(__xludf.DUMMYFUNCTION("GOOGLETRANSLATE(H59,""EN"",""ES"")"),"deportes de motor")</f>
        <v>deportes de motor</v>
      </c>
      <c r="J59" s="26" t="s">
        <v>27</v>
      </c>
      <c r="K59" s="17">
        <v>0.0</v>
      </c>
      <c r="L59" s="25"/>
      <c r="M59" s="31"/>
      <c r="N59" s="29"/>
      <c r="O59" s="29"/>
      <c r="P59" s="20">
        <v>0.0</v>
      </c>
      <c r="Q59" s="31"/>
      <c r="R59" s="31"/>
      <c r="S59" s="36"/>
      <c r="T59" s="32"/>
    </row>
    <row r="60">
      <c r="A60" s="33" t="s">
        <v>481</v>
      </c>
      <c r="B60" s="11" t="s">
        <v>403</v>
      </c>
      <c r="C60" s="12">
        <v>45298.0</v>
      </c>
      <c r="D60" s="11" t="s">
        <v>482</v>
      </c>
      <c r="E60" s="13" t="s">
        <v>483</v>
      </c>
      <c r="F60" s="14" t="s">
        <v>484</v>
      </c>
      <c r="G60" s="14" t="s">
        <v>485</v>
      </c>
      <c r="H60" s="15" t="s">
        <v>26</v>
      </c>
      <c r="I60" s="15" t="str">
        <f>IFERROR(__xludf.DUMMYFUNCTION("GOOGLETRANSLATE(H60,""EN"",""ES"")"),"Otro")</f>
        <v>Otro</v>
      </c>
      <c r="J60" s="16" t="s">
        <v>27</v>
      </c>
      <c r="K60" s="17">
        <v>0.0</v>
      </c>
      <c r="L60" s="15"/>
      <c r="M60" s="18"/>
      <c r="N60" s="19"/>
      <c r="O60" s="19"/>
      <c r="P60" s="20">
        <v>0.0</v>
      </c>
      <c r="Q60" s="18"/>
      <c r="R60" s="18"/>
      <c r="S60" s="35"/>
      <c r="T60" s="22"/>
    </row>
    <row r="61">
      <c r="A61" s="23" t="s">
        <v>486</v>
      </c>
      <c r="B61" s="11" t="s">
        <v>487</v>
      </c>
      <c r="C61" s="12">
        <v>45298.0</v>
      </c>
      <c r="D61" s="11" t="s">
        <v>488</v>
      </c>
      <c r="E61" s="13" t="s">
        <v>489</v>
      </c>
      <c r="F61" s="24" t="s">
        <v>490</v>
      </c>
      <c r="G61" s="24" t="s">
        <v>491</v>
      </c>
      <c r="H61" s="25" t="s">
        <v>55</v>
      </c>
      <c r="I61" s="25" t="str">
        <f>IFERROR(__xludf.DUMMYFUNCTION("GOOGLETRANSLATE(H61,""EN"",""ES"")"),"deportes de motor")</f>
        <v>deportes de motor</v>
      </c>
      <c r="J61" s="26" t="s">
        <v>27</v>
      </c>
      <c r="K61" s="17">
        <v>0.0</v>
      </c>
      <c r="L61" s="25"/>
      <c r="M61" s="31"/>
      <c r="N61" s="29"/>
      <c r="O61" s="29"/>
      <c r="P61" s="20">
        <v>0.0</v>
      </c>
      <c r="Q61" s="31"/>
      <c r="R61" s="31"/>
      <c r="S61" s="36"/>
      <c r="T61" s="32"/>
    </row>
    <row r="62">
      <c r="A62" s="33" t="s">
        <v>492</v>
      </c>
      <c r="B62" s="11" t="s">
        <v>493</v>
      </c>
      <c r="C62" s="12">
        <v>45298.0</v>
      </c>
      <c r="D62" s="11" t="s">
        <v>494</v>
      </c>
      <c r="E62" s="13" t="s">
        <v>495</v>
      </c>
      <c r="F62" s="14" t="s">
        <v>496</v>
      </c>
      <c r="G62" s="14" t="s">
        <v>497</v>
      </c>
      <c r="H62" s="15" t="s">
        <v>148</v>
      </c>
      <c r="I62" s="15" t="str">
        <f>IFERROR(__xludf.DUMMYFUNCTION("GOOGLETRANSLATE(H62,""EN"",""ES"")"),"Gastronomía")</f>
        <v>Gastronomía</v>
      </c>
      <c r="J62" s="16" t="s">
        <v>27</v>
      </c>
      <c r="K62" s="17">
        <v>0.0</v>
      </c>
      <c r="L62" s="15"/>
      <c r="M62" s="18"/>
      <c r="N62" s="19"/>
      <c r="O62" s="19"/>
      <c r="P62" s="20">
        <v>0.0</v>
      </c>
      <c r="Q62" s="18"/>
      <c r="R62" s="18"/>
      <c r="S62" s="35"/>
      <c r="T62" s="22"/>
    </row>
    <row r="63">
      <c r="A63" s="23" t="s">
        <v>498</v>
      </c>
      <c r="B63" s="11" t="s">
        <v>499</v>
      </c>
      <c r="C63" s="12">
        <v>45298.0</v>
      </c>
      <c r="D63" s="11" t="s">
        <v>500</v>
      </c>
      <c r="E63" s="13" t="s">
        <v>501</v>
      </c>
      <c r="F63" s="24" t="s">
        <v>502</v>
      </c>
      <c r="G63" s="24" t="s">
        <v>503</v>
      </c>
      <c r="H63" s="25" t="s">
        <v>62</v>
      </c>
      <c r="I63" s="25" t="str">
        <f>IFERROR(__xludf.DUMMYFUNCTION("GOOGLETRANSLATE(H63,""EN"",""ES"")"),"Energía")</f>
        <v>Energía</v>
      </c>
      <c r="J63" s="26" t="s">
        <v>35</v>
      </c>
      <c r="K63" s="27">
        <v>0.5</v>
      </c>
      <c r="L63" s="26" t="s">
        <v>504</v>
      </c>
      <c r="M63" s="28" t="s">
        <v>505</v>
      </c>
      <c r="N63" s="29" t="s">
        <v>506</v>
      </c>
      <c r="O63" s="29" t="str">
        <f>IFERROR(__xludf.DUMMYFUNCTION("GOOGLETRANSLATE(N63,""EN"",""ES"")"),"La expansión de Pemex podría crear competencia u oportunidades de asociación para Repsol.")</f>
        <v>La expansión de Pemex podría crear competencia u oportunidades de asociación para Repsol.</v>
      </c>
      <c r="P63" s="30">
        <v>0.0</v>
      </c>
      <c r="Q63" s="31"/>
      <c r="R63" s="31"/>
      <c r="S63" s="36" t="s">
        <v>469</v>
      </c>
      <c r="T63" s="32" t="s">
        <v>470</v>
      </c>
    </row>
    <row r="64">
      <c r="A64" s="33" t="s">
        <v>507</v>
      </c>
      <c r="B64" s="11" t="s">
        <v>260</v>
      </c>
      <c r="C64" s="12">
        <v>45298.0</v>
      </c>
      <c r="D64" s="11" t="s">
        <v>508</v>
      </c>
      <c r="E64" s="13" t="s">
        <v>509</v>
      </c>
      <c r="F64" s="14" t="s">
        <v>510</v>
      </c>
      <c r="G64" s="14" t="s">
        <v>511</v>
      </c>
      <c r="H64" s="15" t="s">
        <v>26</v>
      </c>
      <c r="I64" s="15" t="str">
        <f>IFERROR(__xludf.DUMMYFUNCTION("GOOGLETRANSLATE(H64,""EN"",""ES"")"),"Otro")</f>
        <v>Otro</v>
      </c>
      <c r="J64" s="16" t="s">
        <v>27</v>
      </c>
      <c r="K64" s="17">
        <v>0.0</v>
      </c>
      <c r="L64" s="15"/>
      <c r="M64" s="18"/>
      <c r="N64" s="19"/>
      <c r="O64" s="19"/>
      <c r="P64" s="20">
        <v>0.0</v>
      </c>
      <c r="Q64" s="18"/>
      <c r="R64" s="18"/>
      <c r="S64" s="35"/>
      <c r="T64" s="22"/>
    </row>
    <row r="65">
      <c r="A65" s="23" t="s">
        <v>512</v>
      </c>
      <c r="B65" s="11" t="s">
        <v>513</v>
      </c>
      <c r="C65" s="12">
        <v>45298.0</v>
      </c>
      <c r="D65" s="11" t="s">
        <v>514</v>
      </c>
      <c r="E65" s="13" t="s">
        <v>515</v>
      </c>
      <c r="F65" s="24" t="s">
        <v>516</v>
      </c>
      <c r="G65" s="24" t="s">
        <v>517</v>
      </c>
      <c r="H65" s="25" t="s">
        <v>55</v>
      </c>
      <c r="I65" s="25" t="str">
        <f>IFERROR(__xludf.DUMMYFUNCTION("GOOGLETRANSLATE(H65,""EN"",""ES"")"),"deportes de motor")</f>
        <v>deportes de motor</v>
      </c>
      <c r="J65" s="26" t="s">
        <v>27</v>
      </c>
      <c r="K65" s="17">
        <v>0.0</v>
      </c>
      <c r="L65" s="25"/>
      <c r="M65" s="31"/>
      <c r="N65" s="29"/>
      <c r="O65" s="29"/>
      <c r="P65" s="20">
        <v>0.0</v>
      </c>
      <c r="Q65" s="31"/>
      <c r="R65" s="31"/>
      <c r="S65" s="36"/>
      <c r="T65" s="32"/>
    </row>
    <row r="66">
      <c r="A66" s="33" t="s">
        <v>518</v>
      </c>
      <c r="B66" s="11" t="s">
        <v>217</v>
      </c>
      <c r="C66" s="12">
        <v>45298.0</v>
      </c>
      <c r="D66" s="11" t="s">
        <v>519</v>
      </c>
      <c r="E66" s="13" t="s">
        <v>520</v>
      </c>
      <c r="F66" s="14" t="s">
        <v>521</v>
      </c>
      <c r="G66" s="14" t="s">
        <v>522</v>
      </c>
      <c r="H66" s="15" t="s">
        <v>48</v>
      </c>
      <c r="I66" s="15" t="str">
        <f>IFERROR(__xludf.DUMMYFUNCTION("GOOGLETRANSLATE(H66,""EN"",""ES"")"),"Finanzas")</f>
        <v>Finanzas</v>
      </c>
      <c r="J66" s="16" t="s">
        <v>27</v>
      </c>
      <c r="K66" s="17">
        <v>0.0</v>
      </c>
      <c r="L66" s="15"/>
      <c r="M66" s="18"/>
      <c r="N66" s="19"/>
      <c r="O66" s="19"/>
      <c r="P66" s="20">
        <v>0.0</v>
      </c>
      <c r="Q66" s="18"/>
      <c r="R66" s="18"/>
      <c r="S66" s="35"/>
      <c r="T66" s="22"/>
    </row>
    <row r="67">
      <c r="A67" s="23" t="s">
        <v>523</v>
      </c>
      <c r="B67" s="11" t="s">
        <v>192</v>
      </c>
      <c r="C67" s="12">
        <v>45299.0</v>
      </c>
      <c r="D67" s="11" t="s">
        <v>524</v>
      </c>
      <c r="E67" s="13" t="s">
        <v>525</v>
      </c>
      <c r="F67" s="24" t="s">
        <v>526</v>
      </c>
      <c r="G67" s="24" t="s">
        <v>527</v>
      </c>
      <c r="H67" s="25" t="s">
        <v>48</v>
      </c>
      <c r="I67" s="25" t="str">
        <f>IFERROR(__xludf.DUMMYFUNCTION("GOOGLETRANSLATE(H67,""EN"",""ES"")"),"Finanzas")</f>
        <v>Finanzas</v>
      </c>
      <c r="J67" s="26" t="s">
        <v>35</v>
      </c>
      <c r="K67" s="27">
        <v>-0.5</v>
      </c>
      <c r="L67" s="26" t="s">
        <v>528</v>
      </c>
      <c r="M67" s="28" t="s">
        <v>529</v>
      </c>
      <c r="N67" s="29" t="s">
        <v>530</v>
      </c>
      <c r="O67" s="29" t="str">
        <f>IFERROR(__xludf.DUMMYFUNCTION("GOOGLETRANSLATE(N67,""EN"",""ES"")"),"Un inversor importante que reduzca sus participaciones puede indicar preocupación sobre las perspectivas de Repsol.")</f>
        <v>Un inversor importante que reduzca sus participaciones puede indicar preocupación sobre las perspectivas de Repsol.</v>
      </c>
      <c r="P67" s="30">
        <v>-0.4</v>
      </c>
      <c r="Q67" s="31" t="str">
        <f>IFERROR(__xludf.DUMMYFUNCTION("GOOGLETRANSLATE(R67,""ES"",""EN"")"),"participation reduction")</f>
        <v>participation reduction</v>
      </c>
      <c r="R67" s="28" t="s">
        <v>531</v>
      </c>
      <c r="S67" s="36" t="s">
        <v>532</v>
      </c>
      <c r="T67" s="32" t="s">
        <v>533</v>
      </c>
    </row>
    <row r="68">
      <c r="A68" s="33" t="s">
        <v>534</v>
      </c>
      <c r="B68" s="11" t="s">
        <v>103</v>
      </c>
      <c r="C68" s="12">
        <v>45299.0</v>
      </c>
      <c r="D68" s="11" t="s">
        <v>535</v>
      </c>
      <c r="E68" s="13" t="s">
        <v>536</v>
      </c>
      <c r="F68" s="14" t="s">
        <v>537</v>
      </c>
      <c r="G68" s="14" t="s">
        <v>538</v>
      </c>
      <c r="H68" s="15" t="s">
        <v>48</v>
      </c>
      <c r="I68" s="15" t="str">
        <f>IFERROR(__xludf.DUMMYFUNCTION("GOOGLETRANSLATE(H68,""EN"",""ES"")"),"Finanzas")</f>
        <v>Finanzas</v>
      </c>
      <c r="J68" s="16" t="s">
        <v>35</v>
      </c>
      <c r="K68" s="27">
        <v>0.6</v>
      </c>
      <c r="L68" s="16" t="s">
        <v>539</v>
      </c>
      <c r="M68" s="34" t="s">
        <v>540</v>
      </c>
      <c r="N68" s="19" t="s">
        <v>541</v>
      </c>
      <c r="O68" s="19" t="str">
        <f>IFERROR(__xludf.DUMMYFUNCTION("GOOGLETRANSLATE(N68,""EN"",""ES"")"),"La mayor inversión de JPMorgan indica confianza en el futuro de Repsol.")</f>
        <v>La mayor inversión de JPMorgan indica confianza en el futuro de Repsol.</v>
      </c>
      <c r="P68" s="30">
        <v>0.7</v>
      </c>
      <c r="Q68" s="18" t="str">
        <f>IFERROR(__xludf.DUMMYFUNCTION("GOOGLETRANSLATE(R68,""ES"",""EN"")"),"JP Morgan, second largest shareholder")</f>
        <v>JP Morgan, second largest shareholder</v>
      </c>
      <c r="R68" s="34" t="s">
        <v>542</v>
      </c>
      <c r="S68" s="35" t="s">
        <v>543</v>
      </c>
      <c r="T68" s="22" t="s">
        <v>544</v>
      </c>
    </row>
    <row r="69">
      <c r="A69" s="23" t="s">
        <v>545</v>
      </c>
      <c r="B69" s="11" t="s">
        <v>546</v>
      </c>
      <c r="C69" s="12">
        <v>45299.0</v>
      </c>
      <c r="D69" s="11" t="s">
        <v>547</v>
      </c>
      <c r="E69" s="13" t="s">
        <v>548</v>
      </c>
      <c r="F69" s="24" t="s">
        <v>549</v>
      </c>
      <c r="G69" s="24" t="s">
        <v>550</v>
      </c>
      <c r="H69" s="25" t="s">
        <v>48</v>
      </c>
      <c r="I69" s="25" t="str">
        <f>IFERROR(__xludf.DUMMYFUNCTION("GOOGLETRANSLATE(H69,""EN"",""ES"")"),"Finanzas")</f>
        <v>Finanzas</v>
      </c>
      <c r="J69" s="26" t="s">
        <v>35</v>
      </c>
      <c r="K69" s="27">
        <v>0.5</v>
      </c>
      <c r="L69" s="26" t="s">
        <v>551</v>
      </c>
      <c r="M69" s="28" t="s">
        <v>552</v>
      </c>
      <c r="N69" s="29" t="s">
        <v>553</v>
      </c>
      <c r="O69" s="29" t="str">
        <f>IFERROR(__xludf.DUMMYFUNCTION("GOOGLETRANSLATE(N69,""EN"",""ES"")"),"El pago de dividendos refuerza el atractivo financiero de Repsol para los inversores.")</f>
        <v>El pago de dividendos refuerza el atractivo financiero de Repsol para los inversores.</v>
      </c>
      <c r="P69" s="30">
        <v>0.6</v>
      </c>
      <c r="Q69" s="31" t="str">
        <f>IFERROR(__xludf.DUMMYFUNCTION("GOOGLETRANSLATE(R69,""ES"",""EN"")"),"dividend, Repsol shares")</f>
        <v>dividend, Repsol shares</v>
      </c>
      <c r="R69" s="28" t="s">
        <v>554</v>
      </c>
      <c r="S69" s="36" t="s">
        <v>555</v>
      </c>
      <c r="T69" s="32" t="s">
        <v>556</v>
      </c>
    </row>
    <row r="70">
      <c r="A70" s="33" t="s">
        <v>557</v>
      </c>
      <c r="B70" s="11" t="s">
        <v>558</v>
      </c>
      <c r="C70" s="12">
        <v>45299.0</v>
      </c>
      <c r="D70" s="11" t="s">
        <v>559</v>
      </c>
      <c r="E70" s="13" t="s">
        <v>560</v>
      </c>
      <c r="F70" s="14" t="s">
        <v>561</v>
      </c>
      <c r="G70" s="14" t="s">
        <v>562</v>
      </c>
      <c r="H70" s="15" t="s">
        <v>48</v>
      </c>
      <c r="I70" s="15" t="str">
        <f>IFERROR(__xludf.DUMMYFUNCTION("GOOGLETRANSLATE(H70,""EN"",""ES"")"),"Finanzas")</f>
        <v>Finanzas</v>
      </c>
      <c r="J70" s="16" t="s">
        <v>35</v>
      </c>
      <c r="K70" s="27">
        <v>-0.6</v>
      </c>
      <c r="L70" s="16" t="s">
        <v>563</v>
      </c>
      <c r="M70" s="34" t="s">
        <v>564</v>
      </c>
      <c r="N70" s="19" t="s">
        <v>565</v>
      </c>
      <c r="O70" s="19" t="str">
        <f>IFERROR(__xludf.DUMMYFUNCTION("GOOGLETRANSLATE(N70,""EN"",""ES"")"),"Una caída del precio de las acciones sugiere preocupaciones en el mercado y podría dañar la confianza de los inversores.")</f>
        <v>Una caída del precio de las acciones sugiere preocupaciones en el mercado y podría dañar la confianza de los inversores.</v>
      </c>
      <c r="P70" s="30">
        <v>-0.8</v>
      </c>
      <c r="Q70" s="18" t="str">
        <f>IFERROR(__xludf.DUMMYFUNCTION("GOOGLETRANSLATE(R70,""ES"",""EN"")"),"plummets, stock market falls")</f>
        <v>plummets, stock market falls</v>
      </c>
      <c r="R70" s="34" t="s">
        <v>566</v>
      </c>
      <c r="S70" s="35" t="s">
        <v>567</v>
      </c>
      <c r="T70" s="22" t="s">
        <v>568</v>
      </c>
    </row>
    <row r="71">
      <c r="A71" s="23" t="s">
        <v>569</v>
      </c>
      <c r="B71" s="11" t="s">
        <v>570</v>
      </c>
      <c r="C71" s="12">
        <v>45299.0</v>
      </c>
      <c r="D71" s="11" t="s">
        <v>571</v>
      </c>
      <c r="E71" s="13" t="s">
        <v>572</v>
      </c>
      <c r="F71" s="24" t="s">
        <v>573</v>
      </c>
      <c r="G71" s="24" t="s">
        <v>574</v>
      </c>
      <c r="H71" s="25" t="s">
        <v>26</v>
      </c>
      <c r="I71" s="25" t="str">
        <f>IFERROR(__xludf.DUMMYFUNCTION("GOOGLETRANSLATE(H71,""EN"",""ES"")"),"Otro")</f>
        <v>Otro</v>
      </c>
      <c r="J71" s="26" t="s">
        <v>27</v>
      </c>
      <c r="K71" s="17">
        <v>0.0</v>
      </c>
      <c r="L71" s="25"/>
      <c r="M71" s="31"/>
      <c r="N71" s="29"/>
      <c r="O71" s="29"/>
      <c r="P71" s="20">
        <v>0.0</v>
      </c>
      <c r="Q71" s="31"/>
      <c r="R71" s="31"/>
      <c r="S71" s="36"/>
      <c r="T71" s="32"/>
    </row>
    <row r="72">
      <c r="A72" s="33" t="s">
        <v>575</v>
      </c>
      <c r="B72" s="11" t="s">
        <v>576</v>
      </c>
      <c r="C72" s="12">
        <v>45299.0</v>
      </c>
      <c r="D72" s="11" t="s">
        <v>577</v>
      </c>
      <c r="E72" s="13" t="s">
        <v>578</v>
      </c>
      <c r="F72" s="14" t="s">
        <v>579</v>
      </c>
      <c r="G72" s="14" t="s">
        <v>580</v>
      </c>
      <c r="H72" s="15" t="s">
        <v>130</v>
      </c>
      <c r="I72" s="15" t="str">
        <f>IFERROR(__xludf.DUMMYFUNCTION("GOOGLETRANSLATE(H72,""EN"",""ES"")"),"Sostenibilidad")</f>
        <v>Sostenibilidad</v>
      </c>
      <c r="J72" s="16" t="s">
        <v>35</v>
      </c>
      <c r="K72" s="27">
        <v>0.7</v>
      </c>
      <c r="L72" s="16" t="s">
        <v>581</v>
      </c>
      <c r="M72" s="34" t="s">
        <v>582</v>
      </c>
      <c r="N72" s="19" t="s">
        <v>583</v>
      </c>
      <c r="O72" s="19" t="str">
        <f>IFERROR(__xludf.DUMMYFUNCTION("GOOGLETRANSLATE(N72,""EN"",""ES"")"),"La colaboración en proyectos de combustibles renovables fortalece la reputación de sostenibilidad de Repsol.")</f>
        <v>La colaboración en proyectos de combustibles renovables fortalece la reputación de sostenibilidad de Repsol.</v>
      </c>
      <c r="P72" s="30">
        <v>0.7</v>
      </c>
      <c r="Q72" s="18" t="str">
        <f>IFERROR(__xludf.DUMMYFUNCTION("GOOGLETRANSLATE(R72,""ES"",""EN"")"),"renewable fuels")</f>
        <v>renewable fuels</v>
      </c>
      <c r="R72" s="34" t="s">
        <v>584</v>
      </c>
      <c r="S72" s="35" t="s">
        <v>585</v>
      </c>
      <c r="T72" s="22" t="s">
        <v>586</v>
      </c>
    </row>
    <row r="73">
      <c r="A73" s="23" t="s">
        <v>587</v>
      </c>
      <c r="B73" s="11" t="s">
        <v>163</v>
      </c>
      <c r="C73" s="12">
        <v>45299.0</v>
      </c>
      <c r="D73" s="11" t="s">
        <v>588</v>
      </c>
      <c r="E73" s="13" t="s">
        <v>589</v>
      </c>
      <c r="F73" s="24" t="s">
        <v>590</v>
      </c>
      <c r="G73" s="24" t="s">
        <v>591</v>
      </c>
      <c r="H73" s="25" t="s">
        <v>55</v>
      </c>
      <c r="I73" s="25" t="str">
        <f>IFERROR(__xludf.DUMMYFUNCTION("GOOGLETRANSLATE(H73,""EN"",""ES"")"),"deportes de motor")</f>
        <v>deportes de motor</v>
      </c>
      <c r="J73" s="26" t="s">
        <v>27</v>
      </c>
      <c r="K73" s="17">
        <v>0.0</v>
      </c>
      <c r="L73" s="25"/>
      <c r="M73" s="31"/>
      <c r="N73" s="29"/>
      <c r="O73" s="29"/>
      <c r="P73" s="20">
        <v>0.0</v>
      </c>
      <c r="Q73" s="31"/>
      <c r="R73" s="31"/>
      <c r="S73" s="36"/>
      <c r="T73" s="32"/>
    </row>
    <row r="74">
      <c r="A74" s="33" t="s">
        <v>592</v>
      </c>
      <c r="B74" s="11" t="s">
        <v>593</v>
      </c>
      <c r="C74" s="12">
        <v>45299.0</v>
      </c>
      <c r="D74" s="11" t="s">
        <v>594</v>
      </c>
      <c r="E74" s="13" t="s">
        <v>595</v>
      </c>
      <c r="F74" s="14" t="s">
        <v>596</v>
      </c>
      <c r="G74" s="14" t="s">
        <v>597</v>
      </c>
      <c r="H74" s="15" t="s">
        <v>598</v>
      </c>
      <c r="I74" s="15" t="str">
        <f>IFERROR(__xludf.DUMMYFUNCTION("GOOGLETRANSLATE(H74,""EN"",""ES"")"),"Expansión empresarial")</f>
        <v>Expansión empresarial</v>
      </c>
      <c r="J74" s="16" t="s">
        <v>27</v>
      </c>
      <c r="K74" s="17">
        <v>0.0</v>
      </c>
      <c r="L74" s="15"/>
      <c r="M74" s="18"/>
      <c r="N74" s="19"/>
      <c r="O74" s="19"/>
      <c r="P74" s="20">
        <v>0.0</v>
      </c>
      <c r="Q74" s="18"/>
      <c r="R74" s="18"/>
      <c r="S74" s="35"/>
      <c r="T74" s="22"/>
    </row>
    <row r="75">
      <c r="A75" s="23" t="s">
        <v>599</v>
      </c>
      <c r="B75" s="11" t="s">
        <v>21</v>
      </c>
      <c r="C75" s="12">
        <v>45299.0</v>
      </c>
      <c r="D75" s="11" t="s">
        <v>600</v>
      </c>
      <c r="E75" s="13" t="s">
        <v>601</v>
      </c>
      <c r="F75" s="24" t="s">
        <v>602</v>
      </c>
      <c r="G75" s="24" t="s">
        <v>603</v>
      </c>
      <c r="H75" s="25" t="s">
        <v>26</v>
      </c>
      <c r="I75" s="25" t="str">
        <f>IFERROR(__xludf.DUMMYFUNCTION("GOOGLETRANSLATE(H75,""EN"",""ES"")"),"Otro")</f>
        <v>Otro</v>
      </c>
      <c r="J75" s="26" t="s">
        <v>27</v>
      </c>
      <c r="K75" s="17">
        <v>0.0</v>
      </c>
      <c r="L75" s="25"/>
      <c r="M75" s="31"/>
      <c r="N75" s="29"/>
      <c r="O75" s="29"/>
      <c r="P75" s="20">
        <v>0.0</v>
      </c>
      <c r="Q75" s="31"/>
      <c r="R75" s="31"/>
      <c r="S75" s="36"/>
      <c r="T75" s="32"/>
    </row>
    <row r="76">
      <c r="A76" s="33" t="s">
        <v>604</v>
      </c>
      <c r="B76" s="11" t="s">
        <v>103</v>
      </c>
      <c r="C76" s="12">
        <v>45299.0</v>
      </c>
      <c r="D76" s="11" t="s">
        <v>605</v>
      </c>
      <c r="E76" s="13" t="s">
        <v>606</v>
      </c>
      <c r="F76" s="14" t="s">
        <v>607</v>
      </c>
      <c r="G76" s="14" t="s">
        <v>608</v>
      </c>
      <c r="H76" s="15" t="s">
        <v>48</v>
      </c>
      <c r="I76" s="15" t="str">
        <f>IFERROR(__xludf.DUMMYFUNCTION("GOOGLETRANSLATE(H76,""EN"",""ES"")"),"Finanzas")</f>
        <v>Finanzas</v>
      </c>
      <c r="J76" s="16" t="s">
        <v>35</v>
      </c>
      <c r="K76" s="27">
        <v>0.6</v>
      </c>
      <c r="L76" s="16" t="s">
        <v>609</v>
      </c>
      <c r="M76" s="34" t="s">
        <v>610</v>
      </c>
      <c r="N76" s="19" t="s">
        <v>611</v>
      </c>
      <c r="O76" s="19" t="str">
        <f>IFERROR(__xludf.DUMMYFUNCTION("GOOGLETRANSLATE(N76,""EN"",""ES"")"),"Los repartos de dividendos aumentan el atractivo de Repsol para los inversores.")</f>
        <v>Los repartos de dividendos aumentan el atractivo de Repsol para los inversores.</v>
      </c>
      <c r="P76" s="30">
        <v>0.6</v>
      </c>
      <c r="Q76" s="18" t="str">
        <f>IFERROR(__xludf.DUMMYFUNCTION("GOOGLETRANSLATE(R76,""ES"",""EN"")"),"dividends, Repsol shares")</f>
        <v>dividends, Repsol shares</v>
      </c>
      <c r="R76" s="34" t="s">
        <v>612</v>
      </c>
      <c r="S76" s="35" t="s">
        <v>555</v>
      </c>
      <c r="T76" s="22" t="s">
        <v>556</v>
      </c>
    </row>
    <row r="77">
      <c r="A77" s="23" t="s">
        <v>613</v>
      </c>
      <c r="B77" s="11" t="s">
        <v>614</v>
      </c>
      <c r="C77" s="12">
        <v>45300.0</v>
      </c>
      <c r="D77" s="11" t="s">
        <v>615</v>
      </c>
      <c r="E77" s="13" t="s">
        <v>616</v>
      </c>
      <c r="F77" s="24" t="s">
        <v>617</v>
      </c>
      <c r="G77" s="24" t="s">
        <v>618</v>
      </c>
      <c r="H77" s="25" t="s">
        <v>155</v>
      </c>
      <c r="I77" s="25" t="str">
        <f>IFERROR(__xludf.DUMMYFUNCTION("GOOGLETRANSLATE(H77,""EN"",""ES"")"),"Marketing")</f>
        <v>Marketing</v>
      </c>
      <c r="J77" s="26" t="s">
        <v>35</v>
      </c>
      <c r="K77" s="27">
        <v>0.6</v>
      </c>
      <c r="L77" s="26" t="s">
        <v>619</v>
      </c>
      <c r="M77" s="28" t="s">
        <v>620</v>
      </c>
      <c r="N77" s="29" t="s">
        <v>621</v>
      </c>
      <c r="O77" s="29" t="str">
        <f>IFERROR(__xludf.DUMMYFUNCTION("GOOGLETRANSLATE(N77,""EN"",""ES"")"),"El aumento de los descuentos refuerza el posicionamiento competitivo de Repsol y la fidelización de sus clientes.")</f>
        <v>El aumento de los descuentos refuerza el posicionamiento competitivo de Repsol y la fidelización de sus clientes.</v>
      </c>
      <c r="P77" s="30">
        <v>0.7</v>
      </c>
      <c r="Q77" s="31" t="str">
        <f>IFERROR(__xludf.DUMMYFUNCTION("GOOGLETRANSLATE(R77,""ES"",""EN"")"),"discounts, fuel")</f>
        <v>discounts, fuel</v>
      </c>
      <c r="R77" s="28" t="s">
        <v>622</v>
      </c>
      <c r="S77" s="36" t="s">
        <v>623</v>
      </c>
      <c r="T77" s="32" t="s">
        <v>624</v>
      </c>
    </row>
    <row r="78">
      <c r="A78" s="33" t="s">
        <v>625</v>
      </c>
      <c r="B78" s="11" t="s">
        <v>626</v>
      </c>
      <c r="C78" s="12">
        <v>45300.0</v>
      </c>
      <c r="D78" s="11" t="s">
        <v>627</v>
      </c>
      <c r="E78" s="13" t="s">
        <v>628</v>
      </c>
      <c r="F78" s="14" t="s">
        <v>629</v>
      </c>
      <c r="G78" s="14" t="s">
        <v>630</v>
      </c>
      <c r="H78" s="15" t="s">
        <v>155</v>
      </c>
      <c r="I78" s="15" t="str">
        <f>IFERROR(__xludf.DUMMYFUNCTION("GOOGLETRANSLATE(H78,""EN"",""ES"")"),"Marketing")</f>
        <v>Marketing</v>
      </c>
      <c r="J78" s="16" t="s">
        <v>35</v>
      </c>
      <c r="K78" s="27">
        <v>0.6</v>
      </c>
      <c r="L78" s="16" t="s">
        <v>631</v>
      </c>
      <c r="M78" s="34" t="s">
        <v>632</v>
      </c>
      <c r="N78" s="19" t="s">
        <v>633</v>
      </c>
      <c r="O78" s="19" t="str">
        <f>IFERROR(__xludf.DUMMYFUNCTION("GOOGLETRANSLATE(N78,""EN"",""ES"")"),"Ofrecer mayores descuentos puede mejorar la retención de clientes y la competitividad del mercado.")</f>
        <v>Ofrecer mayores descuentos puede mejorar la retención de clientes y la competitividad del mercado.</v>
      </c>
      <c r="P78" s="30">
        <v>0.7</v>
      </c>
      <c r="Q78" s="18" t="str">
        <f>IFERROR(__xludf.DUMMYFUNCTION("GOOGLETRANSLATE(R78,""ES"",""EN"")"),"discounts, commercial offer")</f>
        <v>discounts, commercial offer</v>
      </c>
      <c r="R78" s="34" t="s">
        <v>634</v>
      </c>
      <c r="S78" s="35" t="s">
        <v>635</v>
      </c>
      <c r="T78" s="22" t="s">
        <v>636</v>
      </c>
    </row>
    <row r="79">
      <c r="A79" s="23" t="s">
        <v>637</v>
      </c>
      <c r="B79" s="11" t="s">
        <v>85</v>
      </c>
      <c r="C79" s="12">
        <v>45300.0</v>
      </c>
      <c r="D79" s="11" t="s">
        <v>638</v>
      </c>
      <c r="E79" s="13" t="s">
        <v>639</v>
      </c>
      <c r="F79" s="24" t="s">
        <v>640</v>
      </c>
      <c r="G79" s="24" t="s">
        <v>641</v>
      </c>
      <c r="H79" s="25" t="s">
        <v>155</v>
      </c>
      <c r="I79" s="25" t="str">
        <f>IFERROR(__xludf.DUMMYFUNCTION("GOOGLETRANSLATE(H79,""EN"",""ES"")"),"Marketing")</f>
        <v>Marketing</v>
      </c>
      <c r="J79" s="26" t="s">
        <v>35</v>
      </c>
      <c r="K79" s="27">
        <v>0.6</v>
      </c>
      <c r="L79" s="26" t="s">
        <v>642</v>
      </c>
      <c r="M79" s="28" t="s">
        <v>643</v>
      </c>
      <c r="N79" s="29" t="s">
        <v>644</v>
      </c>
      <c r="O79" s="29" t="str">
        <f>IFERROR(__xludf.DUMMYFUNCTION("GOOGLETRANSLATE(N79,""EN"",""ES"")"),"El aumento de los beneficios de descuento puede impulsar la participación del cliente e impulsar las ventas.")</f>
        <v>El aumento de los beneficios de descuento puede impulsar la participación del cliente e impulsar las ventas.</v>
      </c>
      <c r="P79" s="30">
        <v>0.7</v>
      </c>
      <c r="Q79" s="31" t="str">
        <f>IFERROR(__xludf.DUMMYFUNCTION("GOOGLETRANSLATE(R79,""ES"",""EN"")"),"discounts, fuel")</f>
        <v>discounts, fuel</v>
      </c>
      <c r="R79" s="28" t="s">
        <v>622</v>
      </c>
      <c r="S79" s="36" t="s">
        <v>623</v>
      </c>
      <c r="T79" s="32" t="s">
        <v>624</v>
      </c>
    </row>
    <row r="80">
      <c r="A80" s="33" t="s">
        <v>645</v>
      </c>
      <c r="B80" s="11" t="s">
        <v>339</v>
      </c>
      <c r="C80" s="12">
        <v>45300.0</v>
      </c>
      <c r="D80" s="11" t="s">
        <v>646</v>
      </c>
      <c r="E80" s="13" t="s">
        <v>647</v>
      </c>
      <c r="F80" s="14" t="s">
        <v>648</v>
      </c>
      <c r="G80" s="14" t="s">
        <v>649</v>
      </c>
      <c r="H80" s="15" t="s">
        <v>130</v>
      </c>
      <c r="I80" s="15" t="str">
        <f>IFERROR(__xludf.DUMMYFUNCTION("GOOGLETRANSLATE(H80,""EN"",""ES"")"),"Sostenibilidad")</f>
        <v>Sostenibilidad</v>
      </c>
      <c r="J80" s="16" t="s">
        <v>35</v>
      </c>
      <c r="K80" s="27">
        <v>0.7</v>
      </c>
      <c r="L80" s="16" t="s">
        <v>650</v>
      </c>
      <c r="M80" s="34" t="s">
        <v>651</v>
      </c>
      <c r="N80" s="19" t="s">
        <v>652</v>
      </c>
      <c r="O80" s="19" t="str">
        <f>IFERROR(__xludf.DUMMYFUNCTION("GOOGLETRANSLATE(N80,""EN"",""ES"")"),"Suministrar energía renovable a una empresa importante como Mercadona impulsa las credenciales verdes de Repsol.")</f>
        <v>Suministrar energía renovable a una empresa importante como Mercadona impulsa las credenciales verdes de Repsol.</v>
      </c>
      <c r="P80" s="30">
        <v>0.8</v>
      </c>
      <c r="Q80" s="18" t="str">
        <f>IFERROR(__xludf.DUMMYFUNCTION("GOOGLETRANSLATE(R80,""ES"",""EN"")"),"renewable energy, PPA contracts")</f>
        <v>renewable energy, PPA contracts</v>
      </c>
      <c r="R80" s="34" t="s">
        <v>653</v>
      </c>
      <c r="S80" s="35" t="s">
        <v>654</v>
      </c>
      <c r="T80" s="22" t="s">
        <v>655</v>
      </c>
    </row>
    <row r="81">
      <c r="A81" s="23" t="s">
        <v>656</v>
      </c>
      <c r="B81" s="11" t="s">
        <v>448</v>
      </c>
      <c r="C81" s="12">
        <v>45300.0</v>
      </c>
      <c r="D81" s="11" t="s">
        <v>657</v>
      </c>
      <c r="E81" s="13" t="s">
        <v>658</v>
      </c>
      <c r="F81" s="24" t="s">
        <v>659</v>
      </c>
      <c r="G81" s="24" t="s">
        <v>660</v>
      </c>
      <c r="H81" s="25" t="s">
        <v>661</v>
      </c>
      <c r="I81" s="25" t="str">
        <f>IFERROR(__xludf.DUMMYFUNCTION("GOOGLETRANSLATE(H81,""EN"",""ES"")"),"Estrategia empresarial")</f>
        <v>Estrategia empresarial</v>
      </c>
      <c r="J81" s="26" t="s">
        <v>35</v>
      </c>
      <c r="K81" s="27">
        <v>0.6</v>
      </c>
      <c r="L81" s="26" t="s">
        <v>662</v>
      </c>
      <c r="M81" s="28" t="s">
        <v>663</v>
      </c>
      <c r="N81" s="29" t="s">
        <v>664</v>
      </c>
      <c r="O81" s="29" t="str">
        <f>IFERROR(__xludf.DUMMYFUNCTION("GOOGLETRANSLATE(N81,""EN"",""ES"")"),"La estrategia de precios competitivos de Repsol puede fortalecer su posición en el mercado.")</f>
        <v>La estrategia de precios competitivos de Repsol puede fortalecer su posición en el mercado.</v>
      </c>
      <c r="P81" s="30">
        <v>0.6</v>
      </c>
      <c r="Q81" s="31" t="str">
        <f>IFERROR(__xludf.DUMMYFUNCTION("GOOGLETRANSLATE(R81,""ES"",""EN"")"),"discounts, fuel")</f>
        <v>discounts, fuel</v>
      </c>
      <c r="R81" s="28" t="s">
        <v>622</v>
      </c>
      <c r="S81" s="36" t="s">
        <v>623</v>
      </c>
      <c r="T81" s="32" t="s">
        <v>624</v>
      </c>
    </row>
    <row r="82">
      <c r="A82" s="33" t="s">
        <v>665</v>
      </c>
      <c r="B82" s="11" t="s">
        <v>666</v>
      </c>
      <c r="C82" s="12">
        <v>45300.0</v>
      </c>
      <c r="D82" s="11" t="s">
        <v>667</v>
      </c>
      <c r="E82" s="13" t="s">
        <v>668</v>
      </c>
      <c r="F82" s="14" t="s">
        <v>669</v>
      </c>
      <c r="G82" s="14" t="s">
        <v>670</v>
      </c>
      <c r="H82" s="15" t="s">
        <v>48</v>
      </c>
      <c r="I82" s="15" t="str">
        <f>IFERROR(__xludf.DUMMYFUNCTION("GOOGLETRANSLATE(H82,""EN"",""ES"")"),"Finanzas")</f>
        <v>Finanzas</v>
      </c>
      <c r="J82" s="16" t="s">
        <v>35</v>
      </c>
      <c r="K82" s="27">
        <v>0.6</v>
      </c>
      <c r="L82" s="16" t="s">
        <v>671</v>
      </c>
      <c r="M82" s="34" t="s">
        <v>542</v>
      </c>
      <c r="N82" s="19" t="s">
        <v>672</v>
      </c>
      <c r="O82" s="19" t="str">
        <f>IFERROR(__xludf.DUMMYFUNCTION("GOOGLETRANSLATE(N82,""EN"",""ES"")"),"La mayor inversión de JP Morgan indica confianza en el futuro de Repsol.")</f>
        <v>La mayor inversión de JP Morgan indica confianza en el futuro de Repsol.</v>
      </c>
      <c r="P82" s="30">
        <v>0.7</v>
      </c>
      <c r="Q82" s="18" t="str">
        <f>IFERROR(__xludf.DUMMYFUNCTION("GOOGLETRANSLATE(R82,""ES"",""EN"")"),"JP Morgan, second largest shareholder")</f>
        <v>JP Morgan, second largest shareholder</v>
      </c>
      <c r="R82" s="34" t="s">
        <v>542</v>
      </c>
      <c r="S82" s="35" t="s">
        <v>543</v>
      </c>
      <c r="T82" s="22" t="s">
        <v>544</v>
      </c>
    </row>
    <row r="83">
      <c r="A83" s="23" t="s">
        <v>673</v>
      </c>
      <c r="B83" s="11" t="s">
        <v>674</v>
      </c>
      <c r="C83" s="12">
        <v>45300.0</v>
      </c>
      <c r="D83" s="11" t="s">
        <v>675</v>
      </c>
      <c r="E83" s="13" t="s">
        <v>676</v>
      </c>
      <c r="F83" s="24" t="s">
        <v>677</v>
      </c>
      <c r="G83" s="24" t="s">
        <v>678</v>
      </c>
      <c r="H83" s="25" t="s">
        <v>155</v>
      </c>
      <c r="I83" s="25" t="str">
        <f>IFERROR(__xludf.DUMMYFUNCTION("GOOGLETRANSLATE(H83,""EN"",""ES"")"),"Marketing")</f>
        <v>Marketing</v>
      </c>
      <c r="J83" s="26" t="s">
        <v>35</v>
      </c>
      <c r="K83" s="27">
        <v>0.6</v>
      </c>
      <c r="L83" s="26" t="s">
        <v>679</v>
      </c>
      <c r="M83" s="28" t="s">
        <v>680</v>
      </c>
      <c r="N83" s="29" t="s">
        <v>681</v>
      </c>
      <c r="O83" s="29" t="str">
        <f>IFERROR(__xludf.DUMMYFUNCTION("GOOGLETRANSLATE(N83,""EN"",""ES"")"),"El refuerzo de los descuentos puede mejorar la posición competitiva de Repsol y atraer clientes.")</f>
        <v>El refuerzo de los descuentos puede mejorar la posición competitiva de Repsol y atraer clientes.</v>
      </c>
      <c r="P83" s="30">
        <v>0.7</v>
      </c>
      <c r="Q83" s="31" t="str">
        <f>IFERROR(__xludf.DUMMYFUNCTION("GOOGLETRANSLATE(R83,""ES"",""EN"")"),"discounts, gasoline")</f>
        <v>discounts, gasoline</v>
      </c>
      <c r="R83" s="28" t="s">
        <v>682</v>
      </c>
      <c r="S83" s="36" t="s">
        <v>623</v>
      </c>
      <c r="T83" s="32" t="s">
        <v>624</v>
      </c>
    </row>
    <row r="84">
      <c r="A84" s="33" t="s">
        <v>683</v>
      </c>
      <c r="B84" s="11" t="s">
        <v>217</v>
      </c>
      <c r="C84" s="12">
        <v>45300.0</v>
      </c>
      <c r="D84" s="11" t="s">
        <v>684</v>
      </c>
      <c r="E84" s="13" t="s">
        <v>685</v>
      </c>
      <c r="F84" s="14" t="s">
        <v>686</v>
      </c>
      <c r="G84" s="14" t="s">
        <v>687</v>
      </c>
      <c r="H84" s="15" t="s">
        <v>661</v>
      </c>
      <c r="I84" s="15" t="str">
        <f>IFERROR(__xludf.DUMMYFUNCTION("GOOGLETRANSLATE(H84,""EN"",""ES"")"),"Estrategia empresarial")</f>
        <v>Estrategia empresarial</v>
      </c>
      <c r="J84" s="16" t="s">
        <v>35</v>
      </c>
      <c r="K84" s="27">
        <v>0.5</v>
      </c>
      <c r="L84" s="16" t="s">
        <v>688</v>
      </c>
      <c r="M84" s="34" t="s">
        <v>689</v>
      </c>
      <c r="N84" s="19" t="s">
        <v>690</v>
      </c>
      <c r="O84" s="19" t="str">
        <f>IFERROR(__xludf.DUMMYFUNCTION("GOOGLETRANSLATE(N84,""EN"",""ES"")"),"La presión de Repsol sobre los competidores podría influir en el mercado energético y en los precios.")</f>
        <v>La presión de Repsol sobre los competidores podría influir en el mercado energético y en los precios.</v>
      </c>
      <c r="P84" s="30">
        <v>0.7</v>
      </c>
      <c r="Q84" s="18" t="str">
        <f>IFERROR(__xludf.DUMMYFUNCTION("GOOGLETRANSLATE(R84,""ES"",""EN"")"),"discounts, electricity rate")</f>
        <v>discounts, electricity rate</v>
      </c>
      <c r="R84" s="34" t="s">
        <v>691</v>
      </c>
      <c r="S84" s="35" t="s">
        <v>623</v>
      </c>
      <c r="T84" s="22" t="s">
        <v>624</v>
      </c>
    </row>
    <row r="85">
      <c r="A85" s="23" t="s">
        <v>692</v>
      </c>
      <c r="B85" s="11" t="s">
        <v>163</v>
      </c>
      <c r="C85" s="12">
        <v>45300.0</v>
      </c>
      <c r="D85" s="11" t="s">
        <v>693</v>
      </c>
      <c r="E85" s="13" t="s">
        <v>694</v>
      </c>
      <c r="F85" s="24" t="s">
        <v>695</v>
      </c>
      <c r="G85" s="24" t="s">
        <v>696</v>
      </c>
      <c r="H85" s="25" t="s">
        <v>661</v>
      </c>
      <c r="I85" s="25" t="str">
        <f>IFERROR(__xludf.DUMMYFUNCTION("GOOGLETRANSLATE(H85,""EN"",""ES"")"),"Estrategia empresarial")</f>
        <v>Estrategia empresarial</v>
      </c>
      <c r="J85" s="26" t="s">
        <v>35</v>
      </c>
      <c r="K85" s="27">
        <v>0.6</v>
      </c>
      <c r="L85" s="26" t="s">
        <v>697</v>
      </c>
      <c r="M85" s="28" t="s">
        <v>698</v>
      </c>
      <c r="N85" s="29" t="s">
        <v>699</v>
      </c>
      <c r="O85" s="29" t="str">
        <f>IFERROR(__xludf.DUMMYFUNCTION("GOOGLETRANSLATE(N85,""EN"",""ES"")"),"Mantener descuentos agresivos fortalece la presencia de Repsol en el mercado, pero puede crear tensiones regulatorias.")</f>
        <v>Mantener descuentos agresivos fortalece la presencia de Repsol en el mercado, pero puede crear tensiones regulatorias.</v>
      </c>
      <c r="P85" s="30">
        <v>0.7</v>
      </c>
      <c r="Q85" s="31" t="str">
        <f>IFERROR(__xludf.DUMMYFUNCTION("GOOGLETRANSLATE(R85,""ES"",""EN"")"),"discounts, fuel")</f>
        <v>discounts, fuel</v>
      </c>
      <c r="R85" s="28" t="s">
        <v>700</v>
      </c>
      <c r="S85" s="36" t="s">
        <v>623</v>
      </c>
      <c r="T85" s="32" t="s">
        <v>624</v>
      </c>
    </row>
    <row r="86">
      <c r="A86" s="33" t="s">
        <v>701</v>
      </c>
      <c r="B86" s="11" t="s">
        <v>702</v>
      </c>
      <c r="C86" s="12">
        <v>45300.0</v>
      </c>
      <c r="D86" s="11" t="s">
        <v>703</v>
      </c>
      <c r="E86" s="13" t="s">
        <v>704</v>
      </c>
      <c r="F86" s="14" t="s">
        <v>705</v>
      </c>
      <c r="G86" s="14" t="s">
        <v>706</v>
      </c>
      <c r="H86" s="15" t="s">
        <v>62</v>
      </c>
      <c r="I86" s="15" t="str">
        <f>IFERROR(__xludf.DUMMYFUNCTION("GOOGLETRANSLATE(H86,""EN"",""ES"")"),"Energía")</f>
        <v>Energía</v>
      </c>
      <c r="J86" s="16" t="s">
        <v>27</v>
      </c>
      <c r="K86" s="17">
        <v>0.0</v>
      </c>
      <c r="L86" s="15"/>
      <c r="M86" s="18"/>
      <c r="N86" s="19"/>
      <c r="O86" s="19"/>
      <c r="P86" s="20">
        <v>0.0</v>
      </c>
      <c r="Q86" s="18"/>
      <c r="R86" s="18"/>
      <c r="S86" s="35"/>
      <c r="T86" s="22"/>
    </row>
    <row r="87">
      <c r="A87" s="23" t="s">
        <v>707</v>
      </c>
      <c r="B87" s="11" t="s">
        <v>21</v>
      </c>
      <c r="C87" s="12">
        <v>45300.0</v>
      </c>
      <c r="D87" s="11" t="s">
        <v>708</v>
      </c>
      <c r="E87" s="13" t="s">
        <v>709</v>
      </c>
      <c r="F87" s="24" t="s">
        <v>710</v>
      </c>
      <c r="G87" s="24" t="s">
        <v>711</v>
      </c>
      <c r="H87" s="25" t="s">
        <v>26</v>
      </c>
      <c r="I87" s="25" t="str">
        <f>IFERROR(__xludf.DUMMYFUNCTION("GOOGLETRANSLATE(H87,""EN"",""ES"")"),"Otro")</f>
        <v>Otro</v>
      </c>
      <c r="J87" s="26" t="s">
        <v>27</v>
      </c>
      <c r="K87" s="17">
        <v>0.0</v>
      </c>
      <c r="L87" s="25"/>
      <c r="M87" s="31"/>
      <c r="N87" s="29"/>
      <c r="O87" s="29"/>
      <c r="P87" s="20">
        <v>0.0</v>
      </c>
      <c r="Q87" s="31"/>
      <c r="R87" s="31"/>
      <c r="S87" s="36"/>
      <c r="T87" s="32"/>
    </row>
    <row r="88">
      <c r="A88" s="33" t="s">
        <v>712</v>
      </c>
      <c r="B88" s="11" t="s">
        <v>713</v>
      </c>
      <c r="C88" s="12">
        <v>45300.0</v>
      </c>
      <c r="D88" s="11" t="s">
        <v>714</v>
      </c>
      <c r="E88" s="13" t="s">
        <v>715</v>
      </c>
      <c r="F88" s="14" t="s">
        <v>716</v>
      </c>
      <c r="G88" s="14" t="s">
        <v>717</v>
      </c>
      <c r="H88" s="15" t="s">
        <v>155</v>
      </c>
      <c r="I88" s="15" t="str">
        <f>IFERROR(__xludf.DUMMYFUNCTION("GOOGLETRANSLATE(H88,""EN"",""ES"")"),"Marketing")</f>
        <v>Marketing</v>
      </c>
      <c r="J88" s="16" t="s">
        <v>35</v>
      </c>
      <c r="K88" s="27">
        <v>0.6</v>
      </c>
      <c r="L88" s="16" t="s">
        <v>718</v>
      </c>
      <c r="M88" s="34" t="s">
        <v>719</v>
      </c>
      <c r="N88" s="19" t="s">
        <v>720</v>
      </c>
      <c r="O88" s="19" t="str">
        <f>IFERROR(__xludf.DUMMYFUNCTION("GOOGLETRANSLATE(N88,""EN"",""ES"")"),"Los descuentos continuos pueden mejorar la lealtad de los clientes y la participación de mercado.")</f>
        <v>Los descuentos continuos pueden mejorar la lealtad de los clientes y la participación de mercado.</v>
      </c>
      <c r="P88" s="30">
        <v>0.7</v>
      </c>
      <c r="Q88" s="18" t="str">
        <f>IFERROR(__xludf.DUMMYFUNCTION("GOOGLETRANSLATE(R88,""ES"",""EN"")"),"discounts, fuel")</f>
        <v>discounts, fuel</v>
      </c>
      <c r="R88" s="34" t="s">
        <v>622</v>
      </c>
      <c r="S88" s="35" t="s">
        <v>623</v>
      </c>
      <c r="T88" s="22" t="s">
        <v>624</v>
      </c>
    </row>
    <row r="89">
      <c r="A89" s="23" t="s">
        <v>721</v>
      </c>
      <c r="B89" s="11" t="s">
        <v>163</v>
      </c>
      <c r="C89" s="12">
        <v>45300.0</v>
      </c>
      <c r="D89" s="11" t="s">
        <v>722</v>
      </c>
      <c r="E89" s="13" t="s">
        <v>723</v>
      </c>
      <c r="F89" s="24" t="s">
        <v>724</v>
      </c>
      <c r="G89" s="24" t="s">
        <v>725</v>
      </c>
      <c r="H89" s="25" t="s">
        <v>55</v>
      </c>
      <c r="I89" s="25" t="str">
        <f>IFERROR(__xludf.DUMMYFUNCTION("GOOGLETRANSLATE(H89,""EN"",""ES"")"),"deportes de motor")</f>
        <v>deportes de motor</v>
      </c>
      <c r="J89" s="26" t="s">
        <v>27</v>
      </c>
      <c r="K89" s="17">
        <v>0.0</v>
      </c>
      <c r="L89" s="25"/>
      <c r="M89" s="31"/>
      <c r="N89" s="29"/>
      <c r="O89" s="29"/>
      <c r="P89" s="20">
        <v>0.0</v>
      </c>
      <c r="Q89" s="31"/>
      <c r="R89" s="31"/>
      <c r="S89" s="36"/>
      <c r="T89" s="32"/>
    </row>
    <row r="90">
      <c r="A90" s="33" t="s">
        <v>726</v>
      </c>
      <c r="B90" s="11" t="s">
        <v>626</v>
      </c>
      <c r="C90" s="12">
        <v>45300.0</v>
      </c>
      <c r="D90" s="11" t="s">
        <v>727</v>
      </c>
      <c r="E90" s="13" t="s">
        <v>728</v>
      </c>
      <c r="F90" s="14" t="s">
        <v>729</v>
      </c>
      <c r="G90" s="14" t="s">
        <v>730</v>
      </c>
      <c r="H90" s="15" t="s">
        <v>48</v>
      </c>
      <c r="I90" s="15" t="str">
        <f>IFERROR(__xludf.DUMMYFUNCTION("GOOGLETRANSLATE(H90,""EN"",""ES"")"),"Finanzas")</f>
        <v>Finanzas</v>
      </c>
      <c r="J90" s="16" t="s">
        <v>35</v>
      </c>
      <c r="K90" s="27">
        <v>0.6</v>
      </c>
      <c r="L90" s="16" t="s">
        <v>731</v>
      </c>
      <c r="M90" s="34" t="s">
        <v>732</v>
      </c>
      <c r="N90" s="19" t="s">
        <v>733</v>
      </c>
      <c r="O90" s="19" t="str">
        <f>IFERROR(__xludf.DUMMYFUNCTION("GOOGLETRANSLATE(N90,""EN"",""ES"")"),"El aumento de la inversión por parte de un banco importante refleja la confianza en las perspectivas financieras de Repsol.")</f>
        <v>El aumento de la inversión por parte de un banco importante refleja la confianza en las perspectivas financieras de Repsol.</v>
      </c>
      <c r="P90" s="30">
        <v>0.7</v>
      </c>
      <c r="Q90" s="18" t="str">
        <f>IFERROR(__xludf.DUMMYFUNCTION("GOOGLETRANSLATE(R90,""ES"",""EN"")"),"JP Morgan, second largest shareholder")</f>
        <v>JP Morgan, second largest shareholder</v>
      </c>
      <c r="R90" s="34" t="s">
        <v>542</v>
      </c>
      <c r="S90" s="35" t="s">
        <v>543</v>
      </c>
      <c r="T90" s="22" t="s">
        <v>544</v>
      </c>
    </row>
    <row r="91">
      <c r="A91" s="23" t="s">
        <v>734</v>
      </c>
      <c r="B91" s="11" t="s">
        <v>735</v>
      </c>
      <c r="C91" s="12">
        <v>45300.0</v>
      </c>
      <c r="D91" s="11" t="s">
        <v>736</v>
      </c>
      <c r="E91" s="13" t="s">
        <v>737</v>
      </c>
      <c r="F91" s="24" t="s">
        <v>738</v>
      </c>
      <c r="G91" s="24" t="s">
        <v>739</v>
      </c>
      <c r="H91" s="25" t="s">
        <v>55</v>
      </c>
      <c r="I91" s="25" t="str">
        <f>IFERROR(__xludf.DUMMYFUNCTION("GOOGLETRANSLATE(H91,""EN"",""ES"")"),"deportes de motor")</f>
        <v>deportes de motor</v>
      </c>
      <c r="J91" s="26" t="s">
        <v>27</v>
      </c>
      <c r="K91" s="17">
        <v>0.0</v>
      </c>
      <c r="L91" s="25"/>
      <c r="M91" s="31"/>
      <c r="N91" s="29"/>
      <c r="O91" s="29"/>
      <c r="P91" s="20">
        <v>0.0</v>
      </c>
      <c r="Q91" s="31"/>
      <c r="R91" s="31"/>
      <c r="S91" s="36"/>
      <c r="T91" s="32"/>
    </row>
    <row r="92">
      <c r="A92" s="33" t="s">
        <v>740</v>
      </c>
      <c r="B92" s="11" t="s">
        <v>21</v>
      </c>
      <c r="C92" s="12">
        <v>45300.0</v>
      </c>
      <c r="D92" s="11" t="s">
        <v>741</v>
      </c>
      <c r="E92" s="13" t="s">
        <v>742</v>
      </c>
      <c r="F92" s="14" t="s">
        <v>743</v>
      </c>
      <c r="G92" s="14" t="s">
        <v>744</v>
      </c>
      <c r="H92" s="15" t="s">
        <v>148</v>
      </c>
      <c r="I92" s="15" t="str">
        <f>IFERROR(__xludf.DUMMYFUNCTION("GOOGLETRANSLATE(H92,""EN"",""ES"")"),"Gastronomía")</f>
        <v>Gastronomía</v>
      </c>
      <c r="J92" s="16" t="s">
        <v>27</v>
      </c>
      <c r="K92" s="17">
        <v>0.0</v>
      </c>
      <c r="L92" s="15"/>
      <c r="M92" s="18"/>
      <c r="N92" s="19"/>
      <c r="O92" s="19"/>
      <c r="P92" s="20">
        <v>0.0</v>
      </c>
      <c r="Q92" s="18"/>
      <c r="R92" s="18"/>
      <c r="S92" s="35"/>
      <c r="T92" s="22"/>
    </row>
    <row r="93">
      <c r="A93" s="23" t="s">
        <v>745</v>
      </c>
      <c r="B93" s="11" t="s">
        <v>85</v>
      </c>
      <c r="C93" s="12">
        <v>45300.0</v>
      </c>
      <c r="D93" s="11" t="s">
        <v>746</v>
      </c>
      <c r="E93" s="13" t="s">
        <v>747</v>
      </c>
      <c r="F93" s="24" t="s">
        <v>748</v>
      </c>
      <c r="G93" s="24" t="s">
        <v>749</v>
      </c>
      <c r="H93" s="25" t="s">
        <v>148</v>
      </c>
      <c r="I93" s="25" t="str">
        <f>IFERROR(__xludf.DUMMYFUNCTION("GOOGLETRANSLATE(H93,""EN"",""ES"")"),"Gastronomía")</f>
        <v>Gastronomía</v>
      </c>
      <c r="J93" s="26" t="s">
        <v>27</v>
      </c>
      <c r="K93" s="17">
        <v>0.0</v>
      </c>
      <c r="L93" s="25"/>
      <c r="M93" s="31"/>
      <c r="N93" s="29"/>
      <c r="O93" s="29"/>
      <c r="P93" s="20">
        <v>0.0</v>
      </c>
      <c r="Q93" s="31"/>
      <c r="R93" s="31"/>
      <c r="S93" s="36"/>
      <c r="T93" s="32"/>
    </row>
    <row r="94">
      <c r="A94" s="33" t="s">
        <v>750</v>
      </c>
      <c r="B94" s="11" t="s">
        <v>21</v>
      </c>
      <c r="C94" s="12">
        <v>45300.0</v>
      </c>
      <c r="D94" s="11" t="s">
        <v>751</v>
      </c>
      <c r="E94" s="13" t="s">
        <v>752</v>
      </c>
      <c r="F94" s="14" t="s">
        <v>753</v>
      </c>
      <c r="G94" s="14" t="s">
        <v>754</v>
      </c>
      <c r="H94" s="15" t="s">
        <v>148</v>
      </c>
      <c r="I94" s="15" t="str">
        <f>IFERROR(__xludf.DUMMYFUNCTION("GOOGLETRANSLATE(H94,""EN"",""ES"")"),"Gastronomía")</f>
        <v>Gastronomía</v>
      </c>
      <c r="J94" s="16" t="s">
        <v>27</v>
      </c>
      <c r="K94" s="17">
        <v>0.0</v>
      </c>
      <c r="L94" s="15"/>
      <c r="M94" s="18"/>
      <c r="N94" s="19"/>
      <c r="O94" s="19"/>
      <c r="P94" s="20">
        <v>0.0</v>
      </c>
      <c r="Q94" s="18"/>
      <c r="R94" s="18"/>
      <c r="S94" s="35"/>
      <c r="T94" s="22"/>
    </row>
    <row r="95">
      <c r="A95" s="23" t="s">
        <v>755</v>
      </c>
      <c r="B95" s="11" t="s">
        <v>21</v>
      </c>
      <c r="C95" s="12">
        <v>45300.0</v>
      </c>
      <c r="D95" s="11" t="s">
        <v>756</v>
      </c>
      <c r="E95" s="13" t="s">
        <v>757</v>
      </c>
      <c r="F95" s="24" t="s">
        <v>758</v>
      </c>
      <c r="G95" s="24" t="s">
        <v>759</v>
      </c>
      <c r="H95" s="25" t="s">
        <v>26</v>
      </c>
      <c r="I95" s="25" t="str">
        <f>IFERROR(__xludf.DUMMYFUNCTION("GOOGLETRANSLATE(H95,""EN"",""ES"")"),"Otro")</f>
        <v>Otro</v>
      </c>
      <c r="J95" s="26" t="s">
        <v>27</v>
      </c>
      <c r="K95" s="17">
        <v>0.0</v>
      </c>
      <c r="L95" s="25"/>
      <c r="M95" s="31"/>
      <c r="N95" s="29"/>
      <c r="O95" s="29"/>
      <c r="P95" s="20">
        <v>0.0</v>
      </c>
      <c r="Q95" s="31"/>
      <c r="R95" s="31"/>
      <c r="S95" s="36"/>
      <c r="T95" s="32"/>
    </row>
    <row r="96">
      <c r="A96" s="33" t="s">
        <v>760</v>
      </c>
      <c r="B96" s="11" t="s">
        <v>761</v>
      </c>
      <c r="C96" s="12">
        <v>45300.0</v>
      </c>
      <c r="D96" s="11" t="s">
        <v>762</v>
      </c>
      <c r="E96" s="13" t="s">
        <v>763</v>
      </c>
      <c r="F96" s="14" t="s">
        <v>764</v>
      </c>
      <c r="G96" s="14" t="s">
        <v>765</v>
      </c>
      <c r="H96" s="15" t="s">
        <v>148</v>
      </c>
      <c r="I96" s="15" t="str">
        <f>IFERROR(__xludf.DUMMYFUNCTION("GOOGLETRANSLATE(H96,""EN"",""ES"")"),"Gastronomía")</f>
        <v>Gastronomía</v>
      </c>
      <c r="J96" s="16" t="s">
        <v>27</v>
      </c>
      <c r="K96" s="17">
        <v>0.0</v>
      </c>
      <c r="L96" s="15"/>
      <c r="M96" s="18"/>
      <c r="N96" s="19"/>
      <c r="O96" s="19"/>
      <c r="P96" s="20">
        <v>0.0</v>
      </c>
      <c r="Q96" s="18"/>
      <c r="R96" s="18"/>
      <c r="S96" s="35"/>
      <c r="T96" s="22"/>
    </row>
    <row r="97">
      <c r="A97" s="23" t="s">
        <v>766</v>
      </c>
      <c r="B97" s="11" t="s">
        <v>767</v>
      </c>
      <c r="C97" s="12">
        <v>45300.0</v>
      </c>
      <c r="D97" s="11" t="s">
        <v>768</v>
      </c>
      <c r="E97" s="13" t="s">
        <v>769</v>
      </c>
      <c r="F97" s="24" t="s">
        <v>770</v>
      </c>
      <c r="G97" s="24" t="s">
        <v>288</v>
      </c>
      <c r="H97" s="25" t="s">
        <v>130</v>
      </c>
      <c r="I97" s="25" t="str">
        <f>IFERROR(__xludf.DUMMYFUNCTION("GOOGLETRANSLATE(H97,""EN"",""ES"")"),"Sostenibilidad")</f>
        <v>Sostenibilidad</v>
      </c>
      <c r="J97" s="26" t="s">
        <v>35</v>
      </c>
      <c r="K97" s="27">
        <v>0.7</v>
      </c>
      <c r="L97" s="26" t="s">
        <v>771</v>
      </c>
      <c r="M97" s="28" t="s">
        <v>772</v>
      </c>
      <c r="N97" s="29" t="s">
        <v>773</v>
      </c>
      <c r="O97" s="29" t="str">
        <f>IFERROR(__xludf.DUMMYFUNCTION("GOOGLETRANSLATE(N97,""EN"",""ES"")"),"El suministro de combustibles renovables mejora la imagen de sostenibilidad de Repsol.")</f>
        <v>El suministro de combustibles renovables mejora la imagen de sostenibilidad de Repsol.</v>
      </c>
      <c r="P97" s="30">
        <v>0.8</v>
      </c>
      <c r="Q97" s="31" t="str">
        <f>IFERROR(__xludf.DUMMYFUNCTION("GOOGLETRANSLATE(R97,""ES"",""EN"")"),"renewable fuel, Dakar Rally")</f>
        <v>renewable fuel, Dakar Rally</v>
      </c>
      <c r="R97" s="28" t="s">
        <v>292</v>
      </c>
      <c r="S97" s="36" t="s">
        <v>774</v>
      </c>
      <c r="T97" s="32" t="s">
        <v>775</v>
      </c>
    </row>
    <row r="98">
      <c r="A98" s="33" t="s">
        <v>776</v>
      </c>
      <c r="B98" s="11" t="s">
        <v>777</v>
      </c>
      <c r="C98" s="12">
        <v>45301.0</v>
      </c>
      <c r="D98" s="11" t="s">
        <v>778</v>
      </c>
      <c r="E98" s="13" t="s">
        <v>779</v>
      </c>
      <c r="F98" s="14" t="s">
        <v>780</v>
      </c>
      <c r="G98" s="14" t="s">
        <v>781</v>
      </c>
      <c r="H98" s="15" t="s">
        <v>782</v>
      </c>
      <c r="I98" s="15" t="str">
        <f>IFERROR(__xludf.DUMMYFUNCTION("GOOGLETRANSLATE(H98,""EN"",""ES"")"),"Tecnología")</f>
        <v>Tecnología</v>
      </c>
      <c r="J98" s="16" t="s">
        <v>27</v>
      </c>
      <c r="K98" s="17">
        <v>0.0</v>
      </c>
      <c r="L98" s="15"/>
      <c r="M98" s="18"/>
      <c r="N98" s="19"/>
      <c r="O98" s="19"/>
      <c r="P98" s="20">
        <v>0.0</v>
      </c>
      <c r="Q98" s="18"/>
      <c r="R98" s="18"/>
      <c r="S98" s="35"/>
      <c r="T98" s="22"/>
    </row>
    <row r="99">
      <c r="A99" s="23" t="s">
        <v>783</v>
      </c>
      <c r="B99" s="11" t="s">
        <v>217</v>
      </c>
      <c r="C99" s="12">
        <v>45301.0</v>
      </c>
      <c r="D99" s="11" t="s">
        <v>784</v>
      </c>
      <c r="E99" s="13" t="s">
        <v>785</v>
      </c>
      <c r="F99" s="24" t="s">
        <v>786</v>
      </c>
      <c r="G99" s="24" t="s">
        <v>787</v>
      </c>
      <c r="H99" s="25" t="s">
        <v>130</v>
      </c>
      <c r="I99" s="25" t="str">
        <f>IFERROR(__xludf.DUMMYFUNCTION("GOOGLETRANSLATE(H99,""EN"",""ES"")"),"Sostenibilidad")</f>
        <v>Sostenibilidad</v>
      </c>
      <c r="J99" s="26" t="s">
        <v>35</v>
      </c>
      <c r="K99" s="27">
        <v>0.7</v>
      </c>
      <c r="L99" s="26" t="s">
        <v>788</v>
      </c>
      <c r="M99" s="28" t="s">
        <v>789</v>
      </c>
      <c r="N99" s="29" t="s">
        <v>790</v>
      </c>
      <c r="O99" s="29" t="str">
        <f>IFERROR(__xludf.DUMMYFUNCTION("GOOGLETRANSLATE(N99,""EN"",""ES"")"),"Impulsar una economía circular refuerza el compromiso de Repsol con la sostenibilidad.")</f>
        <v>Impulsar una economía circular refuerza el compromiso de Repsol con la sostenibilidad.</v>
      </c>
      <c r="P99" s="30">
        <v>0.7</v>
      </c>
      <c r="Q99" s="31" t="str">
        <f>IFERROR(__xludf.DUMMYFUNCTION("GOOGLETRANSLATE(R99,""ES"",""EN"")"),"discount, used oil")</f>
        <v>discount, used oil</v>
      </c>
      <c r="R99" s="28" t="s">
        <v>791</v>
      </c>
      <c r="S99" s="36" t="s">
        <v>792</v>
      </c>
      <c r="T99" s="32" t="s">
        <v>793</v>
      </c>
    </row>
    <row r="100">
      <c r="A100" s="33" t="s">
        <v>794</v>
      </c>
      <c r="B100" s="11" t="s">
        <v>21</v>
      </c>
      <c r="C100" s="12">
        <v>45301.0</v>
      </c>
      <c r="D100" s="11" t="s">
        <v>795</v>
      </c>
      <c r="E100" s="13" t="s">
        <v>796</v>
      </c>
      <c r="F100" s="14" t="s">
        <v>797</v>
      </c>
      <c r="G100" s="14" t="s">
        <v>798</v>
      </c>
      <c r="H100" s="15" t="s">
        <v>148</v>
      </c>
      <c r="I100" s="15" t="str">
        <f>IFERROR(__xludf.DUMMYFUNCTION("GOOGLETRANSLATE(H100,""EN"",""ES"")"),"Gastronomía")</f>
        <v>Gastronomía</v>
      </c>
      <c r="J100" s="16" t="s">
        <v>27</v>
      </c>
      <c r="K100" s="17">
        <v>0.0</v>
      </c>
      <c r="L100" s="15"/>
      <c r="M100" s="18"/>
      <c r="N100" s="19"/>
      <c r="O100" s="19"/>
      <c r="P100" s="20">
        <v>0.0</v>
      </c>
      <c r="Q100" s="18"/>
      <c r="R100" s="18"/>
      <c r="S100" s="35"/>
      <c r="T100" s="22"/>
    </row>
    <row r="101">
      <c r="A101" s="23" t="s">
        <v>799</v>
      </c>
      <c r="B101" s="11" t="s">
        <v>50</v>
      </c>
      <c r="C101" s="12">
        <v>45301.0</v>
      </c>
      <c r="D101" s="11" t="s">
        <v>800</v>
      </c>
      <c r="E101" s="13" t="s">
        <v>801</v>
      </c>
      <c r="F101" s="24" t="s">
        <v>802</v>
      </c>
      <c r="G101" s="24" t="s">
        <v>803</v>
      </c>
      <c r="H101" s="25" t="s">
        <v>55</v>
      </c>
      <c r="I101" s="25" t="str">
        <f>IFERROR(__xludf.DUMMYFUNCTION("GOOGLETRANSLATE(H101,""EN"",""ES"")"),"deportes de motor")</f>
        <v>deportes de motor</v>
      </c>
      <c r="J101" s="26" t="s">
        <v>35</v>
      </c>
      <c r="K101" s="27">
        <v>0.0</v>
      </c>
      <c r="L101" s="25"/>
      <c r="M101" s="31"/>
      <c r="N101" s="29" t="s">
        <v>804</v>
      </c>
      <c r="O101" s="29" t="str">
        <f>IFERROR(__xludf.DUMMYFUNCTION("GOOGLETRANSLATE(N101,""EN"",""ES"")"),"Las noticias relacionadas con el deporte del motor no impactan en el negocio principal de Repsol.")</f>
        <v>Las noticias relacionadas con el deporte del motor no impactan en el negocio principal de Repsol.</v>
      </c>
      <c r="P101" s="30">
        <v>0.7</v>
      </c>
      <c r="Q101" s="31" t="str">
        <f>IFERROR(__xludf.DUMMYFUNCTION("GOOGLETRANSLATE(R101,""ES"",""EN"")"),"Repsol Toyota Rally Team")</f>
        <v>Repsol Toyota Rally Team</v>
      </c>
      <c r="R101" s="28" t="s">
        <v>805</v>
      </c>
      <c r="S101" s="36" t="s">
        <v>806</v>
      </c>
      <c r="T101" s="32" t="s">
        <v>807</v>
      </c>
    </row>
    <row r="102">
      <c r="A102" s="33" t="s">
        <v>808</v>
      </c>
      <c r="B102" s="11" t="s">
        <v>163</v>
      </c>
      <c r="C102" s="12">
        <v>45301.0</v>
      </c>
      <c r="D102" s="11" t="s">
        <v>809</v>
      </c>
      <c r="E102" s="13" t="s">
        <v>810</v>
      </c>
      <c r="F102" s="14" t="s">
        <v>811</v>
      </c>
      <c r="G102" s="14" t="s">
        <v>812</v>
      </c>
      <c r="H102" s="15" t="s">
        <v>55</v>
      </c>
      <c r="I102" s="15" t="str">
        <f>IFERROR(__xludf.DUMMYFUNCTION("GOOGLETRANSLATE(H102,""EN"",""ES"")"),"deportes de motor")</f>
        <v>deportes de motor</v>
      </c>
      <c r="J102" s="16" t="s">
        <v>35</v>
      </c>
      <c r="K102" s="27">
        <v>0.0</v>
      </c>
      <c r="L102" s="15"/>
      <c r="M102" s="18"/>
      <c r="N102" s="19" t="s">
        <v>813</v>
      </c>
      <c r="O102" s="19" t="str">
        <f>IFERROR(__xludf.DUMMYFUNCTION("GOOGLETRANSLATE(N102,""EN"",""ES"")"),"Los resultados del deporte del motor no impactan en las operaciones corporativas de Repsol.")</f>
        <v>Los resultados del deporte del motor no impactan en las operaciones corporativas de Repsol.</v>
      </c>
      <c r="P102" s="30">
        <v>0.7</v>
      </c>
      <c r="Q102" s="18" t="str">
        <f>IFERROR(__xludf.DUMMYFUNCTION("GOOGLETRANSLATE(R102,""ES"",""EN"")"),"Dakar Rally 2024")</f>
        <v>Dakar Rally 2024</v>
      </c>
      <c r="R102" s="34" t="s">
        <v>814</v>
      </c>
      <c r="S102" s="35" t="s">
        <v>806</v>
      </c>
      <c r="T102" s="22" t="s">
        <v>807</v>
      </c>
    </row>
    <row r="103">
      <c r="A103" s="23" t="s">
        <v>815</v>
      </c>
      <c r="B103" s="11" t="s">
        <v>816</v>
      </c>
      <c r="C103" s="12">
        <v>45301.0</v>
      </c>
      <c r="D103" s="11" t="s">
        <v>817</v>
      </c>
      <c r="E103" s="13" t="s">
        <v>818</v>
      </c>
      <c r="F103" s="24" t="s">
        <v>819</v>
      </c>
      <c r="G103" s="24" t="s">
        <v>820</v>
      </c>
      <c r="H103" s="25" t="s">
        <v>26</v>
      </c>
      <c r="I103" s="25" t="str">
        <f>IFERROR(__xludf.DUMMYFUNCTION("GOOGLETRANSLATE(H103,""EN"",""ES"")"),"Otro")</f>
        <v>Otro</v>
      </c>
      <c r="J103" s="26" t="s">
        <v>27</v>
      </c>
      <c r="K103" s="17">
        <v>0.0</v>
      </c>
      <c r="L103" s="25"/>
      <c r="M103" s="31"/>
      <c r="N103" s="29"/>
      <c r="O103" s="29"/>
      <c r="P103" s="20">
        <v>0.0</v>
      </c>
      <c r="Q103" s="31"/>
      <c r="R103" s="31"/>
      <c r="S103" s="36"/>
      <c r="T103" s="32"/>
    </row>
    <row r="104">
      <c r="A104" s="33" t="s">
        <v>821</v>
      </c>
      <c r="B104" s="11" t="s">
        <v>217</v>
      </c>
      <c r="C104" s="12">
        <v>45301.0</v>
      </c>
      <c r="D104" s="11" t="s">
        <v>822</v>
      </c>
      <c r="E104" s="13" t="s">
        <v>823</v>
      </c>
      <c r="F104" s="14" t="s">
        <v>824</v>
      </c>
      <c r="G104" s="14" t="s">
        <v>825</v>
      </c>
      <c r="H104" s="15" t="s">
        <v>130</v>
      </c>
      <c r="I104" s="15" t="str">
        <f>IFERROR(__xludf.DUMMYFUNCTION("GOOGLETRANSLATE(H104,""EN"",""ES"")"),"Sostenibilidad")</f>
        <v>Sostenibilidad</v>
      </c>
      <c r="J104" s="16" t="s">
        <v>35</v>
      </c>
      <c r="K104" s="27">
        <v>0.7</v>
      </c>
      <c r="L104" s="16" t="s">
        <v>826</v>
      </c>
      <c r="M104" s="34" t="s">
        <v>827</v>
      </c>
      <c r="N104" s="19" t="s">
        <v>828</v>
      </c>
      <c r="O104" s="19" t="str">
        <f>IFERROR(__xludf.DUMMYFUNCTION("GOOGLETRANSLATE(N104,""EN"",""ES"")"),"La promoción de los combustibles renovables en el deporte potencia la imagen de sostenibilidad de Repsol.")</f>
        <v>La promoción de los combustibles renovables en el deporte potencia la imagen de sostenibilidad de Repsol.</v>
      </c>
      <c r="P104" s="30">
        <v>0.8</v>
      </c>
      <c r="Q104" s="18" t="str">
        <f>IFERROR(__xludf.DUMMYFUNCTION("GOOGLETRANSLATE(R104,""ES"",""EN"")"),"renewable energies, sustainable mobility")</f>
        <v>renewable energies, sustainable mobility</v>
      </c>
      <c r="R104" s="34" t="s">
        <v>829</v>
      </c>
      <c r="S104" s="35" t="s">
        <v>830</v>
      </c>
      <c r="T104" s="22" t="s">
        <v>831</v>
      </c>
    </row>
    <row r="105">
      <c r="A105" s="23" t="s">
        <v>832</v>
      </c>
      <c r="B105" s="11" t="s">
        <v>85</v>
      </c>
      <c r="C105" s="12">
        <v>45301.0</v>
      </c>
      <c r="D105" s="11" t="s">
        <v>833</v>
      </c>
      <c r="E105" s="13" t="s">
        <v>834</v>
      </c>
      <c r="F105" s="24" t="s">
        <v>835</v>
      </c>
      <c r="G105" s="24" t="s">
        <v>836</v>
      </c>
      <c r="H105" s="25" t="s">
        <v>148</v>
      </c>
      <c r="I105" s="25" t="str">
        <f>IFERROR(__xludf.DUMMYFUNCTION("GOOGLETRANSLATE(H105,""EN"",""ES"")"),"Gastronomía")</f>
        <v>Gastronomía</v>
      </c>
      <c r="J105" s="26" t="s">
        <v>27</v>
      </c>
      <c r="K105" s="17">
        <v>0.0</v>
      </c>
      <c r="L105" s="25"/>
      <c r="M105" s="31"/>
      <c r="N105" s="29"/>
      <c r="O105" s="29"/>
      <c r="P105" s="20">
        <v>0.0</v>
      </c>
      <c r="Q105" s="31"/>
      <c r="R105" s="31"/>
      <c r="S105" s="36"/>
      <c r="T105" s="32"/>
    </row>
    <row r="106">
      <c r="A106" s="33" t="s">
        <v>837</v>
      </c>
      <c r="B106" s="11" t="s">
        <v>431</v>
      </c>
      <c r="C106" s="12">
        <v>45301.0</v>
      </c>
      <c r="D106" s="11" t="s">
        <v>838</v>
      </c>
      <c r="E106" s="13" t="s">
        <v>839</v>
      </c>
      <c r="F106" s="14" t="s">
        <v>840</v>
      </c>
      <c r="G106" s="14" t="s">
        <v>841</v>
      </c>
      <c r="H106" s="15" t="s">
        <v>395</v>
      </c>
      <c r="I106" s="15" t="str">
        <f>IFERROR(__xludf.DUMMYFUNCTION("GOOGLETRANSLATE(H106,""EN"",""ES"")"),"Ambiente")</f>
        <v>Ambiente</v>
      </c>
      <c r="J106" s="16" t="s">
        <v>27</v>
      </c>
      <c r="K106" s="17">
        <v>0.0</v>
      </c>
      <c r="L106" s="15"/>
      <c r="M106" s="18"/>
      <c r="N106" s="19"/>
      <c r="O106" s="19"/>
      <c r="P106" s="20">
        <v>0.0</v>
      </c>
      <c r="Q106" s="18"/>
      <c r="R106" s="18"/>
      <c r="S106" s="35"/>
      <c r="T106" s="22"/>
    </row>
    <row r="107">
      <c r="A107" s="23" t="s">
        <v>842</v>
      </c>
      <c r="B107" s="11" t="s">
        <v>21</v>
      </c>
      <c r="C107" s="12">
        <v>45301.0</v>
      </c>
      <c r="D107" s="11" t="s">
        <v>843</v>
      </c>
      <c r="E107" s="13" t="s">
        <v>844</v>
      </c>
      <c r="F107" s="38" t="s">
        <v>845</v>
      </c>
      <c r="G107" s="24" t="s">
        <v>846</v>
      </c>
      <c r="H107" s="25" t="s">
        <v>26</v>
      </c>
      <c r="I107" s="25" t="str">
        <f>IFERROR(__xludf.DUMMYFUNCTION("GOOGLETRANSLATE(H107,""EN"",""ES"")"),"Otro")</f>
        <v>Otro</v>
      </c>
      <c r="J107" s="26" t="s">
        <v>27</v>
      </c>
      <c r="K107" s="17">
        <v>0.0</v>
      </c>
      <c r="L107" s="25"/>
      <c r="M107" s="31"/>
      <c r="N107" s="29"/>
      <c r="O107" s="29"/>
      <c r="P107" s="20">
        <v>0.0</v>
      </c>
      <c r="Q107" s="31"/>
      <c r="R107" s="31"/>
      <c r="S107" s="36"/>
      <c r="T107" s="32"/>
    </row>
    <row r="108">
      <c r="A108" s="33" t="s">
        <v>847</v>
      </c>
      <c r="B108" s="11" t="s">
        <v>499</v>
      </c>
      <c r="C108" s="12">
        <v>45302.0</v>
      </c>
      <c r="D108" s="11" t="s">
        <v>848</v>
      </c>
      <c r="E108" s="13" t="s">
        <v>849</v>
      </c>
      <c r="F108" s="14" t="s">
        <v>850</v>
      </c>
      <c r="G108" s="14" t="s">
        <v>851</v>
      </c>
      <c r="H108" s="15" t="s">
        <v>598</v>
      </c>
      <c r="I108" s="15" t="str">
        <f>IFERROR(__xludf.DUMMYFUNCTION("GOOGLETRANSLATE(H108,""EN"",""ES"")"),"Expansión empresarial")</f>
        <v>Expansión empresarial</v>
      </c>
      <c r="J108" s="16" t="s">
        <v>35</v>
      </c>
      <c r="K108" s="27">
        <v>0.6</v>
      </c>
      <c r="L108" s="16" t="s">
        <v>852</v>
      </c>
      <c r="M108" s="34" t="s">
        <v>853</v>
      </c>
      <c r="N108" s="19" t="s">
        <v>854</v>
      </c>
      <c r="O108" s="19" t="str">
        <f>IFERROR(__xludf.DUMMYFUNCTION("GOOGLETRANSLATE(N108,""EN"",""ES"")"),"Las inversiones en infraestructuras pueden fortalecer la capacidad operativa de Repsol.")</f>
        <v>Las inversiones en infraestructuras pueden fortalecer la capacidad operativa de Repsol.</v>
      </c>
      <c r="P108" s="30">
        <v>0.8</v>
      </c>
      <c r="Q108" s="18" t="str">
        <f>IFERROR(__xludf.DUMMYFUNCTION("GOOGLETRANSLATE(R108,""ES"",""EN"")"),"improvements, safety, environment")</f>
        <v>improvements, safety, environment</v>
      </c>
      <c r="R108" s="34" t="s">
        <v>855</v>
      </c>
      <c r="S108" s="35" t="s">
        <v>856</v>
      </c>
      <c r="T108" s="22" t="s">
        <v>857</v>
      </c>
    </row>
    <row r="109">
      <c r="A109" s="23" t="s">
        <v>858</v>
      </c>
      <c r="B109" s="11" t="s">
        <v>859</v>
      </c>
      <c r="C109" s="12">
        <v>45302.0</v>
      </c>
      <c r="D109" s="11" t="s">
        <v>860</v>
      </c>
      <c r="E109" s="13" t="s">
        <v>861</v>
      </c>
      <c r="F109" s="24" t="s">
        <v>862</v>
      </c>
      <c r="G109" s="24" t="s">
        <v>863</v>
      </c>
      <c r="H109" s="25" t="s">
        <v>661</v>
      </c>
      <c r="I109" s="25" t="str">
        <f>IFERROR(__xludf.DUMMYFUNCTION("GOOGLETRANSLATE(H109,""EN"",""ES"")"),"Estrategia empresarial")</f>
        <v>Estrategia empresarial</v>
      </c>
      <c r="J109" s="26" t="s">
        <v>35</v>
      </c>
      <c r="K109" s="27">
        <v>0.5</v>
      </c>
      <c r="L109" s="26" t="s">
        <v>864</v>
      </c>
      <c r="M109" s="28" t="s">
        <v>865</v>
      </c>
      <c r="N109" s="29" t="s">
        <v>866</v>
      </c>
      <c r="O109" s="29" t="str">
        <f>IFERROR(__xludf.DUMMYFUNCTION("GOOGLETRANSLATE(N109,""EN"",""ES"")"),"Invertir en mejoras de refinerías puede modernizar las operaciones, pero podría interrumpir temporalmente la producción.")</f>
        <v>Invertir en mejoras de refinerías puede modernizar las operaciones, pero podría interrumpir temporalmente la producción.</v>
      </c>
      <c r="P109" s="30">
        <v>0.8</v>
      </c>
      <c r="Q109" s="31" t="str">
        <f>IFERROR(__xludf.DUMMYFUNCTION("GOOGLETRANSLATE(R109,""ES"",""EN"")"),"energy efficiency, reduce emissions")</f>
        <v>energy efficiency, reduce emissions</v>
      </c>
      <c r="R109" s="28" t="s">
        <v>867</v>
      </c>
      <c r="S109" s="36" t="s">
        <v>868</v>
      </c>
      <c r="T109" s="32" t="s">
        <v>869</v>
      </c>
    </row>
    <row r="110">
      <c r="A110" s="33" t="s">
        <v>870</v>
      </c>
      <c r="B110" s="11" t="s">
        <v>871</v>
      </c>
      <c r="C110" s="12">
        <v>45302.0</v>
      </c>
      <c r="D110" s="11" t="s">
        <v>872</v>
      </c>
      <c r="E110" s="13" t="s">
        <v>873</v>
      </c>
      <c r="F110" s="14" t="s">
        <v>874</v>
      </c>
      <c r="G110" s="14" t="s">
        <v>875</v>
      </c>
      <c r="H110" s="15" t="s">
        <v>598</v>
      </c>
      <c r="I110" s="15" t="str">
        <f>IFERROR(__xludf.DUMMYFUNCTION("GOOGLETRANSLATE(H110,""EN"",""ES"")"),"Expansión empresarial")</f>
        <v>Expansión empresarial</v>
      </c>
      <c r="J110" s="16" t="s">
        <v>35</v>
      </c>
      <c r="K110" s="27">
        <v>0.6</v>
      </c>
      <c r="L110" s="16" t="s">
        <v>876</v>
      </c>
      <c r="M110" s="34" t="s">
        <v>877</v>
      </c>
      <c r="N110" s="19" t="s">
        <v>878</v>
      </c>
      <c r="O110" s="19" t="str">
        <f>IFERROR(__xludf.DUMMYFUNCTION("GOOGLETRANSLATE(N110,""EN"",""ES"")"),"La inversión en el sector químico apoya el crecimiento y la modernización de Repsol.")</f>
        <v>La inversión en el sector químico apoya el crecimiento y la modernización de Repsol.</v>
      </c>
      <c r="P110" s="30">
        <v>0.8</v>
      </c>
      <c r="Q110" s="18" t="str">
        <f>IFERROR(__xludf.DUMMYFUNCTION("GOOGLETRANSLATE(R110,""ES"",""EN"")"),"safety, environment")</f>
        <v>safety, environment</v>
      </c>
      <c r="R110" s="34" t="s">
        <v>879</v>
      </c>
      <c r="S110" s="35" t="s">
        <v>856</v>
      </c>
      <c r="T110" s="22" t="s">
        <v>857</v>
      </c>
    </row>
    <row r="111">
      <c r="A111" s="23" t="s">
        <v>880</v>
      </c>
      <c r="B111" s="11" t="s">
        <v>881</v>
      </c>
      <c r="C111" s="12">
        <v>45302.0</v>
      </c>
      <c r="D111" s="11" t="s">
        <v>882</v>
      </c>
      <c r="E111" s="13" t="s">
        <v>883</v>
      </c>
      <c r="F111" s="24" t="s">
        <v>884</v>
      </c>
      <c r="G111" s="24" t="s">
        <v>885</v>
      </c>
      <c r="H111" s="25" t="s">
        <v>886</v>
      </c>
      <c r="I111" s="25" t="str">
        <f>IFERROR(__xludf.DUMMYFUNCTION("GOOGLETRANSLATE(H111,""EN"",""ES"")"),"Operaciones")</f>
        <v>Operaciones</v>
      </c>
      <c r="J111" s="26" t="s">
        <v>35</v>
      </c>
      <c r="K111" s="27">
        <v>-0.5</v>
      </c>
      <c r="L111" s="26" t="s">
        <v>887</v>
      </c>
      <c r="M111" s="28" t="s">
        <v>888</v>
      </c>
      <c r="N111" s="29" t="s">
        <v>889</v>
      </c>
      <c r="O111" s="29" t="str">
        <f>IFERROR(__xludf.DUMMYFUNCTION("GOOGLETRANSLATE(N111,""EN"",""ES"")"),"Si bien el mantenimiento es necesario, las paradas de producción podrían afectar la producción a corto plazo.")</f>
        <v>Si bien el mantenimiento es necesario, las paradas de producción podrían afectar la producción a corto plazo.</v>
      </c>
      <c r="P111" s="30">
        <v>0.7</v>
      </c>
      <c r="Q111" s="31" t="str">
        <f>IFERROR(__xludf.DUMMYFUNCTION("GOOGLETRANSLATE(R111,""ES"",""EN"")"),"reversal, programmed stop")</f>
        <v>reversal, programmed stop</v>
      </c>
      <c r="R111" s="28" t="s">
        <v>890</v>
      </c>
      <c r="S111" s="36" t="s">
        <v>891</v>
      </c>
      <c r="T111" s="32" t="s">
        <v>892</v>
      </c>
    </row>
    <row r="112">
      <c r="A112" s="33" t="s">
        <v>893</v>
      </c>
      <c r="B112" s="11" t="s">
        <v>894</v>
      </c>
      <c r="C112" s="12">
        <v>45302.0</v>
      </c>
      <c r="D112" s="11" t="s">
        <v>895</v>
      </c>
      <c r="E112" s="13" t="s">
        <v>896</v>
      </c>
      <c r="F112" s="14" t="s">
        <v>897</v>
      </c>
      <c r="G112" s="14" t="s">
        <v>898</v>
      </c>
      <c r="H112" s="15" t="s">
        <v>899</v>
      </c>
      <c r="I112" s="15" t="str">
        <f>IFERROR(__xludf.DUMMYFUNCTION("GOOGLETRANSLATE(H112,""EN"",""ES"")"),"Relaciones Laborales")</f>
        <v>Relaciones Laborales</v>
      </c>
      <c r="J112" s="16" t="s">
        <v>35</v>
      </c>
      <c r="K112" s="27">
        <v>-0.6</v>
      </c>
      <c r="L112" s="16" t="s">
        <v>900</v>
      </c>
      <c r="M112" s="34" t="s">
        <v>901</v>
      </c>
      <c r="N112" s="19" t="s">
        <v>902</v>
      </c>
      <c r="O112" s="19" t="str">
        <f>IFERROR(__xludf.DUMMYFUNCTION("GOOGLETRANSLATE(N112,""EN"",""ES"")"),"Las huelgas de trabajadores pueden alterar las operaciones y afectar negativamente a la imagen pública de Repsol.")</f>
        <v>Las huelgas de trabajadores pueden alterar las operaciones y afectar negativamente a la imagen pública de Repsol.</v>
      </c>
      <c r="P112" s="30">
        <v>-0.5</v>
      </c>
      <c r="Q112" s="18" t="str">
        <f>IFERROR(__xludf.DUMMYFUNCTION("GOOGLETRANSLATE(R112,""ES"",""EN"")"),"working conditions")</f>
        <v>working conditions</v>
      </c>
      <c r="R112" s="34" t="s">
        <v>903</v>
      </c>
      <c r="S112" s="35" t="s">
        <v>904</v>
      </c>
      <c r="T112" s="22" t="s">
        <v>905</v>
      </c>
    </row>
    <row r="113">
      <c r="A113" s="23" t="s">
        <v>906</v>
      </c>
      <c r="B113" s="11" t="s">
        <v>907</v>
      </c>
      <c r="C113" s="12">
        <v>45302.0</v>
      </c>
      <c r="D113" s="11" t="s">
        <v>908</v>
      </c>
      <c r="E113" s="13" t="s">
        <v>909</v>
      </c>
      <c r="F113" s="24" t="s">
        <v>910</v>
      </c>
      <c r="G113" s="24" t="s">
        <v>911</v>
      </c>
      <c r="H113" s="25" t="s">
        <v>155</v>
      </c>
      <c r="I113" s="25" t="str">
        <f>IFERROR(__xludf.DUMMYFUNCTION("GOOGLETRANSLATE(H113,""EN"",""ES"")"),"Marketing")</f>
        <v>Marketing</v>
      </c>
      <c r="J113" s="26" t="s">
        <v>35</v>
      </c>
      <c r="K113" s="27">
        <v>0.6</v>
      </c>
      <c r="L113" s="26" t="s">
        <v>912</v>
      </c>
      <c r="M113" s="28" t="s">
        <v>913</v>
      </c>
      <c r="N113" s="29" t="s">
        <v>914</v>
      </c>
      <c r="O113" s="29" t="str">
        <f>IFERROR(__xludf.DUMMYFUNCTION("GOOGLETRANSLATE(N113,""EN"",""ES"")"),"Ofrecer descuentos en combustible puede impulsar la competitividad de Repsol y la fidelización de sus clientes.")</f>
        <v>Ofrecer descuentos en combustible puede impulsar la competitividad de Repsol y la fidelización de sus clientes.</v>
      </c>
      <c r="P113" s="30">
        <v>0.7</v>
      </c>
      <c r="Q113" s="31" t="str">
        <f>IFERROR(__xludf.DUMMYFUNCTION("GOOGLETRANSLATE(R113,""ES"",""EN"")"),"discount, fuel")</f>
        <v>discount, fuel</v>
      </c>
      <c r="R113" s="28" t="s">
        <v>915</v>
      </c>
      <c r="S113" s="36" t="s">
        <v>623</v>
      </c>
      <c r="T113" s="32" t="s">
        <v>624</v>
      </c>
    </row>
    <row r="114">
      <c r="A114" s="33" t="s">
        <v>916</v>
      </c>
      <c r="B114" s="11" t="s">
        <v>21</v>
      </c>
      <c r="C114" s="12">
        <v>45302.0</v>
      </c>
      <c r="D114" s="11" t="s">
        <v>917</v>
      </c>
      <c r="E114" s="13" t="s">
        <v>918</v>
      </c>
      <c r="F114" s="14" t="s">
        <v>919</v>
      </c>
      <c r="G114" s="14" t="s">
        <v>920</v>
      </c>
      <c r="H114" s="15" t="s">
        <v>26</v>
      </c>
      <c r="I114" s="15" t="str">
        <f>IFERROR(__xludf.DUMMYFUNCTION("GOOGLETRANSLATE(H114,""EN"",""ES"")"),"Otro")</f>
        <v>Otro</v>
      </c>
      <c r="J114" s="16" t="s">
        <v>27</v>
      </c>
      <c r="K114" s="17">
        <v>0.0</v>
      </c>
      <c r="L114" s="15"/>
      <c r="M114" s="18"/>
      <c r="N114" s="19"/>
      <c r="O114" s="19"/>
      <c r="P114" s="20">
        <v>0.0</v>
      </c>
      <c r="Q114" s="18"/>
      <c r="R114" s="18"/>
      <c r="S114" s="35"/>
      <c r="T114" s="22"/>
    </row>
    <row r="115">
      <c r="A115" s="23" t="s">
        <v>921</v>
      </c>
      <c r="B115" s="11" t="s">
        <v>103</v>
      </c>
      <c r="C115" s="12">
        <v>45302.0</v>
      </c>
      <c r="D115" s="11" t="s">
        <v>922</v>
      </c>
      <c r="E115" s="13" t="s">
        <v>923</v>
      </c>
      <c r="F115" s="24" t="s">
        <v>924</v>
      </c>
      <c r="G115" s="24" t="s">
        <v>925</v>
      </c>
      <c r="H115" s="25" t="s">
        <v>62</v>
      </c>
      <c r="I115" s="25" t="str">
        <f>IFERROR(__xludf.DUMMYFUNCTION("GOOGLETRANSLATE(H115,""EN"",""ES"")"),"Energía")</f>
        <v>Energía</v>
      </c>
      <c r="J115" s="26" t="s">
        <v>35</v>
      </c>
      <c r="K115" s="27">
        <v>0.0</v>
      </c>
      <c r="L115" s="25"/>
      <c r="M115" s="31"/>
      <c r="N115" s="29" t="s">
        <v>926</v>
      </c>
      <c r="O115" s="29" t="str">
        <f>IFERROR(__xludf.DUMMYFUNCTION("GOOGLETRANSLATE(N115,""EN"",""ES"")"),"Este asunto legal no impacta directamente a Repsol.")</f>
        <v>Este asunto legal no impacta directamente a Repsol.</v>
      </c>
      <c r="P115" s="30">
        <v>0.0</v>
      </c>
      <c r="Q115" s="31"/>
      <c r="R115" s="31"/>
      <c r="S115" s="36" t="s">
        <v>469</v>
      </c>
      <c r="T115" s="32" t="s">
        <v>470</v>
      </c>
    </row>
    <row r="116">
      <c r="A116" s="33" t="s">
        <v>927</v>
      </c>
      <c r="B116" s="11" t="s">
        <v>928</v>
      </c>
      <c r="C116" s="12">
        <v>45302.0</v>
      </c>
      <c r="D116" s="11" t="s">
        <v>929</v>
      </c>
      <c r="E116" s="13" t="s">
        <v>930</v>
      </c>
      <c r="F116" s="14" t="s">
        <v>931</v>
      </c>
      <c r="G116" s="14" t="s">
        <v>932</v>
      </c>
      <c r="H116" s="15" t="s">
        <v>62</v>
      </c>
      <c r="I116" s="15" t="str">
        <f>IFERROR(__xludf.DUMMYFUNCTION("GOOGLETRANSLATE(H116,""EN"",""ES"")"),"Energía")</f>
        <v>Energía</v>
      </c>
      <c r="J116" s="16" t="s">
        <v>35</v>
      </c>
      <c r="K116" s="27">
        <v>0.0</v>
      </c>
      <c r="L116" s="15"/>
      <c r="M116" s="18"/>
      <c r="N116" s="19" t="s">
        <v>933</v>
      </c>
      <c r="O116" s="19" t="str">
        <f>IFERROR(__xludf.DUMMYFUNCTION("GOOGLETRANSLATE(N116,""EN"",""ES"")"),"El caso no tiene relación con Repsol.")</f>
        <v>El caso no tiene relación con Repsol.</v>
      </c>
      <c r="P116" s="30">
        <v>0.0</v>
      </c>
      <c r="Q116" s="18"/>
      <c r="R116" s="18"/>
      <c r="S116" s="35" t="s">
        <v>469</v>
      </c>
      <c r="T116" s="22" t="s">
        <v>470</v>
      </c>
    </row>
    <row r="117">
      <c r="A117" s="23" t="s">
        <v>934</v>
      </c>
      <c r="B117" s="11" t="s">
        <v>859</v>
      </c>
      <c r="C117" s="12">
        <v>45302.0</v>
      </c>
      <c r="D117" s="11" t="s">
        <v>935</v>
      </c>
      <c r="E117" s="13" t="s">
        <v>936</v>
      </c>
      <c r="F117" s="24" t="s">
        <v>937</v>
      </c>
      <c r="G117" s="24" t="s">
        <v>938</v>
      </c>
      <c r="H117" s="25" t="s">
        <v>939</v>
      </c>
      <c r="I117" s="25" t="str">
        <f>IFERROR(__xludf.DUMMYFUNCTION("GOOGLETRANSLATE(H117,""EN"",""ES"")"),"Seguridad")</f>
        <v>Seguridad</v>
      </c>
      <c r="J117" s="26" t="s">
        <v>27</v>
      </c>
      <c r="K117" s="17">
        <v>0.0</v>
      </c>
      <c r="L117" s="25"/>
      <c r="M117" s="31"/>
      <c r="N117" s="29"/>
      <c r="O117" s="29"/>
      <c r="P117" s="20">
        <v>0.0</v>
      </c>
      <c r="Q117" s="31"/>
      <c r="R117" s="31"/>
      <c r="S117" s="36"/>
      <c r="T117" s="32"/>
    </row>
    <row r="118">
      <c r="A118" s="33" t="s">
        <v>940</v>
      </c>
      <c r="B118" s="11" t="s">
        <v>217</v>
      </c>
      <c r="C118" s="12">
        <v>45303.0</v>
      </c>
      <c r="D118" s="11" t="s">
        <v>941</v>
      </c>
      <c r="E118" s="13" t="s">
        <v>942</v>
      </c>
      <c r="F118" s="14" t="s">
        <v>943</v>
      </c>
      <c r="G118" s="14" t="s">
        <v>944</v>
      </c>
      <c r="H118" s="15" t="s">
        <v>48</v>
      </c>
      <c r="I118" s="15" t="str">
        <f>IFERROR(__xludf.DUMMYFUNCTION("GOOGLETRANSLATE(H118,""EN"",""ES"")"),"Finanzas")</f>
        <v>Finanzas</v>
      </c>
      <c r="J118" s="16" t="s">
        <v>35</v>
      </c>
      <c r="K118" s="27">
        <v>0.6</v>
      </c>
      <c r="L118" s="16" t="s">
        <v>945</v>
      </c>
      <c r="M118" s="34" t="s">
        <v>946</v>
      </c>
      <c r="N118" s="19" t="s">
        <v>947</v>
      </c>
      <c r="O118" s="19" t="str">
        <f>IFERROR(__xludf.DUMMYFUNCTION("GOOGLETRANSLATE(N118,""EN"",""ES"")"),"El aumento de la inversión por parte de BlackRock indica confianza en la salud financiera de Repsol.")</f>
        <v>El aumento de la inversión por parte de BlackRock indica confianza en la salud financiera de Repsol.</v>
      </c>
      <c r="P118" s="30">
        <v>0.6</v>
      </c>
      <c r="Q118" s="18" t="str">
        <f>IFERROR(__xludf.DUMMYFUNCTION("GOOGLETRANSLATE(R118,""ES"",""EN"")"),"BlackRock, Repsol shareholder")</f>
        <v>BlackRock, Repsol shareholder</v>
      </c>
      <c r="R118" s="34" t="s">
        <v>948</v>
      </c>
      <c r="S118" s="35" t="s">
        <v>949</v>
      </c>
      <c r="T118" s="22" t="s">
        <v>950</v>
      </c>
    </row>
    <row r="119">
      <c r="A119" s="23" t="s">
        <v>951</v>
      </c>
      <c r="B119" s="11" t="s">
        <v>952</v>
      </c>
      <c r="C119" s="12">
        <v>45303.0</v>
      </c>
      <c r="D119" s="11" t="s">
        <v>953</v>
      </c>
      <c r="E119" s="13" t="s">
        <v>954</v>
      </c>
      <c r="F119" s="24" t="s">
        <v>955</v>
      </c>
      <c r="G119" s="24" t="s">
        <v>956</v>
      </c>
      <c r="H119" s="25" t="s">
        <v>395</v>
      </c>
      <c r="I119" s="25" t="str">
        <f>IFERROR(__xludf.DUMMYFUNCTION("GOOGLETRANSLATE(H119,""EN"",""ES"")"),"Ambiente")</f>
        <v>Ambiente</v>
      </c>
      <c r="J119" s="26" t="s">
        <v>35</v>
      </c>
      <c r="K119" s="27">
        <v>-0.6</v>
      </c>
      <c r="L119" s="26" t="s">
        <v>957</v>
      </c>
      <c r="M119" s="28" t="s">
        <v>958</v>
      </c>
      <c r="N119" s="29" t="s">
        <v>959</v>
      </c>
      <c r="O119" s="29" t="str">
        <f>IFERROR(__xludf.DUMMYFUNCTION("GOOGLETRANSLATE(N119,""EN"",""ES"")"),"Las acusaciones de organizaciones podrían crear desafíos regulatorios y reputacionales para Repsol.")</f>
        <v>Las acusaciones de organizaciones podrían crear desafíos regulatorios y reputacionales para Repsol.</v>
      </c>
      <c r="P119" s="30">
        <v>0.6</v>
      </c>
      <c r="Q119" s="31" t="str">
        <f>IFERROR(__xludf.DUMMYFUNCTION("GOOGLETRANSLATE(R119,""ES"",""EN"")"),"social projects")</f>
        <v>social projects</v>
      </c>
      <c r="R119" s="28" t="s">
        <v>960</v>
      </c>
      <c r="S119" s="36" t="s">
        <v>961</v>
      </c>
      <c r="T119" s="32" t="s">
        <v>962</v>
      </c>
    </row>
    <row r="120">
      <c r="A120" s="33" t="s">
        <v>963</v>
      </c>
      <c r="B120" s="11" t="s">
        <v>964</v>
      </c>
      <c r="C120" s="12">
        <v>45303.0</v>
      </c>
      <c r="D120" s="11" t="s">
        <v>965</v>
      </c>
      <c r="E120" s="13" t="s">
        <v>966</v>
      </c>
      <c r="F120" s="14" t="s">
        <v>967</v>
      </c>
      <c r="G120" s="14" t="s">
        <v>968</v>
      </c>
      <c r="H120" s="15" t="s">
        <v>969</v>
      </c>
      <c r="I120" s="15" t="str">
        <f>IFERROR(__xludf.DUMMYFUNCTION("GOOGLETRANSLATE(H120,""EN"",""ES"")"),"Turismo")</f>
        <v>Turismo</v>
      </c>
      <c r="J120" s="16" t="s">
        <v>27</v>
      </c>
      <c r="K120" s="17">
        <v>0.0</v>
      </c>
      <c r="L120" s="15"/>
      <c r="M120" s="18"/>
      <c r="N120" s="19"/>
      <c r="O120" s="19"/>
      <c r="P120" s="20">
        <v>0.0</v>
      </c>
      <c r="Q120" s="18"/>
      <c r="R120" s="18"/>
      <c r="S120" s="35"/>
      <c r="T120" s="22"/>
    </row>
    <row r="121">
      <c r="A121" s="23" t="s">
        <v>970</v>
      </c>
      <c r="B121" s="11" t="s">
        <v>513</v>
      </c>
      <c r="C121" s="12">
        <v>45303.0</v>
      </c>
      <c r="D121" s="11" t="s">
        <v>971</v>
      </c>
      <c r="E121" s="13" t="s">
        <v>972</v>
      </c>
      <c r="F121" s="24" t="s">
        <v>973</v>
      </c>
      <c r="G121" s="24" t="s">
        <v>974</v>
      </c>
      <c r="H121" s="25" t="s">
        <v>975</v>
      </c>
      <c r="I121" s="25" t="str">
        <f>IFERROR(__xludf.DUMMYFUNCTION("GOOGLETRANSLATE(H121,""EN"",""ES"")"),"Patrocinio")</f>
        <v>Patrocinio</v>
      </c>
      <c r="J121" s="26" t="s">
        <v>27</v>
      </c>
      <c r="K121" s="17">
        <v>0.0</v>
      </c>
      <c r="L121" s="25"/>
      <c r="M121" s="31"/>
      <c r="N121" s="29"/>
      <c r="O121" s="29"/>
      <c r="P121" s="20">
        <v>0.0</v>
      </c>
      <c r="Q121" s="31"/>
      <c r="R121" s="31"/>
      <c r="S121" s="36"/>
      <c r="T121" s="32"/>
    </row>
    <row r="122">
      <c r="A122" s="33" t="s">
        <v>976</v>
      </c>
      <c r="B122" s="11" t="s">
        <v>977</v>
      </c>
      <c r="C122" s="12">
        <v>45303.0</v>
      </c>
      <c r="D122" s="11" t="s">
        <v>978</v>
      </c>
      <c r="E122" s="13" t="s">
        <v>979</v>
      </c>
      <c r="F122" s="14" t="s">
        <v>980</v>
      </c>
      <c r="G122" s="14" t="s">
        <v>981</v>
      </c>
      <c r="H122" s="15" t="s">
        <v>408</v>
      </c>
      <c r="I122" s="15" t="str">
        <f>IFERROR(__xludf.DUMMYFUNCTION("GOOGLETRANSLATE(H122,""EN"",""ES"")"),"Legal")</f>
        <v>Legal</v>
      </c>
      <c r="J122" s="16" t="s">
        <v>35</v>
      </c>
      <c r="K122" s="27">
        <v>-0.7</v>
      </c>
      <c r="L122" s="16" t="s">
        <v>982</v>
      </c>
      <c r="M122" s="34" t="s">
        <v>983</v>
      </c>
      <c r="N122" s="19" t="s">
        <v>984</v>
      </c>
      <c r="O122" s="19" t="str">
        <f>IFERROR(__xludf.DUMMYFUNCTION("GOOGLETRANSLATE(N122,""EN"",""ES"")"),"Las demandas pueden generar riesgos financieros y reputacionales para Repsol.")</f>
        <v>Las demandas pueden generar riesgos financieros y reputacionales para Repsol.</v>
      </c>
      <c r="P122" s="30">
        <v>-0.9</v>
      </c>
      <c r="Q122" s="18" t="str">
        <f>IFERROR(__xludf.DUMMYFUNCTION("GOOGLETRANSLATE(R122,""ES"",""EN"")"),"millionaire lawsuit, oil spill")</f>
        <v>millionaire lawsuit, oil spill</v>
      </c>
      <c r="R122" s="34" t="s">
        <v>985</v>
      </c>
      <c r="S122" s="35" t="s">
        <v>986</v>
      </c>
      <c r="T122" s="22" t="s">
        <v>987</v>
      </c>
    </row>
    <row r="123">
      <c r="A123" s="23" t="s">
        <v>988</v>
      </c>
      <c r="B123" s="11" t="s">
        <v>21</v>
      </c>
      <c r="C123" s="12">
        <v>45303.0</v>
      </c>
      <c r="D123" s="11" t="s">
        <v>989</v>
      </c>
      <c r="E123" s="13" t="s">
        <v>990</v>
      </c>
      <c r="F123" s="24" t="s">
        <v>991</v>
      </c>
      <c r="G123" s="24" t="s">
        <v>992</v>
      </c>
      <c r="H123" s="25" t="s">
        <v>26</v>
      </c>
      <c r="I123" s="25" t="str">
        <f>IFERROR(__xludf.DUMMYFUNCTION("GOOGLETRANSLATE(H123,""EN"",""ES"")"),"Otro")</f>
        <v>Otro</v>
      </c>
      <c r="J123" s="26" t="s">
        <v>27</v>
      </c>
      <c r="K123" s="17">
        <v>0.0</v>
      </c>
      <c r="L123" s="25"/>
      <c r="M123" s="31"/>
      <c r="N123" s="29"/>
      <c r="O123" s="29"/>
      <c r="P123" s="20">
        <v>0.0</v>
      </c>
      <c r="Q123" s="31"/>
      <c r="R123" s="31"/>
      <c r="S123" s="36"/>
      <c r="T123" s="32"/>
    </row>
    <row r="124">
      <c r="A124" s="33" t="s">
        <v>993</v>
      </c>
      <c r="B124" s="11" t="s">
        <v>163</v>
      </c>
      <c r="C124" s="12">
        <v>45303.0</v>
      </c>
      <c r="D124" s="11" t="s">
        <v>994</v>
      </c>
      <c r="E124" s="13" t="s">
        <v>995</v>
      </c>
      <c r="F124" s="14" t="s">
        <v>996</v>
      </c>
      <c r="G124" s="14" t="s">
        <v>997</v>
      </c>
      <c r="H124" s="15" t="s">
        <v>55</v>
      </c>
      <c r="I124" s="15" t="str">
        <f>IFERROR(__xludf.DUMMYFUNCTION("GOOGLETRANSLATE(H124,""EN"",""ES"")"),"deportes de motor")</f>
        <v>deportes de motor</v>
      </c>
      <c r="J124" s="16" t="s">
        <v>35</v>
      </c>
      <c r="K124" s="27">
        <v>0.0</v>
      </c>
      <c r="L124" s="15"/>
      <c r="M124" s="18"/>
      <c r="N124" s="19" t="s">
        <v>998</v>
      </c>
      <c r="O124" s="19" t="str">
        <f>IFERROR(__xludf.DUMMYFUNCTION("GOOGLETRANSLATE(N124,""EN"",""ES"")"),"Los resultados del deporte del motor no afectan a la imagen corporativa de Repsol.")</f>
        <v>Los resultados del deporte del motor no afectan a la imagen corporativa de Repsol.</v>
      </c>
      <c r="P124" s="30">
        <v>0.7</v>
      </c>
      <c r="Q124" s="18" t="str">
        <f>IFERROR(__xludf.DUMMYFUNCTION("GOOGLETRANSLATE(R124,""ES"",""EN"")"),"Dakar Rally 2024")</f>
        <v>Dakar Rally 2024</v>
      </c>
      <c r="R124" s="34" t="s">
        <v>814</v>
      </c>
      <c r="S124" s="35" t="s">
        <v>806</v>
      </c>
      <c r="T124" s="22" t="s">
        <v>807</v>
      </c>
    </row>
    <row r="125">
      <c r="A125" s="23" t="s">
        <v>999</v>
      </c>
      <c r="B125" s="11" t="s">
        <v>229</v>
      </c>
      <c r="C125" s="12">
        <v>45303.0</v>
      </c>
      <c r="D125" s="11" t="s">
        <v>1000</v>
      </c>
      <c r="E125" s="13" t="s">
        <v>1001</v>
      </c>
      <c r="F125" s="24" t="s">
        <v>1002</v>
      </c>
      <c r="G125" s="24" t="s">
        <v>1003</v>
      </c>
      <c r="H125" s="29" t="s">
        <v>62</v>
      </c>
      <c r="I125" s="25" t="str">
        <f>IFERROR(__xludf.DUMMYFUNCTION("GOOGLETRANSLATE(H125,""EN"",""ES"")"),"Energía")</f>
        <v>Energía</v>
      </c>
      <c r="J125" s="26" t="s">
        <v>27</v>
      </c>
      <c r="K125" s="17">
        <v>0.0</v>
      </c>
      <c r="L125" s="25"/>
      <c r="M125" s="31"/>
      <c r="N125" s="29"/>
      <c r="O125" s="29"/>
      <c r="P125" s="20">
        <v>0.0</v>
      </c>
      <c r="Q125" s="31"/>
      <c r="R125" s="31"/>
      <c r="S125" s="36"/>
      <c r="T125" s="32"/>
    </row>
    <row r="126">
      <c r="A126" s="33" t="s">
        <v>1004</v>
      </c>
      <c r="B126" s="11" t="s">
        <v>1005</v>
      </c>
      <c r="C126" s="12">
        <v>45303.0</v>
      </c>
      <c r="D126" s="11" t="s">
        <v>1006</v>
      </c>
      <c r="E126" s="13" t="s">
        <v>1007</v>
      </c>
      <c r="F126" s="14" t="s">
        <v>1008</v>
      </c>
      <c r="G126" s="14" t="s">
        <v>1009</v>
      </c>
      <c r="H126" s="15" t="s">
        <v>130</v>
      </c>
      <c r="I126" s="15" t="str">
        <f>IFERROR(__xludf.DUMMYFUNCTION("GOOGLETRANSLATE(H126,""EN"",""ES"")"),"Sostenibilidad")</f>
        <v>Sostenibilidad</v>
      </c>
      <c r="J126" s="16" t="s">
        <v>27</v>
      </c>
      <c r="K126" s="17">
        <v>0.0</v>
      </c>
      <c r="L126" s="15"/>
      <c r="M126" s="18"/>
      <c r="N126" s="19"/>
      <c r="O126" s="19"/>
      <c r="P126" s="20">
        <v>0.0</v>
      </c>
      <c r="Q126" s="18"/>
      <c r="R126" s="18"/>
      <c r="S126" s="35"/>
      <c r="T126" s="22"/>
    </row>
    <row r="127">
      <c r="A127" s="23" t="s">
        <v>1010</v>
      </c>
      <c r="B127" s="11" t="s">
        <v>1011</v>
      </c>
      <c r="C127" s="12">
        <v>45303.0</v>
      </c>
      <c r="D127" s="11" t="s">
        <v>1012</v>
      </c>
      <c r="E127" s="13" t="s">
        <v>1013</v>
      </c>
      <c r="F127" s="24" t="s">
        <v>1014</v>
      </c>
      <c r="G127" s="24" t="s">
        <v>1015</v>
      </c>
      <c r="H127" s="25" t="s">
        <v>408</v>
      </c>
      <c r="I127" s="25" t="str">
        <f>IFERROR(__xludf.DUMMYFUNCTION("GOOGLETRANSLATE(H127,""EN"",""ES"")"),"Legal")</f>
        <v>Legal</v>
      </c>
      <c r="J127" s="26" t="s">
        <v>35</v>
      </c>
      <c r="K127" s="27">
        <v>-0.7</v>
      </c>
      <c r="L127" s="26" t="s">
        <v>1016</v>
      </c>
      <c r="M127" s="28" t="s">
        <v>1017</v>
      </c>
      <c r="N127" s="29" t="s">
        <v>1018</v>
      </c>
      <c r="O127" s="29" t="str">
        <f>IFERROR(__xludf.DUMMYFUNCTION("GOOGLETRANSLATE(N127,""EN"",""ES"")"),"Los juicios a gran escala pueden dañar la estabilidad financiera y la reputación de Repsol.")</f>
        <v>Los juicios a gran escala pueden dañar la estabilidad financiera y la reputación de Repsol.</v>
      </c>
      <c r="P127" s="30">
        <v>-0.9</v>
      </c>
      <c r="Q127" s="31" t="str">
        <f>IFERROR(__xludf.DUMMYFUNCTION("GOOGLETRANSLATE(R127,""ES"",""EN"")"),"lawsuit, district court of The Hague")</f>
        <v>lawsuit, district court of The Hague</v>
      </c>
      <c r="R127" s="28" t="s">
        <v>1019</v>
      </c>
      <c r="S127" s="36" t="s">
        <v>1020</v>
      </c>
      <c r="T127" s="32" t="s">
        <v>1021</v>
      </c>
    </row>
    <row r="128">
      <c r="A128" s="33" t="s">
        <v>1022</v>
      </c>
      <c r="B128" s="11" t="s">
        <v>1023</v>
      </c>
      <c r="C128" s="12">
        <v>45303.0</v>
      </c>
      <c r="D128" s="11" t="s">
        <v>1024</v>
      </c>
      <c r="E128" s="13" t="s">
        <v>1025</v>
      </c>
      <c r="F128" s="14" t="s">
        <v>1026</v>
      </c>
      <c r="G128" s="14" t="s">
        <v>1027</v>
      </c>
      <c r="H128" s="15" t="s">
        <v>395</v>
      </c>
      <c r="I128" s="15" t="str">
        <f>IFERROR(__xludf.DUMMYFUNCTION("GOOGLETRANSLATE(H128,""EN"",""ES"")"),"Ambiente")</f>
        <v>Ambiente</v>
      </c>
      <c r="J128" s="16" t="s">
        <v>35</v>
      </c>
      <c r="K128" s="27">
        <v>-0.8</v>
      </c>
      <c r="L128" s="16" t="s">
        <v>1028</v>
      </c>
      <c r="M128" s="34" t="s">
        <v>1029</v>
      </c>
      <c r="N128" s="19" t="s">
        <v>1030</v>
      </c>
      <c r="O128" s="19" t="str">
        <f>IFERROR(__xludf.DUMMYFUNCTION("GOOGLETRANSLATE(N128,""EN"",""ES"")"),"Los desastres medioambientales tienen consecuencias negativas a largo plazo para la imagen de Repsol.")</f>
        <v>Los desastres medioambientales tienen consecuencias negativas a largo plazo para la imagen de Repsol.</v>
      </c>
      <c r="P128" s="30">
        <v>-0.9</v>
      </c>
      <c r="Q128" s="18" t="str">
        <f>IFERROR(__xludf.DUMMYFUNCTION("GOOGLETRANSLATE(R128,""ES"",""EN"")"),"oil spill")</f>
        <v>oil spill</v>
      </c>
      <c r="R128" s="34" t="s">
        <v>1031</v>
      </c>
      <c r="S128" s="35" t="s">
        <v>1032</v>
      </c>
      <c r="T128" s="22" t="s">
        <v>1033</v>
      </c>
    </row>
    <row r="129">
      <c r="A129" s="23" t="s">
        <v>1034</v>
      </c>
      <c r="B129" s="11" t="s">
        <v>1011</v>
      </c>
      <c r="C129" s="12">
        <v>45303.0</v>
      </c>
      <c r="D129" s="11" t="s">
        <v>1035</v>
      </c>
      <c r="E129" s="13" t="s">
        <v>1036</v>
      </c>
      <c r="F129" s="24" t="s">
        <v>1037</v>
      </c>
      <c r="G129" s="24" t="s">
        <v>1038</v>
      </c>
      <c r="H129" s="25" t="s">
        <v>408</v>
      </c>
      <c r="I129" s="25" t="str">
        <f>IFERROR(__xludf.DUMMYFUNCTION("GOOGLETRANSLATE(H129,""EN"",""ES"")"),"Legal")</f>
        <v>Legal</v>
      </c>
      <c r="J129" s="26" t="s">
        <v>35</v>
      </c>
      <c r="K129" s="27">
        <v>-0.6</v>
      </c>
      <c r="L129" s="26" t="s">
        <v>1039</v>
      </c>
      <c r="M129" s="31" t="s">
        <v>1040</v>
      </c>
      <c r="N129" s="29" t="s">
        <v>1041</v>
      </c>
      <c r="O129" s="29" t="str">
        <f>IFERROR(__xludf.DUMMYFUNCTION("GOOGLETRANSLATE(N129,""EN"",""ES"")"),"Las disputas legales en curso crean incertidumbre sobre el cumplimiento y la reputación de Repsol.")</f>
        <v>Las disputas legales en curso crean incertidumbre sobre el cumplimiento y la reputación de Repsol.</v>
      </c>
      <c r="P129" s="30">
        <v>-0.7</v>
      </c>
      <c r="Q129" s="31" t="str">
        <f>IFERROR(__xludf.DUMMYFUNCTION("GOOGLETRANSLATE(R129,""ES"",""EN"")"),"demand, La Pampilla Refinery")</f>
        <v>demand, La Pampilla Refinery</v>
      </c>
      <c r="R129" s="28" t="s">
        <v>1042</v>
      </c>
      <c r="S129" s="36" t="s">
        <v>1043</v>
      </c>
      <c r="T129" s="32" t="s">
        <v>1044</v>
      </c>
    </row>
    <row r="130">
      <c r="A130" s="33" t="s">
        <v>1045</v>
      </c>
      <c r="B130" s="11" t="s">
        <v>977</v>
      </c>
      <c r="C130" s="12">
        <v>45303.0</v>
      </c>
      <c r="D130" s="11" t="s">
        <v>1046</v>
      </c>
      <c r="E130" s="13" t="s">
        <v>1047</v>
      </c>
      <c r="F130" s="14" t="s">
        <v>1048</v>
      </c>
      <c r="G130" s="14" t="s">
        <v>1049</v>
      </c>
      <c r="H130" s="15" t="s">
        <v>62</v>
      </c>
      <c r="I130" s="15" t="str">
        <f>IFERROR(__xludf.DUMMYFUNCTION("GOOGLETRANSLATE(H130,""EN"",""ES"")"),"Energía")</f>
        <v>Energía</v>
      </c>
      <c r="J130" s="16" t="s">
        <v>35</v>
      </c>
      <c r="K130" s="27">
        <v>0.0</v>
      </c>
      <c r="L130" s="15"/>
      <c r="M130" s="18"/>
      <c r="N130" s="19" t="s">
        <v>1050</v>
      </c>
      <c r="O130" s="19" t="str">
        <f>IFERROR(__xludf.DUMMYFUNCTION("GOOGLETRANSLATE(N130,""EN"",""ES"")"),"El artículo analiza las compensaciones pasadas, que actualmente no afectan a Repsol.")</f>
        <v>El artículo analiza las compensaciones pasadas, que actualmente no afectan a Repsol.</v>
      </c>
      <c r="P130" s="30">
        <v>-0.5</v>
      </c>
      <c r="Q130" s="18" t="str">
        <f>IFERROR(__xludf.DUMMYFUNCTION("GOOGLETRANSLATE(R130,""ES"",""EN"")"),"expropriation of YPF")</f>
        <v>expropriation of YPF</v>
      </c>
      <c r="R130" s="34" t="s">
        <v>1051</v>
      </c>
      <c r="S130" s="35" t="s">
        <v>1052</v>
      </c>
      <c r="T130" s="22" t="s">
        <v>1053</v>
      </c>
    </row>
    <row r="131">
      <c r="A131" s="23" t="s">
        <v>1054</v>
      </c>
      <c r="B131" s="11" t="s">
        <v>74</v>
      </c>
      <c r="C131" s="12">
        <v>45304.0</v>
      </c>
      <c r="D131" s="11" t="s">
        <v>1055</v>
      </c>
      <c r="E131" s="13" t="s">
        <v>1056</v>
      </c>
      <c r="F131" s="24" t="s">
        <v>1057</v>
      </c>
      <c r="G131" s="24" t="s">
        <v>1058</v>
      </c>
      <c r="H131" s="25" t="s">
        <v>408</v>
      </c>
      <c r="I131" s="25" t="str">
        <f>IFERROR(__xludf.DUMMYFUNCTION("GOOGLETRANSLATE(H131,""EN"",""ES"")"),"Legal")</f>
        <v>Legal</v>
      </c>
      <c r="J131" s="26" t="s">
        <v>35</v>
      </c>
      <c r="K131" s="27">
        <v>-0.7</v>
      </c>
      <c r="L131" s="26" t="s">
        <v>1059</v>
      </c>
      <c r="M131" s="28" t="s">
        <v>1060</v>
      </c>
      <c r="N131" s="29" t="s">
        <v>1061</v>
      </c>
      <c r="O131" s="29" t="str">
        <f>IFERROR(__xludf.DUMMYFUNCTION("GOOGLETRANSLATE(N131,""EN"",""ES"")"),"Una demanda importante relacionada con daños medioambientales podría dañar las finanzas y la reputación de Repsol.")</f>
        <v>Una demanda importante relacionada con daños medioambientales podría dañar las finanzas y la reputación de Repsol.</v>
      </c>
      <c r="P131" s="30">
        <v>-0.9</v>
      </c>
      <c r="Q131" s="31" t="str">
        <f>IFERROR(__xludf.DUMMYFUNCTION("GOOGLETRANSLATE(R131,""ES"",""EN"")"),"lawsuit, oil spill")</f>
        <v>lawsuit, oil spill</v>
      </c>
      <c r="R131" s="28" t="s">
        <v>1062</v>
      </c>
      <c r="S131" s="36" t="s">
        <v>986</v>
      </c>
      <c r="T131" s="32" t="s">
        <v>987</v>
      </c>
    </row>
    <row r="132">
      <c r="A132" s="33" t="s">
        <v>1063</v>
      </c>
      <c r="B132" s="11" t="s">
        <v>103</v>
      </c>
      <c r="C132" s="12">
        <v>45304.0</v>
      </c>
      <c r="D132" s="11" t="s">
        <v>1064</v>
      </c>
      <c r="E132" s="13" t="s">
        <v>1065</v>
      </c>
      <c r="F132" s="14" t="s">
        <v>1066</v>
      </c>
      <c r="G132" s="14" t="s">
        <v>1067</v>
      </c>
      <c r="H132" s="15" t="s">
        <v>408</v>
      </c>
      <c r="I132" s="15" t="str">
        <f>IFERROR(__xludf.DUMMYFUNCTION("GOOGLETRANSLATE(H132,""EN"",""ES"")"),"Legal")</f>
        <v>Legal</v>
      </c>
      <c r="J132" s="16" t="s">
        <v>35</v>
      </c>
      <c r="K132" s="27">
        <v>-0.7</v>
      </c>
      <c r="L132" s="16" t="s">
        <v>1068</v>
      </c>
      <c r="M132" s="34" t="s">
        <v>1069</v>
      </c>
      <c r="N132" s="19" t="s">
        <v>1070</v>
      </c>
      <c r="O132" s="19" t="str">
        <f>IFERROR(__xludf.DUMMYFUNCTION("GOOGLETRANSLATE(N132,""EN"",""ES"")"),"Los juicios a gran escala por cuestiones ambientales pueden dañar la reputación y la estabilidad financiera de Repsol.")</f>
        <v>Los juicios a gran escala por cuestiones ambientales pueden dañar la reputación y la estabilidad financiera de Repsol.</v>
      </c>
      <c r="P132" s="30">
        <v>-0.9</v>
      </c>
      <c r="Q132" s="18" t="str">
        <f>IFERROR(__xludf.DUMMYFUNCTION("GOOGLETRANSLATE(R132,""ES"",""EN"")"),"lawsuit, oil spill")</f>
        <v>lawsuit, oil spill</v>
      </c>
      <c r="R132" s="34" t="s">
        <v>1062</v>
      </c>
      <c r="S132" s="35" t="s">
        <v>986</v>
      </c>
      <c r="T132" s="22" t="s">
        <v>987</v>
      </c>
    </row>
    <row r="133">
      <c r="A133" s="23" t="s">
        <v>1071</v>
      </c>
      <c r="B133" s="11" t="s">
        <v>1072</v>
      </c>
      <c r="C133" s="12">
        <v>45304.0</v>
      </c>
      <c r="D133" s="11" t="s">
        <v>1073</v>
      </c>
      <c r="E133" s="13" t="s">
        <v>1074</v>
      </c>
      <c r="F133" s="24" t="s">
        <v>1075</v>
      </c>
      <c r="G133" s="24" t="s">
        <v>1076</v>
      </c>
      <c r="H133" s="25" t="s">
        <v>408</v>
      </c>
      <c r="I133" s="25" t="str">
        <f>IFERROR(__xludf.DUMMYFUNCTION("GOOGLETRANSLATE(H133,""EN"",""ES"")"),"Legal")</f>
        <v>Legal</v>
      </c>
      <c r="J133" s="26" t="s">
        <v>35</v>
      </c>
      <c r="K133" s="27">
        <v>-0.7</v>
      </c>
      <c r="L133" s="26" t="s">
        <v>1077</v>
      </c>
      <c r="M133" s="28" t="s">
        <v>1078</v>
      </c>
      <c r="N133" s="29" t="s">
        <v>1079</v>
      </c>
      <c r="O133" s="29" t="str">
        <f>IFERROR(__xludf.DUMMYFUNCTION("GOOGLETRANSLATE(N133,""EN"",""ES"")"),"Las repetidas demandas relacionadas con los vertidos de petróleo crean riesgos reputacionales y financieros para Repsol.")</f>
        <v>Las repetidas demandas relacionadas con los vertidos de petróleo crean riesgos reputacionales y financieros para Repsol.</v>
      </c>
      <c r="P133" s="30">
        <v>-0.9</v>
      </c>
      <c r="Q133" s="31" t="str">
        <f>IFERROR(__xludf.DUMMYFUNCTION("GOOGLETRANSLATE(R133,""ES"",""EN"")"),"lawsuit, oil spill")</f>
        <v>lawsuit, oil spill</v>
      </c>
      <c r="R133" s="28" t="s">
        <v>1062</v>
      </c>
      <c r="S133" s="36" t="s">
        <v>986</v>
      </c>
      <c r="T133" s="32" t="s">
        <v>987</v>
      </c>
    </row>
    <row r="134">
      <c r="A134" s="33" t="s">
        <v>1080</v>
      </c>
      <c r="B134" s="11" t="s">
        <v>1081</v>
      </c>
      <c r="C134" s="12">
        <v>45304.0</v>
      </c>
      <c r="D134" s="11" t="s">
        <v>1082</v>
      </c>
      <c r="E134" s="13" t="s">
        <v>1083</v>
      </c>
      <c r="F134" s="14" t="s">
        <v>1084</v>
      </c>
      <c r="G134" s="14" t="s">
        <v>1085</v>
      </c>
      <c r="H134" s="15" t="s">
        <v>939</v>
      </c>
      <c r="I134" s="15" t="str">
        <f>IFERROR(__xludf.DUMMYFUNCTION("GOOGLETRANSLATE(H134,""EN"",""ES"")"),"Seguridad")</f>
        <v>Seguridad</v>
      </c>
      <c r="J134" s="16" t="s">
        <v>35</v>
      </c>
      <c r="K134" s="27">
        <v>-0.5</v>
      </c>
      <c r="L134" s="16" t="s">
        <v>1086</v>
      </c>
      <c r="M134" s="34" t="s">
        <v>1087</v>
      </c>
      <c r="N134" s="19" t="s">
        <v>1088</v>
      </c>
      <c r="O134" s="19" t="str">
        <f>IFERROR(__xludf.DUMMYFUNCTION("GOOGLETRANSLATE(N134,""EN"",""ES"")"),"Los incidentes de seguridad en las estaciones de Repsol podrían afectar ligeramente a su percepción de marca.")</f>
        <v>Los incidentes de seguridad en las estaciones de Repsol podrían afectar ligeramente a su percepción de marca.</v>
      </c>
      <c r="P134" s="30">
        <v>0.6</v>
      </c>
      <c r="Q134" s="18" t="str">
        <f>IFERROR(__xludf.DUMMYFUNCTION("GOOGLETRANSLATE(R134,""ES"",""EN"")"),"gas station, store")</f>
        <v>gas station, store</v>
      </c>
      <c r="R134" s="34" t="s">
        <v>1089</v>
      </c>
      <c r="S134" s="35" t="s">
        <v>1090</v>
      </c>
      <c r="T134" s="22" t="s">
        <v>1091</v>
      </c>
    </row>
    <row r="135">
      <c r="A135" s="23" t="s">
        <v>1092</v>
      </c>
      <c r="B135" s="11" t="s">
        <v>1093</v>
      </c>
      <c r="C135" s="12">
        <v>45304.0</v>
      </c>
      <c r="D135" s="11" t="s">
        <v>1094</v>
      </c>
      <c r="E135" s="13" t="s">
        <v>1095</v>
      </c>
      <c r="F135" s="24" t="s">
        <v>1096</v>
      </c>
      <c r="G135" s="24" t="s">
        <v>1097</v>
      </c>
      <c r="H135" s="25" t="s">
        <v>130</v>
      </c>
      <c r="I135" s="25" t="str">
        <f>IFERROR(__xludf.DUMMYFUNCTION("GOOGLETRANSLATE(H135,""EN"",""ES"")"),"Sostenibilidad")</f>
        <v>Sostenibilidad</v>
      </c>
      <c r="J135" s="26" t="s">
        <v>35</v>
      </c>
      <c r="K135" s="27">
        <v>0.7</v>
      </c>
      <c r="L135" s="26" t="s">
        <v>1098</v>
      </c>
      <c r="M135" s="28" t="s">
        <v>1099</v>
      </c>
      <c r="N135" s="29" t="s">
        <v>1100</v>
      </c>
      <c r="O135" s="29" t="str">
        <f>IFERROR(__xludf.DUMMYFUNCTION("GOOGLETRANSLATE(N135,""EN"",""ES"")"),"La inversión en infraestructuras de hidrógeno refuerza el papel de Repsol en la transición energética.")</f>
        <v>La inversión en infraestructuras de hidrógeno refuerza el papel de Repsol en la transición energética.</v>
      </c>
      <c r="P135" s="30">
        <v>0.8</v>
      </c>
      <c r="Q135" s="31" t="str">
        <f>IFERROR(__xludf.DUMMYFUNCTION("GOOGLETRANSLATE(R135,""ES"",""EN"")"),"hydrogen storage")</f>
        <v>hydrogen storage</v>
      </c>
      <c r="R135" s="28" t="s">
        <v>1101</v>
      </c>
      <c r="S135" s="36" t="s">
        <v>1102</v>
      </c>
      <c r="T135" s="32" t="s">
        <v>1103</v>
      </c>
    </row>
    <row r="136">
      <c r="A136" s="33" t="s">
        <v>1104</v>
      </c>
      <c r="B136" s="11" t="s">
        <v>1105</v>
      </c>
      <c r="C136" s="12">
        <v>45304.0</v>
      </c>
      <c r="D136" s="11" t="s">
        <v>1106</v>
      </c>
      <c r="E136" s="13" t="s">
        <v>1107</v>
      </c>
      <c r="F136" s="14" t="s">
        <v>1108</v>
      </c>
      <c r="G136" s="14" t="s">
        <v>1109</v>
      </c>
      <c r="H136" s="15" t="s">
        <v>48</v>
      </c>
      <c r="I136" s="15" t="str">
        <f>IFERROR(__xludf.DUMMYFUNCTION("GOOGLETRANSLATE(H136,""EN"",""ES"")"),"Finanzas")</f>
        <v>Finanzas</v>
      </c>
      <c r="J136" s="16" t="s">
        <v>35</v>
      </c>
      <c r="K136" s="27">
        <v>0.6</v>
      </c>
      <c r="L136" s="16" t="s">
        <v>1110</v>
      </c>
      <c r="M136" s="34" t="s">
        <v>1111</v>
      </c>
      <c r="N136" s="19" t="s">
        <v>1112</v>
      </c>
      <c r="O136" s="19" t="str">
        <f>IFERROR(__xludf.DUMMYFUNCTION("GOOGLETRANSLATE(N136,""EN"",""ES"")"),"Una mayor inversión de BlackRock indica confianza en las perspectivas financieras de Repsol.")</f>
        <v>Una mayor inversión de BlackRock indica confianza en las perspectivas financieras de Repsol.</v>
      </c>
      <c r="P136" s="30">
        <v>0.6</v>
      </c>
      <c r="Q136" s="18" t="str">
        <f>IFERROR(__xludf.DUMMYFUNCTION("GOOGLETRANSLATE(R136,""ES"",""EN"")"),"Blackrock, Repsol shareholder")</f>
        <v>Blackrock, Repsol shareholder</v>
      </c>
      <c r="R136" s="34" t="s">
        <v>1113</v>
      </c>
      <c r="S136" s="35" t="s">
        <v>949</v>
      </c>
      <c r="T136" s="22" t="s">
        <v>950</v>
      </c>
    </row>
    <row r="137">
      <c r="A137" s="23" t="s">
        <v>1114</v>
      </c>
      <c r="B137" s="11" t="s">
        <v>1115</v>
      </c>
      <c r="C137" s="12">
        <v>45304.0</v>
      </c>
      <c r="D137" s="11" t="s">
        <v>1116</v>
      </c>
      <c r="E137" s="13" t="s">
        <v>1117</v>
      </c>
      <c r="F137" s="24" t="s">
        <v>1118</v>
      </c>
      <c r="G137" s="24" t="s">
        <v>1119</v>
      </c>
      <c r="H137" s="25" t="s">
        <v>408</v>
      </c>
      <c r="I137" s="25" t="str">
        <f>IFERROR(__xludf.DUMMYFUNCTION("GOOGLETRANSLATE(H137,""EN"",""ES"")"),"Legal")</f>
        <v>Legal</v>
      </c>
      <c r="J137" s="26" t="s">
        <v>35</v>
      </c>
      <c r="K137" s="27">
        <v>-0.7</v>
      </c>
      <c r="L137" s="26" t="s">
        <v>1120</v>
      </c>
      <c r="M137" s="28" t="s">
        <v>1121</v>
      </c>
      <c r="N137" s="29" t="s">
        <v>1061</v>
      </c>
      <c r="O137" s="29" t="str">
        <f>IFERROR(__xludf.DUMMYFUNCTION("GOOGLETRANSLATE(N137,""EN"",""ES"")"),"Una demanda importante relacionada con daños medioambientales podría dañar las finanzas y la reputación de Repsol.")</f>
        <v>Una demanda importante relacionada con daños medioambientales podría dañar las finanzas y la reputación de Repsol.</v>
      </c>
      <c r="P137" s="30">
        <v>-0.9</v>
      </c>
      <c r="Q137" s="31" t="str">
        <f>IFERROR(__xludf.DUMMYFUNCTION("GOOGLETRANSLATE(R137,""ES"",""EN"")"),"lawsuit, oil spill")</f>
        <v>lawsuit, oil spill</v>
      </c>
      <c r="R137" s="28" t="s">
        <v>1062</v>
      </c>
      <c r="S137" s="36" t="s">
        <v>986</v>
      </c>
      <c r="T137" s="32" t="s">
        <v>987</v>
      </c>
    </row>
    <row r="138">
      <c r="A138" s="33" t="s">
        <v>1122</v>
      </c>
      <c r="B138" s="11" t="s">
        <v>138</v>
      </c>
      <c r="C138" s="12">
        <v>45304.0</v>
      </c>
      <c r="D138" s="11" t="s">
        <v>1123</v>
      </c>
      <c r="E138" s="13" t="s">
        <v>1124</v>
      </c>
      <c r="F138" s="14" t="s">
        <v>1125</v>
      </c>
      <c r="G138" s="14" t="s">
        <v>1126</v>
      </c>
      <c r="H138" s="15" t="s">
        <v>55</v>
      </c>
      <c r="I138" s="15" t="str">
        <f>IFERROR(__xludf.DUMMYFUNCTION("GOOGLETRANSLATE(H138,""EN"",""ES"")"),"deportes de motor")</f>
        <v>deportes de motor</v>
      </c>
      <c r="J138" s="16" t="s">
        <v>35</v>
      </c>
      <c r="K138" s="27">
        <v>0.0</v>
      </c>
      <c r="L138" s="15"/>
      <c r="M138" s="18"/>
      <c r="N138" s="19" t="s">
        <v>804</v>
      </c>
      <c r="O138" s="19" t="str">
        <f>IFERROR(__xludf.DUMMYFUNCTION("GOOGLETRANSLATE(N138,""EN"",""ES"")"),"Las noticias relacionadas con el deporte del motor no impactan en el negocio principal de Repsol.")</f>
        <v>Las noticias relacionadas con el deporte del motor no impactan en el negocio principal de Repsol.</v>
      </c>
      <c r="P138" s="30">
        <v>0.7</v>
      </c>
      <c r="Q138" s="18" t="str">
        <f>IFERROR(__xludf.DUMMYFUNCTION("GOOGLETRANSLATE(R138,""ES"",""EN"")"),"Repsol Toyota Rally Team")</f>
        <v>Repsol Toyota Rally Team</v>
      </c>
      <c r="R138" s="34" t="s">
        <v>805</v>
      </c>
      <c r="S138" s="35" t="s">
        <v>806</v>
      </c>
      <c r="T138" s="22" t="s">
        <v>807</v>
      </c>
    </row>
    <row r="139">
      <c r="A139" s="23" t="s">
        <v>1127</v>
      </c>
      <c r="B139" s="11" t="s">
        <v>1128</v>
      </c>
      <c r="C139" s="12">
        <v>45304.0</v>
      </c>
      <c r="D139" s="11" t="s">
        <v>1129</v>
      </c>
      <c r="E139" s="13" t="s">
        <v>1130</v>
      </c>
      <c r="F139" s="24" t="s">
        <v>1131</v>
      </c>
      <c r="G139" s="24" t="s">
        <v>1132</v>
      </c>
      <c r="H139" s="25" t="s">
        <v>62</v>
      </c>
      <c r="I139" s="25" t="str">
        <f>IFERROR(__xludf.DUMMYFUNCTION("GOOGLETRANSLATE(H139,""EN"",""ES"")"),"Energía")</f>
        <v>Energía</v>
      </c>
      <c r="J139" s="26" t="s">
        <v>27</v>
      </c>
      <c r="K139" s="17">
        <v>0.0</v>
      </c>
      <c r="L139" s="25"/>
      <c r="M139" s="31"/>
      <c r="N139" s="29"/>
      <c r="O139" s="29"/>
      <c r="P139" s="20">
        <v>0.0</v>
      </c>
      <c r="Q139" s="31"/>
      <c r="R139" s="31"/>
      <c r="S139" s="36"/>
      <c r="T139" s="32"/>
    </row>
    <row r="140">
      <c r="A140" s="33" t="s">
        <v>1133</v>
      </c>
      <c r="B140" s="11" t="s">
        <v>163</v>
      </c>
      <c r="C140" s="12">
        <v>45304.0</v>
      </c>
      <c r="D140" s="11" t="s">
        <v>1134</v>
      </c>
      <c r="E140" s="13" t="s">
        <v>1135</v>
      </c>
      <c r="F140" s="14" t="s">
        <v>1136</v>
      </c>
      <c r="G140" s="14" t="s">
        <v>1137</v>
      </c>
      <c r="H140" s="15" t="s">
        <v>408</v>
      </c>
      <c r="I140" s="15" t="str">
        <f>IFERROR(__xludf.DUMMYFUNCTION("GOOGLETRANSLATE(H140,""EN"",""ES"")"),"Legal")</f>
        <v>Legal</v>
      </c>
      <c r="J140" s="16" t="s">
        <v>35</v>
      </c>
      <c r="K140" s="27">
        <v>-0.8</v>
      </c>
      <c r="L140" s="16" t="s">
        <v>1138</v>
      </c>
      <c r="M140" s="34" t="s">
        <v>1139</v>
      </c>
      <c r="N140" s="19" t="s">
        <v>1140</v>
      </c>
      <c r="O140" s="19" t="str">
        <f>IFERROR(__xludf.DUMMYFUNCTION("GOOGLETRANSLATE(N140,""EN"",""ES"")"),"Los juicios a gran escala por daños ambientales impactan gravemente la marca y la posición financiera de Repsol.")</f>
        <v>Los juicios a gran escala por daños ambientales impactan gravemente la marca y la posición financiera de Repsol.</v>
      </c>
      <c r="P140" s="30">
        <v>-0.9</v>
      </c>
      <c r="Q140" s="18" t="str">
        <f>IFERROR(__xludf.DUMMYFUNCTION("GOOGLETRANSLATE(R140,""ES"",""EN"")"),"class action lawsuit, oil spill")</f>
        <v>class action lawsuit, oil spill</v>
      </c>
      <c r="R140" s="34" t="s">
        <v>1139</v>
      </c>
      <c r="S140" s="35" t="s">
        <v>986</v>
      </c>
      <c r="T140" s="22" t="s">
        <v>987</v>
      </c>
    </row>
    <row r="141">
      <c r="A141" s="23" t="s">
        <v>1141</v>
      </c>
      <c r="B141" s="11" t="s">
        <v>1142</v>
      </c>
      <c r="C141" s="12">
        <v>45305.0</v>
      </c>
      <c r="D141" s="11" t="s">
        <v>1143</v>
      </c>
      <c r="E141" s="13" t="s">
        <v>1144</v>
      </c>
      <c r="F141" s="24" t="s">
        <v>1145</v>
      </c>
      <c r="G141" s="24" t="s">
        <v>1146</v>
      </c>
      <c r="H141" s="25" t="s">
        <v>395</v>
      </c>
      <c r="I141" s="25" t="str">
        <f>IFERROR(__xludf.DUMMYFUNCTION("GOOGLETRANSLATE(H141,""EN"",""ES"")"),"Ambiente")</f>
        <v>Ambiente</v>
      </c>
      <c r="J141" s="26" t="s">
        <v>35</v>
      </c>
      <c r="K141" s="27">
        <v>-0.8</v>
      </c>
      <c r="L141" s="26" t="s">
        <v>1147</v>
      </c>
      <c r="M141" s="28" t="s">
        <v>1148</v>
      </c>
      <c r="N141" s="29" t="s">
        <v>1149</v>
      </c>
      <c r="O141" s="29" t="str">
        <f>IFERROR(__xludf.DUMMYFUNCTION("GOOGLETRANSLATE(N141,""EN"",""ES"")"),"Los continuos daños medioambientales siguen dañando la reputación y la posición regulatoria de Repsol.")</f>
        <v>Los continuos daños medioambientales siguen dañando la reputación y la posición regulatoria de Repsol.</v>
      </c>
      <c r="P141" s="30">
        <v>-0.9</v>
      </c>
      <c r="Q141" s="31" t="str">
        <f>IFERROR(__xludf.DUMMYFUNCTION("GOOGLETRANSLATE(R141,""ES"",""EN"")"),"oil spill")</f>
        <v>oil spill</v>
      </c>
      <c r="R141" s="28" t="s">
        <v>1031</v>
      </c>
      <c r="S141" s="36" t="s">
        <v>1150</v>
      </c>
      <c r="T141" s="32" t="s">
        <v>1151</v>
      </c>
    </row>
    <row r="142">
      <c r="A142" s="33" t="s">
        <v>1152</v>
      </c>
      <c r="B142" s="11" t="s">
        <v>217</v>
      </c>
      <c r="C142" s="12">
        <v>45305.0</v>
      </c>
      <c r="D142" s="11" t="s">
        <v>1153</v>
      </c>
      <c r="E142" s="13" t="s">
        <v>1154</v>
      </c>
      <c r="F142" s="14" t="s">
        <v>1155</v>
      </c>
      <c r="G142" s="14" t="s">
        <v>1156</v>
      </c>
      <c r="H142" s="15" t="s">
        <v>408</v>
      </c>
      <c r="I142" s="15" t="str">
        <f>IFERROR(__xludf.DUMMYFUNCTION("GOOGLETRANSLATE(H142,""EN"",""ES"")"),"Legal")</f>
        <v>Legal</v>
      </c>
      <c r="J142" s="16" t="s">
        <v>35</v>
      </c>
      <c r="K142" s="27">
        <v>-0.8</v>
      </c>
      <c r="L142" s="16" t="s">
        <v>1157</v>
      </c>
      <c r="M142" s="34" t="s">
        <v>1158</v>
      </c>
      <c r="N142" s="19" t="s">
        <v>1159</v>
      </c>
      <c r="O142" s="19" t="str">
        <f>IFERROR(__xludf.DUMMYFUNCTION("GOOGLETRANSLATE(N142,""EN"",""ES"")"),"Una gran demanda medioambiental podría dañar las finanzas y la reputación de Repsol.")</f>
        <v>Una gran demanda medioambiental podría dañar las finanzas y la reputación de Repsol.</v>
      </c>
      <c r="P142" s="30">
        <v>-0.9</v>
      </c>
      <c r="Q142" s="18" t="str">
        <f>IFERROR(__xludf.DUMMYFUNCTION("GOOGLETRANSLATE(R142,""ES"",""EN"")"),"demand, oil spill")</f>
        <v>demand, oil spill</v>
      </c>
      <c r="R142" s="34" t="s">
        <v>1160</v>
      </c>
      <c r="S142" s="35" t="s">
        <v>986</v>
      </c>
      <c r="T142" s="22" t="s">
        <v>987</v>
      </c>
    </row>
    <row r="143">
      <c r="A143" s="23" t="s">
        <v>1161</v>
      </c>
      <c r="B143" s="11" t="s">
        <v>163</v>
      </c>
      <c r="C143" s="12">
        <v>45305.0</v>
      </c>
      <c r="D143" s="11" t="s">
        <v>1162</v>
      </c>
      <c r="E143" s="13" t="s">
        <v>1163</v>
      </c>
      <c r="F143" s="24" t="s">
        <v>1164</v>
      </c>
      <c r="G143" s="24" t="s">
        <v>1165</v>
      </c>
      <c r="H143" s="25" t="s">
        <v>55</v>
      </c>
      <c r="I143" s="25" t="str">
        <f>IFERROR(__xludf.DUMMYFUNCTION("GOOGLETRANSLATE(H143,""EN"",""ES"")"),"deportes de motor")</f>
        <v>deportes de motor</v>
      </c>
      <c r="J143" s="26" t="s">
        <v>35</v>
      </c>
      <c r="K143" s="27">
        <v>0.0</v>
      </c>
      <c r="L143" s="25"/>
      <c r="M143" s="31"/>
      <c r="N143" s="29" t="s">
        <v>1166</v>
      </c>
      <c r="O143" s="29" t="str">
        <f>IFERROR(__xludf.DUMMYFUNCTION("GOOGLETRANSLATE(N143,""EN"",""ES"")"),"Los resultados del deporte del motor no impactan en la imagen corporativa de Repsol.")</f>
        <v>Los resultados del deporte del motor no impactan en la imagen corporativa de Repsol.</v>
      </c>
      <c r="P143" s="30">
        <v>0.7</v>
      </c>
      <c r="Q143" s="31" t="str">
        <f>IFERROR(__xludf.DUMMYFUNCTION("GOOGLETRANSLATE(R143,""ES"",""EN"")"),"Dakar Rally 2024")</f>
        <v>Dakar Rally 2024</v>
      </c>
      <c r="R143" s="28" t="s">
        <v>814</v>
      </c>
      <c r="S143" s="36" t="s">
        <v>806</v>
      </c>
      <c r="T143" s="32" t="s">
        <v>807</v>
      </c>
    </row>
    <row r="144">
      <c r="A144" s="33" t="s">
        <v>1167</v>
      </c>
      <c r="B144" s="11" t="s">
        <v>1168</v>
      </c>
      <c r="C144" s="12">
        <v>45305.0</v>
      </c>
      <c r="D144" s="11" t="s">
        <v>1169</v>
      </c>
      <c r="E144" s="13" t="s">
        <v>1170</v>
      </c>
      <c r="F144" s="14" t="s">
        <v>1171</v>
      </c>
      <c r="G144" s="14" t="s">
        <v>1172</v>
      </c>
      <c r="H144" s="15" t="s">
        <v>130</v>
      </c>
      <c r="I144" s="15" t="str">
        <f>IFERROR(__xludf.DUMMYFUNCTION("GOOGLETRANSLATE(H144,""EN"",""ES"")"),"Sostenibilidad")</f>
        <v>Sostenibilidad</v>
      </c>
      <c r="J144" s="16" t="s">
        <v>35</v>
      </c>
      <c r="K144" s="27">
        <v>0.0</v>
      </c>
      <c r="L144" s="15"/>
      <c r="M144" s="18"/>
      <c r="N144" s="19" t="s">
        <v>1173</v>
      </c>
      <c r="O144" s="19" t="str">
        <f>IFERROR(__xludf.DUMMYFUNCTION("GOOGLETRANSLATE(N144,""EN"",""ES"")"),"El artículo no menciona a Repsol, por lo que no impacta en su imagen.")</f>
        <v>El artículo no menciona a Repsol, por lo que no impacta en su imagen.</v>
      </c>
      <c r="P144" s="30">
        <v>0.7</v>
      </c>
      <c r="Q144" s="18" t="str">
        <f>IFERROR(__xludf.DUMMYFUNCTION("GOOGLETRANSLATE(R144,""ES"",""EN"")"),"investment, improve facilities")</f>
        <v>investment, improve facilities</v>
      </c>
      <c r="R144" s="34" t="s">
        <v>1174</v>
      </c>
      <c r="S144" s="35" t="s">
        <v>1175</v>
      </c>
      <c r="T144" s="22" t="s">
        <v>1176</v>
      </c>
    </row>
    <row r="145">
      <c r="A145" s="23" t="s">
        <v>1177</v>
      </c>
      <c r="B145" s="11" t="s">
        <v>1178</v>
      </c>
      <c r="C145" s="12">
        <v>45305.0</v>
      </c>
      <c r="D145" s="11" t="s">
        <v>1179</v>
      </c>
      <c r="E145" s="13" t="s">
        <v>1180</v>
      </c>
      <c r="F145" s="24" t="s">
        <v>1181</v>
      </c>
      <c r="G145" s="24" t="s">
        <v>1182</v>
      </c>
      <c r="H145" s="25" t="s">
        <v>55</v>
      </c>
      <c r="I145" s="25" t="str">
        <f>IFERROR(__xludf.DUMMYFUNCTION("GOOGLETRANSLATE(H145,""EN"",""ES"")"),"deportes de motor")</f>
        <v>deportes de motor</v>
      </c>
      <c r="J145" s="26" t="s">
        <v>27</v>
      </c>
      <c r="K145" s="17">
        <v>0.0</v>
      </c>
      <c r="L145" s="25"/>
      <c r="M145" s="31"/>
      <c r="N145" s="29"/>
      <c r="O145" s="29"/>
      <c r="P145" s="20">
        <v>0.0</v>
      </c>
      <c r="Q145" s="31"/>
      <c r="R145" s="31"/>
      <c r="S145" s="36"/>
      <c r="T145" s="32"/>
    </row>
    <row r="146">
      <c r="A146" s="33" t="s">
        <v>1183</v>
      </c>
      <c r="B146" s="11" t="s">
        <v>499</v>
      </c>
      <c r="C146" s="12">
        <v>45305.0</v>
      </c>
      <c r="D146" s="11" t="s">
        <v>1184</v>
      </c>
      <c r="E146" s="13" t="s">
        <v>1185</v>
      </c>
      <c r="F146" s="14" t="s">
        <v>1186</v>
      </c>
      <c r="G146" s="14" t="s">
        <v>1187</v>
      </c>
      <c r="H146" s="15" t="s">
        <v>48</v>
      </c>
      <c r="I146" s="15" t="str">
        <f>IFERROR(__xludf.DUMMYFUNCTION("GOOGLETRANSLATE(H146,""EN"",""ES"")"),"Finanzas")</f>
        <v>Finanzas</v>
      </c>
      <c r="J146" s="16" t="s">
        <v>35</v>
      </c>
      <c r="K146" s="27">
        <v>0.6</v>
      </c>
      <c r="L146" s="16" t="s">
        <v>1188</v>
      </c>
      <c r="M146" s="34" t="s">
        <v>1189</v>
      </c>
      <c r="N146" s="19" t="s">
        <v>1190</v>
      </c>
      <c r="O146" s="19" t="str">
        <f>IFERROR(__xludf.DUMMYFUNCTION("GOOGLETRANSLATE(N146,""EN"",""ES"")"),"La fuerte presencia de BlackRock en el sector energético, incluido Repsol, refleja la confianza de los inversores.")</f>
        <v>La fuerte presencia de BlackRock en el sector energético, incluido Repsol, refleja la confianza de los inversores.</v>
      </c>
      <c r="P146" s="30">
        <v>0.0</v>
      </c>
      <c r="Q146" s="18"/>
      <c r="R146" s="18"/>
      <c r="S146" s="35" t="s">
        <v>469</v>
      </c>
      <c r="T146" s="22" t="s">
        <v>470</v>
      </c>
    </row>
    <row r="147">
      <c r="A147" s="23" t="s">
        <v>1191</v>
      </c>
      <c r="B147" s="11" t="s">
        <v>1192</v>
      </c>
      <c r="C147" s="12">
        <v>45305.0</v>
      </c>
      <c r="D147" s="11" t="s">
        <v>1193</v>
      </c>
      <c r="E147" s="13" t="s">
        <v>1194</v>
      </c>
      <c r="F147" s="24" t="s">
        <v>1195</v>
      </c>
      <c r="G147" s="24" t="s">
        <v>1196</v>
      </c>
      <c r="H147" s="25" t="s">
        <v>55</v>
      </c>
      <c r="I147" s="25" t="str">
        <f>IFERROR(__xludf.DUMMYFUNCTION("GOOGLETRANSLATE(H147,""EN"",""ES"")"),"deportes de motor")</f>
        <v>deportes de motor</v>
      </c>
      <c r="J147" s="26" t="s">
        <v>27</v>
      </c>
      <c r="K147" s="17">
        <v>0.0</v>
      </c>
      <c r="L147" s="25"/>
      <c r="M147" s="31"/>
      <c r="N147" s="29"/>
      <c r="O147" s="29"/>
      <c r="P147" s="20">
        <v>0.0</v>
      </c>
      <c r="Q147" s="31"/>
      <c r="R147" s="31"/>
      <c r="S147" s="36"/>
      <c r="T147" s="32"/>
    </row>
    <row r="148">
      <c r="A148" s="33" t="s">
        <v>1197</v>
      </c>
      <c r="B148" s="11" t="s">
        <v>437</v>
      </c>
      <c r="C148" s="12">
        <v>45305.0</v>
      </c>
      <c r="D148" s="11" t="s">
        <v>1198</v>
      </c>
      <c r="E148" s="13" t="s">
        <v>1199</v>
      </c>
      <c r="F148" s="14" t="s">
        <v>1200</v>
      </c>
      <c r="G148" s="14" t="s">
        <v>1201</v>
      </c>
      <c r="H148" s="15" t="s">
        <v>148</v>
      </c>
      <c r="I148" s="15" t="str">
        <f>IFERROR(__xludf.DUMMYFUNCTION("GOOGLETRANSLATE(H148,""EN"",""ES"")"),"Gastronomía")</f>
        <v>Gastronomía</v>
      </c>
      <c r="J148" s="16" t="s">
        <v>27</v>
      </c>
      <c r="K148" s="17">
        <v>0.0</v>
      </c>
      <c r="L148" s="15"/>
      <c r="M148" s="18"/>
      <c r="N148" s="19"/>
      <c r="O148" s="19"/>
      <c r="P148" s="20">
        <v>0.0</v>
      </c>
      <c r="Q148" s="18"/>
      <c r="R148" s="18"/>
      <c r="S148" s="35"/>
      <c r="T148" s="22"/>
    </row>
    <row r="149">
      <c r="A149" s="23" t="s">
        <v>1202</v>
      </c>
      <c r="B149" s="11" t="s">
        <v>1203</v>
      </c>
      <c r="C149" s="12">
        <v>45305.0</v>
      </c>
      <c r="D149" s="11" t="s">
        <v>1204</v>
      </c>
      <c r="E149" s="13" t="s">
        <v>1205</v>
      </c>
      <c r="F149" s="24" t="s">
        <v>1206</v>
      </c>
      <c r="G149" s="24" t="s">
        <v>1207</v>
      </c>
      <c r="H149" s="25" t="s">
        <v>598</v>
      </c>
      <c r="I149" s="25" t="str">
        <f>IFERROR(__xludf.DUMMYFUNCTION("GOOGLETRANSLATE(H149,""EN"",""ES"")"),"Expansión empresarial")</f>
        <v>Expansión empresarial</v>
      </c>
      <c r="J149" s="26" t="s">
        <v>35</v>
      </c>
      <c r="K149" s="27">
        <v>0.7</v>
      </c>
      <c r="L149" s="26" t="s">
        <v>1208</v>
      </c>
      <c r="M149" s="28" t="s">
        <v>1209</v>
      </c>
      <c r="N149" s="29" t="s">
        <v>1210</v>
      </c>
      <c r="O149" s="29" t="str">
        <f>IFERROR(__xludf.DUMMYFUNCTION("GOOGLETRANSLATE(N149,""EN"",""ES"")"),"La ampliación de la capacidad productiva supone un crecimiento y fortalece la posición industrial de Repsol.")</f>
        <v>La ampliación de la capacidad productiva supone un crecimiento y fortalece la posición industrial de Repsol.</v>
      </c>
      <c r="P149" s="30">
        <v>0.7</v>
      </c>
      <c r="Q149" s="31" t="str">
        <f>IFERROR(__xludf.DUMMYFUNCTION("GOOGLETRANSLATE(R149,""ES"",""EN"")"),"production, Petroquiriquire")</f>
        <v>production, Petroquiriquire</v>
      </c>
      <c r="R149" s="28" t="s">
        <v>1211</v>
      </c>
      <c r="S149" s="36" t="s">
        <v>1212</v>
      </c>
      <c r="T149" s="32" t="s">
        <v>1213</v>
      </c>
    </row>
    <row r="150">
      <c r="A150" s="33" t="s">
        <v>1214</v>
      </c>
      <c r="B150" s="11" t="s">
        <v>1215</v>
      </c>
      <c r="C150" s="12">
        <v>45305.0</v>
      </c>
      <c r="D150" s="11" t="s">
        <v>1216</v>
      </c>
      <c r="E150" s="13" t="s">
        <v>1217</v>
      </c>
      <c r="F150" s="14" t="s">
        <v>1218</v>
      </c>
      <c r="G150" s="14" t="s">
        <v>1219</v>
      </c>
      <c r="H150" s="15" t="s">
        <v>395</v>
      </c>
      <c r="I150" s="15" t="str">
        <f>IFERROR(__xludf.DUMMYFUNCTION("GOOGLETRANSLATE(H150,""EN"",""ES"")"),"Ambiente")</f>
        <v>Ambiente</v>
      </c>
      <c r="J150" s="16" t="s">
        <v>35</v>
      </c>
      <c r="K150" s="27">
        <v>-0.8</v>
      </c>
      <c r="L150" s="16" t="s">
        <v>1220</v>
      </c>
      <c r="M150" s="34" t="s">
        <v>1221</v>
      </c>
      <c r="N150" s="19" t="s">
        <v>1222</v>
      </c>
      <c r="O150" s="19" t="str">
        <f>IFERROR(__xludf.DUMMYFUNCTION("GOOGLETRANSLATE(N150,""EN"",""ES"")"),"La continua discusión sobre el derrame de petróleo impacta negativamente en la reputación de Repsol.")</f>
        <v>La continua discusión sobre el derrame de petróleo impacta negativamente en la reputación de Repsol.</v>
      </c>
      <c r="P150" s="30">
        <v>-0.9</v>
      </c>
      <c r="Q150" s="18" t="str">
        <f>IFERROR(__xludf.DUMMYFUNCTION("GOOGLETRANSLATE(R150,""ES"",""EN"")"),"oil spill, disastrous")</f>
        <v>oil spill, disastrous</v>
      </c>
      <c r="R150" s="34" t="s">
        <v>1223</v>
      </c>
      <c r="S150" s="35" t="s">
        <v>1224</v>
      </c>
      <c r="T150" s="22" t="s">
        <v>1225</v>
      </c>
    </row>
    <row r="151">
      <c r="A151" s="23" t="s">
        <v>1226</v>
      </c>
      <c r="B151" s="11" t="s">
        <v>217</v>
      </c>
      <c r="C151" s="12">
        <v>45306.0</v>
      </c>
      <c r="D151" s="11" t="s">
        <v>1227</v>
      </c>
      <c r="E151" s="13" t="s">
        <v>1228</v>
      </c>
      <c r="F151" s="24" t="s">
        <v>1229</v>
      </c>
      <c r="G151" s="24" t="s">
        <v>1230</v>
      </c>
      <c r="H151" s="25" t="s">
        <v>130</v>
      </c>
      <c r="I151" s="25" t="str">
        <f>IFERROR(__xludf.DUMMYFUNCTION("GOOGLETRANSLATE(H151,""EN"",""ES"")"),"Sostenibilidad")</f>
        <v>Sostenibilidad</v>
      </c>
      <c r="J151" s="26" t="s">
        <v>35</v>
      </c>
      <c r="K151" s="27">
        <v>0.7</v>
      </c>
      <c r="L151" s="26" t="s">
        <v>1231</v>
      </c>
      <c r="M151" s="28" t="s">
        <v>1232</v>
      </c>
      <c r="N151" s="29" t="s">
        <v>1233</v>
      </c>
      <c r="O151" s="29" t="str">
        <f>IFERROR(__xludf.DUMMYFUNCTION("GOOGLETRANSLATE(N151,""EN"",""ES"")"),"La expansión al almacenamiento de energía se alinea con la estrategia de sostenibilidad y diversificación de Repsol.")</f>
        <v>La expansión al almacenamiento de energía se alinea con la estrategia de sostenibilidad y diversificación de Repsol.</v>
      </c>
      <c r="P151" s="30">
        <v>0.7</v>
      </c>
      <c r="Q151" s="31" t="str">
        <f>IFERROR(__xludf.DUMMYFUNCTION("GOOGLETRANSLATE(R151,""ES"",""EN"")"),"batteries, self-consumption")</f>
        <v>batteries, self-consumption</v>
      </c>
      <c r="R151" s="28" t="s">
        <v>1234</v>
      </c>
      <c r="S151" s="36" t="s">
        <v>1235</v>
      </c>
      <c r="T151" s="32" t="s">
        <v>1236</v>
      </c>
    </row>
    <row r="152">
      <c r="A152" s="33" t="s">
        <v>1237</v>
      </c>
      <c r="B152" s="11" t="s">
        <v>499</v>
      </c>
      <c r="C152" s="12">
        <v>45306.0</v>
      </c>
      <c r="D152" s="11" t="s">
        <v>1238</v>
      </c>
      <c r="E152" s="13" t="s">
        <v>1239</v>
      </c>
      <c r="F152" s="14" t="s">
        <v>1240</v>
      </c>
      <c r="G152" s="14" t="s">
        <v>1241</v>
      </c>
      <c r="H152" s="15" t="s">
        <v>661</v>
      </c>
      <c r="I152" s="15" t="str">
        <f>IFERROR(__xludf.DUMMYFUNCTION("GOOGLETRANSLATE(H152,""EN"",""ES"")"),"Estrategia empresarial")</f>
        <v>Estrategia empresarial</v>
      </c>
      <c r="J152" s="16" t="s">
        <v>35</v>
      </c>
      <c r="K152" s="27">
        <v>0.6</v>
      </c>
      <c r="L152" s="16" t="s">
        <v>1242</v>
      </c>
      <c r="M152" s="34" t="s">
        <v>1243</v>
      </c>
      <c r="N152" s="19" t="s">
        <v>1244</v>
      </c>
      <c r="O152" s="19" t="str">
        <f>IFERROR(__xludf.DUMMYFUNCTION("GOOGLETRANSLATE(N152,""EN"",""ES"")"),"Los planes de adquisición de acciones de los empleados pueden aumentar el compromiso interno y mejorar la lealtad corporativa.")</f>
        <v>Los planes de adquisición de acciones de los empleados pueden aumentar el compromiso interno y mejorar la lealtad corporativa.</v>
      </c>
      <c r="P152" s="30">
        <v>0.7</v>
      </c>
      <c r="Q152" s="18" t="str">
        <f>IFERROR(__xludf.DUMMYFUNCTION("GOOGLETRANSLATE(R152,""ES"",""EN"")"),"acquisition of shares, employees")</f>
        <v>acquisition of shares, employees</v>
      </c>
      <c r="R152" s="34" t="s">
        <v>1245</v>
      </c>
      <c r="S152" s="35" t="s">
        <v>1246</v>
      </c>
      <c r="T152" s="22" t="s">
        <v>1247</v>
      </c>
    </row>
    <row r="153">
      <c r="A153" s="23" t="s">
        <v>1248</v>
      </c>
      <c r="B153" s="11" t="s">
        <v>881</v>
      </c>
      <c r="C153" s="12">
        <v>45306.0</v>
      </c>
      <c r="D153" s="11" t="s">
        <v>1249</v>
      </c>
      <c r="E153" s="13" t="s">
        <v>1250</v>
      </c>
      <c r="F153" s="24" t="s">
        <v>1251</v>
      </c>
      <c r="G153" s="24" t="s">
        <v>1252</v>
      </c>
      <c r="H153" s="25" t="s">
        <v>886</v>
      </c>
      <c r="I153" s="25" t="str">
        <f>IFERROR(__xludf.DUMMYFUNCTION("GOOGLETRANSLATE(H153,""EN"",""ES"")"),"Operaciones")</f>
        <v>Operaciones</v>
      </c>
      <c r="J153" s="26" t="s">
        <v>35</v>
      </c>
      <c r="K153" s="27">
        <v>-0.5</v>
      </c>
      <c r="L153" s="26" t="s">
        <v>1253</v>
      </c>
      <c r="M153" s="28" t="s">
        <v>1254</v>
      </c>
      <c r="N153" s="29" t="s">
        <v>1255</v>
      </c>
      <c r="O153" s="29" t="str">
        <f>IFERROR(__xludf.DUMMYFUNCTION("GOOGLETRANSLATE(N153,""EN"",""ES"")"),"Las paradas por mantenimiento pueden interrumpir la producción y afectar las operaciones a corto plazo.")</f>
        <v>Las paradas por mantenimiento pueden interrumpir la producción y afectar las operaciones a corto plazo.</v>
      </c>
      <c r="P153" s="30">
        <v>0.6</v>
      </c>
      <c r="Q153" s="31" t="str">
        <f>IFERROR(__xludf.DUMMYFUNCTION("GOOGLETRANSLATE(R153,""ES"",""EN"")"),"scheduled shutdown, maintenance")</f>
        <v>scheduled shutdown, maintenance</v>
      </c>
      <c r="R153" s="28" t="s">
        <v>1256</v>
      </c>
      <c r="S153" s="36" t="s">
        <v>1257</v>
      </c>
      <c r="T153" s="32" t="s">
        <v>1258</v>
      </c>
    </row>
    <row r="154">
      <c r="A154" s="33" t="s">
        <v>1259</v>
      </c>
      <c r="B154" s="11" t="s">
        <v>1260</v>
      </c>
      <c r="C154" s="12">
        <v>45306.0</v>
      </c>
      <c r="D154" s="11" t="s">
        <v>1261</v>
      </c>
      <c r="E154" s="13" t="s">
        <v>1262</v>
      </c>
      <c r="F154" s="14" t="s">
        <v>1263</v>
      </c>
      <c r="G154" s="14" t="s">
        <v>1264</v>
      </c>
      <c r="H154" s="15" t="s">
        <v>395</v>
      </c>
      <c r="I154" s="15" t="str">
        <f>IFERROR(__xludf.DUMMYFUNCTION("GOOGLETRANSLATE(H154,""EN"",""ES"")"),"Ambiente")</f>
        <v>Ambiente</v>
      </c>
      <c r="J154" s="16" t="s">
        <v>35</v>
      </c>
      <c r="K154" s="27">
        <v>-0.8</v>
      </c>
      <c r="L154" s="16" t="s">
        <v>1265</v>
      </c>
      <c r="M154" s="34" t="s">
        <v>1266</v>
      </c>
      <c r="N154" s="19" t="s">
        <v>1267</v>
      </c>
      <c r="O154" s="19" t="str">
        <f>IFERROR(__xludf.DUMMYFUNCTION("GOOGLETRANSLATE(N154,""EN"",""ES"")"),"Los continuos impactos negativos del derrame de petróleo siguen dañando la reputación medioambiental de Repsol.")</f>
        <v>Los continuos impactos negativos del derrame de petróleo siguen dañando la reputación medioambiental de Repsol.</v>
      </c>
      <c r="P154" s="30">
        <v>-0.9</v>
      </c>
      <c r="Q154" s="18" t="str">
        <f>IFERROR(__xludf.DUMMYFUNCTION("GOOGLETRANSLATE(R154,""ES"",""EN"")"),"oil spill, contaminated")</f>
        <v>oil spill, contaminated</v>
      </c>
      <c r="R154" s="34" t="s">
        <v>1268</v>
      </c>
      <c r="S154" s="21" t="s">
        <v>1269</v>
      </c>
      <c r="T154" s="22" t="s">
        <v>1270</v>
      </c>
    </row>
    <row r="155">
      <c r="A155" s="23" t="s">
        <v>1271</v>
      </c>
      <c r="B155" s="11" t="s">
        <v>21</v>
      </c>
      <c r="C155" s="12">
        <v>45306.0</v>
      </c>
      <c r="D155" s="11" t="s">
        <v>1272</v>
      </c>
      <c r="E155" s="13" t="s">
        <v>1273</v>
      </c>
      <c r="F155" s="24" t="s">
        <v>1274</v>
      </c>
      <c r="G155" s="24" t="s">
        <v>1275</v>
      </c>
      <c r="H155" s="25" t="s">
        <v>26</v>
      </c>
      <c r="I155" s="25" t="str">
        <f>IFERROR(__xludf.DUMMYFUNCTION("GOOGLETRANSLATE(H155,""EN"",""ES"")"),"Otro")</f>
        <v>Otro</v>
      </c>
      <c r="J155" s="26" t="s">
        <v>27</v>
      </c>
      <c r="K155" s="17">
        <v>0.0</v>
      </c>
      <c r="L155" s="25"/>
      <c r="M155" s="31"/>
      <c r="N155" s="29"/>
      <c r="O155" s="29"/>
      <c r="P155" s="20">
        <v>0.0</v>
      </c>
      <c r="Q155" s="31"/>
      <c r="R155" s="31"/>
      <c r="S155" s="39"/>
      <c r="T155" s="32"/>
    </row>
    <row r="156">
      <c r="A156" s="33" t="s">
        <v>1276</v>
      </c>
      <c r="B156" s="11" t="s">
        <v>425</v>
      </c>
      <c r="C156" s="12">
        <v>45306.0</v>
      </c>
      <c r="D156" s="11" t="s">
        <v>1277</v>
      </c>
      <c r="E156" s="13" t="s">
        <v>1277</v>
      </c>
      <c r="F156" s="14" t="s">
        <v>1278</v>
      </c>
      <c r="G156" s="14" t="s">
        <v>1279</v>
      </c>
      <c r="H156" s="15" t="s">
        <v>55</v>
      </c>
      <c r="I156" s="15" t="str">
        <f>IFERROR(__xludf.DUMMYFUNCTION("GOOGLETRANSLATE(H156,""EN"",""ES"")"),"deportes de motor")</f>
        <v>deportes de motor</v>
      </c>
      <c r="J156" s="16" t="s">
        <v>27</v>
      </c>
      <c r="K156" s="17">
        <v>0.0</v>
      </c>
      <c r="L156" s="15"/>
      <c r="M156" s="18"/>
      <c r="N156" s="19"/>
      <c r="O156" s="19"/>
      <c r="P156" s="20">
        <v>0.0</v>
      </c>
      <c r="Q156" s="18"/>
      <c r="R156" s="18"/>
      <c r="S156" s="21"/>
      <c r="T156" s="22"/>
    </row>
    <row r="157">
      <c r="A157" s="23" t="s">
        <v>1280</v>
      </c>
      <c r="B157" s="11" t="s">
        <v>1281</v>
      </c>
      <c r="C157" s="12">
        <v>45306.0</v>
      </c>
      <c r="D157" s="11" t="s">
        <v>1282</v>
      </c>
      <c r="E157" s="13" t="s">
        <v>1283</v>
      </c>
      <c r="F157" s="24" t="s">
        <v>1284</v>
      </c>
      <c r="G157" s="24" t="s">
        <v>1285</v>
      </c>
      <c r="H157" s="25" t="s">
        <v>395</v>
      </c>
      <c r="I157" s="25" t="str">
        <f>IFERROR(__xludf.DUMMYFUNCTION("GOOGLETRANSLATE(H157,""EN"",""ES"")"),"Ambiente")</f>
        <v>Ambiente</v>
      </c>
      <c r="J157" s="26" t="s">
        <v>35</v>
      </c>
      <c r="K157" s="27">
        <v>-0.7</v>
      </c>
      <c r="L157" s="26" t="s">
        <v>1286</v>
      </c>
      <c r="M157" s="28" t="s">
        <v>1287</v>
      </c>
      <c r="N157" s="29" t="s">
        <v>1288</v>
      </c>
      <c r="O157" s="29" t="str">
        <f>IFERROR(__xludf.DUMMYFUNCTION("GOOGLETRANSLATE(N157,""EN"",""ES"")"),"Negar la contaminación podría dañar la reputación ambiental de Repsol, especialmente a la luz de batallas legales.")</f>
        <v>Negar la contaminación podría dañar la reputación ambiental de Repsol, especialmente a la luz de batallas legales.</v>
      </c>
      <c r="P157" s="30">
        <v>-0.9</v>
      </c>
      <c r="Q157" s="31" t="str">
        <f>IFERROR(__xludf.DUMMYFUNCTION("GOOGLETRANSLATE(R157,""ES"",""EN"")"),"pollution, repairs")</f>
        <v>pollution, repairs</v>
      </c>
      <c r="R157" s="28" t="s">
        <v>1289</v>
      </c>
      <c r="S157" s="39" t="s">
        <v>1290</v>
      </c>
      <c r="T157" s="32" t="s">
        <v>1291</v>
      </c>
    </row>
    <row r="158">
      <c r="A158" s="33" t="s">
        <v>1292</v>
      </c>
      <c r="B158" s="11" t="s">
        <v>977</v>
      </c>
      <c r="C158" s="12">
        <v>45306.0</v>
      </c>
      <c r="D158" s="11" t="s">
        <v>1293</v>
      </c>
      <c r="E158" s="13" t="s">
        <v>1294</v>
      </c>
      <c r="F158" s="14" t="s">
        <v>1295</v>
      </c>
      <c r="G158" s="14" t="s">
        <v>1296</v>
      </c>
      <c r="H158" s="15" t="s">
        <v>48</v>
      </c>
      <c r="I158" s="15" t="str">
        <f>IFERROR(__xludf.DUMMYFUNCTION("GOOGLETRANSLATE(H158,""EN"",""ES"")"),"Finanzas")</f>
        <v>Finanzas</v>
      </c>
      <c r="J158" s="16" t="s">
        <v>35</v>
      </c>
      <c r="K158" s="27">
        <v>-0.5</v>
      </c>
      <c r="L158" s="16" t="s">
        <v>1297</v>
      </c>
      <c r="M158" s="34" t="s">
        <v>1298</v>
      </c>
      <c r="N158" s="19" t="s">
        <v>1299</v>
      </c>
      <c r="O158" s="19" t="str">
        <f>IFERROR(__xludf.DUMMYFUNCTION("GOOGLETRANSLATE(N158,""EN"",""ES"")"),"Las disputas y controversias financieras podrían crear incertidumbre en torno a la situación financiera de Repsol.")</f>
        <v>Las disputas y controversias financieras podrían crear incertidumbre en torno a la situación financiera de Repsol.</v>
      </c>
      <c r="P158" s="30">
        <v>-0.7</v>
      </c>
      <c r="Q158" s="18" t="str">
        <f>IFERROR(__xludf.DUMMYFUNCTION("GOOGLETRANSLATE(R158,""ES"",""EN"")"),"fines, contested")</f>
        <v>fines, contested</v>
      </c>
      <c r="R158" s="34" t="s">
        <v>1300</v>
      </c>
      <c r="S158" s="21" t="s">
        <v>1301</v>
      </c>
      <c r="T158" s="22" t="s">
        <v>1302</v>
      </c>
    </row>
    <row r="159">
      <c r="A159" s="23" t="s">
        <v>1303</v>
      </c>
      <c r="B159" s="11" t="s">
        <v>1304</v>
      </c>
      <c r="C159" s="12">
        <v>45306.0</v>
      </c>
      <c r="D159" s="11" t="s">
        <v>1305</v>
      </c>
      <c r="E159" s="13" t="s">
        <v>1306</v>
      </c>
      <c r="F159" s="24" t="s">
        <v>1307</v>
      </c>
      <c r="G159" s="24" t="s">
        <v>1308</v>
      </c>
      <c r="H159" s="25" t="s">
        <v>395</v>
      </c>
      <c r="I159" s="25" t="str">
        <f>IFERROR(__xludf.DUMMYFUNCTION("GOOGLETRANSLATE(H159,""EN"",""ES"")"),"Ambiente")</f>
        <v>Ambiente</v>
      </c>
      <c r="J159" s="26" t="s">
        <v>35</v>
      </c>
      <c r="K159" s="27">
        <v>-0.8</v>
      </c>
      <c r="L159" s="26" t="s">
        <v>1309</v>
      </c>
      <c r="M159" s="28" t="s">
        <v>1310</v>
      </c>
      <c r="N159" s="29" t="s">
        <v>1311</v>
      </c>
      <c r="O159" s="29" t="str">
        <f>IFERROR(__xludf.DUMMYFUNCTION("GOOGLETRANSLATE(N159,""EN"",""ES"")"),"La exposición continuada a informes de daños medioambientales daña gravemente la imagen de Repsol.")</f>
        <v>La exposición continuada a informes de daños medioambientales daña gravemente la imagen de Repsol.</v>
      </c>
      <c r="P159" s="30">
        <v>-0.9</v>
      </c>
      <c r="Q159" s="31" t="str">
        <f>IFERROR(__xludf.DUMMYFUNCTION("GOOGLETRANSLATE(R159,""ES"",""EN"")"),"oil spill, damage")</f>
        <v>oil spill, damage</v>
      </c>
      <c r="R159" s="28" t="s">
        <v>1312</v>
      </c>
      <c r="S159" s="39" t="s">
        <v>1313</v>
      </c>
      <c r="T159" s="32" t="s">
        <v>1314</v>
      </c>
    </row>
    <row r="160">
      <c r="A160" s="33" t="s">
        <v>1315</v>
      </c>
      <c r="B160" s="11" t="s">
        <v>1316</v>
      </c>
      <c r="C160" s="12">
        <v>45306.0</v>
      </c>
      <c r="D160" s="11" t="s">
        <v>1317</v>
      </c>
      <c r="E160" s="13" t="s">
        <v>1318</v>
      </c>
      <c r="F160" s="14" t="s">
        <v>1319</v>
      </c>
      <c r="G160" s="14" t="s">
        <v>1320</v>
      </c>
      <c r="H160" s="15" t="s">
        <v>408</v>
      </c>
      <c r="I160" s="15" t="str">
        <f>IFERROR(__xludf.DUMMYFUNCTION("GOOGLETRANSLATE(H160,""EN"",""ES"")"),"Legal")</f>
        <v>Legal</v>
      </c>
      <c r="J160" s="16" t="s">
        <v>35</v>
      </c>
      <c r="K160" s="27">
        <v>-0.8</v>
      </c>
      <c r="L160" s="16" t="s">
        <v>1138</v>
      </c>
      <c r="M160" s="34" t="s">
        <v>1139</v>
      </c>
      <c r="N160" s="19" t="s">
        <v>1321</v>
      </c>
      <c r="O160" s="19" t="str">
        <f>IFERROR(__xludf.DUMMYFUNCTION("GOOGLETRANSLATE(N160,""EN"",""ES"")"),"Las demandas por daños medioambientales siguen dañando la reputación y la situación financiera de Repsol.")</f>
        <v>Las demandas por daños medioambientales siguen dañando la reputación y la situación financiera de Repsol.</v>
      </c>
      <c r="P160" s="30">
        <v>-0.9</v>
      </c>
      <c r="Q160" s="18" t="str">
        <f>IFERROR(__xludf.DUMMYFUNCTION("GOOGLETRANSLATE(R160,""ES"",""EN"")"),"class action lawsuit, oil spill")</f>
        <v>class action lawsuit, oil spill</v>
      </c>
      <c r="R160" s="34" t="s">
        <v>1139</v>
      </c>
      <c r="S160" s="21" t="s">
        <v>986</v>
      </c>
      <c r="T160" s="22" t="s">
        <v>987</v>
      </c>
    </row>
    <row r="161">
      <c r="A161" s="23" t="s">
        <v>1322</v>
      </c>
      <c r="B161" s="11" t="s">
        <v>254</v>
      </c>
      <c r="C161" s="12">
        <v>45306.0</v>
      </c>
      <c r="D161" s="11" t="s">
        <v>1323</v>
      </c>
      <c r="E161" s="13" t="s">
        <v>1324</v>
      </c>
      <c r="F161" s="24" t="s">
        <v>1325</v>
      </c>
      <c r="G161" s="24" t="s">
        <v>1326</v>
      </c>
      <c r="H161" s="25" t="s">
        <v>408</v>
      </c>
      <c r="I161" s="25" t="str">
        <f>IFERROR(__xludf.DUMMYFUNCTION("GOOGLETRANSLATE(H161,""EN"",""ES"")"),"Legal")</f>
        <v>Legal</v>
      </c>
      <c r="J161" s="26" t="s">
        <v>35</v>
      </c>
      <c r="K161" s="27">
        <v>-0.5</v>
      </c>
      <c r="L161" s="26" t="s">
        <v>1327</v>
      </c>
      <c r="M161" s="28" t="s">
        <v>1328</v>
      </c>
      <c r="N161" s="29" t="s">
        <v>1329</v>
      </c>
      <c r="O161" s="29" t="str">
        <f>IFERROR(__xludf.DUMMYFUNCTION("GOOGLETRANSLATE(N161,""EN"",""ES"")"),"Las defensas legales en casos de alto perfil podrían afectar la reputación de Repsol, especialmente si el caso se intensifica.")</f>
        <v>Las defensas legales en casos de alto perfil podrían afectar la reputación de Repsol, especialmente si el caso se intensifica.</v>
      </c>
      <c r="P161" s="30">
        <v>-0.6</v>
      </c>
      <c r="Q161" s="31" t="str">
        <f>IFERROR(__xludf.DUMMYFUNCTION("GOOGLETRANSLATE(R161,""ES"",""EN"")"),"claim, has no basis")</f>
        <v>claim, has no basis</v>
      </c>
      <c r="R161" s="28" t="s">
        <v>1330</v>
      </c>
      <c r="S161" s="39" t="s">
        <v>1043</v>
      </c>
      <c r="T161" s="32" t="s">
        <v>1044</v>
      </c>
    </row>
    <row r="162">
      <c r="A162" s="33" t="s">
        <v>1331</v>
      </c>
      <c r="B162" s="40" t="s">
        <v>1005</v>
      </c>
      <c r="C162" s="41">
        <v>45306.0</v>
      </c>
      <c r="D162" s="40" t="s">
        <v>1332</v>
      </c>
      <c r="E162" s="42" t="s">
        <v>1333</v>
      </c>
      <c r="F162" s="43" t="s">
        <v>1334</v>
      </c>
      <c r="G162" s="43" t="s">
        <v>1335</v>
      </c>
      <c r="H162" s="44" t="s">
        <v>1336</v>
      </c>
      <c r="I162" s="15" t="str">
        <f>IFERROR(__xludf.DUMMYFUNCTION("GOOGLETRANSLATE(H162,""EN"",""ES"")"),"Seguridad")</f>
        <v>Seguridad</v>
      </c>
      <c r="J162" s="16" t="s">
        <v>27</v>
      </c>
      <c r="K162" s="17">
        <v>0.0</v>
      </c>
      <c r="L162" s="45"/>
      <c r="M162" s="18"/>
      <c r="N162" s="44"/>
      <c r="O162" s="44"/>
      <c r="P162" s="20">
        <v>0.0</v>
      </c>
      <c r="Q162" s="18"/>
      <c r="R162" s="18"/>
      <c r="S162" s="46"/>
      <c r="T162" s="22"/>
    </row>
    <row r="163">
      <c r="A163" s="23" t="s">
        <v>1337</v>
      </c>
      <c r="B163" s="40" t="s">
        <v>1338</v>
      </c>
      <c r="C163" s="41">
        <v>45306.0</v>
      </c>
      <c r="D163" s="40" t="s">
        <v>1339</v>
      </c>
      <c r="E163" s="42" t="s">
        <v>1340</v>
      </c>
      <c r="F163" s="43" t="s">
        <v>1341</v>
      </c>
      <c r="G163" s="43" t="s">
        <v>1342</v>
      </c>
      <c r="H163" s="47" t="s">
        <v>395</v>
      </c>
      <c r="I163" s="25" t="str">
        <f>IFERROR(__xludf.DUMMYFUNCTION("GOOGLETRANSLATE(H163,""EN"",""ES"")"),"Ambiente")</f>
        <v>Ambiente</v>
      </c>
      <c r="J163" s="26" t="s">
        <v>35</v>
      </c>
      <c r="K163" s="48">
        <v>-0.7</v>
      </c>
      <c r="L163" s="49" t="s">
        <v>1343</v>
      </c>
      <c r="M163" s="28" t="s">
        <v>1344</v>
      </c>
      <c r="N163" s="47" t="s">
        <v>1345</v>
      </c>
      <c r="O163" s="47" t="str">
        <f>IFERROR(__xludf.DUMMYFUNCTION("GOOGLETRANSLATE(N163,""EN"",""ES"")"),"Las protestas en curso por el derrame de petróleo continúan dañando la reputación de Repsol y sus relaciones con la comunidad.")</f>
        <v>Las protestas en curso por el derrame de petróleo continúan dañando la reputación de Repsol y sus relaciones con la comunidad.</v>
      </c>
      <c r="P163" s="30">
        <v>-0.8</v>
      </c>
      <c r="Q163" s="31" t="str">
        <f>IFERROR(__xludf.DUMMYFUNCTION("GOOGLETRANSLATE(R163,""ES"",""EN"")"),"lawsuits, compensation")</f>
        <v>lawsuits, compensation</v>
      </c>
      <c r="R163" s="28" t="s">
        <v>1346</v>
      </c>
      <c r="S163" s="50" t="s">
        <v>1347</v>
      </c>
      <c r="T163" s="32" t="s">
        <v>1348</v>
      </c>
    </row>
    <row r="164">
      <c r="A164" s="33" t="s">
        <v>1349</v>
      </c>
      <c r="B164" s="40" t="s">
        <v>1350</v>
      </c>
      <c r="C164" s="41">
        <v>45306.0</v>
      </c>
      <c r="D164" s="40" t="s">
        <v>1351</v>
      </c>
      <c r="E164" s="42" t="s">
        <v>1352</v>
      </c>
      <c r="F164" s="43" t="s">
        <v>1353</v>
      </c>
      <c r="G164" s="43" t="s">
        <v>1354</v>
      </c>
      <c r="H164" s="44" t="s">
        <v>408</v>
      </c>
      <c r="I164" s="15" t="str">
        <f>IFERROR(__xludf.DUMMYFUNCTION("GOOGLETRANSLATE(H164,""EN"",""ES"")"),"Legal")</f>
        <v>Legal</v>
      </c>
      <c r="J164" s="16" t="s">
        <v>35</v>
      </c>
      <c r="K164" s="48">
        <v>-0.8</v>
      </c>
      <c r="L164" s="51" t="s">
        <v>1355</v>
      </c>
      <c r="M164" s="34" t="s">
        <v>1356</v>
      </c>
      <c r="N164" s="44" t="s">
        <v>1357</v>
      </c>
      <c r="O164" s="44" t="str">
        <f>IFERROR(__xludf.DUMMYFUNCTION("GOOGLETRANSLATE(N164,""EN"",""ES"")"),"Las protestas por compensaciones no resueltas mantienen viva la polémica por el vertido, impactando negativamente a Repsol.")</f>
        <v>Las protestas por compensaciones no resueltas mantienen viva la polémica por el vertido, impactando negativamente a Repsol.</v>
      </c>
      <c r="P164" s="30">
        <v>-0.8</v>
      </c>
      <c r="Q164" s="18" t="str">
        <f>IFERROR(__xludf.DUMMYFUNCTION("GOOGLETRANSLATE(R164,""ES"",""EN"")"),"protests, oil spill")</f>
        <v>protests, oil spill</v>
      </c>
      <c r="R164" s="34" t="s">
        <v>1358</v>
      </c>
      <c r="S164" s="46" t="s">
        <v>1359</v>
      </c>
      <c r="T164" s="22" t="s">
        <v>1360</v>
      </c>
    </row>
    <row r="165">
      <c r="A165" s="23" t="s">
        <v>1361</v>
      </c>
      <c r="B165" s="40" t="s">
        <v>1362</v>
      </c>
      <c r="C165" s="41">
        <v>45306.0</v>
      </c>
      <c r="D165" s="40" t="s">
        <v>1363</v>
      </c>
      <c r="E165" s="42" t="s">
        <v>1306</v>
      </c>
      <c r="F165" s="43" t="s">
        <v>1364</v>
      </c>
      <c r="G165" s="43" t="s">
        <v>1365</v>
      </c>
      <c r="H165" s="47" t="s">
        <v>48</v>
      </c>
      <c r="I165" s="25" t="str">
        <f>IFERROR(__xludf.DUMMYFUNCTION("GOOGLETRANSLATE(H165,""EN"",""ES"")"),"Finanzas")</f>
        <v>Finanzas</v>
      </c>
      <c r="J165" s="26" t="s">
        <v>35</v>
      </c>
      <c r="K165" s="48">
        <v>-0.8</v>
      </c>
      <c r="L165" s="49" t="s">
        <v>1366</v>
      </c>
      <c r="M165" s="28" t="s">
        <v>1367</v>
      </c>
      <c r="N165" s="47" t="s">
        <v>1368</v>
      </c>
      <c r="O165" s="47" t="str">
        <f>IFERROR(__xludf.DUMMYFUNCTION("GOOGLETRANSLATE(N165,""EN"",""ES"")"),"Las continuas evaluaciones económicas de los daños medioambientales crean riesgos financieros y regulatorios para Repsol.")</f>
        <v>Las continuas evaluaciones económicas de los daños medioambientales crean riesgos financieros y regulatorios para Repsol.</v>
      </c>
      <c r="P165" s="30">
        <v>-0.9</v>
      </c>
      <c r="Q165" s="31" t="str">
        <f>IFERROR(__xludf.DUMMYFUNCTION("GOOGLETRANSLATE(R165,""ES"",""EN"")"),"oil spill, economic loss")</f>
        <v>oil spill, economic loss</v>
      </c>
      <c r="R165" s="28" t="s">
        <v>1369</v>
      </c>
      <c r="S165" s="50" t="s">
        <v>1370</v>
      </c>
      <c r="T165" s="32" t="s">
        <v>1371</v>
      </c>
    </row>
    <row r="166">
      <c r="A166" s="33" t="s">
        <v>1372</v>
      </c>
      <c r="B166" s="40" t="s">
        <v>977</v>
      </c>
      <c r="C166" s="41">
        <v>45306.0</v>
      </c>
      <c r="D166" s="40" t="s">
        <v>1373</v>
      </c>
      <c r="E166" s="42" t="s">
        <v>1374</v>
      </c>
      <c r="F166" s="43" t="s">
        <v>1375</v>
      </c>
      <c r="G166" s="43" t="s">
        <v>1376</v>
      </c>
      <c r="H166" s="44" t="s">
        <v>395</v>
      </c>
      <c r="I166" s="15" t="str">
        <f>IFERROR(__xludf.DUMMYFUNCTION("GOOGLETRANSLATE(H166,""EN"",""ES"")"),"Ambiente")</f>
        <v>Ambiente</v>
      </c>
      <c r="J166" s="16" t="s">
        <v>35</v>
      </c>
      <c r="K166" s="48">
        <v>-0.8</v>
      </c>
      <c r="L166" s="51" t="s">
        <v>1377</v>
      </c>
      <c r="M166" s="34" t="s">
        <v>1378</v>
      </c>
      <c r="N166" s="44" t="s">
        <v>1379</v>
      </c>
      <c r="O166" s="44" t="str">
        <f>IFERROR(__xludf.DUMMYFUNCTION("GOOGLETRANSLATE(N166,""EN"",""ES"")"),"Los retrasos en la rehabilitación ambiental dañan aún más la reputación y las pretensiones de sostenibilidad de Repsol.")</f>
        <v>Los retrasos en la rehabilitación ambiental dañan aún más la reputación y las pretensiones de sostenibilidad de Repsol.</v>
      </c>
      <c r="P166" s="30">
        <v>-0.9</v>
      </c>
      <c r="Q166" s="18" t="str">
        <f>IFERROR(__xludf.DUMMYFUNCTION("GOOGLETRANSLATE(R166,""ES"",""EN"")"),"environmental rehabilitation, pollution")</f>
        <v>environmental rehabilitation, pollution</v>
      </c>
      <c r="R166" s="34" t="s">
        <v>1380</v>
      </c>
      <c r="S166" s="52" t="s">
        <v>1381</v>
      </c>
      <c r="T166" s="22" t="s">
        <v>1382</v>
      </c>
    </row>
    <row r="167">
      <c r="A167" s="23" t="s">
        <v>1383</v>
      </c>
      <c r="B167" s="40" t="s">
        <v>1384</v>
      </c>
      <c r="C167" s="41">
        <v>45306.0</v>
      </c>
      <c r="D167" s="40" t="s">
        <v>1385</v>
      </c>
      <c r="E167" s="42" t="s">
        <v>1386</v>
      </c>
      <c r="F167" s="43" t="s">
        <v>1387</v>
      </c>
      <c r="G167" s="43" t="s">
        <v>1388</v>
      </c>
      <c r="H167" s="47" t="s">
        <v>395</v>
      </c>
      <c r="I167" s="25" t="str">
        <f>IFERROR(__xludf.DUMMYFUNCTION("GOOGLETRANSLATE(H167,""EN"",""ES"")"),"Ambiente")</f>
        <v>Ambiente</v>
      </c>
      <c r="J167" s="26" t="s">
        <v>35</v>
      </c>
      <c r="K167" s="48">
        <v>-0.8</v>
      </c>
      <c r="L167" s="49" t="s">
        <v>1389</v>
      </c>
      <c r="M167" s="28" t="s">
        <v>1390</v>
      </c>
      <c r="N167" s="47" t="s">
        <v>1391</v>
      </c>
      <c r="O167" s="47" t="str">
        <f>IFERROR(__xludf.DUMMYFUNCTION("GOOGLETRANSLATE(N167,""EN"",""ES"")"),"Los daños ambientales a largo plazo causados ​​por el derrame refuerzan el sentimiento negativo hacia las operaciones de Repsol.")</f>
        <v>Los daños ambientales a largo plazo causados ​​por el derrame refuerzan el sentimiento negativo hacia las operaciones de Repsol.</v>
      </c>
      <c r="P167" s="30">
        <v>-0.9</v>
      </c>
      <c r="Q167" s="31" t="str">
        <f>IFERROR(__xludf.DUMMYFUNCTION("GOOGLETRANSLATE(R167,""ES"",""EN"")"),"environmental rehabilitation, oil spill")</f>
        <v>environmental rehabilitation, oil spill</v>
      </c>
      <c r="R167" s="28" t="s">
        <v>1392</v>
      </c>
      <c r="S167" s="53" t="s">
        <v>1381</v>
      </c>
      <c r="T167" s="32" t="s">
        <v>1382</v>
      </c>
    </row>
    <row r="168">
      <c r="A168" s="33" t="s">
        <v>1393</v>
      </c>
      <c r="B168" s="40" t="s">
        <v>254</v>
      </c>
      <c r="C168" s="41">
        <v>45306.0</v>
      </c>
      <c r="D168" s="40" t="s">
        <v>1394</v>
      </c>
      <c r="E168" s="42" t="s">
        <v>1395</v>
      </c>
      <c r="F168" s="43" t="s">
        <v>1396</v>
      </c>
      <c r="G168" s="43" t="s">
        <v>1397</v>
      </c>
      <c r="H168" s="44" t="s">
        <v>408</v>
      </c>
      <c r="I168" s="15" t="str">
        <f>IFERROR(__xludf.DUMMYFUNCTION("GOOGLETRANSLATE(H168,""EN"",""ES"")"),"Legal")</f>
        <v>Legal</v>
      </c>
      <c r="J168" s="16" t="s">
        <v>35</v>
      </c>
      <c r="K168" s="48">
        <v>-0.7</v>
      </c>
      <c r="L168" s="51" t="s">
        <v>1398</v>
      </c>
      <c r="M168" s="34" t="s">
        <v>1399</v>
      </c>
      <c r="N168" s="44" t="s">
        <v>1400</v>
      </c>
      <c r="O168" s="44" t="str">
        <f>IFERROR(__xludf.DUMMYFUNCTION("GOOGLETRANSLATE(N168,""EN"",""ES"")"),"Los juicios a gran escala por daños ambientales crean riesgos financieros y dañan la imagen global de Repsol.")</f>
        <v>Los juicios a gran escala por daños ambientales crean riesgos financieros y dañan la imagen global de Repsol.</v>
      </c>
      <c r="P168" s="30">
        <v>-0.9</v>
      </c>
      <c r="Q168" s="18" t="str">
        <f>IFERROR(__xludf.DUMMYFUNCTION("GOOGLETRANSLATE(R168,""ES"",""EN"")"),"millionaire lawsuit, oil spill")</f>
        <v>millionaire lawsuit, oil spill</v>
      </c>
      <c r="R168" s="34" t="s">
        <v>985</v>
      </c>
      <c r="S168" s="52" t="s">
        <v>986</v>
      </c>
      <c r="T168" s="22" t="s">
        <v>987</v>
      </c>
    </row>
    <row r="169">
      <c r="A169" s="23" t="s">
        <v>1401</v>
      </c>
      <c r="B169" s="40" t="s">
        <v>1402</v>
      </c>
      <c r="C169" s="41">
        <v>45306.0</v>
      </c>
      <c r="D169" s="40" t="s">
        <v>1403</v>
      </c>
      <c r="E169" s="42" t="s">
        <v>1404</v>
      </c>
      <c r="F169" s="43" t="s">
        <v>1405</v>
      </c>
      <c r="G169" s="43" t="s">
        <v>1406</v>
      </c>
      <c r="H169" s="47" t="s">
        <v>408</v>
      </c>
      <c r="I169" s="25" t="str">
        <f>IFERROR(__xludf.DUMMYFUNCTION("GOOGLETRANSLATE(H169,""EN"",""ES"")"),"Legal")</f>
        <v>Legal</v>
      </c>
      <c r="J169" s="26" t="s">
        <v>35</v>
      </c>
      <c r="K169" s="48">
        <v>-0.7</v>
      </c>
      <c r="L169" s="49" t="s">
        <v>1407</v>
      </c>
      <c r="M169" s="28" t="s">
        <v>1408</v>
      </c>
      <c r="N169" s="47" t="s">
        <v>1409</v>
      </c>
      <c r="O169" s="47" t="str">
        <f>IFERROR(__xludf.DUMMYFUNCTION("GOOGLETRANSLATE(N169,""EN"",""ES"")"),"Las disputas sobre compensaciones prolongan los desafíos legales y reputacionales de Repsol.")</f>
        <v>Las disputas sobre compensaciones prolongan los desafíos legales y reputacionales de Repsol.</v>
      </c>
      <c r="P169" s="30">
        <v>-0.8</v>
      </c>
      <c r="Q169" s="31" t="str">
        <f>IFERROR(__xludf.DUMMYFUNCTION("GOOGLETRANSLATE(R169,""ES"",""EN"")"),"compensations, sit-in")</f>
        <v>compensations, sit-in</v>
      </c>
      <c r="R169" s="28" t="s">
        <v>1410</v>
      </c>
      <c r="S169" s="53" t="s">
        <v>1347</v>
      </c>
      <c r="T169" s="32" t="s">
        <v>1348</v>
      </c>
    </row>
    <row r="170">
      <c r="A170" s="33" t="s">
        <v>1411</v>
      </c>
      <c r="B170" s="40" t="s">
        <v>254</v>
      </c>
      <c r="C170" s="41">
        <v>45306.0</v>
      </c>
      <c r="D170" s="40" t="s">
        <v>1412</v>
      </c>
      <c r="E170" s="42" t="s">
        <v>1413</v>
      </c>
      <c r="F170" s="43" t="s">
        <v>1414</v>
      </c>
      <c r="G170" s="43" t="s">
        <v>1415</v>
      </c>
      <c r="H170" s="44" t="s">
        <v>395</v>
      </c>
      <c r="I170" s="15" t="str">
        <f>IFERROR(__xludf.DUMMYFUNCTION("GOOGLETRANSLATE(H170,""EN"",""ES"")"),"Ambiente")</f>
        <v>Ambiente</v>
      </c>
      <c r="J170" s="16" t="s">
        <v>35</v>
      </c>
      <c r="K170" s="48">
        <v>-0.5</v>
      </c>
      <c r="L170" s="51" t="s">
        <v>1416</v>
      </c>
      <c r="M170" s="34" t="s">
        <v>1417</v>
      </c>
      <c r="N170" s="44" t="s">
        <v>1418</v>
      </c>
      <c r="O170" s="44" t="str">
        <f>IFERROR(__xludf.DUMMYFUNCTION("GOOGLETRANSLATE(N170,""EN"",""ES"")"),"Afirmaciones contradictorias sobre la seguridad de las playas podrían llevar a una continua desconfianza pública en las declaraciones de Repsol.")</f>
        <v>Afirmaciones contradictorias sobre la seguridad de las playas podrían llevar a una continua desconfianza pública en las declaraciones de Repsol.</v>
      </c>
      <c r="P170" s="30">
        <v>-0.5</v>
      </c>
      <c r="Q170" s="18" t="str">
        <f>IFERROR(__xludf.DUMMYFUNCTION("GOOGLETRANSLATE(R170,""ES"",""EN"")"),"suitable beaches, oil spill")</f>
        <v>suitable beaches, oil spill</v>
      </c>
      <c r="R170" s="34" t="s">
        <v>1419</v>
      </c>
      <c r="S170" s="52" t="s">
        <v>1420</v>
      </c>
      <c r="T170" s="22" t="s">
        <v>1421</v>
      </c>
    </row>
    <row r="171">
      <c r="A171" s="23" t="s">
        <v>1422</v>
      </c>
      <c r="B171" s="40" t="s">
        <v>1384</v>
      </c>
      <c r="C171" s="41">
        <v>45306.0</v>
      </c>
      <c r="D171" s="40" t="s">
        <v>1423</v>
      </c>
      <c r="E171" s="42" t="s">
        <v>1424</v>
      </c>
      <c r="F171" s="43" t="s">
        <v>1425</v>
      </c>
      <c r="G171" s="43" t="s">
        <v>1426</v>
      </c>
      <c r="H171" s="47" t="s">
        <v>408</v>
      </c>
      <c r="I171" s="25" t="str">
        <f>IFERROR(__xludf.DUMMYFUNCTION("GOOGLETRANSLATE(H171,""EN"",""ES"")"),"Legal")</f>
        <v>Legal</v>
      </c>
      <c r="J171" s="26" t="s">
        <v>35</v>
      </c>
      <c r="K171" s="48">
        <v>-0.7</v>
      </c>
      <c r="L171" s="49" t="s">
        <v>1427</v>
      </c>
      <c r="M171" s="28" t="s">
        <v>1428</v>
      </c>
      <c r="N171" s="47" t="s">
        <v>1429</v>
      </c>
      <c r="O171" s="47" t="str">
        <f>IFERROR(__xludf.DUMMYFUNCTION("GOOGLETRANSLATE(N171,""EN"",""ES"")"),"Los reclamos no resueltos de las comunidades afectadas aumentan las presiones legales y el sentimiento negativo hacia Repsol.")</f>
        <v>Los reclamos no resueltos de las comunidades afectadas aumentan las presiones legales y el sentimiento negativo hacia Repsol.</v>
      </c>
      <c r="P171" s="30">
        <v>-0.7</v>
      </c>
      <c r="Q171" s="31" t="str">
        <f>IFERROR(__xludf.DUMMYFUNCTION("GOOGLETRANSLATE(R171,""ES"",""EN"")"),"oil spill, empty")</f>
        <v>oil spill, empty</v>
      </c>
      <c r="R171" s="28" t="s">
        <v>1430</v>
      </c>
      <c r="S171" s="53" t="s">
        <v>1431</v>
      </c>
      <c r="T171" s="32" t="s">
        <v>1432</v>
      </c>
    </row>
    <row r="172">
      <c r="A172" s="33" t="s">
        <v>1433</v>
      </c>
      <c r="B172" s="40" t="s">
        <v>1011</v>
      </c>
      <c r="C172" s="41">
        <v>45306.0</v>
      </c>
      <c r="D172" s="40" t="s">
        <v>1434</v>
      </c>
      <c r="E172" s="42" t="s">
        <v>1435</v>
      </c>
      <c r="F172" s="43" t="s">
        <v>1436</v>
      </c>
      <c r="G172" s="43" t="s">
        <v>1437</v>
      </c>
      <c r="H172" s="44" t="s">
        <v>395</v>
      </c>
      <c r="I172" s="15" t="str">
        <f>IFERROR(__xludf.DUMMYFUNCTION("GOOGLETRANSLATE(H172,""EN"",""ES"")"),"Ambiente")</f>
        <v>Ambiente</v>
      </c>
      <c r="J172" s="16" t="s">
        <v>35</v>
      </c>
      <c r="K172" s="48">
        <v>-0.8</v>
      </c>
      <c r="L172" s="51" t="s">
        <v>1438</v>
      </c>
      <c r="M172" s="34" t="s">
        <v>1439</v>
      </c>
      <c r="N172" s="44" t="s">
        <v>1440</v>
      </c>
      <c r="O172" s="44" t="str">
        <f>IFERROR(__xludf.DUMMYFUNCTION("GOOGLETRANSLATE(N172,""EN"",""ES"")"),"Los continuos cierres de playas ponen de relieve los daños medioambientales en curso, lo que impacta negativamente a Repsol.")</f>
        <v>Los continuos cierres de playas ponen de relieve los daños medioambientales en curso, lo que impacta negativamente a Repsol.</v>
      </c>
      <c r="P172" s="30">
        <v>-0.8</v>
      </c>
      <c r="Q172" s="18" t="str">
        <f>IFERROR(__xludf.DUMMYFUNCTION("GOOGLETRANSLATE(R172,""ES"",""EN"")"),"pollution, oil spill")</f>
        <v>pollution, oil spill</v>
      </c>
      <c r="R172" s="34" t="s">
        <v>1441</v>
      </c>
      <c r="S172" s="52" t="s">
        <v>1442</v>
      </c>
      <c r="T172" s="22" t="s">
        <v>1443</v>
      </c>
    </row>
    <row r="173">
      <c r="A173" s="23" t="s">
        <v>1444</v>
      </c>
      <c r="B173" s="40" t="s">
        <v>1445</v>
      </c>
      <c r="C173" s="41">
        <v>45306.0</v>
      </c>
      <c r="D173" s="40" t="s">
        <v>1446</v>
      </c>
      <c r="E173" s="42" t="s">
        <v>1447</v>
      </c>
      <c r="F173" s="43" t="s">
        <v>1448</v>
      </c>
      <c r="G173" s="43" t="s">
        <v>1449</v>
      </c>
      <c r="H173" s="47" t="s">
        <v>395</v>
      </c>
      <c r="I173" s="25" t="str">
        <f>IFERROR(__xludf.DUMMYFUNCTION("GOOGLETRANSLATE(H173,""EN"",""ES"")"),"Ambiente")</f>
        <v>Ambiente</v>
      </c>
      <c r="J173" s="26" t="s">
        <v>35</v>
      </c>
      <c r="K173" s="48">
        <v>-0.7</v>
      </c>
      <c r="L173" s="49" t="s">
        <v>1450</v>
      </c>
      <c r="M173" s="28" t="s">
        <v>1451</v>
      </c>
      <c r="N173" s="47" t="s">
        <v>1452</v>
      </c>
      <c r="O173" s="47" t="str">
        <f>IFERROR(__xludf.DUMMYFUNCTION("GOOGLETRANSLATE(N173,""EN"",""ES"")"),"Las acusaciones de restar importancia a la crisis refuerzan las percepciones negativas sobre la responsabilidad de Repsol.")</f>
        <v>Las acusaciones de restar importancia a la crisis refuerzan las percepciones negativas sobre la responsabilidad de Repsol.</v>
      </c>
      <c r="P173" s="30">
        <v>-0.8</v>
      </c>
      <c r="Q173" s="31" t="str">
        <f>IFERROR(__xludf.DUMMYFUNCTION("GOOGLETRANSLATE(R173,""ES"",""EN"")"),"downplayed oil spill")</f>
        <v>downplayed oil spill</v>
      </c>
      <c r="R173" s="28" t="s">
        <v>1453</v>
      </c>
      <c r="S173" s="53" t="s">
        <v>1454</v>
      </c>
      <c r="T173" s="32" t="s">
        <v>1455</v>
      </c>
    </row>
    <row r="174">
      <c r="A174" s="33" t="s">
        <v>1456</v>
      </c>
      <c r="B174" s="40" t="s">
        <v>1457</v>
      </c>
      <c r="C174" s="41">
        <v>45306.0</v>
      </c>
      <c r="D174" s="40" t="s">
        <v>1458</v>
      </c>
      <c r="E174" s="42" t="s">
        <v>1459</v>
      </c>
      <c r="F174" s="43" t="s">
        <v>1460</v>
      </c>
      <c r="G174" s="43" t="s">
        <v>1461</v>
      </c>
      <c r="H174" s="44" t="s">
        <v>408</v>
      </c>
      <c r="I174" s="15" t="str">
        <f>IFERROR(__xludf.DUMMYFUNCTION("GOOGLETRANSLATE(H174,""EN"",""ES"")"),"Legal")</f>
        <v>Legal</v>
      </c>
      <c r="J174" s="16" t="s">
        <v>35</v>
      </c>
      <c r="K174" s="48">
        <v>-0.7</v>
      </c>
      <c r="L174" s="51" t="s">
        <v>1462</v>
      </c>
      <c r="M174" s="34" t="s">
        <v>1463</v>
      </c>
      <c r="N174" s="44" t="s">
        <v>1464</v>
      </c>
      <c r="O174" s="44" t="str">
        <f>IFERROR(__xludf.DUMMYFUNCTION("GOOGLETRANSLATE(N174,""EN"",""ES"")"),"Los funcionarios públicos que condenan a Repsol añaden presión para una rendición de cuentas más estricta y dañan su reputación.")</f>
        <v>Los funcionarios públicos que condenan a Repsol añaden presión para una rendición de cuentas más estricta y dañan su reputación.</v>
      </c>
      <c r="P174" s="30">
        <v>-0.9</v>
      </c>
      <c r="Q174" s="18" t="str">
        <f>IFERROR(__xludf.DUMMYFUNCTION("GOOGLETRANSLATE(R174,""ES"",""EN"")"),"tragedy, oil spill")</f>
        <v>tragedy, oil spill</v>
      </c>
      <c r="R174" s="34" t="s">
        <v>1465</v>
      </c>
      <c r="S174" s="52" t="s">
        <v>1466</v>
      </c>
      <c r="T174" s="22" t="s">
        <v>1467</v>
      </c>
    </row>
    <row r="175">
      <c r="A175" s="23" t="s">
        <v>1468</v>
      </c>
      <c r="B175" s="40" t="s">
        <v>1469</v>
      </c>
      <c r="C175" s="41">
        <v>45306.0</v>
      </c>
      <c r="D175" s="40" t="s">
        <v>1470</v>
      </c>
      <c r="E175" s="42" t="s">
        <v>1471</v>
      </c>
      <c r="F175" s="43" t="s">
        <v>1472</v>
      </c>
      <c r="G175" s="43" t="s">
        <v>1473</v>
      </c>
      <c r="H175" s="47" t="s">
        <v>395</v>
      </c>
      <c r="I175" s="25" t="str">
        <f>IFERROR(__xludf.DUMMYFUNCTION("GOOGLETRANSLATE(H175,""EN"",""ES"")"),"Ambiente")</f>
        <v>Ambiente</v>
      </c>
      <c r="J175" s="26" t="s">
        <v>35</v>
      </c>
      <c r="K175" s="48">
        <v>-0.8</v>
      </c>
      <c r="L175" s="49" t="s">
        <v>1474</v>
      </c>
      <c r="M175" s="28" t="s">
        <v>1475</v>
      </c>
      <c r="N175" s="47" t="s">
        <v>1476</v>
      </c>
      <c r="O175" s="47" t="str">
        <f>IFERROR(__xludf.DUMMYFUNCTION("GOOGLETRANSLATE(N175,""EN"",""ES"")"),"Las demandas directas de las autoridades locales amplifican la desconfianza pública y aumentan el escrutinio legal.")</f>
        <v>Las demandas directas de las autoridades locales amplifican la desconfianza pública y aumentan el escrutinio legal.</v>
      </c>
      <c r="P175" s="30">
        <v>-0.8</v>
      </c>
      <c r="Q175" s="31" t="str">
        <f>IFERROR(__xludf.DUMMYFUNCTION("GOOGLETRANSLATE(R175,""ES"",""EN"")"),"beach closure, pollution")</f>
        <v>beach closure, pollution</v>
      </c>
      <c r="R175" s="28" t="s">
        <v>1477</v>
      </c>
      <c r="S175" s="53" t="s">
        <v>1478</v>
      </c>
      <c r="T175" s="32" t="s">
        <v>1479</v>
      </c>
    </row>
    <row r="176">
      <c r="A176" s="33" t="s">
        <v>1480</v>
      </c>
      <c r="B176" s="40" t="s">
        <v>254</v>
      </c>
      <c r="C176" s="41">
        <v>45306.0</v>
      </c>
      <c r="D176" s="40" t="s">
        <v>1481</v>
      </c>
      <c r="E176" s="42" t="s">
        <v>1482</v>
      </c>
      <c r="F176" s="43" t="s">
        <v>1483</v>
      </c>
      <c r="G176" s="43" t="s">
        <v>1484</v>
      </c>
      <c r="H176" s="44" t="s">
        <v>395</v>
      </c>
      <c r="I176" s="15" t="str">
        <f>IFERROR(__xludf.DUMMYFUNCTION("GOOGLETRANSLATE(H176,""EN"",""ES"")"),"Ambiente")</f>
        <v>Ambiente</v>
      </c>
      <c r="J176" s="16" t="s">
        <v>35</v>
      </c>
      <c r="K176" s="48">
        <v>-0.8</v>
      </c>
      <c r="L176" s="51" t="s">
        <v>1485</v>
      </c>
      <c r="M176" s="34" t="s">
        <v>1486</v>
      </c>
      <c r="N176" s="44" t="s">
        <v>1487</v>
      </c>
      <c r="O176" s="44" t="str">
        <f>IFERROR(__xludf.DUMMYFUNCTION("GOOGLETRANSLATE(N176,""EN"",""ES"")"),"Los persistentes daños medioambientales siguen afectando al turismo y a la percepción pública de Repsol.")</f>
        <v>Los persistentes daños medioambientales siguen afectando al turismo y a la percepción pública de Repsol.</v>
      </c>
      <c r="P176" s="30">
        <v>-0.8</v>
      </c>
      <c r="Q176" s="18" t="str">
        <f>IFERROR(__xludf.DUMMYFUNCTION("GOOGLETRANSLATE(R176,""ES"",""EN"")"),"beach closure, oil spill")</f>
        <v>beach closure, oil spill</v>
      </c>
      <c r="R176" s="34" t="s">
        <v>1488</v>
      </c>
      <c r="S176" s="52" t="s">
        <v>1489</v>
      </c>
      <c r="T176" s="22" t="s">
        <v>1490</v>
      </c>
    </row>
    <row r="177">
      <c r="A177" s="23" t="s">
        <v>1491</v>
      </c>
      <c r="B177" s="40" t="s">
        <v>1492</v>
      </c>
      <c r="C177" s="41">
        <v>45306.0</v>
      </c>
      <c r="D177" s="40" t="s">
        <v>1493</v>
      </c>
      <c r="E177" s="42" t="s">
        <v>1494</v>
      </c>
      <c r="F177" s="43" t="s">
        <v>1495</v>
      </c>
      <c r="G177" s="43" t="s">
        <v>1496</v>
      </c>
      <c r="H177" s="47" t="s">
        <v>395</v>
      </c>
      <c r="I177" s="25" t="str">
        <f>IFERROR(__xludf.DUMMYFUNCTION("GOOGLETRANSLATE(H177,""EN"",""ES"")"),"Ambiente")</f>
        <v>Ambiente</v>
      </c>
      <c r="J177" s="26" t="s">
        <v>35</v>
      </c>
      <c r="K177" s="48">
        <v>-0.8</v>
      </c>
      <c r="L177" s="49" t="s">
        <v>1497</v>
      </c>
      <c r="M177" s="28" t="s">
        <v>1498</v>
      </c>
      <c r="N177" s="47" t="s">
        <v>1499</v>
      </c>
      <c r="O177" s="47" t="str">
        <f>IFERROR(__xludf.DUMMYFUNCTION("GOOGLETRANSLATE(N177,""EN"",""ES"")"),"Los llamados a la responsabilidad mantienen la presión pública sobre Repsol y alimentan el sentimiento negativo.")</f>
        <v>Los llamados a la responsabilidad mantienen la presión pública sobre Repsol y alimentan el sentimiento negativo.</v>
      </c>
      <c r="P177" s="30">
        <v>-0.8</v>
      </c>
      <c r="Q177" s="31" t="str">
        <f>IFERROR(__xludf.DUMMYFUNCTION("GOOGLETRANSLATE(R177,""ES"",""EN"")"),"beach closure, oil spill")</f>
        <v>beach closure, oil spill</v>
      </c>
      <c r="R177" s="28" t="s">
        <v>1488</v>
      </c>
      <c r="S177" s="53" t="s">
        <v>1478</v>
      </c>
      <c r="T177" s="32" t="s">
        <v>1479</v>
      </c>
    </row>
    <row r="178">
      <c r="A178" s="33" t="s">
        <v>1500</v>
      </c>
      <c r="B178" s="40" t="s">
        <v>390</v>
      </c>
      <c r="C178" s="41">
        <v>45306.0</v>
      </c>
      <c r="D178" s="40" t="s">
        <v>1501</v>
      </c>
      <c r="E178" s="42" t="s">
        <v>1502</v>
      </c>
      <c r="F178" s="43" t="s">
        <v>1503</v>
      </c>
      <c r="G178" s="43" t="s">
        <v>1504</v>
      </c>
      <c r="H178" s="44" t="s">
        <v>408</v>
      </c>
      <c r="I178" s="15" t="str">
        <f>IFERROR(__xludf.DUMMYFUNCTION("GOOGLETRANSLATE(H178,""EN"",""ES"")"),"Legal")</f>
        <v>Legal</v>
      </c>
      <c r="J178" s="16" t="s">
        <v>35</v>
      </c>
      <c r="K178" s="48">
        <v>-0.8</v>
      </c>
      <c r="L178" s="51" t="s">
        <v>1505</v>
      </c>
      <c r="M178" s="34" t="s">
        <v>1506</v>
      </c>
      <c r="N178" s="44" t="s">
        <v>1507</v>
      </c>
      <c r="O178" s="44" t="str">
        <f>IFERROR(__xludf.DUMMYFUNCTION("GOOGLETRANSLATE(N178,""EN"",""ES"")"),"Los retrasos en las indemnizaciones prolongan los litigios y dañan la credibilidad de Repsol.")</f>
        <v>Los retrasos en las indemnizaciones prolongan los litigios y dañan la credibilidad de Repsol.</v>
      </c>
      <c r="P178" s="30">
        <v>-0.8</v>
      </c>
      <c r="Q178" s="18" t="str">
        <f>IFERROR(__xludf.DUMMYFUNCTION("GOOGLETRANSLATE(R178,""ES"",""EN"")"),"oil spill, economic losses")</f>
        <v>oil spill, economic losses</v>
      </c>
      <c r="R178" s="34" t="s">
        <v>1508</v>
      </c>
      <c r="S178" s="52" t="s">
        <v>1509</v>
      </c>
      <c r="T178" s="22" t="s">
        <v>1510</v>
      </c>
    </row>
    <row r="179">
      <c r="A179" s="23" t="s">
        <v>1511</v>
      </c>
      <c r="B179" s="40" t="s">
        <v>1384</v>
      </c>
      <c r="C179" s="41">
        <v>45306.0</v>
      </c>
      <c r="D179" s="40" t="s">
        <v>1512</v>
      </c>
      <c r="E179" s="42" t="s">
        <v>1513</v>
      </c>
      <c r="F179" s="43" t="s">
        <v>1514</v>
      </c>
      <c r="G179" s="43" t="s">
        <v>1515</v>
      </c>
      <c r="H179" s="47" t="s">
        <v>1516</v>
      </c>
      <c r="I179" s="25" t="str">
        <f>IFERROR(__xludf.DUMMYFUNCTION("GOOGLETRANSLATE(H179,""EN"",""ES"")"),"Regulación")</f>
        <v>Regulación</v>
      </c>
      <c r="J179" s="26" t="s">
        <v>35</v>
      </c>
      <c r="K179" s="48">
        <v>-0.6</v>
      </c>
      <c r="L179" s="49" t="s">
        <v>1517</v>
      </c>
      <c r="M179" s="28" t="s">
        <v>1518</v>
      </c>
      <c r="N179" s="47" t="s">
        <v>1519</v>
      </c>
      <c r="O179" s="47" t="str">
        <f>IFERROR(__xludf.DUMMYFUNCTION("GOOGLETRANSLATE(N179,""EN"",""ES"")"),"Las discusiones sobre regulaciones más estrictas podrían resultar en mayores costos de supervisión y cumplimiento para Repsol.")</f>
        <v>Las discusiones sobre regulaciones más estrictas podrían resultar en mayores costos de supervisión y cumplimiento para Repsol.</v>
      </c>
      <c r="P179" s="30">
        <v>-0.6</v>
      </c>
      <c r="Q179" s="31" t="str">
        <f>IFERROR(__xludf.DUMMYFUNCTION("GOOGLETRANSLATE(R179,""ES"",""EN"")"),"environmental rehabilitation, spill")</f>
        <v>environmental rehabilitation, spill</v>
      </c>
      <c r="R179" s="28" t="s">
        <v>1520</v>
      </c>
      <c r="S179" s="53" t="s">
        <v>1521</v>
      </c>
      <c r="T179" s="32" t="s">
        <v>1522</v>
      </c>
    </row>
    <row r="180">
      <c r="A180" s="33" t="s">
        <v>1523</v>
      </c>
      <c r="B180" s="40" t="s">
        <v>1338</v>
      </c>
      <c r="C180" s="41">
        <v>45306.0</v>
      </c>
      <c r="D180" s="40" t="s">
        <v>1524</v>
      </c>
      <c r="E180" s="42" t="s">
        <v>1525</v>
      </c>
      <c r="F180" s="43" t="s">
        <v>1526</v>
      </c>
      <c r="G180" s="43" t="s">
        <v>1527</v>
      </c>
      <c r="H180" s="44" t="s">
        <v>395</v>
      </c>
      <c r="I180" s="15" t="str">
        <f>IFERROR(__xludf.DUMMYFUNCTION("GOOGLETRANSLATE(H180,""EN"",""ES"")"),"Ambiente")</f>
        <v>Ambiente</v>
      </c>
      <c r="J180" s="16" t="s">
        <v>35</v>
      </c>
      <c r="K180" s="48">
        <v>-0.8</v>
      </c>
      <c r="L180" s="51" t="s">
        <v>1528</v>
      </c>
      <c r="M180" s="34" t="s">
        <v>1529</v>
      </c>
      <c r="N180" s="44" t="s">
        <v>1530</v>
      </c>
      <c r="O180" s="44" t="str">
        <f>IFERROR(__xludf.DUMMYFUNCTION("GOOGLETRANSLATE(N180,""EN"",""ES"")"),"Las continuas advertencias sobre la contaminación refuerzan el impacto negativo a largo plazo sobre Repsol.")</f>
        <v>Las continuas advertencias sobre la contaminación refuerzan el impacto negativo a largo plazo sobre Repsol.</v>
      </c>
      <c r="P180" s="30">
        <v>-0.8</v>
      </c>
      <c r="Q180" s="18" t="str">
        <f>IFERROR(__xludf.DUMMYFUNCTION("GOOGLETRANSLATE(R180,""ES"",""EN"")"),"beach closure, oil spill")</f>
        <v>beach closure, oil spill</v>
      </c>
      <c r="R180" s="34" t="s">
        <v>1488</v>
      </c>
      <c r="S180" s="52" t="s">
        <v>1489</v>
      </c>
      <c r="T180" s="22" t="s">
        <v>1490</v>
      </c>
    </row>
    <row r="181">
      <c r="A181" s="23" t="s">
        <v>1531</v>
      </c>
      <c r="B181" s="40" t="s">
        <v>163</v>
      </c>
      <c r="C181" s="41">
        <v>45307.0</v>
      </c>
      <c r="D181" s="40" t="s">
        <v>1532</v>
      </c>
      <c r="E181" s="42" t="s">
        <v>1533</v>
      </c>
      <c r="F181" s="43" t="s">
        <v>1534</v>
      </c>
      <c r="G181" s="43" t="s">
        <v>1535</v>
      </c>
      <c r="H181" s="47" t="s">
        <v>130</v>
      </c>
      <c r="I181" s="25" t="str">
        <f>IFERROR(__xludf.DUMMYFUNCTION("GOOGLETRANSLATE(H181,""EN"",""ES"")"),"Sostenibilidad")</f>
        <v>Sostenibilidad</v>
      </c>
      <c r="J181" s="26" t="s">
        <v>35</v>
      </c>
      <c r="K181" s="48">
        <v>0.7</v>
      </c>
      <c r="L181" s="49" t="s">
        <v>1536</v>
      </c>
      <c r="M181" s="28" t="s">
        <v>1537</v>
      </c>
      <c r="N181" s="47" t="s">
        <v>1538</v>
      </c>
      <c r="O181" s="47" t="str">
        <f>IFERROR(__xludf.DUMMYFUNCTION("GOOGLETRANSLATE(N181,""EN"",""ES"")"),"Ampliar el uso de energías renovables mejora la imagen pública de Repsol y se alinea con iniciativas verdes.")</f>
        <v>Ampliar el uso de energías renovables mejora la imagen pública de Repsol y se alinea con iniciativas verdes.</v>
      </c>
      <c r="P181" s="30">
        <v>0.8</v>
      </c>
      <c r="Q181" s="31" t="str">
        <f>IFERROR(__xludf.DUMMYFUNCTION("GOOGLETRANSLATE(R181,""ES"",""EN"")"),"renewable fuel, service stations")</f>
        <v>renewable fuel, service stations</v>
      </c>
      <c r="R181" s="28" t="s">
        <v>1539</v>
      </c>
      <c r="S181" s="53" t="s">
        <v>1102</v>
      </c>
      <c r="T181" s="32" t="s">
        <v>1103</v>
      </c>
    </row>
    <row r="182">
      <c r="A182" s="33" t="s">
        <v>1540</v>
      </c>
      <c r="B182" s="40" t="s">
        <v>163</v>
      </c>
      <c r="C182" s="41">
        <v>45307.0</v>
      </c>
      <c r="D182" s="40" t="s">
        <v>1541</v>
      </c>
      <c r="E182" s="42" t="s">
        <v>1542</v>
      </c>
      <c r="F182" s="43" t="s">
        <v>1543</v>
      </c>
      <c r="G182" s="43" t="s">
        <v>1544</v>
      </c>
      <c r="H182" s="44" t="s">
        <v>130</v>
      </c>
      <c r="I182" s="15" t="str">
        <f>IFERROR(__xludf.DUMMYFUNCTION("GOOGLETRANSLATE(H182,""EN"",""ES"")"),"Sostenibilidad")</f>
        <v>Sostenibilidad</v>
      </c>
      <c r="J182" s="16" t="s">
        <v>35</v>
      </c>
      <c r="K182" s="48">
        <v>0.7</v>
      </c>
      <c r="L182" s="51" t="s">
        <v>1545</v>
      </c>
      <c r="M182" s="34" t="s">
        <v>1546</v>
      </c>
      <c r="N182" s="44" t="s">
        <v>1547</v>
      </c>
      <c r="O182" s="44" t="str">
        <f>IFERROR(__xludf.DUMMYFUNCTION("GOOGLETRANSLATE(N182,""EN"",""ES"")"),"La inversión en biocombustibles refuerza el compromiso de Repsol con la sostenibilidad y la transición energética.")</f>
        <v>La inversión en biocombustibles refuerza el compromiso de Repsol con la sostenibilidad y la transición energética.</v>
      </c>
      <c r="P182" s="30">
        <v>0.8</v>
      </c>
      <c r="Q182" s="18" t="str">
        <f>IFERROR(__xludf.DUMMYFUNCTION("GOOGLETRANSLATE(R182,""ES"",""EN"")"),"biofuels, waste")</f>
        <v>biofuels, waste</v>
      </c>
      <c r="R182" s="34" t="s">
        <v>1548</v>
      </c>
      <c r="S182" s="52" t="s">
        <v>830</v>
      </c>
      <c r="T182" s="22" t="s">
        <v>831</v>
      </c>
    </row>
    <row r="183">
      <c r="A183" s="23" t="s">
        <v>1549</v>
      </c>
      <c r="B183" s="40" t="s">
        <v>217</v>
      </c>
      <c r="C183" s="41">
        <v>45307.0</v>
      </c>
      <c r="D183" s="40" t="s">
        <v>1550</v>
      </c>
      <c r="E183" s="42" t="s">
        <v>1551</v>
      </c>
      <c r="F183" s="43" t="s">
        <v>1552</v>
      </c>
      <c r="G183" s="43" t="s">
        <v>1553</v>
      </c>
      <c r="H183" s="47" t="s">
        <v>130</v>
      </c>
      <c r="I183" s="25" t="str">
        <f>IFERROR(__xludf.DUMMYFUNCTION("GOOGLETRANSLATE(H183,""EN"",""ES"")"),"Sostenibilidad")</f>
        <v>Sostenibilidad</v>
      </c>
      <c r="J183" s="26" t="s">
        <v>35</v>
      </c>
      <c r="K183" s="48">
        <v>0.7</v>
      </c>
      <c r="L183" s="49" t="s">
        <v>1554</v>
      </c>
      <c r="M183" s="28" t="s">
        <v>1555</v>
      </c>
      <c r="N183" s="47" t="s">
        <v>1556</v>
      </c>
      <c r="O183" s="47" t="str">
        <f>IFERROR(__xludf.DUMMYFUNCTION("GOOGLETRANSLATE(N183,""EN"",""ES"")"),"Ampliar la disponibilidad de combustibles renovables fortalece las iniciativas de energía verde de Repsol.")</f>
        <v>Ampliar la disponibilidad de combustibles renovables fortalece las iniciativas de energía verde de Repsol.</v>
      </c>
      <c r="P183" s="30">
        <v>0.8</v>
      </c>
      <c r="Q183" s="31" t="str">
        <f>IFERROR(__xludf.DUMMYFUNCTION("GOOGLETRANSLATE(R183,""ES"",""EN"")"),"renewable fuels, gas stations")</f>
        <v>renewable fuels, gas stations</v>
      </c>
      <c r="R183" s="28" t="s">
        <v>1557</v>
      </c>
      <c r="S183" s="53" t="s">
        <v>1102</v>
      </c>
      <c r="T183" s="32" t="s">
        <v>1103</v>
      </c>
    </row>
    <row r="184">
      <c r="A184" s="33" t="s">
        <v>1558</v>
      </c>
      <c r="B184" s="40" t="s">
        <v>499</v>
      </c>
      <c r="C184" s="41">
        <v>45307.0</v>
      </c>
      <c r="D184" s="40" t="s">
        <v>1559</v>
      </c>
      <c r="E184" s="42" t="s">
        <v>1560</v>
      </c>
      <c r="F184" s="43" t="s">
        <v>1561</v>
      </c>
      <c r="G184" s="43" t="s">
        <v>1562</v>
      </c>
      <c r="H184" s="44" t="s">
        <v>130</v>
      </c>
      <c r="I184" s="15" t="str">
        <f>IFERROR(__xludf.DUMMYFUNCTION("GOOGLETRANSLATE(H184,""EN"",""ES"")"),"Sostenibilidad")</f>
        <v>Sostenibilidad</v>
      </c>
      <c r="J184" s="16" t="s">
        <v>35</v>
      </c>
      <c r="K184" s="48">
        <v>0.7</v>
      </c>
      <c r="L184" s="51" t="s">
        <v>1563</v>
      </c>
      <c r="M184" s="34" t="s">
        <v>1564</v>
      </c>
      <c r="N184" s="44" t="s">
        <v>1565</v>
      </c>
      <c r="O184" s="44" t="str">
        <f>IFERROR(__xludf.DUMMYFUNCTION("GOOGLETRANSLATE(N184,""EN"",""ES"")"),"El refuerzo de la producción de biocombustibles se alinea con los objetivos de sostenibilidad y posicionamiento en el mercado de Repsol.")</f>
        <v>El refuerzo de la producción de biocombustibles se alinea con los objetivos de sostenibilidad y posicionamiento en el mercado de Repsol.</v>
      </c>
      <c r="P184" s="30">
        <v>0.8</v>
      </c>
      <c r="Q184" s="18" t="str">
        <f>IFERROR(__xludf.DUMMYFUNCTION("GOOGLETRANSLATE(R184,""ES"",""EN"")"),"biofuels, service stations")</f>
        <v>biofuels, service stations</v>
      </c>
      <c r="R184" s="34" t="s">
        <v>1566</v>
      </c>
      <c r="S184" s="52" t="s">
        <v>1102</v>
      </c>
      <c r="T184" s="22" t="s">
        <v>1103</v>
      </c>
    </row>
    <row r="185">
      <c r="A185" s="23" t="s">
        <v>1567</v>
      </c>
      <c r="B185" s="40" t="s">
        <v>1568</v>
      </c>
      <c r="C185" s="41">
        <v>45307.0</v>
      </c>
      <c r="D185" s="40" t="s">
        <v>1569</v>
      </c>
      <c r="E185" s="42" t="s">
        <v>1570</v>
      </c>
      <c r="F185" s="43" t="s">
        <v>1571</v>
      </c>
      <c r="G185" s="43" t="s">
        <v>1572</v>
      </c>
      <c r="H185" s="47" t="s">
        <v>130</v>
      </c>
      <c r="I185" s="25" t="str">
        <f>IFERROR(__xludf.DUMMYFUNCTION("GOOGLETRANSLATE(H185,""EN"",""ES"")"),"Sostenibilidad")</f>
        <v>Sostenibilidad</v>
      </c>
      <c r="J185" s="26" t="s">
        <v>35</v>
      </c>
      <c r="K185" s="48">
        <v>0.7</v>
      </c>
      <c r="L185" s="49" t="s">
        <v>1573</v>
      </c>
      <c r="M185" s="28" t="s">
        <v>1574</v>
      </c>
      <c r="N185" s="47" t="s">
        <v>1575</v>
      </c>
      <c r="O185" s="47" t="str">
        <f>IFERROR(__xludf.DUMMYFUNCTION("GOOGLETRANSLATE(N185,""EN"",""ES"")"),"Ampliar el acceso a combustibles renovables mejora la imagen de Repsol como empresa ambientalmente responsable.")</f>
        <v>Ampliar el acceso a combustibles renovables mejora la imagen de Repsol como empresa ambientalmente responsable.</v>
      </c>
      <c r="P185" s="30">
        <v>0.8</v>
      </c>
      <c r="Q185" s="31" t="str">
        <f>IFERROR(__xludf.DUMMYFUNCTION("GOOGLETRANSLATE(R185,""ES"",""EN"")"),"renewable fuel, service stations")</f>
        <v>renewable fuel, service stations</v>
      </c>
      <c r="R185" s="28" t="s">
        <v>1539</v>
      </c>
      <c r="S185" s="53" t="s">
        <v>1102</v>
      </c>
      <c r="T185" s="32" t="s">
        <v>1103</v>
      </c>
    </row>
    <row r="186">
      <c r="A186" s="33" t="s">
        <v>1576</v>
      </c>
      <c r="B186" s="40" t="s">
        <v>1577</v>
      </c>
      <c r="C186" s="41">
        <v>45307.0</v>
      </c>
      <c r="D186" s="40" t="s">
        <v>1578</v>
      </c>
      <c r="E186" s="42" t="s">
        <v>1579</v>
      </c>
      <c r="F186" s="43" t="s">
        <v>1580</v>
      </c>
      <c r="G186" s="43" t="s">
        <v>1581</v>
      </c>
      <c r="H186" s="44" t="s">
        <v>130</v>
      </c>
      <c r="I186" s="15" t="str">
        <f>IFERROR(__xludf.DUMMYFUNCTION("GOOGLETRANSLATE(H186,""EN"",""ES"")"),"Sostenibilidad")</f>
        <v>Sostenibilidad</v>
      </c>
      <c r="J186" s="16" t="s">
        <v>35</v>
      </c>
      <c r="K186" s="48">
        <v>0.7</v>
      </c>
      <c r="L186" s="51" t="s">
        <v>1582</v>
      </c>
      <c r="M186" s="34" t="s">
        <v>1583</v>
      </c>
      <c r="N186" s="44" t="s">
        <v>1584</v>
      </c>
      <c r="O186" s="44" t="str">
        <f>IFERROR(__xludf.DUMMYFUNCTION("GOOGLETRANSLATE(N186,""EN"",""ES"")"),"El aumento de la oferta de combustibles renovables se alinea con las tendencias globales de transición energética.")</f>
        <v>El aumento de la oferta de combustibles renovables se alinea con las tendencias globales de transición energética.</v>
      </c>
      <c r="P186" s="30">
        <v>0.8</v>
      </c>
      <c r="Q186" s="18" t="str">
        <f>IFERROR(__xludf.DUMMYFUNCTION("GOOGLETRANSLATE(R186,""ES"",""EN"")"),"renewable fuel, service stations")</f>
        <v>renewable fuel, service stations</v>
      </c>
      <c r="R186" s="34" t="s">
        <v>1539</v>
      </c>
      <c r="S186" s="52" t="s">
        <v>1102</v>
      </c>
      <c r="T186" s="22" t="s">
        <v>1103</v>
      </c>
    </row>
    <row r="187">
      <c r="A187" s="23" t="s">
        <v>1585</v>
      </c>
      <c r="B187" s="40" t="s">
        <v>125</v>
      </c>
      <c r="C187" s="41">
        <v>45307.0</v>
      </c>
      <c r="D187" s="40" t="s">
        <v>1586</v>
      </c>
      <c r="E187" s="42" t="s">
        <v>1587</v>
      </c>
      <c r="F187" s="43" t="s">
        <v>1588</v>
      </c>
      <c r="G187" s="43" t="s">
        <v>1589</v>
      </c>
      <c r="H187" s="47" t="s">
        <v>130</v>
      </c>
      <c r="I187" s="25" t="str">
        <f>IFERROR(__xludf.DUMMYFUNCTION("GOOGLETRANSLATE(H187,""EN"",""ES"")"),"Sostenibilidad")</f>
        <v>Sostenibilidad</v>
      </c>
      <c r="J187" s="26" t="s">
        <v>35</v>
      </c>
      <c r="K187" s="48">
        <v>0.6</v>
      </c>
      <c r="L187" s="49" t="s">
        <v>1590</v>
      </c>
      <c r="M187" s="28" t="s">
        <v>1539</v>
      </c>
      <c r="N187" s="47" t="s">
        <v>1591</v>
      </c>
      <c r="O187" s="47" t="str">
        <f>IFERROR(__xludf.DUMMYFUNCTION("GOOGLETRANSLATE(N187,""EN"",""ES"")"),"La expansión de las estaciones de energía renovable indica un progreso, pero sigue siendo una iniciativa a pequeña escala.")</f>
        <v>La expansión de las estaciones de energía renovable indica un progreso, pero sigue siendo una iniciativa a pequeña escala.</v>
      </c>
      <c r="P187" s="30">
        <v>0.8</v>
      </c>
      <c r="Q187" s="31" t="str">
        <f>IFERROR(__xludf.DUMMYFUNCTION("GOOGLETRANSLATE(R187,""ES"",""EN"")"),"renewable fuel, service stations")</f>
        <v>renewable fuel, service stations</v>
      </c>
      <c r="R187" s="28" t="s">
        <v>1539</v>
      </c>
      <c r="S187" s="53" t="s">
        <v>1102</v>
      </c>
      <c r="T187" s="32" t="s">
        <v>1103</v>
      </c>
    </row>
    <row r="188">
      <c r="A188" s="33" t="s">
        <v>1592</v>
      </c>
      <c r="B188" s="40" t="s">
        <v>43</v>
      </c>
      <c r="C188" s="41">
        <v>45307.0</v>
      </c>
      <c r="D188" s="40" t="s">
        <v>1593</v>
      </c>
      <c r="E188" s="42" t="s">
        <v>1594</v>
      </c>
      <c r="F188" s="43" t="s">
        <v>1595</v>
      </c>
      <c r="G188" s="43" t="s">
        <v>1596</v>
      </c>
      <c r="H188" s="44" t="s">
        <v>130</v>
      </c>
      <c r="I188" s="15" t="str">
        <f>IFERROR(__xludf.DUMMYFUNCTION("GOOGLETRANSLATE(H188,""EN"",""ES"")"),"Sostenibilidad")</f>
        <v>Sostenibilidad</v>
      </c>
      <c r="J188" s="16" t="s">
        <v>35</v>
      </c>
      <c r="K188" s="48">
        <v>0.7</v>
      </c>
      <c r="L188" s="51" t="s">
        <v>1597</v>
      </c>
      <c r="M188" s="34" t="s">
        <v>1598</v>
      </c>
      <c r="N188" s="44" t="s">
        <v>1599</v>
      </c>
      <c r="O188" s="44" t="str">
        <f>IFERROR(__xludf.DUMMYFUNCTION("GOOGLETRANSLATE(N188,""EN"",""ES"")"),"La ampliación de la distribución de combustibles renovables refuerza la posición competitiva de Repsol en energía sostenible.")</f>
        <v>La ampliación de la distribución de combustibles renovables refuerza la posición competitiva de Repsol en energía sostenible.</v>
      </c>
      <c r="P188" s="30">
        <v>0.8</v>
      </c>
      <c r="Q188" s="18" t="str">
        <f>IFERROR(__xludf.DUMMYFUNCTION("GOOGLETRANSLATE(R188,""ES"",""EN"")"),"renewable fuels, service stations")</f>
        <v>renewable fuels, service stations</v>
      </c>
      <c r="R188" s="34" t="s">
        <v>1600</v>
      </c>
      <c r="S188" s="52" t="s">
        <v>1102</v>
      </c>
      <c r="T188" s="22" t="s">
        <v>1103</v>
      </c>
    </row>
    <row r="189">
      <c r="A189" s="23" t="s">
        <v>1601</v>
      </c>
      <c r="B189" s="40" t="s">
        <v>1602</v>
      </c>
      <c r="C189" s="41">
        <v>45307.0</v>
      </c>
      <c r="D189" s="40" t="s">
        <v>1532</v>
      </c>
      <c r="E189" s="42" t="s">
        <v>1603</v>
      </c>
      <c r="F189" s="43" t="s">
        <v>1534</v>
      </c>
      <c r="G189" s="43" t="s">
        <v>1604</v>
      </c>
      <c r="H189" s="47" t="s">
        <v>130</v>
      </c>
      <c r="I189" s="25" t="str">
        <f>IFERROR(__xludf.DUMMYFUNCTION("GOOGLETRANSLATE(H189,""EN"",""ES"")"),"Sostenibilidad")</f>
        <v>Sostenibilidad</v>
      </c>
      <c r="J189" s="26" t="s">
        <v>35</v>
      </c>
      <c r="K189" s="48">
        <v>0.7</v>
      </c>
      <c r="L189" s="49" t="s">
        <v>1605</v>
      </c>
      <c r="M189" s="28" t="s">
        <v>1606</v>
      </c>
      <c r="N189" s="47" t="s">
        <v>1607</v>
      </c>
      <c r="O189" s="47" t="str">
        <f>IFERROR(__xludf.DUMMYFUNCTION("GOOGLETRANSLATE(N189,""EN"",""ES"")"),"La ampliación de las infraestructuras renovables impulsa la percepción pública de Repsol en el sector de la sostenibilidad.")</f>
        <v>La ampliación de las infraestructuras renovables impulsa la percepción pública de Repsol en el sector de la sostenibilidad.</v>
      </c>
      <c r="P189" s="30">
        <v>0.8</v>
      </c>
      <c r="Q189" s="31" t="str">
        <f>IFERROR(__xludf.DUMMYFUNCTION("GOOGLETRANSLATE(R189,""ES"",""EN"")"),"renewable fuel, service stations")</f>
        <v>renewable fuel, service stations</v>
      </c>
      <c r="R189" s="28" t="s">
        <v>1539</v>
      </c>
      <c r="S189" s="53" t="s">
        <v>1102</v>
      </c>
      <c r="T189" s="32" t="s">
        <v>1103</v>
      </c>
    </row>
    <row r="190">
      <c r="A190" s="33" t="s">
        <v>1608</v>
      </c>
      <c r="B190" s="40" t="s">
        <v>163</v>
      </c>
      <c r="C190" s="41">
        <v>45307.0</v>
      </c>
      <c r="D190" s="40" t="s">
        <v>1609</v>
      </c>
      <c r="E190" s="42" t="s">
        <v>1610</v>
      </c>
      <c r="F190" s="43" t="s">
        <v>1611</v>
      </c>
      <c r="G190" s="43" t="s">
        <v>1612</v>
      </c>
      <c r="H190" s="44" t="s">
        <v>130</v>
      </c>
      <c r="I190" s="15" t="str">
        <f>IFERROR(__xludf.DUMMYFUNCTION("GOOGLETRANSLATE(H190,""EN"",""ES"")"),"Sostenibilidad")</f>
        <v>Sostenibilidad</v>
      </c>
      <c r="J190" s="16" t="s">
        <v>35</v>
      </c>
      <c r="K190" s="48">
        <v>0.7</v>
      </c>
      <c r="L190" s="51" t="s">
        <v>1613</v>
      </c>
      <c r="M190" s="34" t="s">
        <v>1614</v>
      </c>
      <c r="N190" s="44" t="s">
        <v>1615</v>
      </c>
      <c r="O190" s="44" t="str">
        <f>IFERROR(__xludf.DUMMYFUNCTION("GOOGLETRANSLATE(N190,""EN"",""ES"")"),"Mejorar la accesibilidad a los combustibles renovables se alinea con los objetivos de sostenibilidad a largo plazo de Repsol.")</f>
        <v>Mejorar la accesibilidad a los combustibles renovables se alinea con los objetivos de sostenibilidad a largo plazo de Repsol.</v>
      </c>
      <c r="P190" s="30">
        <v>0.8</v>
      </c>
      <c r="Q190" s="18" t="str">
        <f>IFERROR(__xludf.DUMMYFUNCTION("GOOGLETRANSLATE(R190,""ES"",""EN"")"),"renewable fuel, service stations")</f>
        <v>renewable fuel, service stations</v>
      </c>
      <c r="R190" s="34" t="s">
        <v>1539</v>
      </c>
      <c r="S190" s="52" t="s">
        <v>1102</v>
      </c>
      <c r="T190" s="22" t="s">
        <v>1103</v>
      </c>
    </row>
    <row r="191">
      <c r="A191" s="23" t="s">
        <v>1616</v>
      </c>
      <c r="B191" s="40" t="s">
        <v>403</v>
      </c>
      <c r="C191" s="41">
        <v>45307.0</v>
      </c>
      <c r="D191" s="40" t="s">
        <v>1617</v>
      </c>
      <c r="E191" s="42" t="s">
        <v>1618</v>
      </c>
      <c r="F191" s="43" t="s">
        <v>1619</v>
      </c>
      <c r="G191" s="43" t="s">
        <v>1620</v>
      </c>
      <c r="H191" s="47" t="s">
        <v>130</v>
      </c>
      <c r="I191" s="25" t="str">
        <f>IFERROR(__xludf.DUMMYFUNCTION("GOOGLETRANSLATE(H191,""EN"",""ES"")"),"Sostenibilidad")</f>
        <v>Sostenibilidad</v>
      </c>
      <c r="J191" s="26" t="s">
        <v>35</v>
      </c>
      <c r="K191" s="48">
        <v>0.7</v>
      </c>
      <c r="L191" s="49" t="s">
        <v>1621</v>
      </c>
      <c r="M191" s="28" t="s">
        <v>1622</v>
      </c>
      <c r="N191" s="47" t="s">
        <v>1623</v>
      </c>
      <c r="O191" s="47" t="str">
        <f>IFERROR(__xludf.DUMMYFUNCTION("GOOGLETRANSLATE(N191,""EN"",""ES"")"),"Apoyar la transición energética del hidrógeno refuerza el liderazgo de Repsol en energías alternativas.")</f>
        <v>Apoyar la transición energética del hidrógeno refuerza el liderazgo de Repsol en energías alternativas.</v>
      </c>
      <c r="P191" s="30">
        <v>0.8</v>
      </c>
      <c r="Q191" s="31" t="str">
        <f>IFERROR(__xludf.DUMMYFUNCTION("GOOGLETRANSLATE(R191,""ES"",""EN"")"),"green hydrogen, investment")</f>
        <v>green hydrogen, investment</v>
      </c>
      <c r="R191" s="28" t="s">
        <v>1624</v>
      </c>
      <c r="S191" s="53" t="s">
        <v>1102</v>
      </c>
      <c r="T191" s="32" t="s">
        <v>1103</v>
      </c>
    </row>
    <row r="192">
      <c r="A192" s="33" t="s">
        <v>1625</v>
      </c>
      <c r="B192" s="40" t="s">
        <v>68</v>
      </c>
      <c r="C192" s="41">
        <v>45307.0</v>
      </c>
      <c r="D192" s="40" t="s">
        <v>1626</v>
      </c>
      <c r="E192" s="42" t="s">
        <v>1627</v>
      </c>
      <c r="F192" s="43" t="s">
        <v>1628</v>
      </c>
      <c r="G192" s="43" t="s">
        <v>1629</v>
      </c>
      <c r="H192" s="44" t="s">
        <v>55</v>
      </c>
      <c r="I192" s="15" t="str">
        <f>IFERROR(__xludf.DUMMYFUNCTION("GOOGLETRANSLATE(H192,""EN"",""ES"")"),"deportes de motor")</f>
        <v>deportes de motor</v>
      </c>
      <c r="J192" s="16" t="s">
        <v>35</v>
      </c>
      <c r="K192" s="48">
        <v>0.0</v>
      </c>
      <c r="L192" s="45"/>
      <c r="M192" s="18"/>
      <c r="N192" s="44" t="s">
        <v>1630</v>
      </c>
      <c r="O192" s="44" t="str">
        <f>IFERROR(__xludf.DUMMYFUNCTION("GOOGLETRANSLATE(N192,""EN"",""ES"")"),"Las presentaciones de los equipos no impactan en la reputación corporativa de Repsol.")</f>
        <v>Las presentaciones de los equipos no impactan en la reputación corporativa de Repsol.</v>
      </c>
      <c r="P192" s="30">
        <v>0.6</v>
      </c>
      <c r="Q192" s="18" t="str">
        <f>IFERROR(__xludf.DUMMYFUNCTION("GOOGLETRANSLATE(R192,""ES"",""EN"")"),"Repsol Honda, presentation")</f>
        <v>Repsol Honda, presentation</v>
      </c>
      <c r="R192" s="34" t="s">
        <v>1631</v>
      </c>
      <c r="S192" s="52" t="s">
        <v>1632</v>
      </c>
      <c r="T192" s="22" t="s">
        <v>1633</v>
      </c>
    </row>
    <row r="193">
      <c r="A193" s="23" t="s">
        <v>1634</v>
      </c>
      <c r="B193" s="40" t="s">
        <v>1635</v>
      </c>
      <c r="C193" s="41">
        <v>45307.0</v>
      </c>
      <c r="D193" s="40" t="s">
        <v>1636</v>
      </c>
      <c r="E193" s="42" t="s">
        <v>1637</v>
      </c>
      <c r="F193" s="43" t="s">
        <v>1638</v>
      </c>
      <c r="G193" s="43" t="s">
        <v>1639</v>
      </c>
      <c r="H193" s="47" t="s">
        <v>130</v>
      </c>
      <c r="I193" s="25" t="str">
        <f>IFERROR(__xludf.DUMMYFUNCTION("GOOGLETRANSLATE(H193,""EN"",""ES"")"),"Sostenibilidad")</f>
        <v>Sostenibilidad</v>
      </c>
      <c r="J193" s="26" t="s">
        <v>35</v>
      </c>
      <c r="K193" s="48">
        <v>0.7</v>
      </c>
      <c r="L193" s="49" t="s">
        <v>1640</v>
      </c>
      <c r="M193" s="28" t="s">
        <v>1641</v>
      </c>
      <c r="N193" s="47" t="s">
        <v>1642</v>
      </c>
      <c r="O193" s="47" t="str">
        <f>IFERROR(__xludf.DUMMYFUNCTION("GOOGLETRANSLATE(N193,""EN"",""ES"")"),"La ampliación de la infraestructura de combustibles renovables se alinea con la estrategia de sostenibilidad de Repsol.")</f>
        <v>La ampliación de la infraestructura de combustibles renovables se alinea con la estrategia de sostenibilidad de Repsol.</v>
      </c>
      <c r="P193" s="30">
        <v>0.8</v>
      </c>
      <c r="Q193" s="31" t="str">
        <f>IFERROR(__xludf.DUMMYFUNCTION("GOOGLETRANSLATE(R193,""ES"",""EN"")"),"renewable fuel, service stations")</f>
        <v>renewable fuel, service stations</v>
      </c>
      <c r="R193" s="28" t="s">
        <v>1539</v>
      </c>
      <c r="S193" s="53" t="s">
        <v>1102</v>
      </c>
      <c r="T193" s="32" t="s">
        <v>1103</v>
      </c>
    </row>
    <row r="194">
      <c r="A194" s="33" t="s">
        <v>1643</v>
      </c>
      <c r="B194" s="40" t="s">
        <v>1644</v>
      </c>
      <c r="C194" s="41">
        <v>45307.0</v>
      </c>
      <c r="D194" s="40" t="s">
        <v>1645</v>
      </c>
      <c r="E194" s="42" t="s">
        <v>1646</v>
      </c>
      <c r="F194" s="43" t="s">
        <v>1647</v>
      </c>
      <c r="G194" s="43" t="s">
        <v>1648</v>
      </c>
      <c r="H194" s="44" t="s">
        <v>1649</v>
      </c>
      <c r="I194" s="15" t="str">
        <f>IFERROR(__xludf.DUMMYFUNCTION("GOOGLETRANSLATE(H194,""EN"",""ES"")"),"Prevención de fraude")</f>
        <v>Prevención de fraude</v>
      </c>
      <c r="J194" s="16" t="s">
        <v>27</v>
      </c>
      <c r="K194" s="17">
        <v>0.0</v>
      </c>
      <c r="L194" s="45"/>
      <c r="M194" s="18"/>
      <c r="N194" s="44"/>
      <c r="O194" s="44"/>
      <c r="P194" s="20">
        <v>0.0</v>
      </c>
      <c r="Q194" s="18"/>
      <c r="R194" s="18"/>
      <c r="S194" s="52"/>
      <c r="T194" s="22"/>
    </row>
    <row r="195">
      <c r="A195" s="23" t="s">
        <v>1650</v>
      </c>
      <c r="B195" s="40" t="s">
        <v>50</v>
      </c>
      <c r="C195" s="41">
        <v>45307.0</v>
      </c>
      <c r="D195" s="40" t="s">
        <v>1651</v>
      </c>
      <c r="E195" s="42" t="s">
        <v>1652</v>
      </c>
      <c r="F195" s="43" t="s">
        <v>1653</v>
      </c>
      <c r="G195" s="43" t="s">
        <v>1654</v>
      </c>
      <c r="H195" s="47" t="s">
        <v>55</v>
      </c>
      <c r="I195" s="25" t="str">
        <f>IFERROR(__xludf.DUMMYFUNCTION("GOOGLETRANSLATE(H195,""EN"",""ES"")"),"deportes de motor")</f>
        <v>deportes de motor</v>
      </c>
      <c r="J195" s="26" t="s">
        <v>35</v>
      </c>
      <c r="K195" s="48">
        <v>0.0</v>
      </c>
      <c r="L195" s="54"/>
      <c r="M195" s="31"/>
      <c r="N195" s="47" t="s">
        <v>1655</v>
      </c>
      <c r="O195" s="47" t="str">
        <f>IFERROR(__xludf.DUMMYFUNCTION("GOOGLETRANSLATE(N195,""EN"",""ES"")"),"El debate general sobre las tendencias de la movilidad no afecta directamente a Repsol.")</f>
        <v>El debate general sobre las tendencias de la movilidad no afecta directamente a Repsol.</v>
      </c>
      <c r="P195" s="30">
        <v>0.7</v>
      </c>
      <c r="Q195" s="31" t="str">
        <f>IFERROR(__xludf.DUMMYFUNCTION("GOOGLETRANSLATE(R195,""ES"",""EN"")"),"renewable fuel, Dakar")</f>
        <v>renewable fuel, Dakar</v>
      </c>
      <c r="R195" s="28" t="s">
        <v>1656</v>
      </c>
      <c r="S195" s="53" t="s">
        <v>1657</v>
      </c>
      <c r="T195" s="32" t="s">
        <v>1658</v>
      </c>
    </row>
    <row r="196">
      <c r="A196" s="33" t="s">
        <v>1659</v>
      </c>
      <c r="B196" s="40" t="s">
        <v>1660</v>
      </c>
      <c r="C196" s="41">
        <v>45307.0</v>
      </c>
      <c r="D196" s="40" t="s">
        <v>1661</v>
      </c>
      <c r="E196" s="42" t="s">
        <v>1662</v>
      </c>
      <c r="F196" s="43" t="s">
        <v>1663</v>
      </c>
      <c r="G196" s="43" t="s">
        <v>1664</v>
      </c>
      <c r="H196" s="44" t="s">
        <v>1336</v>
      </c>
      <c r="I196" s="15" t="str">
        <f>IFERROR(__xludf.DUMMYFUNCTION("GOOGLETRANSLATE(H196,""EN"",""ES"")"),"Seguridad")</f>
        <v>Seguridad</v>
      </c>
      <c r="J196" s="16" t="s">
        <v>27</v>
      </c>
      <c r="K196" s="17">
        <v>0.0</v>
      </c>
      <c r="L196" s="45"/>
      <c r="M196" s="18"/>
      <c r="N196" s="44"/>
      <c r="O196" s="44"/>
      <c r="P196" s="20">
        <v>0.0</v>
      </c>
      <c r="Q196" s="18"/>
      <c r="R196" s="18"/>
      <c r="S196" s="52"/>
      <c r="T196" s="22"/>
    </row>
    <row r="197">
      <c r="A197" s="23" t="s">
        <v>1665</v>
      </c>
      <c r="B197" s="40" t="s">
        <v>1362</v>
      </c>
      <c r="C197" s="41">
        <v>45307.0</v>
      </c>
      <c r="D197" s="40" t="s">
        <v>1666</v>
      </c>
      <c r="E197" s="42" t="s">
        <v>1667</v>
      </c>
      <c r="F197" s="43" t="s">
        <v>1668</v>
      </c>
      <c r="G197" s="43" t="s">
        <v>1669</v>
      </c>
      <c r="H197" s="47" t="s">
        <v>395</v>
      </c>
      <c r="I197" s="25" t="str">
        <f>IFERROR(__xludf.DUMMYFUNCTION("GOOGLETRANSLATE(H197,""EN"",""ES"")"),"Ambiente")</f>
        <v>Ambiente</v>
      </c>
      <c r="J197" s="26" t="s">
        <v>35</v>
      </c>
      <c r="K197" s="48">
        <v>-0.8</v>
      </c>
      <c r="L197" s="49" t="s">
        <v>1670</v>
      </c>
      <c r="M197" s="28" t="s">
        <v>1671</v>
      </c>
      <c r="N197" s="47" t="s">
        <v>1672</v>
      </c>
      <c r="O197" s="47" t="str">
        <f>IFERROR(__xludf.DUMMYFUNCTION("GOOGLETRANSLATE(N197,""EN"",""ES"")"),"Los continuos daños medioambientales refuerzan el sentimiento negativo hacia Repsol.")</f>
        <v>Los continuos daños medioambientales refuerzan el sentimiento negativo hacia Repsol.</v>
      </c>
      <c r="P197" s="30">
        <v>-0.9</v>
      </c>
      <c r="Q197" s="31" t="str">
        <f>IFERROR(__xludf.DUMMYFUNCTION("GOOGLETRANSLATE(R197,""ES"",""EN"")"),"oil spill, human rights")</f>
        <v>oil spill, human rights</v>
      </c>
      <c r="R197" s="28" t="s">
        <v>1673</v>
      </c>
      <c r="S197" s="53" t="s">
        <v>1674</v>
      </c>
      <c r="T197" s="32" t="s">
        <v>1675</v>
      </c>
    </row>
    <row r="198">
      <c r="A198" s="33" t="s">
        <v>1676</v>
      </c>
      <c r="B198" s="40" t="s">
        <v>254</v>
      </c>
      <c r="C198" s="41">
        <v>45307.0</v>
      </c>
      <c r="D198" s="40" t="s">
        <v>1677</v>
      </c>
      <c r="E198" s="42" t="s">
        <v>1678</v>
      </c>
      <c r="F198" s="43" t="s">
        <v>1679</v>
      </c>
      <c r="G198" s="43" t="s">
        <v>1680</v>
      </c>
      <c r="H198" s="44" t="s">
        <v>395</v>
      </c>
      <c r="I198" s="15" t="str">
        <f>IFERROR(__xludf.DUMMYFUNCTION("GOOGLETRANSLATE(H198,""EN"",""ES"")"),"Ambiente")</f>
        <v>Ambiente</v>
      </c>
      <c r="J198" s="16" t="s">
        <v>35</v>
      </c>
      <c r="K198" s="48">
        <v>-0.8</v>
      </c>
      <c r="L198" s="51" t="s">
        <v>1681</v>
      </c>
      <c r="M198" s="34" t="s">
        <v>1682</v>
      </c>
      <c r="N198" s="44" t="s">
        <v>1683</v>
      </c>
      <c r="O198" s="44" t="str">
        <f>IFERROR(__xludf.DUMMYFUNCTION("GOOGLETRANSLATE(N198,""EN"",""ES"")"),"El impacto continuo en los medios de vida perjudica aún más la reputación de Repsol y las preocupaciones sobre su responsabilidad.")</f>
        <v>El impacto continuo en los medios de vida perjudica aún más la reputación de Repsol y las preocupaciones sobre su responsabilidad.</v>
      </c>
      <c r="P198" s="30">
        <v>-0.8</v>
      </c>
      <c r="Q198" s="18" t="str">
        <f>IFERROR(__xludf.DUMMYFUNCTION("GOOGLETRANSLATE(R198,""ES"",""EN"")"),"oil spill, survive")</f>
        <v>oil spill, survive</v>
      </c>
      <c r="R198" s="34" t="s">
        <v>1684</v>
      </c>
      <c r="S198" s="52" t="s">
        <v>1685</v>
      </c>
      <c r="T198" s="22" t="s">
        <v>1686</v>
      </c>
    </row>
    <row r="199">
      <c r="A199" s="23" t="s">
        <v>1687</v>
      </c>
      <c r="B199" s="40" t="s">
        <v>1688</v>
      </c>
      <c r="C199" s="41">
        <v>45307.0</v>
      </c>
      <c r="D199" s="40" t="s">
        <v>1689</v>
      </c>
      <c r="E199" s="42" t="s">
        <v>1690</v>
      </c>
      <c r="F199" s="43" t="s">
        <v>1691</v>
      </c>
      <c r="G199" s="43" t="s">
        <v>1692</v>
      </c>
      <c r="H199" s="47" t="s">
        <v>408</v>
      </c>
      <c r="I199" s="25" t="str">
        <f>IFERROR(__xludf.DUMMYFUNCTION("GOOGLETRANSLATE(H199,""EN"",""ES"")"),"Legal")</f>
        <v>Legal</v>
      </c>
      <c r="J199" s="26" t="s">
        <v>35</v>
      </c>
      <c r="K199" s="48">
        <v>-0.7</v>
      </c>
      <c r="L199" s="49" t="s">
        <v>1693</v>
      </c>
      <c r="M199" s="28" t="s">
        <v>1694</v>
      </c>
      <c r="N199" s="47" t="s">
        <v>1695</v>
      </c>
      <c r="O199" s="47" t="str">
        <f>IFERROR(__xludf.DUMMYFUNCTION("GOOGLETRANSLATE(N199,""EN"",""ES"")"),"Las multas relacionadas con violaciones ambientales contribuyen a una percepción regulatoria negativa.")</f>
        <v>Las multas relacionadas con violaciones ambientales contribuyen a una percepción regulatoria negativa.</v>
      </c>
      <c r="P199" s="30">
        <v>-0.8</v>
      </c>
      <c r="Q199" s="31" t="str">
        <f>IFERROR(__xludf.DUMMYFUNCTION("GOOGLETRANSLATE(R199,""ES"",""EN"")"),"fines, omission of plans")</f>
        <v>fines, omission of plans</v>
      </c>
      <c r="R199" s="28" t="s">
        <v>1696</v>
      </c>
      <c r="S199" s="53" t="s">
        <v>1697</v>
      </c>
      <c r="T199" s="32" t="s">
        <v>1698</v>
      </c>
    </row>
    <row r="200">
      <c r="A200" s="33" t="s">
        <v>1699</v>
      </c>
      <c r="B200" s="40" t="s">
        <v>390</v>
      </c>
      <c r="C200" s="41">
        <v>45307.0</v>
      </c>
      <c r="D200" s="40" t="s">
        <v>1700</v>
      </c>
      <c r="E200" s="42" t="s">
        <v>1701</v>
      </c>
      <c r="F200" s="43" t="s">
        <v>1702</v>
      </c>
      <c r="G200" s="43" t="s">
        <v>1703</v>
      </c>
      <c r="H200" s="44" t="s">
        <v>395</v>
      </c>
      <c r="I200" s="15" t="str">
        <f>IFERROR(__xludf.DUMMYFUNCTION("GOOGLETRANSLATE(H200,""EN"",""ES"")"),"Ambiente")</f>
        <v>Ambiente</v>
      </c>
      <c r="J200" s="16" t="s">
        <v>35</v>
      </c>
      <c r="K200" s="48">
        <v>-0.8</v>
      </c>
      <c r="L200" s="51" t="s">
        <v>1704</v>
      </c>
      <c r="M200" s="34" t="s">
        <v>1705</v>
      </c>
      <c r="N200" s="44" t="s">
        <v>1706</v>
      </c>
      <c r="O200" s="44" t="str">
        <f>IFERROR(__xludf.DUMMYFUNCTION("GOOGLETRANSLATE(N200,""EN"",""ES"")"),"Los continuos problemas de contaminación y las demandas públicas de rendición de cuentas dañan la imagen de Repsol.")</f>
        <v>Los continuos problemas de contaminación y las demandas públicas de rendición de cuentas dañan la imagen de Repsol.</v>
      </c>
      <c r="P200" s="30">
        <v>-0.9</v>
      </c>
      <c r="Q200" s="18" t="str">
        <f>IFERROR(__xludf.DUMMYFUNCTION("GOOGLETRANSLATE(R200,""ES"",""EN"")"),"contaminated beaches, Repsol spill")</f>
        <v>contaminated beaches, Repsol spill</v>
      </c>
      <c r="R200" s="34" t="s">
        <v>1707</v>
      </c>
      <c r="S200" s="52" t="s">
        <v>1032</v>
      </c>
      <c r="T200" s="22" t="s">
        <v>1033</v>
      </c>
    </row>
    <row r="201">
      <c r="A201" s="23" t="s">
        <v>1708</v>
      </c>
      <c r="B201" s="40" t="s">
        <v>1215</v>
      </c>
      <c r="C201" s="41">
        <v>45307.0</v>
      </c>
      <c r="D201" s="40" t="s">
        <v>1709</v>
      </c>
      <c r="E201" s="42" t="s">
        <v>1710</v>
      </c>
      <c r="F201" s="43" t="s">
        <v>1711</v>
      </c>
      <c r="G201" s="43" t="s">
        <v>1712</v>
      </c>
      <c r="H201" s="47" t="s">
        <v>395</v>
      </c>
      <c r="I201" s="25" t="str">
        <f>IFERROR(__xludf.DUMMYFUNCTION("GOOGLETRANSLATE(H201,""EN"",""ES"")"),"Ambiente")</f>
        <v>Ambiente</v>
      </c>
      <c r="J201" s="26" t="s">
        <v>35</v>
      </c>
      <c r="K201" s="48">
        <v>-0.8</v>
      </c>
      <c r="L201" s="49" t="s">
        <v>1713</v>
      </c>
      <c r="M201" s="28" t="s">
        <v>1714</v>
      </c>
      <c r="N201" s="47" t="s">
        <v>1715</v>
      </c>
      <c r="O201" s="47" t="str">
        <f>IFERROR(__xludf.DUMMYFUNCTION("GOOGLETRANSLATE(N201,""EN"",""ES"")"),"La persistencia de la contaminación mantiene a Repsol bajo la lupa por su responsabilidad ambiental.")</f>
        <v>La persistencia de la contaminación mantiene a Repsol bajo la lupa por su responsabilidad ambiental.</v>
      </c>
      <c r="P201" s="30">
        <v>-0.8</v>
      </c>
      <c r="Q201" s="31" t="str">
        <f>IFERROR(__xludf.DUMMYFUNCTION("GOOGLETRANSLATE(R201,""ES"",""EN"")"),"Affected beaches, Repsol spill")</f>
        <v>Affected beaches, Repsol spill</v>
      </c>
      <c r="R201" s="28" t="s">
        <v>1716</v>
      </c>
      <c r="S201" s="53" t="s">
        <v>1717</v>
      </c>
      <c r="T201" s="32" t="s">
        <v>1718</v>
      </c>
    </row>
    <row r="202">
      <c r="A202" s="33" t="s">
        <v>1719</v>
      </c>
      <c r="B202" s="40" t="s">
        <v>1384</v>
      </c>
      <c r="C202" s="41">
        <v>45307.0</v>
      </c>
      <c r="D202" s="40" t="s">
        <v>1720</v>
      </c>
      <c r="E202" s="42" t="s">
        <v>1721</v>
      </c>
      <c r="F202" s="43" t="s">
        <v>1722</v>
      </c>
      <c r="G202" s="43" t="s">
        <v>1723</v>
      </c>
      <c r="H202" s="44" t="s">
        <v>395</v>
      </c>
      <c r="I202" s="15" t="str">
        <f>IFERROR(__xludf.DUMMYFUNCTION("GOOGLETRANSLATE(H202,""EN"",""ES"")"),"Ambiente")</f>
        <v>Ambiente</v>
      </c>
      <c r="J202" s="16" t="s">
        <v>35</v>
      </c>
      <c r="K202" s="48">
        <v>-0.8</v>
      </c>
      <c r="L202" s="51" t="s">
        <v>1724</v>
      </c>
      <c r="M202" s="34" t="s">
        <v>1725</v>
      </c>
      <c r="N202" s="44" t="s">
        <v>1726</v>
      </c>
      <c r="O202" s="44" t="str">
        <f>IFERROR(__xludf.DUMMYFUNCTION("GOOGLETRANSLATE(N202,""EN"",""ES"")"),"Las continuas críticas a la rehabilitación ambiental dañan la reputación de Repsol.")</f>
        <v>Las continuas críticas a la rehabilitación ambiental dañan la reputación de Repsol.</v>
      </c>
      <c r="P202" s="30">
        <v>-0.9</v>
      </c>
      <c r="Q202" s="18" t="str">
        <f>IFERROR(__xludf.DUMMYFUNCTION("GOOGLETRANSLATE(R202,""ES"",""EN"")"),"lack of rehabilitation, oil spill")</f>
        <v>lack of rehabilitation, oil spill</v>
      </c>
      <c r="R202" s="34" t="s">
        <v>1727</v>
      </c>
      <c r="S202" s="52" t="s">
        <v>1728</v>
      </c>
      <c r="T202" s="22" t="s">
        <v>1729</v>
      </c>
    </row>
    <row r="203">
      <c r="A203" s="23" t="s">
        <v>1730</v>
      </c>
      <c r="B203" s="40" t="s">
        <v>499</v>
      </c>
      <c r="C203" s="41">
        <v>45308.0</v>
      </c>
      <c r="D203" s="40" t="s">
        <v>1731</v>
      </c>
      <c r="E203" s="42" t="s">
        <v>1732</v>
      </c>
      <c r="F203" s="43" t="s">
        <v>1733</v>
      </c>
      <c r="G203" s="43" t="s">
        <v>1734</v>
      </c>
      <c r="H203" s="47" t="s">
        <v>48</v>
      </c>
      <c r="I203" s="25" t="str">
        <f>IFERROR(__xludf.DUMMYFUNCTION("GOOGLETRANSLATE(H203,""EN"",""ES"")"),"Finanzas")</f>
        <v>Finanzas</v>
      </c>
      <c r="J203" s="26" t="s">
        <v>35</v>
      </c>
      <c r="K203" s="48">
        <v>0.6</v>
      </c>
      <c r="L203" s="49" t="s">
        <v>1735</v>
      </c>
      <c r="M203" s="28" t="s">
        <v>1736</v>
      </c>
      <c r="N203" s="47" t="s">
        <v>1737</v>
      </c>
      <c r="O203" s="47" t="str">
        <f>IFERROR(__xludf.DUMMYFUNCTION("GOOGLETRANSLATE(N203,""EN"",""ES"")"),"Los crecientes niveles de producción fortalecen las perspectivas financieras y el crecimiento operativo de Repsol.")</f>
        <v>Los crecientes niveles de producción fortalecen las perspectivas financieras y el crecimiento operativo de Repsol.</v>
      </c>
      <c r="P203" s="30">
        <v>0.7</v>
      </c>
      <c r="Q203" s="31" t="str">
        <f>IFERROR(__xludf.DUMMYFUNCTION("GOOGLETRANSLATE(R203,""ES"",""EN"")"),"production increase")</f>
        <v>production increase</v>
      </c>
      <c r="R203" s="28" t="s">
        <v>1738</v>
      </c>
      <c r="S203" s="53" t="s">
        <v>1739</v>
      </c>
      <c r="T203" s="32" t="s">
        <v>1740</v>
      </c>
    </row>
    <row r="204">
      <c r="A204" s="33" t="s">
        <v>1741</v>
      </c>
      <c r="B204" s="40" t="s">
        <v>1742</v>
      </c>
      <c r="C204" s="41">
        <v>45308.0</v>
      </c>
      <c r="D204" s="40" t="s">
        <v>1743</v>
      </c>
      <c r="E204" s="42" t="s">
        <v>1744</v>
      </c>
      <c r="F204" s="43" t="s">
        <v>1745</v>
      </c>
      <c r="G204" s="43" t="s">
        <v>1746</v>
      </c>
      <c r="H204" s="44" t="s">
        <v>130</v>
      </c>
      <c r="I204" s="15" t="str">
        <f>IFERROR(__xludf.DUMMYFUNCTION("GOOGLETRANSLATE(H204,""EN"",""ES"")"),"Sostenibilidad")</f>
        <v>Sostenibilidad</v>
      </c>
      <c r="J204" s="16" t="s">
        <v>35</v>
      </c>
      <c r="K204" s="48">
        <v>0.7</v>
      </c>
      <c r="L204" s="51" t="s">
        <v>1747</v>
      </c>
      <c r="M204" s="34" t="s">
        <v>1748</v>
      </c>
      <c r="N204" s="44" t="s">
        <v>1749</v>
      </c>
      <c r="O204" s="44" t="str">
        <f>IFERROR(__xludf.DUMMYFUNCTION("GOOGLETRANSLATE(N204,""EN"",""ES"")"),"La promoción de los combustibles renovables refuerza el compromiso de Repsol con la sostenibilidad y la transición energética.")</f>
        <v>La promoción de los combustibles renovables refuerza el compromiso de Repsol con la sostenibilidad y la transición energética.</v>
      </c>
      <c r="P204" s="30">
        <v>0.8</v>
      </c>
      <c r="Q204" s="18" t="str">
        <f>IFERROR(__xludf.DUMMYFUNCTION("GOOGLETRANSLATE(R204,""ES"",""EN"")"),"renewable fuels")</f>
        <v>renewable fuels</v>
      </c>
      <c r="R204" s="34" t="s">
        <v>584</v>
      </c>
      <c r="S204" s="52" t="s">
        <v>1102</v>
      </c>
      <c r="T204" s="22" t="s">
        <v>1103</v>
      </c>
    </row>
    <row r="205">
      <c r="A205" s="23" t="s">
        <v>1750</v>
      </c>
      <c r="B205" s="40" t="s">
        <v>1751</v>
      </c>
      <c r="C205" s="41">
        <v>45308.0</v>
      </c>
      <c r="D205" s="40" t="s">
        <v>1752</v>
      </c>
      <c r="E205" s="42" t="s">
        <v>1753</v>
      </c>
      <c r="F205" s="43" t="s">
        <v>1754</v>
      </c>
      <c r="G205" s="43" t="s">
        <v>1755</v>
      </c>
      <c r="H205" s="47" t="s">
        <v>155</v>
      </c>
      <c r="I205" s="25" t="str">
        <f>IFERROR(__xludf.DUMMYFUNCTION("GOOGLETRANSLATE(H205,""EN"",""ES"")"),"Marketing")</f>
        <v>Marketing</v>
      </c>
      <c r="J205" s="26" t="s">
        <v>27</v>
      </c>
      <c r="K205" s="17">
        <v>0.0</v>
      </c>
      <c r="L205" s="54"/>
      <c r="M205" s="31"/>
      <c r="N205" s="47"/>
      <c r="O205" s="47"/>
      <c r="P205" s="20">
        <v>0.0</v>
      </c>
      <c r="Q205" s="31"/>
      <c r="R205" s="31"/>
      <c r="S205" s="53"/>
      <c r="T205" s="32"/>
    </row>
    <row r="206">
      <c r="A206" s="33" t="s">
        <v>1756</v>
      </c>
      <c r="B206" s="40" t="s">
        <v>614</v>
      </c>
      <c r="C206" s="41">
        <v>45308.0</v>
      </c>
      <c r="D206" s="40" t="s">
        <v>1757</v>
      </c>
      <c r="E206" s="42" t="s">
        <v>1758</v>
      </c>
      <c r="F206" s="43" t="s">
        <v>1759</v>
      </c>
      <c r="G206" s="43" t="s">
        <v>1760</v>
      </c>
      <c r="H206" s="44" t="s">
        <v>130</v>
      </c>
      <c r="I206" s="15" t="str">
        <f>IFERROR(__xludf.DUMMYFUNCTION("GOOGLETRANSLATE(H206,""EN"",""ES"")"),"Sostenibilidad")</f>
        <v>Sostenibilidad</v>
      </c>
      <c r="J206" s="16" t="s">
        <v>35</v>
      </c>
      <c r="K206" s="48">
        <v>0.7</v>
      </c>
      <c r="L206" s="51" t="s">
        <v>1761</v>
      </c>
      <c r="M206" s="34" t="s">
        <v>1762</v>
      </c>
      <c r="N206" s="44" t="s">
        <v>1763</v>
      </c>
      <c r="O206" s="44" t="str">
        <f>IFERROR(__xludf.DUMMYFUNCTION("GOOGLETRANSLATE(N206,""EN"",""ES"")"),"La ampliación de las opciones de combustibles renovables refuerza el liderazgo de Repsol en energías alternativas.")</f>
        <v>La ampliación de las opciones de combustibles renovables refuerza el liderazgo de Repsol en energías alternativas.</v>
      </c>
      <c r="P206" s="30">
        <v>0.8</v>
      </c>
      <c r="Q206" s="18" t="str">
        <f>IFERROR(__xludf.DUMMYFUNCTION("GOOGLETRANSLATE(R206,""ES"",""EN"")"),"renewable gasoline, biofuels")</f>
        <v>renewable gasoline, biofuels</v>
      </c>
      <c r="R206" s="34" t="s">
        <v>1764</v>
      </c>
      <c r="S206" s="52" t="s">
        <v>1765</v>
      </c>
      <c r="T206" s="22" t="s">
        <v>1766</v>
      </c>
    </row>
    <row r="207">
      <c r="A207" s="23" t="s">
        <v>1767</v>
      </c>
      <c r="B207" s="40" t="s">
        <v>1768</v>
      </c>
      <c r="C207" s="41">
        <v>45308.0</v>
      </c>
      <c r="D207" s="40" t="s">
        <v>1769</v>
      </c>
      <c r="E207" s="42" t="s">
        <v>1770</v>
      </c>
      <c r="F207" s="43" t="s">
        <v>1771</v>
      </c>
      <c r="G207" s="43" t="s">
        <v>1772</v>
      </c>
      <c r="H207" s="47" t="s">
        <v>130</v>
      </c>
      <c r="I207" s="25" t="str">
        <f>IFERROR(__xludf.DUMMYFUNCTION("GOOGLETRANSLATE(H207,""EN"",""ES"")"),"Sostenibilidad")</f>
        <v>Sostenibilidad</v>
      </c>
      <c r="J207" s="26" t="s">
        <v>35</v>
      </c>
      <c r="K207" s="48">
        <v>0.7</v>
      </c>
      <c r="L207" s="49" t="s">
        <v>1773</v>
      </c>
      <c r="M207" s="28" t="s">
        <v>1774</v>
      </c>
      <c r="N207" s="47" t="s">
        <v>1775</v>
      </c>
      <c r="O207" s="47" t="str">
        <f>IFERROR(__xludf.DUMMYFUNCTION("GOOGLETRANSLATE(N207,""EN"",""ES"")"),"Ofrecer gasolina renovable a todo tipo de vehículos mejora el impacto ambiental de Repsol.")</f>
        <v>Ofrecer gasolina renovable a todo tipo de vehículos mejora el impacto ambiental de Repsol.</v>
      </c>
      <c r="P207" s="30">
        <v>0.8</v>
      </c>
      <c r="Q207" s="31" t="str">
        <f>IFERROR(__xludf.DUMMYFUNCTION("GOOGLETRANSLATE(R207,""ES"",""EN"")"),"renewable gasoline, organic waste")</f>
        <v>renewable gasoline, organic waste</v>
      </c>
      <c r="R207" s="28" t="s">
        <v>1776</v>
      </c>
      <c r="S207" s="53" t="s">
        <v>1777</v>
      </c>
      <c r="T207" s="32" t="s">
        <v>1778</v>
      </c>
    </row>
    <row r="208">
      <c r="A208" s="33" t="s">
        <v>1779</v>
      </c>
      <c r="B208" s="40" t="s">
        <v>91</v>
      </c>
      <c r="C208" s="41">
        <v>45308.0</v>
      </c>
      <c r="D208" s="40" t="s">
        <v>1780</v>
      </c>
      <c r="E208" s="42" t="s">
        <v>1781</v>
      </c>
      <c r="F208" s="43" t="s">
        <v>1782</v>
      </c>
      <c r="G208" s="43" t="s">
        <v>1783</v>
      </c>
      <c r="H208" s="44" t="s">
        <v>661</v>
      </c>
      <c r="I208" s="15" t="str">
        <f>IFERROR(__xludf.DUMMYFUNCTION("GOOGLETRANSLATE(H208,""EN"",""ES"")"),"Estrategia empresarial")</f>
        <v>Estrategia empresarial</v>
      </c>
      <c r="J208" s="16" t="s">
        <v>35</v>
      </c>
      <c r="K208" s="48">
        <v>0.7</v>
      </c>
      <c r="L208" s="51" t="s">
        <v>1784</v>
      </c>
      <c r="M208" s="34" t="s">
        <v>1785</v>
      </c>
      <c r="N208" s="44" t="s">
        <v>1786</v>
      </c>
      <c r="O208" s="44" t="str">
        <f>IFERROR(__xludf.DUMMYFUNCTION("GOOGLETRANSLATE(N208,""EN"",""ES"")"),"Los precios competitivos de los combustibles renovables pueden impulsar la adopción y la presencia en el mercado.")</f>
        <v>Los precios competitivos de los combustibles renovables pueden impulsar la adopción y la presencia en el mercado.</v>
      </c>
      <c r="P208" s="30">
        <v>0.7</v>
      </c>
      <c r="Q208" s="18" t="str">
        <f>IFERROR(__xludf.DUMMYFUNCTION("GOOGLETRANSLATE(R208,""ES"",""EN"")"),"renewable gasoline, prices")</f>
        <v>renewable gasoline, prices</v>
      </c>
      <c r="R208" s="34" t="s">
        <v>1787</v>
      </c>
      <c r="S208" s="52" t="s">
        <v>1788</v>
      </c>
      <c r="T208" s="22" t="s">
        <v>1789</v>
      </c>
    </row>
    <row r="209">
      <c r="A209" s="23" t="s">
        <v>1790</v>
      </c>
      <c r="B209" s="40" t="s">
        <v>85</v>
      </c>
      <c r="C209" s="41">
        <v>45308.0</v>
      </c>
      <c r="D209" s="40" t="s">
        <v>1791</v>
      </c>
      <c r="E209" s="42" t="s">
        <v>1792</v>
      </c>
      <c r="F209" s="43" t="s">
        <v>1793</v>
      </c>
      <c r="G209" s="43" t="s">
        <v>1794</v>
      </c>
      <c r="H209" s="47" t="s">
        <v>130</v>
      </c>
      <c r="I209" s="25" t="str">
        <f>IFERROR(__xludf.DUMMYFUNCTION("GOOGLETRANSLATE(H209,""EN"",""ES"")"),"Sostenibilidad")</f>
        <v>Sostenibilidad</v>
      </c>
      <c r="J209" s="26" t="s">
        <v>35</v>
      </c>
      <c r="K209" s="48">
        <v>0.7</v>
      </c>
      <c r="L209" s="49" t="s">
        <v>1795</v>
      </c>
      <c r="M209" s="28" t="s">
        <v>1796</v>
      </c>
      <c r="N209" s="47" t="s">
        <v>1797</v>
      </c>
      <c r="O209" s="47" t="str">
        <f>IFERROR(__xludf.DUMMYFUNCTION("GOOGLETRANSLATE(N209,""EN"",""ES"")"),"La introducción de combustibles neutros en CO2 refuerza la posición de Repsol en el sector de las energías renovables.")</f>
        <v>La introducción de combustibles neutros en CO2 refuerza la posición de Repsol en el sector de las energías renovables.</v>
      </c>
      <c r="P209" s="30">
        <v>0.8</v>
      </c>
      <c r="Q209" s="31" t="str">
        <f>IFERROR(__xludf.DUMMYFUNCTION("GOOGLETRANSLATE(R209,""ES"",""EN"")"),"Petroleum-free gasoline, CO2 neutral")</f>
        <v>Petroleum-free gasoline, CO2 neutral</v>
      </c>
      <c r="R209" s="28" t="s">
        <v>1798</v>
      </c>
      <c r="S209" s="53" t="s">
        <v>1799</v>
      </c>
      <c r="T209" s="32" t="s">
        <v>1800</v>
      </c>
    </row>
    <row r="210">
      <c r="A210" s="33" t="s">
        <v>1801</v>
      </c>
      <c r="B210" s="40" t="s">
        <v>1802</v>
      </c>
      <c r="C210" s="41">
        <v>45308.0</v>
      </c>
      <c r="D210" s="40" t="s">
        <v>1803</v>
      </c>
      <c r="E210" s="42" t="s">
        <v>1804</v>
      </c>
      <c r="F210" s="43" t="s">
        <v>1805</v>
      </c>
      <c r="G210" s="43" t="s">
        <v>1806</v>
      </c>
      <c r="H210" s="44" t="s">
        <v>155</v>
      </c>
      <c r="I210" s="15" t="str">
        <f>IFERROR(__xludf.DUMMYFUNCTION("GOOGLETRANSLATE(H210,""EN"",""ES"")"),"Marketing")</f>
        <v>Marketing</v>
      </c>
      <c r="J210" s="16" t="s">
        <v>35</v>
      </c>
      <c r="K210" s="48">
        <v>0.7</v>
      </c>
      <c r="L210" s="51" t="s">
        <v>1807</v>
      </c>
      <c r="M210" s="34" t="s">
        <v>1808</v>
      </c>
      <c r="N210" s="44" t="s">
        <v>1809</v>
      </c>
      <c r="O210" s="44" t="str">
        <f>IFERROR(__xludf.DUMMYFUNCTION("GOOGLETRANSLATE(N210,""EN"",""ES"")"),"Las campañas de marketing centradas en las renovables mejoran la imagen de sostenibilidad de Repsol.")</f>
        <v>Las campañas de marketing centradas en las renovables mejoran la imagen de sostenibilidad de Repsol.</v>
      </c>
      <c r="P210" s="30">
        <v>0.7</v>
      </c>
      <c r="Q210" s="18" t="str">
        <f>IFERROR(__xludf.DUMMYFUNCTION("GOOGLETRANSLATE(R210,""ES"",""EN"")"),"renewable fuels, campaign")</f>
        <v>renewable fuels, campaign</v>
      </c>
      <c r="R210" s="34" t="s">
        <v>1810</v>
      </c>
      <c r="S210" s="52" t="s">
        <v>1811</v>
      </c>
      <c r="T210" s="22" t="s">
        <v>1812</v>
      </c>
    </row>
    <row r="211">
      <c r="A211" s="23" t="s">
        <v>1813</v>
      </c>
      <c r="B211" s="40" t="s">
        <v>374</v>
      </c>
      <c r="C211" s="41">
        <v>45308.0</v>
      </c>
      <c r="D211" s="40" t="s">
        <v>1814</v>
      </c>
      <c r="E211" s="42" t="s">
        <v>1815</v>
      </c>
      <c r="F211" s="43" t="s">
        <v>1816</v>
      </c>
      <c r="G211" s="43" t="s">
        <v>1817</v>
      </c>
      <c r="H211" s="47" t="s">
        <v>975</v>
      </c>
      <c r="I211" s="25" t="str">
        <f>IFERROR(__xludf.DUMMYFUNCTION("GOOGLETRANSLATE(H211,""EN"",""ES"")"),"Patrocinio")</f>
        <v>Patrocinio</v>
      </c>
      <c r="J211" s="26" t="s">
        <v>27</v>
      </c>
      <c r="K211" s="17">
        <v>0.0</v>
      </c>
      <c r="L211" s="54"/>
      <c r="M211" s="31"/>
      <c r="N211" s="47"/>
      <c r="O211" s="47"/>
      <c r="P211" s="20">
        <v>0.0</v>
      </c>
      <c r="Q211" s="31"/>
      <c r="R211" s="31"/>
      <c r="S211" s="53"/>
      <c r="T211" s="32"/>
    </row>
    <row r="212">
      <c r="A212" s="33" t="s">
        <v>1818</v>
      </c>
      <c r="B212" s="40" t="s">
        <v>1819</v>
      </c>
      <c r="C212" s="41">
        <v>45308.0</v>
      </c>
      <c r="D212" s="40" t="s">
        <v>1820</v>
      </c>
      <c r="E212" s="42" t="s">
        <v>1821</v>
      </c>
      <c r="F212" s="43" t="s">
        <v>1822</v>
      </c>
      <c r="G212" s="43" t="s">
        <v>1823</v>
      </c>
      <c r="H212" s="44" t="s">
        <v>1336</v>
      </c>
      <c r="I212" s="15" t="str">
        <f>IFERROR(__xludf.DUMMYFUNCTION("GOOGLETRANSLATE(H212,""EN"",""ES"")"),"Seguridad")</f>
        <v>Seguridad</v>
      </c>
      <c r="J212" s="16" t="s">
        <v>35</v>
      </c>
      <c r="K212" s="48">
        <v>-0.6</v>
      </c>
      <c r="L212" s="51" t="s">
        <v>1824</v>
      </c>
      <c r="M212" s="34" t="s">
        <v>1825</v>
      </c>
      <c r="N212" s="44" t="s">
        <v>1826</v>
      </c>
      <c r="O212" s="44" t="str">
        <f>IFERROR(__xludf.DUMMYFUNCTION("GOOGLETRANSLATE(N212,""EN"",""ES"")"),"Los problemas de seguridad en una refinería pueden afectar la situación operativa y regulatoria de Repsol.")</f>
        <v>Los problemas de seguridad en una refinería pueden afectar la situación operativa y regulatoria de Repsol.</v>
      </c>
      <c r="P212" s="30">
        <v>-0.6</v>
      </c>
      <c r="Q212" s="18" t="str">
        <f>IFERROR(__xludf.DUMMYFUNCTION("GOOGLETRANSLATE(R212,""ES"",""EN"")"),"working conditions, unprotected")</f>
        <v>working conditions, unprotected</v>
      </c>
      <c r="R212" s="34" t="s">
        <v>1827</v>
      </c>
      <c r="S212" s="52" t="s">
        <v>1828</v>
      </c>
      <c r="T212" s="22" t="s">
        <v>1829</v>
      </c>
    </row>
    <row r="213">
      <c r="A213" s="23" t="s">
        <v>1830</v>
      </c>
      <c r="B213" s="40" t="s">
        <v>1831</v>
      </c>
      <c r="C213" s="41">
        <v>45308.0</v>
      </c>
      <c r="D213" s="40" t="s">
        <v>1832</v>
      </c>
      <c r="E213" s="42" t="s">
        <v>1833</v>
      </c>
      <c r="F213" s="43" t="s">
        <v>1834</v>
      </c>
      <c r="G213" s="43" t="s">
        <v>1835</v>
      </c>
      <c r="H213" s="47" t="s">
        <v>130</v>
      </c>
      <c r="I213" s="25" t="str">
        <f>IFERROR(__xludf.DUMMYFUNCTION("GOOGLETRANSLATE(H213,""EN"",""ES"")"),"Sostenibilidad")</f>
        <v>Sostenibilidad</v>
      </c>
      <c r="J213" s="26" t="s">
        <v>35</v>
      </c>
      <c r="K213" s="48">
        <v>0.7</v>
      </c>
      <c r="L213" s="49" t="s">
        <v>1836</v>
      </c>
      <c r="M213" s="28" t="s">
        <v>1837</v>
      </c>
      <c r="N213" s="47" t="s">
        <v>1838</v>
      </c>
      <c r="O213" s="47" t="str">
        <f>IFERROR(__xludf.DUMMYFUNCTION("GOOGLETRANSLATE(N213,""EN"",""ES"")"),"El desarrollo de gasolinas renovables respalda la apuesta de Repsol por soluciones de energía limpia.")</f>
        <v>El desarrollo de gasolinas renovables respalda la apuesta de Repsol por soluciones de energía limpia.</v>
      </c>
      <c r="P213" s="30">
        <v>0.7</v>
      </c>
      <c r="Q213" s="31" t="str">
        <f>IFERROR(__xludf.DUMMYFUNCTION("GOOGLETRANSLATE(R213,""ES"",""EN"")"),"renewable fuel, gasoline cars")</f>
        <v>renewable fuel, gasoline cars</v>
      </c>
      <c r="R213" s="28" t="s">
        <v>1839</v>
      </c>
      <c r="S213" s="53" t="s">
        <v>1840</v>
      </c>
      <c r="T213" s="32" t="s">
        <v>1841</v>
      </c>
    </row>
    <row r="214">
      <c r="A214" s="33" t="s">
        <v>1842</v>
      </c>
      <c r="B214" s="40" t="s">
        <v>448</v>
      </c>
      <c r="C214" s="41">
        <v>45308.0</v>
      </c>
      <c r="D214" s="40" t="s">
        <v>1843</v>
      </c>
      <c r="E214" s="42" t="s">
        <v>1844</v>
      </c>
      <c r="F214" s="43" t="s">
        <v>1845</v>
      </c>
      <c r="G214" s="43" t="s">
        <v>1846</v>
      </c>
      <c r="H214" s="44" t="s">
        <v>130</v>
      </c>
      <c r="I214" s="15" t="str">
        <f>IFERROR(__xludf.DUMMYFUNCTION("GOOGLETRANSLATE(H214,""EN"",""ES"")"),"Sostenibilidad")</f>
        <v>Sostenibilidad</v>
      </c>
      <c r="J214" s="16" t="s">
        <v>35</v>
      </c>
      <c r="K214" s="48">
        <v>0.7</v>
      </c>
      <c r="L214" s="51" t="s">
        <v>1847</v>
      </c>
      <c r="M214" s="34" t="s">
        <v>1848</v>
      </c>
      <c r="N214" s="44" t="s">
        <v>1849</v>
      </c>
      <c r="O214" s="44" t="str">
        <f>IFERROR(__xludf.DUMMYFUNCTION("GOOGLETRANSLATE(N214,""EN"",""ES"")"),"La expansión hacia la energía solar refuerza la diversificación de Repsol hacia los mercados de energías renovables.")</f>
        <v>La expansión hacia la energía solar refuerza la diversificación de Repsol hacia los mercados de energías renovables.</v>
      </c>
      <c r="P214" s="30">
        <v>-0.5</v>
      </c>
      <c r="Q214" s="18" t="str">
        <f>IFERROR(__xludf.DUMMYFUNCTION("GOOGLETRANSLATE(R214,""ES"",""EN"")"),"losses, solar panels")</f>
        <v>losses, solar panels</v>
      </c>
      <c r="R214" s="34" t="s">
        <v>1850</v>
      </c>
      <c r="S214" s="52" t="s">
        <v>1851</v>
      </c>
      <c r="T214" s="22" t="s">
        <v>1852</v>
      </c>
    </row>
    <row r="215">
      <c r="A215" s="23" t="s">
        <v>1853</v>
      </c>
      <c r="B215" s="40" t="s">
        <v>1854</v>
      </c>
      <c r="C215" s="41">
        <v>45308.0</v>
      </c>
      <c r="D215" s="40" t="s">
        <v>1855</v>
      </c>
      <c r="E215" s="42" t="s">
        <v>1856</v>
      </c>
      <c r="F215" s="43" t="s">
        <v>1857</v>
      </c>
      <c r="G215" s="43" t="s">
        <v>1858</v>
      </c>
      <c r="H215" s="47" t="s">
        <v>130</v>
      </c>
      <c r="I215" s="25" t="str">
        <f>IFERROR(__xludf.DUMMYFUNCTION("GOOGLETRANSLATE(H215,""EN"",""ES"")"),"Sostenibilidad")</f>
        <v>Sostenibilidad</v>
      </c>
      <c r="J215" s="26" t="s">
        <v>35</v>
      </c>
      <c r="K215" s="48">
        <v>0.7</v>
      </c>
      <c r="L215" s="49" t="s">
        <v>1859</v>
      </c>
      <c r="M215" s="28" t="s">
        <v>1860</v>
      </c>
      <c r="N215" s="47" t="s">
        <v>1861</v>
      </c>
      <c r="O215" s="47" t="str">
        <f>IFERROR(__xludf.DUMMYFUNCTION("GOOGLETRANSLATE(N215,""EN"",""ES"")"),"La innovación en gasolinas sin petróleo refuerza el liderazgo de Repsol en combustibles verdes.")</f>
        <v>La innovación en gasolinas sin petróleo refuerza el liderazgo de Repsol en combustibles verdes.</v>
      </c>
      <c r="P215" s="30">
        <v>0.8</v>
      </c>
      <c r="Q215" s="31" t="str">
        <f>IFERROR(__xludf.DUMMYFUNCTION("GOOGLETRANSLATE(R215,""ES"",""EN"")"),"petroleum-free gasoline, renewable fuels")</f>
        <v>petroleum-free gasoline, renewable fuels</v>
      </c>
      <c r="R215" s="28" t="s">
        <v>1862</v>
      </c>
      <c r="S215" s="53" t="s">
        <v>1840</v>
      </c>
      <c r="T215" s="32" t="s">
        <v>1841</v>
      </c>
    </row>
    <row r="216">
      <c r="A216" s="33" t="s">
        <v>1863</v>
      </c>
      <c r="B216" s="40" t="s">
        <v>977</v>
      </c>
      <c r="C216" s="41">
        <v>45308.0</v>
      </c>
      <c r="D216" s="40" t="s">
        <v>1864</v>
      </c>
      <c r="E216" s="42" t="s">
        <v>1865</v>
      </c>
      <c r="F216" s="43" t="s">
        <v>1866</v>
      </c>
      <c r="G216" s="43" t="s">
        <v>1867</v>
      </c>
      <c r="H216" s="44" t="s">
        <v>148</v>
      </c>
      <c r="I216" s="15" t="str">
        <f>IFERROR(__xludf.DUMMYFUNCTION("GOOGLETRANSLATE(H216,""EN"",""ES"")"),"Gastronomía")</f>
        <v>Gastronomía</v>
      </c>
      <c r="J216" s="16" t="s">
        <v>27</v>
      </c>
      <c r="K216" s="17">
        <v>0.0</v>
      </c>
      <c r="L216" s="45"/>
      <c r="M216" s="18"/>
      <c r="N216" s="44"/>
      <c r="O216" s="44"/>
      <c r="P216" s="20">
        <v>0.0</v>
      </c>
      <c r="Q216" s="18"/>
      <c r="R216" s="18"/>
      <c r="S216" s="52"/>
      <c r="T216" s="22"/>
    </row>
    <row r="217">
      <c r="A217" s="23" t="s">
        <v>1868</v>
      </c>
      <c r="B217" s="40" t="s">
        <v>1869</v>
      </c>
      <c r="C217" s="41">
        <v>45308.0</v>
      </c>
      <c r="D217" s="40" t="s">
        <v>1870</v>
      </c>
      <c r="E217" s="42" t="s">
        <v>1871</v>
      </c>
      <c r="F217" s="43" t="s">
        <v>1872</v>
      </c>
      <c r="G217" s="43" t="s">
        <v>1873</v>
      </c>
      <c r="H217" s="47" t="s">
        <v>975</v>
      </c>
      <c r="I217" s="25" t="str">
        <f>IFERROR(__xludf.DUMMYFUNCTION("GOOGLETRANSLATE(H217,""EN"",""ES"")"),"Patrocinio")</f>
        <v>Patrocinio</v>
      </c>
      <c r="J217" s="26" t="s">
        <v>27</v>
      </c>
      <c r="K217" s="17">
        <v>0.0</v>
      </c>
      <c r="L217" s="54"/>
      <c r="M217" s="31"/>
      <c r="N217" s="47"/>
      <c r="O217" s="47"/>
      <c r="P217" s="20">
        <v>0.0</v>
      </c>
      <c r="Q217" s="31"/>
      <c r="R217" s="31"/>
      <c r="S217" s="53"/>
      <c r="T217" s="32"/>
    </row>
    <row r="218">
      <c r="A218" s="33" t="s">
        <v>1874</v>
      </c>
      <c r="B218" s="40" t="s">
        <v>163</v>
      </c>
      <c r="C218" s="41">
        <v>45308.0</v>
      </c>
      <c r="D218" s="40" t="s">
        <v>1875</v>
      </c>
      <c r="E218" s="42" t="s">
        <v>1876</v>
      </c>
      <c r="F218" s="43" t="s">
        <v>1877</v>
      </c>
      <c r="G218" s="43" t="s">
        <v>1878</v>
      </c>
      <c r="H218" s="44" t="s">
        <v>155</v>
      </c>
      <c r="I218" s="15" t="str">
        <f>IFERROR(__xludf.DUMMYFUNCTION("GOOGLETRANSLATE(H218,""EN"",""ES"")"),"Marketing")</f>
        <v>Marketing</v>
      </c>
      <c r="J218" s="16" t="s">
        <v>27</v>
      </c>
      <c r="K218" s="17">
        <v>0.0</v>
      </c>
      <c r="L218" s="45"/>
      <c r="M218" s="18"/>
      <c r="N218" s="44"/>
      <c r="O218" s="44"/>
      <c r="P218" s="20">
        <v>0.0</v>
      </c>
      <c r="Q218" s="18"/>
      <c r="R218" s="18"/>
      <c r="S218" s="52"/>
      <c r="T218" s="22"/>
    </row>
    <row r="219">
      <c r="A219" s="23" t="s">
        <v>1879</v>
      </c>
      <c r="B219" s="40" t="s">
        <v>163</v>
      </c>
      <c r="C219" s="41">
        <v>45308.0</v>
      </c>
      <c r="D219" s="40" t="s">
        <v>1880</v>
      </c>
      <c r="E219" s="42" t="s">
        <v>1881</v>
      </c>
      <c r="F219" s="43" t="s">
        <v>1882</v>
      </c>
      <c r="G219" s="43" t="s">
        <v>1883</v>
      </c>
      <c r="H219" s="47" t="s">
        <v>55</v>
      </c>
      <c r="I219" s="25" t="str">
        <f>IFERROR(__xludf.DUMMYFUNCTION("GOOGLETRANSLATE(H219,""EN"",""ES"")"),"deportes de motor")</f>
        <v>deportes de motor</v>
      </c>
      <c r="J219" s="26" t="s">
        <v>27</v>
      </c>
      <c r="K219" s="17">
        <v>0.0</v>
      </c>
      <c r="L219" s="54"/>
      <c r="M219" s="31"/>
      <c r="N219" s="47"/>
      <c r="O219" s="47"/>
      <c r="P219" s="20">
        <v>0.0</v>
      </c>
      <c r="Q219" s="31"/>
      <c r="R219" s="31"/>
      <c r="S219" s="53"/>
      <c r="T219" s="32"/>
    </row>
    <row r="220">
      <c r="A220" s="33" t="s">
        <v>1884</v>
      </c>
      <c r="B220" s="40" t="s">
        <v>21</v>
      </c>
      <c r="C220" s="41">
        <v>45308.0</v>
      </c>
      <c r="D220" s="40" t="s">
        <v>1885</v>
      </c>
      <c r="E220" s="42" t="s">
        <v>1886</v>
      </c>
      <c r="F220" s="43" t="s">
        <v>1887</v>
      </c>
      <c r="G220" s="43" t="s">
        <v>1888</v>
      </c>
      <c r="H220" s="44" t="s">
        <v>148</v>
      </c>
      <c r="I220" s="15" t="str">
        <f>IFERROR(__xludf.DUMMYFUNCTION("GOOGLETRANSLATE(H220,""EN"",""ES"")"),"Gastronomía")</f>
        <v>Gastronomía</v>
      </c>
      <c r="J220" s="16" t="s">
        <v>27</v>
      </c>
      <c r="K220" s="17">
        <v>0.0</v>
      </c>
      <c r="L220" s="45"/>
      <c r="M220" s="18"/>
      <c r="N220" s="44"/>
      <c r="O220" s="44"/>
      <c r="P220" s="20">
        <v>0.0</v>
      </c>
      <c r="Q220" s="18"/>
      <c r="R220" s="18"/>
      <c r="S220" s="52"/>
      <c r="T220" s="22"/>
    </row>
    <row r="221">
      <c r="A221" s="23" t="s">
        <v>1889</v>
      </c>
      <c r="B221" s="40" t="s">
        <v>85</v>
      </c>
      <c r="C221" s="41">
        <v>45308.0</v>
      </c>
      <c r="D221" s="40" t="s">
        <v>1890</v>
      </c>
      <c r="E221" s="42" t="s">
        <v>1891</v>
      </c>
      <c r="F221" s="43" t="s">
        <v>1892</v>
      </c>
      <c r="G221" s="43" t="s">
        <v>1893</v>
      </c>
      <c r="H221" s="47" t="s">
        <v>148</v>
      </c>
      <c r="I221" s="25" t="str">
        <f>IFERROR(__xludf.DUMMYFUNCTION("GOOGLETRANSLATE(H221,""EN"",""ES"")"),"Gastronomía")</f>
        <v>Gastronomía</v>
      </c>
      <c r="J221" s="26" t="s">
        <v>27</v>
      </c>
      <c r="K221" s="17">
        <v>0.0</v>
      </c>
      <c r="L221" s="54"/>
      <c r="M221" s="31"/>
      <c r="N221" s="47"/>
      <c r="O221" s="47"/>
      <c r="P221" s="20">
        <v>0.0</v>
      </c>
      <c r="Q221" s="31"/>
      <c r="R221" s="31"/>
      <c r="S221" s="53"/>
      <c r="T221" s="32"/>
    </row>
    <row r="222">
      <c r="A222" s="33" t="s">
        <v>1894</v>
      </c>
      <c r="B222" s="40" t="s">
        <v>50</v>
      </c>
      <c r="C222" s="41">
        <v>45308.0</v>
      </c>
      <c r="D222" s="40" t="s">
        <v>1895</v>
      </c>
      <c r="E222" s="42" t="s">
        <v>1896</v>
      </c>
      <c r="F222" s="43" t="s">
        <v>1897</v>
      </c>
      <c r="G222" s="43" t="s">
        <v>1898</v>
      </c>
      <c r="H222" s="44" t="s">
        <v>55</v>
      </c>
      <c r="I222" s="15" t="str">
        <f>IFERROR(__xludf.DUMMYFUNCTION("GOOGLETRANSLATE(H222,""EN"",""ES"")"),"deportes de motor")</f>
        <v>deportes de motor</v>
      </c>
      <c r="J222" s="16" t="s">
        <v>27</v>
      </c>
      <c r="K222" s="17">
        <v>0.0</v>
      </c>
      <c r="L222" s="45"/>
      <c r="M222" s="18"/>
      <c r="N222" s="44"/>
      <c r="O222" s="44"/>
      <c r="P222" s="20">
        <v>0.0</v>
      </c>
      <c r="Q222" s="18"/>
      <c r="R222" s="18"/>
      <c r="S222" s="52"/>
      <c r="T222" s="22"/>
    </row>
    <row r="223">
      <c r="A223" s="23" t="s">
        <v>1899</v>
      </c>
      <c r="B223" s="40" t="s">
        <v>513</v>
      </c>
      <c r="C223" s="41">
        <v>45308.0</v>
      </c>
      <c r="D223" s="40" t="s">
        <v>1900</v>
      </c>
      <c r="E223" s="42" t="s">
        <v>1901</v>
      </c>
      <c r="F223" s="43" t="s">
        <v>1902</v>
      </c>
      <c r="G223" s="43" t="s">
        <v>1903</v>
      </c>
      <c r="H223" s="47" t="s">
        <v>55</v>
      </c>
      <c r="I223" s="25" t="str">
        <f>IFERROR(__xludf.DUMMYFUNCTION("GOOGLETRANSLATE(H223,""EN"",""ES"")"),"deportes de motor")</f>
        <v>deportes de motor</v>
      </c>
      <c r="J223" s="26" t="s">
        <v>27</v>
      </c>
      <c r="K223" s="17">
        <v>0.0</v>
      </c>
      <c r="L223" s="54"/>
      <c r="M223" s="31"/>
      <c r="N223" s="47"/>
      <c r="O223" s="47"/>
      <c r="P223" s="20">
        <v>0.0</v>
      </c>
      <c r="Q223" s="31"/>
      <c r="R223" s="31"/>
      <c r="S223" s="53"/>
      <c r="T223" s="32"/>
    </row>
    <row r="224">
      <c r="A224" s="33" t="s">
        <v>1904</v>
      </c>
      <c r="B224" s="40" t="s">
        <v>1081</v>
      </c>
      <c r="C224" s="41">
        <v>45308.0</v>
      </c>
      <c r="D224" s="40" t="s">
        <v>1905</v>
      </c>
      <c r="E224" s="42" t="s">
        <v>1906</v>
      </c>
      <c r="F224" s="43" t="s">
        <v>1907</v>
      </c>
      <c r="G224" s="43" t="s">
        <v>1908</v>
      </c>
      <c r="H224" s="44" t="s">
        <v>148</v>
      </c>
      <c r="I224" s="15" t="str">
        <f>IFERROR(__xludf.DUMMYFUNCTION("GOOGLETRANSLATE(H224,""EN"",""ES"")"),"Gastronomía")</f>
        <v>Gastronomía</v>
      </c>
      <c r="J224" s="16" t="s">
        <v>27</v>
      </c>
      <c r="K224" s="17">
        <v>0.0</v>
      </c>
      <c r="L224" s="45"/>
      <c r="M224" s="18"/>
      <c r="N224" s="44"/>
      <c r="O224" s="44"/>
      <c r="P224" s="20">
        <v>0.0</v>
      </c>
      <c r="Q224" s="18"/>
      <c r="R224" s="18"/>
      <c r="S224" s="52"/>
      <c r="T224" s="22"/>
    </row>
    <row r="225">
      <c r="A225" s="23" t="s">
        <v>1909</v>
      </c>
      <c r="B225" s="40" t="s">
        <v>217</v>
      </c>
      <c r="C225" s="41">
        <v>45308.0</v>
      </c>
      <c r="D225" s="40" t="s">
        <v>1910</v>
      </c>
      <c r="E225" s="42" t="s">
        <v>1911</v>
      </c>
      <c r="F225" s="43" t="s">
        <v>1912</v>
      </c>
      <c r="G225" s="43" t="s">
        <v>1913</v>
      </c>
      <c r="H225" s="47" t="s">
        <v>1914</v>
      </c>
      <c r="I225" s="25" t="str">
        <f>IFERROR(__xludf.DUMMYFUNCTION("GOOGLETRANSLATE(H225,""EN"",""ES"")"),"Política energética")</f>
        <v>Política energética</v>
      </c>
      <c r="J225" s="26" t="s">
        <v>27</v>
      </c>
      <c r="K225" s="17">
        <v>0.0</v>
      </c>
      <c r="L225" s="54"/>
      <c r="M225" s="31"/>
      <c r="N225" s="47"/>
      <c r="O225" s="47"/>
      <c r="P225" s="20">
        <v>0.0</v>
      </c>
      <c r="Q225" s="31"/>
      <c r="R225" s="31"/>
      <c r="S225" s="53"/>
      <c r="T225" s="32"/>
    </row>
    <row r="226">
      <c r="A226" s="33" t="s">
        <v>1915</v>
      </c>
      <c r="B226" s="40" t="s">
        <v>1916</v>
      </c>
      <c r="C226" s="41">
        <v>45308.0</v>
      </c>
      <c r="D226" s="40" t="s">
        <v>1917</v>
      </c>
      <c r="E226" s="42" t="s">
        <v>1918</v>
      </c>
      <c r="F226" s="43" t="s">
        <v>1919</v>
      </c>
      <c r="G226" s="43" t="s">
        <v>1920</v>
      </c>
      <c r="H226" s="44" t="s">
        <v>395</v>
      </c>
      <c r="I226" s="15" t="str">
        <f>IFERROR(__xludf.DUMMYFUNCTION("GOOGLETRANSLATE(H226,""EN"",""ES"")"),"Ambiente")</f>
        <v>Ambiente</v>
      </c>
      <c r="J226" s="16" t="s">
        <v>35</v>
      </c>
      <c r="K226" s="48">
        <v>-0.6</v>
      </c>
      <c r="L226" s="51" t="s">
        <v>1921</v>
      </c>
      <c r="M226" s="34" t="s">
        <v>1922</v>
      </c>
      <c r="N226" s="44" t="s">
        <v>1923</v>
      </c>
      <c r="O226" s="44" t="str">
        <f>IFERROR(__xludf.DUMMYFUNCTION("GOOGLETRANSLATE(N226,""EN"",""ES"")"),"La percepción pública puede seguir siendo negativa a pesar de las afirmaciones de cumplimiento de Repsol.")</f>
        <v>La percepción pública puede seguir siendo negativa a pesar de las afirmaciones de cumplimiento de Repsol.</v>
      </c>
      <c r="P226" s="30">
        <v>-0.8</v>
      </c>
      <c r="Q226" s="18" t="str">
        <f>IFERROR(__xludf.DUMMYFUNCTION("GOOGLETRANSLATE(R226,""ES"",""EN"")"),"contested fines, oil spill")</f>
        <v>contested fines, oil spill</v>
      </c>
      <c r="R226" s="34" t="s">
        <v>1924</v>
      </c>
      <c r="S226" s="52" t="s">
        <v>1925</v>
      </c>
      <c r="T226" s="22" t="s">
        <v>1926</v>
      </c>
    </row>
    <row r="227">
      <c r="A227" s="23" t="s">
        <v>1927</v>
      </c>
      <c r="B227" s="40" t="s">
        <v>1215</v>
      </c>
      <c r="C227" s="41">
        <v>45308.0</v>
      </c>
      <c r="D227" s="40" t="s">
        <v>1928</v>
      </c>
      <c r="E227" s="42" t="s">
        <v>1929</v>
      </c>
      <c r="F227" s="43" t="s">
        <v>1930</v>
      </c>
      <c r="G227" s="43" t="s">
        <v>1931</v>
      </c>
      <c r="H227" s="47" t="s">
        <v>408</v>
      </c>
      <c r="I227" s="25" t="str">
        <f>IFERROR(__xludf.DUMMYFUNCTION("GOOGLETRANSLATE(H227,""EN"",""ES"")"),"Legal")</f>
        <v>Legal</v>
      </c>
      <c r="J227" s="26" t="s">
        <v>35</v>
      </c>
      <c r="K227" s="48">
        <v>-0.7</v>
      </c>
      <c r="L227" s="49" t="s">
        <v>1932</v>
      </c>
      <c r="M227" s="28" t="s">
        <v>1933</v>
      </c>
      <c r="N227" s="47" t="s">
        <v>1934</v>
      </c>
      <c r="O227" s="47" t="str">
        <f>IFERROR(__xludf.DUMMYFUNCTION("GOOGLETRANSLATE(N227,""EN"",""ES"")"),"Los informes oficiales que atribuyen responsabilidad refuerzan el sentimiento negativo hacia Repsol.")</f>
        <v>Los informes oficiales que atribuyen responsabilidad refuerzan el sentimiento negativo hacia Repsol.</v>
      </c>
      <c r="P227" s="30">
        <v>-0.8</v>
      </c>
      <c r="Q227" s="31" t="str">
        <f>IFERROR(__xludf.DUMMYFUNCTION("GOOGLETRANSLATE(R227,""ES"",""EN"")"),"state negligence, oil spill")</f>
        <v>state negligence, oil spill</v>
      </c>
      <c r="R227" s="28" t="s">
        <v>1935</v>
      </c>
      <c r="S227" s="53" t="s">
        <v>1936</v>
      </c>
      <c r="T227" s="32" t="s">
        <v>1937</v>
      </c>
    </row>
    <row r="228">
      <c r="A228" s="33" t="s">
        <v>1938</v>
      </c>
      <c r="B228" s="40" t="s">
        <v>1939</v>
      </c>
      <c r="C228" s="41">
        <v>45308.0</v>
      </c>
      <c r="D228" s="40" t="s">
        <v>1940</v>
      </c>
      <c r="E228" s="42" t="s">
        <v>1941</v>
      </c>
      <c r="F228" s="43" t="s">
        <v>1942</v>
      </c>
      <c r="G228" s="43" t="s">
        <v>1943</v>
      </c>
      <c r="H228" s="44" t="s">
        <v>130</v>
      </c>
      <c r="I228" s="15" t="str">
        <f>IFERROR(__xludf.DUMMYFUNCTION("GOOGLETRANSLATE(H228,""EN"",""ES"")"),"Sostenibilidad")</f>
        <v>Sostenibilidad</v>
      </c>
      <c r="J228" s="16" t="s">
        <v>35</v>
      </c>
      <c r="K228" s="48">
        <v>0.7</v>
      </c>
      <c r="L228" s="51" t="s">
        <v>1582</v>
      </c>
      <c r="M228" s="34" t="s">
        <v>1583</v>
      </c>
      <c r="N228" s="44" t="s">
        <v>1944</v>
      </c>
      <c r="O228" s="44" t="str">
        <f>IFERROR(__xludf.DUMMYFUNCTION("GOOGLETRANSLATE(N228,""EN"",""ES"")"),"Ampliar la oferta de combustibles renovables refuerza el compromiso de Repsol con la sostenibilidad.")</f>
        <v>Ampliar la oferta de combustibles renovables refuerza el compromiso de Repsol con la sostenibilidad.</v>
      </c>
      <c r="P228" s="30">
        <v>0.8</v>
      </c>
      <c r="Q228" s="18" t="str">
        <f>IFERROR(__xludf.DUMMYFUNCTION("GOOGLETRANSLATE(R228,""ES"",""EN"")"),"renewable fuel, service stations")</f>
        <v>renewable fuel, service stations</v>
      </c>
      <c r="R228" s="34" t="s">
        <v>1539</v>
      </c>
      <c r="S228" s="52" t="s">
        <v>1765</v>
      </c>
      <c r="T228" s="22" t="s">
        <v>1766</v>
      </c>
    </row>
    <row r="229">
      <c r="A229" s="23" t="s">
        <v>1945</v>
      </c>
      <c r="B229" s="40" t="s">
        <v>175</v>
      </c>
      <c r="C229" s="41">
        <v>45309.0</v>
      </c>
      <c r="D229" s="40" t="s">
        <v>1532</v>
      </c>
      <c r="E229" s="42" t="s">
        <v>1946</v>
      </c>
      <c r="F229" s="43" t="s">
        <v>1534</v>
      </c>
      <c r="G229" s="43" t="s">
        <v>1947</v>
      </c>
      <c r="H229" s="47" t="s">
        <v>130</v>
      </c>
      <c r="I229" s="25" t="str">
        <f>IFERROR(__xludf.DUMMYFUNCTION("GOOGLETRANSLATE(H229,""EN"",""ES"")"),"Sostenibilidad")</f>
        <v>Sostenibilidad</v>
      </c>
      <c r="J229" s="26" t="s">
        <v>35</v>
      </c>
      <c r="K229" s="48">
        <v>0.7</v>
      </c>
      <c r="L229" s="49" t="s">
        <v>1948</v>
      </c>
      <c r="M229" s="28" t="s">
        <v>1949</v>
      </c>
      <c r="N229" s="47" t="s">
        <v>1950</v>
      </c>
      <c r="O229" s="47" t="str">
        <f>IFERROR(__xludf.DUMMYFUNCTION("GOOGLETRANSLATE(N229,""EN"",""ES"")"),"El aumento de la disponibilidad de combustibles renovables se alinea con los objetivos de transición energética de Repsol.")</f>
        <v>El aumento de la disponibilidad de combustibles renovables se alinea con los objetivos de transición energética de Repsol.</v>
      </c>
      <c r="P229" s="30">
        <v>0.8</v>
      </c>
      <c r="Q229" s="31" t="str">
        <f>IFERROR(__xludf.DUMMYFUNCTION("GOOGLETRANSLATE(R229,""ES"",""EN"")"),"renewable fuel, service stations")</f>
        <v>renewable fuel, service stations</v>
      </c>
      <c r="R229" s="28" t="s">
        <v>1539</v>
      </c>
      <c r="S229" s="53" t="s">
        <v>1765</v>
      </c>
      <c r="T229" s="32" t="s">
        <v>1766</v>
      </c>
    </row>
    <row r="230">
      <c r="A230" s="33" t="s">
        <v>1951</v>
      </c>
      <c r="B230" s="40" t="s">
        <v>163</v>
      </c>
      <c r="C230" s="41">
        <v>45309.0</v>
      </c>
      <c r="D230" s="40" t="s">
        <v>1952</v>
      </c>
      <c r="E230" s="42" t="s">
        <v>1953</v>
      </c>
      <c r="F230" s="43" t="s">
        <v>1954</v>
      </c>
      <c r="G230" s="43" t="s">
        <v>1955</v>
      </c>
      <c r="H230" s="44" t="s">
        <v>130</v>
      </c>
      <c r="I230" s="15" t="str">
        <f>IFERROR(__xludf.DUMMYFUNCTION("GOOGLETRANSLATE(H230,""EN"",""ES"")"),"Sostenibilidad")</f>
        <v>Sostenibilidad</v>
      </c>
      <c r="J230" s="16" t="s">
        <v>35</v>
      </c>
      <c r="K230" s="48">
        <v>0.7</v>
      </c>
      <c r="L230" s="51" t="s">
        <v>1956</v>
      </c>
      <c r="M230" s="34" t="s">
        <v>1957</v>
      </c>
      <c r="N230" s="44" t="s">
        <v>1958</v>
      </c>
      <c r="O230" s="44" t="str">
        <f>IFERROR(__xludf.DUMMYFUNCTION("GOOGLETRANSLATE(N230,""EN"",""ES"")"),"La innovación en gasolinas libres de CO₂ respalda el liderazgo en sostenibilidad y combustibles verdes de Repsol.")</f>
        <v>La innovación en gasolinas libres de CO₂ respalda el liderazgo en sostenibilidad y combustibles verdes de Repsol.</v>
      </c>
      <c r="P230" s="30">
        <v>0.8</v>
      </c>
      <c r="Q230" s="18" t="str">
        <f>IFERROR(__xludf.DUMMYFUNCTION("GOOGLETRANSLATE(R230,""ES"",""EN"")"),"gasoline, climate change")</f>
        <v>gasoline, climate change</v>
      </c>
      <c r="R230" s="34" t="s">
        <v>1959</v>
      </c>
      <c r="S230" s="52" t="s">
        <v>1777</v>
      </c>
      <c r="T230" s="22" t="s">
        <v>1778</v>
      </c>
    </row>
    <row r="231">
      <c r="A231" s="23" t="s">
        <v>1960</v>
      </c>
      <c r="B231" s="40" t="s">
        <v>674</v>
      </c>
      <c r="C231" s="41">
        <v>45309.0</v>
      </c>
      <c r="D231" s="40" t="s">
        <v>1961</v>
      </c>
      <c r="E231" s="42" t="s">
        <v>1962</v>
      </c>
      <c r="F231" s="43" t="s">
        <v>1963</v>
      </c>
      <c r="G231" s="43" t="s">
        <v>1964</v>
      </c>
      <c r="H231" s="47" t="s">
        <v>130</v>
      </c>
      <c r="I231" s="25" t="str">
        <f>IFERROR(__xludf.DUMMYFUNCTION("GOOGLETRANSLATE(H231,""EN"",""ES"")"),"Sostenibilidad")</f>
        <v>Sostenibilidad</v>
      </c>
      <c r="J231" s="26" t="s">
        <v>35</v>
      </c>
      <c r="K231" s="48">
        <v>0.7</v>
      </c>
      <c r="L231" s="49" t="s">
        <v>1965</v>
      </c>
      <c r="M231" s="28" t="s">
        <v>1966</v>
      </c>
      <c r="N231" s="47" t="s">
        <v>1967</v>
      </c>
      <c r="O231" s="47" t="str">
        <f>IFERROR(__xludf.DUMMYFUNCTION("GOOGLETRANSLATE(N231,""EN"",""ES"")"),"Los ensayos con gasolinas renovables demuestran el esfuerzo de Repsol por innovar en combustibles sostenibles.")</f>
        <v>Los ensayos con gasolinas renovables demuestran el esfuerzo de Repsol por innovar en combustibles sostenibles.</v>
      </c>
      <c r="P231" s="30">
        <v>0.7</v>
      </c>
      <c r="Q231" s="31" t="str">
        <f>IFERROR(__xludf.DUMMYFUNCTION("GOOGLETRANSLATE(R231,""ES"",""EN"")"),"renewable gasoline, pilot project")</f>
        <v>renewable gasoline, pilot project</v>
      </c>
      <c r="R231" s="28" t="s">
        <v>1968</v>
      </c>
      <c r="S231" s="53" t="s">
        <v>1765</v>
      </c>
      <c r="T231" s="32" t="s">
        <v>1766</v>
      </c>
    </row>
    <row r="232">
      <c r="A232" s="33" t="s">
        <v>1969</v>
      </c>
      <c r="B232" s="40" t="s">
        <v>1970</v>
      </c>
      <c r="C232" s="41">
        <v>45309.0</v>
      </c>
      <c r="D232" s="40" t="s">
        <v>1971</v>
      </c>
      <c r="E232" s="42" t="s">
        <v>1972</v>
      </c>
      <c r="F232" s="43" t="s">
        <v>1973</v>
      </c>
      <c r="G232" s="43" t="s">
        <v>1974</v>
      </c>
      <c r="H232" s="44" t="s">
        <v>1975</v>
      </c>
      <c r="I232" s="15" t="str">
        <f>IFERROR(__xludf.DUMMYFUNCTION("GOOGLETRANSLATE(H232,""EN"",""ES"")"),"Política")</f>
        <v>Política</v>
      </c>
      <c r="J232" s="16" t="s">
        <v>35</v>
      </c>
      <c r="K232" s="48">
        <v>-0.6</v>
      </c>
      <c r="L232" s="51" t="s">
        <v>1976</v>
      </c>
      <c r="M232" s="34" t="s">
        <v>1977</v>
      </c>
      <c r="N232" s="44" t="s">
        <v>1978</v>
      </c>
      <c r="O232" s="44" t="str">
        <f>IFERROR(__xludf.DUMMYFUNCTION("GOOGLETRANSLATE(N232,""EN"",""ES"")"),"Las acusaciones de figuras políticas pueden dañar las relaciones públicas y gubernamentales de Repsol.")</f>
        <v>Las acusaciones de figuras políticas pueden dañar las relaciones públicas y gubernamentales de Repsol.</v>
      </c>
      <c r="P232" s="30">
        <v>-0.6</v>
      </c>
      <c r="Q232" s="18" t="str">
        <f>IFERROR(__xludf.DUMMYFUNCTION("GOOGLETRANSLATE(R232,""ES"",""EN"")"),"denialism, Davos")</f>
        <v>denialism, Davos</v>
      </c>
      <c r="R232" s="34" t="s">
        <v>1979</v>
      </c>
      <c r="S232" s="52" t="s">
        <v>1980</v>
      </c>
      <c r="T232" s="22" t="s">
        <v>1981</v>
      </c>
    </row>
    <row r="233">
      <c r="A233" s="23" t="s">
        <v>1982</v>
      </c>
      <c r="B233" s="40" t="s">
        <v>1983</v>
      </c>
      <c r="C233" s="41">
        <v>45309.0</v>
      </c>
      <c r="D233" s="40" t="s">
        <v>1984</v>
      </c>
      <c r="E233" s="42" t="s">
        <v>1985</v>
      </c>
      <c r="F233" s="43" t="s">
        <v>1986</v>
      </c>
      <c r="G233" s="43" t="s">
        <v>1987</v>
      </c>
      <c r="H233" s="47" t="s">
        <v>1914</v>
      </c>
      <c r="I233" s="25" t="str">
        <f>IFERROR(__xludf.DUMMYFUNCTION("GOOGLETRANSLATE(H233,""EN"",""ES"")"),"Política energética")</f>
        <v>Política energética</v>
      </c>
      <c r="J233" s="26" t="s">
        <v>35</v>
      </c>
      <c r="K233" s="48">
        <v>-0.5</v>
      </c>
      <c r="L233" s="49" t="s">
        <v>1988</v>
      </c>
      <c r="M233" s="28" t="s">
        <v>1989</v>
      </c>
      <c r="N233" s="47" t="s">
        <v>1990</v>
      </c>
      <c r="O233" s="47" t="str">
        <f>IFERROR(__xludf.DUMMYFUNCTION("GOOGLETRANSLATE(N233,""EN"",""ES"")"),"Las declaraciones que desafíen la electrificación podrían generar debate pero también atraer críticas.")</f>
        <v>Las declaraciones que desafíen la electrificación podrían generar debate pero también atraer críticas.</v>
      </c>
      <c r="P233" s="30">
        <v>-0.6</v>
      </c>
      <c r="Q233" s="31" t="str">
        <f>IFERROR(__xludf.DUMMYFUNCTION("GOOGLETRANSLATE(R233,""ES"",""EN"")"),"decarbonize, Davos")</f>
        <v>decarbonize, Davos</v>
      </c>
      <c r="R233" s="28" t="s">
        <v>1991</v>
      </c>
      <c r="S233" s="53" t="s">
        <v>1980</v>
      </c>
      <c r="T233" s="32" t="s">
        <v>1981</v>
      </c>
    </row>
    <row r="234">
      <c r="A234" s="33" t="s">
        <v>1992</v>
      </c>
      <c r="B234" s="40" t="s">
        <v>1993</v>
      </c>
      <c r="C234" s="41">
        <v>45309.0</v>
      </c>
      <c r="D234" s="40" t="s">
        <v>1994</v>
      </c>
      <c r="E234" s="42" t="s">
        <v>1995</v>
      </c>
      <c r="F234" s="43" t="s">
        <v>1996</v>
      </c>
      <c r="G234" s="43" t="s">
        <v>1997</v>
      </c>
      <c r="H234" s="44" t="s">
        <v>130</v>
      </c>
      <c r="I234" s="15" t="str">
        <f>IFERROR(__xludf.DUMMYFUNCTION("GOOGLETRANSLATE(H234,""EN"",""ES"")"),"Sostenibilidad")</f>
        <v>Sostenibilidad</v>
      </c>
      <c r="J234" s="16" t="s">
        <v>35</v>
      </c>
      <c r="K234" s="48">
        <v>0.7</v>
      </c>
      <c r="L234" s="51" t="s">
        <v>1998</v>
      </c>
      <c r="M234" s="34" t="s">
        <v>1999</v>
      </c>
      <c r="N234" s="44" t="s">
        <v>2000</v>
      </c>
      <c r="O234" s="44" t="str">
        <f>IFERROR(__xludf.DUMMYFUNCTION("GOOGLETRANSLATE(N234,""EN"",""ES"")"),"El desarrollo de combustibles alternativos para los coches de gasolina respalda la innovación de Repsol en movilidad sostenible.")</f>
        <v>El desarrollo de combustibles alternativos para los coches de gasolina respalda la innovación de Repsol en movilidad sostenible.</v>
      </c>
      <c r="P234" s="30">
        <v>0.8</v>
      </c>
      <c r="Q234" s="18" t="str">
        <f>IFERROR(__xludf.DUMMYFUNCTION("GOOGLETRANSLATE(R234,""ES"",""EN"")"),"renewable fuel, gasoline cars")</f>
        <v>renewable fuel, gasoline cars</v>
      </c>
      <c r="R234" s="34" t="s">
        <v>1839</v>
      </c>
      <c r="S234" s="52" t="s">
        <v>1840</v>
      </c>
      <c r="T234" s="22" t="s">
        <v>1841</v>
      </c>
    </row>
    <row r="235">
      <c r="A235" s="23" t="s">
        <v>2001</v>
      </c>
      <c r="B235" s="40" t="s">
        <v>2002</v>
      </c>
      <c r="C235" s="41">
        <v>45309.0</v>
      </c>
      <c r="D235" s="40" t="s">
        <v>2003</v>
      </c>
      <c r="E235" s="42" t="s">
        <v>2004</v>
      </c>
      <c r="F235" s="43" t="s">
        <v>2005</v>
      </c>
      <c r="G235" s="43" t="s">
        <v>2006</v>
      </c>
      <c r="H235" s="47" t="s">
        <v>155</v>
      </c>
      <c r="I235" s="25" t="str">
        <f>IFERROR(__xludf.DUMMYFUNCTION("GOOGLETRANSLATE(H235,""EN"",""ES"")"),"Marketing")</f>
        <v>Marketing</v>
      </c>
      <c r="J235" s="26" t="s">
        <v>27</v>
      </c>
      <c r="K235" s="17">
        <v>0.0</v>
      </c>
      <c r="L235" s="54"/>
      <c r="M235" s="31"/>
      <c r="N235" s="47"/>
      <c r="O235" s="47"/>
      <c r="P235" s="20">
        <v>0.0</v>
      </c>
      <c r="Q235" s="31"/>
      <c r="R235" s="31"/>
      <c r="S235" s="53"/>
      <c r="T235" s="32"/>
    </row>
    <row r="236">
      <c r="A236" s="33" t="s">
        <v>2007</v>
      </c>
      <c r="B236" s="40" t="s">
        <v>2008</v>
      </c>
      <c r="C236" s="41">
        <v>45309.0</v>
      </c>
      <c r="D236" s="40" t="s">
        <v>2009</v>
      </c>
      <c r="E236" s="42" t="s">
        <v>2010</v>
      </c>
      <c r="F236" s="43" t="s">
        <v>2011</v>
      </c>
      <c r="G236" s="43" t="s">
        <v>2012</v>
      </c>
      <c r="H236" s="44" t="s">
        <v>130</v>
      </c>
      <c r="I236" s="15" t="str">
        <f>IFERROR(__xludf.DUMMYFUNCTION("GOOGLETRANSLATE(H236,""EN"",""ES"")"),"Sostenibilidad")</f>
        <v>Sostenibilidad</v>
      </c>
      <c r="J236" s="16" t="s">
        <v>35</v>
      </c>
      <c r="K236" s="48">
        <v>0.6</v>
      </c>
      <c r="L236" s="51" t="s">
        <v>2013</v>
      </c>
      <c r="M236" s="34" t="s">
        <v>2014</v>
      </c>
      <c r="N236" s="44" t="s">
        <v>2015</v>
      </c>
      <c r="O236" s="44" t="str">
        <f>IFERROR(__xludf.DUMMYFUNCTION("GOOGLETRANSLATE(N236,""EN"",""ES"")"),"La presencia de Repsol en los debates climáticos globales refuerza su compromiso con la transición energética.")</f>
        <v>La presencia de Repsol en los debates climáticos globales refuerza su compromiso con la transición energética.</v>
      </c>
      <c r="P236" s="30">
        <v>-0.6</v>
      </c>
      <c r="Q236" s="18" t="str">
        <f>IFERROR(__xludf.DUMMYFUNCTION("GOOGLETRANSLATE(R236,""ES"",""EN"")"),"clash, Davos")</f>
        <v>clash, Davos</v>
      </c>
      <c r="R236" s="34" t="s">
        <v>2016</v>
      </c>
      <c r="S236" s="52" t="s">
        <v>1980</v>
      </c>
      <c r="T236" s="22" t="s">
        <v>1981</v>
      </c>
    </row>
    <row r="237">
      <c r="A237" s="23" t="s">
        <v>2017</v>
      </c>
      <c r="B237" s="40" t="s">
        <v>1072</v>
      </c>
      <c r="C237" s="41">
        <v>45309.0</v>
      </c>
      <c r="D237" s="40" t="s">
        <v>2018</v>
      </c>
      <c r="E237" s="42" t="s">
        <v>2019</v>
      </c>
      <c r="F237" s="43" t="s">
        <v>2020</v>
      </c>
      <c r="G237" s="43" t="s">
        <v>2021</v>
      </c>
      <c r="H237" s="47" t="s">
        <v>48</v>
      </c>
      <c r="I237" s="25" t="str">
        <f>IFERROR(__xludf.DUMMYFUNCTION("GOOGLETRANSLATE(H237,""EN"",""ES"")"),"Finanzas")</f>
        <v>Finanzas</v>
      </c>
      <c r="J237" s="26" t="s">
        <v>35</v>
      </c>
      <c r="K237" s="48">
        <v>0.5</v>
      </c>
      <c r="L237" s="49" t="s">
        <v>2022</v>
      </c>
      <c r="M237" s="28" t="s">
        <v>2023</v>
      </c>
      <c r="N237" s="47" t="s">
        <v>2024</v>
      </c>
      <c r="O237" s="47" t="str">
        <f>IFERROR(__xludf.DUMMYFUNCTION("GOOGLETRANSLATE(N237,""EN"",""ES"")"),"Los analistas de mercado reconocen el potencial de crecimiento de Repsol a pesar de los desafíos del sector.")</f>
        <v>Los analistas de mercado reconocen el potencial de crecimiento de Repsol a pesar de los desafíos del sector.</v>
      </c>
      <c r="P237" s="30">
        <v>0.6</v>
      </c>
      <c r="Q237" s="31" t="str">
        <f>IFERROR(__xludf.DUMMYFUNCTION("GOOGLETRANSLATE(R237,""ES"",""EN"")"),"great potential, doubts about crude oil")</f>
        <v>great potential, doubts about crude oil</v>
      </c>
      <c r="R237" s="28" t="s">
        <v>2025</v>
      </c>
      <c r="S237" s="53" t="s">
        <v>2026</v>
      </c>
      <c r="T237" s="32" t="s">
        <v>2027</v>
      </c>
    </row>
    <row r="238">
      <c r="A238" s="33" t="s">
        <v>2028</v>
      </c>
      <c r="B238" s="40" t="s">
        <v>21</v>
      </c>
      <c r="C238" s="41">
        <v>45309.0</v>
      </c>
      <c r="D238" s="40" t="s">
        <v>2029</v>
      </c>
      <c r="E238" s="42" t="s">
        <v>2030</v>
      </c>
      <c r="F238" s="43" t="s">
        <v>2031</v>
      </c>
      <c r="G238" s="43" t="s">
        <v>2032</v>
      </c>
      <c r="H238" s="44" t="s">
        <v>26</v>
      </c>
      <c r="I238" s="15" t="str">
        <f>IFERROR(__xludf.DUMMYFUNCTION("GOOGLETRANSLATE(H238,""EN"",""ES"")"),"Otro")</f>
        <v>Otro</v>
      </c>
      <c r="J238" s="16" t="s">
        <v>27</v>
      </c>
      <c r="K238" s="17">
        <v>0.0</v>
      </c>
      <c r="L238" s="45"/>
      <c r="M238" s="18"/>
      <c r="N238" s="44"/>
      <c r="O238" s="44"/>
      <c r="P238" s="20">
        <v>0.0</v>
      </c>
      <c r="Q238" s="18"/>
      <c r="R238" s="18"/>
      <c r="S238" s="52"/>
      <c r="T238" s="22"/>
    </row>
    <row r="239">
      <c r="A239" s="23" t="s">
        <v>2033</v>
      </c>
      <c r="B239" s="40" t="s">
        <v>977</v>
      </c>
      <c r="C239" s="41">
        <v>45309.0</v>
      </c>
      <c r="D239" s="40" t="s">
        <v>2034</v>
      </c>
      <c r="E239" s="42" t="s">
        <v>2035</v>
      </c>
      <c r="F239" s="43" t="s">
        <v>2036</v>
      </c>
      <c r="G239" s="43" t="s">
        <v>2037</v>
      </c>
      <c r="H239" s="47" t="s">
        <v>130</v>
      </c>
      <c r="I239" s="25" t="str">
        <f>IFERROR(__xludf.DUMMYFUNCTION("GOOGLETRANSLATE(H239,""EN"",""ES"")"),"Sostenibilidad")</f>
        <v>Sostenibilidad</v>
      </c>
      <c r="J239" s="26" t="s">
        <v>35</v>
      </c>
      <c r="K239" s="48">
        <v>0.7</v>
      </c>
      <c r="L239" s="49" t="s">
        <v>2038</v>
      </c>
      <c r="M239" s="28" t="s">
        <v>2039</v>
      </c>
      <c r="N239" s="47" t="s">
        <v>2040</v>
      </c>
      <c r="O239" s="47" t="str">
        <f>IFERROR(__xludf.DUMMYFUNCTION("GOOGLETRANSLATE(N239,""EN"",""ES"")"),"Las innovaciones en combustibles libres de petróleo refuerzan el liderazgo de Repsol en tecnología verde.")</f>
        <v>Las innovaciones en combustibles libres de petróleo refuerzan el liderazgo de Repsol en tecnología verde.</v>
      </c>
      <c r="P239" s="30">
        <v>0.7</v>
      </c>
      <c r="Q239" s="31" t="str">
        <f>IFERROR(__xludf.DUMMYFUNCTION("GOOGLETRANSLATE(R239,""ES"",""EN"")"),"gasoline without petroleum")</f>
        <v>gasoline without petroleum</v>
      </c>
      <c r="R239" s="28" t="s">
        <v>2041</v>
      </c>
      <c r="S239" s="53" t="s">
        <v>1777</v>
      </c>
      <c r="T239" s="32" t="s">
        <v>1778</v>
      </c>
    </row>
    <row r="240">
      <c r="A240" s="33" t="s">
        <v>2042</v>
      </c>
      <c r="B240" s="40" t="s">
        <v>163</v>
      </c>
      <c r="C240" s="41">
        <v>45309.0</v>
      </c>
      <c r="D240" s="40" t="s">
        <v>2043</v>
      </c>
      <c r="E240" s="42" t="s">
        <v>2044</v>
      </c>
      <c r="F240" s="43" t="s">
        <v>2045</v>
      </c>
      <c r="G240" s="43" t="s">
        <v>2046</v>
      </c>
      <c r="H240" s="44" t="s">
        <v>26</v>
      </c>
      <c r="I240" s="15" t="str">
        <f>IFERROR(__xludf.DUMMYFUNCTION("GOOGLETRANSLATE(H240,""EN"",""ES"")"),"Otro")</f>
        <v>Otro</v>
      </c>
      <c r="J240" s="16" t="s">
        <v>27</v>
      </c>
      <c r="K240" s="17">
        <v>0.0</v>
      </c>
      <c r="L240" s="45"/>
      <c r="M240" s="18"/>
      <c r="N240" s="44"/>
      <c r="O240" s="44"/>
      <c r="P240" s="20">
        <v>0.0</v>
      </c>
      <c r="Q240" s="18"/>
      <c r="R240" s="18"/>
      <c r="S240" s="52"/>
      <c r="T240" s="22"/>
    </row>
    <row r="241">
      <c r="A241" s="23" t="s">
        <v>2047</v>
      </c>
      <c r="B241" s="40" t="s">
        <v>1005</v>
      </c>
      <c r="C241" s="41">
        <v>45309.0</v>
      </c>
      <c r="D241" s="40" t="s">
        <v>2048</v>
      </c>
      <c r="E241" s="42" t="s">
        <v>2048</v>
      </c>
      <c r="F241" s="43" t="s">
        <v>2049</v>
      </c>
      <c r="G241" s="43" t="s">
        <v>2049</v>
      </c>
      <c r="H241" s="47" t="s">
        <v>148</v>
      </c>
      <c r="I241" s="25" t="str">
        <f>IFERROR(__xludf.DUMMYFUNCTION("GOOGLETRANSLATE(H241,""EN"",""ES"")"),"Gastronomía")</f>
        <v>Gastronomía</v>
      </c>
      <c r="J241" s="26" t="s">
        <v>27</v>
      </c>
      <c r="K241" s="17">
        <v>0.0</v>
      </c>
      <c r="L241" s="54"/>
      <c r="M241" s="31"/>
      <c r="N241" s="47"/>
      <c r="O241" s="47"/>
      <c r="P241" s="20">
        <v>0.0</v>
      </c>
      <c r="Q241" s="31"/>
      <c r="R241" s="31"/>
      <c r="S241" s="53"/>
      <c r="T241" s="32"/>
    </row>
    <row r="242">
      <c r="A242" s="33" t="s">
        <v>2050</v>
      </c>
      <c r="B242" s="40" t="s">
        <v>881</v>
      </c>
      <c r="C242" s="41">
        <v>45309.0</v>
      </c>
      <c r="D242" s="40" t="s">
        <v>2051</v>
      </c>
      <c r="E242" s="42" t="s">
        <v>2052</v>
      </c>
      <c r="F242" s="43" t="s">
        <v>2053</v>
      </c>
      <c r="G242" s="43" t="s">
        <v>2054</v>
      </c>
      <c r="H242" s="44" t="s">
        <v>26</v>
      </c>
      <c r="I242" s="15" t="str">
        <f>IFERROR(__xludf.DUMMYFUNCTION("GOOGLETRANSLATE(H242,""EN"",""ES"")"),"Otro")</f>
        <v>Otro</v>
      </c>
      <c r="J242" s="16" t="s">
        <v>27</v>
      </c>
      <c r="K242" s="17">
        <v>0.0</v>
      </c>
      <c r="L242" s="45"/>
      <c r="M242" s="18"/>
      <c r="N242" s="44"/>
      <c r="O242" s="44"/>
      <c r="P242" s="20">
        <v>0.0</v>
      </c>
      <c r="Q242" s="18"/>
      <c r="R242" s="18"/>
      <c r="S242" s="52"/>
      <c r="T242" s="22"/>
    </row>
    <row r="243">
      <c r="A243" s="23" t="s">
        <v>2055</v>
      </c>
      <c r="B243" s="40" t="s">
        <v>229</v>
      </c>
      <c r="C243" s="41">
        <v>45309.0</v>
      </c>
      <c r="D243" s="40" t="s">
        <v>2056</v>
      </c>
      <c r="E243" s="42" t="s">
        <v>2057</v>
      </c>
      <c r="F243" s="43" t="s">
        <v>2058</v>
      </c>
      <c r="G243" s="43" t="s">
        <v>2059</v>
      </c>
      <c r="H243" s="47" t="s">
        <v>155</v>
      </c>
      <c r="I243" s="25" t="str">
        <f>IFERROR(__xludf.DUMMYFUNCTION("GOOGLETRANSLATE(H243,""EN"",""ES"")"),"Marketing")</f>
        <v>Marketing</v>
      </c>
      <c r="J243" s="26" t="s">
        <v>35</v>
      </c>
      <c r="K243" s="48">
        <v>0.6</v>
      </c>
      <c r="L243" s="49" t="s">
        <v>2060</v>
      </c>
      <c r="M243" s="28" t="s">
        <v>2061</v>
      </c>
      <c r="N243" s="47" t="s">
        <v>2062</v>
      </c>
      <c r="O243" s="47" t="str">
        <f>IFERROR(__xludf.DUMMYFUNCTION("GOOGLETRANSLATE(N243,""EN"",""ES"")"),"Las estrategias de precios competitivos pueden mejorar el atractivo de Repsol en el mercado y la lealtad de sus clientes.")</f>
        <v>Las estrategias de precios competitivos pueden mejorar el atractivo de Repsol en el mercado y la lealtad de sus clientes.</v>
      </c>
      <c r="P243" s="30">
        <v>0.6</v>
      </c>
      <c r="Q243" s="31" t="str">
        <f>IFERROR(__xludf.DUMMYFUNCTION("GOOGLETRANSLATE(R243,""ES"",""EN"")"),"discount gas station")</f>
        <v>discount gas station</v>
      </c>
      <c r="R243" s="28" t="s">
        <v>2063</v>
      </c>
      <c r="S243" s="53" t="s">
        <v>2064</v>
      </c>
      <c r="T243" s="32" t="s">
        <v>2065</v>
      </c>
    </row>
    <row r="244">
      <c r="A244" s="33" t="s">
        <v>2066</v>
      </c>
      <c r="B244" s="40" t="s">
        <v>85</v>
      </c>
      <c r="C244" s="41">
        <v>45309.0</v>
      </c>
      <c r="D244" s="40" t="s">
        <v>2067</v>
      </c>
      <c r="E244" s="42" t="s">
        <v>2068</v>
      </c>
      <c r="F244" s="43" t="s">
        <v>2069</v>
      </c>
      <c r="G244" s="43" t="s">
        <v>2070</v>
      </c>
      <c r="H244" s="44" t="s">
        <v>148</v>
      </c>
      <c r="I244" s="15" t="str">
        <f>IFERROR(__xludf.DUMMYFUNCTION("GOOGLETRANSLATE(H244,""EN"",""ES"")"),"Gastronomía")</f>
        <v>Gastronomía</v>
      </c>
      <c r="J244" s="16" t="s">
        <v>27</v>
      </c>
      <c r="K244" s="17">
        <v>0.0</v>
      </c>
      <c r="L244" s="45"/>
      <c r="M244" s="18"/>
      <c r="N244" s="44"/>
      <c r="O244" s="44"/>
      <c r="P244" s="20">
        <v>0.0</v>
      </c>
      <c r="Q244" s="18"/>
      <c r="R244" s="18"/>
      <c r="S244" s="52"/>
      <c r="T244" s="22"/>
    </row>
    <row r="245">
      <c r="A245" s="23" t="s">
        <v>2071</v>
      </c>
      <c r="B245" s="40" t="s">
        <v>2072</v>
      </c>
      <c r="C245" s="41">
        <v>45309.0</v>
      </c>
      <c r="D245" s="40" t="s">
        <v>2073</v>
      </c>
      <c r="E245" s="42" t="s">
        <v>2074</v>
      </c>
      <c r="F245" s="43" t="s">
        <v>2075</v>
      </c>
      <c r="G245" s="43" t="s">
        <v>2076</v>
      </c>
      <c r="H245" s="47" t="s">
        <v>148</v>
      </c>
      <c r="I245" s="25" t="str">
        <f>IFERROR(__xludf.DUMMYFUNCTION("GOOGLETRANSLATE(H245,""EN"",""ES"")"),"Gastronomía")</f>
        <v>Gastronomía</v>
      </c>
      <c r="J245" s="26" t="s">
        <v>27</v>
      </c>
      <c r="K245" s="17">
        <v>0.0</v>
      </c>
      <c r="L245" s="54"/>
      <c r="M245" s="31"/>
      <c r="N245" s="47"/>
      <c r="O245" s="47"/>
      <c r="P245" s="20">
        <v>0.0</v>
      </c>
      <c r="Q245" s="31"/>
      <c r="R245" s="31"/>
      <c r="S245" s="53"/>
      <c r="T245" s="32"/>
    </row>
    <row r="246">
      <c r="A246" s="33" t="s">
        <v>2077</v>
      </c>
      <c r="B246" s="40" t="s">
        <v>1362</v>
      </c>
      <c r="C246" s="41">
        <v>45309.0</v>
      </c>
      <c r="D246" s="40" t="s">
        <v>2078</v>
      </c>
      <c r="E246" s="42" t="s">
        <v>2079</v>
      </c>
      <c r="F246" s="43" t="s">
        <v>2080</v>
      </c>
      <c r="G246" s="43" t="s">
        <v>2081</v>
      </c>
      <c r="H246" s="44" t="s">
        <v>395</v>
      </c>
      <c r="I246" s="15" t="str">
        <f>IFERROR(__xludf.DUMMYFUNCTION("GOOGLETRANSLATE(H246,""EN"",""ES"")"),"Ambiente")</f>
        <v>Ambiente</v>
      </c>
      <c r="J246" s="16" t="s">
        <v>35</v>
      </c>
      <c r="K246" s="48">
        <v>-0.8</v>
      </c>
      <c r="L246" s="51" t="s">
        <v>2082</v>
      </c>
      <c r="M246" s="34" t="s">
        <v>2083</v>
      </c>
      <c r="N246" s="44" t="s">
        <v>2084</v>
      </c>
      <c r="O246" s="44" t="str">
        <f>IFERROR(__xludf.DUMMYFUNCTION("GOOGLETRANSLATE(N246,""EN"",""ES"")"),"Las continuas quejas civiles por el vertido mantienen alto el sentimiento negativo en torno a Repsol.")</f>
        <v>Las continuas quejas civiles por el vertido mantienen alto el sentimiento negativo en torno a Repsol.</v>
      </c>
      <c r="P246" s="30">
        <v>-0.8</v>
      </c>
      <c r="Q246" s="18" t="str">
        <f>IFERROR(__xludf.DUMMYFUNCTION("GOOGLETRANSLATE(R246,""ES"",""EN"")"),"Repsol spill, effective action")</f>
        <v>Repsol spill, effective action</v>
      </c>
      <c r="R246" s="34" t="s">
        <v>2085</v>
      </c>
      <c r="S246" s="52" t="s">
        <v>2086</v>
      </c>
      <c r="T246" s="22" t="s">
        <v>2087</v>
      </c>
    </row>
    <row r="247">
      <c r="A247" s="23" t="s">
        <v>2088</v>
      </c>
      <c r="B247" s="40" t="s">
        <v>2089</v>
      </c>
      <c r="C247" s="41">
        <v>45309.0</v>
      </c>
      <c r="D247" s="40" t="s">
        <v>2090</v>
      </c>
      <c r="E247" s="42" t="s">
        <v>2091</v>
      </c>
      <c r="F247" s="43" t="s">
        <v>2092</v>
      </c>
      <c r="G247" s="43" t="s">
        <v>2093</v>
      </c>
      <c r="H247" s="47" t="s">
        <v>130</v>
      </c>
      <c r="I247" s="25" t="str">
        <f>IFERROR(__xludf.DUMMYFUNCTION("GOOGLETRANSLATE(H247,""EN"",""ES"")"),"Sostenibilidad")</f>
        <v>Sostenibilidad</v>
      </c>
      <c r="J247" s="26" t="s">
        <v>35</v>
      </c>
      <c r="K247" s="48">
        <v>0.7</v>
      </c>
      <c r="L247" s="49" t="s">
        <v>2094</v>
      </c>
      <c r="M247" s="28" t="s">
        <v>2095</v>
      </c>
      <c r="N247" s="47" t="s">
        <v>2096</v>
      </c>
      <c r="O247" s="47" t="str">
        <f>IFERROR(__xludf.DUMMYFUNCTION("GOOGLETRANSLATE(N247,""EN"",""ES"")"),"La innovación en combustibles libres de petróleo refuerza los esfuerzos de Repsol en materia de sostenibilidad.")</f>
        <v>La innovación en combustibles libres de petróleo refuerza los esfuerzos de Repsol en materia de sostenibilidad.</v>
      </c>
      <c r="P247" s="30">
        <v>0.8</v>
      </c>
      <c r="Q247" s="31" t="str">
        <f>IFERROR(__xludf.DUMMYFUNCTION("GOOGLETRANSLATE(R247,""ES"",""EN"")"),"renewable gasoline, neutral emissions")</f>
        <v>renewable gasoline, neutral emissions</v>
      </c>
      <c r="R247" s="28" t="s">
        <v>2097</v>
      </c>
      <c r="S247" s="53" t="s">
        <v>1777</v>
      </c>
      <c r="T247" s="32" t="s">
        <v>1778</v>
      </c>
    </row>
    <row r="248">
      <c r="A248" s="33" t="s">
        <v>2098</v>
      </c>
      <c r="B248" s="40" t="s">
        <v>2099</v>
      </c>
      <c r="C248" s="41">
        <v>45310.0</v>
      </c>
      <c r="D248" s="40" t="s">
        <v>2100</v>
      </c>
      <c r="E248" s="42" t="s">
        <v>1533</v>
      </c>
      <c r="F248" s="43" t="s">
        <v>2101</v>
      </c>
      <c r="G248" s="43" t="s">
        <v>1535</v>
      </c>
      <c r="H248" s="44" t="s">
        <v>130</v>
      </c>
      <c r="I248" s="15" t="str">
        <f>IFERROR(__xludf.DUMMYFUNCTION("GOOGLETRANSLATE(H248,""EN"",""ES"")"),"Sostenibilidad")</f>
        <v>Sostenibilidad</v>
      </c>
      <c r="J248" s="16" t="s">
        <v>35</v>
      </c>
      <c r="K248" s="48">
        <v>0.7</v>
      </c>
      <c r="L248" s="51" t="s">
        <v>2102</v>
      </c>
      <c r="M248" s="34" t="s">
        <v>2103</v>
      </c>
      <c r="N248" s="44" t="s">
        <v>2104</v>
      </c>
      <c r="O248" s="44" t="str">
        <f>IFERROR(__xludf.DUMMYFUNCTION("GOOGLETRANSLATE(N248,""EN"",""ES"")"),"La ampliación de las estaciones de combustible renovable refuerza la transición verde de Repsol.")</f>
        <v>La ampliación de las estaciones de combustible renovable refuerza la transición verde de Repsol.</v>
      </c>
      <c r="P248" s="30">
        <v>0.8</v>
      </c>
      <c r="Q248" s="18" t="str">
        <f>IFERROR(__xludf.DUMMYFUNCTION("GOOGLETRANSLATE(R248,""ES"",""EN"")"),"renewable fuel, service stations")</f>
        <v>renewable fuel, service stations</v>
      </c>
      <c r="R248" s="34" t="s">
        <v>1539</v>
      </c>
      <c r="S248" s="52" t="s">
        <v>1765</v>
      </c>
      <c r="T248" s="22" t="s">
        <v>1766</v>
      </c>
    </row>
    <row r="249">
      <c r="A249" s="23" t="s">
        <v>2105</v>
      </c>
      <c r="B249" s="40" t="s">
        <v>558</v>
      </c>
      <c r="C249" s="41">
        <v>45310.0</v>
      </c>
      <c r="D249" s="40" t="s">
        <v>2106</v>
      </c>
      <c r="E249" s="42" t="s">
        <v>2107</v>
      </c>
      <c r="F249" s="43" t="s">
        <v>2108</v>
      </c>
      <c r="G249" s="43" t="s">
        <v>2109</v>
      </c>
      <c r="H249" s="47" t="s">
        <v>48</v>
      </c>
      <c r="I249" s="25" t="str">
        <f>IFERROR(__xludf.DUMMYFUNCTION("GOOGLETRANSLATE(H249,""EN"",""ES"")"),"Finanzas")</f>
        <v>Finanzas</v>
      </c>
      <c r="J249" s="26" t="s">
        <v>35</v>
      </c>
      <c r="K249" s="48">
        <v>-0.6</v>
      </c>
      <c r="L249" s="49" t="s">
        <v>2110</v>
      </c>
      <c r="M249" s="28" t="s">
        <v>2111</v>
      </c>
      <c r="N249" s="47" t="s">
        <v>2112</v>
      </c>
      <c r="O249" s="47" t="str">
        <f>IFERROR(__xludf.DUMMYFUNCTION("GOOGLETRANSLATE(N249,""EN"",""ES"")"),"Las luchas del mercado reflejan preocupaciones de inestabilidad financiera para Repsol.")</f>
        <v>Las luchas del mercado reflejan preocupaciones de inestabilidad financiera para Repsol.</v>
      </c>
      <c r="P249" s="30">
        <v>-0.5</v>
      </c>
      <c r="Q249" s="31" t="str">
        <f>IFERROR(__xludf.DUMMYFUNCTION("GOOGLETRANSLATE(R249,""ES"",""EN"")"),"oil, suffers")</f>
        <v>oil, suffers</v>
      </c>
      <c r="R249" s="28" t="s">
        <v>2113</v>
      </c>
      <c r="S249" s="53" t="s">
        <v>2114</v>
      </c>
      <c r="T249" s="32" t="s">
        <v>2115</v>
      </c>
    </row>
    <row r="250">
      <c r="A250" s="33" t="s">
        <v>2116</v>
      </c>
      <c r="B250" s="40" t="s">
        <v>2117</v>
      </c>
      <c r="C250" s="41">
        <v>45310.0</v>
      </c>
      <c r="D250" s="40" t="s">
        <v>2118</v>
      </c>
      <c r="E250" s="42" t="s">
        <v>2119</v>
      </c>
      <c r="F250" s="43" t="s">
        <v>2120</v>
      </c>
      <c r="G250" s="43" t="s">
        <v>2121</v>
      </c>
      <c r="H250" s="44" t="s">
        <v>130</v>
      </c>
      <c r="I250" s="15" t="str">
        <f>IFERROR(__xludf.DUMMYFUNCTION("GOOGLETRANSLATE(H250,""EN"",""ES"")"),"Sostenibilidad")</f>
        <v>Sostenibilidad</v>
      </c>
      <c r="J250" s="16" t="s">
        <v>35</v>
      </c>
      <c r="K250" s="48">
        <v>0.7</v>
      </c>
      <c r="L250" s="51" t="s">
        <v>2102</v>
      </c>
      <c r="M250" s="34" t="s">
        <v>2103</v>
      </c>
      <c r="N250" s="44" t="s">
        <v>2122</v>
      </c>
      <c r="O250" s="44" t="str">
        <f>IFERROR(__xludf.DUMMYFUNCTION("GOOGLETRANSLATE(N250,""EN"",""ES"")"),"Ampliar el acceso a combustibles renovables refuerza el liderazgo de Repsol en la transición energética.")</f>
        <v>Ampliar el acceso a combustibles renovables refuerza el liderazgo de Repsol en la transición energética.</v>
      </c>
      <c r="P250" s="30">
        <v>0.8</v>
      </c>
      <c r="Q250" s="18" t="str">
        <f>IFERROR(__xludf.DUMMYFUNCTION("GOOGLETRANSLATE(R250,""ES"",""EN"")"),"renewable fuel, service stations")</f>
        <v>renewable fuel, service stations</v>
      </c>
      <c r="R250" s="34" t="s">
        <v>1539</v>
      </c>
      <c r="S250" s="52" t="s">
        <v>1765</v>
      </c>
      <c r="T250" s="22" t="s">
        <v>1766</v>
      </c>
    </row>
    <row r="251">
      <c r="A251" s="23" t="s">
        <v>2123</v>
      </c>
      <c r="B251" s="40" t="s">
        <v>626</v>
      </c>
      <c r="C251" s="41">
        <v>45310.0</v>
      </c>
      <c r="D251" s="40" t="s">
        <v>2124</v>
      </c>
      <c r="E251" s="42" t="s">
        <v>2125</v>
      </c>
      <c r="F251" s="43" t="s">
        <v>2126</v>
      </c>
      <c r="G251" s="43" t="s">
        <v>2127</v>
      </c>
      <c r="H251" s="47" t="s">
        <v>1975</v>
      </c>
      <c r="I251" s="25" t="str">
        <f>IFERROR(__xludf.DUMMYFUNCTION("GOOGLETRANSLATE(H251,""EN"",""ES"")"),"Política")</f>
        <v>Política</v>
      </c>
      <c r="J251" s="26" t="s">
        <v>35</v>
      </c>
      <c r="K251" s="48">
        <v>-0.5</v>
      </c>
      <c r="L251" s="49" t="s">
        <v>2128</v>
      </c>
      <c r="M251" s="28" t="s">
        <v>2129</v>
      </c>
      <c r="N251" s="47" t="s">
        <v>2130</v>
      </c>
      <c r="O251" s="47" t="str">
        <f>IFERROR(__xludf.DUMMYFUNCTION("GOOGLETRANSLATE(N251,""EN"",""ES"")"),"Los desacuerdos públicos con funcionarios del gobierno pueden crear tensiones regulatorias para Repsol.")</f>
        <v>Los desacuerdos públicos con funcionarios del gobierno pueden crear tensiones regulatorias para Repsol.</v>
      </c>
      <c r="P251" s="30">
        <v>-0.6</v>
      </c>
      <c r="Q251" s="31" t="str">
        <f>IFERROR(__xludf.DUMMYFUNCTION("GOOGLETRANSLATE(R251,""ES"",""EN"")"),"phrases from Imaz, Davos")</f>
        <v>phrases from Imaz, Davos</v>
      </c>
      <c r="R251" s="28" t="s">
        <v>2131</v>
      </c>
      <c r="S251" s="53" t="s">
        <v>1980</v>
      </c>
      <c r="T251" s="32" t="s">
        <v>1981</v>
      </c>
    </row>
    <row r="252">
      <c r="A252" s="33" t="s">
        <v>2132</v>
      </c>
      <c r="B252" s="40" t="s">
        <v>499</v>
      </c>
      <c r="C252" s="41">
        <v>45310.0</v>
      </c>
      <c r="D252" s="40" t="s">
        <v>2133</v>
      </c>
      <c r="E252" s="42" t="s">
        <v>2134</v>
      </c>
      <c r="F252" s="43" t="s">
        <v>2135</v>
      </c>
      <c r="G252" s="43" t="s">
        <v>2136</v>
      </c>
      <c r="H252" s="44" t="s">
        <v>62</v>
      </c>
      <c r="I252" s="15" t="str">
        <f>IFERROR(__xludf.DUMMYFUNCTION("GOOGLETRANSLATE(H252,""EN"",""ES"")"),"Energía")</f>
        <v>Energía</v>
      </c>
      <c r="J252" s="16" t="s">
        <v>27</v>
      </c>
      <c r="K252" s="17">
        <v>0.0</v>
      </c>
      <c r="L252" s="45"/>
      <c r="M252" s="18"/>
      <c r="N252" s="44"/>
      <c r="O252" s="44"/>
      <c r="P252" s="20">
        <v>0.0</v>
      </c>
      <c r="Q252" s="18"/>
      <c r="R252" s="18"/>
      <c r="S252" s="52"/>
      <c r="T252" s="22"/>
    </row>
    <row r="253">
      <c r="A253" s="23" t="s">
        <v>2137</v>
      </c>
      <c r="B253" s="40" t="s">
        <v>1768</v>
      </c>
      <c r="C253" s="41">
        <v>45310.0</v>
      </c>
      <c r="D253" s="40" t="s">
        <v>2138</v>
      </c>
      <c r="E253" s="42" t="s">
        <v>2139</v>
      </c>
      <c r="F253" s="43" t="s">
        <v>2140</v>
      </c>
      <c r="G253" s="43" t="s">
        <v>2141</v>
      </c>
      <c r="H253" s="47" t="s">
        <v>1975</v>
      </c>
      <c r="I253" s="25" t="str">
        <f>IFERROR(__xludf.DUMMYFUNCTION("GOOGLETRANSLATE(H253,""EN"",""ES"")"),"Política")</f>
        <v>Política</v>
      </c>
      <c r="J253" s="26" t="s">
        <v>35</v>
      </c>
      <c r="K253" s="48">
        <v>-0.6</v>
      </c>
      <c r="L253" s="49" t="s">
        <v>1976</v>
      </c>
      <c r="M253" s="28" t="s">
        <v>1977</v>
      </c>
      <c r="N253" s="47" t="s">
        <v>2142</v>
      </c>
      <c r="O253" s="47" t="str">
        <f>IFERROR(__xludf.DUMMYFUNCTION("GOOGLETRANSLATE(N253,""EN"",""ES"")"),"Las acusaciones de figuras políticas pueden crear desafíos regulatorios y reputacionales para Repsol.")</f>
        <v>Las acusaciones de figuras políticas pueden crear desafíos regulatorios y reputacionales para Repsol.</v>
      </c>
      <c r="P253" s="30">
        <v>-0.6</v>
      </c>
      <c r="Q253" s="31" t="str">
        <f>IFERROR(__xludf.DUMMYFUNCTION("GOOGLETRANSLATE(R253,""ES"",""EN"")"),"denialism, retardism")</f>
        <v>denialism, retardism</v>
      </c>
      <c r="R253" s="28" t="s">
        <v>2143</v>
      </c>
      <c r="S253" s="53" t="s">
        <v>1980</v>
      </c>
      <c r="T253" s="32" t="s">
        <v>1981</v>
      </c>
    </row>
    <row r="254">
      <c r="A254" s="33" t="s">
        <v>2144</v>
      </c>
      <c r="B254" s="40" t="s">
        <v>21</v>
      </c>
      <c r="C254" s="41">
        <v>45310.0</v>
      </c>
      <c r="D254" s="40" t="s">
        <v>2145</v>
      </c>
      <c r="E254" s="42" t="s">
        <v>2146</v>
      </c>
      <c r="F254" s="43" t="s">
        <v>2147</v>
      </c>
      <c r="G254" s="43" t="s">
        <v>2148</v>
      </c>
      <c r="H254" s="44" t="s">
        <v>148</v>
      </c>
      <c r="I254" s="15" t="str">
        <f>IFERROR(__xludf.DUMMYFUNCTION("GOOGLETRANSLATE(H254,""EN"",""ES"")"),"Gastronomía")</f>
        <v>Gastronomía</v>
      </c>
      <c r="J254" s="16" t="s">
        <v>27</v>
      </c>
      <c r="K254" s="17">
        <v>0.0</v>
      </c>
      <c r="L254" s="45"/>
      <c r="M254" s="18"/>
      <c r="N254" s="44"/>
      <c r="O254" s="44"/>
      <c r="P254" s="20">
        <v>0.0</v>
      </c>
      <c r="Q254" s="18"/>
      <c r="R254" s="18"/>
      <c r="S254" s="52"/>
      <c r="T254" s="22"/>
    </row>
    <row r="255">
      <c r="A255" s="23" t="s">
        <v>2149</v>
      </c>
      <c r="B255" s="40" t="s">
        <v>2150</v>
      </c>
      <c r="C255" s="41">
        <v>45310.0</v>
      </c>
      <c r="D255" s="40" t="s">
        <v>2151</v>
      </c>
      <c r="E255" s="42" t="s">
        <v>2152</v>
      </c>
      <c r="F255" s="43" t="s">
        <v>2153</v>
      </c>
      <c r="G255" s="43" t="s">
        <v>2154</v>
      </c>
      <c r="H255" s="47" t="s">
        <v>130</v>
      </c>
      <c r="I255" s="25" t="str">
        <f>IFERROR(__xludf.DUMMYFUNCTION("GOOGLETRANSLATE(H255,""EN"",""ES"")"),"Sostenibilidad")</f>
        <v>Sostenibilidad</v>
      </c>
      <c r="J255" s="26" t="s">
        <v>35</v>
      </c>
      <c r="K255" s="48">
        <v>0.7</v>
      </c>
      <c r="L255" s="49" t="s">
        <v>2155</v>
      </c>
      <c r="M255" s="28" t="s">
        <v>2156</v>
      </c>
      <c r="N255" s="47" t="s">
        <v>2157</v>
      </c>
      <c r="O255" s="47" t="str">
        <f>IFERROR(__xludf.DUMMYFUNCTION("GOOGLETRANSLATE(N255,""EN"",""ES"")"),"La innovación en combustibles renovables refuerza la apuesta de Repsol por las energías verdes.")</f>
        <v>La innovación en combustibles renovables refuerza la apuesta de Repsol por las energías verdes.</v>
      </c>
      <c r="P255" s="30">
        <v>0.8</v>
      </c>
      <c r="Q255" s="31" t="str">
        <f>IFERROR(__xludf.DUMMYFUNCTION("GOOGLETRANSLATE(R255,""ES"",""EN"")"),"renewable gasoline, biofuels")</f>
        <v>renewable gasoline, biofuels</v>
      </c>
      <c r="R255" s="28" t="s">
        <v>2158</v>
      </c>
      <c r="S255" s="53" t="s">
        <v>1777</v>
      </c>
      <c r="T255" s="32" t="s">
        <v>1778</v>
      </c>
    </row>
    <row r="256">
      <c r="A256" s="33" t="s">
        <v>2159</v>
      </c>
      <c r="B256" s="40" t="s">
        <v>163</v>
      </c>
      <c r="C256" s="41">
        <v>45310.0</v>
      </c>
      <c r="D256" s="40" t="s">
        <v>2160</v>
      </c>
      <c r="E256" s="42" t="s">
        <v>2161</v>
      </c>
      <c r="F256" s="43" t="s">
        <v>2162</v>
      </c>
      <c r="G256" s="43" t="s">
        <v>2163</v>
      </c>
      <c r="H256" s="44" t="s">
        <v>55</v>
      </c>
      <c r="I256" s="15" t="str">
        <f>IFERROR(__xludf.DUMMYFUNCTION("GOOGLETRANSLATE(H256,""EN"",""ES"")"),"deportes de motor")</f>
        <v>deportes de motor</v>
      </c>
      <c r="J256" s="16" t="s">
        <v>27</v>
      </c>
      <c r="K256" s="17">
        <v>0.0</v>
      </c>
      <c r="L256" s="45"/>
      <c r="M256" s="18"/>
      <c r="N256" s="44"/>
      <c r="O256" s="44"/>
      <c r="P256" s="20">
        <v>0.0</v>
      </c>
      <c r="Q256" s="18"/>
      <c r="R256" s="18"/>
      <c r="S256" s="52"/>
      <c r="T256" s="22"/>
    </row>
    <row r="257">
      <c r="A257" s="23" t="s">
        <v>2164</v>
      </c>
      <c r="B257" s="40" t="s">
        <v>2165</v>
      </c>
      <c r="C257" s="41">
        <v>45310.0</v>
      </c>
      <c r="D257" s="40" t="s">
        <v>2166</v>
      </c>
      <c r="E257" s="42" t="s">
        <v>2167</v>
      </c>
      <c r="F257" s="43" t="s">
        <v>2168</v>
      </c>
      <c r="G257" s="43" t="s">
        <v>2169</v>
      </c>
      <c r="H257" s="47" t="s">
        <v>130</v>
      </c>
      <c r="I257" s="25" t="str">
        <f>IFERROR(__xludf.DUMMYFUNCTION("GOOGLETRANSLATE(H257,""EN"",""ES"")"),"Sostenibilidad")</f>
        <v>Sostenibilidad</v>
      </c>
      <c r="J257" s="26" t="s">
        <v>35</v>
      </c>
      <c r="K257" s="48">
        <v>0.7</v>
      </c>
      <c r="L257" s="49" t="s">
        <v>2170</v>
      </c>
      <c r="M257" s="28" t="s">
        <v>2171</v>
      </c>
      <c r="N257" s="47" t="s">
        <v>2172</v>
      </c>
      <c r="O257" s="47" t="str">
        <f>IFERROR(__xludf.DUMMYFUNCTION("GOOGLETRANSLATE(N257,""EN"",""ES"")"),"El avance de alternativas de combustibles renovables fortalece el papel de Repsol en la energía sostenible.")</f>
        <v>El avance de alternativas de combustibles renovables fortalece el papel de Repsol en la energía sostenible.</v>
      </c>
      <c r="P257" s="30">
        <v>0.8</v>
      </c>
      <c r="Q257" s="31" t="str">
        <f>IFERROR(__xludf.DUMMYFUNCTION("GOOGLETRANSLATE(R257,""ES"",""EN"")"),"renewable fuels, e-fuels")</f>
        <v>renewable fuels, e-fuels</v>
      </c>
      <c r="R257" s="28" t="s">
        <v>2173</v>
      </c>
      <c r="S257" s="53" t="s">
        <v>1840</v>
      </c>
      <c r="T257" s="32" t="s">
        <v>1841</v>
      </c>
    </row>
    <row r="258">
      <c r="A258" s="33" t="s">
        <v>2174</v>
      </c>
      <c r="B258" s="40" t="s">
        <v>2175</v>
      </c>
      <c r="C258" s="41">
        <v>45310.0</v>
      </c>
      <c r="D258" s="40" t="s">
        <v>2176</v>
      </c>
      <c r="E258" s="42" t="s">
        <v>2177</v>
      </c>
      <c r="F258" s="43" t="s">
        <v>2178</v>
      </c>
      <c r="G258" s="43" t="s">
        <v>2179</v>
      </c>
      <c r="H258" s="44" t="s">
        <v>2180</v>
      </c>
      <c r="I258" s="15" t="str">
        <f>IFERROR(__xludf.DUMMYFUNCTION("GOOGLETRANSLATE(H258,""EN"",""ES"")"),"Competencia energética")</f>
        <v>Competencia energética</v>
      </c>
      <c r="J258" s="16" t="s">
        <v>35</v>
      </c>
      <c r="K258" s="48">
        <v>-0.5</v>
      </c>
      <c r="L258" s="51" t="s">
        <v>2181</v>
      </c>
      <c r="M258" s="34" t="s">
        <v>2182</v>
      </c>
      <c r="N258" s="44" t="s">
        <v>2183</v>
      </c>
      <c r="O258" s="44" t="str">
        <f>IFERROR(__xludf.DUMMYFUNCTION("GOOGLETRANSLATE(N258,""EN"",""ES"")"),"Las tensiones entre sectores energéticos pueden afectar al posicionamiento de Repsol en el mercado.")</f>
        <v>Las tensiones entre sectores energéticos pueden afectar al posicionamiento de Repsol en el mercado.</v>
      </c>
      <c r="P258" s="30">
        <v>-0.6</v>
      </c>
      <c r="Q258" s="18" t="str">
        <f>IFERROR(__xludf.DUMMYFUNCTION("GOOGLETRANSLATE(R258,""ES"",""EN"")"),"war, oil")</f>
        <v>war, oil</v>
      </c>
      <c r="R258" s="34" t="s">
        <v>2184</v>
      </c>
      <c r="S258" s="52" t="s">
        <v>2185</v>
      </c>
      <c r="T258" s="22" t="s">
        <v>2186</v>
      </c>
    </row>
    <row r="259">
      <c r="A259" s="23" t="s">
        <v>2187</v>
      </c>
      <c r="B259" s="40" t="s">
        <v>2188</v>
      </c>
      <c r="C259" s="41">
        <v>45310.0</v>
      </c>
      <c r="D259" s="40" t="s">
        <v>2189</v>
      </c>
      <c r="E259" s="42" t="s">
        <v>2190</v>
      </c>
      <c r="F259" s="43" t="s">
        <v>2191</v>
      </c>
      <c r="G259" s="43" t="s">
        <v>2192</v>
      </c>
      <c r="H259" s="47" t="s">
        <v>55</v>
      </c>
      <c r="I259" s="25" t="str">
        <f>IFERROR(__xludf.DUMMYFUNCTION("GOOGLETRANSLATE(H259,""EN"",""ES"")"),"deportes de motor")</f>
        <v>deportes de motor</v>
      </c>
      <c r="J259" s="26" t="s">
        <v>27</v>
      </c>
      <c r="K259" s="17">
        <v>0.0</v>
      </c>
      <c r="L259" s="54"/>
      <c r="M259" s="31"/>
      <c r="N259" s="47"/>
      <c r="O259" s="47"/>
      <c r="P259" s="20">
        <v>0.0</v>
      </c>
      <c r="Q259" s="31"/>
      <c r="R259" s="31"/>
      <c r="S259" s="53"/>
      <c r="T259" s="32"/>
    </row>
    <row r="260">
      <c r="A260" s="33" t="s">
        <v>2193</v>
      </c>
      <c r="B260" s="40" t="s">
        <v>614</v>
      </c>
      <c r="C260" s="41">
        <v>45310.0</v>
      </c>
      <c r="D260" s="40" t="s">
        <v>2194</v>
      </c>
      <c r="E260" s="42" t="s">
        <v>2195</v>
      </c>
      <c r="F260" s="43" t="s">
        <v>2196</v>
      </c>
      <c r="G260" s="43" t="s">
        <v>2197</v>
      </c>
      <c r="H260" s="44" t="s">
        <v>55</v>
      </c>
      <c r="I260" s="15" t="str">
        <f>IFERROR(__xludf.DUMMYFUNCTION("GOOGLETRANSLATE(H260,""EN"",""ES"")"),"deportes de motor")</f>
        <v>deportes de motor</v>
      </c>
      <c r="J260" s="16" t="s">
        <v>27</v>
      </c>
      <c r="K260" s="17">
        <v>0.0</v>
      </c>
      <c r="L260" s="45"/>
      <c r="M260" s="18"/>
      <c r="N260" s="44"/>
      <c r="O260" s="44"/>
      <c r="P260" s="20">
        <v>0.0</v>
      </c>
      <c r="Q260" s="18"/>
      <c r="R260" s="18"/>
      <c r="S260" s="52"/>
      <c r="T260" s="22"/>
    </row>
    <row r="261">
      <c r="A261" s="23" t="s">
        <v>2198</v>
      </c>
      <c r="B261" s="40" t="s">
        <v>2199</v>
      </c>
      <c r="C261" s="41">
        <v>45310.0</v>
      </c>
      <c r="D261" s="40" t="s">
        <v>2200</v>
      </c>
      <c r="E261" s="42" t="s">
        <v>2201</v>
      </c>
      <c r="F261" s="43" t="s">
        <v>2202</v>
      </c>
      <c r="G261" s="43" t="s">
        <v>2203</v>
      </c>
      <c r="H261" s="47" t="s">
        <v>148</v>
      </c>
      <c r="I261" s="25" t="str">
        <f>IFERROR(__xludf.DUMMYFUNCTION("GOOGLETRANSLATE(H261,""EN"",""ES"")"),"Gastronomía")</f>
        <v>Gastronomía</v>
      </c>
      <c r="J261" s="26" t="s">
        <v>27</v>
      </c>
      <c r="K261" s="17">
        <v>0.0</v>
      </c>
      <c r="L261" s="54"/>
      <c r="M261" s="31"/>
      <c r="N261" s="47"/>
      <c r="O261" s="47"/>
      <c r="P261" s="20">
        <v>0.0</v>
      </c>
      <c r="Q261" s="31"/>
      <c r="R261" s="31"/>
      <c r="S261" s="53"/>
      <c r="T261" s="32"/>
    </row>
    <row r="262">
      <c r="A262" s="33" t="s">
        <v>2204</v>
      </c>
      <c r="B262" s="40" t="s">
        <v>85</v>
      </c>
      <c r="C262" s="41">
        <v>45310.0</v>
      </c>
      <c r="D262" s="40" t="s">
        <v>2205</v>
      </c>
      <c r="E262" s="42" t="s">
        <v>2206</v>
      </c>
      <c r="F262" s="43" t="s">
        <v>2207</v>
      </c>
      <c r="G262" s="43" t="s">
        <v>2208</v>
      </c>
      <c r="H262" s="44" t="s">
        <v>148</v>
      </c>
      <c r="I262" s="15" t="str">
        <f>IFERROR(__xludf.DUMMYFUNCTION("GOOGLETRANSLATE(H262,""EN"",""ES"")"),"Gastronomía")</f>
        <v>Gastronomía</v>
      </c>
      <c r="J262" s="16" t="s">
        <v>27</v>
      </c>
      <c r="K262" s="17">
        <v>0.0</v>
      </c>
      <c r="L262" s="45"/>
      <c r="M262" s="18"/>
      <c r="N262" s="44"/>
      <c r="O262" s="44"/>
      <c r="P262" s="20">
        <v>0.0</v>
      </c>
      <c r="Q262" s="18"/>
      <c r="R262" s="18"/>
      <c r="S262" s="52"/>
      <c r="T262" s="22"/>
    </row>
    <row r="263">
      <c r="A263" s="23" t="s">
        <v>2209</v>
      </c>
      <c r="B263" s="40" t="s">
        <v>2210</v>
      </c>
      <c r="C263" s="41">
        <v>45310.0</v>
      </c>
      <c r="D263" s="40" t="s">
        <v>2211</v>
      </c>
      <c r="E263" s="42" t="s">
        <v>2212</v>
      </c>
      <c r="F263" s="43" t="s">
        <v>2213</v>
      </c>
      <c r="G263" s="43" t="s">
        <v>2214</v>
      </c>
      <c r="H263" s="47" t="s">
        <v>148</v>
      </c>
      <c r="I263" s="25" t="str">
        <f>IFERROR(__xludf.DUMMYFUNCTION("GOOGLETRANSLATE(H263,""EN"",""ES"")"),"Gastronomía")</f>
        <v>Gastronomía</v>
      </c>
      <c r="J263" s="26" t="s">
        <v>27</v>
      </c>
      <c r="K263" s="17">
        <v>0.0</v>
      </c>
      <c r="L263" s="54"/>
      <c r="M263" s="31"/>
      <c r="N263" s="47"/>
      <c r="O263" s="47"/>
      <c r="P263" s="20">
        <v>0.0</v>
      </c>
      <c r="Q263" s="31"/>
      <c r="R263" s="31"/>
      <c r="S263" s="53"/>
      <c r="T263" s="32"/>
    </row>
    <row r="264">
      <c r="A264" s="33" t="s">
        <v>2215</v>
      </c>
      <c r="B264" s="40" t="s">
        <v>68</v>
      </c>
      <c r="C264" s="41">
        <v>45310.0</v>
      </c>
      <c r="D264" s="40" t="s">
        <v>2216</v>
      </c>
      <c r="E264" s="42" t="s">
        <v>2217</v>
      </c>
      <c r="F264" s="43" t="s">
        <v>2218</v>
      </c>
      <c r="G264" s="43" t="s">
        <v>2219</v>
      </c>
      <c r="H264" s="44" t="s">
        <v>55</v>
      </c>
      <c r="I264" s="15" t="str">
        <f>IFERROR(__xludf.DUMMYFUNCTION("GOOGLETRANSLATE(H264,""EN"",""ES"")"),"deportes de motor")</f>
        <v>deportes de motor</v>
      </c>
      <c r="J264" s="16" t="s">
        <v>27</v>
      </c>
      <c r="K264" s="17">
        <v>0.0</v>
      </c>
      <c r="L264" s="45"/>
      <c r="M264" s="18"/>
      <c r="N264" s="44"/>
      <c r="O264" s="44"/>
      <c r="P264" s="20">
        <v>0.0</v>
      </c>
      <c r="Q264" s="18"/>
      <c r="R264" s="18"/>
      <c r="S264" s="52"/>
      <c r="T264" s="22"/>
    </row>
    <row r="265">
      <c r="A265" s="23" t="s">
        <v>2220</v>
      </c>
      <c r="B265" s="40" t="s">
        <v>2221</v>
      </c>
      <c r="C265" s="41">
        <v>45310.0</v>
      </c>
      <c r="D265" s="40" t="s">
        <v>2222</v>
      </c>
      <c r="E265" s="42" t="s">
        <v>2223</v>
      </c>
      <c r="F265" s="43" t="s">
        <v>2224</v>
      </c>
      <c r="G265" s="43" t="s">
        <v>2225</v>
      </c>
      <c r="H265" s="47" t="s">
        <v>1975</v>
      </c>
      <c r="I265" s="25" t="str">
        <f>IFERROR(__xludf.DUMMYFUNCTION("GOOGLETRANSLATE(H265,""EN"",""ES"")"),"Política")</f>
        <v>Política</v>
      </c>
      <c r="J265" s="26" t="s">
        <v>35</v>
      </c>
      <c r="K265" s="48">
        <v>-0.6</v>
      </c>
      <c r="L265" s="49" t="s">
        <v>2226</v>
      </c>
      <c r="M265" s="28" t="s">
        <v>2227</v>
      </c>
      <c r="N265" s="47" t="s">
        <v>2228</v>
      </c>
      <c r="O265" s="47" t="str">
        <f>IFERROR(__xludf.DUMMYFUNCTION("GOOGLETRANSLATE(N265,""EN"",""ES"")"),"Las disputas públicas con figuras políticas pueden crear riesgos regulatorios para Repsol.")</f>
        <v>Las disputas públicas con figuras políticas pueden crear riesgos regulatorios para Repsol.</v>
      </c>
      <c r="P265" s="30">
        <v>-0.6</v>
      </c>
      <c r="Q265" s="31" t="str">
        <f>IFERROR(__xludf.DUMMYFUNCTION("GOOGLETRANSLATE(R265,""ES"",""EN"")"),"denialism, retardism")</f>
        <v>denialism, retardism</v>
      </c>
      <c r="R265" s="28" t="s">
        <v>2143</v>
      </c>
      <c r="S265" s="53" t="s">
        <v>1980</v>
      </c>
      <c r="T265" s="32" t="s">
        <v>1981</v>
      </c>
    </row>
    <row r="266">
      <c r="A266" s="33" t="s">
        <v>2229</v>
      </c>
      <c r="B266" s="40" t="s">
        <v>2230</v>
      </c>
      <c r="C266" s="41">
        <v>45310.0</v>
      </c>
      <c r="D266" s="40" t="s">
        <v>2231</v>
      </c>
      <c r="E266" s="42" t="s">
        <v>2232</v>
      </c>
      <c r="F266" s="43" t="s">
        <v>2233</v>
      </c>
      <c r="G266" s="43" t="s">
        <v>2234</v>
      </c>
      <c r="H266" s="44" t="s">
        <v>148</v>
      </c>
      <c r="I266" s="15" t="str">
        <f>IFERROR(__xludf.DUMMYFUNCTION("GOOGLETRANSLATE(H266,""EN"",""ES"")"),"Gastronomía")</f>
        <v>Gastronomía</v>
      </c>
      <c r="J266" s="16" t="s">
        <v>27</v>
      </c>
      <c r="K266" s="17">
        <v>0.0</v>
      </c>
      <c r="L266" s="45"/>
      <c r="M266" s="18"/>
      <c r="N266" s="44"/>
      <c r="O266" s="44"/>
      <c r="P266" s="20">
        <v>0.0</v>
      </c>
      <c r="Q266" s="18"/>
      <c r="R266" s="18"/>
      <c r="S266" s="52"/>
      <c r="T266" s="22"/>
    </row>
    <row r="267">
      <c r="A267" s="23" t="s">
        <v>2235</v>
      </c>
      <c r="B267" s="40" t="s">
        <v>217</v>
      </c>
      <c r="C267" s="41">
        <v>45310.0</v>
      </c>
      <c r="D267" s="40" t="s">
        <v>2236</v>
      </c>
      <c r="E267" s="42" t="s">
        <v>2237</v>
      </c>
      <c r="F267" s="43" t="s">
        <v>2238</v>
      </c>
      <c r="G267" s="43" t="s">
        <v>2239</v>
      </c>
      <c r="H267" s="47" t="s">
        <v>2240</v>
      </c>
      <c r="I267" s="25" t="str">
        <f>IFERROR(__xludf.DUMMYFUNCTION("GOOGLETRANSLATE(H267,""EN"",""ES"")"),"Industria")</f>
        <v>Industria</v>
      </c>
      <c r="J267" s="26" t="s">
        <v>27</v>
      </c>
      <c r="K267" s="17">
        <v>0.0</v>
      </c>
      <c r="L267" s="54"/>
      <c r="M267" s="31"/>
      <c r="N267" s="47"/>
      <c r="O267" s="47"/>
      <c r="P267" s="20">
        <v>0.0</v>
      </c>
      <c r="Q267" s="31"/>
      <c r="R267" s="31"/>
      <c r="S267" s="53"/>
      <c r="T267" s="32"/>
    </row>
    <row r="268">
      <c r="A268" s="33" t="s">
        <v>2241</v>
      </c>
      <c r="B268" s="40" t="s">
        <v>2242</v>
      </c>
      <c r="C268" s="41">
        <v>45310.0</v>
      </c>
      <c r="D268" s="40" t="s">
        <v>2243</v>
      </c>
      <c r="E268" s="42" t="s">
        <v>2244</v>
      </c>
      <c r="F268" s="43" t="s">
        <v>2245</v>
      </c>
      <c r="G268" s="43" t="s">
        <v>2246</v>
      </c>
      <c r="H268" s="44" t="s">
        <v>148</v>
      </c>
      <c r="I268" s="15" t="str">
        <f>IFERROR(__xludf.DUMMYFUNCTION("GOOGLETRANSLATE(H268,""EN"",""ES"")"),"Gastronomía")</f>
        <v>Gastronomía</v>
      </c>
      <c r="J268" s="16" t="s">
        <v>27</v>
      </c>
      <c r="K268" s="17">
        <v>0.0</v>
      </c>
      <c r="L268" s="45"/>
      <c r="M268" s="18"/>
      <c r="N268" s="44"/>
      <c r="O268" s="44"/>
      <c r="P268" s="20">
        <v>0.0</v>
      </c>
      <c r="Q268" s="18"/>
      <c r="R268" s="18"/>
      <c r="S268" s="52"/>
      <c r="T268" s="22"/>
    </row>
    <row r="269">
      <c r="A269" s="23" t="s">
        <v>2247</v>
      </c>
      <c r="B269" s="40" t="s">
        <v>2248</v>
      </c>
      <c r="C269" s="41">
        <v>45310.0</v>
      </c>
      <c r="D269" s="40" t="s">
        <v>2249</v>
      </c>
      <c r="E269" s="42" t="s">
        <v>2250</v>
      </c>
      <c r="F269" s="43" t="s">
        <v>2251</v>
      </c>
      <c r="G269" s="43" t="s">
        <v>2252</v>
      </c>
      <c r="H269" s="47" t="s">
        <v>395</v>
      </c>
      <c r="I269" s="25" t="str">
        <f>IFERROR(__xludf.DUMMYFUNCTION("GOOGLETRANSLATE(H269,""EN"",""ES"")"),"Ambiente")</f>
        <v>Ambiente</v>
      </c>
      <c r="J269" s="26" t="s">
        <v>35</v>
      </c>
      <c r="K269" s="48">
        <v>-0.8</v>
      </c>
      <c r="L269" s="49" t="s">
        <v>2253</v>
      </c>
      <c r="M269" s="28" t="s">
        <v>2254</v>
      </c>
      <c r="N269" s="47" t="s">
        <v>2255</v>
      </c>
      <c r="O269" s="47" t="str">
        <f>IFERROR(__xludf.DUMMYFUNCTION("GOOGLETRANSLATE(N269,""EN"",""ES"")"),"El encuadre negativo del derrame refuerza los desafíos de reputación ambiental de Repsol.")</f>
        <v>El encuadre negativo del derrame refuerza los desafíos de reputación ambiental de Repsol.</v>
      </c>
      <c r="P269" s="30">
        <v>-0.8</v>
      </c>
      <c r="Q269" s="31" t="str">
        <f>IFERROR(__xludf.DUMMYFUNCTION("GOOGLETRANSLATE(R269,""ES"",""EN"")"),"oil spill, sinners gain")</f>
        <v>oil spill, sinners gain</v>
      </c>
      <c r="R269" s="28" t="s">
        <v>2256</v>
      </c>
      <c r="S269" s="53" t="s">
        <v>2257</v>
      </c>
      <c r="T269" s="32" t="s">
        <v>2258</v>
      </c>
    </row>
    <row r="270">
      <c r="A270" s="33" t="s">
        <v>2259</v>
      </c>
      <c r="B270" s="40" t="s">
        <v>254</v>
      </c>
      <c r="C270" s="41">
        <v>45310.0</v>
      </c>
      <c r="D270" s="40" t="s">
        <v>2260</v>
      </c>
      <c r="E270" s="42" t="s">
        <v>2261</v>
      </c>
      <c r="F270" s="43" t="s">
        <v>2262</v>
      </c>
      <c r="G270" s="43" t="s">
        <v>2263</v>
      </c>
      <c r="H270" s="44" t="s">
        <v>408</v>
      </c>
      <c r="I270" s="15" t="str">
        <f>IFERROR(__xludf.DUMMYFUNCTION("GOOGLETRANSLATE(H270,""EN"",""ES"")"),"Legal")</f>
        <v>Legal</v>
      </c>
      <c r="J270" s="16" t="s">
        <v>35</v>
      </c>
      <c r="K270" s="48">
        <v>-0.6</v>
      </c>
      <c r="L270" s="51" t="s">
        <v>2264</v>
      </c>
      <c r="M270" s="34" t="s">
        <v>2265</v>
      </c>
      <c r="N270" s="44" t="s">
        <v>2266</v>
      </c>
      <c r="O270" s="44" t="str">
        <f>IFERROR(__xludf.DUMMYFUNCTION("GOOGLETRANSLATE(N270,""EN"",""ES"")"),"Los litigios relacionados con daños medioambientales suponen riesgos económicos y reputacionales para Repsol.")</f>
        <v>Los litigios relacionados con daños medioambientales suponen riesgos económicos y reputacionales para Repsol.</v>
      </c>
      <c r="P270" s="30">
        <v>-0.6</v>
      </c>
      <c r="Q270" s="18" t="str">
        <f>IFERROR(__xludf.DUMMYFUNCTION("GOOGLETRANSLATE(R270,""ES"",""EN"")"),"demand, Netherlands")</f>
        <v>demand, Netherlands</v>
      </c>
      <c r="R270" s="34" t="s">
        <v>2265</v>
      </c>
      <c r="S270" s="52" t="s">
        <v>1043</v>
      </c>
      <c r="T270" s="22" t="s">
        <v>1044</v>
      </c>
    </row>
    <row r="271">
      <c r="A271" s="23" t="s">
        <v>2267</v>
      </c>
      <c r="B271" s="40" t="s">
        <v>2165</v>
      </c>
      <c r="C271" s="41">
        <v>45311.0</v>
      </c>
      <c r="D271" s="40" t="s">
        <v>2268</v>
      </c>
      <c r="E271" s="42" t="s">
        <v>2269</v>
      </c>
      <c r="F271" s="43" t="s">
        <v>2270</v>
      </c>
      <c r="G271" s="43" t="s">
        <v>2271</v>
      </c>
      <c r="H271" s="47" t="s">
        <v>130</v>
      </c>
      <c r="I271" s="25" t="str">
        <f>IFERROR(__xludf.DUMMYFUNCTION("GOOGLETRANSLATE(H271,""EN"",""ES"")"),"Sostenibilidad")</f>
        <v>Sostenibilidad</v>
      </c>
      <c r="J271" s="26" t="s">
        <v>35</v>
      </c>
      <c r="K271" s="48">
        <v>0.7</v>
      </c>
      <c r="L271" s="49" t="s">
        <v>2272</v>
      </c>
      <c r="M271" s="28" t="s">
        <v>2273</v>
      </c>
      <c r="N271" s="47" t="s">
        <v>2274</v>
      </c>
      <c r="O271" s="47" t="str">
        <f>IFERROR(__xludf.DUMMYFUNCTION("GOOGLETRANSLATE(N271,""EN"",""ES"")"),"La ampliación de las opciones de combustibles renovables potencia el liderazgo de Repsol en energía sostenible.")</f>
        <v>La ampliación de las opciones de combustibles renovables potencia el liderazgo de Repsol en energía sostenible.</v>
      </c>
      <c r="P271" s="30">
        <v>0.7</v>
      </c>
      <c r="Q271" s="31" t="str">
        <f>IFERROR(__xludf.DUMMYFUNCTION("GOOGLETRANSLATE(R271,""ES"",""EN"")"),"renewable gasoline, refuel")</f>
        <v>renewable gasoline, refuel</v>
      </c>
      <c r="R271" s="28" t="s">
        <v>2275</v>
      </c>
      <c r="S271" s="53" t="s">
        <v>1840</v>
      </c>
      <c r="T271" s="32" t="s">
        <v>1841</v>
      </c>
    </row>
    <row r="272">
      <c r="A272" s="33" t="s">
        <v>2276</v>
      </c>
      <c r="B272" s="40" t="s">
        <v>2242</v>
      </c>
      <c r="C272" s="41">
        <v>45311.0</v>
      </c>
      <c r="D272" s="40" t="s">
        <v>2277</v>
      </c>
      <c r="E272" s="42" t="s">
        <v>2278</v>
      </c>
      <c r="F272" s="43" t="s">
        <v>2279</v>
      </c>
      <c r="G272" s="43" t="s">
        <v>2280</v>
      </c>
      <c r="H272" s="44" t="s">
        <v>2281</v>
      </c>
      <c r="I272" s="15" t="str">
        <f>IFERROR(__xludf.DUMMYFUNCTION("GOOGLETRANSLATE(H272,""EN"",""ES"")"),"Operaciones comerciales")</f>
        <v>Operaciones comerciales</v>
      </c>
      <c r="J272" s="16" t="s">
        <v>27</v>
      </c>
      <c r="K272" s="17">
        <v>0.0</v>
      </c>
      <c r="L272" s="45"/>
      <c r="M272" s="18"/>
      <c r="N272" s="44"/>
      <c r="O272" s="44"/>
      <c r="P272" s="20">
        <v>0.0</v>
      </c>
      <c r="Q272" s="18"/>
      <c r="R272" s="18"/>
      <c r="S272" s="52"/>
      <c r="T272" s="22"/>
    </row>
    <row r="273">
      <c r="A273" s="23" t="s">
        <v>2282</v>
      </c>
      <c r="B273" s="40" t="s">
        <v>2283</v>
      </c>
      <c r="C273" s="41">
        <v>45311.0</v>
      </c>
      <c r="D273" s="40" t="s">
        <v>2284</v>
      </c>
      <c r="E273" s="42" t="s">
        <v>2285</v>
      </c>
      <c r="F273" s="43" t="s">
        <v>2286</v>
      </c>
      <c r="G273" s="43" t="s">
        <v>2287</v>
      </c>
      <c r="H273" s="47" t="s">
        <v>55</v>
      </c>
      <c r="I273" s="25" t="str">
        <f>IFERROR(__xludf.DUMMYFUNCTION("GOOGLETRANSLATE(H273,""EN"",""ES"")"),"deportes de motor")</f>
        <v>deportes de motor</v>
      </c>
      <c r="J273" s="26" t="s">
        <v>27</v>
      </c>
      <c r="K273" s="17">
        <v>0.0</v>
      </c>
      <c r="L273" s="54"/>
      <c r="M273" s="31"/>
      <c r="N273" s="47"/>
      <c r="O273" s="47"/>
      <c r="P273" s="20">
        <v>0.0</v>
      </c>
      <c r="Q273" s="31"/>
      <c r="R273" s="31"/>
      <c r="S273" s="53"/>
      <c r="T273" s="32"/>
    </row>
    <row r="274">
      <c r="A274" s="33" t="s">
        <v>2288</v>
      </c>
      <c r="B274" s="40" t="s">
        <v>1993</v>
      </c>
      <c r="C274" s="41">
        <v>45311.0</v>
      </c>
      <c r="D274" s="40" t="s">
        <v>2289</v>
      </c>
      <c r="E274" s="42" t="s">
        <v>2290</v>
      </c>
      <c r="F274" s="43" t="s">
        <v>2291</v>
      </c>
      <c r="G274" s="43" t="s">
        <v>2292</v>
      </c>
      <c r="H274" s="44" t="s">
        <v>62</v>
      </c>
      <c r="I274" s="15" t="str">
        <f>IFERROR(__xludf.DUMMYFUNCTION("GOOGLETRANSLATE(H274,""EN"",""ES"")"),"Energía")</f>
        <v>Energía</v>
      </c>
      <c r="J274" s="16" t="s">
        <v>27</v>
      </c>
      <c r="K274" s="17">
        <v>0.0</v>
      </c>
      <c r="L274" s="45"/>
      <c r="M274" s="18"/>
      <c r="N274" s="44"/>
      <c r="O274" s="44"/>
      <c r="P274" s="20">
        <v>0.0</v>
      </c>
      <c r="Q274" s="18"/>
      <c r="R274" s="18"/>
      <c r="S274" s="52"/>
      <c r="T274" s="22"/>
    </row>
    <row r="275">
      <c r="A275" s="23" t="s">
        <v>2293</v>
      </c>
      <c r="B275" s="40" t="s">
        <v>2294</v>
      </c>
      <c r="C275" s="41">
        <v>45311.0</v>
      </c>
      <c r="D275" s="40" t="s">
        <v>2295</v>
      </c>
      <c r="E275" s="42" t="s">
        <v>2296</v>
      </c>
      <c r="F275" s="43" t="s">
        <v>2297</v>
      </c>
      <c r="G275" s="43" t="s">
        <v>2298</v>
      </c>
      <c r="H275" s="47" t="s">
        <v>148</v>
      </c>
      <c r="I275" s="25" t="str">
        <f>IFERROR(__xludf.DUMMYFUNCTION("GOOGLETRANSLATE(H275,""EN"",""ES"")"),"Gastronomía")</f>
        <v>Gastronomía</v>
      </c>
      <c r="J275" s="26" t="s">
        <v>27</v>
      </c>
      <c r="K275" s="17">
        <v>0.0</v>
      </c>
      <c r="L275" s="54"/>
      <c r="M275" s="31"/>
      <c r="N275" s="47"/>
      <c r="O275" s="47"/>
      <c r="P275" s="20">
        <v>0.0</v>
      </c>
      <c r="Q275" s="31"/>
      <c r="R275" s="31"/>
      <c r="S275" s="53"/>
      <c r="T275" s="32"/>
    </row>
    <row r="276">
      <c r="A276" s="33" t="s">
        <v>2299</v>
      </c>
      <c r="B276" s="40" t="s">
        <v>85</v>
      </c>
      <c r="C276" s="41">
        <v>45311.0</v>
      </c>
      <c r="D276" s="40" t="s">
        <v>2300</v>
      </c>
      <c r="E276" s="42" t="s">
        <v>2301</v>
      </c>
      <c r="F276" s="43" t="s">
        <v>2302</v>
      </c>
      <c r="G276" s="43" t="s">
        <v>2303</v>
      </c>
      <c r="H276" s="44" t="s">
        <v>148</v>
      </c>
      <c r="I276" s="15" t="str">
        <f>IFERROR(__xludf.DUMMYFUNCTION("GOOGLETRANSLATE(H276,""EN"",""ES"")"),"Gastronomía")</f>
        <v>Gastronomía</v>
      </c>
      <c r="J276" s="16" t="s">
        <v>27</v>
      </c>
      <c r="K276" s="17">
        <v>0.0</v>
      </c>
      <c r="L276" s="45"/>
      <c r="M276" s="18"/>
      <c r="N276" s="44"/>
      <c r="O276" s="44"/>
      <c r="P276" s="20">
        <v>0.0</v>
      </c>
      <c r="Q276" s="18"/>
      <c r="R276" s="18"/>
      <c r="S276" s="52"/>
      <c r="T276" s="22"/>
    </row>
    <row r="277">
      <c r="A277" s="23" t="s">
        <v>2304</v>
      </c>
      <c r="B277" s="40" t="s">
        <v>68</v>
      </c>
      <c r="C277" s="41">
        <v>45311.0</v>
      </c>
      <c r="D277" s="40" t="s">
        <v>2305</v>
      </c>
      <c r="E277" s="42" t="s">
        <v>2306</v>
      </c>
      <c r="F277" s="43" t="s">
        <v>2307</v>
      </c>
      <c r="G277" s="43" t="s">
        <v>2308</v>
      </c>
      <c r="H277" s="47" t="s">
        <v>55</v>
      </c>
      <c r="I277" s="25" t="str">
        <f>IFERROR(__xludf.DUMMYFUNCTION("GOOGLETRANSLATE(H277,""EN"",""ES"")"),"deportes de motor")</f>
        <v>deportes de motor</v>
      </c>
      <c r="J277" s="26" t="s">
        <v>27</v>
      </c>
      <c r="K277" s="17">
        <v>0.0</v>
      </c>
      <c r="L277" s="54"/>
      <c r="M277" s="31"/>
      <c r="N277" s="47"/>
      <c r="O277" s="47"/>
      <c r="P277" s="20">
        <v>0.0</v>
      </c>
      <c r="Q277" s="31"/>
      <c r="R277" s="31"/>
      <c r="S277" s="53"/>
      <c r="T277" s="32"/>
    </row>
    <row r="278">
      <c r="A278" s="33" t="s">
        <v>2309</v>
      </c>
      <c r="B278" s="40" t="s">
        <v>977</v>
      </c>
      <c r="C278" s="41">
        <v>45311.0</v>
      </c>
      <c r="D278" s="40" t="s">
        <v>2310</v>
      </c>
      <c r="E278" s="42" t="s">
        <v>2311</v>
      </c>
      <c r="F278" s="43" t="s">
        <v>2312</v>
      </c>
      <c r="G278" s="43" t="s">
        <v>2313</v>
      </c>
      <c r="H278" s="44" t="s">
        <v>395</v>
      </c>
      <c r="I278" s="15" t="str">
        <f>IFERROR(__xludf.DUMMYFUNCTION("GOOGLETRANSLATE(H278,""EN"",""ES"")"),"Ambiente")</f>
        <v>Ambiente</v>
      </c>
      <c r="J278" s="16" t="s">
        <v>35</v>
      </c>
      <c r="K278" s="48">
        <v>-0.8</v>
      </c>
      <c r="L278" s="51" t="s">
        <v>2314</v>
      </c>
      <c r="M278" s="34" t="s">
        <v>2315</v>
      </c>
      <c r="N278" s="44" t="s">
        <v>2316</v>
      </c>
      <c r="O278" s="44" t="str">
        <f>IFERROR(__xludf.DUMMYFUNCTION("GOOGLETRANSLATE(N278,""EN"",""ES"")"),"La falta de planificación de la gestión de desastres prolonga el sentimiento negativo sobre la respuesta de Repsol.")</f>
        <v>La falta de planificación de la gestión de desastres prolonga el sentimiento negativo sobre la respuesta de Repsol.</v>
      </c>
      <c r="P278" s="30">
        <v>-0.9</v>
      </c>
      <c r="Q278" s="18" t="str">
        <f>IFERROR(__xludf.DUMMYFUNCTION("GOOGLETRANSLATE(R278,""ES"",""EN"")"),"oil spill, rehabilitation")</f>
        <v>oil spill, rehabilitation</v>
      </c>
      <c r="R278" s="34" t="s">
        <v>2317</v>
      </c>
      <c r="S278" s="52" t="s">
        <v>1728</v>
      </c>
      <c r="T278" s="22" t="s">
        <v>1729</v>
      </c>
    </row>
    <row r="279">
      <c r="A279" s="23" t="s">
        <v>2318</v>
      </c>
      <c r="B279" s="40" t="s">
        <v>2283</v>
      </c>
      <c r="C279" s="41">
        <v>45311.0</v>
      </c>
      <c r="D279" s="40" t="s">
        <v>2319</v>
      </c>
      <c r="E279" s="42" t="s">
        <v>2320</v>
      </c>
      <c r="F279" s="43" t="s">
        <v>2321</v>
      </c>
      <c r="G279" s="43" t="s">
        <v>2322</v>
      </c>
      <c r="H279" s="47" t="s">
        <v>55</v>
      </c>
      <c r="I279" s="25" t="str">
        <f>IFERROR(__xludf.DUMMYFUNCTION("GOOGLETRANSLATE(H279,""EN"",""ES"")"),"deportes de motor")</f>
        <v>deportes de motor</v>
      </c>
      <c r="J279" s="26" t="s">
        <v>27</v>
      </c>
      <c r="K279" s="17">
        <v>0.0</v>
      </c>
      <c r="L279" s="54"/>
      <c r="M279" s="31"/>
      <c r="N279" s="47"/>
      <c r="O279" s="47"/>
      <c r="P279" s="20">
        <v>0.0</v>
      </c>
      <c r="Q279" s="31"/>
      <c r="R279" s="31"/>
      <c r="S279" s="53"/>
      <c r="T279" s="32"/>
    </row>
    <row r="280">
      <c r="A280" s="33" t="s">
        <v>2323</v>
      </c>
      <c r="B280" s="40" t="s">
        <v>1338</v>
      </c>
      <c r="C280" s="41">
        <v>45311.0</v>
      </c>
      <c r="D280" s="40" t="s">
        <v>2324</v>
      </c>
      <c r="E280" s="42" t="s">
        <v>2325</v>
      </c>
      <c r="F280" s="43" t="s">
        <v>2326</v>
      </c>
      <c r="G280" s="43" t="s">
        <v>2327</v>
      </c>
      <c r="H280" s="44" t="s">
        <v>62</v>
      </c>
      <c r="I280" s="15" t="str">
        <f>IFERROR(__xludf.DUMMYFUNCTION("GOOGLETRANSLATE(H280,""EN"",""ES"")"),"Energía")</f>
        <v>Energía</v>
      </c>
      <c r="J280" s="16" t="s">
        <v>27</v>
      </c>
      <c r="K280" s="17">
        <v>0.0</v>
      </c>
      <c r="L280" s="45"/>
      <c r="M280" s="18"/>
      <c r="N280" s="44"/>
      <c r="O280" s="44"/>
      <c r="P280" s="20">
        <v>0.0</v>
      </c>
      <c r="Q280" s="18"/>
      <c r="R280" s="18"/>
      <c r="S280" s="52"/>
      <c r="T280" s="22"/>
    </row>
    <row r="281">
      <c r="A281" s="23" t="s">
        <v>2328</v>
      </c>
      <c r="B281" s="40" t="s">
        <v>2329</v>
      </c>
      <c r="C281" s="41">
        <v>45312.0</v>
      </c>
      <c r="D281" s="40" t="s">
        <v>2330</v>
      </c>
      <c r="E281" s="42" t="s">
        <v>2331</v>
      </c>
      <c r="F281" s="43" t="s">
        <v>2332</v>
      </c>
      <c r="G281" s="43" t="s">
        <v>2333</v>
      </c>
      <c r="H281" s="47" t="s">
        <v>130</v>
      </c>
      <c r="I281" s="25" t="str">
        <f>IFERROR(__xludf.DUMMYFUNCTION("GOOGLETRANSLATE(H281,""EN"",""ES"")"),"Sostenibilidad")</f>
        <v>Sostenibilidad</v>
      </c>
      <c r="J281" s="26" t="s">
        <v>35</v>
      </c>
      <c r="K281" s="48">
        <v>0.7</v>
      </c>
      <c r="L281" s="49" t="s">
        <v>2334</v>
      </c>
      <c r="M281" s="28" t="s">
        <v>2335</v>
      </c>
      <c r="N281" s="47" t="s">
        <v>2336</v>
      </c>
      <c r="O281" s="47" t="str">
        <f>IFERROR(__xludf.DUMMYFUNCTION("GOOGLETRANSLATE(N281,""EN"",""ES"")"),"La inversión en energía solar a gran escala potencia la estrategia de energía verde de Repsol.")</f>
        <v>La inversión en energía solar a gran escala potencia la estrategia de energía verde de Repsol.</v>
      </c>
      <c r="P281" s="30">
        <v>0.6</v>
      </c>
      <c r="Q281" s="31" t="str">
        <f>IFERROR(__xludf.DUMMYFUNCTION("GOOGLETRANSLATE(R281,""ES"",""EN"")"),"solar project, jobs")</f>
        <v>solar project, jobs</v>
      </c>
      <c r="R281" s="28" t="s">
        <v>2337</v>
      </c>
      <c r="S281" s="53" t="s">
        <v>1765</v>
      </c>
      <c r="T281" s="32" t="s">
        <v>1766</v>
      </c>
    </row>
    <row r="282">
      <c r="A282" s="33" t="s">
        <v>2338</v>
      </c>
      <c r="B282" s="40" t="s">
        <v>1577</v>
      </c>
      <c r="C282" s="41">
        <v>45312.0</v>
      </c>
      <c r="D282" s="40" t="s">
        <v>2339</v>
      </c>
      <c r="E282" s="42" t="s">
        <v>2340</v>
      </c>
      <c r="F282" s="43" t="s">
        <v>2341</v>
      </c>
      <c r="G282" s="43" t="s">
        <v>2342</v>
      </c>
      <c r="H282" s="44" t="s">
        <v>130</v>
      </c>
      <c r="I282" s="15" t="str">
        <f>IFERROR(__xludf.DUMMYFUNCTION("GOOGLETRANSLATE(H282,""EN"",""ES"")"),"Sostenibilidad")</f>
        <v>Sostenibilidad</v>
      </c>
      <c r="J282" s="16" t="s">
        <v>35</v>
      </c>
      <c r="K282" s="48">
        <v>0.7</v>
      </c>
      <c r="L282" s="51" t="s">
        <v>2343</v>
      </c>
      <c r="M282" s="34" t="s">
        <v>2344</v>
      </c>
      <c r="N282" s="44" t="s">
        <v>2345</v>
      </c>
      <c r="O282" s="44" t="str">
        <f>IFERROR(__xludf.DUMMYFUNCTION("GOOGLETRANSLATE(N282,""EN"",""ES"")"),"La ampliación de la infraestructura de combustibles renovables refuerza la estrategia de sostenibilidad de Repsol.")</f>
        <v>La ampliación de la infraestructura de combustibles renovables refuerza la estrategia de sostenibilidad de Repsol.</v>
      </c>
      <c r="P282" s="30">
        <v>0.8</v>
      </c>
      <c r="Q282" s="18" t="str">
        <f>IFERROR(__xludf.DUMMYFUNCTION("GOOGLETRANSLATE(R282,""ES"",""EN"")"),"renewable fuels, pilot project")</f>
        <v>renewable fuels, pilot project</v>
      </c>
      <c r="R282" s="34" t="s">
        <v>2344</v>
      </c>
      <c r="S282" s="52" t="s">
        <v>1765</v>
      </c>
      <c r="T282" s="22" t="s">
        <v>1766</v>
      </c>
    </row>
    <row r="283">
      <c r="A283" s="23" t="s">
        <v>2346</v>
      </c>
      <c r="B283" s="40" t="s">
        <v>431</v>
      </c>
      <c r="C283" s="41">
        <v>45312.0</v>
      </c>
      <c r="D283" s="40" t="s">
        <v>2347</v>
      </c>
      <c r="E283" s="42" t="s">
        <v>2348</v>
      </c>
      <c r="F283" s="43" t="s">
        <v>2349</v>
      </c>
      <c r="G283" s="43" t="s">
        <v>2350</v>
      </c>
      <c r="H283" s="47" t="s">
        <v>55</v>
      </c>
      <c r="I283" s="25" t="str">
        <f>IFERROR(__xludf.DUMMYFUNCTION("GOOGLETRANSLATE(H283,""EN"",""ES"")"),"deportes de motor")</f>
        <v>deportes de motor</v>
      </c>
      <c r="J283" s="26" t="s">
        <v>27</v>
      </c>
      <c r="K283" s="17">
        <v>0.0</v>
      </c>
      <c r="L283" s="54"/>
      <c r="M283" s="31"/>
      <c r="N283" s="47"/>
      <c r="O283" s="47"/>
      <c r="P283" s="20">
        <v>0.0</v>
      </c>
      <c r="Q283" s="31"/>
      <c r="R283" s="31"/>
      <c r="S283" s="53"/>
      <c r="T283" s="32"/>
    </row>
    <row r="284">
      <c r="A284" s="33" t="s">
        <v>2351</v>
      </c>
      <c r="B284" s="40" t="s">
        <v>2352</v>
      </c>
      <c r="C284" s="41">
        <v>45312.0</v>
      </c>
      <c r="D284" s="40" t="s">
        <v>2353</v>
      </c>
      <c r="E284" s="42" t="s">
        <v>2354</v>
      </c>
      <c r="F284" s="43" t="s">
        <v>2355</v>
      </c>
      <c r="G284" s="43" t="s">
        <v>2356</v>
      </c>
      <c r="H284" s="44" t="s">
        <v>408</v>
      </c>
      <c r="I284" s="15" t="str">
        <f>IFERROR(__xludf.DUMMYFUNCTION("GOOGLETRANSLATE(H284,""EN"",""ES"")"),"Legal")</f>
        <v>Legal</v>
      </c>
      <c r="J284" s="16" t="s">
        <v>35</v>
      </c>
      <c r="K284" s="48">
        <v>-0.8</v>
      </c>
      <c r="L284" s="51" t="s">
        <v>2357</v>
      </c>
      <c r="M284" s="34" t="s">
        <v>2358</v>
      </c>
      <c r="N284" s="44" t="s">
        <v>2359</v>
      </c>
      <c r="O284" s="44" t="str">
        <f>IFERROR(__xludf.DUMMYFUNCTION("GOOGLETRANSLATE(N284,""EN"",""ES"")"),"Las multas impagas relacionadas con el derrame de petróleo refuerzan el sentimiento negativo hacia Repsol.")</f>
        <v>Las multas impagas relacionadas con el derrame de petróleo refuerzan el sentimiento negativo hacia Repsol.</v>
      </c>
      <c r="P284" s="30">
        <v>-0.9</v>
      </c>
      <c r="Q284" s="18" t="str">
        <f>IFERROR(__xludf.DUMMYFUNCTION("GOOGLETRANSLATE(R284,""ES"",""EN"")"),"unpaid fines, oil spill")</f>
        <v>unpaid fines, oil spill</v>
      </c>
      <c r="R284" s="34" t="s">
        <v>2360</v>
      </c>
      <c r="S284" s="52" t="s">
        <v>2361</v>
      </c>
      <c r="T284" s="22" t="s">
        <v>2362</v>
      </c>
    </row>
    <row r="285">
      <c r="A285" s="23" t="s">
        <v>2363</v>
      </c>
      <c r="B285" s="40" t="s">
        <v>2364</v>
      </c>
      <c r="C285" s="41">
        <v>45312.0</v>
      </c>
      <c r="D285" s="40" t="s">
        <v>2189</v>
      </c>
      <c r="E285" s="42" t="s">
        <v>2365</v>
      </c>
      <c r="F285" s="43" t="s">
        <v>2191</v>
      </c>
      <c r="G285" s="43" t="s">
        <v>2366</v>
      </c>
      <c r="H285" s="47" t="s">
        <v>55</v>
      </c>
      <c r="I285" s="25" t="str">
        <f>IFERROR(__xludf.DUMMYFUNCTION("GOOGLETRANSLATE(H285,""EN"",""ES"")"),"deportes de motor")</f>
        <v>deportes de motor</v>
      </c>
      <c r="J285" s="26" t="s">
        <v>27</v>
      </c>
      <c r="K285" s="17">
        <v>0.0</v>
      </c>
      <c r="L285" s="54"/>
      <c r="M285" s="31"/>
      <c r="N285" s="47"/>
      <c r="O285" s="47"/>
      <c r="P285" s="20">
        <v>0.0</v>
      </c>
      <c r="Q285" s="31"/>
      <c r="R285" s="31"/>
      <c r="S285" s="53"/>
      <c r="T285" s="32"/>
    </row>
    <row r="286">
      <c r="A286" s="33" t="s">
        <v>2367</v>
      </c>
      <c r="B286" s="40" t="s">
        <v>50</v>
      </c>
      <c r="C286" s="41">
        <v>45312.0</v>
      </c>
      <c r="D286" s="40" t="s">
        <v>2368</v>
      </c>
      <c r="E286" s="42" t="s">
        <v>2369</v>
      </c>
      <c r="F286" s="43" t="s">
        <v>2370</v>
      </c>
      <c r="G286" s="43" t="s">
        <v>2371</v>
      </c>
      <c r="H286" s="44" t="s">
        <v>55</v>
      </c>
      <c r="I286" s="15" t="str">
        <f>IFERROR(__xludf.DUMMYFUNCTION("GOOGLETRANSLATE(H286,""EN"",""ES"")"),"deportes de motor")</f>
        <v>deportes de motor</v>
      </c>
      <c r="J286" s="16" t="s">
        <v>27</v>
      </c>
      <c r="K286" s="17">
        <v>0.0</v>
      </c>
      <c r="L286" s="45"/>
      <c r="M286" s="18"/>
      <c r="N286" s="44"/>
      <c r="O286" s="44"/>
      <c r="P286" s="20">
        <v>0.0</v>
      </c>
      <c r="Q286" s="18"/>
      <c r="R286" s="18"/>
      <c r="S286" s="52"/>
      <c r="T286" s="22"/>
    </row>
    <row r="287">
      <c r="A287" s="23" t="s">
        <v>2372</v>
      </c>
      <c r="B287" s="40" t="s">
        <v>260</v>
      </c>
      <c r="C287" s="41">
        <v>45312.0</v>
      </c>
      <c r="D287" s="40" t="s">
        <v>2373</v>
      </c>
      <c r="E287" s="42" t="s">
        <v>2374</v>
      </c>
      <c r="F287" s="43" t="s">
        <v>2375</v>
      </c>
      <c r="G287" s="43" t="s">
        <v>2376</v>
      </c>
      <c r="H287" s="47" t="s">
        <v>1975</v>
      </c>
      <c r="I287" s="25" t="str">
        <f>IFERROR(__xludf.DUMMYFUNCTION("GOOGLETRANSLATE(H287,""EN"",""ES"")"),"Política")</f>
        <v>Política</v>
      </c>
      <c r="J287" s="26" t="s">
        <v>27</v>
      </c>
      <c r="K287" s="17">
        <v>0.0</v>
      </c>
      <c r="L287" s="54"/>
      <c r="M287" s="31"/>
      <c r="N287" s="47"/>
      <c r="O287" s="47"/>
      <c r="P287" s="20">
        <v>0.0</v>
      </c>
      <c r="Q287" s="31"/>
      <c r="R287" s="31"/>
      <c r="S287" s="53"/>
      <c r="T287" s="32"/>
    </row>
    <row r="288">
      <c r="A288" s="33" t="s">
        <v>2377</v>
      </c>
      <c r="B288" s="40" t="s">
        <v>2378</v>
      </c>
      <c r="C288" s="41">
        <v>45312.0</v>
      </c>
      <c r="D288" s="40" t="s">
        <v>2379</v>
      </c>
      <c r="E288" s="42" t="s">
        <v>2380</v>
      </c>
      <c r="F288" s="43" t="s">
        <v>2381</v>
      </c>
      <c r="G288" s="43" t="s">
        <v>2382</v>
      </c>
      <c r="H288" s="44" t="s">
        <v>148</v>
      </c>
      <c r="I288" s="15" t="str">
        <f>IFERROR(__xludf.DUMMYFUNCTION("GOOGLETRANSLATE(H288,""EN"",""ES"")"),"Gastronomía")</f>
        <v>Gastronomía</v>
      </c>
      <c r="J288" s="16" t="s">
        <v>27</v>
      </c>
      <c r="K288" s="17">
        <v>0.0</v>
      </c>
      <c r="L288" s="45"/>
      <c r="M288" s="18"/>
      <c r="N288" s="44"/>
      <c r="O288" s="44"/>
      <c r="P288" s="20">
        <v>0.0</v>
      </c>
      <c r="Q288" s="18"/>
      <c r="R288" s="18"/>
      <c r="S288" s="52"/>
      <c r="T288" s="22"/>
    </row>
    <row r="289">
      <c r="A289" s="23" t="s">
        <v>2383</v>
      </c>
      <c r="B289" s="40" t="s">
        <v>2384</v>
      </c>
      <c r="C289" s="41">
        <v>45312.0</v>
      </c>
      <c r="D289" s="40" t="s">
        <v>2385</v>
      </c>
      <c r="E289" s="42" t="s">
        <v>2386</v>
      </c>
      <c r="F289" s="43" t="s">
        <v>2387</v>
      </c>
      <c r="G289" s="43" t="s">
        <v>2388</v>
      </c>
      <c r="H289" s="47" t="s">
        <v>2389</v>
      </c>
      <c r="I289" s="25" t="str">
        <f>IFERROR(__xludf.DUMMYFUNCTION("GOOGLETRANSLATE(H289,""EN"",""ES"")"),"Mercado de trabajo")</f>
        <v>Mercado de trabajo</v>
      </c>
      <c r="J289" s="26" t="s">
        <v>27</v>
      </c>
      <c r="K289" s="17">
        <v>0.0</v>
      </c>
      <c r="L289" s="54"/>
      <c r="M289" s="31"/>
      <c r="N289" s="47"/>
      <c r="O289" s="47"/>
      <c r="P289" s="20">
        <v>0.0</v>
      </c>
      <c r="Q289" s="31"/>
      <c r="R289" s="31"/>
      <c r="S289" s="53"/>
      <c r="T289" s="32"/>
    </row>
    <row r="290">
      <c r="A290" s="33" t="s">
        <v>2390</v>
      </c>
      <c r="B290" s="40" t="s">
        <v>85</v>
      </c>
      <c r="C290" s="41">
        <v>45313.0</v>
      </c>
      <c r="D290" s="40" t="s">
        <v>2391</v>
      </c>
      <c r="E290" s="42" t="s">
        <v>2392</v>
      </c>
      <c r="F290" s="43" t="s">
        <v>2393</v>
      </c>
      <c r="G290" s="43" t="s">
        <v>2394</v>
      </c>
      <c r="H290" s="44" t="s">
        <v>130</v>
      </c>
      <c r="I290" s="15" t="str">
        <f>IFERROR(__xludf.DUMMYFUNCTION("GOOGLETRANSLATE(H290,""EN"",""ES"")"),"Sostenibilidad")</f>
        <v>Sostenibilidad</v>
      </c>
      <c r="J290" s="16" t="s">
        <v>35</v>
      </c>
      <c r="K290" s="48">
        <v>0.7</v>
      </c>
      <c r="L290" s="51" t="s">
        <v>2395</v>
      </c>
      <c r="M290" s="34" t="s">
        <v>2396</v>
      </c>
      <c r="N290" s="44" t="s">
        <v>2397</v>
      </c>
      <c r="O290" s="44" t="str">
        <f>IFERROR(__xludf.DUMMYFUNCTION("GOOGLETRANSLATE(N290,""EN"",""ES"")"),"La colaboración en iniciativas de sostenibilidad refuerza el compromiso de Repsol con la reducción de emisiones.")</f>
        <v>La colaboración en iniciativas de sostenibilidad refuerza el compromiso de Repsol con la reducción de emisiones.</v>
      </c>
      <c r="P290" s="30">
        <v>0.7</v>
      </c>
      <c r="Q290" s="18" t="str">
        <f>IFERROR(__xludf.DUMMYFUNCTION("GOOGLETRANSLATE(R290,""ES"",""EN"")"),"sustainable energy models")</f>
        <v>sustainable energy models</v>
      </c>
      <c r="R290" s="34" t="s">
        <v>2398</v>
      </c>
      <c r="S290" s="52" t="s">
        <v>2399</v>
      </c>
      <c r="T290" s="22" t="s">
        <v>2400</v>
      </c>
    </row>
    <row r="291">
      <c r="A291" s="23" t="s">
        <v>2401</v>
      </c>
      <c r="B291" s="40" t="s">
        <v>217</v>
      </c>
      <c r="C291" s="41">
        <v>45313.0</v>
      </c>
      <c r="D291" s="40" t="s">
        <v>2402</v>
      </c>
      <c r="E291" s="42" t="s">
        <v>2403</v>
      </c>
      <c r="F291" s="43" t="s">
        <v>2404</v>
      </c>
      <c r="G291" s="43" t="s">
        <v>2405</v>
      </c>
      <c r="H291" s="47" t="s">
        <v>130</v>
      </c>
      <c r="I291" s="25" t="str">
        <f>IFERROR(__xludf.DUMMYFUNCTION("GOOGLETRANSLATE(H291,""EN"",""ES"")"),"Sostenibilidad")</f>
        <v>Sostenibilidad</v>
      </c>
      <c r="J291" s="26" t="s">
        <v>35</v>
      </c>
      <c r="K291" s="48">
        <v>0.7</v>
      </c>
      <c r="L291" s="49" t="s">
        <v>2406</v>
      </c>
      <c r="M291" s="28" t="s">
        <v>2407</v>
      </c>
      <c r="N291" s="47" t="s">
        <v>2408</v>
      </c>
      <c r="O291" s="47" t="str">
        <f>IFERROR(__xludf.DUMMYFUNCTION("GOOGLETRANSLATE(N291,""EN"",""ES"")"),"La inversión en biocombustibles para la aviación refuerza el liderazgo energético verde de Repsol.")</f>
        <v>La inversión en biocombustibles para la aviación refuerza el liderazgo energético verde de Repsol.</v>
      </c>
      <c r="P291" s="30">
        <v>0.8</v>
      </c>
      <c r="Q291" s="31" t="str">
        <f>IFERROR(__xludf.DUMMYFUNCTION("GOOGLETRANSLATE(R291,""ES"",""EN"")"),"sustainable fuels, firefighting helicopters")</f>
        <v>sustainable fuels, firefighting helicopters</v>
      </c>
      <c r="R291" s="28" t="s">
        <v>2409</v>
      </c>
      <c r="S291" s="53" t="s">
        <v>1765</v>
      </c>
      <c r="T291" s="32" t="s">
        <v>1766</v>
      </c>
    </row>
    <row r="292">
      <c r="A292" s="33" t="s">
        <v>2410</v>
      </c>
      <c r="B292" s="40" t="s">
        <v>163</v>
      </c>
      <c r="C292" s="41">
        <v>45313.0</v>
      </c>
      <c r="D292" s="40" t="s">
        <v>2411</v>
      </c>
      <c r="E292" s="42" t="s">
        <v>2412</v>
      </c>
      <c r="F292" s="43" t="s">
        <v>2413</v>
      </c>
      <c r="G292" s="43" t="s">
        <v>2414</v>
      </c>
      <c r="H292" s="44" t="s">
        <v>62</v>
      </c>
      <c r="I292" s="15" t="str">
        <f>IFERROR(__xludf.DUMMYFUNCTION("GOOGLETRANSLATE(H292,""EN"",""ES"")"),"Energía")</f>
        <v>Energía</v>
      </c>
      <c r="J292" s="16" t="s">
        <v>35</v>
      </c>
      <c r="K292" s="48">
        <v>0.0</v>
      </c>
      <c r="L292" s="45"/>
      <c r="M292" s="18"/>
      <c r="N292" s="44" t="s">
        <v>2415</v>
      </c>
      <c r="O292" s="44" t="str">
        <f>IFERROR(__xludf.DUMMYFUNCTION("GOOGLETRANSLATE(N292,""EN"",""ES"")"),"La reanudación de la producción de petróleo en Libia no impacta directamente a Repsol.")</f>
        <v>La reanudación de la producción de petróleo en Libia no impacta directamente a Repsol.</v>
      </c>
      <c r="P292" s="30">
        <v>0.0</v>
      </c>
      <c r="Q292" s="18"/>
      <c r="R292" s="18"/>
      <c r="S292" s="52" t="s">
        <v>469</v>
      </c>
      <c r="T292" s="22" t="s">
        <v>470</v>
      </c>
    </row>
    <row r="293">
      <c r="A293" s="23" t="s">
        <v>2416</v>
      </c>
      <c r="B293" s="40" t="s">
        <v>2417</v>
      </c>
      <c r="C293" s="41">
        <v>45313.0</v>
      </c>
      <c r="D293" s="40" t="s">
        <v>2418</v>
      </c>
      <c r="E293" s="42" t="s">
        <v>2419</v>
      </c>
      <c r="F293" s="43" t="s">
        <v>2420</v>
      </c>
      <c r="G293" s="43" t="s">
        <v>2421</v>
      </c>
      <c r="H293" s="47" t="s">
        <v>130</v>
      </c>
      <c r="I293" s="25" t="str">
        <f>IFERROR(__xludf.DUMMYFUNCTION("GOOGLETRANSLATE(H293,""EN"",""ES"")"),"Sostenibilidad")</f>
        <v>Sostenibilidad</v>
      </c>
      <c r="J293" s="26" t="s">
        <v>35</v>
      </c>
      <c r="K293" s="48">
        <v>0.7</v>
      </c>
      <c r="L293" s="49" t="s">
        <v>2422</v>
      </c>
      <c r="M293" s="28" t="s">
        <v>2423</v>
      </c>
      <c r="N293" s="47" t="s">
        <v>2424</v>
      </c>
      <c r="O293" s="47" t="str">
        <f>IFERROR(__xludf.DUMMYFUNCTION("GOOGLETRANSLATE(N293,""EN"",""ES"")"),"La colaboración en biocombustibles respalda la estrategia de sostenibilidad de Repsol en la aviación.")</f>
        <v>La colaboración en biocombustibles respalda la estrategia de sostenibilidad de Repsol en la aviación.</v>
      </c>
      <c r="P293" s="30">
        <v>0.8</v>
      </c>
      <c r="Q293" s="31" t="str">
        <f>IFERROR(__xludf.DUMMYFUNCTION("GOOGLETRANSLATE(R293,""ES"",""EN"")"),"sustainable fuels, firefighting helicopters")</f>
        <v>sustainable fuels, firefighting helicopters</v>
      </c>
      <c r="R293" s="28" t="s">
        <v>2425</v>
      </c>
      <c r="S293" s="53" t="s">
        <v>1765</v>
      </c>
      <c r="T293" s="32" t="s">
        <v>1766</v>
      </c>
    </row>
    <row r="294">
      <c r="A294" s="33" t="s">
        <v>2426</v>
      </c>
      <c r="B294" s="40" t="s">
        <v>163</v>
      </c>
      <c r="C294" s="41">
        <v>45313.0</v>
      </c>
      <c r="D294" s="40" t="s">
        <v>2427</v>
      </c>
      <c r="E294" s="42" t="s">
        <v>2340</v>
      </c>
      <c r="F294" s="43" t="s">
        <v>2428</v>
      </c>
      <c r="G294" s="43" t="s">
        <v>2342</v>
      </c>
      <c r="H294" s="44" t="s">
        <v>130</v>
      </c>
      <c r="I294" s="15" t="str">
        <f>IFERROR(__xludf.DUMMYFUNCTION("GOOGLETRANSLATE(H294,""EN"",""ES"")"),"Sostenibilidad")</f>
        <v>Sostenibilidad</v>
      </c>
      <c r="J294" s="16" t="s">
        <v>35</v>
      </c>
      <c r="K294" s="48">
        <v>0.7</v>
      </c>
      <c r="L294" s="51" t="s">
        <v>1965</v>
      </c>
      <c r="M294" s="34" t="s">
        <v>1966</v>
      </c>
      <c r="N294" s="44" t="s">
        <v>2429</v>
      </c>
      <c r="O294" s="44" t="str">
        <f>IFERROR(__xludf.DUMMYFUNCTION("GOOGLETRANSLATE(N294,""EN"",""ES"")"),"Ofrecer alternativas al vehículo eléctrico refuerza la posición de Repsol en energías verdes.")</f>
        <v>Ofrecer alternativas al vehículo eléctrico refuerza la posición de Repsol en energías verdes.</v>
      </c>
      <c r="P294" s="30">
        <v>0.8</v>
      </c>
      <c r="Q294" s="18" t="str">
        <f>IFERROR(__xludf.DUMMYFUNCTION("GOOGLETRANSLATE(R294,""ES"",""EN"")"),"renewable fuels, pilot project")</f>
        <v>renewable fuels, pilot project</v>
      </c>
      <c r="R294" s="34" t="s">
        <v>2344</v>
      </c>
      <c r="S294" s="52" t="s">
        <v>1765</v>
      </c>
      <c r="T294" s="22" t="s">
        <v>1766</v>
      </c>
    </row>
    <row r="295">
      <c r="A295" s="23" t="s">
        <v>2430</v>
      </c>
      <c r="B295" s="40" t="s">
        <v>403</v>
      </c>
      <c r="C295" s="41">
        <v>45313.0</v>
      </c>
      <c r="D295" s="40" t="s">
        <v>2431</v>
      </c>
      <c r="E295" s="42" t="s">
        <v>2432</v>
      </c>
      <c r="F295" s="43" t="s">
        <v>2433</v>
      </c>
      <c r="G295" s="43" t="s">
        <v>2434</v>
      </c>
      <c r="H295" s="47" t="s">
        <v>598</v>
      </c>
      <c r="I295" s="25" t="str">
        <f>IFERROR(__xludf.DUMMYFUNCTION("GOOGLETRANSLATE(H295,""EN"",""ES"")"),"Expansión empresarial")</f>
        <v>Expansión empresarial</v>
      </c>
      <c r="J295" s="26" t="s">
        <v>35</v>
      </c>
      <c r="K295" s="48">
        <v>0.6</v>
      </c>
      <c r="L295" s="49" t="s">
        <v>2435</v>
      </c>
      <c r="M295" s="28" t="s">
        <v>2436</v>
      </c>
      <c r="N295" s="47" t="s">
        <v>2437</v>
      </c>
      <c r="O295" s="47" t="str">
        <f>IFERROR(__xludf.DUMMYFUNCTION("GOOGLETRANSLATE(N295,""EN"",""ES"")"),"La inversión de Repsol en el sector eléctrico potencia su estrategia de diversificación.")</f>
        <v>La inversión de Repsol en el sector eléctrico potencia su estrategia de diversificación.</v>
      </c>
      <c r="P295" s="30">
        <v>0.7</v>
      </c>
      <c r="Q295" s="31" t="str">
        <f>IFERROR(__xludf.DUMMYFUNCTION("GOOGLETRANSLATE(R295,""ES"",""EN"")"),"Gain Energy, vein")</f>
        <v>Gain Energy, vein</v>
      </c>
      <c r="R295" s="28" t="s">
        <v>2438</v>
      </c>
      <c r="S295" s="53" t="s">
        <v>2439</v>
      </c>
      <c r="T295" s="32" t="s">
        <v>2440</v>
      </c>
    </row>
    <row r="296">
      <c r="A296" s="33" t="s">
        <v>2441</v>
      </c>
      <c r="B296" s="40" t="s">
        <v>2442</v>
      </c>
      <c r="C296" s="41">
        <v>45313.0</v>
      </c>
      <c r="D296" s="40" t="s">
        <v>2443</v>
      </c>
      <c r="E296" s="42" t="s">
        <v>2444</v>
      </c>
      <c r="F296" s="43" t="s">
        <v>2445</v>
      </c>
      <c r="G296" s="43" t="s">
        <v>2446</v>
      </c>
      <c r="H296" s="44" t="s">
        <v>2447</v>
      </c>
      <c r="I296" s="15" t="str">
        <f>IFERROR(__xludf.DUMMYFUNCTION("GOOGLETRANSLATE(H296,""EN"",""ES"")"),"Asuntos del Consumidor")</f>
        <v>Asuntos del Consumidor</v>
      </c>
      <c r="J296" s="16" t="s">
        <v>27</v>
      </c>
      <c r="K296" s="17">
        <v>0.0</v>
      </c>
      <c r="L296" s="45"/>
      <c r="M296" s="18"/>
      <c r="N296" s="44"/>
      <c r="O296" s="44"/>
      <c r="P296" s="20">
        <v>0.0</v>
      </c>
      <c r="Q296" s="18"/>
      <c r="R296" s="18"/>
      <c r="S296" s="52"/>
      <c r="T296" s="22"/>
    </row>
    <row r="297">
      <c r="A297" s="23" t="s">
        <v>2448</v>
      </c>
      <c r="B297" s="40" t="s">
        <v>2449</v>
      </c>
      <c r="C297" s="41">
        <v>45313.0</v>
      </c>
      <c r="D297" s="40" t="s">
        <v>2450</v>
      </c>
      <c r="E297" s="42" t="s">
        <v>2451</v>
      </c>
      <c r="F297" s="43" t="s">
        <v>2452</v>
      </c>
      <c r="G297" s="43" t="s">
        <v>2453</v>
      </c>
      <c r="H297" s="47" t="s">
        <v>969</v>
      </c>
      <c r="I297" s="25" t="str">
        <f>IFERROR(__xludf.DUMMYFUNCTION("GOOGLETRANSLATE(H297,""EN"",""ES"")"),"Turismo")</f>
        <v>Turismo</v>
      </c>
      <c r="J297" s="26" t="s">
        <v>27</v>
      </c>
      <c r="K297" s="17">
        <v>0.0</v>
      </c>
      <c r="L297" s="54"/>
      <c r="M297" s="31"/>
      <c r="N297" s="47"/>
      <c r="O297" s="47"/>
      <c r="P297" s="20">
        <v>0.0</v>
      </c>
      <c r="Q297" s="31"/>
      <c r="R297" s="31"/>
      <c r="S297" s="53"/>
      <c r="T297" s="32"/>
    </row>
    <row r="298">
      <c r="A298" s="33" t="s">
        <v>2454</v>
      </c>
      <c r="B298" s="40" t="s">
        <v>21</v>
      </c>
      <c r="C298" s="41">
        <v>45313.0</v>
      </c>
      <c r="D298" s="40" t="s">
        <v>2455</v>
      </c>
      <c r="E298" s="42" t="s">
        <v>2456</v>
      </c>
      <c r="F298" s="43" t="s">
        <v>2457</v>
      </c>
      <c r="G298" s="43" t="s">
        <v>2458</v>
      </c>
      <c r="H298" s="44" t="s">
        <v>969</v>
      </c>
      <c r="I298" s="15" t="str">
        <f>IFERROR(__xludf.DUMMYFUNCTION("GOOGLETRANSLATE(H298,""EN"",""ES"")"),"Turismo")</f>
        <v>Turismo</v>
      </c>
      <c r="J298" s="16" t="s">
        <v>27</v>
      </c>
      <c r="K298" s="17">
        <v>0.0</v>
      </c>
      <c r="L298" s="45"/>
      <c r="M298" s="18"/>
      <c r="N298" s="44"/>
      <c r="O298" s="44"/>
      <c r="P298" s="20">
        <v>0.0</v>
      </c>
      <c r="Q298" s="18"/>
      <c r="R298" s="18"/>
      <c r="S298" s="52"/>
      <c r="T298" s="22"/>
    </row>
    <row r="299">
      <c r="A299" s="23" t="s">
        <v>2459</v>
      </c>
      <c r="B299" s="40" t="s">
        <v>163</v>
      </c>
      <c r="C299" s="41">
        <v>45313.0</v>
      </c>
      <c r="D299" s="40" t="s">
        <v>2460</v>
      </c>
      <c r="E299" s="42" t="s">
        <v>2461</v>
      </c>
      <c r="F299" s="43" t="s">
        <v>2462</v>
      </c>
      <c r="G299" s="43" t="s">
        <v>2463</v>
      </c>
      <c r="H299" s="47" t="s">
        <v>2464</v>
      </c>
      <c r="I299" s="25" t="str">
        <f>IFERROR(__xludf.DUMMYFUNCTION("GOOGLETRANSLATE(H299,""EN"",""ES"")"),"Seguro")</f>
        <v>Seguro</v>
      </c>
      <c r="J299" s="26" t="s">
        <v>27</v>
      </c>
      <c r="K299" s="17">
        <v>0.0</v>
      </c>
      <c r="L299" s="54"/>
      <c r="M299" s="31"/>
      <c r="N299" s="47"/>
      <c r="O299" s="47"/>
      <c r="P299" s="20">
        <v>0.0</v>
      </c>
      <c r="Q299" s="31"/>
      <c r="R299" s="31"/>
      <c r="S299" s="53"/>
      <c r="T299" s="32"/>
    </row>
    <row r="300">
      <c r="A300" s="33" t="s">
        <v>2465</v>
      </c>
      <c r="B300" s="40" t="s">
        <v>85</v>
      </c>
      <c r="C300" s="41">
        <v>45313.0</v>
      </c>
      <c r="D300" s="40" t="s">
        <v>2466</v>
      </c>
      <c r="E300" s="42" t="s">
        <v>2467</v>
      </c>
      <c r="F300" s="43" t="s">
        <v>2468</v>
      </c>
      <c r="G300" s="43" t="s">
        <v>2469</v>
      </c>
      <c r="H300" s="44" t="s">
        <v>130</v>
      </c>
      <c r="I300" s="15" t="str">
        <f>IFERROR(__xludf.DUMMYFUNCTION("GOOGLETRANSLATE(H300,""EN"",""ES"")"),"Sostenibilidad")</f>
        <v>Sostenibilidad</v>
      </c>
      <c r="J300" s="16" t="s">
        <v>35</v>
      </c>
      <c r="K300" s="48">
        <v>0.7</v>
      </c>
      <c r="L300" s="51" t="s">
        <v>2470</v>
      </c>
      <c r="M300" s="34" t="s">
        <v>2471</v>
      </c>
      <c r="N300" s="44" t="s">
        <v>2472</v>
      </c>
      <c r="O300" s="44" t="str">
        <f>IFERROR(__xludf.DUMMYFUNCTION("GOOGLETRANSLATE(N300,""EN"",""ES"")"),"La inversión en infraestructuras de transporte de hidrógeno refuerza la estrategia de transición energética de Repsol.")</f>
        <v>La inversión en infraestructuras de transporte de hidrógeno refuerza la estrategia de transición energética de Repsol.</v>
      </c>
      <c r="P300" s="30">
        <v>0.8</v>
      </c>
      <c r="Q300" s="18" t="str">
        <f>IFERROR(__xludf.DUMMYFUNCTION("GOOGLETRANSLATE(R300,""ES"",""EN"")"),"geothermal, development, aid")</f>
        <v>geothermal, development, aid</v>
      </c>
      <c r="R300" s="34" t="s">
        <v>2473</v>
      </c>
      <c r="S300" s="52" t="s">
        <v>2474</v>
      </c>
      <c r="T300" s="22" t="s">
        <v>2475</v>
      </c>
    </row>
    <row r="301">
      <c r="A301" s="23" t="s">
        <v>2476</v>
      </c>
      <c r="B301" s="40" t="s">
        <v>1831</v>
      </c>
      <c r="C301" s="41">
        <v>45313.0</v>
      </c>
      <c r="D301" s="40" t="s">
        <v>2477</v>
      </c>
      <c r="E301" s="42" t="s">
        <v>2478</v>
      </c>
      <c r="F301" s="43" t="s">
        <v>2479</v>
      </c>
      <c r="G301" s="43" t="s">
        <v>2480</v>
      </c>
      <c r="H301" s="47" t="s">
        <v>130</v>
      </c>
      <c r="I301" s="25" t="str">
        <f>IFERROR(__xludf.DUMMYFUNCTION("GOOGLETRANSLATE(H301,""EN"",""ES"")"),"Sostenibilidad")</f>
        <v>Sostenibilidad</v>
      </c>
      <c r="J301" s="26" t="s">
        <v>35</v>
      </c>
      <c r="K301" s="48">
        <v>0.7</v>
      </c>
      <c r="L301" s="49" t="s">
        <v>2481</v>
      </c>
      <c r="M301" s="28" t="s">
        <v>2482</v>
      </c>
      <c r="N301" s="47" t="s">
        <v>2483</v>
      </c>
      <c r="O301" s="47" t="str">
        <f>IFERROR(__xludf.DUMMYFUNCTION("GOOGLETRANSLATE(N301,""EN"",""ES"")"),"El desarrollo de combustibles cero emisiones posiciona a Repsol como líder en energías alternativas.")</f>
        <v>El desarrollo de combustibles cero emisiones posiciona a Repsol como líder en energías alternativas.</v>
      </c>
      <c r="P301" s="30">
        <v>0.7</v>
      </c>
      <c r="Q301" s="31" t="str">
        <f>IFERROR(__xludf.DUMMYFUNCTION("GOOGLETRANSLATE(R301,""ES"",""EN"")"),"zero emissions fuel, alternative, Repsol")</f>
        <v>zero emissions fuel, alternative, Repsol</v>
      </c>
      <c r="R301" s="28" t="s">
        <v>2484</v>
      </c>
      <c r="S301" s="53" t="s">
        <v>2485</v>
      </c>
      <c r="T301" s="32" t="s">
        <v>2486</v>
      </c>
    </row>
    <row r="302">
      <c r="A302" s="33" t="s">
        <v>2487</v>
      </c>
      <c r="B302" s="40" t="s">
        <v>50</v>
      </c>
      <c r="C302" s="41">
        <v>45313.0</v>
      </c>
      <c r="D302" s="40" t="s">
        <v>2488</v>
      </c>
      <c r="E302" s="42" t="s">
        <v>2489</v>
      </c>
      <c r="F302" s="43" t="s">
        <v>2490</v>
      </c>
      <c r="G302" s="43" t="s">
        <v>2491</v>
      </c>
      <c r="H302" s="44" t="s">
        <v>975</v>
      </c>
      <c r="I302" s="15" t="str">
        <f>IFERROR(__xludf.DUMMYFUNCTION("GOOGLETRANSLATE(H302,""EN"",""ES"")"),"Patrocinio")</f>
        <v>Patrocinio</v>
      </c>
      <c r="J302" s="16" t="s">
        <v>27</v>
      </c>
      <c r="K302" s="17">
        <v>0.0</v>
      </c>
      <c r="L302" s="45"/>
      <c r="M302" s="18"/>
      <c r="N302" s="44"/>
      <c r="O302" s="44"/>
      <c r="P302" s="20">
        <v>0.0</v>
      </c>
      <c r="Q302" s="18"/>
      <c r="R302" s="18"/>
      <c r="S302" s="52"/>
      <c r="T302" s="22"/>
    </row>
    <row r="303">
      <c r="A303" s="23" t="s">
        <v>2492</v>
      </c>
      <c r="B303" s="40" t="s">
        <v>1869</v>
      </c>
      <c r="C303" s="41">
        <v>45313.0</v>
      </c>
      <c r="D303" s="40" t="s">
        <v>2493</v>
      </c>
      <c r="E303" s="42" t="s">
        <v>2494</v>
      </c>
      <c r="F303" s="43" t="s">
        <v>2495</v>
      </c>
      <c r="G303" s="43" t="s">
        <v>2496</v>
      </c>
      <c r="H303" s="47" t="s">
        <v>55</v>
      </c>
      <c r="I303" s="25" t="str">
        <f>IFERROR(__xludf.DUMMYFUNCTION("GOOGLETRANSLATE(H303,""EN"",""ES"")"),"deportes de motor")</f>
        <v>deportes de motor</v>
      </c>
      <c r="J303" s="26" t="s">
        <v>27</v>
      </c>
      <c r="K303" s="17">
        <v>0.0</v>
      </c>
      <c r="L303" s="54"/>
      <c r="M303" s="31"/>
      <c r="N303" s="47"/>
      <c r="O303" s="47"/>
      <c r="P303" s="20">
        <v>0.0</v>
      </c>
      <c r="Q303" s="31"/>
      <c r="R303" s="31"/>
      <c r="S303" s="53"/>
      <c r="T303" s="32"/>
    </row>
    <row r="304">
      <c r="A304" s="33" t="s">
        <v>2497</v>
      </c>
      <c r="B304" s="40" t="s">
        <v>2498</v>
      </c>
      <c r="C304" s="41">
        <v>45313.0</v>
      </c>
      <c r="D304" s="40" t="s">
        <v>2499</v>
      </c>
      <c r="E304" s="42" t="s">
        <v>2500</v>
      </c>
      <c r="F304" s="43" t="s">
        <v>2501</v>
      </c>
      <c r="G304" s="43" t="s">
        <v>2502</v>
      </c>
      <c r="H304" s="44" t="s">
        <v>148</v>
      </c>
      <c r="I304" s="15" t="str">
        <f>IFERROR(__xludf.DUMMYFUNCTION("GOOGLETRANSLATE(H304,""EN"",""ES"")"),"Gastronomía")</f>
        <v>Gastronomía</v>
      </c>
      <c r="J304" s="16" t="s">
        <v>27</v>
      </c>
      <c r="K304" s="17">
        <v>0.0</v>
      </c>
      <c r="L304" s="45"/>
      <c r="M304" s="18"/>
      <c r="N304" s="44"/>
      <c r="O304" s="44"/>
      <c r="P304" s="20">
        <v>0.0</v>
      </c>
      <c r="Q304" s="18"/>
      <c r="R304" s="18"/>
      <c r="S304" s="52"/>
      <c r="T304" s="22"/>
    </row>
    <row r="305">
      <c r="A305" s="23" t="s">
        <v>2503</v>
      </c>
      <c r="B305" s="40" t="s">
        <v>163</v>
      </c>
      <c r="C305" s="41">
        <v>45314.0</v>
      </c>
      <c r="D305" s="40" t="s">
        <v>2504</v>
      </c>
      <c r="E305" s="42" t="s">
        <v>2505</v>
      </c>
      <c r="F305" s="43" t="s">
        <v>2506</v>
      </c>
      <c r="G305" s="43" t="s">
        <v>2507</v>
      </c>
      <c r="H305" s="47" t="s">
        <v>130</v>
      </c>
      <c r="I305" s="25" t="str">
        <f>IFERROR(__xludf.DUMMYFUNCTION("GOOGLETRANSLATE(H305,""EN"",""ES"")"),"Sostenibilidad")</f>
        <v>Sostenibilidad</v>
      </c>
      <c r="J305" s="26" t="s">
        <v>35</v>
      </c>
      <c r="K305" s="48">
        <v>0.7</v>
      </c>
      <c r="L305" s="49" t="s">
        <v>2508</v>
      </c>
      <c r="M305" s="28" t="s">
        <v>2509</v>
      </c>
      <c r="N305" s="47" t="s">
        <v>2510</v>
      </c>
      <c r="O305" s="47" t="str">
        <f>IFERROR(__xludf.DUMMYFUNCTION("GOOGLETRANSLATE(N305,""EN"",""ES"")"),"La ampliación de la producción de hidrógeno refuerza la apuesta de Repsol por las energías verdes.")</f>
        <v>La ampliación de la producción de hidrógeno refuerza la apuesta de Repsol por las energías verdes.</v>
      </c>
      <c r="P305" s="30">
        <v>0.9</v>
      </c>
      <c r="Q305" s="31" t="str">
        <f>IFERROR(__xludf.DUMMYFUNCTION("GOOGLETRANSLATE(R305,""ES"",""EN"")"),"renewable fuel, circular economy, decarbonization")</f>
        <v>renewable fuel, circular economy, decarbonization</v>
      </c>
      <c r="R305" s="28" t="s">
        <v>2511</v>
      </c>
      <c r="S305" s="53" t="s">
        <v>2512</v>
      </c>
      <c r="T305" s="32" t="s">
        <v>2513</v>
      </c>
    </row>
    <row r="306">
      <c r="A306" s="33" t="s">
        <v>2514</v>
      </c>
      <c r="B306" s="40" t="s">
        <v>2515</v>
      </c>
      <c r="C306" s="41">
        <v>45314.0</v>
      </c>
      <c r="D306" s="40" t="s">
        <v>2516</v>
      </c>
      <c r="E306" s="42" t="s">
        <v>2517</v>
      </c>
      <c r="F306" s="43" t="s">
        <v>2518</v>
      </c>
      <c r="G306" s="43" t="s">
        <v>2519</v>
      </c>
      <c r="H306" s="44" t="s">
        <v>130</v>
      </c>
      <c r="I306" s="15" t="str">
        <f>IFERROR(__xludf.DUMMYFUNCTION("GOOGLETRANSLATE(H306,""EN"",""ES"")"),"Sostenibilidad")</f>
        <v>Sostenibilidad</v>
      </c>
      <c r="J306" s="16" t="s">
        <v>35</v>
      </c>
      <c r="K306" s="48">
        <v>0.7</v>
      </c>
      <c r="L306" s="51" t="s">
        <v>2520</v>
      </c>
      <c r="M306" s="34" t="s">
        <v>2521</v>
      </c>
      <c r="N306" s="44" t="s">
        <v>2522</v>
      </c>
      <c r="O306" s="44" t="str">
        <f>IFERROR(__xludf.DUMMYFUNCTION("GOOGLETRANSLATE(N306,""EN"",""ES"")"),"El desarrollo de combustibles libres de petróleo refuerza el liderazgo de Repsol en energía sostenible.")</f>
        <v>El desarrollo de combustibles libres de petróleo refuerza el liderazgo de Repsol en energía sostenible.</v>
      </c>
      <c r="P306" s="30">
        <v>0.9</v>
      </c>
      <c r="Q306" s="18" t="str">
        <f>IFERROR(__xludf.DUMMYFUNCTION("GOOGLETRANSLATE(R306,""ES"",""EN"")"),"renewable gasoline, without petroleum, organic waste")</f>
        <v>renewable gasoline, without petroleum, organic waste</v>
      </c>
      <c r="R306" s="34" t="s">
        <v>2523</v>
      </c>
      <c r="S306" s="52" t="s">
        <v>2524</v>
      </c>
      <c r="T306" s="22" t="s">
        <v>2525</v>
      </c>
    </row>
    <row r="307">
      <c r="A307" s="23" t="s">
        <v>2526</v>
      </c>
      <c r="B307" s="40" t="s">
        <v>2527</v>
      </c>
      <c r="C307" s="41">
        <v>45314.0</v>
      </c>
      <c r="D307" s="40" t="s">
        <v>2528</v>
      </c>
      <c r="E307" s="42" t="s">
        <v>2529</v>
      </c>
      <c r="F307" s="43" t="s">
        <v>2530</v>
      </c>
      <c r="G307" s="43" t="s">
        <v>2531</v>
      </c>
      <c r="H307" s="47" t="s">
        <v>1975</v>
      </c>
      <c r="I307" s="25" t="str">
        <f>IFERROR(__xludf.DUMMYFUNCTION("GOOGLETRANSLATE(H307,""EN"",""ES"")"),"Política")</f>
        <v>Política</v>
      </c>
      <c r="J307" s="26" t="s">
        <v>35</v>
      </c>
      <c r="K307" s="48">
        <v>-0.5</v>
      </c>
      <c r="L307" s="49" t="s">
        <v>2532</v>
      </c>
      <c r="M307" s="28" t="s">
        <v>2533</v>
      </c>
      <c r="N307" s="47" t="s">
        <v>2534</v>
      </c>
      <c r="O307" s="47" t="str">
        <f>IFERROR(__xludf.DUMMYFUNCTION("GOOGLETRANSLATE(N307,""EN"",""ES"")"),"Las tensiones con el gobierno por las transferencias de tierras pueden crear desafíos regulatorios.")</f>
        <v>Las tensiones con el gobierno por las transferencias de tierras pueden crear desafíos regulatorios.</v>
      </c>
      <c r="P307" s="30">
        <v>-0.6</v>
      </c>
      <c r="Q307" s="31" t="str">
        <f>IFERROR(__xludf.DUMMYFUNCTION("GOOGLETRANSLATE(R307,""ES"",""EN"")"),"investments outside Spain, extraordinary tax")</f>
        <v>investments outside Spain, extraordinary tax</v>
      </c>
      <c r="R307" s="28" t="s">
        <v>2535</v>
      </c>
      <c r="S307" s="53" t="s">
        <v>2536</v>
      </c>
      <c r="T307" s="32" t="s">
        <v>2537</v>
      </c>
    </row>
    <row r="308">
      <c r="A308" s="33" t="s">
        <v>2538</v>
      </c>
      <c r="B308" s="40" t="s">
        <v>1568</v>
      </c>
      <c r="C308" s="41">
        <v>45314.0</v>
      </c>
      <c r="D308" s="40" t="s">
        <v>2539</v>
      </c>
      <c r="E308" s="42" t="s">
        <v>2540</v>
      </c>
      <c r="F308" s="43" t="s">
        <v>2541</v>
      </c>
      <c r="G308" s="43" t="s">
        <v>2542</v>
      </c>
      <c r="H308" s="44" t="s">
        <v>130</v>
      </c>
      <c r="I308" s="15" t="str">
        <f>IFERROR(__xludf.DUMMYFUNCTION("GOOGLETRANSLATE(H308,""EN"",""ES"")"),"Sostenibilidad")</f>
        <v>Sostenibilidad</v>
      </c>
      <c r="J308" s="16" t="s">
        <v>35</v>
      </c>
      <c r="K308" s="48">
        <v>0.7</v>
      </c>
      <c r="L308" s="51" t="s">
        <v>2543</v>
      </c>
      <c r="M308" s="34" t="s">
        <v>2544</v>
      </c>
      <c r="N308" s="44" t="s">
        <v>2545</v>
      </c>
      <c r="O308" s="44" t="str">
        <f>IFERROR(__xludf.DUMMYFUNCTION("GOOGLETRANSLATE(N308,""EN"",""ES"")"),"Conseguir financiación europea refuerza la posición de Repsol en la innovación en hidrógeno.")</f>
        <v>Conseguir financiación europea refuerza la posición de Repsol en la innovación en hidrógeno.</v>
      </c>
      <c r="P308" s="30">
        <v>0.8</v>
      </c>
      <c r="Q308" s="18" t="str">
        <f>IFERROR(__xludf.DUMMYFUNCTION("GOOGLETRANSLATE(R308,""ES"",""EN"")"),"hydrogen, renewable energies, European support")</f>
        <v>hydrogen, renewable energies, European support</v>
      </c>
      <c r="R308" s="34" t="s">
        <v>2546</v>
      </c>
      <c r="S308" s="52" t="s">
        <v>2547</v>
      </c>
      <c r="T308" s="22" t="s">
        <v>2548</v>
      </c>
    </row>
    <row r="309">
      <c r="A309" s="23" t="s">
        <v>2549</v>
      </c>
      <c r="B309" s="40" t="s">
        <v>2550</v>
      </c>
      <c r="C309" s="41">
        <v>45314.0</v>
      </c>
      <c r="D309" s="40" t="s">
        <v>2551</v>
      </c>
      <c r="E309" s="42" t="s">
        <v>2552</v>
      </c>
      <c r="F309" s="43" t="s">
        <v>2553</v>
      </c>
      <c r="G309" s="43" t="s">
        <v>2554</v>
      </c>
      <c r="H309" s="47" t="s">
        <v>2555</v>
      </c>
      <c r="I309" s="25" t="str">
        <f>IFERROR(__xludf.DUMMYFUNCTION("GOOGLETRANSLATE(H309,""EN"",""ES"")"),"Asuntos Corporativos")</f>
        <v>Asuntos Corporativos</v>
      </c>
      <c r="J309" s="26" t="s">
        <v>35</v>
      </c>
      <c r="K309" s="48">
        <v>0.0</v>
      </c>
      <c r="L309" s="54"/>
      <c r="M309" s="31"/>
      <c r="N309" s="47" t="s">
        <v>2556</v>
      </c>
      <c r="O309" s="47" t="str">
        <f>IFERROR(__xludf.DUMMYFUNCTION("GOOGLETRANSLATE(N309,""EN"",""ES"")"),"Los cambios corporativos internos no afectan a la percepción del mercado de Repsol.")</f>
        <v>Los cambios corporativos internos no afectan a la percepción del mercado de Repsol.</v>
      </c>
      <c r="P309" s="30">
        <v>0.0</v>
      </c>
      <c r="Q309" s="31"/>
      <c r="R309" s="31"/>
      <c r="S309" s="53" t="s">
        <v>2557</v>
      </c>
      <c r="T309" s="32" t="s">
        <v>2558</v>
      </c>
    </row>
    <row r="310">
      <c r="A310" s="33" t="s">
        <v>2559</v>
      </c>
      <c r="B310" s="40" t="s">
        <v>2560</v>
      </c>
      <c r="C310" s="41">
        <v>45314.0</v>
      </c>
      <c r="D310" s="40" t="s">
        <v>2561</v>
      </c>
      <c r="E310" s="42" t="s">
        <v>2562</v>
      </c>
      <c r="F310" s="43" t="s">
        <v>2563</v>
      </c>
      <c r="G310" s="43" t="s">
        <v>2564</v>
      </c>
      <c r="H310" s="44" t="s">
        <v>130</v>
      </c>
      <c r="I310" s="15" t="str">
        <f>IFERROR(__xludf.DUMMYFUNCTION("GOOGLETRANSLATE(H310,""EN"",""ES"")"),"Sostenibilidad")</f>
        <v>Sostenibilidad</v>
      </c>
      <c r="J310" s="16" t="s">
        <v>35</v>
      </c>
      <c r="K310" s="48">
        <v>0.7</v>
      </c>
      <c r="L310" s="51" t="s">
        <v>2406</v>
      </c>
      <c r="M310" s="34" t="s">
        <v>2407</v>
      </c>
      <c r="N310" s="44" t="s">
        <v>2408</v>
      </c>
      <c r="O310" s="44" t="str">
        <f>IFERROR(__xludf.DUMMYFUNCTION("GOOGLETRANSLATE(N310,""EN"",""ES"")"),"La inversión en biocombustibles para la aviación refuerza el liderazgo energético verde de Repsol.")</f>
        <v>La inversión en biocombustibles para la aviación refuerza el liderazgo energético verde de Repsol.</v>
      </c>
      <c r="P310" s="30">
        <v>0.7</v>
      </c>
      <c r="Q310" s="18" t="str">
        <f>IFERROR(__xludf.DUMMYFUNCTION("GOOGLETRANSLATE(R310,""ES"",""EN"")"),"SAF fuel, collaboration, sustainable")</f>
        <v>SAF fuel, collaboration, sustainable</v>
      </c>
      <c r="R310" s="34" t="s">
        <v>2565</v>
      </c>
      <c r="S310" s="52" t="s">
        <v>2566</v>
      </c>
      <c r="T310" s="22" t="s">
        <v>2567</v>
      </c>
    </row>
    <row r="311">
      <c r="A311" s="23" t="s">
        <v>2568</v>
      </c>
      <c r="B311" s="40" t="s">
        <v>1602</v>
      </c>
      <c r="C311" s="41">
        <v>45314.0</v>
      </c>
      <c r="D311" s="40" t="s">
        <v>2569</v>
      </c>
      <c r="E311" s="42" t="s">
        <v>2570</v>
      </c>
      <c r="F311" s="43" t="s">
        <v>2571</v>
      </c>
      <c r="G311" s="43" t="s">
        <v>2572</v>
      </c>
      <c r="H311" s="47" t="s">
        <v>48</v>
      </c>
      <c r="I311" s="25" t="str">
        <f>IFERROR(__xludf.DUMMYFUNCTION("GOOGLETRANSLATE(H311,""EN"",""ES"")"),"Finanzas")</f>
        <v>Finanzas</v>
      </c>
      <c r="J311" s="26" t="s">
        <v>35</v>
      </c>
      <c r="K311" s="48">
        <v>0.5</v>
      </c>
      <c r="L311" s="49" t="s">
        <v>2573</v>
      </c>
      <c r="M311" s="28" t="s">
        <v>2574</v>
      </c>
      <c r="N311" s="47" t="s">
        <v>2575</v>
      </c>
      <c r="O311" s="47" t="str">
        <f>IFERROR(__xludf.DUMMYFUNCTION("GOOGLETRANSLATE(N311,""EN"",""ES"")"),"Las positivas tendencias bursátiles respaldan la confianza de los inversores en Repsol.")</f>
        <v>Las positivas tendencias bursátiles respaldan la confianza de los inversores en Repsol.</v>
      </c>
      <c r="P311" s="30">
        <v>0.0</v>
      </c>
      <c r="Q311" s="31"/>
      <c r="R311" s="31"/>
      <c r="S311" s="53" t="s">
        <v>2576</v>
      </c>
      <c r="T311" s="32" t="s">
        <v>2577</v>
      </c>
    </row>
    <row r="312">
      <c r="A312" s="33" t="s">
        <v>2578</v>
      </c>
      <c r="B312" s="40" t="s">
        <v>339</v>
      </c>
      <c r="C312" s="41">
        <v>45314.0</v>
      </c>
      <c r="D312" s="40" t="s">
        <v>2579</v>
      </c>
      <c r="E312" s="42" t="s">
        <v>2580</v>
      </c>
      <c r="F312" s="43" t="s">
        <v>2581</v>
      </c>
      <c r="G312" s="43" t="s">
        <v>2582</v>
      </c>
      <c r="H312" s="44" t="s">
        <v>62</v>
      </c>
      <c r="I312" s="15" t="str">
        <f>IFERROR(__xludf.DUMMYFUNCTION("GOOGLETRANSLATE(H312,""EN"",""ES"")"),"Energía")</f>
        <v>Energía</v>
      </c>
      <c r="J312" s="16" t="s">
        <v>35</v>
      </c>
      <c r="K312" s="48">
        <v>0.0</v>
      </c>
      <c r="L312" s="45"/>
      <c r="M312" s="18"/>
      <c r="N312" s="44" t="s">
        <v>2583</v>
      </c>
      <c r="O312" s="44" t="str">
        <f>IFERROR(__xludf.DUMMYFUNCTION("GOOGLETRANSLATE(N312,""EN"",""ES"")"),"La reapertura del campo de Sharara no impacta directamente a Repsol.")</f>
        <v>La reapertura del campo de Sharara no impacta directamente a Repsol.</v>
      </c>
      <c r="P312" s="30">
        <v>0.0</v>
      </c>
      <c r="Q312" s="18"/>
      <c r="R312" s="18"/>
      <c r="S312" s="52" t="s">
        <v>2584</v>
      </c>
      <c r="T312" s="22" t="s">
        <v>2585</v>
      </c>
    </row>
    <row r="313">
      <c r="A313" s="23" t="s">
        <v>2586</v>
      </c>
      <c r="B313" s="40" t="s">
        <v>702</v>
      </c>
      <c r="C313" s="41">
        <v>45314.0</v>
      </c>
      <c r="D313" s="40" t="s">
        <v>2587</v>
      </c>
      <c r="E313" s="42" t="s">
        <v>2588</v>
      </c>
      <c r="F313" s="43" t="s">
        <v>2589</v>
      </c>
      <c r="G313" s="43" t="s">
        <v>2590</v>
      </c>
      <c r="H313" s="47" t="s">
        <v>2591</v>
      </c>
      <c r="I313" s="25" t="str">
        <f>IFERROR(__xludf.DUMMYFUNCTION("GOOGLETRANSLATE(H313,""EN"",""ES"")"),"Negocio")</f>
        <v>Negocio</v>
      </c>
      <c r="J313" s="26" t="s">
        <v>35</v>
      </c>
      <c r="K313" s="48">
        <v>0.0</v>
      </c>
      <c r="L313" s="54"/>
      <c r="M313" s="31"/>
      <c r="N313" s="47" t="s">
        <v>2592</v>
      </c>
      <c r="O313" s="47" t="str">
        <f>IFERROR(__xludf.DUMMYFUNCTION("GOOGLETRANSLATE(N313,""EN"",""ES"")"),"Los cambios de propiedad en otra sociedad no afectan a Repsol.")</f>
        <v>Los cambios de propiedad en otra sociedad no afectan a Repsol.</v>
      </c>
      <c r="P313" s="30">
        <v>0.0</v>
      </c>
      <c r="Q313" s="31"/>
      <c r="R313" s="31"/>
      <c r="S313" s="53" t="s">
        <v>2557</v>
      </c>
      <c r="T313" s="32" t="s">
        <v>2558</v>
      </c>
    </row>
    <row r="314">
      <c r="A314" s="33" t="s">
        <v>2593</v>
      </c>
      <c r="B314" s="40" t="s">
        <v>2594</v>
      </c>
      <c r="C314" s="41">
        <v>45314.0</v>
      </c>
      <c r="D314" s="40" t="s">
        <v>2595</v>
      </c>
      <c r="E314" s="42" t="s">
        <v>2596</v>
      </c>
      <c r="F314" s="43" t="s">
        <v>2597</v>
      </c>
      <c r="G314" s="43" t="s">
        <v>2598</v>
      </c>
      <c r="H314" s="44" t="s">
        <v>130</v>
      </c>
      <c r="I314" s="15" t="str">
        <f>IFERROR(__xludf.DUMMYFUNCTION("GOOGLETRANSLATE(H314,""EN"",""ES"")"),"Sostenibilidad")</f>
        <v>Sostenibilidad</v>
      </c>
      <c r="J314" s="16" t="s">
        <v>35</v>
      </c>
      <c r="K314" s="48">
        <v>0.7</v>
      </c>
      <c r="L314" s="51" t="s">
        <v>2599</v>
      </c>
      <c r="M314" s="34" t="s">
        <v>2600</v>
      </c>
      <c r="N314" s="44" t="s">
        <v>2601</v>
      </c>
      <c r="O314" s="44" t="str">
        <f>IFERROR(__xludf.DUMMYFUNCTION("GOOGLETRANSLATE(N314,""EN"",""ES"")"),"La participación de Repsol en proyectos de hidrógeno refuerza su apuesta por las energías limpias.")</f>
        <v>La participación de Repsol en proyectos de hidrógeno refuerza su apuesta por las energías limpias.</v>
      </c>
      <c r="P314" s="30">
        <v>0.8</v>
      </c>
      <c r="Q314" s="18" t="str">
        <f>IFERROR(__xludf.DUMMYFUNCTION("GOOGLETRANSLATE(R314,""ES"",""EN"")"),"hydrogen, high-speed train, renewable energy")</f>
        <v>hydrogen, high-speed train, renewable energy</v>
      </c>
      <c r="R314" s="34" t="s">
        <v>2602</v>
      </c>
      <c r="S314" s="52" t="s">
        <v>2603</v>
      </c>
      <c r="T314" s="22" t="s">
        <v>2604</v>
      </c>
    </row>
    <row r="315">
      <c r="A315" s="23" t="s">
        <v>2605</v>
      </c>
      <c r="B315" s="40" t="s">
        <v>2606</v>
      </c>
      <c r="C315" s="41">
        <v>45314.0</v>
      </c>
      <c r="D315" s="40" t="s">
        <v>2607</v>
      </c>
      <c r="E315" s="42" t="s">
        <v>2608</v>
      </c>
      <c r="F315" s="43" t="s">
        <v>2609</v>
      </c>
      <c r="G315" s="43" t="s">
        <v>2610</v>
      </c>
      <c r="H315" s="47" t="s">
        <v>130</v>
      </c>
      <c r="I315" s="25" t="str">
        <f>IFERROR(__xludf.DUMMYFUNCTION("GOOGLETRANSLATE(H315,""EN"",""ES"")"),"Sostenibilidad")</f>
        <v>Sostenibilidad</v>
      </c>
      <c r="J315" s="26" t="s">
        <v>35</v>
      </c>
      <c r="K315" s="48">
        <v>0.7</v>
      </c>
      <c r="L315" s="49" t="s">
        <v>2611</v>
      </c>
      <c r="M315" s="28" t="s">
        <v>2612</v>
      </c>
      <c r="N315" s="47" t="s">
        <v>2613</v>
      </c>
      <c r="O315" s="47" t="str">
        <f>IFERROR(__xludf.DUMMYFUNCTION("GOOGLETRANSLATE(N315,""EN"",""ES"")"),"El aumento de la infraestructura de combustibles renovables refuerza la transición de Repsol hacia la sostenibilidad.")</f>
        <v>El aumento de la infraestructura de combustibles renovables refuerza la transición de Repsol hacia la sostenibilidad.</v>
      </c>
      <c r="P315" s="30">
        <v>0.9</v>
      </c>
      <c r="Q315" s="31" t="str">
        <f>IFERROR(__xludf.DUMMYFUNCTION("GOOGLETRANSLATE(R315,""ES"",""EN"")"),"biofuels, green revolution")</f>
        <v>biofuels, green revolution</v>
      </c>
      <c r="R315" s="28" t="s">
        <v>2614</v>
      </c>
      <c r="S315" s="53" t="s">
        <v>2615</v>
      </c>
      <c r="T315" s="32" t="s">
        <v>2616</v>
      </c>
    </row>
    <row r="316">
      <c r="A316" s="33" t="s">
        <v>2617</v>
      </c>
      <c r="B316" s="40" t="s">
        <v>163</v>
      </c>
      <c r="C316" s="41">
        <v>45314.0</v>
      </c>
      <c r="D316" s="40" t="s">
        <v>2618</v>
      </c>
      <c r="E316" s="42" t="s">
        <v>2619</v>
      </c>
      <c r="F316" s="43" t="s">
        <v>2620</v>
      </c>
      <c r="G316" s="43" t="s">
        <v>2621</v>
      </c>
      <c r="H316" s="44" t="s">
        <v>55</v>
      </c>
      <c r="I316" s="15" t="str">
        <f>IFERROR(__xludf.DUMMYFUNCTION("GOOGLETRANSLATE(H316,""EN"",""ES"")"),"deportes de motor")</f>
        <v>deportes de motor</v>
      </c>
      <c r="J316" s="16" t="s">
        <v>27</v>
      </c>
      <c r="K316" s="17">
        <v>0.0</v>
      </c>
      <c r="L316" s="45"/>
      <c r="M316" s="18"/>
      <c r="N316" s="44"/>
      <c r="O316" s="44"/>
      <c r="P316" s="20">
        <v>0.0</v>
      </c>
      <c r="Q316" s="18"/>
      <c r="R316" s="18"/>
      <c r="S316" s="52"/>
      <c r="T316" s="22"/>
    </row>
    <row r="317">
      <c r="A317" s="23" t="s">
        <v>2622</v>
      </c>
      <c r="B317" s="40" t="s">
        <v>2623</v>
      </c>
      <c r="C317" s="41">
        <v>45314.0</v>
      </c>
      <c r="D317" s="40" t="s">
        <v>2624</v>
      </c>
      <c r="E317" s="42" t="s">
        <v>2624</v>
      </c>
      <c r="F317" s="43" t="s">
        <v>2625</v>
      </c>
      <c r="G317" s="43" t="s">
        <v>2625</v>
      </c>
      <c r="H317" s="47" t="s">
        <v>48</v>
      </c>
      <c r="I317" s="25" t="str">
        <f>IFERROR(__xludf.DUMMYFUNCTION("GOOGLETRANSLATE(H317,""EN"",""ES"")"),"Finanzas")</f>
        <v>Finanzas</v>
      </c>
      <c r="J317" s="26" t="s">
        <v>35</v>
      </c>
      <c r="K317" s="48">
        <v>0.0</v>
      </c>
      <c r="L317" s="54"/>
      <c r="M317" s="31"/>
      <c r="N317" s="47" t="s">
        <v>2626</v>
      </c>
      <c r="O317" s="47" t="str">
        <f>IFERROR(__xludf.DUMMYFUNCTION("GOOGLETRANSLATE(N317,""EN"",""ES"")"),"Las discusiones generales bursátiles no impactan directamente a Repsol.")</f>
        <v>Las discusiones generales bursátiles no impactan directamente a Repsol.</v>
      </c>
      <c r="P317" s="30">
        <v>0.0</v>
      </c>
      <c r="Q317" s="31"/>
      <c r="R317" s="31"/>
      <c r="S317" s="53" t="s">
        <v>2576</v>
      </c>
      <c r="T317" s="32" t="s">
        <v>2577</v>
      </c>
    </row>
    <row r="318">
      <c r="A318" s="33" t="s">
        <v>2627</v>
      </c>
      <c r="B318" s="40" t="s">
        <v>217</v>
      </c>
      <c r="C318" s="41">
        <v>45314.0</v>
      </c>
      <c r="D318" s="40" t="s">
        <v>2628</v>
      </c>
      <c r="E318" s="42" t="s">
        <v>2629</v>
      </c>
      <c r="F318" s="43" t="s">
        <v>2630</v>
      </c>
      <c r="G318" s="43" t="s">
        <v>2631</v>
      </c>
      <c r="H318" s="44" t="s">
        <v>130</v>
      </c>
      <c r="I318" s="15" t="str">
        <f>IFERROR(__xludf.DUMMYFUNCTION("GOOGLETRANSLATE(H318,""EN"",""ES"")"),"Sostenibilidad")</f>
        <v>Sostenibilidad</v>
      </c>
      <c r="J318" s="16" t="s">
        <v>35</v>
      </c>
      <c r="K318" s="48">
        <v>0.7</v>
      </c>
      <c r="L318" s="51" t="s">
        <v>2632</v>
      </c>
      <c r="M318" s="34" t="s">
        <v>2633</v>
      </c>
      <c r="N318" s="44" t="s">
        <v>2634</v>
      </c>
      <c r="O318" s="44" t="str">
        <f>IFERROR(__xludf.DUMMYFUNCTION("GOOGLETRANSLATE(N318,""EN"",""ES"")"),"La inversión en transporte propulsado por hidrógeno fortalece las iniciativas de energía verde de Repsol.")</f>
        <v>La inversión en transporte propulsado por hidrógeno fortalece las iniciativas de energía verde de Repsol.</v>
      </c>
      <c r="P318" s="30">
        <v>0.8</v>
      </c>
      <c r="Q318" s="18" t="str">
        <f>IFERROR(__xludf.DUMMYFUNCTION("GOOGLETRANSLATE(R318,""ES"",""EN"")"),"hydrogen train, development")</f>
        <v>hydrogen train, development</v>
      </c>
      <c r="R318" s="34" t="s">
        <v>2635</v>
      </c>
      <c r="S318" s="52" t="s">
        <v>2636</v>
      </c>
      <c r="T318" s="22" t="s">
        <v>2637</v>
      </c>
    </row>
    <row r="319">
      <c r="A319" s="23" t="s">
        <v>2638</v>
      </c>
      <c r="B319" s="40" t="s">
        <v>85</v>
      </c>
      <c r="C319" s="41">
        <v>45314.0</v>
      </c>
      <c r="D319" s="40" t="s">
        <v>2639</v>
      </c>
      <c r="E319" s="42" t="s">
        <v>2640</v>
      </c>
      <c r="F319" s="43" t="s">
        <v>2641</v>
      </c>
      <c r="G319" s="43" t="s">
        <v>2642</v>
      </c>
      <c r="H319" s="47" t="s">
        <v>148</v>
      </c>
      <c r="I319" s="25" t="str">
        <f>IFERROR(__xludf.DUMMYFUNCTION("GOOGLETRANSLATE(H319,""EN"",""ES"")"),"Gastronomía")</f>
        <v>Gastronomía</v>
      </c>
      <c r="J319" s="26" t="s">
        <v>27</v>
      </c>
      <c r="K319" s="17">
        <v>0.0</v>
      </c>
      <c r="L319" s="54"/>
      <c r="M319" s="31"/>
      <c r="N319" s="47"/>
      <c r="O319" s="47"/>
      <c r="P319" s="20">
        <v>0.0</v>
      </c>
      <c r="Q319" s="31"/>
      <c r="R319" s="31"/>
      <c r="S319" s="53"/>
      <c r="T319" s="32"/>
    </row>
    <row r="320">
      <c r="A320" s="33" t="s">
        <v>2643</v>
      </c>
      <c r="B320" s="40" t="s">
        <v>2644</v>
      </c>
      <c r="C320" s="41">
        <v>45314.0</v>
      </c>
      <c r="D320" s="40" t="s">
        <v>2645</v>
      </c>
      <c r="E320" s="42" t="s">
        <v>2646</v>
      </c>
      <c r="F320" s="43" t="s">
        <v>2647</v>
      </c>
      <c r="G320" s="43" t="s">
        <v>2648</v>
      </c>
      <c r="H320" s="44" t="s">
        <v>62</v>
      </c>
      <c r="I320" s="15" t="str">
        <f>IFERROR(__xludf.DUMMYFUNCTION("GOOGLETRANSLATE(H320,""EN"",""ES"")"),"Energía")</f>
        <v>Energía</v>
      </c>
      <c r="J320" s="16" t="s">
        <v>35</v>
      </c>
      <c r="K320" s="48">
        <v>0.0</v>
      </c>
      <c r="L320" s="45"/>
      <c r="M320" s="18"/>
      <c r="N320" s="44" t="s">
        <v>2649</v>
      </c>
      <c r="O320" s="44" t="str">
        <f>IFERROR(__xludf.DUMMYFUNCTION("GOOGLETRANSLATE(N320,""EN"",""ES"")"),"Los cambios en la política petrolera venezolana no afectan directamente a Repsol.")</f>
        <v>Los cambios en la política petrolera venezolana no afectan directamente a Repsol.</v>
      </c>
      <c r="P320" s="30">
        <v>0.0</v>
      </c>
      <c r="Q320" s="18"/>
      <c r="R320" s="18"/>
      <c r="S320" s="52" t="s">
        <v>2584</v>
      </c>
      <c r="T320" s="22" t="s">
        <v>2585</v>
      </c>
    </row>
    <row r="321">
      <c r="A321" s="23" t="s">
        <v>2650</v>
      </c>
      <c r="B321" s="40" t="s">
        <v>2651</v>
      </c>
      <c r="C321" s="41">
        <v>45315.0</v>
      </c>
      <c r="D321" s="40" t="s">
        <v>2652</v>
      </c>
      <c r="E321" s="42" t="s">
        <v>2653</v>
      </c>
      <c r="F321" s="43" t="s">
        <v>2654</v>
      </c>
      <c r="G321" s="43" t="s">
        <v>2655</v>
      </c>
      <c r="H321" s="47" t="s">
        <v>2656</v>
      </c>
      <c r="I321" s="25" t="str">
        <f>IFERROR(__xludf.DUMMYFUNCTION("GOOGLETRANSLATE(H321,""EN"",""ES"")"),"Innovación")</f>
        <v>Innovación</v>
      </c>
      <c r="J321" s="26" t="s">
        <v>35</v>
      </c>
      <c r="K321" s="48">
        <v>0.6</v>
      </c>
      <c r="L321" s="49" t="s">
        <v>2657</v>
      </c>
      <c r="M321" s="28" t="s">
        <v>2658</v>
      </c>
      <c r="N321" s="47" t="s">
        <v>2659</v>
      </c>
      <c r="O321" s="47" t="str">
        <f>IFERROR(__xludf.DUMMYFUNCTION("GOOGLETRANSLATE(N321,""EN"",""ES"")"),"La colaboración en proyectos de investigación potencia la reputación de Repsol en avances tecnológicos.")</f>
        <v>La colaboración en proyectos de investigación potencia la reputación de Repsol en avances tecnológicos.</v>
      </c>
      <c r="P321" s="30">
        <v>0.7</v>
      </c>
      <c r="Q321" s="31" t="str">
        <f>IFERROR(__xludf.DUMMYFUNCTION("GOOGLETRANSLATE(R321,""ES"",""EN"")"),"university-business chair, artificial intelligence")</f>
        <v>university-business chair, artificial intelligence</v>
      </c>
      <c r="R321" s="28" t="s">
        <v>2660</v>
      </c>
      <c r="S321" s="53" t="s">
        <v>2661</v>
      </c>
      <c r="T321" s="32" t="s">
        <v>2662</v>
      </c>
    </row>
    <row r="322">
      <c r="A322" s="33" t="s">
        <v>2663</v>
      </c>
      <c r="B322" s="40" t="s">
        <v>2442</v>
      </c>
      <c r="C322" s="41">
        <v>45315.0</v>
      </c>
      <c r="D322" s="40" t="s">
        <v>2664</v>
      </c>
      <c r="E322" s="42" t="s">
        <v>2665</v>
      </c>
      <c r="F322" s="43" t="s">
        <v>2666</v>
      </c>
      <c r="G322" s="43" t="s">
        <v>2667</v>
      </c>
      <c r="H322" s="44" t="s">
        <v>48</v>
      </c>
      <c r="I322" s="15" t="str">
        <f>IFERROR(__xludf.DUMMYFUNCTION("GOOGLETRANSLATE(H322,""EN"",""ES"")"),"Finanzas")</f>
        <v>Finanzas</v>
      </c>
      <c r="J322" s="16" t="s">
        <v>35</v>
      </c>
      <c r="K322" s="48">
        <v>0.5</v>
      </c>
      <c r="L322" s="51" t="s">
        <v>2668</v>
      </c>
      <c r="M322" s="34" t="s">
        <v>2669</v>
      </c>
      <c r="N322" s="44" t="s">
        <v>2670</v>
      </c>
      <c r="O322" s="44" t="str">
        <f>IFERROR(__xludf.DUMMYFUNCTION("GOOGLETRANSLATE(N322,""EN"",""ES"")"),"La estabilidad de los precios del petróleo y el gas ofrece perspectivas positivas para la planificación financiera de Repsol.")</f>
        <v>La estabilidad de los precios del petróleo y el gas ofrece perspectivas positivas para la planificación financiera de Repsol.</v>
      </c>
      <c r="P322" s="30">
        <v>0.0</v>
      </c>
      <c r="Q322" s="18"/>
      <c r="R322" s="18"/>
      <c r="S322" s="52" t="s">
        <v>2576</v>
      </c>
      <c r="T322" s="22" t="s">
        <v>2577</v>
      </c>
    </row>
    <row r="323">
      <c r="A323" s="23" t="s">
        <v>2671</v>
      </c>
      <c r="B323" s="40" t="s">
        <v>2672</v>
      </c>
      <c r="C323" s="41">
        <v>45315.0</v>
      </c>
      <c r="D323" s="40" t="s">
        <v>2673</v>
      </c>
      <c r="E323" s="42" t="s">
        <v>2674</v>
      </c>
      <c r="F323" s="43" t="s">
        <v>2675</v>
      </c>
      <c r="G323" s="43" t="s">
        <v>2676</v>
      </c>
      <c r="H323" s="47" t="s">
        <v>2677</v>
      </c>
      <c r="I323" s="25" t="str">
        <f>IFERROR(__xludf.DUMMYFUNCTION("GOOGLETRANSLATE(H323,""EN"",""ES"")"),"Responsabilidad Social")</f>
        <v>Responsabilidad Social</v>
      </c>
      <c r="J323" s="26" t="s">
        <v>35</v>
      </c>
      <c r="K323" s="48">
        <v>0.7</v>
      </c>
      <c r="L323" s="49" t="s">
        <v>2678</v>
      </c>
      <c r="M323" s="28" t="s">
        <v>2679</v>
      </c>
      <c r="N323" s="47" t="s">
        <v>2680</v>
      </c>
      <c r="O323" s="47" t="str">
        <f>IFERROR(__xludf.DUMMYFUNCTION("GOOGLETRANSLATE(N323,""EN"",""ES"")"),"El apoyo a programas sociales mejora la imagen de responsabilidad social corporativa de Repsol.")</f>
        <v>El apoyo a programas sociales mejora la imagen de responsabilidad social corporativa de Repsol.</v>
      </c>
      <c r="P323" s="30">
        <v>0.9</v>
      </c>
      <c r="Q323" s="31" t="str">
        <f>IFERROR(__xludf.DUMMYFUNCTION("GOOGLETRANSLATE(R323,""ES"",""EN"")"),"Repsol Foundation, employment, gender violence")</f>
        <v>Repsol Foundation, employment, gender violence</v>
      </c>
      <c r="R323" s="28" t="s">
        <v>2681</v>
      </c>
      <c r="S323" s="53" t="s">
        <v>2682</v>
      </c>
      <c r="T323" s="32" t="s">
        <v>2683</v>
      </c>
    </row>
    <row r="324">
      <c r="A324" s="33" t="s">
        <v>2684</v>
      </c>
      <c r="B324" s="40" t="s">
        <v>339</v>
      </c>
      <c r="C324" s="41">
        <v>45315.0</v>
      </c>
      <c r="D324" s="40" t="s">
        <v>2685</v>
      </c>
      <c r="E324" s="42" t="s">
        <v>2686</v>
      </c>
      <c r="F324" s="43" t="s">
        <v>2687</v>
      </c>
      <c r="G324" s="43" t="s">
        <v>2688</v>
      </c>
      <c r="H324" s="44" t="s">
        <v>130</v>
      </c>
      <c r="I324" s="15" t="str">
        <f>IFERROR(__xludf.DUMMYFUNCTION("GOOGLETRANSLATE(H324,""EN"",""ES"")"),"Sostenibilidad")</f>
        <v>Sostenibilidad</v>
      </c>
      <c r="J324" s="16" t="s">
        <v>35</v>
      </c>
      <c r="K324" s="48">
        <v>0.7</v>
      </c>
      <c r="L324" s="51" t="s">
        <v>2689</v>
      </c>
      <c r="M324" s="34" t="s">
        <v>2690</v>
      </c>
      <c r="N324" s="44" t="s">
        <v>2691</v>
      </c>
      <c r="O324" s="44" t="str">
        <f>IFERROR(__xludf.DUMMYFUNCTION("GOOGLETRANSLATE(N324,""EN"",""ES"")"),"Invertir en hidrógeno para uso industrial refuerza el compromiso de Repsol con la descarbonización.")</f>
        <v>Invertir en hidrógeno para uso industrial refuerza el compromiso de Repsol con la descarbonización.</v>
      </c>
      <c r="P324" s="30">
        <v>0.8</v>
      </c>
      <c r="Q324" s="18" t="str">
        <f>IFERROR(__xludf.DUMMYFUNCTION("GOOGLETRANSLATE(R324,""ES"",""EN"")"),"renewable fuels, public transport")</f>
        <v>renewable fuels, public transport</v>
      </c>
      <c r="R324" s="34" t="s">
        <v>2692</v>
      </c>
      <c r="S324" s="52" t="s">
        <v>2693</v>
      </c>
      <c r="T324" s="22" t="s">
        <v>2694</v>
      </c>
    </row>
    <row r="325">
      <c r="A325" s="23" t="s">
        <v>2695</v>
      </c>
      <c r="B325" s="40" t="s">
        <v>2696</v>
      </c>
      <c r="C325" s="41">
        <v>45315.0</v>
      </c>
      <c r="D325" s="40" t="s">
        <v>2697</v>
      </c>
      <c r="E325" s="42" t="s">
        <v>2698</v>
      </c>
      <c r="F325" s="43" t="s">
        <v>2699</v>
      </c>
      <c r="G325" s="43" t="s">
        <v>2700</v>
      </c>
      <c r="H325" s="47" t="s">
        <v>130</v>
      </c>
      <c r="I325" s="25" t="str">
        <f>IFERROR(__xludf.DUMMYFUNCTION("GOOGLETRANSLATE(H325,""EN"",""ES"")"),"Sostenibilidad")</f>
        <v>Sostenibilidad</v>
      </c>
      <c r="J325" s="26" t="s">
        <v>35</v>
      </c>
      <c r="K325" s="48">
        <v>0.7</v>
      </c>
      <c r="L325" s="49" t="s">
        <v>2701</v>
      </c>
      <c r="M325" s="28" t="s">
        <v>2702</v>
      </c>
      <c r="N325" s="47" t="s">
        <v>2703</v>
      </c>
      <c r="O325" s="47" t="str">
        <f>IFERROR(__xludf.DUMMYFUNCTION("GOOGLETRANSLATE(N325,""EN"",""ES"")"),"La introducción de gasolinas 100% renovables refuerza el liderazgo de Repsol en energías limpias.")</f>
        <v>La introducción de gasolinas 100% renovables refuerza el liderazgo de Repsol en energías limpias.</v>
      </c>
      <c r="P325" s="30">
        <v>0.9</v>
      </c>
      <c r="Q325" s="31" t="str">
        <f>IFERROR(__xludf.DUMMYFUNCTION("GOOGLETRANSLATE(R325,""ES"",""EN"")"),"renewable gasoline, waste")</f>
        <v>renewable gasoline, waste</v>
      </c>
      <c r="R325" s="28" t="s">
        <v>2704</v>
      </c>
      <c r="S325" s="53" t="s">
        <v>2705</v>
      </c>
      <c r="T325" s="32" t="s">
        <v>2706</v>
      </c>
    </row>
    <row r="326">
      <c r="A326" s="33" t="s">
        <v>2707</v>
      </c>
      <c r="B326" s="40" t="s">
        <v>21</v>
      </c>
      <c r="C326" s="41">
        <v>45315.0</v>
      </c>
      <c r="D326" s="40" t="s">
        <v>2708</v>
      </c>
      <c r="E326" s="42" t="s">
        <v>2709</v>
      </c>
      <c r="F326" s="43" t="s">
        <v>2710</v>
      </c>
      <c r="G326" s="43" t="s">
        <v>2711</v>
      </c>
      <c r="H326" s="44" t="s">
        <v>148</v>
      </c>
      <c r="I326" s="15" t="str">
        <f>IFERROR(__xludf.DUMMYFUNCTION("GOOGLETRANSLATE(H326,""EN"",""ES"")"),"Gastronomía")</f>
        <v>Gastronomía</v>
      </c>
      <c r="J326" s="16" t="s">
        <v>27</v>
      </c>
      <c r="K326" s="17">
        <v>0.0</v>
      </c>
      <c r="L326" s="45"/>
      <c r="M326" s="18"/>
      <c r="N326" s="44"/>
      <c r="O326" s="44"/>
      <c r="P326" s="20">
        <v>0.0</v>
      </c>
      <c r="Q326" s="18"/>
      <c r="R326" s="18"/>
      <c r="S326" s="52"/>
      <c r="T326" s="22"/>
    </row>
    <row r="327">
      <c r="A327" s="23" t="s">
        <v>2712</v>
      </c>
      <c r="B327" s="40" t="s">
        <v>2713</v>
      </c>
      <c r="C327" s="41">
        <v>45315.0</v>
      </c>
      <c r="D327" s="40" t="s">
        <v>2714</v>
      </c>
      <c r="E327" s="42" t="s">
        <v>2715</v>
      </c>
      <c r="F327" s="43" t="s">
        <v>2716</v>
      </c>
      <c r="G327" s="43" t="s">
        <v>2717</v>
      </c>
      <c r="H327" s="47" t="s">
        <v>148</v>
      </c>
      <c r="I327" s="25" t="str">
        <f>IFERROR(__xludf.DUMMYFUNCTION("GOOGLETRANSLATE(H327,""EN"",""ES"")"),"Gastronomía")</f>
        <v>Gastronomía</v>
      </c>
      <c r="J327" s="26" t="s">
        <v>27</v>
      </c>
      <c r="K327" s="17">
        <v>0.0</v>
      </c>
      <c r="L327" s="54"/>
      <c r="M327" s="31"/>
      <c r="N327" s="47"/>
      <c r="O327" s="47"/>
      <c r="P327" s="20">
        <v>0.0</v>
      </c>
      <c r="Q327" s="31"/>
      <c r="R327" s="31"/>
      <c r="S327" s="53"/>
      <c r="T327" s="32"/>
    </row>
    <row r="328">
      <c r="A328" s="33" t="s">
        <v>2718</v>
      </c>
      <c r="B328" s="40" t="s">
        <v>2719</v>
      </c>
      <c r="C328" s="41">
        <v>45315.0</v>
      </c>
      <c r="D328" s="40" t="s">
        <v>2720</v>
      </c>
      <c r="E328" s="42" t="s">
        <v>2721</v>
      </c>
      <c r="F328" s="43" t="s">
        <v>2722</v>
      </c>
      <c r="G328" s="43" t="s">
        <v>2723</v>
      </c>
      <c r="H328" s="44" t="s">
        <v>2656</v>
      </c>
      <c r="I328" s="15" t="str">
        <f>IFERROR(__xludf.DUMMYFUNCTION("GOOGLETRANSLATE(H328,""EN"",""ES"")"),"Innovación")</f>
        <v>Innovación</v>
      </c>
      <c r="J328" s="16" t="s">
        <v>35</v>
      </c>
      <c r="K328" s="48">
        <v>0.6</v>
      </c>
      <c r="L328" s="51" t="s">
        <v>2657</v>
      </c>
      <c r="M328" s="34" t="s">
        <v>2658</v>
      </c>
      <c r="N328" s="44" t="s">
        <v>2724</v>
      </c>
      <c r="O328" s="44" t="str">
        <f>IFERROR(__xludf.DUMMYFUNCTION("GOOGLETRANSLATE(N328,""EN"",""ES"")"),"Las colaboraciones en investigación fortalecen la reputación de Repsol en avances tecnológicos.")</f>
        <v>Las colaboraciones en investigación fortalecen la reputación de Repsol en avances tecnológicos.</v>
      </c>
      <c r="P328" s="30">
        <v>0.7</v>
      </c>
      <c r="Q328" s="18" t="str">
        <f>IFERROR(__xludf.DUMMYFUNCTION("GOOGLETRANSLATE(R328,""ES"",""EN"")"),"university-business chair, artificial intelligence")</f>
        <v>university-business chair, artificial intelligence</v>
      </c>
      <c r="R328" s="34" t="s">
        <v>2660</v>
      </c>
      <c r="S328" s="52" t="s">
        <v>2661</v>
      </c>
      <c r="T328" s="22" t="s">
        <v>2662</v>
      </c>
    </row>
    <row r="329">
      <c r="A329" s="23" t="s">
        <v>2725</v>
      </c>
      <c r="B329" s="40" t="s">
        <v>2726</v>
      </c>
      <c r="C329" s="41">
        <v>45315.0</v>
      </c>
      <c r="D329" s="40" t="s">
        <v>2727</v>
      </c>
      <c r="E329" s="42" t="s">
        <v>2728</v>
      </c>
      <c r="F329" s="43" t="s">
        <v>2729</v>
      </c>
      <c r="G329" s="43" t="s">
        <v>2730</v>
      </c>
      <c r="H329" s="47" t="s">
        <v>130</v>
      </c>
      <c r="I329" s="25" t="str">
        <f>IFERROR(__xludf.DUMMYFUNCTION("GOOGLETRANSLATE(H329,""EN"",""ES"")"),"Sostenibilidad")</f>
        <v>Sostenibilidad</v>
      </c>
      <c r="J329" s="26" t="s">
        <v>35</v>
      </c>
      <c r="K329" s="48">
        <v>0.7</v>
      </c>
      <c r="L329" s="49" t="s">
        <v>2731</v>
      </c>
      <c r="M329" s="28" t="s">
        <v>2692</v>
      </c>
      <c r="N329" s="47" t="s">
        <v>2732</v>
      </c>
      <c r="O329" s="47" t="str">
        <f>IFERROR(__xludf.DUMMYFUNCTION("GOOGLETRANSLATE(N329,""EN"",""ES"")"),"La expansión de los combustibles renovables al transporte público se alinea con los objetivos de energía verde de Repsol.")</f>
        <v>La expansión de los combustibles renovables al transporte público se alinea con los objetivos de energía verde de Repsol.</v>
      </c>
      <c r="P329" s="30">
        <v>0.8</v>
      </c>
      <c r="Q329" s="31" t="str">
        <f>IFERROR(__xludf.DUMMYFUNCTION("GOOGLETRANSLATE(R329,""ES"",""EN"")"),"renewable fuels, public transport")</f>
        <v>renewable fuels, public transport</v>
      </c>
      <c r="R329" s="28" t="s">
        <v>2692</v>
      </c>
      <c r="S329" s="53" t="s">
        <v>2693</v>
      </c>
      <c r="T329" s="32" t="s">
        <v>2694</v>
      </c>
    </row>
    <row r="330">
      <c r="A330" s="33" t="s">
        <v>2733</v>
      </c>
      <c r="B330" s="40" t="s">
        <v>239</v>
      </c>
      <c r="C330" s="41">
        <v>45315.0</v>
      </c>
      <c r="D330" s="40" t="s">
        <v>2734</v>
      </c>
      <c r="E330" s="42" t="s">
        <v>2735</v>
      </c>
      <c r="F330" s="43" t="s">
        <v>2736</v>
      </c>
      <c r="G330" s="43" t="s">
        <v>2737</v>
      </c>
      <c r="H330" s="44" t="s">
        <v>55</v>
      </c>
      <c r="I330" s="15" t="str">
        <f>IFERROR(__xludf.DUMMYFUNCTION("GOOGLETRANSLATE(H330,""EN"",""ES"")"),"deportes de motor")</f>
        <v>deportes de motor</v>
      </c>
      <c r="J330" s="16" t="s">
        <v>27</v>
      </c>
      <c r="K330" s="17">
        <v>0.0</v>
      </c>
      <c r="L330" s="45"/>
      <c r="M330" s="18"/>
      <c r="N330" s="44"/>
      <c r="O330" s="44"/>
      <c r="P330" s="20">
        <v>0.0</v>
      </c>
      <c r="Q330" s="18"/>
      <c r="R330" s="18"/>
      <c r="S330" s="52"/>
      <c r="T330" s="22"/>
    </row>
    <row r="331">
      <c r="A331" s="23" t="s">
        <v>2738</v>
      </c>
      <c r="B331" s="40" t="s">
        <v>2739</v>
      </c>
      <c r="C331" s="41">
        <v>45316.0</v>
      </c>
      <c r="D331" s="40" t="s">
        <v>2740</v>
      </c>
      <c r="E331" s="42" t="s">
        <v>2741</v>
      </c>
      <c r="F331" s="43" t="s">
        <v>2742</v>
      </c>
      <c r="G331" s="43" t="s">
        <v>2743</v>
      </c>
      <c r="H331" s="47" t="s">
        <v>130</v>
      </c>
      <c r="I331" s="25" t="str">
        <f>IFERROR(__xludf.DUMMYFUNCTION("GOOGLETRANSLATE(H331,""EN"",""ES"")"),"Sostenibilidad")</f>
        <v>Sostenibilidad</v>
      </c>
      <c r="J331" s="26" t="s">
        <v>35</v>
      </c>
      <c r="K331" s="48">
        <v>0.7</v>
      </c>
      <c r="L331" s="49" t="s">
        <v>2744</v>
      </c>
      <c r="M331" s="28" t="s">
        <v>2745</v>
      </c>
      <c r="N331" s="47" t="s">
        <v>2746</v>
      </c>
      <c r="O331" s="47" t="str">
        <f>IFERROR(__xludf.DUMMYFUNCTION("GOOGLETRANSLATE(N331,""EN"",""ES"")"),"Las alianzas para reducir emisiones potencian los esfuerzos de sostenibilidad de Repsol.")</f>
        <v>Las alianzas para reducir emisiones potencian los esfuerzos de sostenibilidad de Repsol.</v>
      </c>
      <c r="P331" s="30">
        <v>0.8</v>
      </c>
      <c r="Q331" s="31" t="str">
        <f>IFERROR(__xludf.DUMMYFUNCTION("GOOGLETRANSLATE(R331,""ES"",""EN"")"),"emissions, sustainable energy solutions")</f>
        <v>emissions, sustainable energy solutions</v>
      </c>
      <c r="R331" s="28" t="s">
        <v>2747</v>
      </c>
      <c r="S331" s="53" t="s">
        <v>2748</v>
      </c>
      <c r="T331" s="32" t="s">
        <v>2749</v>
      </c>
    </row>
    <row r="332">
      <c r="A332" s="33" t="s">
        <v>2750</v>
      </c>
      <c r="B332" s="40" t="s">
        <v>2751</v>
      </c>
      <c r="C332" s="41">
        <v>45316.0</v>
      </c>
      <c r="D332" s="40" t="s">
        <v>2752</v>
      </c>
      <c r="E332" s="42" t="s">
        <v>2753</v>
      </c>
      <c r="F332" s="43" t="s">
        <v>2754</v>
      </c>
      <c r="G332" s="43" t="s">
        <v>2755</v>
      </c>
      <c r="H332" s="44" t="s">
        <v>130</v>
      </c>
      <c r="I332" s="15" t="str">
        <f>IFERROR(__xludf.DUMMYFUNCTION("GOOGLETRANSLATE(H332,""EN"",""ES"")"),"Sostenibilidad")</f>
        <v>Sostenibilidad</v>
      </c>
      <c r="J332" s="16" t="s">
        <v>35</v>
      </c>
      <c r="K332" s="48">
        <v>0.7</v>
      </c>
      <c r="L332" s="51" t="s">
        <v>2756</v>
      </c>
      <c r="M332" s="34" t="s">
        <v>2757</v>
      </c>
      <c r="N332" s="44" t="s">
        <v>2758</v>
      </c>
      <c r="O332" s="44" t="str">
        <f>IFERROR(__xludf.DUMMYFUNCTION("GOOGLETRANSLATE(N332,""EN"",""ES"")"),"El impulso de los combustibles renovables a nivel regional fortalece la estrategia de energía verde de Repsol.")</f>
        <v>El impulso de los combustibles renovables a nivel regional fortalece la estrategia de energía verde de Repsol.</v>
      </c>
      <c r="P332" s="30">
        <v>0.8</v>
      </c>
      <c r="Q332" s="18" t="str">
        <f>IFERROR(__xludf.DUMMYFUNCTION("GOOGLETRANSLATE(R332,""ES"",""EN"")"),"renewable fuels, public transport")</f>
        <v>renewable fuels, public transport</v>
      </c>
      <c r="R332" s="34" t="s">
        <v>2692</v>
      </c>
      <c r="S332" s="52" t="s">
        <v>2693</v>
      </c>
      <c r="T332" s="22" t="s">
        <v>2694</v>
      </c>
    </row>
    <row r="333">
      <c r="A333" s="23" t="s">
        <v>2759</v>
      </c>
      <c r="B333" s="40" t="s">
        <v>163</v>
      </c>
      <c r="C333" s="41">
        <v>45316.0</v>
      </c>
      <c r="D333" s="40" t="s">
        <v>2760</v>
      </c>
      <c r="E333" s="42" t="s">
        <v>2761</v>
      </c>
      <c r="F333" s="43" t="s">
        <v>2762</v>
      </c>
      <c r="G333" s="43" t="s">
        <v>2763</v>
      </c>
      <c r="H333" s="47" t="s">
        <v>782</v>
      </c>
      <c r="I333" s="25" t="str">
        <f>IFERROR(__xludf.DUMMYFUNCTION("GOOGLETRANSLATE(H333,""EN"",""ES"")"),"Tecnología")</f>
        <v>Tecnología</v>
      </c>
      <c r="J333" s="26" t="s">
        <v>27</v>
      </c>
      <c r="K333" s="17">
        <v>0.0</v>
      </c>
      <c r="L333" s="54"/>
      <c r="M333" s="31"/>
      <c r="N333" s="47"/>
      <c r="O333" s="47"/>
      <c r="P333" s="20">
        <v>0.0</v>
      </c>
      <c r="Q333" s="31"/>
      <c r="R333" s="31"/>
      <c r="S333" s="53"/>
      <c r="T333" s="32"/>
    </row>
    <row r="334">
      <c r="A334" s="33" t="s">
        <v>2764</v>
      </c>
      <c r="B334" s="40" t="s">
        <v>2442</v>
      </c>
      <c r="C334" s="41">
        <v>45316.0</v>
      </c>
      <c r="D334" s="40" t="s">
        <v>2765</v>
      </c>
      <c r="E334" s="42" t="s">
        <v>2766</v>
      </c>
      <c r="F334" s="43" t="s">
        <v>2767</v>
      </c>
      <c r="G334" s="43" t="s">
        <v>2768</v>
      </c>
      <c r="H334" s="44" t="s">
        <v>148</v>
      </c>
      <c r="I334" s="15" t="str">
        <f>IFERROR(__xludf.DUMMYFUNCTION("GOOGLETRANSLATE(H334,""EN"",""ES"")"),"Gastronomía")</f>
        <v>Gastronomía</v>
      </c>
      <c r="J334" s="16" t="s">
        <v>27</v>
      </c>
      <c r="K334" s="17">
        <v>0.0</v>
      </c>
      <c r="L334" s="45"/>
      <c r="M334" s="18"/>
      <c r="N334" s="44"/>
      <c r="O334" s="44"/>
      <c r="P334" s="20">
        <v>0.0</v>
      </c>
      <c r="Q334" s="18"/>
      <c r="R334" s="18"/>
      <c r="S334" s="52"/>
      <c r="T334" s="22"/>
    </row>
    <row r="335">
      <c r="A335" s="23" t="s">
        <v>2769</v>
      </c>
      <c r="B335" s="40" t="s">
        <v>674</v>
      </c>
      <c r="C335" s="41">
        <v>45316.0</v>
      </c>
      <c r="D335" s="40" t="s">
        <v>2770</v>
      </c>
      <c r="E335" s="42" t="s">
        <v>2771</v>
      </c>
      <c r="F335" s="43" t="s">
        <v>2772</v>
      </c>
      <c r="G335" s="43" t="s">
        <v>2773</v>
      </c>
      <c r="H335" s="47" t="s">
        <v>130</v>
      </c>
      <c r="I335" s="25" t="str">
        <f>IFERROR(__xludf.DUMMYFUNCTION("GOOGLETRANSLATE(H335,""EN"",""ES"")"),"Sostenibilidad")</f>
        <v>Sostenibilidad</v>
      </c>
      <c r="J335" s="26" t="s">
        <v>35</v>
      </c>
      <c r="K335" s="48">
        <v>0.7</v>
      </c>
      <c r="L335" s="49" t="s">
        <v>2774</v>
      </c>
      <c r="M335" s="28" t="s">
        <v>2775</v>
      </c>
      <c r="N335" s="47" t="s">
        <v>2776</v>
      </c>
      <c r="O335" s="47" t="str">
        <f>IFERROR(__xludf.DUMMYFUNCTION("GOOGLETRANSLATE(N335,""EN"",""ES"")"),"La ampliación de las opciones de combustibles alternativos refuerza el papel de Repsol en la energía sostenible.")</f>
        <v>La ampliación de las opciones de combustibles alternativos refuerza el papel de Repsol en la energía sostenible.</v>
      </c>
      <c r="P335" s="30">
        <v>0.0</v>
      </c>
      <c r="Q335" s="31"/>
      <c r="R335" s="31"/>
      <c r="S335" s="53" t="s">
        <v>2584</v>
      </c>
      <c r="T335" s="32" t="s">
        <v>2585</v>
      </c>
    </row>
    <row r="336">
      <c r="A336" s="33" t="s">
        <v>2777</v>
      </c>
      <c r="B336" s="40" t="s">
        <v>43</v>
      </c>
      <c r="C336" s="41">
        <v>45316.0</v>
      </c>
      <c r="D336" s="40" t="s">
        <v>2778</v>
      </c>
      <c r="E336" s="42" t="s">
        <v>2779</v>
      </c>
      <c r="F336" s="43" t="s">
        <v>2780</v>
      </c>
      <c r="G336" s="43" t="s">
        <v>2781</v>
      </c>
      <c r="H336" s="44" t="s">
        <v>1975</v>
      </c>
      <c r="I336" s="15" t="str">
        <f>IFERROR(__xludf.DUMMYFUNCTION("GOOGLETRANSLATE(H336,""EN"",""ES"")"),"Política")</f>
        <v>Política</v>
      </c>
      <c r="J336" s="16" t="s">
        <v>35</v>
      </c>
      <c r="K336" s="48">
        <v>-0.5</v>
      </c>
      <c r="L336" s="51" t="s">
        <v>2782</v>
      </c>
      <c r="M336" s="34" t="s">
        <v>2783</v>
      </c>
      <c r="N336" s="44" t="s">
        <v>2784</v>
      </c>
      <c r="O336" s="44" t="str">
        <f>IFERROR(__xludf.DUMMYFUNCTION("GOOGLETRANSLATE(N336,""EN"",""ES"")"),"Los desacuerdos regulatorios pueden crear tensiones que afecten al entorno empresarial de Repsol.")</f>
        <v>Los desacuerdos regulatorios pueden crear tensiones que afecten al entorno empresarial de Repsol.</v>
      </c>
      <c r="P336" s="30">
        <v>0.0</v>
      </c>
      <c r="Q336" s="18"/>
      <c r="R336" s="18"/>
      <c r="S336" s="52" t="s">
        <v>2557</v>
      </c>
      <c r="T336" s="22" t="s">
        <v>2558</v>
      </c>
    </row>
    <row r="337">
      <c r="A337" s="23" t="s">
        <v>2785</v>
      </c>
      <c r="B337" s="40" t="s">
        <v>2786</v>
      </c>
      <c r="C337" s="41">
        <v>45316.0</v>
      </c>
      <c r="D337" s="40" t="s">
        <v>2787</v>
      </c>
      <c r="E337" s="42" t="s">
        <v>2788</v>
      </c>
      <c r="F337" s="43" t="s">
        <v>2789</v>
      </c>
      <c r="G337" s="43" t="s">
        <v>2790</v>
      </c>
      <c r="H337" s="47" t="s">
        <v>148</v>
      </c>
      <c r="I337" s="25" t="str">
        <f>IFERROR(__xludf.DUMMYFUNCTION("GOOGLETRANSLATE(H337,""EN"",""ES"")"),"Gastronomía")</f>
        <v>Gastronomía</v>
      </c>
      <c r="J337" s="26" t="s">
        <v>27</v>
      </c>
      <c r="K337" s="17">
        <v>0.0</v>
      </c>
      <c r="L337" s="54"/>
      <c r="M337" s="31"/>
      <c r="N337" s="47"/>
      <c r="O337" s="47"/>
      <c r="P337" s="20">
        <v>0.0</v>
      </c>
      <c r="Q337" s="31"/>
      <c r="R337" s="31"/>
      <c r="S337" s="53"/>
      <c r="T337" s="32"/>
    </row>
    <row r="338">
      <c r="A338" s="33" t="s">
        <v>2791</v>
      </c>
      <c r="B338" s="40" t="s">
        <v>2792</v>
      </c>
      <c r="C338" s="41">
        <v>45316.0</v>
      </c>
      <c r="D338" s="40" t="s">
        <v>2793</v>
      </c>
      <c r="E338" s="42" t="s">
        <v>2794</v>
      </c>
      <c r="F338" s="43" t="s">
        <v>2795</v>
      </c>
      <c r="G338" s="43" t="s">
        <v>2796</v>
      </c>
      <c r="H338" s="44" t="s">
        <v>148</v>
      </c>
      <c r="I338" s="15" t="str">
        <f>IFERROR(__xludf.DUMMYFUNCTION("GOOGLETRANSLATE(H338,""EN"",""ES"")"),"Gastronomía")</f>
        <v>Gastronomía</v>
      </c>
      <c r="J338" s="16" t="s">
        <v>27</v>
      </c>
      <c r="K338" s="17">
        <v>0.0</v>
      </c>
      <c r="L338" s="45"/>
      <c r="M338" s="18"/>
      <c r="N338" s="44"/>
      <c r="O338" s="44"/>
      <c r="P338" s="20">
        <v>0.0</v>
      </c>
      <c r="Q338" s="18"/>
      <c r="R338" s="18"/>
      <c r="S338" s="52"/>
      <c r="T338" s="22"/>
    </row>
    <row r="339">
      <c r="A339" s="23" t="s">
        <v>2797</v>
      </c>
      <c r="B339" s="40" t="s">
        <v>977</v>
      </c>
      <c r="C339" s="41">
        <v>45316.0</v>
      </c>
      <c r="D339" s="40" t="s">
        <v>2798</v>
      </c>
      <c r="E339" s="42" t="s">
        <v>2799</v>
      </c>
      <c r="F339" s="43" t="s">
        <v>2800</v>
      </c>
      <c r="G339" s="43" t="s">
        <v>2801</v>
      </c>
      <c r="H339" s="47" t="s">
        <v>148</v>
      </c>
      <c r="I339" s="25" t="str">
        <f>IFERROR(__xludf.DUMMYFUNCTION("GOOGLETRANSLATE(H339,""EN"",""ES"")"),"Gastronomía")</f>
        <v>Gastronomía</v>
      </c>
      <c r="J339" s="26" t="s">
        <v>27</v>
      </c>
      <c r="K339" s="17">
        <v>0.0</v>
      </c>
      <c r="L339" s="54"/>
      <c r="M339" s="31"/>
      <c r="N339" s="47"/>
      <c r="O339" s="47"/>
      <c r="P339" s="20">
        <v>0.0</v>
      </c>
      <c r="Q339" s="31"/>
      <c r="R339" s="31"/>
      <c r="S339" s="53"/>
      <c r="T339" s="32"/>
    </row>
    <row r="340">
      <c r="A340" s="33" t="s">
        <v>2802</v>
      </c>
      <c r="B340" s="40" t="s">
        <v>2803</v>
      </c>
      <c r="C340" s="41">
        <v>45316.0</v>
      </c>
      <c r="D340" s="40" t="s">
        <v>2804</v>
      </c>
      <c r="E340" s="42" t="s">
        <v>2805</v>
      </c>
      <c r="F340" s="43" t="s">
        <v>2806</v>
      </c>
      <c r="G340" s="43" t="s">
        <v>2807</v>
      </c>
      <c r="H340" s="44" t="s">
        <v>130</v>
      </c>
      <c r="I340" s="15" t="str">
        <f>IFERROR(__xludf.DUMMYFUNCTION("GOOGLETRANSLATE(H340,""EN"",""ES"")"),"Sostenibilidad")</f>
        <v>Sostenibilidad</v>
      </c>
      <c r="J340" s="16" t="s">
        <v>35</v>
      </c>
      <c r="K340" s="48">
        <v>0.0</v>
      </c>
      <c r="L340" s="45"/>
      <c r="M340" s="18"/>
      <c r="N340" s="44" t="s">
        <v>2808</v>
      </c>
      <c r="O340" s="44" t="str">
        <f>IFERROR(__xludf.DUMMYFUNCTION("GOOGLETRANSLATE(N340,""EN"",""ES"")"),"La planta frigorífica de ILUNION no afecta directamente a las operaciones de Repsol.")</f>
        <v>La planta frigorífica de ILUNION no afecta directamente a las operaciones de Repsol.</v>
      </c>
      <c r="P340" s="30">
        <v>0.0</v>
      </c>
      <c r="Q340" s="18"/>
      <c r="R340" s="18"/>
      <c r="S340" s="52" t="s">
        <v>2584</v>
      </c>
      <c r="T340" s="22" t="s">
        <v>2585</v>
      </c>
    </row>
    <row r="341">
      <c r="A341" s="23" t="s">
        <v>2809</v>
      </c>
      <c r="B341" s="40" t="s">
        <v>21</v>
      </c>
      <c r="C341" s="41">
        <v>45316.0</v>
      </c>
      <c r="D341" s="40" t="s">
        <v>2810</v>
      </c>
      <c r="E341" s="42" t="s">
        <v>2811</v>
      </c>
      <c r="F341" s="43" t="s">
        <v>2812</v>
      </c>
      <c r="G341" s="43" t="s">
        <v>2813</v>
      </c>
      <c r="H341" s="47" t="s">
        <v>148</v>
      </c>
      <c r="I341" s="25" t="str">
        <f>IFERROR(__xludf.DUMMYFUNCTION("GOOGLETRANSLATE(H341,""EN"",""ES"")"),"Gastronomía")</f>
        <v>Gastronomía</v>
      </c>
      <c r="J341" s="26" t="s">
        <v>27</v>
      </c>
      <c r="K341" s="17">
        <v>0.0</v>
      </c>
      <c r="L341" s="54"/>
      <c r="M341" s="31"/>
      <c r="N341" s="47"/>
      <c r="O341" s="47"/>
      <c r="P341" s="20">
        <v>0.0</v>
      </c>
      <c r="Q341" s="31"/>
      <c r="R341" s="31"/>
      <c r="S341" s="53"/>
      <c r="T341" s="32"/>
    </row>
    <row r="342">
      <c r="A342" s="33" t="s">
        <v>2814</v>
      </c>
      <c r="B342" s="40" t="s">
        <v>2230</v>
      </c>
      <c r="C342" s="41">
        <v>45316.0</v>
      </c>
      <c r="D342" s="40" t="s">
        <v>2815</v>
      </c>
      <c r="E342" s="42" t="s">
        <v>2816</v>
      </c>
      <c r="F342" s="43" t="s">
        <v>2817</v>
      </c>
      <c r="G342" s="43" t="s">
        <v>2818</v>
      </c>
      <c r="H342" s="44" t="s">
        <v>969</v>
      </c>
      <c r="I342" s="15" t="str">
        <f>IFERROR(__xludf.DUMMYFUNCTION("GOOGLETRANSLATE(H342,""EN"",""ES"")"),"Turismo")</f>
        <v>Turismo</v>
      </c>
      <c r="J342" s="16" t="s">
        <v>27</v>
      </c>
      <c r="K342" s="17">
        <v>0.0</v>
      </c>
      <c r="L342" s="45"/>
      <c r="M342" s="18"/>
      <c r="N342" s="44"/>
      <c r="O342" s="44"/>
      <c r="P342" s="20">
        <v>0.0</v>
      </c>
      <c r="Q342" s="18"/>
      <c r="R342" s="18"/>
      <c r="S342" s="52"/>
      <c r="T342" s="22"/>
    </row>
    <row r="343">
      <c r="A343" s="23" t="s">
        <v>2819</v>
      </c>
      <c r="B343" s="40" t="s">
        <v>163</v>
      </c>
      <c r="C343" s="41">
        <v>45316.0</v>
      </c>
      <c r="D343" s="40" t="s">
        <v>2820</v>
      </c>
      <c r="E343" s="42" t="s">
        <v>2821</v>
      </c>
      <c r="F343" s="43" t="s">
        <v>2822</v>
      </c>
      <c r="G343" s="43" t="s">
        <v>2823</v>
      </c>
      <c r="H343" s="47" t="s">
        <v>55</v>
      </c>
      <c r="I343" s="25" t="str">
        <f>IFERROR(__xludf.DUMMYFUNCTION("GOOGLETRANSLATE(H343,""EN"",""ES"")"),"deportes de motor")</f>
        <v>deportes de motor</v>
      </c>
      <c r="J343" s="26" t="s">
        <v>27</v>
      </c>
      <c r="K343" s="17">
        <v>0.0</v>
      </c>
      <c r="L343" s="54"/>
      <c r="M343" s="31"/>
      <c r="N343" s="47"/>
      <c r="O343" s="47"/>
      <c r="P343" s="20">
        <v>0.0</v>
      </c>
      <c r="Q343" s="31"/>
      <c r="R343" s="31"/>
      <c r="S343" s="53"/>
      <c r="T343" s="32"/>
    </row>
    <row r="344">
      <c r="A344" s="33" t="s">
        <v>2824</v>
      </c>
      <c r="B344" s="40" t="s">
        <v>163</v>
      </c>
      <c r="C344" s="41">
        <v>45316.0</v>
      </c>
      <c r="D344" s="40" t="s">
        <v>2825</v>
      </c>
      <c r="E344" s="42" t="s">
        <v>2826</v>
      </c>
      <c r="F344" s="43" t="s">
        <v>2827</v>
      </c>
      <c r="G344" s="43" t="s">
        <v>2828</v>
      </c>
      <c r="H344" s="44" t="s">
        <v>782</v>
      </c>
      <c r="I344" s="15" t="str">
        <f>IFERROR(__xludf.DUMMYFUNCTION("GOOGLETRANSLATE(H344,""EN"",""ES"")"),"Tecnología")</f>
        <v>Tecnología</v>
      </c>
      <c r="J344" s="16" t="s">
        <v>27</v>
      </c>
      <c r="K344" s="17">
        <v>0.0</v>
      </c>
      <c r="L344" s="45"/>
      <c r="M344" s="18"/>
      <c r="N344" s="44"/>
      <c r="O344" s="44"/>
      <c r="P344" s="20">
        <v>0.0</v>
      </c>
      <c r="Q344" s="18"/>
      <c r="R344" s="18"/>
      <c r="S344" s="52"/>
      <c r="T344" s="22"/>
    </row>
    <row r="345">
      <c r="A345" s="23" t="s">
        <v>2829</v>
      </c>
      <c r="B345" s="40" t="s">
        <v>2442</v>
      </c>
      <c r="C345" s="41">
        <v>45316.0</v>
      </c>
      <c r="D345" s="40" t="s">
        <v>2830</v>
      </c>
      <c r="E345" s="42" t="s">
        <v>2831</v>
      </c>
      <c r="F345" s="43" t="s">
        <v>2832</v>
      </c>
      <c r="G345" s="43" t="s">
        <v>2833</v>
      </c>
      <c r="H345" s="47" t="s">
        <v>395</v>
      </c>
      <c r="I345" s="25" t="str">
        <f>IFERROR(__xludf.DUMMYFUNCTION("GOOGLETRANSLATE(H345,""EN"",""ES"")"),"Ambiente")</f>
        <v>Ambiente</v>
      </c>
      <c r="J345" s="26" t="s">
        <v>35</v>
      </c>
      <c r="K345" s="48">
        <v>-0.6</v>
      </c>
      <c r="L345" s="49" t="s">
        <v>2834</v>
      </c>
      <c r="M345" s="28" t="s">
        <v>2835</v>
      </c>
      <c r="N345" s="47" t="s">
        <v>2836</v>
      </c>
      <c r="O345" s="47" t="str">
        <f>IFERROR(__xludf.DUMMYFUNCTION("GOOGLETRANSLATE(N345,""EN"",""ES"")"),"La realización de investigaciones internas sugiere posibles preocupaciones sobre la responsabilidad de Repsol.")</f>
        <v>La realización de investigaciones internas sugiere posibles preocupaciones sobre la responsabilidad de Repsol.</v>
      </c>
      <c r="P345" s="30">
        <v>-0.5</v>
      </c>
      <c r="Q345" s="31" t="str">
        <f>IFERROR(__xludf.DUMMYFUNCTION("GOOGLETRANSLATE(R345,""ES"",""EN"")"),"scam, butane cylinders")</f>
        <v>scam, butane cylinders</v>
      </c>
      <c r="R345" s="28" t="s">
        <v>2837</v>
      </c>
      <c r="S345" s="53" t="s">
        <v>2838</v>
      </c>
      <c r="T345" s="32" t="s">
        <v>2839</v>
      </c>
    </row>
    <row r="346">
      <c r="A346" s="33" t="s">
        <v>2840</v>
      </c>
      <c r="B346" s="40" t="s">
        <v>163</v>
      </c>
      <c r="C346" s="41">
        <v>45316.0</v>
      </c>
      <c r="D346" s="40" t="s">
        <v>2841</v>
      </c>
      <c r="E346" s="42" t="s">
        <v>2842</v>
      </c>
      <c r="F346" s="43" t="s">
        <v>2843</v>
      </c>
      <c r="G346" s="43" t="s">
        <v>2844</v>
      </c>
      <c r="H346" s="44" t="s">
        <v>130</v>
      </c>
      <c r="I346" s="15" t="str">
        <f>IFERROR(__xludf.DUMMYFUNCTION("GOOGLETRANSLATE(H346,""EN"",""ES"")"),"Sostenibilidad")</f>
        <v>Sostenibilidad</v>
      </c>
      <c r="J346" s="16" t="s">
        <v>35</v>
      </c>
      <c r="K346" s="48">
        <v>0.7</v>
      </c>
      <c r="L346" s="51" t="s">
        <v>2845</v>
      </c>
      <c r="M346" s="34" t="s">
        <v>2846</v>
      </c>
      <c r="N346" s="44" t="s">
        <v>2847</v>
      </c>
      <c r="O346" s="44" t="str">
        <f>IFERROR(__xludf.DUMMYFUNCTION("GOOGLETRANSLATE(N346,""EN"",""ES"")"),"Ampliar la oferta de productos sostenibles potencia la estrategia de energía verde de Repsol.")</f>
        <v>Ampliar la oferta de productos sostenibles potencia la estrategia de energía verde de Repsol.</v>
      </c>
      <c r="P346" s="30">
        <v>0.0</v>
      </c>
      <c r="Q346" s="18"/>
      <c r="R346" s="18"/>
      <c r="S346" s="52" t="s">
        <v>2584</v>
      </c>
      <c r="T346" s="22" t="s">
        <v>2585</v>
      </c>
    </row>
    <row r="347">
      <c r="A347" s="23" t="s">
        <v>2848</v>
      </c>
      <c r="B347" s="40" t="s">
        <v>2849</v>
      </c>
      <c r="C347" s="41">
        <v>45316.0</v>
      </c>
      <c r="D347" s="40" t="s">
        <v>2850</v>
      </c>
      <c r="E347" s="42" t="s">
        <v>2851</v>
      </c>
      <c r="F347" s="43" t="s">
        <v>2852</v>
      </c>
      <c r="G347" s="43" t="s">
        <v>2853</v>
      </c>
      <c r="H347" s="47" t="s">
        <v>395</v>
      </c>
      <c r="I347" s="25" t="str">
        <f>IFERROR(__xludf.DUMMYFUNCTION("GOOGLETRANSLATE(H347,""EN"",""ES"")"),"Ambiente")</f>
        <v>Ambiente</v>
      </c>
      <c r="J347" s="26" t="s">
        <v>35</v>
      </c>
      <c r="K347" s="48">
        <v>-0.8</v>
      </c>
      <c r="L347" s="49" t="s">
        <v>2854</v>
      </c>
      <c r="M347" s="28" t="s">
        <v>2855</v>
      </c>
      <c r="N347" s="47" t="s">
        <v>2856</v>
      </c>
      <c r="O347" s="47" t="str">
        <f>IFERROR(__xludf.DUMMYFUNCTION("GOOGLETRANSLATE(N347,""EN"",""ES"")"),"Los vertidos de petróleo refuerzan el sentimiento negativo en torno al impacto medioambiental de Repsol.")</f>
        <v>Los vertidos de petróleo refuerzan el sentimiento negativo en torno al impacto medioambiental de Repsol.</v>
      </c>
      <c r="P347" s="30">
        <v>-0.7</v>
      </c>
      <c r="Q347" s="31" t="str">
        <f>IFERROR(__xludf.DUMMYFUNCTION("GOOGLETRANSLATE(R347,""ES"",""EN"")"),"oil spill, hazardous materials")</f>
        <v>oil spill, hazardous materials</v>
      </c>
      <c r="R347" s="28" t="s">
        <v>2857</v>
      </c>
      <c r="S347" s="53" t="s">
        <v>2858</v>
      </c>
      <c r="T347" s="32" t="s">
        <v>2859</v>
      </c>
    </row>
    <row r="348">
      <c r="A348" s="33" t="s">
        <v>2860</v>
      </c>
      <c r="B348" s="40" t="s">
        <v>2861</v>
      </c>
      <c r="C348" s="41">
        <v>45316.0</v>
      </c>
      <c r="D348" s="40" t="s">
        <v>2862</v>
      </c>
      <c r="E348" s="42" t="s">
        <v>2863</v>
      </c>
      <c r="F348" s="43" t="s">
        <v>2864</v>
      </c>
      <c r="G348" s="43" t="s">
        <v>2865</v>
      </c>
      <c r="H348" s="44" t="s">
        <v>395</v>
      </c>
      <c r="I348" s="15" t="str">
        <f>IFERROR(__xludf.DUMMYFUNCTION("GOOGLETRANSLATE(H348,""EN"",""ES"")"),"Ambiente")</f>
        <v>Ambiente</v>
      </c>
      <c r="J348" s="16" t="s">
        <v>35</v>
      </c>
      <c r="K348" s="48">
        <v>-0.8</v>
      </c>
      <c r="L348" s="51" t="s">
        <v>2866</v>
      </c>
      <c r="M348" s="34" t="s">
        <v>2867</v>
      </c>
      <c r="N348" s="44" t="s">
        <v>2868</v>
      </c>
      <c r="O348" s="44" t="str">
        <f>IFERROR(__xludf.DUMMYFUNCTION("GOOGLETRANSLATE(N348,""EN"",""ES"")"),"Los incidentes de derrames aumentan la preocupación sobre la gestión ambiental de Repsol.")</f>
        <v>Los incidentes de derrames aumentan la preocupación sobre la gestión ambiental de Repsol.</v>
      </c>
      <c r="P348" s="30">
        <v>-0.7</v>
      </c>
      <c r="Q348" s="18" t="str">
        <f>IFERROR(__xludf.DUMMYFUNCTION("GOOGLETRANSLATE(R348,""ES"",""EN"")"),"oil spill, Repsol tap")</f>
        <v>oil spill, Repsol tap</v>
      </c>
      <c r="R348" s="34" t="s">
        <v>2869</v>
      </c>
      <c r="S348" s="52" t="s">
        <v>2858</v>
      </c>
      <c r="T348" s="22" t="s">
        <v>2859</v>
      </c>
    </row>
    <row r="349">
      <c r="A349" s="23" t="s">
        <v>2870</v>
      </c>
      <c r="B349" s="40" t="s">
        <v>674</v>
      </c>
      <c r="C349" s="41">
        <v>45317.0</v>
      </c>
      <c r="D349" s="40" t="s">
        <v>2871</v>
      </c>
      <c r="E349" s="42" t="s">
        <v>2872</v>
      </c>
      <c r="F349" s="43" t="s">
        <v>2873</v>
      </c>
      <c r="G349" s="43" t="s">
        <v>2874</v>
      </c>
      <c r="H349" s="47" t="s">
        <v>2447</v>
      </c>
      <c r="I349" s="25" t="str">
        <f>IFERROR(__xludf.DUMMYFUNCTION("GOOGLETRANSLATE(H349,""EN"",""ES"")"),"Asuntos del Consumidor")</f>
        <v>Asuntos del Consumidor</v>
      </c>
      <c r="J349" s="26" t="s">
        <v>35</v>
      </c>
      <c r="K349" s="48">
        <v>-0.5</v>
      </c>
      <c r="L349" s="49" t="s">
        <v>2875</v>
      </c>
      <c r="M349" s="28" t="s">
        <v>2876</v>
      </c>
      <c r="N349" s="47" t="s">
        <v>2877</v>
      </c>
      <c r="O349" s="47" t="str">
        <f>IFERROR(__xludf.DUMMYFUNCTION("GOOGLETRANSLATE(N349,""EN"",""ES"")"),"Las advertencias de los consumidores podrían afectar la percepción pública de la oferta de combustibles de Repsol.")</f>
        <v>Las advertencias de los consumidores podrían afectar la percepción pública de la oferta de combustibles de Repsol.</v>
      </c>
      <c r="P349" s="30">
        <v>0.0</v>
      </c>
      <c r="Q349" s="31"/>
      <c r="R349" s="31"/>
      <c r="S349" s="53" t="s">
        <v>2584</v>
      </c>
      <c r="T349" s="32" t="s">
        <v>2585</v>
      </c>
    </row>
    <row r="350">
      <c r="A350" s="33" t="s">
        <v>2878</v>
      </c>
      <c r="B350" s="40" t="s">
        <v>43</v>
      </c>
      <c r="C350" s="41">
        <v>45317.0</v>
      </c>
      <c r="D350" s="40" t="s">
        <v>2879</v>
      </c>
      <c r="E350" s="42" t="s">
        <v>2880</v>
      </c>
      <c r="F350" s="43" t="s">
        <v>2881</v>
      </c>
      <c r="G350" s="43" t="s">
        <v>2882</v>
      </c>
      <c r="H350" s="44" t="s">
        <v>130</v>
      </c>
      <c r="I350" s="15" t="str">
        <f>IFERROR(__xludf.DUMMYFUNCTION("GOOGLETRANSLATE(H350,""EN"",""ES"")"),"Sostenibilidad")</f>
        <v>Sostenibilidad</v>
      </c>
      <c r="J350" s="16" t="s">
        <v>35</v>
      </c>
      <c r="K350" s="48">
        <v>0.7</v>
      </c>
      <c r="L350" s="51" t="s">
        <v>2883</v>
      </c>
      <c r="M350" s="34" t="s">
        <v>2884</v>
      </c>
      <c r="N350" s="44" t="s">
        <v>2885</v>
      </c>
      <c r="O350" s="44" t="str">
        <f>IFERROR(__xludf.DUMMYFUNCTION("GOOGLETRANSLATE(N350,""EN"",""ES"")"),"La expansión de los biocombustibles refuerza el papel de Repsol en la energía sostenible.")</f>
        <v>La expansión de los biocombustibles refuerza el papel de Repsol en la energía sostenible.</v>
      </c>
      <c r="P350" s="30">
        <v>0.9</v>
      </c>
      <c r="Q350" s="18" t="str">
        <f>IFERROR(__xludf.DUMMYFUNCTION("GOOGLETRANSLATE(R350,""ES"",""EN"")"),"fuels from used oils, renewable gasoline")</f>
        <v>fuels from used oils, renewable gasoline</v>
      </c>
      <c r="R350" s="34" t="s">
        <v>2886</v>
      </c>
      <c r="S350" s="52" t="s">
        <v>2887</v>
      </c>
      <c r="T350" s="22" t="s">
        <v>2888</v>
      </c>
    </row>
    <row r="351">
      <c r="A351" s="23" t="s">
        <v>2889</v>
      </c>
      <c r="B351" s="40" t="s">
        <v>1005</v>
      </c>
      <c r="C351" s="41">
        <v>45317.0</v>
      </c>
      <c r="D351" s="40" t="s">
        <v>2890</v>
      </c>
      <c r="E351" s="42" t="s">
        <v>2891</v>
      </c>
      <c r="F351" s="43" t="s">
        <v>2892</v>
      </c>
      <c r="G351" s="43" t="s">
        <v>2893</v>
      </c>
      <c r="H351" s="47" t="s">
        <v>899</v>
      </c>
      <c r="I351" s="25" t="str">
        <f>IFERROR(__xludf.DUMMYFUNCTION("GOOGLETRANSLATE(H351,""EN"",""ES"")"),"Relaciones Laborales")</f>
        <v>Relaciones Laborales</v>
      </c>
      <c r="J351" s="26" t="s">
        <v>35</v>
      </c>
      <c r="K351" s="48">
        <v>-0.6</v>
      </c>
      <c r="L351" s="49" t="s">
        <v>2894</v>
      </c>
      <c r="M351" s="28" t="s">
        <v>2895</v>
      </c>
      <c r="N351" s="47" t="s">
        <v>2896</v>
      </c>
      <c r="O351" s="47" t="str">
        <f>IFERROR(__xludf.DUMMYFUNCTION("GOOGLETRANSLATE(N351,""EN"",""ES"")"),"Las huelgas de trabajadores en las instalaciones de Repsol pueden perturbar las operaciones y crear tensiones laborales.")</f>
        <v>Las huelgas de trabajadores en las instalaciones de Repsol pueden perturbar las operaciones y crear tensiones laborales.</v>
      </c>
      <c r="P351" s="30">
        <v>-0.4</v>
      </c>
      <c r="Q351" s="31" t="str">
        <f>IFERROR(__xludf.DUMMYFUNCTION("GOOGLETRANSLATE(R351,""ES"",""EN"")"),"security guards, A Coruña refinery")</f>
        <v>security guards, A Coruña refinery</v>
      </c>
      <c r="R351" s="28" t="s">
        <v>2897</v>
      </c>
      <c r="S351" s="53" t="s">
        <v>2898</v>
      </c>
      <c r="T351" s="32" t="s">
        <v>1829</v>
      </c>
    </row>
    <row r="352">
      <c r="A352" s="33" t="s">
        <v>2899</v>
      </c>
      <c r="B352" s="40" t="s">
        <v>2527</v>
      </c>
      <c r="C352" s="41">
        <v>45317.0</v>
      </c>
      <c r="D352" s="40" t="s">
        <v>2900</v>
      </c>
      <c r="E352" s="42" t="s">
        <v>2901</v>
      </c>
      <c r="F352" s="43" t="s">
        <v>2902</v>
      </c>
      <c r="G352" s="43" t="s">
        <v>2903</v>
      </c>
      <c r="H352" s="44" t="s">
        <v>408</v>
      </c>
      <c r="I352" s="15" t="str">
        <f>IFERROR(__xludf.DUMMYFUNCTION("GOOGLETRANSLATE(H352,""EN"",""ES"")"),"Legal")</f>
        <v>Legal</v>
      </c>
      <c r="J352" s="16" t="s">
        <v>35</v>
      </c>
      <c r="K352" s="48">
        <v>0.5</v>
      </c>
      <c r="L352" s="51" t="s">
        <v>2904</v>
      </c>
      <c r="M352" s="34" t="s">
        <v>2905</v>
      </c>
      <c r="N352" s="44" t="s">
        <v>2906</v>
      </c>
      <c r="O352" s="44" t="str">
        <f>IFERROR(__xludf.DUMMYFUNCTION("GOOGLETRANSLATE(N352,""EN"",""ES"")"),"Una sentencia judicial favorable puede estabilizar el liderazgo de Repsol y la confianza de los inversores.")</f>
        <v>Una sentencia judicial favorable puede estabilizar el liderazgo de Repsol y la confianza de los inversores.</v>
      </c>
      <c r="P352" s="30">
        <v>0.0</v>
      </c>
      <c r="Q352" s="18"/>
      <c r="R352" s="18"/>
      <c r="S352" s="52" t="s">
        <v>2557</v>
      </c>
      <c r="T352" s="22" t="s">
        <v>2558</v>
      </c>
    </row>
    <row r="353">
      <c r="A353" s="23" t="s">
        <v>2907</v>
      </c>
      <c r="B353" s="40" t="s">
        <v>85</v>
      </c>
      <c r="C353" s="41">
        <v>45317.0</v>
      </c>
      <c r="D353" s="40" t="s">
        <v>2908</v>
      </c>
      <c r="E353" s="42" t="s">
        <v>2909</v>
      </c>
      <c r="F353" s="43" t="s">
        <v>2910</v>
      </c>
      <c r="G353" s="43" t="s">
        <v>2911</v>
      </c>
      <c r="H353" s="47" t="s">
        <v>148</v>
      </c>
      <c r="I353" s="25" t="str">
        <f>IFERROR(__xludf.DUMMYFUNCTION("GOOGLETRANSLATE(H353,""EN"",""ES"")"),"Gastronomía")</f>
        <v>Gastronomía</v>
      </c>
      <c r="J353" s="26" t="s">
        <v>27</v>
      </c>
      <c r="K353" s="17">
        <v>0.0</v>
      </c>
      <c r="L353" s="54"/>
      <c r="M353" s="31"/>
      <c r="N353" s="47"/>
      <c r="O353" s="47"/>
      <c r="P353" s="20">
        <v>0.0</v>
      </c>
      <c r="Q353" s="31"/>
      <c r="R353" s="31"/>
      <c r="S353" s="53"/>
      <c r="T353" s="32"/>
    </row>
    <row r="354">
      <c r="A354" s="33" t="s">
        <v>2912</v>
      </c>
      <c r="B354" s="40" t="s">
        <v>21</v>
      </c>
      <c r="C354" s="41">
        <v>45317.0</v>
      </c>
      <c r="D354" s="40" t="s">
        <v>2913</v>
      </c>
      <c r="E354" s="42" t="s">
        <v>2914</v>
      </c>
      <c r="F354" s="43" t="s">
        <v>2915</v>
      </c>
      <c r="G354" s="43" t="s">
        <v>2916</v>
      </c>
      <c r="H354" s="44" t="s">
        <v>148</v>
      </c>
      <c r="I354" s="15" t="str">
        <f>IFERROR(__xludf.DUMMYFUNCTION("GOOGLETRANSLATE(H354,""EN"",""ES"")"),"Gastronomía")</f>
        <v>Gastronomía</v>
      </c>
      <c r="J354" s="16" t="s">
        <v>27</v>
      </c>
      <c r="K354" s="17">
        <v>0.0</v>
      </c>
      <c r="L354" s="45"/>
      <c r="M354" s="18"/>
      <c r="N354" s="44"/>
      <c r="O354" s="44"/>
      <c r="P354" s="20">
        <v>0.0</v>
      </c>
      <c r="Q354" s="18"/>
      <c r="R354" s="18"/>
      <c r="S354" s="52"/>
      <c r="T354" s="22"/>
    </row>
    <row r="355">
      <c r="A355" s="23" t="s">
        <v>2917</v>
      </c>
      <c r="B355" s="40" t="s">
        <v>2918</v>
      </c>
      <c r="C355" s="41">
        <v>45317.0</v>
      </c>
      <c r="D355" s="40" t="s">
        <v>2919</v>
      </c>
      <c r="E355" s="42" t="s">
        <v>2920</v>
      </c>
      <c r="F355" s="43" t="s">
        <v>2921</v>
      </c>
      <c r="G355" s="43" t="s">
        <v>2922</v>
      </c>
      <c r="H355" s="47" t="s">
        <v>975</v>
      </c>
      <c r="I355" s="25" t="str">
        <f>IFERROR(__xludf.DUMMYFUNCTION("GOOGLETRANSLATE(H355,""EN"",""ES"")"),"Patrocinio")</f>
        <v>Patrocinio</v>
      </c>
      <c r="J355" s="26" t="s">
        <v>27</v>
      </c>
      <c r="K355" s="17">
        <v>0.0</v>
      </c>
      <c r="L355" s="54"/>
      <c r="M355" s="31"/>
      <c r="N355" s="47"/>
      <c r="O355" s="47"/>
      <c r="P355" s="20">
        <v>0.0</v>
      </c>
      <c r="Q355" s="31"/>
      <c r="R355" s="31"/>
      <c r="S355" s="53"/>
      <c r="T355" s="32"/>
    </row>
    <row r="356">
      <c r="A356" s="33" t="s">
        <v>2923</v>
      </c>
      <c r="B356" s="40" t="s">
        <v>1751</v>
      </c>
      <c r="C356" s="41">
        <v>45317.0</v>
      </c>
      <c r="D356" s="40" t="s">
        <v>2924</v>
      </c>
      <c r="E356" s="42" t="s">
        <v>2925</v>
      </c>
      <c r="F356" s="43" t="s">
        <v>2926</v>
      </c>
      <c r="G356" s="43" t="s">
        <v>2927</v>
      </c>
      <c r="H356" s="44" t="s">
        <v>975</v>
      </c>
      <c r="I356" s="15" t="str">
        <f>IFERROR(__xludf.DUMMYFUNCTION("GOOGLETRANSLATE(H356,""EN"",""ES"")"),"Patrocinio")</f>
        <v>Patrocinio</v>
      </c>
      <c r="J356" s="16" t="s">
        <v>27</v>
      </c>
      <c r="K356" s="17">
        <v>0.0</v>
      </c>
      <c r="L356" s="45"/>
      <c r="M356" s="18"/>
      <c r="N356" s="44"/>
      <c r="O356" s="44"/>
      <c r="P356" s="20">
        <v>0.0</v>
      </c>
      <c r="Q356" s="18"/>
      <c r="R356" s="18"/>
      <c r="S356" s="52"/>
      <c r="T356" s="22"/>
    </row>
    <row r="357">
      <c r="A357" s="23" t="s">
        <v>2928</v>
      </c>
      <c r="B357" s="40" t="s">
        <v>1869</v>
      </c>
      <c r="C357" s="41">
        <v>45317.0</v>
      </c>
      <c r="D357" s="40" t="s">
        <v>2929</v>
      </c>
      <c r="E357" s="42" t="s">
        <v>2930</v>
      </c>
      <c r="F357" s="43" t="s">
        <v>2931</v>
      </c>
      <c r="G357" s="43" t="s">
        <v>2932</v>
      </c>
      <c r="H357" s="47" t="s">
        <v>55</v>
      </c>
      <c r="I357" s="25" t="str">
        <f>IFERROR(__xludf.DUMMYFUNCTION("GOOGLETRANSLATE(H357,""EN"",""ES"")"),"deportes de motor")</f>
        <v>deportes de motor</v>
      </c>
      <c r="J357" s="26" t="s">
        <v>27</v>
      </c>
      <c r="K357" s="17">
        <v>0.0</v>
      </c>
      <c r="L357" s="54"/>
      <c r="M357" s="31"/>
      <c r="N357" s="47"/>
      <c r="O357" s="47"/>
      <c r="P357" s="20">
        <v>0.0</v>
      </c>
      <c r="Q357" s="31"/>
      <c r="R357" s="31"/>
      <c r="S357" s="53"/>
      <c r="T357" s="32"/>
    </row>
    <row r="358">
      <c r="A358" s="33" t="s">
        <v>2933</v>
      </c>
      <c r="B358" s="40" t="s">
        <v>2934</v>
      </c>
      <c r="C358" s="41">
        <v>45317.0</v>
      </c>
      <c r="D358" s="40" t="s">
        <v>2935</v>
      </c>
      <c r="E358" s="42" t="s">
        <v>2936</v>
      </c>
      <c r="F358" s="43" t="s">
        <v>2937</v>
      </c>
      <c r="G358" s="43" t="s">
        <v>2938</v>
      </c>
      <c r="H358" s="44" t="s">
        <v>395</v>
      </c>
      <c r="I358" s="15" t="str">
        <f>IFERROR(__xludf.DUMMYFUNCTION("GOOGLETRANSLATE(H358,""EN"",""ES"")"),"Ambiente")</f>
        <v>Ambiente</v>
      </c>
      <c r="J358" s="16" t="s">
        <v>35</v>
      </c>
      <c r="K358" s="48">
        <v>-0.7</v>
      </c>
      <c r="L358" s="51" t="s">
        <v>2939</v>
      </c>
      <c r="M358" s="34" t="s">
        <v>2940</v>
      </c>
      <c r="N358" s="44" t="s">
        <v>2941</v>
      </c>
      <c r="O358" s="44" t="str">
        <f>IFERROR(__xludf.DUMMYFUNCTION("GOOGLETRANSLATE(N358,""EN"",""ES"")"),"Las investigaciones medioambientales sobre vertidos refuerzan el sentimiento negativo hacia Repsol.")</f>
        <v>Las investigaciones medioambientales sobre vertidos refuerzan el sentimiento negativo hacia Repsol.</v>
      </c>
      <c r="P358" s="30">
        <v>-0.7</v>
      </c>
      <c r="Q358" s="18" t="str">
        <f>IFERROR(__xludf.DUMMYFUNCTION("GOOGLETRANSLATE(R358,""ES"",""EN"")"),"hydrocarbon spill, OEFA")</f>
        <v>hydrocarbon spill, OEFA</v>
      </c>
      <c r="R358" s="34" t="s">
        <v>2942</v>
      </c>
      <c r="S358" s="52" t="s">
        <v>2858</v>
      </c>
      <c r="T358" s="22" t="s">
        <v>2859</v>
      </c>
    </row>
    <row r="359">
      <c r="A359" s="23" t="s">
        <v>2943</v>
      </c>
      <c r="B359" s="40" t="s">
        <v>2944</v>
      </c>
      <c r="C359" s="41">
        <v>45318.0</v>
      </c>
      <c r="D359" s="40" t="s">
        <v>2945</v>
      </c>
      <c r="E359" s="42" t="s">
        <v>2946</v>
      </c>
      <c r="F359" s="43" t="s">
        <v>2947</v>
      </c>
      <c r="G359" s="43" t="s">
        <v>2948</v>
      </c>
      <c r="H359" s="47" t="s">
        <v>130</v>
      </c>
      <c r="I359" s="25" t="str">
        <f>IFERROR(__xludf.DUMMYFUNCTION("GOOGLETRANSLATE(H359,""EN"",""ES"")"),"Sostenibilidad")</f>
        <v>Sostenibilidad</v>
      </c>
      <c r="J359" s="26" t="s">
        <v>27</v>
      </c>
      <c r="K359" s="48">
        <v>0.0</v>
      </c>
      <c r="L359" s="54"/>
      <c r="M359" s="31"/>
      <c r="N359" s="47" t="s">
        <v>2949</v>
      </c>
      <c r="O359" s="47" t="str">
        <f>IFERROR(__xludf.DUMMYFUNCTION("GOOGLETRANSLATE(N359,""EN"",""ES"")"),"Las certificaciones ambientales no impactan directamente en el negocio de Repsol.")</f>
        <v>Las certificaciones ambientales no impactan directamente en el negocio de Repsol.</v>
      </c>
      <c r="P359" s="30">
        <v>0.0</v>
      </c>
      <c r="Q359" s="31" t="str">
        <f>IFERROR(__xludf.DUMMYFUNCTION("GOOGLETRANSLATE(R359,""ES"",""EN"")"),"sealing of wells, underwater gas")</f>
        <v>sealing of wells, underwater gas</v>
      </c>
      <c r="R359" s="28" t="s">
        <v>2950</v>
      </c>
      <c r="S359" s="53" t="s">
        <v>2557</v>
      </c>
      <c r="T359" s="32" t="s">
        <v>2558</v>
      </c>
    </row>
    <row r="360">
      <c r="A360" s="33" t="s">
        <v>2951</v>
      </c>
      <c r="B360" s="40" t="s">
        <v>2952</v>
      </c>
      <c r="C360" s="41">
        <v>45318.0</v>
      </c>
      <c r="D360" s="40" t="s">
        <v>2953</v>
      </c>
      <c r="E360" s="42" t="s">
        <v>2954</v>
      </c>
      <c r="F360" s="43" t="s">
        <v>2955</v>
      </c>
      <c r="G360" s="43" t="s">
        <v>2956</v>
      </c>
      <c r="H360" s="44" t="s">
        <v>130</v>
      </c>
      <c r="I360" s="15" t="str">
        <f>IFERROR(__xludf.DUMMYFUNCTION("GOOGLETRANSLATE(H360,""EN"",""ES"")"),"Sostenibilidad")</f>
        <v>Sostenibilidad</v>
      </c>
      <c r="J360" s="16" t="s">
        <v>35</v>
      </c>
      <c r="K360" s="48">
        <v>0.7</v>
      </c>
      <c r="L360" s="51" t="s">
        <v>2957</v>
      </c>
      <c r="M360" s="34" t="s">
        <v>2958</v>
      </c>
      <c r="N360" s="44" t="s">
        <v>2959</v>
      </c>
      <c r="O360" s="44" t="str">
        <f>IFERROR(__xludf.DUMMYFUNCTION("GOOGLETRANSLATE(N360,""EN"",""ES"")"),"La ampliación del uso de combustibles renovables en las principales ubicaciones respalda la imagen de energía verde de Repsol.")</f>
        <v>La ampliación del uso de combustibles renovables en las principales ubicaciones respalda la imagen de energía verde de Repsol.</v>
      </c>
      <c r="P360" s="30">
        <v>0.9</v>
      </c>
      <c r="Q360" s="18" t="str">
        <f>IFERROR(__xludf.DUMMYFUNCTION("GOOGLETRANSLATE(R360,""ES"",""EN"")"),"100% renewable fuel, Sierra Nevada")</f>
        <v>100% renewable fuel, Sierra Nevada</v>
      </c>
      <c r="R360" s="34" t="s">
        <v>2960</v>
      </c>
      <c r="S360" s="52" t="s">
        <v>2961</v>
      </c>
      <c r="T360" s="22" t="s">
        <v>2962</v>
      </c>
    </row>
    <row r="361">
      <c r="A361" s="23" t="s">
        <v>2963</v>
      </c>
      <c r="B361" s="40" t="s">
        <v>2964</v>
      </c>
      <c r="C361" s="41">
        <v>45318.0</v>
      </c>
      <c r="D361" s="40" t="s">
        <v>2965</v>
      </c>
      <c r="E361" s="42" t="s">
        <v>2966</v>
      </c>
      <c r="F361" s="43" t="s">
        <v>2967</v>
      </c>
      <c r="G361" s="43" t="s">
        <v>2968</v>
      </c>
      <c r="H361" s="47" t="s">
        <v>130</v>
      </c>
      <c r="I361" s="25" t="str">
        <f>IFERROR(__xludf.DUMMYFUNCTION("GOOGLETRANSLATE(H361,""EN"",""ES"")"),"Sostenibilidad")</f>
        <v>Sostenibilidad</v>
      </c>
      <c r="J361" s="26" t="s">
        <v>35</v>
      </c>
      <c r="K361" s="48">
        <v>0.7</v>
      </c>
      <c r="L361" s="49" t="s">
        <v>2969</v>
      </c>
      <c r="M361" s="28" t="s">
        <v>2970</v>
      </c>
      <c r="N361" s="47" t="s">
        <v>2971</v>
      </c>
      <c r="O361" s="47" t="str">
        <f>IFERROR(__xludf.DUMMYFUNCTION("GOOGLETRANSLATE(N361,""EN"",""ES"")"),"La implicación de Repsol en el uso sostenible de combustibles refuerza su compromiso con las iniciativas verdes.")</f>
        <v>La implicación de Repsol en el uso sostenible de combustibles refuerza su compromiso con las iniciativas verdes.</v>
      </c>
      <c r="P361" s="30">
        <v>0.9</v>
      </c>
      <c r="Q361" s="31" t="str">
        <f>IFERROR(__xludf.DUMMYFUNCTION("GOOGLETRANSLATE(R361,""ES"",""EN"")"),"100% renewable fuel, Sierra Nevada")</f>
        <v>100% renewable fuel, Sierra Nevada</v>
      </c>
      <c r="R361" s="28" t="s">
        <v>2960</v>
      </c>
      <c r="S361" s="53" t="s">
        <v>2961</v>
      </c>
      <c r="T361" s="32" t="s">
        <v>2962</v>
      </c>
    </row>
    <row r="362">
      <c r="A362" s="33" t="s">
        <v>2972</v>
      </c>
      <c r="B362" s="40" t="s">
        <v>2973</v>
      </c>
      <c r="C362" s="41">
        <v>45319.0</v>
      </c>
      <c r="D362" s="40" t="s">
        <v>2974</v>
      </c>
      <c r="E362" s="42" t="s">
        <v>2975</v>
      </c>
      <c r="F362" s="43" t="s">
        <v>2976</v>
      </c>
      <c r="G362" s="43" t="s">
        <v>2977</v>
      </c>
      <c r="H362" s="44" t="s">
        <v>130</v>
      </c>
      <c r="I362" s="15" t="str">
        <f>IFERROR(__xludf.DUMMYFUNCTION("GOOGLETRANSLATE(H362,""EN"",""ES"")"),"Sostenibilidad")</f>
        <v>Sostenibilidad</v>
      </c>
      <c r="J362" s="16" t="s">
        <v>35</v>
      </c>
      <c r="K362" s="48">
        <v>0.7</v>
      </c>
      <c r="L362" s="51" t="s">
        <v>2978</v>
      </c>
      <c r="M362" s="34" t="s">
        <v>2979</v>
      </c>
      <c r="N362" s="44" t="s">
        <v>2980</v>
      </c>
      <c r="O362" s="44" t="str">
        <f>IFERROR(__xludf.DUMMYFUNCTION("GOOGLETRANSLATE(N362,""EN"",""ES"")"),"La alianza con universidades fortalece la experiencia y credibilidad de Repsol en energía sostenible.")</f>
        <v>La alianza con universidades fortalece la experiencia y credibilidad de Repsol en energía sostenible.</v>
      </c>
      <c r="P362" s="30">
        <v>0.0</v>
      </c>
      <c r="Q362" s="18"/>
      <c r="R362" s="18"/>
      <c r="S362" s="52" t="s">
        <v>2557</v>
      </c>
      <c r="T362" s="22" t="s">
        <v>2558</v>
      </c>
    </row>
    <row r="363">
      <c r="A363" s="23" t="s">
        <v>2981</v>
      </c>
      <c r="B363" s="40" t="s">
        <v>50</v>
      </c>
      <c r="C363" s="41">
        <v>45319.0</v>
      </c>
      <c r="D363" s="40" t="s">
        <v>2982</v>
      </c>
      <c r="E363" s="42" t="s">
        <v>2983</v>
      </c>
      <c r="F363" s="43" t="s">
        <v>2984</v>
      </c>
      <c r="G363" s="43" t="s">
        <v>2985</v>
      </c>
      <c r="H363" s="47" t="s">
        <v>130</v>
      </c>
      <c r="I363" s="25" t="str">
        <f>IFERROR(__xludf.DUMMYFUNCTION("GOOGLETRANSLATE(H363,""EN"",""ES"")"),"Sostenibilidad")</f>
        <v>Sostenibilidad</v>
      </c>
      <c r="J363" s="26" t="s">
        <v>35</v>
      </c>
      <c r="K363" s="48">
        <v>0.7</v>
      </c>
      <c r="L363" s="49" t="s">
        <v>2986</v>
      </c>
      <c r="M363" s="28" t="s">
        <v>2987</v>
      </c>
      <c r="N363" s="47" t="s">
        <v>2988</v>
      </c>
      <c r="O363" s="47" t="str">
        <f>IFERROR(__xludf.DUMMYFUNCTION("GOOGLETRANSLATE(N363,""EN"",""ES"")"),"Incentivar el reciclaje promueve los esfuerzos de economía circular y la responsabilidad ambiental de Repsol.")</f>
        <v>Incentivar el reciclaje promueve los esfuerzos de economía circular y la responsabilidad ambiental de Repsol.</v>
      </c>
      <c r="P363" s="30">
        <v>0.8</v>
      </c>
      <c r="Q363" s="31" t="str">
        <f>IFERROR(__xludf.DUMMYFUNCTION("GOOGLETRANSLATE(R363,""ES"",""EN"")"),"used cooking oil, renewable gasoline")</f>
        <v>used cooking oil, renewable gasoline</v>
      </c>
      <c r="R363" s="28" t="s">
        <v>2989</v>
      </c>
      <c r="S363" s="53" t="s">
        <v>2990</v>
      </c>
      <c r="T363" s="32" t="s">
        <v>2991</v>
      </c>
    </row>
    <row r="364">
      <c r="A364" s="33" t="s">
        <v>2992</v>
      </c>
      <c r="B364" s="40" t="s">
        <v>499</v>
      </c>
      <c r="C364" s="41">
        <v>45319.0</v>
      </c>
      <c r="D364" s="40" t="s">
        <v>2993</v>
      </c>
      <c r="E364" s="42" t="s">
        <v>2994</v>
      </c>
      <c r="F364" s="43" t="s">
        <v>2995</v>
      </c>
      <c r="G364" s="43" t="s">
        <v>2996</v>
      </c>
      <c r="H364" s="44" t="s">
        <v>62</v>
      </c>
      <c r="I364" s="15" t="str">
        <f>IFERROR(__xludf.DUMMYFUNCTION("GOOGLETRANSLATE(H364,""EN"",""ES"")"),"Energía")</f>
        <v>Energía</v>
      </c>
      <c r="J364" s="16" t="s">
        <v>35</v>
      </c>
      <c r="K364" s="48">
        <v>0.0</v>
      </c>
      <c r="L364" s="45"/>
      <c r="M364" s="18"/>
      <c r="N364" s="44" t="s">
        <v>2997</v>
      </c>
      <c r="O364" s="44" t="str">
        <f>IFERROR(__xludf.DUMMYFUNCTION("GOOGLETRANSLATE(N364,""EN"",""ES"")"),"La evolución general del suministro energético no impacta directamente en Repsol.")</f>
        <v>La evolución general del suministro energético no impacta directamente en Repsol.</v>
      </c>
      <c r="P364" s="30">
        <v>0.0</v>
      </c>
      <c r="Q364" s="18"/>
      <c r="R364" s="18"/>
      <c r="S364" s="52" t="s">
        <v>2584</v>
      </c>
      <c r="T364" s="22" t="s">
        <v>2585</v>
      </c>
    </row>
    <row r="365">
      <c r="A365" s="23" t="s">
        <v>2998</v>
      </c>
      <c r="B365" s="40" t="s">
        <v>85</v>
      </c>
      <c r="C365" s="41">
        <v>45319.0</v>
      </c>
      <c r="D365" s="40" t="s">
        <v>2999</v>
      </c>
      <c r="E365" s="42" t="s">
        <v>3000</v>
      </c>
      <c r="F365" s="43" t="s">
        <v>3001</v>
      </c>
      <c r="G365" s="43" t="s">
        <v>3002</v>
      </c>
      <c r="H365" s="47" t="s">
        <v>3003</v>
      </c>
      <c r="I365" s="25" t="str">
        <f>IFERROR(__xludf.DUMMYFUNCTION("GOOGLETRANSLATE(H365,""EN"",""ES"")"),"Bienes raíces")</f>
        <v>Bienes raíces</v>
      </c>
      <c r="J365" s="26" t="s">
        <v>27</v>
      </c>
      <c r="K365" s="17">
        <v>0.0</v>
      </c>
      <c r="L365" s="54"/>
      <c r="M365" s="31"/>
      <c r="N365" s="47"/>
      <c r="O365" s="47"/>
      <c r="P365" s="20">
        <v>0.0</v>
      </c>
      <c r="Q365" s="31"/>
      <c r="R365" s="31"/>
      <c r="S365" s="53"/>
      <c r="T365" s="32"/>
    </row>
    <row r="366">
      <c r="A366" s="33" t="s">
        <v>3004</v>
      </c>
      <c r="B366" s="40" t="s">
        <v>74</v>
      </c>
      <c r="C366" s="41">
        <v>45319.0</v>
      </c>
      <c r="D366" s="40" t="s">
        <v>3005</v>
      </c>
      <c r="E366" s="42" t="s">
        <v>3006</v>
      </c>
      <c r="F366" s="43" t="s">
        <v>3007</v>
      </c>
      <c r="G366" s="43" t="s">
        <v>3008</v>
      </c>
      <c r="H366" s="44" t="s">
        <v>148</v>
      </c>
      <c r="I366" s="15" t="str">
        <f>IFERROR(__xludf.DUMMYFUNCTION("GOOGLETRANSLATE(H366,""EN"",""ES"")"),"Gastronomía")</f>
        <v>Gastronomía</v>
      </c>
      <c r="J366" s="16" t="s">
        <v>27</v>
      </c>
      <c r="K366" s="17">
        <v>0.0</v>
      </c>
      <c r="L366" s="45"/>
      <c r="M366" s="18"/>
      <c r="N366" s="44"/>
      <c r="O366" s="44"/>
      <c r="P366" s="20">
        <v>0.0</v>
      </c>
      <c r="Q366" s="18"/>
      <c r="R366" s="18"/>
      <c r="S366" s="52"/>
      <c r="T366" s="22"/>
    </row>
    <row r="367">
      <c r="A367" s="23" t="s">
        <v>3009</v>
      </c>
      <c r="B367" s="40" t="s">
        <v>3010</v>
      </c>
      <c r="C367" s="41">
        <v>45319.0</v>
      </c>
      <c r="D367" s="40" t="s">
        <v>3011</v>
      </c>
      <c r="E367" s="42" t="s">
        <v>3012</v>
      </c>
      <c r="F367" s="43" t="s">
        <v>3013</v>
      </c>
      <c r="G367" s="43" t="s">
        <v>3014</v>
      </c>
      <c r="H367" s="47" t="s">
        <v>62</v>
      </c>
      <c r="I367" s="25" t="str">
        <f>IFERROR(__xludf.DUMMYFUNCTION("GOOGLETRANSLATE(H367,""EN"",""ES"")"),"Energía")</f>
        <v>Energía</v>
      </c>
      <c r="J367" s="26" t="s">
        <v>35</v>
      </c>
      <c r="K367" s="48">
        <v>0.0</v>
      </c>
      <c r="L367" s="54"/>
      <c r="M367" s="31"/>
      <c r="N367" s="47" t="s">
        <v>1173</v>
      </c>
      <c r="O367" s="47" t="str">
        <f>IFERROR(__xludf.DUMMYFUNCTION("GOOGLETRANSLATE(N367,""EN"",""ES"")"),"El artículo no menciona a Repsol, por lo que no impacta en su imagen.")</f>
        <v>El artículo no menciona a Repsol, por lo que no impacta en su imagen.</v>
      </c>
      <c r="P367" s="30">
        <v>0.0</v>
      </c>
      <c r="Q367" s="31"/>
      <c r="R367" s="31"/>
      <c r="S367" s="53" t="s">
        <v>2584</v>
      </c>
      <c r="T367" s="32" t="s">
        <v>2585</v>
      </c>
    </row>
    <row r="368">
      <c r="A368" s="33" t="s">
        <v>3015</v>
      </c>
      <c r="B368" s="40" t="s">
        <v>1568</v>
      </c>
      <c r="C368" s="41">
        <v>45319.0</v>
      </c>
      <c r="D368" s="40" t="s">
        <v>3016</v>
      </c>
      <c r="E368" s="42" t="s">
        <v>3017</v>
      </c>
      <c r="F368" s="43" t="s">
        <v>3018</v>
      </c>
      <c r="G368" s="43" t="s">
        <v>3019</v>
      </c>
      <c r="H368" s="44" t="s">
        <v>148</v>
      </c>
      <c r="I368" s="15" t="str">
        <f>IFERROR(__xludf.DUMMYFUNCTION("GOOGLETRANSLATE(H368,""EN"",""ES"")"),"Gastronomía")</f>
        <v>Gastronomía</v>
      </c>
      <c r="J368" s="16" t="s">
        <v>27</v>
      </c>
      <c r="K368" s="17">
        <v>0.0</v>
      </c>
      <c r="L368" s="45"/>
      <c r="M368" s="18"/>
      <c r="N368" s="44"/>
      <c r="O368" s="44"/>
      <c r="P368" s="20">
        <v>0.0</v>
      </c>
      <c r="Q368" s="18"/>
      <c r="R368" s="18"/>
      <c r="S368" s="55"/>
      <c r="T368" s="22"/>
    </row>
    <row r="369">
      <c r="A369" s="23" t="s">
        <v>3020</v>
      </c>
      <c r="B369" s="40" t="s">
        <v>3021</v>
      </c>
      <c r="C369" s="41">
        <v>45319.0</v>
      </c>
      <c r="D369" s="40" t="s">
        <v>3022</v>
      </c>
      <c r="E369" s="42" t="s">
        <v>3023</v>
      </c>
      <c r="F369" s="43" t="s">
        <v>3024</v>
      </c>
      <c r="G369" s="43" t="s">
        <v>3025</v>
      </c>
      <c r="H369" s="47" t="s">
        <v>395</v>
      </c>
      <c r="I369" s="25" t="str">
        <f>IFERROR(__xludf.DUMMYFUNCTION("GOOGLETRANSLATE(H369,""EN"",""ES"")"),"Ambiente")</f>
        <v>Ambiente</v>
      </c>
      <c r="J369" s="26" t="s">
        <v>35</v>
      </c>
      <c r="K369" s="48">
        <v>-0.8</v>
      </c>
      <c r="L369" s="49" t="s">
        <v>3026</v>
      </c>
      <c r="M369" s="28" t="s">
        <v>3027</v>
      </c>
      <c r="N369" s="47" t="s">
        <v>3028</v>
      </c>
      <c r="O369" s="47" t="str">
        <f>IFERROR(__xludf.DUMMYFUNCTION("GOOGLETRANSLATE(N369,""EN"",""ES"")"),"La continua contaminación por vertidos pasados ​​mantiene alto el sentimiento negativo en torno a Repsol.")</f>
        <v>La continua contaminación por vertidos pasados ​​mantiene alto el sentimiento negativo en torno a Repsol.</v>
      </c>
      <c r="P369" s="30">
        <v>-0.8</v>
      </c>
      <c r="Q369" s="31" t="str">
        <f>IFERROR(__xludf.DUMMYFUNCTION("GOOGLETRANSLATE(R369,""ES"",""EN"")"),"oil spill, beaches")</f>
        <v>oil spill, beaches</v>
      </c>
      <c r="R369" s="28" t="s">
        <v>3029</v>
      </c>
      <c r="S369" s="53" t="s">
        <v>3030</v>
      </c>
      <c r="T369" s="32" t="s">
        <v>3031</v>
      </c>
    </row>
    <row r="370">
      <c r="A370" s="33" t="s">
        <v>3032</v>
      </c>
      <c r="B370" s="40" t="s">
        <v>3033</v>
      </c>
      <c r="C370" s="41">
        <v>45320.0</v>
      </c>
      <c r="D370" s="40" t="s">
        <v>3034</v>
      </c>
      <c r="E370" s="42" t="s">
        <v>3035</v>
      </c>
      <c r="F370" s="43" t="s">
        <v>3036</v>
      </c>
      <c r="G370" s="43" t="s">
        <v>3037</v>
      </c>
      <c r="H370" s="44" t="s">
        <v>395</v>
      </c>
      <c r="I370" s="15" t="str">
        <f>IFERROR(__xludf.DUMMYFUNCTION("GOOGLETRANSLATE(H370,""EN"",""ES"")"),"Ambiente")</f>
        <v>Ambiente</v>
      </c>
      <c r="J370" s="16" t="s">
        <v>35</v>
      </c>
      <c r="K370" s="48">
        <v>-0.6</v>
      </c>
      <c r="L370" s="51" t="s">
        <v>3038</v>
      </c>
      <c r="M370" s="34" t="s">
        <v>3039</v>
      </c>
      <c r="N370" s="44" t="s">
        <v>3040</v>
      </c>
      <c r="O370" s="44" t="str">
        <f>IFERROR(__xludf.DUMMYFUNCTION("GOOGLETRANSLATE(N370,""EN"",""ES"")"),"Las controversias sobre las infraestructuras gasistas en áreas protegidas pueden generar preocupaciones para Repsol.")</f>
        <v>Las controversias sobre las infraestructuras gasistas en áreas protegidas pueden generar preocupaciones para Repsol.</v>
      </c>
      <c r="P370" s="30">
        <v>-0.6</v>
      </c>
      <c r="Q370" s="18" t="str">
        <f>IFERROR(__xludf.DUMMYFUNCTION("GOOGLETRANSLATE(R370,""ES"",""EN"")"),"gas pipelines, Doñana")</f>
        <v>gas pipelines, Doñana</v>
      </c>
      <c r="R370" s="34" t="s">
        <v>3041</v>
      </c>
      <c r="S370" s="52" t="s">
        <v>3042</v>
      </c>
      <c r="T370" s="22" t="s">
        <v>3043</v>
      </c>
    </row>
    <row r="371">
      <c r="A371" s="23" t="s">
        <v>3044</v>
      </c>
      <c r="B371" s="40" t="s">
        <v>3045</v>
      </c>
      <c r="C371" s="41">
        <v>45320.0</v>
      </c>
      <c r="D371" s="40" t="s">
        <v>3046</v>
      </c>
      <c r="E371" s="42" t="s">
        <v>3047</v>
      </c>
      <c r="F371" s="43" t="s">
        <v>3048</v>
      </c>
      <c r="G371" s="43" t="s">
        <v>3049</v>
      </c>
      <c r="H371" s="47" t="s">
        <v>148</v>
      </c>
      <c r="I371" s="25" t="str">
        <f>IFERROR(__xludf.DUMMYFUNCTION("GOOGLETRANSLATE(H371,""EN"",""ES"")"),"Gastronomía")</f>
        <v>Gastronomía</v>
      </c>
      <c r="J371" s="26" t="s">
        <v>27</v>
      </c>
      <c r="K371" s="17">
        <v>0.0</v>
      </c>
      <c r="L371" s="54"/>
      <c r="M371" s="31"/>
      <c r="N371" s="47"/>
      <c r="O371" s="47"/>
      <c r="P371" s="20">
        <v>0.0</v>
      </c>
      <c r="Q371" s="31"/>
      <c r="R371" s="31"/>
      <c r="S371" s="53"/>
      <c r="T371" s="32"/>
    </row>
    <row r="372">
      <c r="A372" s="33" t="s">
        <v>3050</v>
      </c>
      <c r="B372" s="40" t="s">
        <v>163</v>
      </c>
      <c r="C372" s="41">
        <v>45320.0</v>
      </c>
      <c r="D372" s="40" t="s">
        <v>3051</v>
      </c>
      <c r="E372" s="42" t="s">
        <v>3052</v>
      </c>
      <c r="F372" s="43" t="s">
        <v>3053</v>
      </c>
      <c r="G372" s="43" t="s">
        <v>3054</v>
      </c>
      <c r="H372" s="44" t="s">
        <v>2447</v>
      </c>
      <c r="I372" s="15" t="str">
        <f>IFERROR(__xludf.DUMMYFUNCTION("GOOGLETRANSLATE(H372,""EN"",""ES"")"),"Asuntos del Consumidor")</f>
        <v>Asuntos del Consumidor</v>
      </c>
      <c r="J372" s="16" t="s">
        <v>27</v>
      </c>
      <c r="K372" s="17">
        <v>0.0</v>
      </c>
      <c r="L372" s="45"/>
      <c r="M372" s="18"/>
      <c r="N372" s="44"/>
      <c r="O372" s="44"/>
      <c r="P372" s="20">
        <v>0.0</v>
      </c>
      <c r="Q372" s="18"/>
      <c r="R372" s="18"/>
      <c r="S372" s="52"/>
      <c r="T372" s="22"/>
    </row>
    <row r="373">
      <c r="A373" s="23" t="s">
        <v>3055</v>
      </c>
      <c r="B373" s="40" t="s">
        <v>272</v>
      </c>
      <c r="C373" s="41">
        <v>45320.0</v>
      </c>
      <c r="D373" s="40" t="s">
        <v>3056</v>
      </c>
      <c r="E373" s="42" t="s">
        <v>3057</v>
      </c>
      <c r="F373" s="43" t="s">
        <v>3058</v>
      </c>
      <c r="G373" s="43" t="s">
        <v>3059</v>
      </c>
      <c r="H373" s="47" t="s">
        <v>148</v>
      </c>
      <c r="I373" s="25" t="str">
        <f>IFERROR(__xludf.DUMMYFUNCTION("GOOGLETRANSLATE(H373,""EN"",""ES"")"),"Gastronomía")</f>
        <v>Gastronomía</v>
      </c>
      <c r="J373" s="26" t="s">
        <v>27</v>
      </c>
      <c r="K373" s="17">
        <v>0.0</v>
      </c>
      <c r="L373" s="54"/>
      <c r="M373" s="31"/>
      <c r="N373" s="47"/>
      <c r="O373" s="47"/>
      <c r="P373" s="20">
        <v>0.0</v>
      </c>
      <c r="Q373" s="31"/>
      <c r="R373" s="31"/>
      <c r="S373" s="53"/>
      <c r="T373" s="32"/>
    </row>
    <row r="374">
      <c r="A374" s="33" t="s">
        <v>3060</v>
      </c>
      <c r="B374" s="40" t="s">
        <v>1072</v>
      </c>
      <c r="C374" s="41">
        <v>45320.0</v>
      </c>
      <c r="D374" s="40" t="s">
        <v>3061</v>
      </c>
      <c r="E374" s="42" t="s">
        <v>3062</v>
      </c>
      <c r="F374" s="43" t="s">
        <v>3063</v>
      </c>
      <c r="G374" s="43" t="s">
        <v>3064</v>
      </c>
      <c r="H374" s="44" t="s">
        <v>48</v>
      </c>
      <c r="I374" s="15" t="str">
        <f>IFERROR(__xludf.DUMMYFUNCTION("GOOGLETRANSLATE(H374,""EN"",""ES"")"),"Finanzas")</f>
        <v>Finanzas</v>
      </c>
      <c r="J374" s="16" t="s">
        <v>35</v>
      </c>
      <c r="K374" s="48">
        <v>0.0</v>
      </c>
      <c r="L374" s="45"/>
      <c r="M374" s="18"/>
      <c r="N374" s="44" t="s">
        <v>3065</v>
      </c>
      <c r="O374" s="44" t="str">
        <f>IFERROR(__xludf.DUMMYFUNCTION("GOOGLETRANSLATE(N374,""EN"",""ES"")"),"Las tendencias generales de inversión no impactan directamente en Repsol.")</f>
        <v>Las tendencias generales de inversión no impactan directamente en Repsol.</v>
      </c>
      <c r="P374" s="30">
        <v>0.0</v>
      </c>
      <c r="Q374" s="18"/>
      <c r="R374" s="18"/>
      <c r="S374" s="52" t="s">
        <v>2584</v>
      </c>
      <c r="T374" s="22" t="s">
        <v>2585</v>
      </c>
    </row>
    <row r="375">
      <c r="A375" s="23" t="s">
        <v>3066</v>
      </c>
      <c r="B375" s="40" t="s">
        <v>3067</v>
      </c>
      <c r="C375" s="41">
        <v>45321.0</v>
      </c>
      <c r="D375" s="40" t="s">
        <v>3068</v>
      </c>
      <c r="E375" s="42" t="s">
        <v>3069</v>
      </c>
      <c r="F375" s="43" t="s">
        <v>3070</v>
      </c>
      <c r="G375" s="43" t="s">
        <v>3071</v>
      </c>
      <c r="H375" s="47" t="s">
        <v>130</v>
      </c>
      <c r="I375" s="25" t="str">
        <f>IFERROR(__xludf.DUMMYFUNCTION("GOOGLETRANSLATE(H375,""EN"",""ES"")"),"Sostenibilidad")</f>
        <v>Sostenibilidad</v>
      </c>
      <c r="J375" s="26" t="s">
        <v>35</v>
      </c>
      <c r="K375" s="48">
        <v>0.7</v>
      </c>
      <c r="L375" s="49" t="s">
        <v>3072</v>
      </c>
      <c r="M375" s="28" t="s">
        <v>3073</v>
      </c>
      <c r="N375" s="47" t="s">
        <v>3074</v>
      </c>
      <c r="O375" s="47" t="str">
        <f>IFERROR(__xludf.DUMMYFUNCTION("GOOGLETRANSLATE(N375,""EN"",""ES"")"),"Incentivar el reciclaje de aceites usados ​​fortalece los esfuerzos de Repsol en materia de economía circular.")</f>
        <v>Incentivar el reciclaje de aceites usados ​​fortalece los esfuerzos de Repsol en materia de economía circular.</v>
      </c>
      <c r="P375" s="30">
        <v>0.7</v>
      </c>
      <c r="Q375" s="31" t="str">
        <f>IFERROR(__xludf.DUMMYFUNCTION("GOOGLETRANSLATE(R375,""ES"",""EN"")"),"discounts, used cooking oil")</f>
        <v>discounts, used cooking oil</v>
      </c>
      <c r="R375" s="28" t="s">
        <v>3075</v>
      </c>
      <c r="S375" s="53" t="s">
        <v>3076</v>
      </c>
      <c r="T375" s="32" t="s">
        <v>3077</v>
      </c>
    </row>
    <row r="376">
      <c r="A376" s="33" t="s">
        <v>3078</v>
      </c>
      <c r="B376" s="40" t="s">
        <v>3079</v>
      </c>
      <c r="C376" s="41">
        <v>45321.0</v>
      </c>
      <c r="D376" s="40" t="s">
        <v>3080</v>
      </c>
      <c r="E376" s="42" t="s">
        <v>3081</v>
      </c>
      <c r="F376" s="43" t="s">
        <v>3082</v>
      </c>
      <c r="G376" s="43" t="s">
        <v>3083</v>
      </c>
      <c r="H376" s="44" t="s">
        <v>130</v>
      </c>
      <c r="I376" s="15" t="str">
        <f>IFERROR(__xludf.DUMMYFUNCTION("GOOGLETRANSLATE(H376,""EN"",""ES"")"),"Sostenibilidad")</f>
        <v>Sostenibilidad</v>
      </c>
      <c r="J376" s="16" t="s">
        <v>35</v>
      </c>
      <c r="K376" s="48">
        <v>0.7</v>
      </c>
      <c r="L376" s="51" t="s">
        <v>3084</v>
      </c>
      <c r="M376" s="34" t="s">
        <v>3085</v>
      </c>
      <c r="N376" s="44" t="s">
        <v>3086</v>
      </c>
      <c r="O376" s="44" t="str">
        <f>IFERROR(__xludf.DUMMYFUNCTION("GOOGLETRANSLATE(N376,""EN"",""ES"")"),"La ampliación de las estaciones de combustible renovable respalda la estrategia de energía verde de Repsol.")</f>
        <v>La ampliación de las estaciones de combustible renovable respalda la estrategia de energía verde de Repsol.</v>
      </c>
      <c r="P376" s="30">
        <v>0.9</v>
      </c>
      <c r="Q376" s="18" t="str">
        <f>IFERROR(__xludf.DUMMYFUNCTION("GOOGLETRANSLATE(R376,""ES"",""EN"")"),"renewable fuels, gas stations")</f>
        <v>renewable fuels, gas stations</v>
      </c>
      <c r="R376" s="34" t="s">
        <v>1557</v>
      </c>
      <c r="S376" s="52" t="s">
        <v>2615</v>
      </c>
      <c r="T376" s="22" t="s">
        <v>2616</v>
      </c>
    </row>
    <row r="377">
      <c r="A377" s="23" t="s">
        <v>3087</v>
      </c>
      <c r="B377" s="40" t="s">
        <v>3088</v>
      </c>
      <c r="C377" s="41">
        <v>45321.0</v>
      </c>
      <c r="D377" s="40" t="s">
        <v>2740</v>
      </c>
      <c r="E377" s="42" t="s">
        <v>3089</v>
      </c>
      <c r="F377" s="43" t="s">
        <v>2742</v>
      </c>
      <c r="G377" s="43" t="s">
        <v>3090</v>
      </c>
      <c r="H377" s="47" t="s">
        <v>130</v>
      </c>
      <c r="I377" s="25" t="str">
        <f>IFERROR(__xludf.DUMMYFUNCTION("GOOGLETRANSLATE(H377,""EN"",""ES"")"),"Sostenibilidad")</f>
        <v>Sostenibilidad</v>
      </c>
      <c r="J377" s="26" t="s">
        <v>35</v>
      </c>
      <c r="K377" s="48">
        <v>0.7</v>
      </c>
      <c r="L377" s="49" t="s">
        <v>3091</v>
      </c>
      <c r="M377" s="28" t="s">
        <v>3092</v>
      </c>
      <c r="N377" s="47" t="s">
        <v>3093</v>
      </c>
      <c r="O377" s="47" t="str">
        <f>IFERROR(__xludf.DUMMYFUNCTION("GOOGLETRANSLATE(N377,""EN"",""ES"")"),"Las colaboraciones en la reducción de emisiones refuerzan el compromiso de Repsol con la sostenibilidad.")</f>
        <v>Las colaboraciones en la reducción de emisiones refuerzan el compromiso de Repsol con la sostenibilidad.</v>
      </c>
      <c r="P377" s="30">
        <v>0.9</v>
      </c>
      <c r="Q377" s="31" t="str">
        <f>IFERROR(__xludf.DUMMYFUNCTION("GOOGLETRANSLATE(R377,""ES"",""EN"")"),"emissions, 100% renewable fuel")</f>
        <v>emissions, 100% renewable fuel</v>
      </c>
      <c r="R377" s="28" t="s">
        <v>3094</v>
      </c>
      <c r="S377" s="53" t="s">
        <v>3095</v>
      </c>
      <c r="T377" s="32" t="s">
        <v>3096</v>
      </c>
    </row>
    <row r="378">
      <c r="A378" s="33" t="s">
        <v>3097</v>
      </c>
      <c r="B378" s="40" t="s">
        <v>2696</v>
      </c>
      <c r="C378" s="41">
        <v>45321.0</v>
      </c>
      <c r="D378" s="40" t="s">
        <v>3098</v>
      </c>
      <c r="E378" s="42" t="s">
        <v>3099</v>
      </c>
      <c r="F378" s="43" t="s">
        <v>3100</v>
      </c>
      <c r="G378" s="43" t="s">
        <v>3101</v>
      </c>
      <c r="H378" s="44" t="s">
        <v>130</v>
      </c>
      <c r="I378" s="15" t="str">
        <f>IFERROR(__xludf.DUMMYFUNCTION("GOOGLETRANSLATE(H378,""EN"",""ES"")"),"Sostenibilidad")</f>
        <v>Sostenibilidad</v>
      </c>
      <c r="J378" s="16" t="s">
        <v>35</v>
      </c>
      <c r="K378" s="48">
        <v>0.7</v>
      </c>
      <c r="L378" s="51" t="s">
        <v>3102</v>
      </c>
      <c r="M378" s="34" t="s">
        <v>3103</v>
      </c>
      <c r="N378" s="44" t="s">
        <v>3104</v>
      </c>
      <c r="O378" s="44" t="str">
        <f>IFERROR(__xludf.DUMMYFUNCTION("GOOGLETRANSLATE(N378,""EN"",""ES"")"),"La promoción de incentivos al reciclaje de petróleo respalda la responsabilidad ambiental de Repsol.")</f>
        <v>La promoción de incentivos al reciclaje de petróleo respalda la responsabilidad ambiental de Repsol.</v>
      </c>
      <c r="P378" s="30">
        <v>0.8</v>
      </c>
      <c r="Q378" s="18" t="str">
        <f>IFERROR(__xludf.DUMMYFUNCTION("GOOGLETRANSLATE(R378,""ES"",""EN"")"),"used oil, gas stations")</f>
        <v>used oil, gas stations</v>
      </c>
      <c r="R378" s="34" t="s">
        <v>3105</v>
      </c>
      <c r="S378" s="52" t="s">
        <v>2990</v>
      </c>
      <c r="T378" s="22" t="s">
        <v>2991</v>
      </c>
    </row>
    <row r="379">
      <c r="A379" s="23" t="s">
        <v>3106</v>
      </c>
      <c r="B379" s="40" t="s">
        <v>85</v>
      </c>
      <c r="C379" s="41">
        <v>45321.0</v>
      </c>
      <c r="D379" s="40" t="s">
        <v>3107</v>
      </c>
      <c r="E379" s="42" t="s">
        <v>3108</v>
      </c>
      <c r="F379" s="43" t="s">
        <v>3109</v>
      </c>
      <c r="G379" s="43" t="s">
        <v>3110</v>
      </c>
      <c r="H379" s="47" t="s">
        <v>48</v>
      </c>
      <c r="I379" s="25" t="str">
        <f>IFERROR(__xludf.DUMMYFUNCTION("GOOGLETRANSLATE(H379,""EN"",""ES"")"),"Finanzas")</f>
        <v>Finanzas</v>
      </c>
      <c r="J379" s="26" t="s">
        <v>35</v>
      </c>
      <c r="K379" s="48">
        <v>0.6</v>
      </c>
      <c r="L379" s="49" t="s">
        <v>3111</v>
      </c>
      <c r="M379" s="28" t="s">
        <v>3112</v>
      </c>
      <c r="N379" s="47" t="s">
        <v>3113</v>
      </c>
      <c r="O379" s="47" t="str">
        <f>IFERROR(__xludf.DUMMYFUNCTION("GOOGLETRANSLATE(N379,""EN"",""ES"")"),"El aumento de la inversión de los grandes fondos indica confianza en la estabilidad de Repsol.")</f>
        <v>El aumento de la inversión de los grandes fondos indica confianza en la estabilidad de Repsol.</v>
      </c>
      <c r="P379" s="30">
        <v>0.0</v>
      </c>
      <c r="Q379" s="31"/>
      <c r="R379" s="31"/>
      <c r="S379" s="53" t="s">
        <v>2576</v>
      </c>
      <c r="T379" s="32" t="s">
        <v>2577</v>
      </c>
    </row>
    <row r="380">
      <c r="A380" s="33" t="s">
        <v>3114</v>
      </c>
      <c r="B380" s="40" t="s">
        <v>1970</v>
      </c>
      <c r="C380" s="41">
        <v>45321.0</v>
      </c>
      <c r="D380" s="40" t="s">
        <v>3115</v>
      </c>
      <c r="E380" s="42" t="s">
        <v>3116</v>
      </c>
      <c r="F380" s="43" t="s">
        <v>3117</v>
      </c>
      <c r="G380" s="43" t="s">
        <v>3118</v>
      </c>
      <c r="H380" s="44" t="s">
        <v>408</v>
      </c>
      <c r="I380" s="15" t="str">
        <f>IFERROR(__xludf.DUMMYFUNCTION("GOOGLETRANSLATE(H380,""EN"",""ES"")"),"Legal")</f>
        <v>Legal</v>
      </c>
      <c r="J380" s="16" t="s">
        <v>35</v>
      </c>
      <c r="K380" s="48">
        <v>-0.7</v>
      </c>
      <c r="L380" s="51" t="s">
        <v>3119</v>
      </c>
      <c r="M380" s="34" t="s">
        <v>3120</v>
      </c>
      <c r="N380" s="44" t="s">
        <v>3121</v>
      </c>
      <c r="O380" s="44" t="str">
        <f>IFERROR(__xludf.DUMMYFUNCTION("GOOGLETRANSLATE(N380,""EN"",""ES"")"),"Los continuos litigios sobre daños medioambientales dañan la reputación de Repsol.")</f>
        <v>Los continuos litigios sobre daños medioambientales dañan la reputación de Repsol.</v>
      </c>
      <c r="P380" s="30">
        <v>-0.6</v>
      </c>
      <c r="Q380" s="18" t="str">
        <f>IFERROR(__xludf.DUMMYFUNCTION("GOOGLETRANSLATE(R380,""ES"",""EN"")"),"demand, reparation")</f>
        <v>demand, reparation</v>
      </c>
      <c r="R380" s="34" t="s">
        <v>3122</v>
      </c>
      <c r="S380" s="52" t="s">
        <v>1043</v>
      </c>
      <c r="T380" s="22" t="s">
        <v>1044</v>
      </c>
    </row>
    <row r="381">
      <c r="A381" s="23" t="s">
        <v>3123</v>
      </c>
      <c r="B381" s="40" t="s">
        <v>217</v>
      </c>
      <c r="C381" s="41">
        <v>45321.0</v>
      </c>
      <c r="D381" s="40" t="s">
        <v>3124</v>
      </c>
      <c r="E381" s="42" t="s">
        <v>3125</v>
      </c>
      <c r="F381" s="43" t="s">
        <v>3126</v>
      </c>
      <c r="G381" s="43" t="s">
        <v>3127</v>
      </c>
      <c r="H381" s="47" t="s">
        <v>130</v>
      </c>
      <c r="I381" s="25" t="str">
        <f>IFERROR(__xludf.DUMMYFUNCTION("GOOGLETRANSLATE(H381,""EN"",""ES"")"),"Sostenibilidad")</f>
        <v>Sostenibilidad</v>
      </c>
      <c r="J381" s="26" t="s">
        <v>35</v>
      </c>
      <c r="K381" s="48">
        <v>0.6</v>
      </c>
      <c r="L381" s="49" t="s">
        <v>3128</v>
      </c>
      <c r="M381" s="28" t="s">
        <v>3129</v>
      </c>
      <c r="N381" s="47" t="s">
        <v>3130</v>
      </c>
      <c r="O381" s="47" t="str">
        <f>IFERROR(__xludf.DUMMYFUNCTION("GOOGLETRANSLATE(N381,""EN"",""ES"")"),"La eliminación de infraestructuras petroleras obsoletas respalda los esfuerzos medioambientales de Repsol.")</f>
        <v>La eliminación de infraestructuras petroleras obsoletas respalda los esfuerzos medioambientales de Repsol.</v>
      </c>
      <c r="P381" s="30">
        <v>0.0</v>
      </c>
      <c r="Q381" s="31"/>
      <c r="R381" s="31"/>
      <c r="S381" s="53" t="s">
        <v>2557</v>
      </c>
      <c r="T381" s="32" t="s">
        <v>2558</v>
      </c>
    </row>
    <row r="382">
      <c r="A382" s="33" t="s">
        <v>3131</v>
      </c>
      <c r="B382" s="40" t="s">
        <v>163</v>
      </c>
      <c r="C382" s="41">
        <v>45321.0</v>
      </c>
      <c r="D382" s="40" t="s">
        <v>3132</v>
      </c>
      <c r="E382" s="42" t="s">
        <v>3133</v>
      </c>
      <c r="F382" s="43" t="s">
        <v>3134</v>
      </c>
      <c r="G382" s="43" t="s">
        <v>3135</v>
      </c>
      <c r="H382" s="44" t="s">
        <v>130</v>
      </c>
      <c r="I382" s="15" t="str">
        <f>IFERROR(__xludf.DUMMYFUNCTION("GOOGLETRANSLATE(H382,""EN"",""ES"")"),"Sostenibilidad")</f>
        <v>Sostenibilidad</v>
      </c>
      <c r="J382" s="16" t="s">
        <v>35</v>
      </c>
      <c r="K382" s="48">
        <v>0.7</v>
      </c>
      <c r="L382" s="51" t="s">
        <v>3136</v>
      </c>
      <c r="M382" s="34" t="s">
        <v>3137</v>
      </c>
      <c r="N382" s="44" t="s">
        <v>3138</v>
      </c>
      <c r="O382" s="44" t="str">
        <f>IFERROR(__xludf.DUMMYFUNCTION("GOOGLETRANSLATE(N382,""EN"",""ES"")"),"La ampliación de los puntos de recogida apoya los esfuerzos de Repsol en materia de economía circular y sostenibilidad.")</f>
        <v>La ampliación de los puntos de recogida apoya los esfuerzos de Repsol en materia de economía circular y sostenibilidad.</v>
      </c>
      <c r="P382" s="30">
        <v>0.8</v>
      </c>
      <c r="Q382" s="18" t="str">
        <f>IFERROR(__xludf.DUMMYFUNCTION("GOOGLETRANSLATE(R382,""ES"",""EN"")"),"used cooking oil, renewable fuel")</f>
        <v>used cooking oil, renewable fuel</v>
      </c>
      <c r="R382" s="34" t="s">
        <v>3139</v>
      </c>
      <c r="S382" s="52" t="s">
        <v>3140</v>
      </c>
      <c r="T382" s="22" t="s">
        <v>3141</v>
      </c>
    </row>
    <row r="383">
      <c r="A383" s="23" t="s">
        <v>3142</v>
      </c>
      <c r="B383" s="40" t="s">
        <v>558</v>
      </c>
      <c r="C383" s="41">
        <v>45321.0</v>
      </c>
      <c r="D383" s="40" t="s">
        <v>3143</v>
      </c>
      <c r="E383" s="42" t="s">
        <v>3144</v>
      </c>
      <c r="F383" s="43" t="s">
        <v>3145</v>
      </c>
      <c r="G383" s="43" t="s">
        <v>3146</v>
      </c>
      <c r="H383" s="47" t="s">
        <v>48</v>
      </c>
      <c r="I383" s="25" t="str">
        <f>IFERROR(__xludf.DUMMYFUNCTION("GOOGLETRANSLATE(H383,""EN"",""ES"")"),"Finanzas")</f>
        <v>Finanzas</v>
      </c>
      <c r="J383" s="26" t="s">
        <v>35</v>
      </c>
      <c r="K383" s="48">
        <v>0.6</v>
      </c>
      <c r="L383" s="49" t="s">
        <v>3147</v>
      </c>
      <c r="M383" s="28" t="s">
        <v>3148</v>
      </c>
      <c r="N383" s="47" t="s">
        <v>3149</v>
      </c>
      <c r="O383" s="47" t="str">
        <f>IFERROR(__xludf.DUMMYFUNCTION("GOOGLETRANSLATE(N383,""EN"",""ES"")"),"La creciente inversión del fondo soberano de Noruega indica confianza en la estabilidad financiera de Repsol.")</f>
        <v>La creciente inversión del fondo soberano de Noruega indica confianza en la estabilidad financiera de Repsol.</v>
      </c>
      <c r="P383" s="30">
        <v>0.0</v>
      </c>
      <c r="Q383" s="31"/>
      <c r="R383" s="31"/>
      <c r="S383" s="53" t="s">
        <v>2576</v>
      </c>
      <c r="T383" s="32" t="s">
        <v>2577</v>
      </c>
    </row>
    <row r="384">
      <c r="A384" s="33" t="s">
        <v>3150</v>
      </c>
      <c r="B384" s="40" t="s">
        <v>3151</v>
      </c>
      <c r="C384" s="41">
        <v>45321.0</v>
      </c>
      <c r="D384" s="40" t="s">
        <v>3152</v>
      </c>
      <c r="E384" s="42" t="s">
        <v>3153</v>
      </c>
      <c r="F384" s="43" t="s">
        <v>3154</v>
      </c>
      <c r="G384" s="43" t="s">
        <v>3155</v>
      </c>
      <c r="H384" s="44" t="s">
        <v>48</v>
      </c>
      <c r="I384" s="15" t="str">
        <f>IFERROR(__xludf.DUMMYFUNCTION("GOOGLETRANSLATE(H384,""EN"",""ES"")"),"Finanzas")</f>
        <v>Finanzas</v>
      </c>
      <c r="J384" s="16" t="s">
        <v>35</v>
      </c>
      <c r="K384" s="48">
        <v>0.6</v>
      </c>
      <c r="L384" s="51" t="s">
        <v>3156</v>
      </c>
      <c r="M384" s="34" t="s">
        <v>3157</v>
      </c>
      <c r="N384" s="44" t="s">
        <v>3158</v>
      </c>
      <c r="O384" s="44" t="str">
        <f>IFERROR(__xludf.DUMMYFUNCTION("GOOGLETRANSLATE(N384,""EN"",""ES"")"),"La competencia entre grandes inversores pone de relieve el atractivo de Repsol para las entidades financieras.")</f>
        <v>La competencia entre grandes inversores pone de relieve el atractivo de Repsol para las entidades financieras.</v>
      </c>
      <c r="P384" s="30">
        <v>0.0</v>
      </c>
      <c r="Q384" s="18"/>
      <c r="R384" s="18"/>
      <c r="S384" s="52" t="s">
        <v>2576</v>
      </c>
      <c r="T384" s="22" t="s">
        <v>2577</v>
      </c>
    </row>
    <row r="385">
      <c r="A385" s="23" t="s">
        <v>3159</v>
      </c>
      <c r="B385" s="40" t="s">
        <v>977</v>
      </c>
      <c r="C385" s="41">
        <v>45321.0</v>
      </c>
      <c r="D385" s="40" t="s">
        <v>3160</v>
      </c>
      <c r="E385" s="42" t="s">
        <v>3161</v>
      </c>
      <c r="F385" s="43" t="s">
        <v>3162</v>
      </c>
      <c r="G385" s="43" t="s">
        <v>3163</v>
      </c>
      <c r="H385" s="47" t="s">
        <v>55</v>
      </c>
      <c r="I385" s="25" t="str">
        <f>IFERROR(__xludf.DUMMYFUNCTION("GOOGLETRANSLATE(H385,""EN"",""ES"")"),"deportes de motor")</f>
        <v>deportes de motor</v>
      </c>
      <c r="J385" s="26" t="s">
        <v>27</v>
      </c>
      <c r="K385" s="17">
        <v>0.0</v>
      </c>
      <c r="L385" s="54"/>
      <c r="M385" s="31"/>
      <c r="N385" s="47"/>
      <c r="O385" s="47"/>
      <c r="P385" s="20">
        <v>0.0</v>
      </c>
      <c r="Q385" s="31"/>
      <c r="R385" s="31"/>
      <c r="S385" s="53"/>
      <c r="T385" s="32"/>
    </row>
    <row r="386">
      <c r="A386" s="33" t="s">
        <v>3164</v>
      </c>
      <c r="B386" s="40" t="s">
        <v>431</v>
      </c>
      <c r="C386" s="41">
        <v>45321.0</v>
      </c>
      <c r="D386" s="40" t="s">
        <v>3165</v>
      </c>
      <c r="E386" s="42" t="s">
        <v>3166</v>
      </c>
      <c r="F386" s="43" t="s">
        <v>3167</v>
      </c>
      <c r="G386" s="43" t="s">
        <v>3168</v>
      </c>
      <c r="H386" s="44" t="s">
        <v>148</v>
      </c>
      <c r="I386" s="15" t="str">
        <f>IFERROR(__xludf.DUMMYFUNCTION("GOOGLETRANSLATE(H386,""EN"",""ES"")"),"Gastronomía")</f>
        <v>Gastronomía</v>
      </c>
      <c r="J386" s="16" t="s">
        <v>27</v>
      </c>
      <c r="K386" s="17">
        <v>0.0</v>
      </c>
      <c r="L386" s="45"/>
      <c r="M386" s="18"/>
      <c r="N386" s="44"/>
      <c r="O386" s="44"/>
      <c r="P386" s="20">
        <v>0.0</v>
      </c>
      <c r="Q386" s="18"/>
      <c r="R386" s="18"/>
      <c r="S386" s="52"/>
      <c r="T386" s="22"/>
    </row>
    <row r="387">
      <c r="A387" s="23" t="s">
        <v>3169</v>
      </c>
      <c r="B387" s="40" t="s">
        <v>3151</v>
      </c>
      <c r="C387" s="41">
        <v>45321.0</v>
      </c>
      <c r="D387" s="40" t="s">
        <v>3170</v>
      </c>
      <c r="E387" s="42" t="s">
        <v>3171</v>
      </c>
      <c r="F387" s="43" t="s">
        <v>3172</v>
      </c>
      <c r="G387" s="43" t="s">
        <v>3173</v>
      </c>
      <c r="H387" s="47" t="s">
        <v>130</v>
      </c>
      <c r="I387" s="25" t="str">
        <f>IFERROR(__xludf.DUMMYFUNCTION("GOOGLETRANSLATE(H387,""EN"",""ES"")"),"Sostenibilidad")</f>
        <v>Sostenibilidad</v>
      </c>
      <c r="J387" s="26" t="s">
        <v>35</v>
      </c>
      <c r="K387" s="48">
        <v>0.7</v>
      </c>
      <c r="L387" s="49" t="s">
        <v>3174</v>
      </c>
      <c r="M387" s="28" t="s">
        <v>3175</v>
      </c>
      <c r="N387" s="47" t="s">
        <v>3176</v>
      </c>
      <c r="O387" s="47" t="str">
        <f>IFERROR(__xludf.DUMMYFUNCTION("GOOGLETRANSLATE(N387,""EN"",""ES"")"),"Avanzar en la producción de biocombustibles se alinea con los objetivos de sostenibilidad e innovación de Repsol.")</f>
        <v>Avanzar en la producción de biocombustibles se alinea con los objetivos de sostenibilidad e innovación de Repsol.</v>
      </c>
      <c r="P387" s="30">
        <v>0.0</v>
      </c>
      <c r="Q387" s="31"/>
      <c r="R387" s="31"/>
      <c r="S387" s="53" t="s">
        <v>2584</v>
      </c>
      <c r="T387" s="32" t="s">
        <v>2585</v>
      </c>
    </row>
    <row r="388">
      <c r="A388" s="33" t="s">
        <v>3177</v>
      </c>
      <c r="B388" s="40" t="s">
        <v>192</v>
      </c>
      <c r="C388" s="41">
        <v>45322.0</v>
      </c>
      <c r="D388" s="40" t="s">
        <v>3178</v>
      </c>
      <c r="E388" s="42" t="s">
        <v>3179</v>
      </c>
      <c r="F388" s="43" t="s">
        <v>3180</v>
      </c>
      <c r="G388" s="43" t="s">
        <v>3181</v>
      </c>
      <c r="H388" s="44" t="s">
        <v>130</v>
      </c>
      <c r="I388" s="15" t="str">
        <f>IFERROR(__xludf.DUMMYFUNCTION("GOOGLETRANSLATE(H388,""EN"",""ES"")"),"Sostenibilidad")</f>
        <v>Sostenibilidad</v>
      </c>
      <c r="J388" s="16" t="s">
        <v>35</v>
      </c>
      <c r="K388" s="48">
        <v>0.7</v>
      </c>
      <c r="L388" s="51" t="s">
        <v>3182</v>
      </c>
      <c r="M388" s="34" t="s">
        <v>3183</v>
      </c>
      <c r="N388" s="44" t="s">
        <v>3184</v>
      </c>
      <c r="O388" s="44" t="str">
        <f>IFERROR(__xludf.DUMMYFUNCTION("GOOGLETRANSLATE(N388,""EN"",""ES"")"),"La colaboración con grandes corporaciones refuerza el papel de Repsol en la transición energética.")</f>
        <v>La colaboración con grandes corporaciones refuerza el papel de Repsol en la transición energética.</v>
      </c>
      <c r="P388" s="30">
        <v>0.8</v>
      </c>
      <c r="Q388" s="18" t="str">
        <f>IFERROR(__xludf.DUMMYFUNCTION("GOOGLETRANSLATE(R388,""ES"",""EN"")"),"decarbonize, transportation")</f>
        <v>decarbonize, transportation</v>
      </c>
      <c r="R388" s="34" t="s">
        <v>3185</v>
      </c>
      <c r="S388" s="52" t="s">
        <v>3186</v>
      </c>
      <c r="T388" s="22" t="s">
        <v>3187</v>
      </c>
    </row>
    <row r="389">
      <c r="A389" s="23" t="s">
        <v>3188</v>
      </c>
      <c r="B389" s="40" t="s">
        <v>3189</v>
      </c>
      <c r="C389" s="41">
        <v>45322.0</v>
      </c>
      <c r="D389" s="40" t="s">
        <v>3190</v>
      </c>
      <c r="E389" s="42" t="s">
        <v>3191</v>
      </c>
      <c r="F389" s="43" t="s">
        <v>3192</v>
      </c>
      <c r="G389" s="43" t="s">
        <v>3193</v>
      </c>
      <c r="H389" s="47" t="s">
        <v>55</v>
      </c>
      <c r="I389" s="25" t="str">
        <f>IFERROR(__xludf.DUMMYFUNCTION("GOOGLETRANSLATE(H389,""EN"",""ES"")"),"deportes de motor")</f>
        <v>deportes de motor</v>
      </c>
      <c r="J389" s="26" t="s">
        <v>27</v>
      </c>
      <c r="K389" s="17">
        <v>0.0</v>
      </c>
      <c r="L389" s="54"/>
      <c r="M389" s="31"/>
      <c r="N389" s="47"/>
      <c r="O389" s="47"/>
      <c r="P389" s="20">
        <v>0.0</v>
      </c>
      <c r="Q389" s="31"/>
      <c r="R389" s="31"/>
      <c r="S389" s="53"/>
      <c r="T389" s="32"/>
    </row>
    <row r="390">
      <c r="A390" s="33" t="s">
        <v>3194</v>
      </c>
      <c r="B390" s="40" t="s">
        <v>21</v>
      </c>
      <c r="C390" s="41">
        <v>45322.0</v>
      </c>
      <c r="D390" s="40" t="s">
        <v>3195</v>
      </c>
      <c r="E390" s="42" t="s">
        <v>3196</v>
      </c>
      <c r="F390" s="43" t="s">
        <v>3197</v>
      </c>
      <c r="G390" s="43" t="s">
        <v>3198</v>
      </c>
      <c r="H390" s="44" t="s">
        <v>148</v>
      </c>
      <c r="I390" s="15" t="str">
        <f>IFERROR(__xludf.DUMMYFUNCTION("GOOGLETRANSLATE(H390,""EN"",""ES"")"),"Gastronomía")</f>
        <v>Gastronomía</v>
      </c>
      <c r="J390" s="16" t="s">
        <v>27</v>
      </c>
      <c r="K390" s="17">
        <v>0.0</v>
      </c>
      <c r="L390" s="45"/>
      <c r="M390" s="18"/>
      <c r="N390" s="44"/>
      <c r="O390" s="44"/>
      <c r="P390" s="20">
        <v>0.0</v>
      </c>
      <c r="Q390" s="18"/>
      <c r="R390" s="18"/>
      <c r="S390" s="52"/>
      <c r="T390" s="22"/>
    </row>
    <row r="391">
      <c r="A391" s="23" t="s">
        <v>3199</v>
      </c>
      <c r="B391" s="40" t="s">
        <v>859</v>
      </c>
      <c r="C391" s="41">
        <v>45322.0</v>
      </c>
      <c r="D391" s="40" t="s">
        <v>3200</v>
      </c>
      <c r="E391" s="42" t="s">
        <v>3201</v>
      </c>
      <c r="F391" s="43" t="s">
        <v>3202</v>
      </c>
      <c r="G391" s="43" t="s">
        <v>3203</v>
      </c>
      <c r="H391" s="47" t="s">
        <v>130</v>
      </c>
      <c r="I391" s="25" t="str">
        <f>IFERROR(__xludf.DUMMYFUNCTION("GOOGLETRANSLATE(H391,""EN"",""ES"")"),"Sostenibilidad")</f>
        <v>Sostenibilidad</v>
      </c>
      <c r="J391" s="26" t="s">
        <v>35</v>
      </c>
      <c r="K391" s="48">
        <v>0.6</v>
      </c>
      <c r="L391" s="49" t="s">
        <v>3204</v>
      </c>
      <c r="M391" s="28" t="s">
        <v>3205</v>
      </c>
      <c r="N391" s="47" t="s">
        <v>3206</v>
      </c>
      <c r="O391" s="47" t="str">
        <f>IFERROR(__xludf.DUMMYFUNCTION("GOOGLETRANSLATE(N391,""EN"",""ES"")"),"La aprobación regulatoria del cierre de instalaciones nucleares se alinea con la responsabilidad ambiental de Repsol.")</f>
        <v>La aprobación regulatoria del cierre de instalaciones nucleares se alinea con la responsabilidad ambiental de Repsol.</v>
      </c>
      <c r="P391" s="30">
        <v>0.0</v>
      </c>
      <c r="Q391" s="31"/>
      <c r="R391" s="31"/>
      <c r="S391" s="53" t="s">
        <v>2557</v>
      </c>
      <c r="T391" s="32" t="s">
        <v>2558</v>
      </c>
    </row>
    <row r="392">
      <c r="A392" s="33" t="s">
        <v>3207</v>
      </c>
      <c r="B392" s="40" t="s">
        <v>85</v>
      </c>
      <c r="C392" s="41">
        <v>45322.0</v>
      </c>
      <c r="D392" s="40" t="s">
        <v>3208</v>
      </c>
      <c r="E392" s="42" t="s">
        <v>3209</v>
      </c>
      <c r="F392" s="43" t="s">
        <v>3210</v>
      </c>
      <c r="G392" s="43" t="s">
        <v>3211</v>
      </c>
      <c r="H392" s="44" t="s">
        <v>130</v>
      </c>
      <c r="I392" s="15" t="str">
        <f>IFERROR(__xludf.DUMMYFUNCTION("GOOGLETRANSLATE(H392,""EN"",""ES"")"),"Sostenibilidad")</f>
        <v>Sostenibilidad</v>
      </c>
      <c r="J392" s="16" t="s">
        <v>35</v>
      </c>
      <c r="K392" s="48">
        <v>0.6</v>
      </c>
      <c r="L392" s="51" t="s">
        <v>3212</v>
      </c>
      <c r="M392" s="34" t="s">
        <v>3213</v>
      </c>
      <c r="N392" s="44" t="s">
        <v>3214</v>
      </c>
      <c r="O392" s="44" t="str">
        <f>IFERROR(__xludf.DUMMYFUNCTION("GOOGLETRANSLATE(N392,""EN"",""ES"")"),"El cierre de infraestructuras obsoletas respalda los objetivos medioambientales y de sostenibilidad de Repsol.")</f>
        <v>El cierre de infraestructuras obsoletas respalda los objetivos medioambientales y de sostenibilidad de Repsol.</v>
      </c>
      <c r="P392" s="30">
        <v>0.0</v>
      </c>
      <c r="Q392" s="18"/>
      <c r="R392" s="18"/>
      <c r="S392" s="52" t="s">
        <v>2557</v>
      </c>
      <c r="T392" s="22" t="s">
        <v>2558</v>
      </c>
    </row>
    <row r="393">
      <c r="A393" s="23" t="s">
        <v>3215</v>
      </c>
      <c r="B393" s="40" t="s">
        <v>3216</v>
      </c>
      <c r="C393" s="41">
        <v>45322.0</v>
      </c>
      <c r="D393" s="40" t="s">
        <v>3217</v>
      </c>
      <c r="E393" s="42" t="s">
        <v>3218</v>
      </c>
      <c r="F393" s="43" t="s">
        <v>3219</v>
      </c>
      <c r="G393" s="43" t="s">
        <v>3220</v>
      </c>
      <c r="H393" s="47" t="s">
        <v>130</v>
      </c>
      <c r="I393" s="25" t="str">
        <f>IFERROR(__xludf.DUMMYFUNCTION("GOOGLETRANSLATE(H393,""EN"",""ES"")"),"Sostenibilidad")</f>
        <v>Sostenibilidad</v>
      </c>
      <c r="J393" s="26" t="s">
        <v>35</v>
      </c>
      <c r="K393" s="48">
        <v>0.7</v>
      </c>
      <c r="L393" s="49" t="s">
        <v>3221</v>
      </c>
      <c r="M393" s="28" t="s">
        <v>3222</v>
      </c>
      <c r="N393" s="47" t="s">
        <v>3223</v>
      </c>
      <c r="O393" s="47" t="str">
        <f>IFERROR(__xludf.DUMMYFUNCTION("GOOGLETRANSLATE(N393,""EN"",""ES"")"),"La ampliación de la producción de biocombustibles refuerza el papel de Repsol en las energías renovables.")</f>
        <v>La ampliación de la producción de biocombustibles refuerza el papel de Repsol en las energías renovables.</v>
      </c>
      <c r="P393" s="30">
        <v>0.7</v>
      </c>
      <c r="Q393" s="31" t="str">
        <f>IFERROR(__xludf.DUMMYFUNCTION("GOOGLETRANSLATE(R393,""ES"",""EN"")"),"biofuel, renewable gasoline")</f>
        <v>biofuel, renewable gasoline</v>
      </c>
      <c r="R393" s="28" t="s">
        <v>3224</v>
      </c>
      <c r="S393" s="53" t="s">
        <v>3225</v>
      </c>
      <c r="T393" s="32" t="s">
        <v>3226</v>
      </c>
    </row>
    <row r="394">
      <c r="A394" s="33" t="s">
        <v>3227</v>
      </c>
      <c r="B394" s="40" t="s">
        <v>163</v>
      </c>
      <c r="C394" s="41">
        <v>45322.0</v>
      </c>
      <c r="D394" s="40" t="s">
        <v>3228</v>
      </c>
      <c r="E394" s="42" t="s">
        <v>3229</v>
      </c>
      <c r="F394" s="43" t="s">
        <v>3230</v>
      </c>
      <c r="G394" s="43" t="s">
        <v>3231</v>
      </c>
      <c r="H394" s="44" t="s">
        <v>55</v>
      </c>
      <c r="I394" s="15" t="str">
        <f>IFERROR(__xludf.DUMMYFUNCTION("GOOGLETRANSLATE(H394,""EN"",""ES"")"),"deportes de motor")</f>
        <v>deportes de motor</v>
      </c>
      <c r="J394" s="16" t="s">
        <v>27</v>
      </c>
      <c r="K394" s="17">
        <v>0.0</v>
      </c>
      <c r="L394" s="45"/>
      <c r="M394" s="18"/>
      <c r="N394" s="44"/>
      <c r="O394" s="44"/>
      <c r="P394" s="20">
        <v>0.0</v>
      </c>
      <c r="Q394" s="18"/>
      <c r="R394" s="18"/>
      <c r="S394" s="52"/>
      <c r="T394" s="22"/>
    </row>
    <row r="395">
      <c r="A395" s="23" t="s">
        <v>3232</v>
      </c>
      <c r="B395" s="40" t="s">
        <v>3233</v>
      </c>
      <c r="C395" s="41">
        <v>45322.0</v>
      </c>
      <c r="D395" s="40" t="s">
        <v>3234</v>
      </c>
      <c r="E395" s="42" t="s">
        <v>3235</v>
      </c>
      <c r="F395" s="43" t="s">
        <v>3236</v>
      </c>
      <c r="G395" s="43" t="s">
        <v>3237</v>
      </c>
      <c r="H395" s="47" t="s">
        <v>395</v>
      </c>
      <c r="I395" s="25" t="str">
        <f>IFERROR(__xludf.DUMMYFUNCTION("GOOGLETRANSLATE(H395,""EN"",""ES"")"),"Ambiente")</f>
        <v>Ambiente</v>
      </c>
      <c r="J395" s="26" t="s">
        <v>35</v>
      </c>
      <c r="K395" s="48">
        <v>-0.7</v>
      </c>
      <c r="L395" s="49" t="s">
        <v>3238</v>
      </c>
      <c r="M395" s="28" t="s">
        <v>3239</v>
      </c>
      <c r="N395" s="47" t="s">
        <v>3240</v>
      </c>
      <c r="O395" s="47" t="str">
        <f>IFERROR(__xludf.DUMMYFUNCTION("GOOGLETRANSLATE(N395,""EN"",""ES"")"),"Las continuas críticas a los esfuerzos de remediación dañan la reputación de Repsol.")</f>
        <v>Las continuas críticas a los esfuerzos de remediación dañan la reputación de Repsol.</v>
      </c>
      <c r="P395" s="30">
        <v>-0.8</v>
      </c>
      <c r="Q395" s="31" t="str">
        <f>IFERROR(__xludf.DUMMYFUNCTION("GOOGLETRANSLATE(R395,""ES"",""EN"")"),"oil spill, remediation")</f>
        <v>oil spill, remediation</v>
      </c>
      <c r="R395" s="28" t="s">
        <v>3241</v>
      </c>
      <c r="S395" s="53" t="s">
        <v>3242</v>
      </c>
      <c r="T395" s="32" t="s">
        <v>3243</v>
      </c>
    </row>
    <row r="396">
      <c r="A396" s="33" t="s">
        <v>3244</v>
      </c>
      <c r="B396" s="40" t="s">
        <v>2117</v>
      </c>
      <c r="C396" s="41">
        <v>45322.0</v>
      </c>
      <c r="D396" s="40" t="s">
        <v>3245</v>
      </c>
      <c r="E396" s="42" t="s">
        <v>3246</v>
      </c>
      <c r="F396" s="43" t="s">
        <v>3247</v>
      </c>
      <c r="G396" s="43" t="s">
        <v>3248</v>
      </c>
      <c r="H396" s="44" t="s">
        <v>62</v>
      </c>
      <c r="I396" s="15" t="str">
        <f>IFERROR(__xludf.DUMMYFUNCTION("GOOGLETRANSLATE(H396,""EN"",""ES"")"),"Energía")</f>
        <v>Energía</v>
      </c>
      <c r="J396" s="16" t="s">
        <v>27</v>
      </c>
      <c r="K396" s="17">
        <v>0.0</v>
      </c>
      <c r="L396" s="45"/>
      <c r="M396" s="18"/>
      <c r="N396" s="44"/>
      <c r="O396" s="44"/>
      <c r="P396" s="20">
        <v>0.0</v>
      </c>
      <c r="Q396" s="18"/>
      <c r="R396" s="18"/>
      <c r="S396" s="52"/>
      <c r="T396" s="22"/>
    </row>
    <row r="397">
      <c r="A397" s="23" t="s">
        <v>3249</v>
      </c>
      <c r="B397" s="40" t="s">
        <v>2230</v>
      </c>
      <c r="C397" s="41">
        <v>45322.0</v>
      </c>
      <c r="D397" s="40" t="s">
        <v>3250</v>
      </c>
      <c r="E397" s="42" t="s">
        <v>3251</v>
      </c>
      <c r="F397" s="43" t="s">
        <v>3252</v>
      </c>
      <c r="G397" s="43" t="s">
        <v>3253</v>
      </c>
      <c r="H397" s="47" t="s">
        <v>130</v>
      </c>
      <c r="I397" s="25" t="str">
        <f>IFERROR(__xludf.DUMMYFUNCTION("GOOGLETRANSLATE(H397,""EN"",""ES"")"),"Sostenibilidad")</f>
        <v>Sostenibilidad</v>
      </c>
      <c r="J397" s="26" t="s">
        <v>35</v>
      </c>
      <c r="K397" s="48">
        <v>0.0</v>
      </c>
      <c r="L397" s="54"/>
      <c r="M397" s="31"/>
      <c r="N397" s="47" t="s">
        <v>3254</v>
      </c>
      <c r="O397" s="47" t="str">
        <f>IFERROR(__xludf.DUMMYFUNCTION("GOOGLETRANSLATE(N397,""EN"",""ES"")"),"La exploración de energía geotérmica no afecta directamente a Repsol.")</f>
        <v>La exploración de energía geotérmica no afecta directamente a Repsol.</v>
      </c>
      <c r="P397" s="30">
        <v>0.0</v>
      </c>
      <c r="Q397" s="31"/>
      <c r="R397" s="31"/>
      <c r="S397" s="53" t="s">
        <v>2584</v>
      </c>
      <c r="T397" s="32" t="s">
        <v>2585</v>
      </c>
    </row>
    <row r="398">
      <c r="A398" s="33" t="s">
        <v>3255</v>
      </c>
      <c r="B398" s="40" t="s">
        <v>163</v>
      </c>
      <c r="C398" s="41">
        <v>45323.0</v>
      </c>
      <c r="D398" s="40" t="s">
        <v>3256</v>
      </c>
      <c r="E398" s="42" t="s">
        <v>3257</v>
      </c>
      <c r="F398" s="43" t="s">
        <v>3258</v>
      </c>
      <c r="G398" s="43" t="s">
        <v>3259</v>
      </c>
      <c r="H398" s="44" t="s">
        <v>661</v>
      </c>
      <c r="I398" s="15" t="str">
        <f>IFERROR(__xludf.DUMMYFUNCTION("GOOGLETRANSLATE(H398,""EN"",""ES"")"),"Estrategia empresarial")</f>
        <v>Estrategia empresarial</v>
      </c>
      <c r="J398" s="16" t="s">
        <v>27</v>
      </c>
      <c r="K398" s="17">
        <v>0.0</v>
      </c>
      <c r="L398" s="45"/>
      <c r="M398" s="18"/>
      <c r="N398" s="44"/>
      <c r="O398" s="44"/>
      <c r="P398" s="20">
        <v>0.0</v>
      </c>
      <c r="Q398" s="18"/>
      <c r="R398" s="18"/>
      <c r="S398" s="52"/>
      <c r="T398" s="22"/>
    </row>
    <row r="399">
      <c r="A399" s="23" t="s">
        <v>3260</v>
      </c>
      <c r="B399" s="40" t="s">
        <v>3261</v>
      </c>
      <c r="C399" s="41">
        <v>45323.0</v>
      </c>
      <c r="D399" s="40" t="s">
        <v>3262</v>
      </c>
      <c r="E399" s="42" t="s">
        <v>3263</v>
      </c>
      <c r="F399" s="43" t="s">
        <v>3264</v>
      </c>
      <c r="G399" s="43" t="s">
        <v>3265</v>
      </c>
      <c r="H399" s="47" t="s">
        <v>130</v>
      </c>
      <c r="I399" s="25" t="str">
        <f>IFERROR(__xludf.DUMMYFUNCTION("GOOGLETRANSLATE(H399,""EN"",""ES"")"),"Sostenibilidad")</f>
        <v>Sostenibilidad</v>
      </c>
      <c r="J399" s="26" t="s">
        <v>35</v>
      </c>
      <c r="K399" s="48">
        <v>0.7</v>
      </c>
      <c r="L399" s="49" t="s">
        <v>3266</v>
      </c>
      <c r="M399" s="28" t="s">
        <v>3267</v>
      </c>
      <c r="N399" s="47" t="s">
        <v>3268</v>
      </c>
      <c r="O399" s="47" t="str">
        <f>IFERROR(__xludf.DUMMYFUNCTION("GOOGLETRANSLATE(N399,""EN"",""ES"")"),"La investigación sobre el hidrógeno respalda la apuesta de Repsol por las energías limpias a largo plazo.")</f>
        <v>La investigación sobre el hidrógeno respalda la apuesta de Repsol por las energías limpias a largo plazo.</v>
      </c>
      <c r="P399" s="30">
        <v>0.7</v>
      </c>
      <c r="Q399" s="31" t="str">
        <f>IFERROR(__xludf.DUMMYFUNCTION("GOOGLETRANSLATE(R399,""ES"",""EN"")"),"renewable hydrogen, decarbonization")</f>
        <v>renewable hydrogen, decarbonization</v>
      </c>
      <c r="R399" s="28" t="s">
        <v>3269</v>
      </c>
      <c r="S399" s="53" t="s">
        <v>3270</v>
      </c>
      <c r="T399" s="32" t="s">
        <v>3271</v>
      </c>
    </row>
    <row r="400">
      <c r="A400" s="33" t="s">
        <v>3272</v>
      </c>
      <c r="B400" s="40" t="s">
        <v>3273</v>
      </c>
      <c r="C400" s="41">
        <v>45323.0</v>
      </c>
      <c r="D400" s="40" t="s">
        <v>3274</v>
      </c>
      <c r="E400" s="42" t="s">
        <v>3275</v>
      </c>
      <c r="F400" s="43" t="s">
        <v>3276</v>
      </c>
      <c r="G400" s="43" t="s">
        <v>3277</v>
      </c>
      <c r="H400" s="44" t="s">
        <v>55</v>
      </c>
      <c r="I400" s="15" t="str">
        <f>IFERROR(__xludf.DUMMYFUNCTION("GOOGLETRANSLATE(H400,""EN"",""ES"")"),"deportes de motor")</f>
        <v>deportes de motor</v>
      </c>
      <c r="J400" s="16" t="s">
        <v>27</v>
      </c>
      <c r="K400" s="17">
        <v>0.0</v>
      </c>
      <c r="L400" s="45"/>
      <c r="M400" s="18"/>
      <c r="N400" s="44"/>
      <c r="O400" s="44"/>
      <c r="P400" s="20">
        <v>0.0</v>
      </c>
      <c r="Q400" s="18"/>
      <c r="R400" s="18"/>
      <c r="S400" s="52"/>
      <c r="T400" s="22"/>
    </row>
    <row r="401">
      <c r="A401" s="23" t="s">
        <v>3278</v>
      </c>
      <c r="B401" s="40" t="s">
        <v>3279</v>
      </c>
      <c r="C401" s="41">
        <v>45323.0</v>
      </c>
      <c r="D401" s="40" t="s">
        <v>3280</v>
      </c>
      <c r="E401" s="42" t="s">
        <v>3281</v>
      </c>
      <c r="F401" s="43" t="s">
        <v>3282</v>
      </c>
      <c r="G401" s="43" t="s">
        <v>3283</v>
      </c>
      <c r="H401" s="47" t="s">
        <v>130</v>
      </c>
      <c r="I401" s="25" t="str">
        <f>IFERROR(__xludf.DUMMYFUNCTION("GOOGLETRANSLATE(H401,""EN"",""ES"")"),"Sostenibilidad")</f>
        <v>Sostenibilidad</v>
      </c>
      <c r="J401" s="26" t="s">
        <v>35</v>
      </c>
      <c r="K401" s="48">
        <v>0.7</v>
      </c>
      <c r="L401" s="49" t="s">
        <v>3284</v>
      </c>
      <c r="M401" s="28" t="s">
        <v>3285</v>
      </c>
      <c r="N401" s="47" t="s">
        <v>3286</v>
      </c>
      <c r="O401" s="47" t="str">
        <f>IFERROR(__xludf.DUMMYFUNCTION("GOOGLETRANSLATE(N401,""EN"",""ES"")"),"El apoyo a iniciativas de economía circular se alinea con los esfuerzos de sostenibilidad de Repsol.")</f>
        <v>El apoyo a iniciativas de economía circular se alinea con los esfuerzos de sostenibilidad de Repsol.</v>
      </c>
      <c r="P401" s="30">
        <v>0.8</v>
      </c>
      <c r="Q401" s="31" t="str">
        <f>IFERROR(__xludf.DUMMYFUNCTION("GOOGLETRANSLATE(R401,""ES"",""EN"")"),"WE GROW, circular economy, renewable fuels")</f>
        <v>WE GROW, circular economy, renewable fuels</v>
      </c>
      <c r="R401" s="28" t="s">
        <v>3287</v>
      </c>
      <c r="S401" s="53" t="s">
        <v>3288</v>
      </c>
      <c r="T401" s="32" t="s">
        <v>3289</v>
      </c>
    </row>
    <row r="402">
      <c r="A402" s="33" t="s">
        <v>3290</v>
      </c>
      <c r="B402" s="40" t="s">
        <v>2696</v>
      </c>
      <c r="C402" s="41">
        <v>45323.0</v>
      </c>
      <c r="D402" s="40" t="s">
        <v>3291</v>
      </c>
      <c r="E402" s="42" t="s">
        <v>3292</v>
      </c>
      <c r="F402" s="43" t="s">
        <v>3293</v>
      </c>
      <c r="G402" s="43" t="s">
        <v>3294</v>
      </c>
      <c r="H402" s="44" t="s">
        <v>130</v>
      </c>
      <c r="I402" s="15" t="str">
        <f>IFERROR(__xludf.DUMMYFUNCTION("GOOGLETRANSLATE(H402,""EN"",""ES"")"),"Sostenibilidad")</f>
        <v>Sostenibilidad</v>
      </c>
      <c r="J402" s="16" t="s">
        <v>35</v>
      </c>
      <c r="K402" s="48">
        <v>0.7</v>
      </c>
      <c r="L402" s="51" t="s">
        <v>3295</v>
      </c>
      <c r="M402" s="34" t="s">
        <v>3296</v>
      </c>
      <c r="N402" s="44" t="s">
        <v>3297</v>
      </c>
      <c r="O402" s="44" t="str">
        <f>IFERROR(__xludf.DUMMYFUNCTION("GOOGLETRANSLATE(N402,""EN"",""ES"")"),"Apoyar la reforestación a gran escala potencia la responsabilidad ambiental de Repsol.")</f>
        <v>Apoyar la reforestación a gran escala potencia la responsabilidad ambiental de Repsol.</v>
      </c>
      <c r="P402" s="30">
        <v>0.9</v>
      </c>
      <c r="Q402" s="18" t="str">
        <f>IFERROR(__xludf.DUMMYFUNCTION("GOOGLETRANSLATE(R402,""ES"",""EN"")"),"reforestation, Repsol Foundation, carbon offset")</f>
        <v>reforestation, Repsol Foundation, carbon offset</v>
      </c>
      <c r="R402" s="34" t="s">
        <v>3298</v>
      </c>
      <c r="S402" s="52" t="s">
        <v>3299</v>
      </c>
      <c r="T402" s="22" t="s">
        <v>3300</v>
      </c>
    </row>
    <row r="403">
      <c r="A403" s="23" t="s">
        <v>3301</v>
      </c>
      <c r="B403" s="40" t="s">
        <v>91</v>
      </c>
      <c r="C403" s="41">
        <v>45323.0</v>
      </c>
      <c r="D403" s="40" t="s">
        <v>3302</v>
      </c>
      <c r="E403" s="42" t="s">
        <v>3303</v>
      </c>
      <c r="F403" s="43" t="s">
        <v>3304</v>
      </c>
      <c r="G403" s="43" t="s">
        <v>3305</v>
      </c>
      <c r="H403" s="47" t="s">
        <v>130</v>
      </c>
      <c r="I403" s="25" t="str">
        <f>IFERROR(__xludf.DUMMYFUNCTION("GOOGLETRANSLATE(H403,""EN"",""ES"")"),"Sostenibilidad")</f>
        <v>Sostenibilidad</v>
      </c>
      <c r="J403" s="26" t="s">
        <v>35</v>
      </c>
      <c r="K403" s="48">
        <v>0.6</v>
      </c>
      <c r="L403" s="49" t="s">
        <v>3306</v>
      </c>
      <c r="M403" s="28" t="s">
        <v>3307</v>
      </c>
      <c r="N403" s="47" t="s">
        <v>3308</v>
      </c>
      <c r="O403" s="47" t="str">
        <f>IFERROR(__xludf.DUMMYFUNCTION("GOOGLETRANSLATE(N403,""EN"",""ES"")"),"El desmantelamiento de la infraestructura petrolera marina se alinea con los esfuerzos de transición de Repsol.")</f>
        <v>El desmantelamiento de la infraestructura petrolera marina se alinea con los esfuerzos de transición de Repsol.</v>
      </c>
      <c r="P403" s="30">
        <v>0.0</v>
      </c>
      <c r="Q403" s="31"/>
      <c r="R403" s="31"/>
      <c r="S403" s="53" t="s">
        <v>2557</v>
      </c>
      <c r="T403" s="32" t="s">
        <v>2558</v>
      </c>
    </row>
    <row r="404">
      <c r="A404" s="33" t="s">
        <v>3309</v>
      </c>
      <c r="B404" s="40" t="s">
        <v>356</v>
      </c>
      <c r="C404" s="41">
        <v>45323.0</v>
      </c>
      <c r="D404" s="40" t="s">
        <v>3310</v>
      </c>
      <c r="E404" s="42" t="s">
        <v>3311</v>
      </c>
      <c r="F404" s="43" t="s">
        <v>3312</v>
      </c>
      <c r="G404" s="43" t="s">
        <v>3313</v>
      </c>
      <c r="H404" s="44" t="s">
        <v>62</v>
      </c>
      <c r="I404" s="15" t="str">
        <f>IFERROR(__xludf.DUMMYFUNCTION("GOOGLETRANSLATE(H404,""EN"",""ES"")"),"Energía")</f>
        <v>Energía</v>
      </c>
      <c r="J404" s="16" t="s">
        <v>27</v>
      </c>
      <c r="K404" s="17">
        <v>0.0</v>
      </c>
      <c r="L404" s="45"/>
      <c r="M404" s="18"/>
      <c r="N404" s="44"/>
      <c r="O404" s="44"/>
      <c r="P404" s="20">
        <v>0.0</v>
      </c>
      <c r="Q404" s="18"/>
      <c r="R404" s="18"/>
      <c r="S404" s="52"/>
      <c r="T404" s="22"/>
    </row>
    <row r="405">
      <c r="A405" s="23" t="s">
        <v>3314</v>
      </c>
      <c r="B405" s="40" t="s">
        <v>702</v>
      </c>
      <c r="C405" s="41">
        <v>45323.0</v>
      </c>
      <c r="D405" s="40" t="s">
        <v>3315</v>
      </c>
      <c r="E405" s="42" t="s">
        <v>3316</v>
      </c>
      <c r="F405" s="43" t="s">
        <v>3317</v>
      </c>
      <c r="G405" s="43" t="s">
        <v>3318</v>
      </c>
      <c r="H405" s="47" t="s">
        <v>1975</v>
      </c>
      <c r="I405" s="25" t="str">
        <f>IFERROR(__xludf.DUMMYFUNCTION("GOOGLETRANSLATE(H405,""EN"",""ES"")"),"Política")</f>
        <v>Política</v>
      </c>
      <c r="J405" s="26" t="s">
        <v>27</v>
      </c>
      <c r="K405" s="17">
        <v>0.0</v>
      </c>
      <c r="L405" s="54"/>
      <c r="M405" s="31"/>
      <c r="N405" s="47"/>
      <c r="O405" s="47"/>
      <c r="P405" s="20">
        <v>0.0</v>
      </c>
      <c r="Q405" s="31"/>
      <c r="R405" s="31"/>
      <c r="S405" s="53"/>
      <c r="T405" s="32"/>
    </row>
    <row r="406">
      <c r="A406" s="33" t="s">
        <v>3319</v>
      </c>
      <c r="B406" s="40" t="s">
        <v>3320</v>
      </c>
      <c r="C406" s="41">
        <v>45324.0</v>
      </c>
      <c r="D406" s="40" t="s">
        <v>3321</v>
      </c>
      <c r="E406" s="42" t="s">
        <v>3321</v>
      </c>
      <c r="F406" s="43" t="s">
        <v>3322</v>
      </c>
      <c r="G406" s="43" t="s">
        <v>3322</v>
      </c>
      <c r="H406" s="44" t="s">
        <v>2656</v>
      </c>
      <c r="I406" s="15" t="str">
        <f>IFERROR(__xludf.DUMMYFUNCTION("GOOGLETRANSLATE(H406,""EN"",""ES"")"),"Innovación")</f>
        <v>Innovación</v>
      </c>
      <c r="J406" s="16" t="s">
        <v>27</v>
      </c>
      <c r="K406" s="17">
        <v>0.0</v>
      </c>
      <c r="L406" s="45"/>
      <c r="M406" s="18"/>
      <c r="N406" s="44"/>
      <c r="O406" s="44"/>
      <c r="P406" s="20">
        <v>0.0</v>
      </c>
      <c r="Q406" s="18"/>
      <c r="R406" s="18"/>
      <c r="S406" s="52"/>
      <c r="T406" s="22"/>
    </row>
    <row r="407">
      <c r="A407" s="23" t="s">
        <v>3323</v>
      </c>
      <c r="B407" s="40" t="s">
        <v>85</v>
      </c>
      <c r="C407" s="41">
        <v>45324.0</v>
      </c>
      <c r="D407" s="40" t="s">
        <v>3324</v>
      </c>
      <c r="E407" s="42" t="s">
        <v>3325</v>
      </c>
      <c r="F407" s="43" t="s">
        <v>3326</v>
      </c>
      <c r="G407" s="43" t="s">
        <v>3327</v>
      </c>
      <c r="H407" s="47" t="s">
        <v>2555</v>
      </c>
      <c r="I407" s="25" t="str">
        <f>IFERROR(__xludf.DUMMYFUNCTION("GOOGLETRANSLATE(H407,""EN"",""ES"")"),"Asuntos Corporativos")</f>
        <v>Asuntos Corporativos</v>
      </c>
      <c r="J407" s="26" t="s">
        <v>35</v>
      </c>
      <c r="K407" s="48">
        <v>0.5</v>
      </c>
      <c r="L407" s="49" t="s">
        <v>3328</v>
      </c>
      <c r="M407" s="28" t="s">
        <v>3329</v>
      </c>
      <c r="N407" s="47" t="s">
        <v>3330</v>
      </c>
      <c r="O407" s="47" t="str">
        <f>IFERROR(__xludf.DUMMYFUNCTION("GOOGLETRANSLATE(N407,""EN"",""ES"")"),"Los cambios de liderazgo en Repsol pueden influir en la dirección estratégica, pero tienen un impacto inmediato limitado.")</f>
        <v>Los cambios de liderazgo en Repsol pueden influir en la dirección estratégica, pero tienen un impacto inmediato limitado.</v>
      </c>
      <c r="P407" s="30">
        <v>0.7</v>
      </c>
      <c r="Q407" s="31" t="str">
        <f>IFERROR(__xludf.DUMMYFUNCTION("GOOGLETRANSLATE(R407,""ES"",""EN"")"),"electric mobility, car charging")</f>
        <v>electric mobility, car charging</v>
      </c>
      <c r="R407" s="28" t="s">
        <v>3331</v>
      </c>
      <c r="S407" s="53" t="s">
        <v>3332</v>
      </c>
      <c r="T407" s="32" t="s">
        <v>3333</v>
      </c>
    </row>
    <row r="408">
      <c r="A408" s="33" t="s">
        <v>3334</v>
      </c>
      <c r="B408" s="40" t="s">
        <v>1005</v>
      </c>
      <c r="C408" s="41">
        <v>45324.0</v>
      </c>
      <c r="D408" s="40" t="s">
        <v>3335</v>
      </c>
      <c r="E408" s="42" t="s">
        <v>3336</v>
      </c>
      <c r="F408" s="43" t="s">
        <v>3337</v>
      </c>
      <c r="G408" s="43" t="s">
        <v>3338</v>
      </c>
      <c r="H408" s="44" t="s">
        <v>130</v>
      </c>
      <c r="I408" s="15" t="str">
        <f>IFERROR(__xludf.DUMMYFUNCTION("GOOGLETRANSLATE(H408,""EN"",""ES"")"),"Sostenibilidad")</f>
        <v>Sostenibilidad</v>
      </c>
      <c r="J408" s="16" t="s">
        <v>35</v>
      </c>
      <c r="K408" s="48">
        <v>0.0</v>
      </c>
      <c r="L408" s="45"/>
      <c r="M408" s="18"/>
      <c r="N408" s="44" t="s">
        <v>3339</v>
      </c>
      <c r="O408" s="44" t="str">
        <f>IFERROR(__xludf.DUMMYFUNCTION("GOOGLETRANSLATE(N408,""EN"",""ES"")"),"Las discusiones generales sobre sostenibilidad no afectan a Repsol a menos que se mencionen explícitamente.")</f>
        <v>Las discusiones generales sobre sostenibilidad no afectan a Repsol a menos que se mencionen explícitamente.</v>
      </c>
      <c r="P408" s="30">
        <v>0.8</v>
      </c>
      <c r="Q408" s="18" t="str">
        <f>IFERROR(__xludf.DUMMYFUNCTION("GOOGLETRANSLATE(R408,""ES"",""EN"")"),"RECPUR plant, polyurethane recycling")</f>
        <v>RECPUR plant, polyurethane recycling</v>
      </c>
      <c r="R408" s="34" t="s">
        <v>3340</v>
      </c>
      <c r="S408" s="52" t="s">
        <v>3341</v>
      </c>
      <c r="T408" s="22" t="s">
        <v>3342</v>
      </c>
    </row>
    <row r="409">
      <c r="A409" s="23" t="s">
        <v>3343</v>
      </c>
      <c r="B409" s="40" t="s">
        <v>1577</v>
      </c>
      <c r="C409" s="41">
        <v>45324.0</v>
      </c>
      <c r="D409" s="40" t="s">
        <v>3344</v>
      </c>
      <c r="E409" s="42" t="s">
        <v>3345</v>
      </c>
      <c r="F409" s="43" t="s">
        <v>3346</v>
      </c>
      <c r="G409" s="43" t="s">
        <v>3347</v>
      </c>
      <c r="H409" s="47" t="s">
        <v>2281</v>
      </c>
      <c r="I409" s="25" t="str">
        <f>IFERROR(__xludf.DUMMYFUNCTION("GOOGLETRANSLATE(H409,""EN"",""ES"")"),"Operaciones comerciales")</f>
        <v>Operaciones comerciales</v>
      </c>
      <c r="J409" s="26" t="s">
        <v>35</v>
      </c>
      <c r="K409" s="48">
        <v>0.6</v>
      </c>
      <c r="L409" s="49" t="s">
        <v>3348</v>
      </c>
      <c r="M409" s="28" t="s">
        <v>3349</v>
      </c>
      <c r="N409" s="47" t="s">
        <v>3350</v>
      </c>
      <c r="O409" s="47" t="str">
        <f>IFERROR(__xludf.DUMMYFUNCTION("GOOGLETRANSLATE(N409,""EN"",""ES"")"),"Abordar los problemas de la cadena de suministro mejora la fiabilidad operativa de Repsol.")</f>
        <v>Abordar los problemas de la cadena de suministro mejora la fiabilidad operativa de Repsol.</v>
      </c>
      <c r="P409" s="30">
        <v>0.6</v>
      </c>
      <c r="Q409" s="31" t="str">
        <f>IFERROR(__xludf.DUMMYFUNCTION("GOOGLETRANSLATE(R409,""ES"",""EN"")"),"supply of butane cylinders, Garín Gas")</f>
        <v>supply of butane cylinders, Garín Gas</v>
      </c>
      <c r="R409" s="28" t="s">
        <v>3351</v>
      </c>
      <c r="S409" s="53" t="s">
        <v>3352</v>
      </c>
      <c r="T409" s="32" t="s">
        <v>3353</v>
      </c>
    </row>
    <row r="410">
      <c r="A410" s="33" t="s">
        <v>3354</v>
      </c>
      <c r="B410" s="40" t="s">
        <v>1819</v>
      </c>
      <c r="C410" s="41">
        <v>45324.0</v>
      </c>
      <c r="D410" s="40" t="s">
        <v>3355</v>
      </c>
      <c r="E410" s="42" t="s">
        <v>3356</v>
      </c>
      <c r="F410" s="43" t="s">
        <v>3357</v>
      </c>
      <c r="G410" s="43" t="s">
        <v>3358</v>
      </c>
      <c r="H410" s="44" t="s">
        <v>939</v>
      </c>
      <c r="I410" s="15" t="str">
        <f>IFERROR(__xludf.DUMMYFUNCTION("GOOGLETRANSLATE(H410,""EN"",""ES"")"),"Seguridad")</f>
        <v>Seguridad</v>
      </c>
      <c r="J410" s="16" t="s">
        <v>35</v>
      </c>
      <c r="K410" s="48">
        <v>-0.6</v>
      </c>
      <c r="L410" s="51" t="s">
        <v>3359</v>
      </c>
      <c r="M410" s="34" t="s">
        <v>3360</v>
      </c>
      <c r="N410" s="44" t="s">
        <v>3361</v>
      </c>
      <c r="O410" s="44" t="str">
        <f>IFERROR(__xludf.DUMMYFUNCTION("GOOGLETRANSLATE(N410,""EN"",""ES"")"),"Las preocupaciones por la seguridad en las refinerías pueden afectar negativamente la imagen pública de Repsol.")</f>
        <v>Las preocupaciones por la seguridad en las refinerías pueden afectar negativamente la imagen pública de Repsol.</v>
      </c>
      <c r="P410" s="30">
        <v>-0.5</v>
      </c>
      <c r="Q410" s="18" t="str">
        <f>IFERROR(__xludf.DUMMYFUNCTION("GOOGLETRANSLATE(R410,""ES"",""EN"")"),"security crisis, demonstration")</f>
        <v>security crisis, demonstration</v>
      </c>
      <c r="R410" s="34" t="s">
        <v>3362</v>
      </c>
      <c r="S410" s="52" t="s">
        <v>2898</v>
      </c>
      <c r="T410" s="22" t="s">
        <v>1829</v>
      </c>
    </row>
    <row r="411">
      <c r="A411" s="23" t="s">
        <v>3363</v>
      </c>
      <c r="B411" s="40" t="s">
        <v>1993</v>
      </c>
      <c r="C411" s="41">
        <v>45324.0</v>
      </c>
      <c r="D411" s="40" t="s">
        <v>3364</v>
      </c>
      <c r="E411" s="42" t="s">
        <v>3365</v>
      </c>
      <c r="F411" s="43" t="s">
        <v>3366</v>
      </c>
      <c r="G411" s="43" t="s">
        <v>3367</v>
      </c>
      <c r="H411" s="47" t="s">
        <v>2447</v>
      </c>
      <c r="I411" s="25" t="str">
        <f>IFERROR(__xludf.DUMMYFUNCTION("GOOGLETRANSLATE(H411,""EN"",""ES"")"),"Asuntos del Consumidor")</f>
        <v>Asuntos del Consumidor</v>
      </c>
      <c r="J411" s="26" t="s">
        <v>35</v>
      </c>
      <c r="K411" s="48">
        <v>0.5</v>
      </c>
      <c r="L411" s="49" t="s">
        <v>3368</v>
      </c>
      <c r="M411" s="28" t="s">
        <v>3369</v>
      </c>
      <c r="N411" s="47" t="s">
        <v>3370</v>
      </c>
      <c r="O411" s="47" t="str">
        <f>IFERROR(__xludf.DUMMYFUNCTION("GOOGLETRANSLATE(N411,""EN"",""ES"")"),"Los comentarios positivos de los consumidores pueden mejorar la percepción pública de los combustibles verdes de Repsol.")</f>
        <v>Los comentarios positivos de los consumidores pueden mejorar la percepción pública de los combustibles verdes de Repsol.</v>
      </c>
      <c r="P411" s="30">
        <v>0.7</v>
      </c>
      <c r="Q411" s="31" t="str">
        <f>IFERROR(__xludf.DUMMYFUNCTION("GOOGLETRANSLATE(R411,""ES"",""EN"")"),"renewable fuels, OCU")</f>
        <v>renewable fuels, OCU</v>
      </c>
      <c r="R411" s="28" t="s">
        <v>3371</v>
      </c>
      <c r="S411" s="53" t="s">
        <v>3225</v>
      </c>
      <c r="T411" s="32" t="s">
        <v>3226</v>
      </c>
    </row>
    <row r="412">
      <c r="A412" s="33" t="s">
        <v>3372</v>
      </c>
      <c r="B412" s="40" t="s">
        <v>3373</v>
      </c>
      <c r="C412" s="41">
        <v>45324.0</v>
      </c>
      <c r="D412" s="40" t="s">
        <v>3374</v>
      </c>
      <c r="E412" s="42" t="s">
        <v>3375</v>
      </c>
      <c r="F412" s="43" t="s">
        <v>3376</v>
      </c>
      <c r="G412" s="43" t="s">
        <v>3377</v>
      </c>
      <c r="H412" s="44" t="s">
        <v>130</v>
      </c>
      <c r="I412" s="15" t="str">
        <f>IFERROR(__xludf.DUMMYFUNCTION("GOOGLETRANSLATE(H412,""EN"",""ES"")"),"Sostenibilidad")</f>
        <v>Sostenibilidad</v>
      </c>
      <c r="J412" s="16" t="s">
        <v>35</v>
      </c>
      <c r="K412" s="48">
        <v>0.7</v>
      </c>
      <c r="L412" s="51" t="s">
        <v>3378</v>
      </c>
      <c r="M412" s="34" t="s">
        <v>1600</v>
      </c>
      <c r="N412" s="44" t="s">
        <v>3379</v>
      </c>
      <c r="O412" s="44" t="str">
        <f>IFERROR(__xludf.DUMMYFUNCTION("GOOGLETRANSLATE(N412,""EN"",""ES"")"),"La ampliación de las estaciones de combustible renovable refuerza la apuesta de Repsol por la energía verde.")</f>
        <v>La ampliación de las estaciones de combustible renovable refuerza la apuesta de Repsol por la energía verde.</v>
      </c>
      <c r="P412" s="30">
        <v>0.8</v>
      </c>
      <c r="Q412" s="18" t="str">
        <f>IFERROR(__xludf.DUMMYFUNCTION("GOOGLETRANSLATE(R412,""ES"",""EN"")"),"renewable fuel, service stations")</f>
        <v>renewable fuel, service stations</v>
      </c>
      <c r="R412" s="34" t="s">
        <v>1539</v>
      </c>
      <c r="S412" s="52" t="s">
        <v>3380</v>
      </c>
      <c r="T412" s="22" t="s">
        <v>3381</v>
      </c>
    </row>
    <row r="413">
      <c r="A413" s="23" t="s">
        <v>3382</v>
      </c>
      <c r="B413" s="40" t="s">
        <v>21</v>
      </c>
      <c r="C413" s="41">
        <v>45324.0</v>
      </c>
      <c r="D413" s="40" t="s">
        <v>3383</v>
      </c>
      <c r="E413" s="42" t="s">
        <v>3384</v>
      </c>
      <c r="F413" s="43" t="s">
        <v>3385</v>
      </c>
      <c r="G413" s="43" t="s">
        <v>3386</v>
      </c>
      <c r="H413" s="47" t="s">
        <v>148</v>
      </c>
      <c r="I413" s="25" t="str">
        <f>IFERROR(__xludf.DUMMYFUNCTION("GOOGLETRANSLATE(H413,""EN"",""ES"")"),"Gastronomía")</f>
        <v>Gastronomía</v>
      </c>
      <c r="J413" s="26" t="s">
        <v>27</v>
      </c>
      <c r="K413" s="17">
        <v>0.0</v>
      </c>
      <c r="L413" s="54"/>
      <c r="M413" s="31"/>
      <c r="N413" s="47"/>
      <c r="O413" s="47"/>
      <c r="P413" s="20">
        <v>0.0</v>
      </c>
      <c r="Q413" s="31"/>
      <c r="R413" s="31"/>
      <c r="S413" s="53"/>
      <c r="T413" s="32"/>
    </row>
    <row r="414">
      <c r="A414" s="33" t="s">
        <v>3387</v>
      </c>
      <c r="B414" s="40" t="s">
        <v>229</v>
      </c>
      <c r="C414" s="41">
        <v>45324.0</v>
      </c>
      <c r="D414" s="40" t="s">
        <v>3388</v>
      </c>
      <c r="E414" s="42" t="s">
        <v>3389</v>
      </c>
      <c r="F414" s="43" t="s">
        <v>3390</v>
      </c>
      <c r="G414" s="43" t="s">
        <v>3391</v>
      </c>
      <c r="H414" s="44" t="s">
        <v>2447</v>
      </c>
      <c r="I414" s="15" t="str">
        <f>IFERROR(__xludf.DUMMYFUNCTION("GOOGLETRANSLATE(H414,""EN"",""ES"")"),"Asuntos del Consumidor")</f>
        <v>Asuntos del Consumidor</v>
      </c>
      <c r="J414" s="16" t="s">
        <v>35</v>
      </c>
      <c r="K414" s="48">
        <v>0.5</v>
      </c>
      <c r="L414" s="51" t="s">
        <v>3392</v>
      </c>
      <c r="M414" s="34" t="s">
        <v>3393</v>
      </c>
      <c r="N414" s="44" t="s">
        <v>3394</v>
      </c>
      <c r="O414" s="44" t="str">
        <f>IFERROR(__xludf.DUMMYFUNCTION("GOOGLETRANSLATE(N414,""EN"",""ES"")"),"Las evaluaciones de los consumidores pueden influir en la percepción pública de la oferta de combustibles de Repsol.")</f>
        <v>Las evaluaciones de los consumidores pueden influir en la percepción pública de la oferta de combustibles de Repsol.</v>
      </c>
      <c r="P414" s="30">
        <v>0.7</v>
      </c>
      <c r="Q414" s="18" t="str">
        <f>IFERROR(__xludf.DUMMYFUNCTION("GOOGLETRANSLATE(R414,""ES"",""EN"")"),"gasoline of the future, OCU")</f>
        <v>gasoline of the future, OCU</v>
      </c>
      <c r="R414" s="34" t="s">
        <v>3395</v>
      </c>
      <c r="S414" s="52" t="s">
        <v>3225</v>
      </c>
      <c r="T414" s="22" t="s">
        <v>3226</v>
      </c>
    </row>
    <row r="415">
      <c r="A415" s="23" t="s">
        <v>3396</v>
      </c>
      <c r="B415" s="40" t="s">
        <v>3045</v>
      </c>
      <c r="C415" s="41">
        <v>45324.0</v>
      </c>
      <c r="D415" s="40" t="s">
        <v>3397</v>
      </c>
      <c r="E415" s="42" t="s">
        <v>3398</v>
      </c>
      <c r="F415" s="43" t="s">
        <v>3399</v>
      </c>
      <c r="G415" s="43" t="s">
        <v>3400</v>
      </c>
      <c r="H415" s="47" t="s">
        <v>148</v>
      </c>
      <c r="I415" s="25" t="str">
        <f>IFERROR(__xludf.DUMMYFUNCTION("GOOGLETRANSLATE(H415,""EN"",""ES"")"),"Gastronomía")</f>
        <v>Gastronomía</v>
      </c>
      <c r="J415" s="26" t="s">
        <v>27</v>
      </c>
      <c r="K415" s="17">
        <v>0.0</v>
      </c>
      <c r="L415" s="54"/>
      <c r="M415" s="31"/>
      <c r="N415" s="47"/>
      <c r="O415" s="47"/>
      <c r="P415" s="20">
        <v>0.0</v>
      </c>
      <c r="Q415" s="31"/>
      <c r="R415" s="31"/>
      <c r="S415" s="53"/>
      <c r="T415" s="32"/>
    </row>
    <row r="416">
      <c r="A416" s="33" t="s">
        <v>3401</v>
      </c>
      <c r="B416" s="40" t="s">
        <v>3402</v>
      </c>
      <c r="C416" s="41">
        <v>45325.0</v>
      </c>
      <c r="D416" s="40" t="s">
        <v>3403</v>
      </c>
      <c r="E416" s="42" t="s">
        <v>3404</v>
      </c>
      <c r="F416" s="43" t="s">
        <v>3405</v>
      </c>
      <c r="G416" s="43" t="s">
        <v>3406</v>
      </c>
      <c r="H416" s="44" t="s">
        <v>2447</v>
      </c>
      <c r="I416" s="15" t="str">
        <f>IFERROR(__xludf.DUMMYFUNCTION("GOOGLETRANSLATE(H416,""EN"",""ES"")"),"Asuntos del Consumidor")</f>
        <v>Asuntos del Consumidor</v>
      </c>
      <c r="J416" s="16" t="s">
        <v>35</v>
      </c>
      <c r="K416" s="48">
        <v>0.5</v>
      </c>
      <c r="L416" s="51" t="s">
        <v>3407</v>
      </c>
      <c r="M416" s="34" t="s">
        <v>3408</v>
      </c>
      <c r="N416" s="44" t="s">
        <v>3409</v>
      </c>
      <c r="O416" s="44" t="str">
        <f>IFERROR(__xludf.DUMMYFUNCTION("GOOGLETRANSLATE(N416,""EN"",""ES"")"),"Las valoraciones de los consumidores sobre los combustibles ecológicos pueden influir en la percepción de la marca Repsol.")</f>
        <v>Las valoraciones de los consumidores sobre los combustibles ecológicos pueden influir en la percepción de la marca Repsol.</v>
      </c>
      <c r="P416" s="30">
        <v>0.7</v>
      </c>
      <c r="Q416" s="18" t="str">
        <f>IFERROR(__xludf.DUMMYFUNCTION("GOOGLETRANSLATE(R416,""ES"",""EN"")"),"ecological fuels, OCU")</f>
        <v>ecological fuels, OCU</v>
      </c>
      <c r="R416" s="34" t="s">
        <v>3410</v>
      </c>
      <c r="S416" s="52" t="s">
        <v>3225</v>
      </c>
      <c r="T416" s="22" t="s">
        <v>3226</v>
      </c>
    </row>
    <row r="417">
      <c r="A417" s="23" t="s">
        <v>3411</v>
      </c>
      <c r="B417" s="40" t="s">
        <v>499</v>
      </c>
      <c r="C417" s="41">
        <v>45325.0</v>
      </c>
      <c r="D417" s="40" t="s">
        <v>3412</v>
      </c>
      <c r="E417" s="42" t="s">
        <v>3413</v>
      </c>
      <c r="F417" s="43" t="s">
        <v>3414</v>
      </c>
      <c r="G417" s="43" t="s">
        <v>3415</v>
      </c>
      <c r="H417" s="47" t="s">
        <v>130</v>
      </c>
      <c r="I417" s="25" t="str">
        <f>IFERROR(__xludf.DUMMYFUNCTION("GOOGLETRANSLATE(H417,""EN"",""ES"")"),"Sostenibilidad")</f>
        <v>Sostenibilidad</v>
      </c>
      <c r="J417" s="26" t="s">
        <v>35</v>
      </c>
      <c r="K417" s="48">
        <v>0.0</v>
      </c>
      <c r="L417" s="54"/>
      <c r="M417" s="31"/>
      <c r="N417" s="47" t="s">
        <v>3416</v>
      </c>
      <c r="O417" s="47" t="str">
        <f>IFERROR(__xludf.DUMMYFUNCTION("GOOGLETRANSLATE(N417,""EN"",""ES"")"),"Los avances en eólica marina no impactan directamente a Repsol salvo que ésta participe.")</f>
        <v>Los avances en eólica marina no impactan directamente a Repsol salvo que ésta participe.</v>
      </c>
      <c r="P417" s="30">
        <v>0.0</v>
      </c>
      <c r="Q417" s="31"/>
      <c r="R417" s="31"/>
      <c r="S417" s="53" t="s">
        <v>2584</v>
      </c>
      <c r="T417" s="32" t="s">
        <v>2585</v>
      </c>
    </row>
    <row r="418">
      <c r="A418" s="33" t="s">
        <v>3417</v>
      </c>
      <c r="B418" s="40" t="s">
        <v>374</v>
      </c>
      <c r="C418" s="41">
        <v>45325.0</v>
      </c>
      <c r="D418" s="40" t="s">
        <v>3418</v>
      </c>
      <c r="E418" s="42" t="s">
        <v>3419</v>
      </c>
      <c r="F418" s="43" t="s">
        <v>3420</v>
      </c>
      <c r="G418" s="43" t="s">
        <v>3421</v>
      </c>
      <c r="H418" s="44" t="s">
        <v>55</v>
      </c>
      <c r="I418" s="15" t="str">
        <f>IFERROR(__xludf.DUMMYFUNCTION("GOOGLETRANSLATE(H418,""EN"",""ES"")"),"deportes de motor")</f>
        <v>deportes de motor</v>
      </c>
      <c r="J418" s="16" t="s">
        <v>27</v>
      </c>
      <c r="K418" s="17">
        <v>0.0</v>
      </c>
      <c r="L418" s="45"/>
      <c r="M418" s="18"/>
      <c r="N418" s="44"/>
      <c r="O418" s="44"/>
      <c r="P418" s="20">
        <v>0.0</v>
      </c>
      <c r="Q418" s="18"/>
      <c r="R418" s="18"/>
      <c r="S418" s="52"/>
      <c r="T418" s="22"/>
    </row>
    <row r="419">
      <c r="A419" s="23" t="s">
        <v>3422</v>
      </c>
      <c r="B419" s="40" t="s">
        <v>3273</v>
      </c>
      <c r="C419" s="41">
        <v>45325.0</v>
      </c>
      <c r="D419" s="40" t="s">
        <v>3423</v>
      </c>
      <c r="E419" s="42" t="s">
        <v>3424</v>
      </c>
      <c r="F419" s="43" t="s">
        <v>3425</v>
      </c>
      <c r="G419" s="43" t="s">
        <v>3426</v>
      </c>
      <c r="H419" s="47" t="s">
        <v>2447</v>
      </c>
      <c r="I419" s="25" t="str">
        <f>IFERROR(__xludf.DUMMYFUNCTION("GOOGLETRANSLATE(H419,""EN"",""ES"")"),"Asuntos del Consumidor")</f>
        <v>Asuntos del Consumidor</v>
      </c>
      <c r="J419" s="26" t="s">
        <v>27</v>
      </c>
      <c r="K419" s="17">
        <v>0.0</v>
      </c>
      <c r="L419" s="54"/>
      <c r="M419" s="31"/>
      <c r="N419" s="47"/>
      <c r="O419" s="47"/>
      <c r="P419" s="20">
        <v>0.0</v>
      </c>
      <c r="Q419" s="31"/>
      <c r="R419" s="31"/>
      <c r="S419" s="53"/>
      <c r="T419" s="32"/>
    </row>
    <row r="420">
      <c r="A420" s="33" t="s">
        <v>3427</v>
      </c>
      <c r="B420" s="40" t="s">
        <v>3428</v>
      </c>
      <c r="C420" s="41">
        <v>45325.0</v>
      </c>
      <c r="D420" s="40" t="s">
        <v>3429</v>
      </c>
      <c r="E420" s="42" t="s">
        <v>3430</v>
      </c>
      <c r="F420" s="43" t="s">
        <v>3431</v>
      </c>
      <c r="G420" s="43" t="s">
        <v>3432</v>
      </c>
      <c r="H420" s="44" t="s">
        <v>55</v>
      </c>
      <c r="I420" s="15" t="str">
        <f>IFERROR(__xludf.DUMMYFUNCTION("GOOGLETRANSLATE(H420,""EN"",""ES"")"),"deportes de motor")</f>
        <v>deportes de motor</v>
      </c>
      <c r="J420" s="16" t="s">
        <v>27</v>
      </c>
      <c r="K420" s="17">
        <v>0.0</v>
      </c>
      <c r="L420" s="45"/>
      <c r="M420" s="18"/>
      <c r="N420" s="44"/>
      <c r="O420" s="44"/>
      <c r="P420" s="20">
        <v>0.0</v>
      </c>
      <c r="Q420" s="18"/>
      <c r="R420" s="18"/>
      <c r="S420" s="52"/>
      <c r="T420" s="22"/>
    </row>
    <row r="421">
      <c r="A421" s="23" t="s">
        <v>3433</v>
      </c>
      <c r="B421" s="40" t="s">
        <v>499</v>
      </c>
      <c r="C421" s="41">
        <v>45326.0</v>
      </c>
      <c r="D421" s="40" t="s">
        <v>3434</v>
      </c>
      <c r="E421" s="42" t="s">
        <v>3435</v>
      </c>
      <c r="F421" s="43" t="s">
        <v>3436</v>
      </c>
      <c r="G421" s="43" t="s">
        <v>3437</v>
      </c>
      <c r="H421" s="47" t="s">
        <v>661</v>
      </c>
      <c r="I421" s="25" t="str">
        <f>IFERROR(__xludf.DUMMYFUNCTION("GOOGLETRANSLATE(H421,""EN"",""ES"")"),"Estrategia empresarial")</f>
        <v>Estrategia empresarial</v>
      </c>
      <c r="J421" s="26" t="s">
        <v>35</v>
      </c>
      <c r="K421" s="48">
        <v>0.6</v>
      </c>
      <c r="L421" s="49" t="s">
        <v>3438</v>
      </c>
      <c r="M421" s="28" t="s">
        <v>3439</v>
      </c>
      <c r="N421" s="47" t="s">
        <v>3440</v>
      </c>
      <c r="O421" s="47" t="str">
        <f>IFERROR(__xludf.DUMMYFUNCTION("GOOGLETRANSLATE(N421,""EN"",""ES"")"),"La ampliación de la colaboración con CHC Energía refuerza la presencia de Repsol en el mercado.")</f>
        <v>La ampliación de la colaboración con CHC Energía refuerza la presencia de Repsol en el mercado.</v>
      </c>
      <c r="P421" s="30">
        <v>0.6</v>
      </c>
      <c r="Q421" s="31" t="str">
        <f>IFERROR(__xludf.DUMMYFUNCTION("GOOGLETRANSLATE(R421,""ES"",""EN"")"),"CHC Energy, expansion")</f>
        <v>CHC Energy, expansion</v>
      </c>
      <c r="R421" s="28" t="s">
        <v>3441</v>
      </c>
      <c r="S421" s="53" t="s">
        <v>3442</v>
      </c>
      <c r="T421" s="32" t="s">
        <v>3443</v>
      </c>
    </row>
    <row r="422">
      <c r="A422" s="33" t="s">
        <v>3444</v>
      </c>
      <c r="B422" s="40" t="s">
        <v>163</v>
      </c>
      <c r="C422" s="41">
        <v>45326.0</v>
      </c>
      <c r="D422" s="40" t="s">
        <v>3445</v>
      </c>
      <c r="E422" s="42" t="s">
        <v>3446</v>
      </c>
      <c r="F422" s="43" t="s">
        <v>3447</v>
      </c>
      <c r="G422" s="43" t="s">
        <v>3448</v>
      </c>
      <c r="H422" s="44" t="s">
        <v>55</v>
      </c>
      <c r="I422" s="15" t="str">
        <f>IFERROR(__xludf.DUMMYFUNCTION("GOOGLETRANSLATE(H422,""EN"",""ES"")"),"deportes de motor")</f>
        <v>deportes de motor</v>
      </c>
      <c r="J422" s="16" t="s">
        <v>27</v>
      </c>
      <c r="K422" s="17">
        <v>0.0</v>
      </c>
      <c r="L422" s="45"/>
      <c r="M422" s="18"/>
      <c r="N422" s="44"/>
      <c r="O422" s="44"/>
      <c r="P422" s="20">
        <v>0.0</v>
      </c>
      <c r="Q422" s="18"/>
      <c r="R422" s="18"/>
      <c r="S422" s="52"/>
      <c r="T422" s="22"/>
    </row>
    <row r="423">
      <c r="A423" s="23" t="s">
        <v>3449</v>
      </c>
      <c r="B423" s="40" t="s">
        <v>614</v>
      </c>
      <c r="C423" s="41">
        <v>45326.0</v>
      </c>
      <c r="D423" s="40" t="s">
        <v>3450</v>
      </c>
      <c r="E423" s="42" t="s">
        <v>3451</v>
      </c>
      <c r="F423" s="43" t="s">
        <v>3452</v>
      </c>
      <c r="G423" s="43" t="s">
        <v>3453</v>
      </c>
      <c r="H423" s="47" t="s">
        <v>130</v>
      </c>
      <c r="I423" s="25" t="str">
        <f>IFERROR(__xludf.DUMMYFUNCTION("GOOGLETRANSLATE(H423,""EN"",""ES"")"),"Sostenibilidad")</f>
        <v>Sostenibilidad</v>
      </c>
      <c r="J423" s="26" t="s">
        <v>35</v>
      </c>
      <c r="K423" s="48">
        <v>0.0</v>
      </c>
      <c r="L423" s="54"/>
      <c r="M423" s="31"/>
      <c r="N423" s="47" t="s">
        <v>3454</v>
      </c>
      <c r="O423" s="47" t="str">
        <f>IFERROR(__xludf.DUMMYFUNCTION("GOOGLETRANSLATE(N423,""EN"",""ES"")"),"El debate general sobre el hidrógeno verde no impacta directamente en Repsol.")</f>
        <v>El debate general sobre el hidrógeno verde no impacta directamente en Repsol.</v>
      </c>
      <c r="P423" s="30">
        <v>0.7</v>
      </c>
      <c r="Q423" s="31" t="str">
        <f>IFERROR(__xludf.DUMMYFUNCTION("GOOGLETRANSLATE(R423,""ES"",""EN"")"),"green hydrogen, jobs")</f>
        <v>green hydrogen, jobs</v>
      </c>
      <c r="R423" s="28" t="s">
        <v>3455</v>
      </c>
      <c r="S423" s="53" t="s">
        <v>3456</v>
      </c>
      <c r="T423" s="32" t="s">
        <v>3457</v>
      </c>
    </row>
    <row r="424">
      <c r="A424" s="33" t="s">
        <v>3458</v>
      </c>
      <c r="B424" s="40" t="s">
        <v>85</v>
      </c>
      <c r="C424" s="41">
        <v>45326.0</v>
      </c>
      <c r="D424" s="40" t="s">
        <v>3459</v>
      </c>
      <c r="E424" s="42" t="s">
        <v>3460</v>
      </c>
      <c r="F424" s="43" t="s">
        <v>3461</v>
      </c>
      <c r="G424" s="43" t="s">
        <v>3462</v>
      </c>
      <c r="H424" s="44" t="s">
        <v>148</v>
      </c>
      <c r="I424" s="15" t="str">
        <f>IFERROR(__xludf.DUMMYFUNCTION("GOOGLETRANSLATE(H424,""EN"",""ES"")"),"Gastronomía")</f>
        <v>Gastronomía</v>
      </c>
      <c r="J424" s="16" t="s">
        <v>27</v>
      </c>
      <c r="K424" s="17">
        <v>0.0</v>
      </c>
      <c r="L424" s="45"/>
      <c r="M424" s="18"/>
      <c r="N424" s="44"/>
      <c r="O424" s="44"/>
      <c r="P424" s="20">
        <v>0.0</v>
      </c>
      <c r="Q424" s="18"/>
      <c r="R424" s="18"/>
      <c r="S424" s="52"/>
      <c r="T424" s="22"/>
    </row>
    <row r="425">
      <c r="A425" s="23" t="s">
        <v>3463</v>
      </c>
      <c r="B425" s="40" t="s">
        <v>1970</v>
      </c>
      <c r="C425" s="41">
        <v>45326.0</v>
      </c>
      <c r="D425" s="40" t="s">
        <v>3464</v>
      </c>
      <c r="E425" s="42" t="s">
        <v>3465</v>
      </c>
      <c r="F425" s="43" t="s">
        <v>3466</v>
      </c>
      <c r="G425" s="43" t="s">
        <v>3467</v>
      </c>
      <c r="H425" s="47" t="s">
        <v>148</v>
      </c>
      <c r="I425" s="25" t="str">
        <f>IFERROR(__xludf.DUMMYFUNCTION("GOOGLETRANSLATE(H425,""EN"",""ES"")"),"Gastronomía")</f>
        <v>Gastronomía</v>
      </c>
      <c r="J425" s="26" t="s">
        <v>27</v>
      </c>
      <c r="K425" s="17">
        <v>0.0</v>
      </c>
      <c r="L425" s="54"/>
      <c r="M425" s="31"/>
      <c r="N425" s="47"/>
      <c r="O425" s="47"/>
      <c r="P425" s="20">
        <v>0.0</v>
      </c>
      <c r="Q425" s="31"/>
      <c r="R425" s="31"/>
      <c r="S425" s="53"/>
      <c r="T425" s="32"/>
    </row>
    <row r="426">
      <c r="A426" s="33" t="s">
        <v>3468</v>
      </c>
      <c r="B426" s="40" t="s">
        <v>2442</v>
      </c>
      <c r="C426" s="41">
        <v>45326.0</v>
      </c>
      <c r="D426" s="40" t="s">
        <v>3469</v>
      </c>
      <c r="E426" s="42" t="s">
        <v>3470</v>
      </c>
      <c r="F426" s="43" t="s">
        <v>3471</v>
      </c>
      <c r="G426" s="43" t="s">
        <v>3472</v>
      </c>
      <c r="H426" s="44" t="s">
        <v>55</v>
      </c>
      <c r="I426" s="15" t="str">
        <f>IFERROR(__xludf.DUMMYFUNCTION("GOOGLETRANSLATE(H426,""EN"",""ES"")"),"deportes de motor")</f>
        <v>deportes de motor</v>
      </c>
      <c r="J426" s="16" t="s">
        <v>27</v>
      </c>
      <c r="K426" s="17">
        <v>0.0</v>
      </c>
      <c r="L426" s="45"/>
      <c r="M426" s="18"/>
      <c r="N426" s="44"/>
      <c r="O426" s="44"/>
      <c r="P426" s="20">
        <v>0.0</v>
      </c>
      <c r="Q426" s="18"/>
      <c r="R426" s="18"/>
      <c r="S426" s="52"/>
      <c r="T426" s="22"/>
    </row>
    <row r="427">
      <c r="A427" s="56" t="s">
        <v>3473</v>
      </c>
      <c r="B427" s="40" t="s">
        <v>68</v>
      </c>
      <c r="C427" s="41">
        <v>45326.0</v>
      </c>
      <c r="D427" s="40" t="s">
        <v>3474</v>
      </c>
      <c r="E427" s="42" t="s">
        <v>3475</v>
      </c>
      <c r="F427" s="43" t="s">
        <v>3476</v>
      </c>
      <c r="G427" s="43" t="s">
        <v>3477</v>
      </c>
      <c r="H427" s="47" t="s">
        <v>55</v>
      </c>
      <c r="I427" s="25" t="str">
        <f>IFERROR(__xludf.DUMMYFUNCTION("GOOGLETRANSLATE(H427,""EN"",""ES"")"),"deportes de motor")</f>
        <v>deportes de motor</v>
      </c>
      <c r="J427" s="26" t="s">
        <v>27</v>
      </c>
      <c r="K427" s="17">
        <v>0.0</v>
      </c>
      <c r="L427" s="54"/>
      <c r="M427" s="31"/>
      <c r="N427" s="47"/>
      <c r="O427" s="47"/>
      <c r="P427" s="20">
        <v>0.0</v>
      </c>
      <c r="Q427" s="31"/>
      <c r="R427" s="31"/>
      <c r="S427" s="53"/>
      <c r="T427" s="32"/>
    </row>
    <row r="428">
      <c r="A428" s="33" t="s">
        <v>3478</v>
      </c>
      <c r="B428" s="40" t="s">
        <v>3479</v>
      </c>
      <c r="C428" s="41">
        <v>45326.0</v>
      </c>
      <c r="D428" s="40" t="s">
        <v>3480</v>
      </c>
      <c r="E428" s="42" t="s">
        <v>3481</v>
      </c>
      <c r="F428" s="43" t="s">
        <v>3482</v>
      </c>
      <c r="G428" s="43" t="s">
        <v>3483</v>
      </c>
      <c r="H428" s="44" t="s">
        <v>55</v>
      </c>
      <c r="I428" s="15" t="str">
        <f>IFERROR(__xludf.DUMMYFUNCTION("GOOGLETRANSLATE(H428,""EN"",""ES"")"),"deportes de motor")</f>
        <v>deportes de motor</v>
      </c>
      <c r="J428" s="16" t="s">
        <v>27</v>
      </c>
      <c r="K428" s="17">
        <v>0.0</v>
      </c>
      <c r="L428" s="45"/>
      <c r="M428" s="18"/>
      <c r="N428" s="44"/>
      <c r="O428" s="44"/>
      <c r="P428" s="20">
        <v>0.0</v>
      </c>
      <c r="Q428" s="18"/>
      <c r="R428" s="18"/>
      <c r="S428" s="52"/>
      <c r="T428" s="22"/>
    </row>
    <row r="429">
      <c r="A429" s="23" t="s">
        <v>3484</v>
      </c>
      <c r="B429" s="40" t="s">
        <v>50</v>
      </c>
      <c r="C429" s="41">
        <v>45326.0</v>
      </c>
      <c r="D429" s="40" t="s">
        <v>3485</v>
      </c>
      <c r="E429" s="42" t="s">
        <v>3486</v>
      </c>
      <c r="F429" s="43" t="s">
        <v>3487</v>
      </c>
      <c r="G429" s="43" t="s">
        <v>3488</v>
      </c>
      <c r="H429" s="47" t="s">
        <v>55</v>
      </c>
      <c r="I429" s="25" t="str">
        <f>IFERROR(__xludf.DUMMYFUNCTION("GOOGLETRANSLATE(H429,""EN"",""ES"")"),"deportes de motor")</f>
        <v>deportes de motor</v>
      </c>
      <c r="J429" s="26" t="s">
        <v>27</v>
      </c>
      <c r="K429" s="17">
        <v>0.0</v>
      </c>
      <c r="L429" s="54"/>
      <c r="M429" s="31"/>
      <c r="N429" s="47"/>
      <c r="O429" s="47"/>
      <c r="P429" s="20">
        <v>0.0</v>
      </c>
      <c r="Q429" s="31"/>
      <c r="R429" s="31"/>
      <c r="S429" s="53"/>
      <c r="T429" s="32"/>
    </row>
    <row r="430">
      <c r="A430" s="33" t="s">
        <v>3489</v>
      </c>
      <c r="B430" s="40" t="s">
        <v>3490</v>
      </c>
      <c r="C430" s="41">
        <v>45326.0</v>
      </c>
      <c r="D430" s="40" t="s">
        <v>3491</v>
      </c>
      <c r="E430" s="42" t="s">
        <v>3492</v>
      </c>
      <c r="F430" s="43" t="s">
        <v>3493</v>
      </c>
      <c r="G430" s="43" t="s">
        <v>3494</v>
      </c>
      <c r="H430" s="44" t="s">
        <v>2447</v>
      </c>
      <c r="I430" s="15" t="str">
        <f>IFERROR(__xludf.DUMMYFUNCTION("GOOGLETRANSLATE(H430,""EN"",""ES"")"),"Asuntos del Consumidor")</f>
        <v>Asuntos del Consumidor</v>
      </c>
      <c r="J430" s="16" t="s">
        <v>35</v>
      </c>
      <c r="K430" s="48">
        <v>0.0</v>
      </c>
      <c r="L430" s="45"/>
      <c r="M430" s="18"/>
      <c r="N430" s="44" t="s">
        <v>3495</v>
      </c>
      <c r="O430" s="44" t="str">
        <f>IFERROR(__xludf.DUMMYFUNCTION("GOOGLETRANSLATE(N430,""EN"",""ES"")"),"Las estrategias fiscales sobre el precio de los combustibles no impactan directamente en Repsol.")</f>
        <v>Las estrategias fiscales sobre el precio de los combustibles no impactan directamente en Repsol.</v>
      </c>
      <c r="P430" s="30">
        <v>-0.4</v>
      </c>
      <c r="Q430" s="18" t="str">
        <f>IFERROR(__xludf.DUMMYFUNCTION("GOOGLETRANSLATE(R430,""ES"",""EN"")"),"VAT, gas stations")</f>
        <v>VAT, gas stations</v>
      </c>
      <c r="R430" s="34" t="s">
        <v>3496</v>
      </c>
      <c r="S430" s="52" t="s">
        <v>3497</v>
      </c>
      <c r="T430" s="22" t="s">
        <v>3498</v>
      </c>
    </row>
    <row r="431">
      <c r="A431" s="23" t="s">
        <v>3499</v>
      </c>
      <c r="B431" s="40" t="s">
        <v>217</v>
      </c>
      <c r="C431" s="41">
        <v>45327.0</v>
      </c>
      <c r="D431" s="40" t="s">
        <v>3500</v>
      </c>
      <c r="E431" s="42" t="s">
        <v>3501</v>
      </c>
      <c r="F431" s="43" t="s">
        <v>3502</v>
      </c>
      <c r="G431" s="43" t="s">
        <v>3503</v>
      </c>
      <c r="H431" s="47" t="s">
        <v>661</v>
      </c>
      <c r="I431" s="25" t="str">
        <f>IFERROR(__xludf.DUMMYFUNCTION("GOOGLETRANSLATE(H431,""EN"",""ES"")"),"Estrategia empresarial")</f>
        <v>Estrategia empresarial</v>
      </c>
      <c r="J431" s="26" t="s">
        <v>35</v>
      </c>
      <c r="K431" s="48">
        <v>0.5</v>
      </c>
      <c r="L431" s="49" t="s">
        <v>3504</v>
      </c>
      <c r="M431" s="28" t="s">
        <v>3505</v>
      </c>
      <c r="N431" s="47" t="s">
        <v>3506</v>
      </c>
      <c r="O431" s="47" t="str">
        <f>IFERROR(__xludf.DUMMYFUNCTION("GOOGLETRANSLATE(N431,""EN"",""ES"")"),"La venta de suelo para promoción inmobiliaria respalda la estrategia de diversificación de Repsol.")</f>
        <v>La venta de suelo para promoción inmobiliaria respalda la estrategia de diversificación de Repsol.</v>
      </c>
      <c r="P431" s="30">
        <v>0.6</v>
      </c>
      <c r="Q431" s="31" t="str">
        <f>IFERROR(__xludf.DUMMYFUNCTION("GOOGLETRANSLATE(R431,""ES"",""EN"")"),"affordable housing, Los Berrocales")</f>
        <v>affordable housing, Los Berrocales</v>
      </c>
      <c r="R431" s="28" t="s">
        <v>3507</v>
      </c>
      <c r="S431" s="53" t="s">
        <v>3508</v>
      </c>
      <c r="T431" s="32" t="s">
        <v>3509</v>
      </c>
    </row>
    <row r="432">
      <c r="A432" s="33" t="s">
        <v>3510</v>
      </c>
      <c r="B432" s="40" t="s">
        <v>3511</v>
      </c>
      <c r="C432" s="41">
        <v>45327.0</v>
      </c>
      <c r="D432" s="40" t="s">
        <v>3512</v>
      </c>
      <c r="E432" s="42" t="s">
        <v>3513</v>
      </c>
      <c r="F432" s="43" t="s">
        <v>3514</v>
      </c>
      <c r="G432" s="43" t="s">
        <v>3515</v>
      </c>
      <c r="H432" s="44" t="s">
        <v>130</v>
      </c>
      <c r="I432" s="15" t="str">
        <f>IFERROR(__xludf.DUMMYFUNCTION("GOOGLETRANSLATE(H432,""EN"",""ES"")"),"Sostenibilidad")</f>
        <v>Sostenibilidad</v>
      </c>
      <c r="J432" s="16" t="s">
        <v>27</v>
      </c>
      <c r="K432" s="17">
        <v>0.0</v>
      </c>
      <c r="L432" s="45"/>
      <c r="M432" s="18"/>
      <c r="N432" s="44"/>
      <c r="O432" s="44"/>
      <c r="P432" s="20">
        <v>0.0</v>
      </c>
      <c r="Q432" s="18"/>
      <c r="R432" s="18"/>
      <c r="S432" s="52"/>
      <c r="T432" s="22"/>
    </row>
    <row r="433">
      <c r="A433" s="23" t="s">
        <v>3516</v>
      </c>
      <c r="B433" s="40" t="s">
        <v>3517</v>
      </c>
      <c r="C433" s="41">
        <v>45327.0</v>
      </c>
      <c r="D433" s="40" t="s">
        <v>3518</v>
      </c>
      <c r="E433" s="42" t="s">
        <v>3519</v>
      </c>
      <c r="F433" s="43" t="s">
        <v>3520</v>
      </c>
      <c r="G433" s="43" t="s">
        <v>3521</v>
      </c>
      <c r="H433" s="47" t="s">
        <v>661</v>
      </c>
      <c r="I433" s="25" t="str">
        <f>IFERROR(__xludf.DUMMYFUNCTION("GOOGLETRANSLATE(H433,""EN"",""ES"")"),"Estrategia empresarial")</f>
        <v>Estrategia empresarial</v>
      </c>
      <c r="J433" s="26" t="s">
        <v>35</v>
      </c>
      <c r="K433" s="48">
        <v>0.5</v>
      </c>
      <c r="L433" s="49" t="s">
        <v>3504</v>
      </c>
      <c r="M433" s="28" t="s">
        <v>3505</v>
      </c>
      <c r="N433" s="47" t="s">
        <v>3522</v>
      </c>
      <c r="O433" s="47" t="str">
        <f>IFERROR(__xludf.DUMMYFUNCTION("GOOGLETRANSLATE(N433,""EN"",""ES"")"),"La venta de suelo para promoción residencial se alinea con la estrategia de gestión de activos de Repsol.")</f>
        <v>La venta de suelo para promoción residencial se alinea con la estrategia de gestión de activos de Repsol.</v>
      </c>
      <c r="P433" s="30">
        <v>0.6</v>
      </c>
      <c r="Q433" s="31" t="str">
        <f>IFERROR(__xludf.DUMMYFUNCTION("GOOGLETRANSLATE(R433,""ES"",""EN"")"),"affordable housing, Los Berrocales")</f>
        <v>affordable housing, Los Berrocales</v>
      </c>
      <c r="R433" s="28" t="s">
        <v>3507</v>
      </c>
      <c r="S433" s="53" t="s">
        <v>3508</v>
      </c>
      <c r="T433" s="32" t="s">
        <v>3509</v>
      </c>
    </row>
    <row r="434">
      <c r="A434" s="33" t="s">
        <v>3523</v>
      </c>
      <c r="B434" s="40" t="s">
        <v>3524</v>
      </c>
      <c r="C434" s="41">
        <v>45327.0</v>
      </c>
      <c r="D434" s="40" t="s">
        <v>3525</v>
      </c>
      <c r="E434" s="42" t="s">
        <v>3526</v>
      </c>
      <c r="F434" s="43" t="s">
        <v>3527</v>
      </c>
      <c r="G434" s="43" t="s">
        <v>3528</v>
      </c>
      <c r="H434" s="44" t="s">
        <v>408</v>
      </c>
      <c r="I434" s="15" t="str">
        <f>IFERROR(__xludf.DUMMYFUNCTION("GOOGLETRANSLATE(H434,""EN"",""ES"")"),"Legal")</f>
        <v>Legal</v>
      </c>
      <c r="J434" s="16" t="s">
        <v>35</v>
      </c>
      <c r="K434" s="48">
        <v>-0.8</v>
      </c>
      <c r="L434" s="51" t="s">
        <v>3529</v>
      </c>
      <c r="M434" s="34" t="s">
        <v>3530</v>
      </c>
      <c r="N434" s="44" t="s">
        <v>3531</v>
      </c>
      <c r="O434" s="44" t="str">
        <f>IFERROR(__xludf.DUMMYFUNCTION("GOOGLETRANSLATE(N434,""EN"",""ES"")"),"El escrutinio legal en curso sobre el derrame refuerza el sentimiento negativo hacia Repsol.")</f>
        <v>El escrutinio legal en curso sobre el derrame refuerza el sentimiento negativo hacia Repsol.</v>
      </c>
      <c r="P434" s="30">
        <v>-0.8</v>
      </c>
      <c r="Q434" s="18" t="str">
        <f>IFERROR(__xludf.DUMMYFUNCTION("GOOGLETRANSLATE(R434,""ES"",""EN"")"),"oil spill, remediation")</f>
        <v>oil spill, remediation</v>
      </c>
      <c r="R434" s="34" t="s">
        <v>3241</v>
      </c>
      <c r="S434" s="52" t="s">
        <v>3242</v>
      </c>
      <c r="T434" s="22" t="s">
        <v>3243</v>
      </c>
    </row>
    <row r="435">
      <c r="A435" s="23" t="s">
        <v>3532</v>
      </c>
      <c r="B435" s="40" t="s">
        <v>3273</v>
      </c>
      <c r="C435" s="41">
        <v>45327.0</v>
      </c>
      <c r="D435" s="40" t="s">
        <v>3533</v>
      </c>
      <c r="E435" s="42" t="s">
        <v>3534</v>
      </c>
      <c r="F435" s="43" t="s">
        <v>3535</v>
      </c>
      <c r="G435" s="43" t="s">
        <v>3536</v>
      </c>
      <c r="H435" s="47" t="s">
        <v>55</v>
      </c>
      <c r="I435" s="25" t="str">
        <f>IFERROR(__xludf.DUMMYFUNCTION("GOOGLETRANSLATE(H435,""EN"",""ES"")"),"deportes de motor")</f>
        <v>deportes de motor</v>
      </c>
      <c r="J435" s="26" t="s">
        <v>27</v>
      </c>
      <c r="K435" s="17">
        <v>0.0</v>
      </c>
      <c r="L435" s="54"/>
      <c r="M435" s="31"/>
      <c r="N435" s="47"/>
      <c r="O435" s="47"/>
      <c r="P435" s="20">
        <v>0.0</v>
      </c>
      <c r="Q435" s="31"/>
      <c r="R435" s="31"/>
      <c r="S435" s="53"/>
      <c r="T435" s="32"/>
    </row>
    <row r="436">
      <c r="A436" s="33" t="s">
        <v>3537</v>
      </c>
      <c r="B436" s="40" t="s">
        <v>85</v>
      </c>
      <c r="C436" s="41">
        <v>45327.0</v>
      </c>
      <c r="D436" s="40" t="s">
        <v>3538</v>
      </c>
      <c r="E436" s="42" t="s">
        <v>3539</v>
      </c>
      <c r="F436" s="43" t="s">
        <v>3540</v>
      </c>
      <c r="G436" s="43" t="s">
        <v>3541</v>
      </c>
      <c r="H436" s="44" t="s">
        <v>148</v>
      </c>
      <c r="I436" s="15" t="str">
        <f>IFERROR(__xludf.DUMMYFUNCTION("GOOGLETRANSLATE(H436,""EN"",""ES"")"),"Gastronomía")</f>
        <v>Gastronomía</v>
      </c>
      <c r="J436" s="16" t="s">
        <v>27</v>
      </c>
      <c r="K436" s="17">
        <v>0.0</v>
      </c>
      <c r="L436" s="45"/>
      <c r="M436" s="18"/>
      <c r="N436" s="44"/>
      <c r="O436" s="44"/>
      <c r="P436" s="20">
        <v>0.0</v>
      </c>
      <c r="Q436" s="18"/>
      <c r="R436" s="18"/>
      <c r="S436" s="52"/>
      <c r="T436" s="22"/>
    </row>
    <row r="437">
      <c r="A437" s="23" t="s">
        <v>3542</v>
      </c>
      <c r="B437" s="40" t="s">
        <v>3543</v>
      </c>
      <c r="C437" s="41">
        <v>45327.0</v>
      </c>
      <c r="D437" s="40" t="s">
        <v>3544</v>
      </c>
      <c r="E437" s="42" t="s">
        <v>3545</v>
      </c>
      <c r="F437" s="43" t="s">
        <v>3546</v>
      </c>
      <c r="G437" s="43" t="s">
        <v>3547</v>
      </c>
      <c r="H437" s="47" t="s">
        <v>148</v>
      </c>
      <c r="I437" s="25" t="str">
        <f>IFERROR(__xludf.DUMMYFUNCTION("GOOGLETRANSLATE(H437,""EN"",""ES"")"),"Gastronomía")</f>
        <v>Gastronomía</v>
      </c>
      <c r="J437" s="26" t="s">
        <v>27</v>
      </c>
      <c r="K437" s="17">
        <v>0.0</v>
      </c>
      <c r="L437" s="54"/>
      <c r="M437" s="31"/>
      <c r="N437" s="47"/>
      <c r="O437" s="47"/>
      <c r="P437" s="20">
        <v>0.0</v>
      </c>
      <c r="Q437" s="31"/>
      <c r="R437" s="31"/>
      <c r="S437" s="53"/>
      <c r="T437" s="32"/>
    </row>
    <row r="438">
      <c r="A438" s="33" t="s">
        <v>3548</v>
      </c>
      <c r="B438" s="40" t="s">
        <v>3549</v>
      </c>
      <c r="C438" s="41">
        <v>45327.0</v>
      </c>
      <c r="D438" s="40" t="s">
        <v>3550</v>
      </c>
      <c r="E438" s="42" t="s">
        <v>3551</v>
      </c>
      <c r="F438" s="43" t="s">
        <v>3552</v>
      </c>
      <c r="G438" s="43" t="s">
        <v>3553</v>
      </c>
      <c r="H438" s="44" t="s">
        <v>148</v>
      </c>
      <c r="I438" s="15" t="str">
        <f>IFERROR(__xludf.DUMMYFUNCTION("GOOGLETRANSLATE(H438,""EN"",""ES"")"),"Gastronomía")</f>
        <v>Gastronomía</v>
      </c>
      <c r="J438" s="16" t="s">
        <v>27</v>
      </c>
      <c r="K438" s="17">
        <v>0.0</v>
      </c>
      <c r="L438" s="45"/>
      <c r="M438" s="18"/>
      <c r="N438" s="44"/>
      <c r="O438" s="44"/>
      <c r="P438" s="20">
        <v>0.0</v>
      </c>
      <c r="Q438" s="18"/>
      <c r="R438" s="18"/>
      <c r="S438" s="52"/>
      <c r="T438" s="22"/>
    </row>
    <row r="439">
      <c r="A439" s="23" t="s">
        <v>3554</v>
      </c>
      <c r="B439" s="40" t="s">
        <v>217</v>
      </c>
      <c r="C439" s="41">
        <v>45327.0</v>
      </c>
      <c r="D439" s="40" t="s">
        <v>3555</v>
      </c>
      <c r="E439" s="42" t="s">
        <v>3556</v>
      </c>
      <c r="F439" s="43" t="s">
        <v>3557</v>
      </c>
      <c r="G439" s="43" t="s">
        <v>3558</v>
      </c>
      <c r="H439" s="47" t="s">
        <v>48</v>
      </c>
      <c r="I439" s="25" t="str">
        <f>IFERROR(__xludf.DUMMYFUNCTION("GOOGLETRANSLATE(H439,""EN"",""ES"")"),"Finanzas")</f>
        <v>Finanzas</v>
      </c>
      <c r="J439" s="26" t="s">
        <v>27</v>
      </c>
      <c r="K439" s="17">
        <v>0.0</v>
      </c>
      <c r="L439" s="54"/>
      <c r="M439" s="31"/>
      <c r="N439" s="47"/>
      <c r="O439" s="47"/>
      <c r="P439" s="20">
        <v>0.0</v>
      </c>
      <c r="Q439" s="31"/>
      <c r="R439" s="31"/>
      <c r="S439" s="53"/>
      <c r="T439" s="32"/>
    </row>
    <row r="440">
      <c r="A440" s="33" t="s">
        <v>3559</v>
      </c>
      <c r="B440" s="40" t="s">
        <v>3511</v>
      </c>
      <c r="C440" s="41">
        <v>45327.0</v>
      </c>
      <c r="D440" s="40" t="s">
        <v>3560</v>
      </c>
      <c r="E440" s="42" t="s">
        <v>3561</v>
      </c>
      <c r="F440" s="43" t="s">
        <v>3562</v>
      </c>
      <c r="G440" s="43" t="s">
        <v>3563</v>
      </c>
      <c r="H440" s="44" t="s">
        <v>148</v>
      </c>
      <c r="I440" s="15" t="str">
        <f>IFERROR(__xludf.DUMMYFUNCTION("GOOGLETRANSLATE(H440,""EN"",""ES"")"),"Gastronomía")</f>
        <v>Gastronomía</v>
      </c>
      <c r="J440" s="16" t="s">
        <v>27</v>
      </c>
      <c r="K440" s="17">
        <v>0.0</v>
      </c>
      <c r="L440" s="45"/>
      <c r="M440" s="18"/>
      <c r="N440" s="44"/>
      <c r="O440" s="44"/>
      <c r="P440" s="20">
        <v>0.0</v>
      </c>
      <c r="Q440" s="18"/>
      <c r="R440" s="18"/>
      <c r="S440" s="52"/>
      <c r="T440" s="22"/>
    </row>
    <row r="441">
      <c r="A441" s="23" t="s">
        <v>3564</v>
      </c>
      <c r="B441" s="40" t="s">
        <v>192</v>
      </c>
      <c r="C441" s="41">
        <v>45328.0</v>
      </c>
      <c r="D441" s="40" t="s">
        <v>3565</v>
      </c>
      <c r="E441" s="42" t="s">
        <v>3566</v>
      </c>
      <c r="F441" s="43" t="s">
        <v>3567</v>
      </c>
      <c r="G441" s="43" t="s">
        <v>3568</v>
      </c>
      <c r="H441" s="47" t="s">
        <v>130</v>
      </c>
      <c r="I441" s="25" t="str">
        <f>IFERROR(__xludf.DUMMYFUNCTION("GOOGLETRANSLATE(H441,""EN"",""ES"")"),"Sostenibilidad")</f>
        <v>Sostenibilidad</v>
      </c>
      <c r="J441" s="26" t="s">
        <v>35</v>
      </c>
      <c r="K441" s="48">
        <v>0.0</v>
      </c>
      <c r="L441" s="54"/>
      <c r="M441" s="31"/>
      <c r="N441" s="47" t="s">
        <v>3569</v>
      </c>
      <c r="O441" s="47" t="str">
        <f>IFERROR(__xludf.DUMMYFUNCTION("GOOGLETRANSLATE(N441,""EN"",""ES"")"),"El debate general sobre los retos de sostenibilidad no impacta directamente en Repsol.")</f>
        <v>El debate general sobre los retos de sostenibilidad no impacta directamente en Repsol.</v>
      </c>
      <c r="P441" s="30">
        <v>0.7</v>
      </c>
      <c r="Q441" s="31" t="str">
        <f>IFERROR(__xludf.DUMMYFUNCTION("GOOGLETRANSLATE(R441,""ES"",""EN"")"),"CO2 capture, water management")</f>
        <v>CO2 capture, water management</v>
      </c>
      <c r="R441" s="28" t="s">
        <v>3570</v>
      </c>
      <c r="S441" s="53" t="s">
        <v>2748</v>
      </c>
      <c r="T441" s="32" t="s">
        <v>2749</v>
      </c>
    </row>
    <row r="442">
      <c r="A442" s="33" t="s">
        <v>3571</v>
      </c>
      <c r="B442" s="40" t="s">
        <v>21</v>
      </c>
      <c r="C442" s="41">
        <v>45328.0</v>
      </c>
      <c r="D442" s="40" t="s">
        <v>3572</v>
      </c>
      <c r="E442" s="42" t="s">
        <v>3573</v>
      </c>
      <c r="F442" s="43" t="s">
        <v>3574</v>
      </c>
      <c r="G442" s="43" t="s">
        <v>3575</v>
      </c>
      <c r="H442" s="44" t="s">
        <v>26</v>
      </c>
      <c r="I442" s="15" t="str">
        <f>IFERROR(__xludf.DUMMYFUNCTION("GOOGLETRANSLATE(H442,""EN"",""ES"")"),"Otro")</f>
        <v>Otro</v>
      </c>
      <c r="J442" s="16" t="s">
        <v>27</v>
      </c>
      <c r="K442" s="17">
        <v>0.0</v>
      </c>
      <c r="L442" s="45"/>
      <c r="M442" s="18"/>
      <c r="N442" s="44"/>
      <c r="O442" s="44"/>
      <c r="P442" s="20">
        <v>0.0</v>
      </c>
      <c r="Q442" s="18"/>
      <c r="R442" s="18"/>
      <c r="S442" s="52"/>
      <c r="T442" s="22"/>
    </row>
    <row r="443">
      <c r="A443" s="23" t="s">
        <v>3576</v>
      </c>
      <c r="B443" s="40" t="s">
        <v>3577</v>
      </c>
      <c r="C443" s="41">
        <v>45328.0</v>
      </c>
      <c r="D443" s="40" t="s">
        <v>3578</v>
      </c>
      <c r="E443" s="42" t="s">
        <v>3579</v>
      </c>
      <c r="F443" s="43" t="s">
        <v>3580</v>
      </c>
      <c r="G443" s="43" t="s">
        <v>3581</v>
      </c>
      <c r="H443" s="47" t="s">
        <v>130</v>
      </c>
      <c r="I443" s="25" t="str">
        <f>IFERROR(__xludf.DUMMYFUNCTION("GOOGLETRANSLATE(H443,""EN"",""ES"")"),"Sostenibilidad")</f>
        <v>Sostenibilidad</v>
      </c>
      <c r="J443" s="26" t="s">
        <v>35</v>
      </c>
      <c r="K443" s="48">
        <v>0.7</v>
      </c>
      <c r="L443" s="49" t="s">
        <v>3582</v>
      </c>
      <c r="M443" s="28" t="s">
        <v>3583</v>
      </c>
      <c r="N443" s="47" t="s">
        <v>3584</v>
      </c>
      <c r="O443" s="47" t="str">
        <f>IFERROR(__xludf.DUMMYFUNCTION("GOOGLETRANSLATE(N443,""EN"",""ES"")"),"Ampliar los esfuerzos de reciclaje respalda el compromiso de Repsol con las iniciativas de economía circular.")</f>
        <v>Ampliar los esfuerzos de reciclaje respalda el compromiso de Repsol con las iniciativas de economía circular.</v>
      </c>
      <c r="P443" s="30">
        <v>0.6</v>
      </c>
      <c r="Q443" s="31" t="str">
        <f>IFERROR(__xludf.DUMMYFUNCTION("GOOGLETRANSLATE(R443,""ES"",""EN"")"),"composites plant, Tangier")</f>
        <v>composites plant, Tangier</v>
      </c>
      <c r="R443" s="28" t="s">
        <v>3585</v>
      </c>
      <c r="S443" s="53" t="s">
        <v>3586</v>
      </c>
      <c r="T443" s="32" t="s">
        <v>3587</v>
      </c>
    </row>
    <row r="444">
      <c r="A444" s="33" t="s">
        <v>3588</v>
      </c>
      <c r="B444" s="40" t="s">
        <v>513</v>
      </c>
      <c r="C444" s="41">
        <v>45328.0</v>
      </c>
      <c r="D444" s="40" t="s">
        <v>3589</v>
      </c>
      <c r="E444" s="42" t="s">
        <v>3590</v>
      </c>
      <c r="F444" s="43" t="s">
        <v>3591</v>
      </c>
      <c r="G444" s="43" t="s">
        <v>3592</v>
      </c>
      <c r="H444" s="44" t="s">
        <v>975</v>
      </c>
      <c r="I444" s="15" t="str">
        <f>IFERROR(__xludf.DUMMYFUNCTION("GOOGLETRANSLATE(H444,""EN"",""ES"")"),"Patrocinio")</f>
        <v>Patrocinio</v>
      </c>
      <c r="J444" s="16" t="s">
        <v>27</v>
      </c>
      <c r="K444" s="17">
        <v>0.0</v>
      </c>
      <c r="L444" s="45"/>
      <c r="M444" s="18"/>
      <c r="N444" s="44"/>
      <c r="O444" s="44"/>
      <c r="P444" s="20">
        <v>0.0</v>
      </c>
      <c r="Q444" s="18"/>
      <c r="R444" s="18"/>
      <c r="S444" s="52"/>
      <c r="T444" s="22"/>
    </row>
    <row r="445">
      <c r="A445" s="23" t="s">
        <v>3593</v>
      </c>
      <c r="B445" s="40" t="s">
        <v>163</v>
      </c>
      <c r="C445" s="41">
        <v>45328.0</v>
      </c>
      <c r="D445" s="40" t="s">
        <v>3594</v>
      </c>
      <c r="E445" s="42" t="s">
        <v>3595</v>
      </c>
      <c r="F445" s="43" t="s">
        <v>3596</v>
      </c>
      <c r="G445" s="43" t="s">
        <v>3597</v>
      </c>
      <c r="H445" s="47" t="s">
        <v>55</v>
      </c>
      <c r="I445" s="25" t="str">
        <f>IFERROR(__xludf.DUMMYFUNCTION("GOOGLETRANSLATE(H445,""EN"",""ES"")"),"deportes de motor")</f>
        <v>deportes de motor</v>
      </c>
      <c r="J445" s="26" t="s">
        <v>27</v>
      </c>
      <c r="K445" s="17">
        <v>0.0</v>
      </c>
      <c r="L445" s="54"/>
      <c r="M445" s="31"/>
      <c r="N445" s="47"/>
      <c r="O445" s="47"/>
      <c r="P445" s="20">
        <v>0.0</v>
      </c>
      <c r="Q445" s="31"/>
      <c r="R445" s="31"/>
      <c r="S445" s="53"/>
      <c r="T445" s="32"/>
    </row>
    <row r="446">
      <c r="A446" s="33" t="s">
        <v>3598</v>
      </c>
      <c r="B446" s="40" t="s">
        <v>3599</v>
      </c>
      <c r="C446" s="41">
        <v>45328.0</v>
      </c>
      <c r="D446" s="40" t="s">
        <v>3600</v>
      </c>
      <c r="E446" s="42" t="s">
        <v>3601</v>
      </c>
      <c r="F446" s="43" t="s">
        <v>3602</v>
      </c>
      <c r="G446" s="43" t="s">
        <v>3603</v>
      </c>
      <c r="H446" s="44" t="s">
        <v>661</v>
      </c>
      <c r="I446" s="15" t="str">
        <f>IFERROR(__xludf.DUMMYFUNCTION("GOOGLETRANSLATE(H446,""EN"",""ES"")"),"Estrategia empresarial")</f>
        <v>Estrategia empresarial</v>
      </c>
      <c r="J446" s="16" t="s">
        <v>35</v>
      </c>
      <c r="K446" s="48">
        <v>0.5</v>
      </c>
      <c r="L446" s="51" t="s">
        <v>3504</v>
      </c>
      <c r="M446" s="34" t="s">
        <v>3505</v>
      </c>
      <c r="N446" s="44" t="s">
        <v>3604</v>
      </c>
      <c r="O446" s="44" t="str">
        <f>IFERROR(__xludf.DUMMYFUNCTION("GOOGLETRANSLATE(N446,""EN"",""ES"")"),"La venta de suelo para promoción de vivienda se alinea con la estrategia de gestión de activos de Repsol.")</f>
        <v>La venta de suelo para promoción de vivienda se alinea con la estrategia de gestión de activos de Repsol.</v>
      </c>
      <c r="P446" s="30">
        <v>0.6</v>
      </c>
      <c r="Q446" s="18" t="str">
        <f>IFERROR(__xludf.DUMMYFUNCTION("GOOGLETRANSLATE(R446,""ES"",""EN"")"),"affordable housing, Los Berrocales")</f>
        <v>affordable housing, Los Berrocales</v>
      </c>
      <c r="R446" s="34" t="s">
        <v>3507</v>
      </c>
      <c r="S446" s="52" t="s">
        <v>3508</v>
      </c>
      <c r="T446" s="22" t="s">
        <v>3509</v>
      </c>
    </row>
    <row r="447">
      <c r="A447" s="23" t="s">
        <v>3605</v>
      </c>
      <c r="B447" s="40" t="s">
        <v>3606</v>
      </c>
      <c r="C447" s="41">
        <v>45328.0</v>
      </c>
      <c r="D447" s="40" t="s">
        <v>3607</v>
      </c>
      <c r="E447" s="42" t="s">
        <v>3608</v>
      </c>
      <c r="F447" s="43" t="s">
        <v>3609</v>
      </c>
      <c r="G447" s="43" t="s">
        <v>3610</v>
      </c>
      <c r="H447" s="47" t="s">
        <v>55</v>
      </c>
      <c r="I447" s="25" t="str">
        <f>IFERROR(__xludf.DUMMYFUNCTION("GOOGLETRANSLATE(H447,""EN"",""ES"")"),"deportes de motor")</f>
        <v>deportes de motor</v>
      </c>
      <c r="J447" s="26" t="s">
        <v>27</v>
      </c>
      <c r="K447" s="17">
        <v>0.0</v>
      </c>
      <c r="L447" s="54"/>
      <c r="M447" s="31"/>
      <c r="N447" s="47"/>
      <c r="O447" s="47"/>
      <c r="P447" s="20">
        <v>0.0</v>
      </c>
      <c r="Q447" s="31"/>
      <c r="R447" s="31"/>
      <c r="S447" s="53"/>
      <c r="T447" s="32"/>
    </row>
    <row r="448">
      <c r="A448" s="33" t="s">
        <v>3611</v>
      </c>
      <c r="B448" s="40" t="s">
        <v>3612</v>
      </c>
      <c r="C448" s="41">
        <v>45328.0</v>
      </c>
      <c r="D448" s="40" t="s">
        <v>3613</v>
      </c>
      <c r="E448" s="42" t="s">
        <v>3614</v>
      </c>
      <c r="F448" s="43" t="s">
        <v>3615</v>
      </c>
      <c r="G448" s="43" t="s">
        <v>3616</v>
      </c>
      <c r="H448" s="44" t="s">
        <v>55</v>
      </c>
      <c r="I448" s="15" t="str">
        <f>IFERROR(__xludf.DUMMYFUNCTION("GOOGLETRANSLATE(H448,""EN"",""ES"")"),"deportes de motor")</f>
        <v>deportes de motor</v>
      </c>
      <c r="J448" s="16" t="s">
        <v>27</v>
      </c>
      <c r="K448" s="17">
        <v>0.0</v>
      </c>
      <c r="L448" s="45"/>
      <c r="M448" s="18"/>
      <c r="N448" s="44"/>
      <c r="O448" s="44"/>
      <c r="P448" s="20">
        <v>0.0</v>
      </c>
      <c r="Q448" s="18"/>
      <c r="R448" s="18"/>
      <c r="S448" s="52"/>
      <c r="T448" s="22"/>
    </row>
    <row r="449">
      <c r="A449" s="23" t="s">
        <v>3617</v>
      </c>
      <c r="B449" s="40" t="s">
        <v>254</v>
      </c>
      <c r="C449" s="41">
        <v>45328.0</v>
      </c>
      <c r="D449" s="40" t="s">
        <v>3618</v>
      </c>
      <c r="E449" s="42" t="s">
        <v>3619</v>
      </c>
      <c r="F449" s="43" t="s">
        <v>3620</v>
      </c>
      <c r="G449" s="43" t="s">
        <v>3621</v>
      </c>
      <c r="H449" s="47" t="s">
        <v>130</v>
      </c>
      <c r="I449" s="25" t="str">
        <f>IFERROR(__xludf.DUMMYFUNCTION("GOOGLETRANSLATE(H449,""EN"",""ES"")"),"Sostenibilidad")</f>
        <v>Sostenibilidad</v>
      </c>
      <c r="J449" s="26" t="s">
        <v>35</v>
      </c>
      <c r="K449" s="48">
        <v>0.7</v>
      </c>
      <c r="L449" s="49" t="s">
        <v>3622</v>
      </c>
      <c r="M449" s="28" t="s">
        <v>3623</v>
      </c>
      <c r="N449" s="47" t="s">
        <v>3624</v>
      </c>
      <c r="O449" s="47" t="str">
        <f>IFERROR(__xludf.DUMMYFUNCTION("GOOGLETRANSLATE(N449,""EN"",""ES"")"),"La ampliación de los proyectos de hidrógeno verde se alinea con los objetivos de sostenibilidad a largo plazo de Repsol.")</f>
        <v>La ampliación de los proyectos de hidrógeno verde se alinea con los objetivos de sostenibilidad a largo plazo de Repsol.</v>
      </c>
      <c r="P449" s="30">
        <v>0.7</v>
      </c>
      <c r="Q449" s="31" t="str">
        <f>IFERROR(__xludf.DUMMYFUNCTION("GOOGLETRANSLATE(R449,""ES"",""EN"")"),"green hydrogen, Antamina, Chinalco, Las Bambas")</f>
        <v>green hydrogen, Antamina, Chinalco, Las Bambas</v>
      </c>
      <c r="R449" s="28" t="s">
        <v>3625</v>
      </c>
      <c r="S449" s="53" t="s">
        <v>3626</v>
      </c>
      <c r="T449" s="32" t="s">
        <v>3627</v>
      </c>
    </row>
    <row r="450">
      <c r="A450" s="33" t="s">
        <v>3628</v>
      </c>
      <c r="B450" s="40" t="s">
        <v>425</v>
      </c>
      <c r="C450" s="41">
        <v>45328.0</v>
      </c>
      <c r="D450" s="40" t="s">
        <v>3629</v>
      </c>
      <c r="E450" s="42" t="s">
        <v>3630</v>
      </c>
      <c r="F450" s="43" t="s">
        <v>3631</v>
      </c>
      <c r="G450" s="43" t="s">
        <v>3632</v>
      </c>
      <c r="H450" s="44" t="s">
        <v>55</v>
      </c>
      <c r="I450" s="15" t="str">
        <f>IFERROR(__xludf.DUMMYFUNCTION("GOOGLETRANSLATE(H450,""EN"",""ES"")"),"deportes de motor")</f>
        <v>deportes de motor</v>
      </c>
      <c r="J450" s="16" t="s">
        <v>27</v>
      </c>
      <c r="K450" s="17">
        <v>0.0</v>
      </c>
      <c r="L450" s="45"/>
      <c r="M450" s="18"/>
      <c r="N450" s="44"/>
      <c r="O450" s="44"/>
      <c r="P450" s="20">
        <v>0.0</v>
      </c>
      <c r="Q450" s="18"/>
      <c r="R450" s="18"/>
      <c r="S450" s="52"/>
      <c r="T450" s="22"/>
    </row>
    <row r="451">
      <c r="A451" s="23" t="s">
        <v>3633</v>
      </c>
      <c r="B451" s="40" t="s">
        <v>163</v>
      </c>
      <c r="C451" s="41">
        <v>45329.0</v>
      </c>
      <c r="D451" s="40" t="s">
        <v>3634</v>
      </c>
      <c r="E451" s="42" t="s">
        <v>3635</v>
      </c>
      <c r="F451" s="43" t="s">
        <v>3636</v>
      </c>
      <c r="G451" s="43" t="s">
        <v>3637</v>
      </c>
      <c r="H451" s="47" t="s">
        <v>130</v>
      </c>
      <c r="I451" s="25" t="str">
        <f>IFERROR(__xludf.DUMMYFUNCTION("GOOGLETRANSLATE(H451,""EN"",""ES"")"),"Sostenibilidad")</f>
        <v>Sostenibilidad</v>
      </c>
      <c r="J451" s="26" t="s">
        <v>35</v>
      </c>
      <c r="K451" s="48">
        <v>0.7</v>
      </c>
      <c r="L451" s="49" t="s">
        <v>3638</v>
      </c>
      <c r="M451" s="28" t="s">
        <v>3639</v>
      </c>
      <c r="N451" s="47" t="s">
        <v>3640</v>
      </c>
      <c r="O451" s="47" t="str">
        <f>IFERROR(__xludf.DUMMYFUNCTION("GOOGLETRANSLATE(N451,""EN"",""ES"")"),"La inversión en infraestructuras de hidrógeno a gran escala refuerza la estrategia de transición energética de Repsol.")</f>
        <v>La inversión en infraestructuras de hidrógeno a gran escala refuerza la estrategia de transición energética de Repsol.</v>
      </c>
      <c r="P451" s="30">
        <v>0.0</v>
      </c>
      <c r="Q451" s="31"/>
      <c r="R451" s="31"/>
      <c r="S451" s="53" t="s">
        <v>2584</v>
      </c>
      <c r="T451" s="32" t="s">
        <v>2585</v>
      </c>
    </row>
    <row r="452">
      <c r="A452" s="33" t="s">
        <v>3641</v>
      </c>
      <c r="B452" s="40" t="s">
        <v>85</v>
      </c>
      <c r="C452" s="41">
        <v>45329.0</v>
      </c>
      <c r="D452" s="40" t="s">
        <v>3642</v>
      </c>
      <c r="E452" s="42" t="s">
        <v>3643</v>
      </c>
      <c r="F452" s="43" t="s">
        <v>3644</v>
      </c>
      <c r="G452" s="43" t="s">
        <v>3645</v>
      </c>
      <c r="H452" s="44" t="s">
        <v>62</v>
      </c>
      <c r="I452" s="15" t="str">
        <f>IFERROR(__xludf.DUMMYFUNCTION("GOOGLETRANSLATE(H452,""EN"",""ES"")"),"Energía")</f>
        <v>Energía</v>
      </c>
      <c r="J452" s="16" t="s">
        <v>35</v>
      </c>
      <c r="K452" s="48">
        <v>0.6</v>
      </c>
      <c r="L452" s="51" t="s">
        <v>3646</v>
      </c>
      <c r="M452" s="34" t="s">
        <v>3647</v>
      </c>
      <c r="N452" s="44" t="s">
        <v>3648</v>
      </c>
      <c r="O452" s="44" t="str">
        <f>IFERROR(__xludf.DUMMYFUNCTION("GOOGLETRANSLATE(N452,""EN"",""ES"")"),"La obtención de contratos de suministro de GNL a largo plazo respalda las operaciones energéticas globales de Repsol.")</f>
        <v>La obtención de contratos de suministro de GNL a largo plazo respalda las operaciones energéticas globales de Repsol.</v>
      </c>
      <c r="P452" s="30">
        <v>0.6</v>
      </c>
      <c r="Q452" s="18" t="str">
        <f>IFERROR(__xludf.DUMMYFUNCTION("GOOGLETRANSLATE(R452,""ES"",""EN"")"),"contract, Centrica, liquefied gas")</f>
        <v>contract, Centrica, liquefied gas</v>
      </c>
      <c r="R452" s="34" t="s">
        <v>3649</v>
      </c>
      <c r="S452" s="52" t="s">
        <v>3650</v>
      </c>
      <c r="T452" s="22" t="s">
        <v>3651</v>
      </c>
    </row>
    <row r="453">
      <c r="A453" s="23" t="s">
        <v>3652</v>
      </c>
      <c r="B453" s="40" t="s">
        <v>217</v>
      </c>
      <c r="C453" s="41">
        <v>45329.0</v>
      </c>
      <c r="D453" s="40" t="s">
        <v>3653</v>
      </c>
      <c r="E453" s="42" t="s">
        <v>3654</v>
      </c>
      <c r="F453" s="43" t="s">
        <v>3655</v>
      </c>
      <c r="G453" s="43" t="s">
        <v>3656</v>
      </c>
      <c r="H453" s="47" t="s">
        <v>62</v>
      </c>
      <c r="I453" s="25" t="str">
        <f>IFERROR(__xludf.DUMMYFUNCTION("GOOGLETRANSLATE(H453,""EN"",""ES"")"),"Energía")</f>
        <v>Energía</v>
      </c>
      <c r="J453" s="26" t="s">
        <v>35</v>
      </c>
      <c r="K453" s="48">
        <v>0.6</v>
      </c>
      <c r="L453" s="49" t="s">
        <v>3657</v>
      </c>
      <c r="M453" s="28" t="s">
        <v>3658</v>
      </c>
      <c r="N453" s="47" t="s">
        <v>3659</v>
      </c>
      <c r="O453" s="47" t="str">
        <f>IFERROR(__xludf.DUMMYFUNCTION("GOOGLETRANSLATE(N453,""EN"",""ES"")"),"La ampliación de los acuerdos de GNL potencia el papel de Repsol en el suministro energético mundial.")</f>
        <v>La ampliación de los acuerdos de GNL potencia el papel de Repsol en el suministro energético mundial.</v>
      </c>
      <c r="P453" s="30">
        <v>0.6</v>
      </c>
      <c r="Q453" s="31" t="str">
        <f>IFERROR(__xludf.DUMMYFUNCTION("GOOGLETRANSLATE(R453,""ES"",""EN"")"),"contract, Centrica, LNG")</f>
        <v>contract, Centrica, LNG</v>
      </c>
      <c r="R453" s="28" t="s">
        <v>3660</v>
      </c>
      <c r="S453" s="53" t="s">
        <v>3650</v>
      </c>
      <c r="T453" s="32" t="s">
        <v>3651</v>
      </c>
    </row>
    <row r="454">
      <c r="A454" s="33" t="s">
        <v>3661</v>
      </c>
      <c r="B454" s="40" t="s">
        <v>431</v>
      </c>
      <c r="C454" s="41">
        <v>45329.0</v>
      </c>
      <c r="D454" s="40" t="s">
        <v>3662</v>
      </c>
      <c r="E454" s="42" t="s">
        <v>3663</v>
      </c>
      <c r="F454" s="43" t="s">
        <v>3664</v>
      </c>
      <c r="G454" s="43" t="s">
        <v>3665</v>
      </c>
      <c r="H454" s="44" t="s">
        <v>148</v>
      </c>
      <c r="I454" s="15" t="str">
        <f>IFERROR(__xludf.DUMMYFUNCTION("GOOGLETRANSLATE(H454,""EN"",""ES"")"),"Gastronomía")</f>
        <v>Gastronomía</v>
      </c>
      <c r="J454" s="16" t="s">
        <v>27</v>
      </c>
      <c r="K454" s="17">
        <v>0.0</v>
      </c>
      <c r="L454" s="45"/>
      <c r="M454" s="18"/>
      <c r="N454" s="44"/>
      <c r="O454" s="44"/>
      <c r="P454" s="20">
        <v>0.0</v>
      </c>
      <c r="Q454" s="18"/>
      <c r="R454" s="18"/>
      <c r="S454" s="52"/>
      <c r="T454" s="22"/>
    </row>
    <row r="455">
      <c r="A455" s="23" t="s">
        <v>3666</v>
      </c>
      <c r="B455" s="40" t="s">
        <v>43</v>
      </c>
      <c r="C455" s="41">
        <v>45329.0</v>
      </c>
      <c r="D455" s="40" t="s">
        <v>3667</v>
      </c>
      <c r="E455" s="42" t="s">
        <v>3668</v>
      </c>
      <c r="F455" s="43" t="s">
        <v>3669</v>
      </c>
      <c r="G455" s="43" t="s">
        <v>3670</v>
      </c>
      <c r="H455" s="47" t="s">
        <v>130</v>
      </c>
      <c r="I455" s="25" t="str">
        <f>IFERROR(__xludf.DUMMYFUNCTION("GOOGLETRANSLATE(H455,""EN"",""ES"")"),"Sostenibilidad")</f>
        <v>Sostenibilidad</v>
      </c>
      <c r="J455" s="26" t="s">
        <v>35</v>
      </c>
      <c r="K455" s="48">
        <v>0.7</v>
      </c>
      <c r="L455" s="49" t="s">
        <v>3671</v>
      </c>
      <c r="M455" s="28" t="s">
        <v>3672</v>
      </c>
      <c r="N455" s="47" t="s">
        <v>3673</v>
      </c>
      <c r="O455" s="47" t="str">
        <f>IFERROR(__xludf.DUMMYFUNCTION("GOOGLETRANSLATE(N455,""EN"",""ES"")"),"Fomentar el reciclaje de aceites usados ​​se alinea con las iniciativas de economía circular de Repsol.")</f>
        <v>Fomentar el reciclaje de aceites usados ​​se alinea con las iniciativas de economía circular de Repsol.</v>
      </c>
      <c r="P455" s="30">
        <v>0.8</v>
      </c>
      <c r="Q455" s="31" t="str">
        <f>IFERROR(__xludf.DUMMYFUNCTION("GOOGLETRANSLATE(R455,""ES"",""EN"")"),"used oil, renewable fuel")</f>
        <v>used oil, renewable fuel</v>
      </c>
      <c r="R455" s="28" t="s">
        <v>3674</v>
      </c>
      <c r="S455" s="53" t="s">
        <v>2990</v>
      </c>
      <c r="T455" s="32" t="s">
        <v>2991</v>
      </c>
    </row>
    <row r="456">
      <c r="A456" s="33" t="s">
        <v>3675</v>
      </c>
      <c r="B456" s="40" t="s">
        <v>3676</v>
      </c>
      <c r="C456" s="41">
        <v>45329.0</v>
      </c>
      <c r="D456" s="40" t="s">
        <v>3677</v>
      </c>
      <c r="E456" s="42" t="s">
        <v>3678</v>
      </c>
      <c r="F456" s="43" t="s">
        <v>3679</v>
      </c>
      <c r="G456" s="43" t="s">
        <v>3680</v>
      </c>
      <c r="H456" s="44" t="s">
        <v>661</v>
      </c>
      <c r="I456" s="15" t="str">
        <f>IFERROR(__xludf.DUMMYFUNCTION("GOOGLETRANSLATE(H456,""EN"",""ES"")"),"Estrategia empresarial")</f>
        <v>Estrategia empresarial</v>
      </c>
      <c r="J456" s="16" t="s">
        <v>35</v>
      </c>
      <c r="K456" s="48">
        <v>0.6</v>
      </c>
      <c r="L456" s="51" t="s">
        <v>3681</v>
      </c>
      <c r="M456" s="34" t="s">
        <v>3682</v>
      </c>
      <c r="N456" s="44" t="s">
        <v>3683</v>
      </c>
      <c r="O456" s="44" t="str">
        <f>IFERROR(__xludf.DUMMYFUNCTION("GOOGLETRANSLATE(N456,""EN"",""ES"")"),"La ampliación de las asociaciones con tiendas de conveniencia mejora los servicios minoristas de Repsol.")</f>
        <v>La ampliación de las asociaciones con tiendas de conveniencia mejora los servicios minoristas de Repsol.</v>
      </c>
      <c r="P456" s="30">
        <v>0.6</v>
      </c>
      <c r="Q456" s="18" t="str">
        <f>IFERROR(__xludf.DUMMYFUNCTION("GOOGLETRANSLATE(R456,""ES"",""EN"")"),"Supercor Stop&amp;Go, service stations")</f>
        <v>Supercor Stop&amp;Go, service stations</v>
      </c>
      <c r="R456" s="34" t="s">
        <v>3684</v>
      </c>
      <c r="S456" s="52" t="s">
        <v>3442</v>
      </c>
      <c r="T456" s="22" t="s">
        <v>3443</v>
      </c>
    </row>
    <row r="457">
      <c r="A457" s="23" t="s">
        <v>3685</v>
      </c>
      <c r="B457" s="40" t="s">
        <v>614</v>
      </c>
      <c r="C457" s="41">
        <v>45329.0</v>
      </c>
      <c r="D457" s="40" t="s">
        <v>3686</v>
      </c>
      <c r="E457" s="42" t="s">
        <v>3687</v>
      </c>
      <c r="F457" s="43" t="s">
        <v>3688</v>
      </c>
      <c r="G457" s="43" t="s">
        <v>3689</v>
      </c>
      <c r="H457" s="47" t="s">
        <v>598</v>
      </c>
      <c r="I457" s="25" t="str">
        <f>IFERROR(__xludf.DUMMYFUNCTION("GOOGLETRANSLATE(H457,""EN"",""ES"")"),"Expansión empresarial")</f>
        <v>Expansión empresarial</v>
      </c>
      <c r="J457" s="26" t="s">
        <v>35</v>
      </c>
      <c r="K457" s="48">
        <v>0.6</v>
      </c>
      <c r="L457" s="49" t="s">
        <v>3690</v>
      </c>
      <c r="M457" s="28" t="s">
        <v>3691</v>
      </c>
      <c r="N457" s="47" t="s">
        <v>3692</v>
      </c>
      <c r="O457" s="47" t="str">
        <f>IFERROR(__xludf.DUMMYFUNCTION("GOOGLETRANSLATE(N457,""EN"",""ES"")"),"La apertura de una nueva fábrica refuerza la presencia de Repsol en el sector petroquímico.")</f>
        <v>La apertura de una nueva fábrica refuerza la presencia de Repsol en el sector petroquímico.</v>
      </c>
      <c r="P457" s="30">
        <v>0.6</v>
      </c>
      <c r="Q457" s="31" t="str">
        <f>IFERROR(__xludf.DUMMYFUNCTION("GOOGLETRANSLATE(R457,""ES"",""EN"")"),"propylene factory, Tangier")</f>
        <v>propylene factory, Tangier</v>
      </c>
      <c r="R457" s="28" t="s">
        <v>3691</v>
      </c>
      <c r="S457" s="53" t="s">
        <v>3586</v>
      </c>
      <c r="T457" s="32" t="s">
        <v>3587</v>
      </c>
    </row>
    <row r="458">
      <c r="A458" s="33" t="s">
        <v>3693</v>
      </c>
      <c r="B458" s="40" t="s">
        <v>3694</v>
      </c>
      <c r="C458" s="41">
        <v>45329.0</v>
      </c>
      <c r="D458" s="40" t="s">
        <v>3695</v>
      </c>
      <c r="E458" s="42" t="s">
        <v>3696</v>
      </c>
      <c r="F458" s="43" t="s">
        <v>3697</v>
      </c>
      <c r="G458" s="43" t="s">
        <v>3698</v>
      </c>
      <c r="H458" s="44" t="s">
        <v>130</v>
      </c>
      <c r="I458" s="15" t="str">
        <f>IFERROR(__xludf.DUMMYFUNCTION("GOOGLETRANSLATE(H458,""EN"",""ES"")"),"Sostenibilidad")</f>
        <v>Sostenibilidad</v>
      </c>
      <c r="J458" s="16" t="s">
        <v>35</v>
      </c>
      <c r="K458" s="48">
        <v>0.7</v>
      </c>
      <c r="L458" s="51" t="s">
        <v>3699</v>
      </c>
      <c r="M458" s="18" t="s">
        <v>3700</v>
      </c>
      <c r="N458" s="44" t="s">
        <v>3701</v>
      </c>
      <c r="O458" s="44" t="str">
        <f>IFERROR(__xludf.DUMMYFUNCTION("GOOGLETRANSLATE(N458,""EN"",""ES"")"),"La inversión en plantas de reciclaje apoya los objetivos de sostenibilidad y economía circular de Repsol.")</f>
        <v>La inversión en plantas de reciclaje apoya los objetivos de sostenibilidad y economía circular de Repsol.</v>
      </c>
      <c r="P458" s="30">
        <v>0.6</v>
      </c>
      <c r="Q458" s="18" t="str">
        <f>IFERROR(__xludf.DUMMYFUNCTION("GOOGLETRANSLATE(R458,""ES"",""EN"")"),"factory, Tangier")</f>
        <v>factory, Tangier</v>
      </c>
      <c r="R458" s="34" t="s">
        <v>3702</v>
      </c>
      <c r="S458" s="52" t="s">
        <v>3586</v>
      </c>
      <c r="T458" s="22" t="s">
        <v>3587</v>
      </c>
    </row>
    <row r="459">
      <c r="A459" s="23" t="s">
        <v>3703</v>
      </c>
      <c r="B459" s="40" t="s">
        <v>21</v>
      </c>
      <c r="C459" s="41">
        <v>45329.0</v>
      </c>
      <c r="D459" s="40" t="s">
        <v>3704</v>
      </c>
      <c r="E459" s="42" t="s">
        <v>3705</v>
      </c>
      <c r="F459" s="43" t="s">
        <v>3706</v>
      </c>
      <c r="G459" s="43" t="s">
        <v>3707</v>
      </c>
      <c r="H459" s="47" t="s">
        <v>130</v>
      </c>
      <c r="I459" s="25" t="str">
        <f>IFERROR(__xludf.DUMMYFUNCTION("GOOGLETRANSLATE(H459,""EN"",""ES"")"),"Sostenibilidad")</f>
        <v>Sostenibilidad</v>
      </c>
      <c r="J459" s="26" t="s">
        <v>27</v>
      </c>
      <c r="K459" s="17">
        <v>0.0</v>
      </c>
      <c r="L459" s="54"/>
      <c r="M459" s="31"/>
      <c r="N459" s="47"/>
      <c r="O459" s="47"/>
      <c r="P459" s="20">
        <v>0.0</v>
      </c>
      <c r="Q459" s="31"/>
      <c r="R459" s="31"/>
      <c r="S459" s="53"/>
      <c r="T459" s="32"/>
    </row>
    <row r="460">
      <c r="A460" s="33" t="s">
        <v>3708</v>
      </c>
      <c r="B460" s="40" t="s">
        <v>2498</v>
      </c>
      <c r="C460" s="41">
        <v>45329.0</v>
      </c>
      <c r="D460" s="40" t="s">
        <v>3709</v>
      </c>
      <c r="E460" s="42" t="s">
        <v>3710</v>
      </c>
      <c r="F460" s="43" t="s">
        <v>3711</v>
      </c>
      <c r="G460" s="43" t="s">
        <v>3712</v>
      </c>
      <c r="H460" s="44" t="s">
        <v>130</v>
      </c>
      <c r="I460" s="15" t="str">
        <f>IFERROR(__xludf.DUMMYFUNCTION("GOOGLETRANSLATE(H460,""EN"",""ES"")"),"Sostenibilidad")</f>
        <v>Sostenibilidad</v>
      </c>
      <c r="J460" s="16" t="s">
        <v>35</v>
      </c>
      <c r="K460" s="48">
        <v>0.7</v>
      </c>
      <c r="L460" s="51" t="s">
        <v>3713</v>
      </c>
      <c r="M460" s="34" t="s">
        <v>3714</v>
      </c>
      <c r="N460" s="44" t="s">
        <v>3715</v>
      </c>
      <c r="O460" s="44" t="str">
        <f>IFERROR(__xludf.DUMMYFUNCTION("GOOGLETRANSLATE(N460,""EN"",""ES"")"),"La ampliación de las asociaciones en materia de energía solar se alinea con la transición de Repsol hacia las energías renovables.")</f>
        <v>La ampliación de las asociaciones en materia de energía solar se alinea con la transición de Repsol hacia las energías renovables.</v>
      </c>
      <c r="P460" s="30">
        <v>0.7</v>
      </c>
      <c r="Q460" s="18" t="str">
        <f>IFERROR(__xludf.DUMMYFUNCTION("GOOGLETRANSLATE(R460,""ES"",""EN"")"),"photovoltaic projects, Gonvarri")</f>
        <v>photovoltaic projects, Gonvarri</v>
      </c>
      <c r="R460" s="34" t="s">
        <v>3716</v>
      </c>
      <c r="S460" s="52" t="s">
        <v>3626</v>
      </c>
      <c r="T460" s="22" t="s">
        <v>3627</v>
      </c>
    </row>
    <row r="461">
      <c r="A461" s="23" t="s">
        <v>3717</v>
      </c>
      <c r="B461" s="40" t="s">
        <v>881</v>
      </c>
      <c r="C461" s="41">
        <v>45329.0</v>
      </c>
      <c r="D461" s="40" t="s">
        <v>3718</v>
      </c>
      <c r="E461" s="42" t="s">
        <v>3719</v>
      </c>
      <c r="F461" s="43" t="s">
        <v>3720</v>
      </c>
      <c r="G461" s="43" t="s">
        <v>3721</v>
      </c>
      <c r="H461" s="47" t="s">
        <v>3722</v>
      </c>
      <c r="I461" s="25" t="str">
        <f>IFERROR(__xludf.DUMMYFUNCTION("GOOGLETRANSLATE(H461,""EN"",""ES"")"),"Construcción")</f>
        <v>Construcción</v>
      </c>
      <c r="J461" s="26" t="s">
        <v>27</v>
      </c>
      <c r="K461" s="17">
        <v>0.0</v>
      </c>
      <c r="L461" s="54"/>
      <c r="M461" s="31"/>
      <c r="N461" s="47"/>
      <c r="O461" s="47"/>
      <c r="P461" s="20">
        <v>0.0</v>
      </c>
      <c r="Q461" s="31"/>
      <c r="R461" s="31"/>
      <c r="S461" s="53"/>
      <c r="T461" s="32"/>
    </row>
    <row r="462">
      <c r="A462" s="33" t="s">
        <v>3723</v>
      </c>
      <c r="B462" s="40" t="s">
        <v>163</v>
      </c>
      <c r="C462" s="41">
        <v>45329.0</v>
      </c>
      <c r="D462" s="40" t="s">
        <v>3724</v>
      </c>
      <c r="E462" s="42" t="s">
        <v>3725</v>
      </c>
      <c r="F462" s="43" t="s">
        <v>3726</v>
      </c>
      <c r="G462" s="43" t="s">
        <v>3727</v>
      </c>
      <c r="H462" s="44" t="s">
        <v>55</v>
      </c>
      <c r="I462" s="15" t="str">
        <f>IFERROR(__xludf.DUMMYFUNCTION("GOOGLETRANSLATE(H462,""EN"",""ES"")"),"deportes de motor")</f>
        <v>deportes de motor</v>
      </c>
      <c r="J462" s="16" t="s">
        <v>27</v>
      </c>
      <c r="K462" s="17">
        <v>0.0</v>
      </c>
      <c r="L462" s="45"/>
      <c r="M462" s="18"/>
      <c r="N462" s="44"/>
      <c r="O462" s="44"/>
      <c r="P462" s="20">
        <v>0.0</v>
      </c>
      <c r="Q462" s="18"/>
      <c r="R462" s="18"/>
      <c r="S462" s="52"/>
      <c r="T462" s="22"/>
    </row>
    <row r="463">
      <c r="A463" s="23" t="s">
        <v>3728</v>
      </c>
      <c r="B463" s="40" t="s">
        <v>2944</v>
      </c>
      <c r="C463" s="41">
        <v>45329.0</v>
      </c>
      <c r="D463" s="40" t="s">
        <v>3729</v>
      </c>
      <c r="E463" s="42" t="s">
        <v>3730</v>
      </c>
      <c r="F463" s="43" t="s">
        <v>3731</v>
      </c>
      <c r="G463" s="43" t="s">
        <v>3732</v>
      </c>
      <c r="H463" s="47" t="s">
        <v>148</v>
      </c>
      <c r="I463" s="25" t="str">
        <f>IFERROR(__xludf.DUMMYFUNCTION("GOOGLETRANSLATE(H463,""EN"",""ES"")"),"Gastronomía")</f>
        <v>Gastronomía</v>
      </c>
      <c r="J463" s="26" t="s">
        <v>27</v>
      </c>
      <c r="K463" s="17">
        <v>0.0</v>
      </c>
      <c r="L463" s="54"/>
      <c r="M463" s="31"/>
      <c r="N463" s="47"/>
      <c r="O463" s="47"/>
      <c r="P463" s="20">
        <v>0.0</v>
      </c>
      <c r="Q463" s="31"/>
      <c r="R463" s="31"/>
      <c r="S463" s="53"/>
      <c r="T463" s="32"/>
    </row>
    <row r="464">
      <c r="A464" s="33" t="s">
        <v>3733</v>
      </c>
      <c r="B464" s="40" t="s">
        <v>3734</v>
      </c>
      <c r="C464" s="41">
        <v>45329.0</v>
      </c>
      <c r="D464" s="40" t="s">
        <v>3735</v>
      </c>
      <c r="E464" s="42" t="s">
        <v>3736</v>
      </c>
      <c r="F464" s="43" t="s">
        <v>3737</v>
      </c>
      <c r="G464" s="43" t="s">
        <v>3738</v>
      </c>
      <c r="H464" s="44" t="s">
        <v>130</v>
      </c>
      <c r="I464" s="15" t="str">
        <f>IFERROR(__xludf.DUMMYFUNCTION("GOOGLETRANSLATE(H464,""EN"",""ES"")"),"Sostenibilidad")</f>
        <v>Sostenibilidad</v>
      </c>
      <c r="J464" s="16" t="s">
        <v>35</v>
      </c>
      <c r="K464" s="48">
        <v>0.7</v>
      </c>
      <c r="L464" s="51" t="s">
        <v>3739</v>
      </c>
      <c r="M464" s="34" t="s">
        <v>3740</v>
      </c>
      <c r="N464" s="44" t="s">
        <v>3741</v>
      </c>
      <c r="O464" s="44" t="str">
        <f>IFERROR(__xludf.DUMMYFUNCTION("GOOGLETRANSLATE(N464,""EN"",""ES"")"),"La ampliación de la capacidad hidroeléctrica refuerza las iniciativas de energía limpia de Repsol.")</f>
        <v>La ampliación de la capacidad hidroeléctrica refuerza las iniciativas de energía limpia de Repsol.</v>
      </c>
      <c r="P464" s="30">
        <v>0.0</v>
      </c>
      <c r="Q464" s="18"/>
      <c r="R464" s="18"/>
      <c r="S464" s="52" t="s">
        <v>2557</v>
      </c>
      <c r="T464" s="22" t="s">
        <v>2558</v>
      </c>
    </row>
    <row r="465">
      <c r="A465" s="23" t="s">
        <v>3742</v>
      </c>
      <c r="B465" s="40" t="s">
        <v>21</v>
      </c>
      <c r="C465" s="41">
        <v>45329.0</v>
      </c>
      <c r="D465" s="40" t="s">
        <v>3743</v>
      </c>
      <c r="E465" s="42" t="s">
        <v>3744</v>
      </c>
      <c r="F465" s="43" t="s">
        <v>3745</v>
      </c>
      <c r="G465" s="43" t="s">
        <v>3746</v>
      </c>
      <c r="H465" s="47" t="s">
        <v>148</v>
      </c>
      <c r="I465" s="25" t="str">
        <f>IFERROR(__xludf.DUMMYFUNCTION("GOOGLETRANSLATE(H465,""EN"",""ES"")"),"Gastronomía")</f>
        <v>Gastronomía</v>
      </c>
      <c r="J465" s="26" t="s">
        <v>27</v>
      </c>
      <c r="K465" s="17">
        <v>0.0</v>
      </c>
      <c r="L465" s="54"/>
      <c r="M465" s="31"/>
      <c r="N465" s="47"/>
      <c r="O465" s="47"/>
      <c r="P465" s="20">
        <v>0.0</v>
      </c>
      <c r="Q465" s="31"/>
      <c r="R465" s="31"/>
      <c r="S465" s="53"/>
      <c r="T465" s="32"/>
    </row>
    <row r="466">
      <c r="A466" s="33" t="s">
        <v>3747</v>
      </c>
      <c r="B466" s="40" t="s">
        <v>163</v>
      </c>
      <c r="C466" s="41">
        <v>45330.0</v>
      </c>
      <c r="D466" s="40" t="s">
        <v>3748</v>
      </c>
      <c r="E466" s="42" t="s">
        <v>3749</v>
      </c>
      <c r="F466" s="43" t="s">
        <v>3750</v>
      </c>
      <c r="G466" s="43" t="s">
        <v>3751</v>
      </c>
      <c r="H466" s="44" t="s">
        <v>130</v>
      </c>
      <c r="I466" s="15" t="str">
        <f>IFERROR(__xludf.DUMMYFUNCTION("GOOGLETRANSLATE(H466,""EN"",""ES"")"),"Sostenibilidad")</f>
        <v>Sostenibilidad</v>
      </c>
      <c r="J466" s="16" t="s">
        <v>35</v>
      </c>
      <c r="K466" s="48">
        <v>0.7</v>
      </c>
      <c r="L466" s="51" t="s">
        <v>3752</v>
      </c>
      <c r="M466" s="34" t="s">
        <v>3753</v>
      </c>
      <c r="N466" s="44" t="s">
        <v>3754</v>
      </c>
      <c r="O466" s="44" t="str">
        <f>IFERROR(__xludf.DUMMYFUNCTION("GOOGLETRANSLATE(N466,""EN"",""ES"")"),"Reforzar las alianzas en iniciativas de economía circular respalda la estrategia de sostenibilidad de Repsol.")</f>
        <v>Reforzar las alianzas en iniciativas de economía circular respalda la estrategia de sostenibilidad de Repsol.</v>
      </c>
      <c r="P466" s="30">
        <v>0.6</v>
      </c>
      <c r="Q466" s="18" t="str">
        <f>IFERROR(__xludf.DUMMYFUNCTION("GOOGLETRANSLATE(R466,""ES"",""EN"")"),"composites plant, Tangier")</f>
        <v>composites plant, Tangier</v>
      </c>
      <c r="R466" s="34" t="s">
        <v>3585</v>
      </c>
      <c r="S466" s="52" t="s">
        <v>3586</v>
      </c>
      <c r="T466" s="22" t="s">
        <v>3587</v>
      </c>
    </row>
    <row r="467">
      <c r="A467" s="23" t="s">
        <v>3755</v>
      </c>
      <c r="B467" s="40" t="s">
        <v>614</v>
      </c>
      <c r="C467" s="41">
        <v>45330.0</v>
      </c>
      <c r="D467" s="40" t="s">
        <v>3756</v>
      </c>
      <c r="E467" s="42" t="s">
        <v>3757</v>
      </c>
      <c r="F467" s="43" t="s">
        <v>3758</v>
      </c>
      <c r="G467" s="43" t="s">
        <v>3759</v>
      </c>
      <c r="H467" s="47" t="s">
        <v>130</v>
      </c>
      <c r="I467" s="25" t="str">
        <f>IFERROR(__xludf.DUMMYFUNCTION("GOOGLETRANSLATE(H467,""EN"",""ES"")"),"Sostenibilidad")</f>
        <v>Sostenibilidad</v>
      </c>
      <c r="J467" s="26" t="s">
        <v>35</v>
      </c>
      <c r="K467" s="48">
        <v>0.7</v>
      </c>
      <c r="L467" s="49" t="s">
        <v>3760</v>
      </c>
      <c r="M467" s="28" t="s">
        <v>3761</v>
      </c>
      <c r="N467" s="47" t="s">
        <v>3762</v>
      </c>
      <c r="O467" s="47" t="str">
        <f>IFERROR(__xludf.DUMMYFUNCTION("GOOGLETRANSLATE(N467,""EN"",""ES"")"),"La inversión en investigación de biocombustibles potencia el liderazgo de Repsol en energías alternativas.")</f>
        <v>La inversión en investigación de biocombustibles potencia el liderazgo de Repsol en energías alternativas.</v>
      </c>
      <c r="P467" s="30">
        <v>0.7</v>
      </c>
      <c r="Q467" s="31" t="str">
        <f>IFERROR(__xludf.DUMMYFUNCTION("GOOGLETRANSLATE(R467,""ES"",""EN"")"),"Repsol Tech Lab, biofuels")</f>
        <v>Repsol Tech Lab, biofuels</v>
      </c>
      <c r="R467" s="28" t="s">
        <v>3763</v>
      </c>
      <c r="S467" s="53" t="s">
        <v>3764</v>
      </c>
      <c r="T467" s="32" t="s">
        <v>3765</v>
      </c>
    </row>
    <row r="468">
      <c r="A468" s="33" t="s">
        <v>3766</v>
      </c>
      <c r="B468" s="40" t="s">
        <v>21</v>
      </c>
      <c r="C468" s="41">
        <v>45330.0</v>
      </c>
      <c r="D468" s="40" t="s">
        <v>3767</v>
      </c>
      <c r="E468" s="42" t="s">
        <v>3768</v>
      </c>
      <c r="F468" s="43" t="s">
        <v>3769</v>
      </c>
      <c r="G468" s="43" t="s">
        <v>3770</v>
      </c>
      <c r="H468" s="44" t="s">
        <v>26</v>
      </c>
      <c r="I468" s="15" t="str">
        <f>IFERROR(__xludf.DUMMYFUNCTION("GOOGLETRANSLATE(H468,""EN"",""ES"")"),"Otro")</f>
        <v>Otro</v>
      </c>
      <c r="J468" s="16" t="s">
        <v>27</v>
      </c>
      <c r="K468" s="17">
        <v>0.0</v>
      </c>
      <c r="L468" s="45"/>
      <c r="M468" s="18"/>
      <c r="N468" s="44"/>
      <c r="O468" s="44"/>
      <c r="P468" s="20">
        <v>0.0</v>
      </c>
      <c r="Q468" s="18"/>
      <c r="R468" s="18"/>
      <c r="S468" s="52"/>
      <c r="T468" s="22"/>
    </row>
    <row r="469">
      <c r="A469" s="23" t="s">
        <v>3771</v>
      </c>
      <c r="B469" s="40" t="s">
        <v>163</v>
      </c>
      <c r="C469" s="41">
        <v>45330.0</v>
      </c>
      <c r="D469" s="40" t="s">
        <v>3772</v>
      </c>
      <c r="E469" s="42" t="s">
        <v>3773</v>
      </c>
      <c r="F469" s="43" t="s">
        <v>3774</v>
      </c>
      <c r="G469" s="43" t="s">
        <v>3775</v>
      </c>
      <c r="H469" s="47" t="s">
        <v>55</v>
      </c>
      <c r="I469" s="25" t="str">
        <f>IFERROR(__xludf.DUMMYFUNCTION("GOOGLETRANSLATE(H469,""EN"",""ES"")"),"deportes de motor")</f>
        <v>deportes de motor</v>
      </c>
      <c r="J469" s="26" t="s">
        <v>27</v>
      </c>
      <c r="K469" s="17">
        <v>0.0</v>
      </c>
      <c r="L469" s="54"/>
      <c r="M469" s="31"/>
      <c r="N469" s="47"/>
      <c r="O469" s="47"/>
      <c r="P469" s="20">
        <v>0.0</v>
      </c>
      <c r="Q469" s="31"/>
      <c r="R469" s="31"/>
      <c r="S469" s="53"/>
      <c r="T469" s="32"/>
    </row>
    <row r="470">
      <c r="A470" s="33" t="s">
        <v>3776</v>
      </c>
      <c r="B470" s="40" t="s">
        <v>2283</v>
      </c>
      <c r="C470" s="41">
        <v>45330.0</v>
      </c>
      <c r="D470" s="40" t="s">
        <v>3777</v>
      </c>
      <c r="E470" s="42" t="s">
        <v>3778</v>
      </c>
      <c r="F470" s="43" t="s">
        <v>3779</v>
      </c>
      <c r="G470" s="43" t="s">
        <v>3780</v>
      </c>
      <c r="H470" s="44" t="s">
        <v>55</v>
      </c>
      <c r="I470" s="15" t="str">
        <f>IFERROR(__xludf.DUMMYFUNCTION("GOOGLETRANSLATE(H470,""EN"",""ES"")"),"deportes de motor")</f>
        <v>deportes de motor</v>
      </c>
      <c r="J470" s="16" t="s">
        <v>27</v>
      </c>
      <c r="K470" s="17">
        <v>0.0</v>
      </c>
      <c r="L470" s="45"/>
      <c r="M470" s="18"/>
      <c r="N470" s="44"/>
      <c r="O470" s="44"/>
      <c r="P470" s="20">
        <v>0.0</v>
      </c>
      <c r="Q470" s="18"/>
      <c r="R470" s="18"/>
      <c r="S470" s="52"/>
      <c r="T470" s="22"/>
    </row>
    <row r="471">
      <c r="A471" s="23" t="s">
        <v>3781</v>
      </c>
      <c r="B471" s="40" t="s">
        <v>3612</v>
      </c>
      <c r="C471" s="41">
        <v>45330.0</v>
      </c>
      <c r="D471" s="40" t="s">
        <v>3782</v>
      </c>
      <c r="E471" s="42" t="s">
        <v>3783</v>
      </c>
      <c r="F471" s="43" t="s">
        <v>3784</v>
      </c>
      <c r="G471" s="43" t="s">
        <v>3785</v>
      </c>
      <c r="H471" s="47" t="s">
        <v>55</v>
      </c>
      <c r="I471" s="25" t="str">
        <f>IFERROR(__xludf.DUMMYFUNCTION("GOOGLETRANSLATE(H471,""EN"",""ES"")"),"deportes de motor")</f>
        <v>deportes de motor</v>
      </c>
      <c r="J471" s="26" t="s">
        <v>27</v>
      </c>
      <c r="K471" s="17">
        <v>0.0</v>
      </c>
      <c r="L471" s="54"/>
      <c r="M471" s="31"/>
      <c r="N471" s="47"/>
      <c r="O471" s="47"/>
      <c r="P471" s="20">
        <v>0.0</v>
      </c>
      <c r="Q471" s="31"/>
      <c r="R471" s="31"/>
      <c r="S471" s="53"/>
      <c r="T471" s="32"/>
    </row>
    <row r="472">
      <c r="A472" s="33" t="s">
        <v>3786</v>
      </c>
      <c r="B472" s="40" t="s">
        <v>85</v>
      </c>
      <c r="C472" s="41">
        <v>45330.0</v>
      </c>
      <c r="D472" s="40" t="s">
        <v>3787</v>
      </c>
      <c r="E472" s="42" t="s">
        <v>3788</v>
      </c>
      <c r="F472" s="43" t="s">
        <v>3789</v>
      </c>
      <c r="G472" s="43" t="s">
        <v>3790</v>
      </c>
      <c r="H472" s="44" t="s">
        <v>148</v>
      </c>
      <c r="I472" s="15" t="str">
        <f>IFERROR(__xludf.DUMMYFUNCTION("GOOGLETRANSLATE(H472,""EN"",""ES"")"),"Gastronomía")</f>
        <v>Gastronomía</v>
      </c>
      <c r="J472" s="16" t="s">
        <v>27</v>
      </c>
      <c r="K472" s="17">
        <v>0.0</v>
      </c>
      <c r="L472" s="45"/>
      <c r="M472" s="18"/>
      <c r="N472" s="44"/>
      <c r="O472" s="44"/>
      <c r="P472" s="20">
        <v>0.0</v>
      </c>
      <c r="Q472" s="18"/>
      <c r="R472" s="18"/>
      <c r="S472" s="52"/>
      <c r="T472" s="22"/>
    </row>
    <row r="473">
      <c r="A473" s="56" t="s">
        <v>3791</v>
      </c>
      <c r="B473" s="40" t="s">
        <v>3792</v>
      </c>
      <c r="C473" s="41">
        <v>45330.0</v>
      </c>
      <c r="D473" s="40" t="s">
        <v>3793</v>
      </c>
      <c r="E473" s="42" t="s">
        <v>3794</v>
      </c>
      <c r="F473" s="43" t="s">
        <v>3795</v>
      </c>
      <c r="G473" s="43" t="s">
        <v>3796</v>
      </c>
      <c r="H473" s="47" t="s">
        <v>26</v>
      </c>
      <c r="I473" s="25" t="str">
        <f>IFERROR(__xludf.DUMMYFUNCTION("GOOGLETRANSLATE(H473,""EN"",""ES"")"),"Otro")</f>
        <v>Otro</v>
      </c>
      <c r="J473" s="26" t="s">
        <v>27</v>
      </c>
      <c r="K473" s="17">
        <v>0.0</v>
      </c>
      <c r="L473" s="54"/>
      <c r="M473" s="31"/>
      <c r="N473" s="47"/>
      <c r="O473" s="47"/>
      <c r="P473" s="20">
        <v>0.0</v>
      </c>
      <c r="Q473" s="31"/>
      <c r="R473" s="31"/>
      <c r="S473" s="53"/>
      <c r="T473" s="32"/>
    </row>
    <row r="474">
      <c r="A474" s="33" t="s">
        <v>3797</v>
      </c>
      <c r="B474" s="40" t="s">
        <v>1831</v>
      </c>
      <c r="C474" s="41">
        <v>45330.0</v>
      </c>
      <c r="D474" s="40" t="s">
        <v>3798</v>
      </c>
      <c r="E474" s="42" t="s">
        <v>3799</v>
      </c>
      <c r="F474" s="43" t="s">
        <v>3800</v>
      </c>
      <c r="G474" s="43" t="s">
        <v>3801</v>
      </c>
      <c r="H474" s="44" t="s">
        <v>1914</v>
      </c>
      <c r="I474" s="15" t="str">
        <f>IFERROR(__xludf.DUMMYFUNCTION("GOOGLETRANSLATE(H474,""EN"",""ES"")"),"Política energética")</f>
        <v>Política energética</v>
      </c>
      <c r="J474" s="16" t="s">
        <v>27</v>
      </c>
      <c r="K474" s="17">
        <v>0.0</v>
      </c>
      <c r="L474" s="45"/>
      <c r="M474" s="18"/>
      <c r="N474" s="44"/>
      <c r="O474" s="44"/>
      <c r="P474" s="20">
        <v>0.0</v>
      </c>
      <c r="Q474" s="18"/>
      <c r="R474" s="18"/>
      <c r="S474" s="52"/>
      <c r="T474" s="22"/>
    </row>
    <row r="475">
      <c r="A475" s="23" t="s">
        <v>3802</v>
      </c>
      <c r="B475" s="40" t="s">
        <v>260</v>
      </c>
      <c r="C475" s="41">
        <v>45330.0</v>
      </c>
      <c r="D475" s="40" t="s">
        <v>3803</v>
      </c>
      <c r="E475" s="42" t="s">
        <v>3804</v>
      </c>
      <c r="F475" s="43" t="s">
        <v>3805</v>
      </c>
      <c r="G475" s="43" t="s">
        <v>3806</v>
      </c>
      <c r="H475" s="47" t="s">
        <v>26</v>
      </c>
      <c r="I475" s="25" t="str">
        <f>IFERROR(__xludf.DUMMYFUNCTION("GOOGLETRANSLATE(H475,""EN"",""ES"")"),"Otro")</f>
        <v>Otro</v>
      </c>
      <c r="J475" s="26" t="s">
        <v>27</v>
      </c>
      <c r="K475" s="17">
        <v>0.0</v>
      </c>
      <c r="L475" s="54"/>
      <c r="M475" s="31"/>
      <c r="N475" s="47"/>
      <c r="O475" s="47"/>
      <c r="P475" s="20">
        <v>0.0</v>
      </c>
      <c r="Q475" s="31"/>
      <c r="R475" s="31"/>
      <c r="S475" s="53"/>
      <c r="T475" s="32"/>
    </row>
    <row r="476">
      <c r="A476" s="33" t="s">
        <v>3807</v>
      </c>
      <c r="B476" s="40" t="s">
        <v>3808</v>
      </c>
      <c r="C476" s="41">
        <v>45331.0</v>
      </c>
      <c r="D476" s="40" t="s">
        <v>3809</v>
      </c>
      <c r="E476" s="42" t="s">
        <v>3810</v>
      </c>
      <c r="F476" s="43" t="s">
        <v>3811</v>
      </c>
      <c r="G476" s="43" t="s">
        <v>3812</v>
      </c>
      <c r="H476" s="44" t="s">
        <v>975</v>
      </c>
      <c r="I476" s="15" t="str">
        <f>IFERROR(__xludf.DUMMYFUNCTION("GOOGLETRANSLATE(H476,""EN"",""ES"")"),"Patrocinio")</f>
        <v>Patrocinio</v>
      </c>
      <c r="J476" s="16" t="s">
        <v>35</v>
      </c>
      <c r="K476" s="48">
        <v>0.5</v>
      </c>
      <c r="L476" s="51" t="s">
        <v>3813</v>
      </c>
      <c r="M476" s="34" t="s">
        <v>3814</v>
      </c>
      <c r="N476" s="44" t="s">
        <v>3815</v>
      </c>
      <c r="O476" s="44" t="str">
        <f>IFERROR(__xludf.DUMMYFUNCTION("GOOGLETRANSLATE(N476,""EN"",""ES"")"),"El patrocinio de eventos culturales potencia la visibilidad de la marca Repsol.")</f>
        <v>El patrocinio de eventos culturales potencia la visibilidad de la marca Repsol.</v>
      </c>
      <c r="P476" s="30">
        <v>0.5</v>
      </c>
      <c r="Q476" s="18" t="str">
        <f>IFERROR(__xludf.DUMMYFUNCTION("GOOGLETRANSLATE(R476,""ES"",""EN"")"),"Malaga Festival, sponsorship")</f>
        <v>Malaga Festival, sponsorship</v>
      </c>
      <c r="R476" s="34" t="s">
        <v>3816</v>
      </c>
      <c r="S476" s="52" t="s">
        <v>3817</v>
      </c>
      <c r="T476" s="22" t="s">
        <v>3818</v>
      </c>
    </row>
    <row r="477">
      <c r="A477" s="23" t="s">
        <v>3819</v>
      </c>
      <c r="B477" s="40" t="s">
        <v>103</v>
      </c>
      <c r="C477" s="41">
        <v>45331.0</v>
      </c>
      <c r="D477" s="40" t="s">
        <v>3820</v>
      </c>
      <c r="E477" s="42" t="s">
        <v>3821</v>
      </c>
      <c r="F477" s="43" t="s">
        <v>3822</v>
      </c>
      <c r="G477" s="43" t="s">
        <v>3823</v>
      </c>
      <c r="H477" s="47" t="s">
        <v>598</v>
      </c>
      <c r="I477" s="25" t="str">
        <f>IFERROR(__xludf.DUMMYFUNCTION("GOOGLETRANSLATE(H477,""EN"",""ES"")"),"Expansión empresarial")</f>
        <v>Expansión empresarial</v>
      </c>
      <c r="J477" s="26" t="s">
        <v>35</v>
      </c>
      <c r="K477" s="48">
        <v>0.6</v>
      </c>
      <c r="L477" s="49" t="s">
        <v>3824</v>
      </c>
      <c r="M477" s="28" t="s">
        <v>3825</v>
      </c>
      <c r="N477" s="47" t="s">
        <v>3826</v>
      </c>
      <c r="O477" s="47" t="str">
        <f>IFERROR(__xludf.DUMMYFUNCTION("GOOGLETRANSLATE(N477,""EN"",""ES"")"),"La expansión en Portugal refuerza la huella de Repsol en el sector de la electromovilidad.")</f>
        <v>La expansión en Portugal refuerza la huella de Repsol en el sector de la electromovilidad.</v>
      </c>
      <c r="P477" s="30">
        <v>0.7</v>
      </c>
      <c r="Q477" s="31" t="str">
        <f>IFERROR(__xludf.DUMMYFUNCTION("GOOGLETRANSLATE(R477,""ES"",""EN"")"),"Miio, electric car charging")</f>
        <v>Miio, electric car charging</v>
      </c>
      <c r="R477" s="28" t="s">
        <v>3827</v>
      </c>
      <c r="S477" s="53" t="s">
        <v>3332</v>
      </c>
      <c r="T477" s="32" t="s">
        <v>3333</v>
      </c>
    </row>
    <row r="478">
      <c r="A478" s="33" t="s">
        <v>3828</v>
      </c>
      <c r="B478" s="40" t="s">
        <v>217</v>
      </c>
      <c r="C478" s="41">
        <v>45331.0</v>
      </c>
      <c r="D478" s="40" t="s">
        <v>3829</v>
      </c>
      <c r="E478" s="42" t="s">
        <v>3830</v>
      </c>
      <c r="F478" s="43" t="s">
        <v>3831</v>
      </c>
      <c r="G478" s="43" t="s">
        <v>3832</v>
      </c>
      <c r="H478" s="44" t="s">
        <v>598</v>
      </c>
      <c r="I478" s="15" t="str">
        <f>IFERROR(__xludf.DUMMYFUNCTION("GOOGLETRANSLATE(H478,""EN"",""ES"")"),"Expansión empresarial")</f>
        <v>Expansión empresarial</v>
      </c>
      <c r="J478" s="16" t="s">
        <v>35</v>
      </c>
      <c r="K478" s="48">
        <v>0.6</v>
      </c>
      <c r="L478" s="51" t="s">
        <v>3833</v>
      </c>
      <c r="M478" s="34" t="s">
        <v>3834</v>
      </c>
      <c r="N478" s="44" t="s">
        <v>3835</v>
      </c>
      <c r="O478" s="44" t="str">
        <f>IFERROR(__xludf.DUMMYFUNCTION("GOOGLETRANSLATE(N478,""EN"",""ES"")"),"La inversión en movilidad eléctrica refuerza la transición de Repsol hacia la energía sostenible.")</f>
        <v>La inversión en movilidad eléctrica refuerza la transición de Repsol hacia la energía sostenible.</v>
      </c>
      <c r="P478" s="30">
        <v>0.7</v>
      </c>
      <c r="Q478" s="18" t="str">
        <f>IFERROR(__xludf.DUMMYFUNCTION("GOOGLETRANSLATE(R478,""ES"",""EN"")"),"Miio, recharging electric vehicles")</f>
        <v>Miio, recharging electric vehicles</v>
      </c>
      <c r="R478" s="34" t="s">
        <v>3836</v>
      </c>
      <c r="S478" s="52" t="s">
        <v>3332</v>
      </c>
      <c r="T478" s="22" t="s">
        <v>3333</v>
      </c>
    </row>
    <row r="479">
      <c r="A479" s="23" t="s">
        <v>3837</v>
      </c>
      <c r="B479" s="40" t="s">
        <v>2696</v>
      </c>
      <c r="C479" s="41">
        <v>45331.0</v>
      </c>
      <c r="D479" s="40" t="s">
        <v>3838</v>
      </c>
      <c r="E479" s="42" t="s">
        <v>3839</v>
      </c>
      <c r="F479" s="43" t="s">
        <v>3840</v>
      </c>
      <c r="G479" s="43" t="s">
        <v>3841</v>
      </c>
      <c r="H479" s="47" t="s">
        <v>598</v>
      </c>
      <c r="I479" s="25" t="str">
        <f>IFERROR(__xludf.DUMMYFUNCTION("GOOGLETRANSLATE(H479,""EN"",""ES"")"),"Expansión empresarial")</f>
        <v>Expansión empresarial</v>
      </c>
      <c r="J479" s="26" t="s">
        <v>35</v>
      </c>
      <c r="K479" s="48">
        <v>0.6</v>
      </c>
      <c r="L479" s="49" t="s">
        <v>3842</v>
      </c>
      <c r="M479" s="28" t="s">
        <v>3843</v>
      </c>
      <c r="N479" s="47" t="s">
        <v>3844</v>
      </c>
      <c r="O479" s="47" t="str">
        <f>IFERROR(__xludf.DUMMYFUNCTION("GOOGLETRANSLATE(N479,""EN"",""ES"")"),"Reforzar su presencia en electromovilidad se alinea con la estrategia de energía verde de Repsol.")</f>
        <v>Reforzar su presencia en electromovilidad se alinea con la estrategia de energía verde de Repsol.</v>
      </c>
      <c r="P479" s="30">
        <v>0.7</v>
      </c>
      <c r="Q479" s="31" t="str">
        <f>IFERROR(__xludf.DUMMYFUNCTION("GOOGLETRANSLATE(R479,""ES"",""EN"")"),"Miio, electromobility")</f>
        <v>Miio, electromobility</v>
      </c>
      <c r="R479" s="28" t="s">
        <v>3845</v>
      </c>
      <c r="S479" s="53" t="s">
        <v>3332</v>
      </c>
      <c r="T479" s="32" t="s">
        <v>3333</v>
      </c>
    </row>
    <row r="480">
      <c r="A480" s="33" t="s">
        <v>3846</v>
      </c>
      <c r="B480" s="40" t="s">
        <v>192</v>
      </c>
      <c r="C480" s="41">
        <v>45331.0</v>
      </c>
      <c r="D480" s="40" t="s">
        <v>3847</v>
      </c>
      <c r="E480" s="42" t="s">
        <v>3848</v>
      </c>
      <c r="F480" s="43" t="s">
        <v>3849</v>
      </c>
      <c r="G480" s="43" t="s">
        <v>3850</v>
      </c>
      <c r="H480" s="44" t="s">
        <v>975</v>
      </c>
      <c r="I480" s="15" t="str">
        <f>IFERROR(__xludf.DUMMYFUNCTION("GOOGLETRANSLATE(H480,""EN"",""ES"")"),"Patrocinio")</f>
        <v>Patrocinio</v>
      </c>
      <c r="J480" s="16" t="s">
        <v>35</v>
      </c>
      <c r="K480" s="48">
        <v>0.5</v>
      </c>
      <c r="L480" s="51" t="s">
        <v>3851</v>
      </c>
      <c r="M480" s="34" t="s">
        <v>3852</v>
      </c>
      <c r="N480" s="44" t="s">
        <v>3853</v>
      </c>
      <c r="O480" s="44" t="str">
        <f>IFERROR(__xludf.DUMMYFUNCTION("GOOGLETRANSLATE(N480,""EN"",""ES"")"),"El apoyo a eventos culturales incrementa la presencia de la marca Repsol.")</f>
        <v>El apoyo a eventos culturales incrementa la presencia de la marca Repsol.</v>
      </c>
      <c r="P480" s="30">
        <v>0.5</v>
      </c>
      <c r="Q480" s="18" t="str">
        <f>IFERROR(__xludf.DUMMYFUNCTION("GOOGLETRANSLATE(R480,""ES"",""EN"")"),"Goya, Malaga Festival")</f>
        <v>Goya, Malaga Festival</v>
      </c>
      <c r="R480" s="34" t="s">
        <v>3854</v>
      </c>
      <c r="S480" s="52" t="s">
        <v>3855</v>
      </c>
      <c r="T480" s="22" t="s">
        <v>3856</v>
      </c>
    </row>
    <row r="481">
      <c r="A481" s="23" t="s">
        <v>3857</v>
      </c>
      <c r="B481" s="40" t="s">
        <v>163</v>
      </c>
      <c r="C481" s="41">
        <v>45331.0</v>
      </c>
      <c r="D481" s="40" t="s">
        <v>3858</v>
      </c>
      <c r="E481" s="42" t="s">
        <v>3859</v>
      </c>
      <c r="F481" s="43" t="s">
        <v>3860</v>
      </c>
      <c r="G481" s="43" t="s">
        <v>3861</v>
      </c>
      <c r="H481" s="47" t="s">
        <v>598</v>
      </c>
      <c r="I481" s="25" t="str">
        <f>IFERROR(__xludf.DUMMYFUNCTION("GOOGLETRANSLATE(H481,""EN"",""ES"")"),"Expansión empresarial")</f>
        <v>Expansión empresarial</v>
      </c>
      <c r="J481" s="26" t="s">
        <v>35</v>
      </c>
      <c r="K481" s="48">
        <v>0.6</v>
      </c>
      <c r="L481" s="49" t="s">
        <v>3862</v>
      </c>
      <c r="M481" s="28" t="s">
        <v>3863</v>
      </c>
      <c r="N481" s="47" t="s">
        <v>3864</v>
      </c>
      <c r="O481" s="47" t="str">
        <f>IFERROR(__xludf.DUMMYFUNCTION("GOOGLETRANSLATE(N481,""EN"",""ES"")"),"La inversión en movilidad eléctrica potencia el posicionamiento de Repsol en el sector de la energía sostenible.")</f>
        <v>La inversión en movilidad eléctrica potencia el posicionamiento de Repsol en el sector de la energía sostenible.</v>
      </c>
      <c r="P481" s="30">
        <v>0.7</v>
      </c>
      <c r="Q481" s="31" t="str">
        <f>IFERROR(__xludf.DUMMYFUNCTION("GOOGLETRANSLATE(R481,""ES"",""EN"")"),"miio, recharge")</f>
        <v>miio, recharge</v>
      </c>
      <c r="R481" s="28" t="s">
        <v>3865</v>
      </c>
      <c r="S481" s="53" t="s">
        <v>3332</v>
      </c>
      <c r="T481" s="32" t="s">
        <v>3333</v>
      </c>
    </row>
    <row r="482">
      <c r="A482" s="33" t="s">
        <v>3866</v>
      </c>
      <c r="B482" s="40" t="s">
        <v>125</v>
      </c>
      <c r="C482" s="41">
        <v>45331.0</v>
      </c>
      <c r="D482" s="40" t="s">
        <v>3867</v>
      </c>
      <c r="E482" s="42" t="s">
        <v>3868</v>
      </c>
      <c r="F482" s="43" t="s">
        <v>3869</v>
      </c>
      <c r="G482" s="43" t="s">
        <v>3870</v>
      </c>
      <c r="H482" s="44" t="s">
        <v>3871</v>
      </c>
      <c r="I482" s="15" t="str">
        <f>IFERROR(__xludf.DUMMYFUNCTION("GOOGLETRANSLATE(H482,""EN"",""ES"")"),"Educación")</f>
        <v>Educación</v>
      </c>
      <c r="J482" s="16" t="s">
        <v>35</v>
      </c>
      <c r="K482" s="48">
        <v>0.0</v>
      </c>
      <c r="L482" s="45"/>
      <c r="M482" s="18"/>
      <c r="N482" s="44" t="s">
        <v>3872</v>
      </c>
      <c r="O482" s="44" t="str">
        <f>IFERROR(__xludf.DUMMYFUNCTION("GOOGLETRANSLATE(N482,""EN"",""ES"")"),"Las iniciativas educativas no impactan en el negocio de Repsol.")</f>
        <v>Las iniciativas educativas no impactan en el negocio de Repsol.</v>
      </c>
      <c r="P482" s="30">
        <v>0.8</v>
      </c>
      <c r="Q482" s="18" t="str">
        <f>IFERROR(__xludf.DUMMYFUNCTION("GOOGLETRANSLATE(R482,""ES"",""EN"")"),"technological vocations, girls")</f>
        <v>technological vocations, girls</v>
      </c>
      <c r="R482" s="34" t="s">
        <v>3873</v>
      </c>
      <c r="S482" s="52" t="s">
        <v>3874</v>
      </c>
      <c r="T482" s="22" t="s">
        <v>3875</v>
      </c>
    </row>
    <row r="483">
      <c r="A483" s="23" t="s">
        <v>3876</v>
      </c>
      <c r="B483" s="40" t="s">
        <v>85</v>
      </c>
      <c r="C483" s="41">
        <v>45331.0</v>
      </c>
      <c r="D483" s="40" t="s">
        <v>3877</v>
      </c>
      <c r="E483" s="42" t="s">
        <v>3878</v>
      </c>
      <c r="F483" s="43" t="s">
        <v>3879</v>
      </c>
      <c r="G483" s="43" t="s">
        <v>3880</v>
      </c>
      <c r="H483" s="47" t="s">
        <v>598</v>
      </c>
      <c r="I483" s="25" t="str">
        <f>IFERROR(__xludf.DUMMYFUNCTION("GOOGLETRANSLATE(H483,""EN"",""ES"")"),"Expansión empresarial")</f>
        <v>Expansión empresarial</v>
      </c>
      <c r="J483" s="26" t="s">
        <v>35</v>
      </c>
      <c r="K483" s="48">
        <v>0.6</v>
      </c>
      <c r="L483" s="49" t="s">
        <v>3881</v>
      </c>
      <c r="M483" s="28" t="s">
        <v>3882</v>
      </c>
      <c r="N483" s="47" t="s">
        <v>3883</v>
      </c>
      <c r="O483" s="47" t="str">
        <f>IFERROR(__xludf.DUMMYFUNCTION("GOOGLETRANSLATE(N483,""EN"",""ES"")"),"El refuerzo de su red de recarga de vehículos eléctricos respalda la estrategia de transición energética de Repsol.")</f>
        <v>El refuerzo de su red de recarga de vehículos eléctricos respalda la estrategia de transición energética de Repsol.</v>
      </c>
      <c r="P483" s="30">
        <v>0.7</v>
      </c>
      <c r="Q483" s="31" t="str">
        <f>IFERROR(__xludf.DUMMYFUNCTION("GOOGLETRANSLATE(R483,""ES"",""EN"")"),"miio, electric car charging")</f>
        <v>miio, electric car charging</v>
      </c>
      <c r="R483" s="28" t="s">
        <v>3884</v>
      </c>
      <c r="S483" s="53" t="s">
        <v>3332</v>
      </c>
      <c r="T483" s="32" t="s">
        <v>3333</v>
      </c>
    </row>
    <row r="484">
      <c r="A484" s="33" t="s">
        <v>3885</v>
      </c>
      <c r="B484" s="40" t="s">
        <v>3151</v>
      </c>
      <c r="C484" s="41">
        <v>45331.0</v>
      </c>
      <c r="D484" s="40" t="s">
        <v>3886</v>
      </c>
      <c r="E484" s="42" t="s">
        <v>3887</v>
      </c>
      <c r="F484" s="43" t="s">
        <v>3888</v>
      </c>
      <c r="G484" s="43" t="s">
        <v>3889</v>
      </c>
      <c r="H484" s="44" t="s">
        <v>130</v>
      </c>
      <c r="I484" s="15" t="str">
        <f>IFERROR(__xludf.DUMMYFUNCTION("GOOGLETRANSLATE(H484,""EN"",""ES"")"),"Sostenibilidad")</f>
        <v>Sostenibilidad</v>
      </c>
      <c r="J484" s="16" t="s">
        <v>35</v>
      </c>
      <c r="K484" s="48">
        <v>0.7</v>
      </c>
      <c r="L484" s="51" t="s">
        <v>3890</v>
      </c>
      <c r="M484" s="34" t="s">
        <v>3891</v>
      </c>
      <c r="N484" s="44" t="s">
        <v>3892</v>
      </c>
      <c r="O484" s="44" t="str">
        <f>IFERROR(__xludf.DUMMYFUNCTION("GOOGLETRANSLATE(N484,""EN"",""ES"")"),"La inversión en plantas de reciclaje se alinea con los objetivos de economía circular de Repsol.")</f>
        <v>La inversión en plantas de reciclaje se alinea con los objetivos de economía circular de Repsol.</v>
      </c>
      <c r="P484" s="30">
        <v>0.8</v>
      </c>
      <c r="Q484" s="18" t="str">
        <f>IFERROR(__xludf.DUMMYFUNCTION("GOOGLETRANSLATE(R484,""ES"",""EN"")"),"chemical recycling, mattresses")</f>
        <v>chemical recycling, mattresses</v>
      </c>
      <c r="R484" s="34" t="s">
        <v>3893</v>
      </c>
      <c r="S484" s="52" t="s">
        <v>3341</v>
      </c>
      <c r="T484" s="22" t="s">
        <v>3342</v>
      </c>
    </row>
    <row r="485">
      <c r="A485" s="23" t="s">
        <v>3894</v>
      </c>
      <c r="B485" s="40" t="s">
        <v>21</v>
      </c>
      <c r="C485" s="41">
        <v>45331.0</v>
      </c>
      <c r="D485" s="40" t="s">
        <v>3895</v>
      </c>
      <c r="E485" s="42" t="s">
        <v>3896</v>
      </c>
      <c r="F485" s="43" t="s">
        <v>3897</v>
      </c>
      <c r="G485" s="43" t="s">
        <v>3898</v>
      </c>
      <c r="H485" s="47" t="s">
        <v>969</v>
      </c>
      <c r="I485" s="25" t="str">
        <f>IFERROR(__xludf.DUMMYFUNCTION("GOOGLETRANSLATE(H485,""EN"",""ES"")"),"Turismo")</f>
        <v>Turismo</v>
      </c>
      <c r="J485" s="26" t="s">
        <v>27</v>
      </c>
      <c r="K485" s="17">
        <v>0.0</v>
      </c>
      <c r="L485" s="54"/>
      <c r="M485" s="31"/>
      <c r="N485" s="47"/>
      <c r="O485" s="47"/>
      <c r="P485" s="20">
        <v>0.0</v>
      </c>
      <c r="Q485" s="31"/>
      <c r="R485" s="31"/>
      <c r="S485" s="53"/>
      <c r="T485" s="32"/>
    </row>
    <row r="486">
      <c r="A486" s="33" t="s">
        <v>3899</v>
      </c>
      <c r="B486" s="40" t="s">
        <v>192</v>
      </c>
      <c r="C486" s="41">
        <v>45331.0</v>
      </c>
      <c r="D486" s="40" t="s">
        <v>3900</v>
      </c>
      <c r="E486" s="42" t="s">
        <v>3901</v>
      </c>
      <c r="F486" s="43" t="s">
        <v>3902</v>
      </c>
      <c r="G486" s="43" t="s">
        <v>3903</v>
      </c>
      <c r="H486" s="44" t="s">
        <v>661</v>
      </c>
      <c r="I486" s="15" t="str">
        <f>IFERROR(__xludf.DUMMYFUNCTION("GOOGLETRANSLATE(H486,""EN"",""ES"")"),"Estrategia empresarial")</f>
        <v>Estrategia empresarial</v>
      </c>
      <c r="J486" s="16" t="s">
        <v>35</v>
      </c>
      <c r="K486" s="48">
        <v>0.6</v>
      </c>
      <c r="L486" s="51" t="s">
        <v>3904</v>
      </c>
      <c r="M486" s="34" t="s">
        <v>3905</v>
      </c>
      <c r="N486" s="44" t="s">
        <v>3906</v>
      </c>
      <c r="O486" s="44" t="str">
        <f>IFERROR(__xludf.DUMMYFUNCTION("GOOGLETRANSLATE(N486,""EN"",""ES"")"),"La ampliación de las soluciones de pago digital refuerza la estrategia de relación con el cliente de Repsol.")</f>
        <v>La ampliación de las soluciones de pago digital refuerza la estrategia de relación con el cliente de Repsol.</v>
      </c>
      <c r="P486" s="30">
        <v>0.6</v>
      </c>
      <c r="Q486" s="18" t="str">
        <f>IFERROR(__xludf.DUMMYFUNCTION("GOOGLETRANSLATE(R486,""ES"",""EN"")"),"Trasmed, Waylet")</f>
        <v>Trasmed, Waylet</v>
      </c>
      <c r="R486" s="34" t="s">
        <v>3907</v>
      </c>
      <c r="S486" s="52" t="s">
        <v>3908</v>
      </c>
      <c r="T486" s="22" t="s">
        <v>3909</v>
      </c>
    </row>
    <row r="487">
      <c r="A487" s="23" t="s">
        <v>3910</v>
      </c>
      <c r="B487" s="40" t="s">
        <v>2696</v>
      </c>
      <c r="C487" s="41">
        <v>45331.0</v>
      </c>
      <c r="D487" s="40" t="s">
        <v>3911</v>
      </c>
      <c r="E487" s="42" t="s">
        <v>3912</v>
      </c>
      <c r="F487" s="43" t="s">
        <v>3913</v>
      </c>
      <c r="G487" s="43" t="s">
        <v>3914</v>
      </c>
      <c r="H487" s="47" t="s">
        <v>48</v>
      </c>
      <c r="I487" s="25" t="str">
        <f>IFERROR(__xludf.DUMMYFUNCTION("GOOGLETRANSLATE(H487,""EN"",""ES"")"),"Finanzas")</f>
        <v>Finanzas</v>
      </c>
      <c r="J487" s="26" t="s">
        <v>35</v>
      </c>
      <c r="K487" s="48">
        <v>0.5</v>
      </c>
      <c r="L487" s="49" t="s">
        <v>3915</v>
      </c>
      <c r="M487" s="28" t="s">
        <v>3916</v>
      </c>
      <c r="N487" s="47" t="s">
        <v>3917</v>
      </c>
      <c r="O487" s="47" t="str">
        <f>IFERROR(__xludf.DUMMYFUNCTION("GOOGLETRANSLATE(N487,""EN"",""ES"")"),"Los márgenes más altos en comparación con los competidores europeos indican un sólido desempeño financiero.")</f>
        <v>Los márgenes más altos en comparación con los competidores europeos indican un sólido desempeño financiero.</v>
      </c>
      <c r="P487" s="30">
        <v>-0.4</v>
      </c>
      <c r="Q487" s="31" t="str">
        <f>IFERROR(__xludf.DUMMYFUNCTION("GOOGLETRANSLATE(R487,""ES"",""EN"")"),"BP, Cepsa, Repsol")</f>
        <v>BP, Cepsa, Repsol</v>
      </c>
      <c r="R487" s="28" t="s">
        <v>3918</v>
      </c>
      <c r="S487" s="53" t="s">
        <v>3919</v>
      </c>
      <c r="T487" s="32" t="s">
        <v>3920</v>
      </c>
    </row>
    <row r="488">
      <c r="A488" s="33" t="s">
        <v>3921</v>
      </c>
      <c r="B488" s="40" t="s">
        <v>85</v>
      </c>
      <c r="C488" s="41">
        <v>45331.0</v>
      </c>
      <c r="D488" s="40" t="s">
        <v>3922</v>
      </c>
      <c r="E488" s="42" t="s">
        <v>3923</v>
      </c>
      <c r="F488" s="43" t="s">
        <v>3924</v>
      </c>
      <c r="G488" s="43" t="s">
        <v>3925</v>
      </c>
      <c r="H488" s="44" t="s">
        <v>148</v>
      </c>
      <c r="I488" s="15" t="str">
        <f>IFERROR(__xludf.DUMMYFUNCTION("GOOGLETRANSLATE(H488,""EN"",""ES"")"),"Gastronomía")</f>
        <v>Gastronomía</v>
      </c>
      <c r="J488" s="16" t="s">
        <v>27</v>
      </c>
      <c r="K488" s="17">
        <v>0.0</v>
      </c>
      <c r="L488" s="45"/>
      <c r="M488" s="18"/>
      <c r="N488" s="44"/>
      <c r="O488" s="44"/>
      <c r="P488" s="20">
        <v>0.0</v>
      </c>
      <c r="Q488" s="18"/>
      <c r="R488" s="18"/>
      <c r="S488" s="52"/>
      <c r="T488" s="22"/>
    </row>
    <row r="489">
      <c r="A489" s="23" t="s">
        <v>3926</v>
      </c>
      <c r="B489" s="40" t="s">
        <v>3927</v>
      </c>
      <c r="C489" s="41">
        <v>45332.0</v>
      </c>
      <c r="D489" s="40" t="s">
        <v>3928</v>
      </c>
      <c r="E489" s="42" t="s">
        <v>3929</v>
      </c>
      <c r="F489" s="43" t="s">
        <v>3930</v>
      </c>
      <c r="G489" s="43" t="s">
        <v>3931</v>
      </c>
      <c r="H489" s="47" t="s">
        <v>661</v>
      </c>
      <c r="I489" s="25" t="str">
        <f>IFERROR(__xludf.DUMMYFUNCTION("GOOGLETRANSLATE(H489,""EN"",""ES"")"),"Estrategia empresarial")</f>
        <v>Estrategia empresarial</v>
      </c>
      <c r="J489" s="26" t="s">
        <v>35</v>
      </c>
      <c r="K489" s="48">
        <v>0.6</v>
      </c>
      <c r="L489" s="49" t="s">
        <v>3932</v>
      </c>
      <c r="M489" s="28" t="s">
        <v>3933</v>
      </c>
      <c r="N489" s="47" t="s">
        <v>3934</v>
      </c>
      <c r="O489" s="47" t="str">
        <f>IFERROR(__xludf.DUMMYFUNCTION("GOOGLETRANSLATE(N489,""EN"",""ES"")"),"La ampliación de las soluciones de pago digital mejora la oferta de servicios de Repsol.")</f>
        <v>La ampliación de las soluciones de pago digital mejora la oferta de servicios de Repsol.</v>
      </c>
      <c r="P489" s="30">
        <v>0.6</v>
      </c>
      <c r="Q489" s="31" t="str">
        <f>IFERROR(__xludf.DUMMYFUNCTION("GOOGLETRANSLATE(R489,""ES"",""EN"")"),"Trasmed, Waylet")</f>
        <v>Trasmed, Waylet</v>
      </c>
      <c r="R489" s="28" t="s">
        <v>3907</v>
      </c>
      <c r="S489" s="53" t="s">
        <v>3935</v>
      </c>
      <c r="T489" s="32" t="s">
        <v>3936</v>
      </c>
    </row>
    <row r="490">
      <c r="A490" s="33" t="s">
        <v>3937</v>
      </c>
      <c r="B490" s="40" t="s">
        <v>85</v>
      </c>
      <c r="C490" s="41">
        <v>45332.0</v>
      </c>
      <c r="D490" s="40" t="s">
        <v>3938</v>
      </c>
      <c r="E490" s="42" t="s">
        <v>3939</v>
      </c>
      <c r="F490" s="43" t="s">
        <v>3940</v>
      </c>
      <c r="G490" s="43" t="s">
        <v>3941</v>
      </c>
      <c r="H490" s="44" t="s">
        <v>148</v>
      </c>
      <c r="I490" s="15" t="str">
        <f>IFERROR(__xludf.DUMMYFUNCTION("GOOGLETRANSLATE(H490,""EN"",""ES"")"),"Gastronomía")</f>
        <v>Gastronomía</v>
      </c>
      <c r="J490" s="16" t="s">
        <v>27</v>
      </c>
      <c r="K490" s="17">
        <v>0.0</v>
      </c>
      <c r="L490" s="45"/>
      <c r="M490" s="18"/>
      <c r="N490" s="44"/>
      <c r="O490" s="44"/>
      <c r="P490" s="20">
        <v>0.0</v>
      </c>
      <c r="Q490" s="18"/>
      <c r="R490" s="18"/>
      <c r="S490" s="52"/>
      <c r="T490" s="22"/>
    </row>
    <row r="491">
      <c r="A491" s="23" t="s">
        <v>3942</v>
      </c>
      <c r="B491" s="40" t="s">
        <v>3943</v>
      </c>
      <c r="C491" s="41">
        <v>45332.0</v>
      </c>
      <c r="D491" s="40" t="s">
        <v>3944</v>
      </c>
      <c r="E491" s="42" t="s">
        <v>3945</v>
      </c>
      <c r="F491" s="43" t="s">
        <v>3946</v>
      </c>
      <c r="G491" s="43" t="s">
        <v>3947</v>
      </c>
      <c r="H491" s="47" t="s">
        <v>395</v>
      </c>
      <c r="I491" s="25" t="str">
        <f>IFERROR(__xludf.DUMMYFUNCTION("GOOGLETRANSLATE(H491,""EN"",""ES"")"),"Ambiente")</f>
        <v>Ambiente</v>
      </c>
      <c r="J491" s="26" t="s">
        <v>27</v>
      </c>
      <c r="K491" s="17">
        <v>0.0</v>
      </c>
      <c r="L491" s="54"/>
      <c r="M491" s="31"/>
      <c r="N491" s="47"/>
      <c r="O491" s="47"/>
      <c r="P491" s="20">
        <v>0.0</v>
      </c>
      <c r="Q491" s="31"/>
      <c r="R491" s="31"/>
      <c r="S491" s="53"/>
      <c r="T491" s="32"/>
    </row>
    <row r="492">
      <c r="A492" s="33" t="s">
        <v>3948</v>
      </c>
      <c r="B492" s="40" t="s">
        <v>85</v>
      </c>
      <c r="C492" s="41">
        <v>45333.0</v>
      </c>
      <c r="D492" s="40" t="s">
        <v>3949</v>
      </c>
      <c r="E492" s="42" t="s">
        <v>3950</v>
      </c>
      <c r="F492" s="43" t="s">
        <v>3951</v>
      </c>
      <c r="G492" s="43" t="s">
        <v>3952</v>
      </c>
      <c r="H492" s="44" t="s">
        <v>3953</v>
      </c>
      <c r="I492" s="15" t="str">
        <f>IFERROR(__xludf.DUMMYFUNCTION("GOOGLETRANSLATE(H492,""EN"",""ES"")"),"Transición Energética")</f>
        <v>Transición Energética</v>
      </c>
      <c r="J492" s="16" t="s">
        <v>35</v>
      </c>
      <c r="K492" s="48">
        <v>0.6</v>
      </c>
      <c r="L492" s="51" t="s">
        <v>3954</v>
      </c>
      <c r="M492" s="34" t="s">
        <v>3955</v>
      </c>
      <c r="N492" s="44" t="s">
        <v>3956</v>
      </c>
      <c r="O492" s="44" t="str">
        <f>IFERROR(__xludf.DUMMYFUNCTION("GOOGLETRANSLATE(N492,""EN"",""ES"")"),"La ampliación de las redes públicas de recarga refuerza el papel de Repsol en el sector de la movilidad eléctrica.")</f>
        <v>La ampliación de las redes públicas de recarga refuerza el papel de Repsol en el sector de la movilidad eléctrica.</v>
      </c>
      <c r="P492" s="30">
        <v>0.0</v>
      </c>
      <c r="Q492" s="18"/>
      <c r="R492" s="18"/>
      <c r="S492" s="52" t="s">
        <v>2584</v>
      </c>
      <c r="T492" s="22" t="s">
        <v>2585</v>
      </c>
    </row>
    <row r="493">
      <c r="A493" s="23" t="s">
        <v>3957</v>
      </c>
      <c r="B493" s="40" t="s">
        <v>43</v>
      </c>
      <c r="C493" s="41">
        <v>45333.0</v>
      </c>
      <c r="D493" s="40" t="s">
        <v>3958</v>
      </c>
      <c r="E493" s="42" t="s">
        <v>3959</v>
      </c>
      <c r="F493" s="43" t="s">
        <v>3960</v>
      </c>
      <c r="G493" s="43" t="s">
        <v>3961</v>
      </c>
      <c r="H493" s="47" t="s">
        <v>130</v>
      </c>
      <c r="I493" s="25" t="str">
        <f>IFERROR(__xludf.DUMMYFUNCTION("GOOGLETRANSLATE(H493,""EN"",""ES"")"),"Sostenibilidad")</f>
        <v>Sostenibilidad</v>
      </c>
      <c r="J493" s="26" t="s">
        <v>35</v>
      </c>
      <c r="K493" s="48">
        <v>0.7</v>
      </c>
      <c r="L493" s="49" t="s">
        <v>3962</v>
      </c>
      <c r="M493" s="28" t="s">
        <v>3963</v>
      </c>
      <c r="N493" s="47" t="s">
        <v>3964</v>
      </c>
      <c r="O493" s="47" t="str">
        <f>IFERROR(__xludf.DUMMYFUNCTION("GOOGLETRANSLATE(N493,""EN"",""ES"")"),"El avance de los combustibles renovables refuerza el compromiso de Repsol con soluciones energéticas sostenibles.")</f>
        <v>El avance de los combustibles renovables refuerza el compromiso de Repsol con soluciones energéticas sostenibles.</v>
      </c>
      <c r="P493" s="30">
        <v>0.8</v>
      </c>
      <c r="Q493" s="31" t="str">
        <f>IFERROR(__xludf.DUMMYFUNCTION("GOOGLETRANSLATE(R493,""ES"",""EN"")"),"renewable fuels, used cooking oil")</f>
        <v>renewable fuels, used cooking oil</v>
      </c>
      <c r="R493" s="28" t="s">
        <v>3965</v>
      </c>
      <c r="S493" s="53" t="s">
        <v>3966</v>
      </c>
      <c r="T493" s="32" t="s">
        <v>3967</v>
      </c>
    </row>
    <row r="494">
      <c r="A494" s="33" t="s">
        <v>3968</v>
      </c>
      <c r="B494" s="40" t="s">
        <v>217</v>
      </c>
      <c r="C494" s="41">
        <v>45333.0</v>
      </c>
      <c r="D494" s="40" t="s">
        <v>3969</v>
      </c>
      <c r="E494" s="42" t="s">
        <v>3970</v>
      </c>
      <c r="F494" s="43" t="s">
        <v>3971</v>
      </c>
      <c r="G494" s="43" t="s">
        <v>3972</v>
      </c>
      <c r="H494" s="44" t="s">
        <v>48</v>
      </c>
      <c r="I494" s="15" t="str">
        <f>IFERROR(__xludf.DUMMYFUNCTION("GOOGLETRANSLATE(H494,""EN"",""ES"")"),"Finanzas")</f>
        <v>Finanzas</v>
      </c>
      <c r="J494" s="16" t="s">
        <v>27</v>
      </c>
      <c r="K494" s="17">
        <v>0.0</v>
      </c>
      <c r="L494" s="45"/>
      <c r="M494" s="18"/>
      <c r="N494" s="44"/>
      <c r="O494" s="44"/>
      <c r="P494" s="20">
        <v>0.0</v>
      </c>
      <c r="Q494" s="18"/>
      <c r="R494" s="18"/>
      <c r="S494" s="52"/>
      <c r="T494" s="22"/>
    </row>
    <row r="495">
      <c r="A495" s="23" t="s">
        <v>3973</v>
      </c>
      <c r="B495" s="40" t="s">
        <v>3974</v>
      </c>
      <c r="C495" s="41">
        <v>45333.0</v>
      </c>
      <c r="D495" s="40" t="s">
        <v>3975</v>
      </c>
      <c r="E495" s="42" t="s">
        <v>3976</v>
      </c>
      <c r="F495" s="43" t="s">
        <v>3977</v>
      </c>
      <c r="G495" s="43" t="s">
        <v>3978</v>
      </c>
      <c r="H495" s="47" t="s">
        <v>26</v>
      </c>
      <c r="I495" s="25" t="str">
        <f>IFERROR(__xludf.DUMMYFUNCTION("GOOGLETRANSLATE(H495,""EN"",""ES"")"),"Otro")</f>
        <v>Otro</v>
      </c>
      <c r="J495" s="26" t="s">
        <v>27</v>
      </c>
      <c r="K495" s="17">
        <v>0.0</v>
      </c>
      <c r="L495" s="54"/>
      <c r="M495" s="31"/>
      <c r="N495" s="47"/>
      <c r="O495" s="47"/>
      <c r="P495" s="20">
        <v>0.0</v>
      </c>
      <c r="Q495" s="31"/>
      <c r="R495" s="31"/>
      <c r="S495" s="53"/>
      <c r="T495" s="32"/>
    </row>
    <row r="496">
      <c r="A496" s="33" t="s">
        <v>3979</v>
      </c>
      <c r="B496" s="40" t="s">
        <v>3980</v>
      </c>
      <c r="C496" s="41">
        <v>45333.0</v>
      </c>
      <c r="D496" s="40" t="s">
        <v>3981</v>
      </c>
      <c r="E496" s="42" t="s">
        <v>3982</v>
      </c>
      <c r="F496" s="43" t="s">
        <v>3983</v>
      </c>
      <c r="G496" s="43" t="s">
        <v>3984</v>
      </c>
      <c r="H496" s="44" t="s">
        <v>3985</v>
      </c>
      <c r="I496" s="15" t="str">
        <f>IFERROR(__xludf.DUMMYFUNCTION("GOOGLETRANSLATE(H496,""EN"",""ES"")"),"Deportes")</f>
        <v>Deportes</v>
      </c>
      <c r="J496" s="16" t="s">
        <v>27</v>
      </c>
      <c r="K496" s="17">
        <v>0.0</v>
      </c>
      <c r="L496" s="45"/>
      <c r="M496" s="18"/>
      <c r="N496" s="44"/>
      <c r="O496" s="44"/>
      <c r="P496" s="20">
        <v>0.0</v>
      </c>
      <c r="Q496" s="18"/>
      <c r="R496" s="18"/>
      <c r="S496" s="52"/>
      <c r="T496" s="22"/>
    </row>
    <row r="497">
      <c r="A497" s="23" t="s">
        <v>3986</v>
      </c>
      <c r="B497" s="40" t="s">
        <v>431</v>
      </c>
      <c r="C497" s="41">
        <v>45333.0</v>
      </c>
      <c r="D497" s="40" t="s">
        <v>3987</v>
      </c>
      <c r="E497" s="42" t="s">
        <v>3988</v>
      </c>
      <c r="F497" s="43" t="s">
        <v>3989</v>
      </c>
      <c r="G497" s="43" t="s">
        <v>3990</v>
      </c>
      <c r="H497" s="47" t="s">
        <v>26</v>
      </c>
      <c r="I497" s="25" t="str">
        <f>IFERROR(__xludf.DUMMYFUNCTION("GOOGLETRANSLATE(H497,""EN"",""ES"")"),"Otro")</f>
        <v>Otro</v>
      </c>
      <c r="J497" s="26" t="s">
        <v>27</v>
      </c>
      <c r="K497" s="17">
        <v>0.0</v>
      </c>
      <c r="L497" s="54"/>
      <c r="M497" s="31"/>
      <c r="N497" s="47"/>
      <c r="O497" s="47"/>
      <c r="P497" s="20">
        <v>0.0</v>
      </c>
      <c r="Q497" s="31"/>
      <c r="R497" s="31"/>
      <c r="S497" s="53"/>
      <c r="T497" s="32"/>
    </row>
    <row r="498">
      <c r="A498" s="33" t="s">
        <v>3991</v>
      </c>
      <c r="B498" s="40" t="s">
        <v>3992</v>
      </c>
      <c r="C498" s="41">
        <v>45333.0</v>
      </c>
      <c r="D498" s="40" t="s">
        <v>3993</v>
      </c>
      <c r="E498" s="42" t="s">
        <v>3994</v>
      </c>
      <c r="F498" s="43" t="s">
        <v>3995</v>
      </c>
      <c r="G498" s="43" t="s">
        <v>3996</v>
      </c>
      <c r="H498" s="44" t="s">
        <v>26</v>
      </c>
      <c r="I498" s="15" t="str">
        <f>IFERROR(__xludf.DUMMYFUNCTION("GOOGLETRANSLATE(H498,""EN"",""ES"")"),"Otro")</f>
        <v>Otro</v>
      </c>
      <c r="J498" s="16" t="s">
        <v>27</v>
      </c>
      <c r="K498" s="17">
        <v>0.0</v>
      </c>
      <c r="L498" s="45"/>
      <c r="M498" s="18"/>
      <c r="N498" s="44"/>
      <c r="O498" s="44"/>
      <c r="P498" s="20">
        <v>0.0</v>
      </c>
      <c r="Q498" s="18"/>
      <c r="R498" s="18"/>
      <c r="S498" s="52"/>
      <c r="T498" s="22"/>
    </row>
    <row r="499">
      <c r="A499" s="23" t="s">
        <v>3997</v>
      </c>
      <c r="B499" s="40" t="s">
        <v>3998</v>
      </c>
      <c r="C499" s="41">
        <v>45333.0</v>
      </c>
      <c r="D499" s="40" t="s">
        <v>3999</v>
      </c>
      <c r="E499" s="42" t="s">
        <v>4000</v>
      </c>
      <c r="F499" s="43" t="s">
        <v>4001</v>
      </c>
      <c r="G499" s="43" t="s">
        <v>4002</v>
      </c>
      <c r="H499" s="47" t="s">
        <v>1336</v>
      </c>
      <c r="I499" s="25" t="str">
        <f>IFERROR(__xludf.DUMMYFUNCTION("GOOGLETRANSLATE(H499,""EN"",""ES"")"),"Seguridad")</f>
        <v>Seguridad</v>
      </c>
      <c r="J499" s="26" t="s">
        <v>27</v>
      </c>
      <c r="K499" s="17">
        <v>0.0</v>
      </c>
      <c r="L499" s="54"/>
      <c r="M499" s="31"/>
      <c r="N499" s="47"/>
      <c r="O499" s="47"/>
      <c r="P499" s="20">
        <v>0.0</v>
      </c>
      <c r="Q499" s="31"/>
      <c r="R499" s="31"/>
      <c r="S499" s="53"/>
      <c r="T499" s="32"/>
    </row>
    <row r="500">
      <c r="A500" s="33" t="s">
        <v>4003</v>
      </c>
      <c r="B500" s="40" t="s">
        <v>499</v>
      </c>
      <c r="C500" s="41">
        <v>45334.0</v>
      </c>
      <c r="D500" s="40" t="s">
        <v>4004</v>
      </c>
      <c r="E500" s="42" t="s">
        <v>4005</v>
      </c>
      <c r="F500" s="43" t="s">
        <v>4006</v>
      </c>
      <c r="G500" s="43" t="s">
        <v>4007</v>
      </c>
      <c r="H500" s="44" t="s">
        <v>130</v>
      </c>
      <c r="I500" s="15" t="str">
        <f>IFERROR(__xludf.DUMMYFUNCTION("GOOGLETRANSLATE(H500,""EN"",""ES"")"),"Sostenibilidad")</f>
        <v>Sostenibilidad</v>
      </c>
      <c r="J500" s="16" t="s">
        <v>35</v>
      </c>
      <c r="K500" s="48">
        <v>0.7</v>
      </c>
      <c r="L500" s="51" t="s">
        <v>4008</v>
      </c>
      <c r="M500" s="34" t="s">
        <v>4009</v>
      </c>
      <c r="N500" s="44" t="s">
        <v>4010</v>
      </c>
      <c r="O500" s="44" t="str">
        <f>IFERROR(__xludf.DUMMYFUNCTION("GOOGLETRANSLATE(N500,""EN"",""ES"")"),"Ampliar los esfuerzos de reciclaje de petróleo se alinea con los objetivos de economía circular de Repsol.")</f>
        <v>Ampliar los esfuerzos de reciclaje de petróleo se alinea con los objetivos de economía circular de Repsol.</v>
      </c>
      <c r="P500" s="30">
        <v>0.8</v>
      </c>
      <c r="Q500" s="18" t="str">
        <f>IFERROR(__xludf.DUMMYFUNCTION("GOOGLETRANSLATE(R500,""ES"",""EN"")"),"collaboration, sustainable development, impulse")</f>
        <v>collaboration, sustainable development, impulse</v>
      </c>
      <c r="R500" s="34" t="s">
        <v>4011</v>
      </c>
      <c r="S500" s="52" t="s">
        <v>4012</v>
      </c>
      <c r="T500" s="22" t="s">
        <v>4013</v>
      </c>
    </row>
    <row r="501">
      <c r="A501" s="23" t="s">
        <v>4014</v>
      </c>
      <c r="B501" s="40" t="s">
        <v>339</v>
      </c>
      <c r="C501" s="41">
        <v>45334.0</v>
      </c>
      <c r="D501" s="40" t="s">
        <v>4015</v>
      </c>
      <c r="E501" s="42" t="s">
        <v>4015</v>
      </c>
      <c r="F501" s="43" t="s">
        <v>4016</v>
      </c>
      <c r="G501" s="43" t="s">
        <v>4017</v>
      </c>
      <c r="H501" s="47" t="s">
        <v>130</v>
      </c>
      <c r="I501" s="25" t="str">
        <f>IFERROR(__xludf.DUMMYFUNCTION("GOOGLETRANSLATE(H501,""EN"",""ES"")"),"Sostenibilidad")</f>
        <v>Sostenibilidad</v>
      </c>
      <c r="J501" s="26" t="s">
        <v>35</v>
      </c>
      <c r="K501" s="48">
        <v>0.7</v>
      </c>
      <c r="L501" s="49" t="s">
        <v>4018</v>
      </c>
      <c r="M501" s="28" t="s">
        <v>4019</v>
      </c>
      <c r="N501" s="47" t="s">
        <v>4020</v>
      </c>
      <c r="O501" s="47" t="str">
        <f>IFERROR(__xludf.DUMMYFUNCTION("GOOGLETRANSLATE(N501,""EN"",""ES"")"),"La colaboración en proyectos de economía circular potencia el compromiso de Repsol con la sostenibilidad ambiental.")</f>
        <v>La colaboración en proyectos de economía circular potencia el compromiso de Repsol con la sostenibilidad ambiental.</v>
      </c>
      <c r="P501" s="30">
        <v>0.8</v>
      </c>
      <c r="Q501" s="31" t="str">
        <f>IFERROR(__xludf.DUMMYFUNCTION("GOOGLETRANSLATE(R501,""ES"",""EN"")"),"collaboration, sustainable development, impulse")</f>
        <v>collaboration, sustainable development, impulse</v>
      </c>
      <c r="R501" s="28" t="s">
        <v>4011</v>
      </c>
      <c r="S501" s="53" t="s">
        <v>4012</v>
      </c>
      <c r="T501" s="32" t="s">
        <v>4013</v>
      </c>
    </row>
    <row r="502">
      <c r="A502" s="33" t="s">
        <v>4021</v>
      </c>
      <c r="B502" s="40" t="s">
        <v>1819</v>
      </c>
      <c r="C502" s="41">
        <v>45334.0</v>
      </c>
      <c r="D502" s="40" t="s">
        <v>4022</v>
      </c>
      <c r="E502" s="42" t="s">
        <v>4023</v>
      </c>
      <c r="F502" s="43" t="s">
        <v>4024</v>
      </c>
      <c r="G502" s="43" t="s">
        <v>4025</v>
      </c>
      <c r="H502" s="44" t="s">
        <v>899</v>
      </c>
      <c r="I502" s="15" t="str">
        <f>IFERROR(__xludf.DUMMYFUNCTION("GOOGLETRANSLATE(H502,""EN"",""ES"")"),"Relaciones Laborales")</f>
        <v>Relaciones Laborales</v>
      </c>
      <c r="J502" s="16" t="s">
        <v>35</v>
      </c>
      <c r="K502" s="48">
        <v>-0.6</v>
      </c>
      <c r="L502" s="51" t="s">
        <v>4026</v>
      </c>
      <c r="M502" s="34" t="s">
        <v>4027</v>
      </c>
      <c r="N502" s="44" t="s">
        <v>4028</v>
      </c>
      <c r="O502" s="44" t="str">
        <f>IFERROR(__xludf.DUMMYFUNCTION("GOOGLETRANSLATE(N502,""EN"",""ES"")"),"Las huelgas laborales en las instalaciones de Repsol pueden generar interrupciones operativas y publicidad negativa.")</f>
        <v>Las huelgas laborales en las instalaciones de Repsol pueden generar interrupciones operativas y publicidad negativa.</v>
      </c>
      <c r="P502" s="30">
        <v>-0.7</v>
      </c>
      <c r="Q502" s="18" t="str">
        <f>IFERROR(__xludf.DUMMYFUNCTION("GOOGLETRANSLATE(R502,""ES"",""EN"")"),"strike, protests, hardens stance")</f>
        <v>strike, protests, hardens stance</v>
      </c>
      <c r="R502" s="34" t="s">
        <v>4029</v>
      </c>
      <c r="S502" s="52" t="s">
        <v>4030</v>
      </c>
      <c r="T502" s="22" t="s">
        <v>4031</v>
      </c>
    </row>
    <row r="503">
      <c r="A503" s="23" t="s">
        <v>4032</v>
      </c>
      <c r="B503" s="40" t="s">
        <v>1005</v>
      </c>
      <c r="C503" s="41">
        <v>45334.0</v>
      </c>
      <c r="D503" s="40" t="s">
        <v>4033</v>
      </c>
      <c r="E503" s="42" t="s">
        <v>4034</v>
      </c>
      <c r="F503" s="43" t="s">
        <v>4035</v>
      </c>
      <c r="G503" s="43" t="s">
        <v>4036</v>
      </c>
      <c r="H503" s="47" t="s">
        <v>395</v>
      </c>
      <c r="I503" s="25" t="str">
        <f>IFERROR(__xludf.DUMMYFUNCTION("GOOGLETRANSLATE(H503,""EN"",""ES"")"),"Ambiente")</f>
        <v>Ambiente</v>
      </c>
      <c r="J503" s="26" t="s">
        <v>27</v>
      </c>
      <c r="K503" s="17">
        <v>0.0</v>
      </c>
      <c r="L503" s="54"/>
      <c r="M503" s="31"/>
      <c r="N503" s="47"/>
      <c r="O503" s="47"/>
      <c r="P503" s="20">
        <v>0.0</v>
      </c>
      <c r="Q503" s="31"/>
      <c r="R503" s="31"/>
      <c r="S503" s="53"/>
      <c r="T503" s="32"/>
    </row>
    <row r="504">
      <c r="A504" s="33" t="s">
        <v>4037</v>
      </c>
      <c r="B504" s="40" t="s">
        <v>4038</v>
      </c>
      <c r="C504" s="41">
        <v>45334.0</v>
      </c>
      <c r="D504" s="40" t="s">
        <v>4039</v>
      </c>
      <c r="E504" s="42" t="s">
        <v>4040</v>
      </c>
      <c r="F504" s="43" t="s">
        <v>4041</v>
      </c>
      <c r="G504" s="43" t="s">
        <v>4042</v>
      </c>
      <c r="H504" s="44" t="s">
        <v>395</v>
      </c>
      <c r="I504" s="15" t="str">
        <f>IFERROR(__xludf.DUMMYFUNCTION("GOOGLETRANSLATE(H504,""EN"",""ES"")"),"Ambiente")</f>
        <v>Ambiente</v>
      </c>
      <c r="J504" s="16" t="s">
        <v>27</v>
      </c>
      <c r="K504" s="17">
        <v>0.0</v>
      </c>
      <c r="L504" s="45"/>
      <c r="M504" s="18"/>
      <c r="N504" s="44"/>
      <c r="O504" s="44"/>
      <c r="P504" s="20">
        <v>0.0</v>
      </c>
      <c r="Q504" s="18"/>
      <c r="R504" s="18"/>
      <c r="S504" s="52"/>
      <c r="T504" s="22"/>
    </row>
    <row r="505">
      <c r="A505" s="23" t="s">
        <v>4043</v>
      </c>
      <c r="B505" s="40" t="s">
        <v>21</v>
      </c>
      <c r="C505" s="41">
        <v>45334.0</v>
      </c>
      <c r="D505" s="40" t="s">
        <v>4044</v>
      </c>
      <c r="E505" s="42" t="s">
        <v>4045</v>
      </c>
      <c r="F505" s="43" t="s">
        <v>4046</v>
      </c>
      <c r="G505" s="43" t="s">
        <v>4047</v>
      </c>
      <c r="H505" s="47" t="s">
        <v>148</v>
      </c>
      <c r="I505" s="25" t="str">
        <f>IFERROR(__xludf.DUMMYFUNCTION("GOOGLETRANSLATE(H505,""EN"",""ES"")"),"Gastronomía")</f>
        <v>Gastronomía</v>
      </c>
      <c r="J505" s="26" t="s">
        <v>27</v>
      </c>
      <c r="K505" s="17">
        <v>0.0</v>
      </c>
      <c r="L505" s="54"/>
      <c r="M505" s="31"/>
      <c r="N505" s="47"/>
      <c r="O505" s="47"/>
      <c r="P505" s="20">
        <v>0.0</v>
      </c>
      <c r="Q505" s="31"/>
      <c r="R505" s="31"/>
      <c r="S505" s="53"/>
      <c r="T505" s="32"/>
    </row>
    <row r="506">
      <c r="A506" s="33" t="s">
        <v>4048</v>
      </c>
      <c r="B506" s="40" t="s">
        <v>2150</v>
      </c>
      <c r="C506" s="41">
        <v>45334.0</v>
      </c>
      <c r="D506" s="40" t="s">
        <v>4049</v>
      </c>
      <c r="E506" s="42" t="s">
        <v>4050</v>
      </c>
      <c r="F506" s="43" t="s">
        <v>4051</v>
      </c>
      <c r="G506" s="43" t="s">
        <v>4052</v>
      </c>
      <c r="H506" s="44" t="s">
        <v>2447</v>
      </c>
      <c r="I506" s="15" t="str">
        <f>IFERROR(__xludf.DUMMYFUNCTION("GOOGLETRANSLATE(H506,""EN"",""ES"")"),"Asuntos del Consumidor")</f>
        <v>Asuntos del Consumidor</v>
      </c>
      <c r="J506" s="16" t="s">
        <v>27</v>
      </c>
      <c r="K506" s="17">
        <v>0.0</v>
      </c>
      <c r="L506" s="45"/>
      <c r="M506" s="18"/>
      <c r="N506" s="44"/>
      <c r="O506" s="44"/>
      <c r="P506" s="20">
        <v>0.0</v>
      </c>
      <c r="Q506" s="18"/>
      <c r="R506" s="18"/>
      <c r="S506" s="52"/>
      <c r="T506" s="22"/>
    </row>
    <row r="507">
      <c r="A507" s="23" t="s">
        <v>4053</v>
      </c>
      <c r="B507" s="40" t="s">
        <v>2165</v>
      </c>
      <c r="C507" s="41">
        <v>45334.0</v>
      </c>
      <c r="D507" s="40" t="s">
        <v>4054</v>
      </c>
      <c r="E507" s="42" t="s">
        <v>4055</v>
      </c>
      <c r="F507" s="43" t="s">
        <v>4056</v>
      </c>
      <c r="G507" s="43" t="s">
        <v>4057</v>
      </c>
      <c r="H507" s="47" t="s">
        <v>130</v>
      </c>
      <c r="I507" s="25" t="str">
        <f>IFERROR(__xludf.DUMMYFUNCTION("GOOGLETRANSLATE(H507,""EN"",""ES"")"),"Sostenibilidad")</f>
        <v>Sostenibilidad</v>
      </c>
      <c r="J507" s="26" t="s">
        <v>35</v>
      </c>
      <c r="K507" s="48">
        <v>0.7</v>
      </c>
      <c r="L507" s="49" t="s">
        <v>4058</v>
      </c>
      <c r="M507" s="28" t="s">
        <v>4059</v>
      </c>
      <c r="N507" s="47" t="s">
        <v>4060</v>
      </c>
      <c r="O507" s="47" t="str">
        <f>IFERROR(__xludf.DUMMYFUNCTION("GOOGLETRANSLATE(N507,""EN"",""ES"")"),"La ampliación de la disponibilidad de combustibles renovables respalda la estrategia de transición energética de Repsol.")</f>
        <v>La ampliación de la disponibilidad de combustibles renovables respalda la estrategia de transición energética de Repsol.</v>
      </c>
      <c r="P507" s="30">
        <v>0.4</v>
      </c>
      <c r="Q507" s="31" t="str">
        <f>IFERROR(__xludf.DUMMYFUNCTION("GOOGLETRANSLATE(R507,""ES"",""EN"")"),"renewable fuels, reduce impact")</f>
        <v>renewable fuels, reduce impact</v>
      </c>
      <c r="R507" s="28" t="s">
        <v>4061</v>
      </c>
      <c r="S507" s="53" t="s">
        <v>4062</v>
      </c>
      <c r="T507" s="32" t="s">
        <v>4063</v>
      </c>
    </row>
    <row r="508">
      <c r="A508" s="33" t="s">
        <v>4064</v>
      </c>
      <c r="B508" s="40" t="s">
        <v>4065</v>
      </c>
      <c r="C508" s="41">
        <v>45334.0</v>
      </c>
      <c r="D508" s="40" t="s">
        <v>4066</v>
      </c>
      <c r="E508" s="42" t="s">
        <v>4067</v>
      </c>
      <c r="F508" s="43" t="s">
        <v>4068</v>
      </c>
      <c r="G508" s="43" t="s">
        <v>4069</v>
      </c>
      <c r="H508" s="44" t="s">
        <v>408</v>
      </c>
      <c r="I508" s="15" t="str">
        <f>IFERROR(__xludf.DUMMYFUNCTION("GOOGLETRANSLATE(H508,""EN"",""ES"")"),"Legal")</f>
        <v>Legal</v>
      </c>
      <c r="J508" s="16" t="s">
        <v>27</v>
      </c>
      <c r="K508" s="17">
        <v>0.0</v>
      </c>
      <c r="L508" s="45"/>
      <c r="M508" s="18"/>
      <c r="N508" s="44"/>
      <c r="O508" s="44"/>
      <c r="P508" s="20">
        <v>0.0</v>
      </c>
      <c r="Q508" s="18"/>
      <c r="R508" s="18"/>
      <c r="S508" s="52"/>
      <c r="T508" s="22"/>
    </row>
    <row r="509">
      <c r="A509" s="23" t="s">
        <v>4070</v>
      </c>
      <c r="B509" s="40" t="s">
        <v>1384</v>
      </c>
      <c r="C509" s="57">
        <v>45334.0</v>
      </c>
      <c r="D509" s="40" t="s">
        <v>4071</v>
      </c>
      <c r="E509" s="42" t="s">
        <v>4072</v>
      </c>
      <c r="F509" s="43" t="s">
        <v>4073</v>
      </c>
      <c r="G509" s="43" t="s">
        <v>4074</v>
      </c>
      <c r="H509" s="47" t="s">
        <v>408</v>
      </c>
      <c r="I509" s="25" t="str">
        <f>IFERROR(__xludf.DUMMYFUNCTION("GOOGLETRANSLATE(H509,""EN"",""ES"")"),"Legal")</f>
        <v>Legal</v>
      </c>
      <c r="J509" s="26" t="s">
        <v>35</v>
      </c>
      <c r="K509" s="48">
        <v>-0.7</v>
      </c>
      <c r="L509" s="49" t="s">
        <v>4075</v>
      </c>
      <c r="M509" s="28" t="s">
        <v>4076</v>
      </c>
      <c r="N509" s="47" t="s">
        <v>4077</v>
      </c>
      <c r="O509" s="47" t="str">
        <f>IFERROR(__xludf.DUMMYFUNCTION("GOOGLETRANSLATE(N509,""EN"",""ES"")"),"Los litigios en curso por daños medioambientales siguen impactando negativamente a Repsol.")</f>
        <v>Los litigios en curso por daños medioambientales siguen impactando negativamente a Repsol.</v>
      </c>
      <c r="P509" s="30">
        <v>-0.6</v>
      </c>
      <c r="Q509" s="31" t="str">
        <f>IFERROR(__xludf.DUMMYFUNCTION("GOOGLETRANSLATE(R509,""ES"",""EN"")"),"stroke, rehabilitation, evaluation")</f>
        <v>stroke, rehabilitation, evaluation</v>
      </c>
      <c r="R509" s="28" t="s">
        <v>4078</v>
      </c>
      <c r="S509" s="53" t="s">
        <v>4079</v>
      </c>
      <c r="T509" s="32" t="s">
        <v>4080</v>
      </c>
    </row>
    <row r="510">
      <c r="A510" s="33" t="s">
        <v>4081</v>
      </c>
      <c r="B510" s="40" t="s">
        <v>977</v>
      </c>
      <c r="C510" s="41">
        <v>45334.0</v>
      </c>
      <c r="D510" s="40" t="s">
        <v>4082</v>
      </c>
      <c r="E510" s="42" t="s">
        <v>4083</v>
      </c>
      <c r="F510" s="43" t="s">
        <v>4084</v>
      </c>
      <c r="G510" s="43" t="s">
        <v>4085</v>
      </c>
      <c r="H510" s="44" t="s">
        <v>148</v>
      </c>
      <c r="I510" s="15" t="str">
        <f>IFERROR(__xludf.DUMMYFUNCTION("GOOGLETRANSLATE(H510,""EN"",""ES"")"),"Gastronomía")</f>
        <v>Gastronomía</v>
      </c>
      <c r="J510" s="16" t="s">
        <v>27</v>
      </c>
      <c r="K510" s="17">
        <v>0.0</v>
      </c>
      <c r="L510" s="45"/>
      <c r="M510" s="18"/>
      <c r="N510" s="44"/>
      <c r="O510" s="44"/>
      <c r="P510" s="20">
        <v>0.0</v>
      </c>
      <c r="Q510" s="18"/>
      <c r="R510" s="18"/>
      <c r="S510" s="52"/>
      <c r="T510" s="22"/>
    </row>
    <row r="511">
      <c r="A511" s="23" t="s">
        <v>4086</v>
      </c>
      <c r="B511" s="40" t="s">
        <v>1384</v>
      </c>
      <c r="C511" s="41">
        <v>45334.0</v>
      </c>
      <c r="D511" s="40" t="s">
        <v>4087</v>
      </c>
      <c r="E511" s="42" t="s">
        <v>4088</v>
      </c>
      <c r="F511" s="43" t="s">
        <v>4089</v>
      </c>
      <c r="G511" s="43" t="s">
        <v>4090</v>
      </c>
      <c r="H511" s="47" t="s">
        <v>408</v>
      </c>
      <c r="I511" s="25" t="str">
        <f>IFERROR(__xludf.DUMMYFUNCTION("GOOGLETRANSLATE(H511,""EN"",""ES"")"),"Legal")</f>
        <v>Legal</v>
      </c>
      <c r="J511" s="26" t="s">
        <v>35</v>
      </c>
      <c r="K511" s="48">
        <v>-0.7</v>
      </c>
      <c r="L511" s="49" t="s">
        <v>4091</v>
      </c>
      <c r="M511" s="28" t="s">
        <v>4092</v>
      </c>
      <c r="N511" s="47" t="s">
        <v>4093</v>
      </c>
      <c r="O511" s="47" t="str">
        <f>IFERROR(__xludf.DUMMYFUNCTION("GOOGLETRANSLATE(N511,""EN"",""ES"")"),"Los debates legales sobre la responsabilidad en el caso del derrame de petróleo contribuyen al sentimiento negativo.")</f>
        <v>Los debates legales sobre la responsabilidad en el caso del derrame de petróleo contribuyen al sentimiento negativo.</v>
      </c>
      <c r="P511" s="30">
        <v>-0.5</v>
      </c>
      <c r="Q511" s="31" t="str">
        <f>IFERROR(__xludf.DUMMYFUNCTION("GOOGLETRANSLATE(R511,""ES"",""EN"")"),"spill, third party managed, environmental relevance")</f>
        <v>spill, third party managed, environmental relevance</v>
      </c>
      <c r="R511" s="28" t="s">
        <v>4094</v>
      </c>
      <c r="S511" s="53" t="s">
        <v>4095</v>
      </c>
      <c r="T511" s="32" t="s">
        <v>4096</v>
      </c>
    </row>
    <row r="512">
      <c r="A512" s="33" t="s">
        <v>4097</v>
      </c>
      <c r="B512" s="40" t="s">
        <v>2672</v>
      </c>
      <c r="C512" s="41">
        <v>45335.0</v>
      </c>
      <c r="D512" s="40" t="s">
        <v>4098</v>
      </c>
      <c r="E512" s="42" t="s">
        <v>4099</v>
      </c>
      <c r="F512" s="43" t="s">
        <v>4100</v>
      </c>
      <c r="G512" s="43" t="s">
        <v>4101</v>
      </c>
      <c r="H512" s="44" t="s">
        <v>2677</v>
      </c>
      <c r="I512" s="15" t="str">
        <f>IFERROR(__xludf.DUMMYFUNCTION("GOOGLETRANSLATE(H512,""EN"",""ES"")"),"Responsabilidad Social")</f>
        <v>Responsabilidad Social</v>
      </c>
      <c r="J512" s="16" t="s">
        <v>35</v>
      </c>
      <c r="K512" s="48">
        <v>0.6</v>
      </c>
      <c r="L512" s="51" t="s">
        <v>4102</v>
      </c>
      <c r="M512" s="18" t="s">
        <v>4103</v>
      </c>
      <c r="N512" s="44" t="s">
        <v>4104</v>
      </c>
      <c r="O512" s="44" t="str">
        <f>IFERROR(__xludf.DUMMYFUNCTION("GOOGLETRANSLATE(N512,""EN"",""ES"")"),"El apoyo a iniciativas educativas mejora la imagen de responsabilidad social corporativa de Repsol.")</f>
        <v>El apoyo a iniciativas educativas mejora la imagen de responsabilidad social corporativa de Repsol.</v>
      </c>
      <c r="P512" s="30">
        <v>0.9</v>
      </c>
      <c r="Q512" s="18" t="str">
        <f>IFERROR(__xludf.DUMMYFUNCTION("GOOGLETRANSLATE(R512,""ES"",""EN"")"),"education, STEM women, commitment")</f>
        <v>education, STEM women, commitment</v>
      </c>
      <c r="R512" s="34" t="s">
        <v>4105</v>
      </c>
      <c r="S512" s="52" t="s">
        <v>4106</v>
      </c>
      <c r="T512" s="22" t="s">
        <v>4107</v>
      </c>
    </row>
    <row r="513">
      <c r="A513" s="23" t="s">
        <v>4108</v>
      </c>
      <c r="B513" s="40" t="s">
        <v>4109</v>
      </c>
      <c r="C513" s="41">
        <v>45335.0</v>
      </c>
      <c r="D513" s="40" t="s">
        <v>4110</v>
      </c>
      <c r="E513" s="42" t="s">
        <v>4111</v>
      </c>
      <c r="F513" s="43" t="s">
        <v>4112</v>
      </c>
      <c r="G513" s="43" t="s">
        <v>4111</v>
      </c>
      <c r="H513" s="47" t="s">
        <v>55</v>
      </c>
      <c r="I513" s="25" t="str">
        <f>IFERROR(__xludf.DUMMYFUNCTION("GOOGLETRANSLATE(H513,""EN"",""ES"")"),"deportes de motor")</f>
        <v>deportes de motor</v>
      </c>
      <c r="J513" s="26" t="s">
        <v>27</v>
      </c>
      <c r="K513" s="17">
        <v>0.0</v>
      </c>
      <c r="L513" s="54"/>
      <c r="M513" s="31"/>
      <c r="N513" s="47"/>
      <c r="O513" s="47"/>
      <c r="P513" s="20">
        <v>0.0</v>
      </c>
      <c r="Q513" s="31"/>
      <c r="R513" s="31"/>
      <c r="S513" s="53"/>
      <c r="T513" s="32"/>
    </row>
    <row r="514">
      <c r="A514" s="33" t="s">
        <v>4113</v>
      </c>
      <c r="B514" s="40" t="s">
        <v>163</v>
      </c>
      <c r="C514" s="41">
        <v>45335.0</v>
      </c>
      <c r="D514" s="40" t="s">
        <v>4114</v>
      </c>
      <c r="E514" s="42" t="s">
        <v>4115</v>
      </c>
      <c r="F514" s="43" t="s">
        <v>4116</v>
      </c>
      <c r="G514" s="43" t="s">
        <v>4117</v>
      </c>
      <c r="H514" s="44" t="s">
        <v>55</v>
      </c>
      <c r="I514" s="15" t="str">
        <f>IFERROR(__xludf.DUMMYFUNCTION("GOOGLETRANSLATE(H514,""EN"",""ES"")"),"deportes de motor")</f>
        <v>deportes de motor</v>
      </c>
      <c r="J514" s="16" t="s">
        <v>35</v>
      </c>
      <c r="K514" s="48">
        <v>0.0</v>
      </c>
      <c r="L514" s="45"/>
      <c r="M514" s="18"/>
      <c r="N514" s="44" t="s">
        <v>1630</v>
      </c>
      <c r="O514" s="44" t="str">
        <f>IFERROR(__xludf.DUMMYFUNCTION("GOOGLETRANSLATE(N514,""EN"",""ES"")"),"Las presentaciones de los equipos no impactan en la reputación corporativa de Repsol.")</f>
        <v>Las presentaciones de los equipos no impactan en la reputación corporativa de Repsol.</v>
      </c>
      <c r="P514" s="30">
        <v>0.7</v>
      </c>
      <c r="Q514" s="18" t="str">
        <f>IFERROR(__xludf.DUMMYFUNCTION("GOOGLETRANSLATE(R514,""ES"",""EN"")"),"renewable fuels, great event")</f>
        <v>renewable fuels, great event</v>
      </c>
      <c r="R514" s="34" t="s">
        <v>4118</v>
      </c>
      <c r="S514" s="52" t="s">
        <v>4119</v>
      </c>
      <c r="T514" s="22" t="s">
        <v>4120</v>
      </c>
    </row>
    <row r="515">
      <c r="A515" s="23" t="s">
        <v>4121</v>
      </c>
      <c r="B515" s="40" t="s">
        <v>1005</v>
      </c>
      <c r="C515" s="41">
        <v>45335.0</v>
      </c>
      <c r="D515" s="40" t="s">
        <v>4122</v>
      </c>
      <c r="E515" s="42" t="s">
        <v>4123</v>
      </c>
      <c r="F515" s="43" t="s">
        <v>4124</v>
      </c>
      <c r="G515" s="43" t="s">
        <v>4125</v>
      </c>
      <c r="H515" s="47" t="s">
        <v>899</v>
      </c>
      <c r="I515" s="25" t="str">
        <f>IFERROR(__xludf.DUMMYFUNCTION("GOOGLETRANSLATE(H515,""EN"",""ES"")"),"Relaciones Laborales")</f>
        <v>Relaciones Laborales</v>
      </c>
      <c r="J515" s="26" t="s">
        <v>35</v>
      </c>
      <c r="K515" s="48">
        <v>-0.6</v>
      </c>
      <c r="L515" s="49" t="s">
        <v>4126</v>
      </c>
      <c r="M515" s="28" t="s">
        <v>4127</v>
      </c>
      <c r="N515" s="47" t="s">
        <v>4128</v>
      </c>
      <c r="O515" s="47" t="str">
        <f>IFERROR(__xludf.DUMMYFUNCTION("GOOGLETRANSLATE(N515,""EN"",""ES"")"),"Los despidos en instalaciones clave pueden crear un sentimiento negativo sobre las prácticas laborales de Repsol.")</f>
        <v>Los despidos en instalaciones clave pueden crear un sentimiento negativo sobre las prácticas laborales de Repsol.</v>
      </c>
      <c r="P515" s="30">
        <v>-0.8</v>
      </c>
      <c r="Q515" s="31" t="str">
        <f>IFERROR(__xludf.DUMMYFUNCTION("GOOGLETRANSLATE(R515,""ES"",""EN"")"),"workplace harassment, dismissal, sanction")</f>
        <v>workplace harassment, dismissal, sanction</v>
      </c>
      <c r="R515" s="28" t="s">
        <v>4129</v>
      </c>
      <c r="S515" s="53" t="s">
        <v>4130</v>
      </c>
      <c r="T515" s="32" t="s">
        <v>4131</v>
      </c>
    </row>
    <row r="516">
      <c r="A516" s="33" t="s">
        <v>4132</v>
      </c>
      <c r="B516" s="40" t="s">
        <v>50</v>
      </c>
      <c r="C516" s="41">
        <v>45335.0</v>
      </c>
      <c r="D516" s="40" t="s">
        <v>4133</v>
      </c>
      <c r="E516" s="42" t="s">
        <v>4134</v>
      </c>
      <c r="F516" s="43" t="s">
        <v>4135</v>
      </c>
      <c r="G516" s="43" t="s">
        <v>4136</v>
      </c>
      <c r="H516" s="44" t="s">
        <v>55</v>
      </c>
      <c r="I516" s="15" t="str">
        <f>IFERROR(__xludf.DUMMYFUNCTION("GOOGLETRANSLATE(H516,""EN"",""ES"")"),"deportes de motor")</f>
        <v>deportes de motor</v>
      </c>
      <c r="J516" s="16" t="s">
        <v>35</v>
      </c>
      <c r="K516" s="48">
        <v>0.0</v>
      </c>
      <c r="L516" s="45"/>
      <c r="M516" s="18"/>
      <c r="N516" s="44" t="s">
        <v>4137</v>
      </c>
      <c r="O516" s="44" t="str">
        <f>IFERROR(__xludf.DUMMYFUNCTION("GOOGLETRANSLATE(N516,""EN"",""ES"")"),"Los lanzamientos de motos del equipo no afectan a la percepción corporativa de Repsol.")</f>
        <v>Los lanzamientos de motos del equipo no afectan a la percepción corporativa de Repsol.</v>
      </c>
      <c r="P516" s="30">
        <v>0.6</v>
      </c>
      <c r="Q516" s="18" t="str">
        <f>IFERROR(__xludf.DUMMYFUNCTION("GOOGLETRANSLATE(R516,""ES"",""EN"")"),"new motorcycle, presentation")</f>
        <v>new motorcycle, presentation</v>
      </c>
      <c r="R516" s="34" t="s">
        <v>4138</v>
      </c>
      <c r="S516" s="52" t="s">
        <v>4139</v>
      </c>
      <c r="T516" s="22" t="s">
        <v>4140</v>
      </c>
    </row>
    <row r="517">
      <c r="A517" s="23" t="s">
        <v>4141</v>
      </c>
      <c r="B517" s="40" t="s">
        <v>103</v>
      </c>
      <c r="C517" s="41">
        <v>45335.0</v>
      </c>
      <c r="D517" s="40" t="s">
        <v>4142</v>
      </c>
      <c r="E517" s="42" t="s">
        <v>4143</v>
      </c>
      <c r="F517" s="43" t="s">
        <v>4144</v>
      </c>
      <c r="G517" s="43" t="s">
        <v>4145</v>
      </c>
      <c r="H517" s="47" t="s">
        <v>3953</v>
      </c>
      <c r="I517" s="25" t="str">
        <f>IFERROR(__xludf.DUMMYFUNCTION("GOOGLETRANSLATE(H517,""EN"",""ES"")"),"Transición Energética")</f>
        <v>Transición Energética</v>
      </c>
      <c r="J517" s="26" t="s">
        <v>35</v>
      </c>
      <c r="K517" s="48">
        <v>0.0</v>
      </c>
      <c r="L517" s="54"/>
      <c r="M517" s="31"/>
      <c r="N517" s="47" t="s">
        <v>4146</v>
      </c>
      <c r="O517" s="47" t="str">
        <f>IFERROR(__xludf.DUMMYFUNCTION("GOOGLETRANSLATE(N517,""EN"",""ES"")"),"El debate general sobre las transiciones energéticas no impacta directamente en Repsol.")</f>
        <v>El debate general sobre las transiciones energéticas no impacta directamente en Repsol.</v>
      </c>
      <c r="P517" s="30">
        <v>-0.4</v>
      </c>
      <c r="Q517" s="31" t="str">
        <f>IFERROR(__xludf.DUMMYFUNCTION("GOOGLETRANSLATE(R517,""ES"",""EN"")"),"battle, energy crisis, limits")</f>
        <v>battle, energy crisis, limits</v>
      </c>
      <c r="R517" s="28" t="s">
        <v>4147</v>
      </c>
      <c r="S517" s="53" t="s">
        <v>4148</v>
      </c>
      <c r="T517" s="32" t="s">
        <v>4149</v>
      </c>
    </row>
    <row r="518">
      <c r="A518" s="33" t="s">
        <v>4150</v>
      </c>
      <c r="B518" s="40" t="s">
        <v>4151</v>
      </c>
      <c r="C518" s="41">
        <v>45335.0</v>
      </c>
      <c r="D518" s="40" t="s">
        <v>4152</v>
      </c>
      <c r="E518" s="42" t="s">
        <v>4153</v>
      </c>
      <c r="F518" s="43" t="s">
        <v>4154</v>
      </c>
      <c r="G518" s="43" t="s">
        <v>4155</v>
      </c>
      <c r="H518" s="44" t="s">
        <v>55</v>
      </c>
      <c r="I518" s="15" t="str">
        <f>IFERROR(__xludf.DUMMYFUNCTION("GOOGLETRANSLATE(H518,""EN"",""ES"")"),"deportes de motor")</f>
        <v>deportes de motor</v>
      </c>
      <c r="J518" s="16" t="s">
        <v>27</v>
      </c>
      <c r="K518" s="17">
        <v>0.0</v>
      </c>
      <c r="L518" s="45"/>
      <c r="M518" s="18"/>
      <c r="N518" s="44"/>
      <c r="O518" s="44"/>
      <c r="P518" s="20">
        <v>0.0</v>
      </c>
      <c r="Q518" s="18"/>
      <c r="R518" s="18"/>
      <c r="S518" s="52"/>
      <c r="T518" s="22"/>
    </row>
    <row r="519">
      <c r="A519" s="23" t="s">
        <v>4156</v>
      </c>
      <c r="B519" s="40" t="s">
        <v>4157</v>
      </c>
      <c r="C519" s="41">
        <v>45335.0</v>
      </c>
      <c r="D519" s="40" t="s">
        <v>4158</v>
      </c>
      <c r="E519" s="42" t="s">
        <v>4159</v>
      </c>
      <c r="F519" s="43" t="s">
        <v>4160</v>
      </c>
      <c r="G519" s="43" t="s">
        <v>4161</v>
      </c>
      <c r="H519" s="47" t="s">
        <v>55</v>
      </c>
      <c r="I519" s="25" t="str">
        <f>IFERROR(__xludf.DUMMYFUNCTION("GOOGLETRANSLATE(H519,""EN"",""ES"")"),"deportes de motor")</f>
        <v>deportes de motor</v>
      </c>
      <c r="J519" s="26" t="s">
        <v>35</v>
      </c>
      <c r="K519" s="48">
        <v>0.0</v>
      </c>
      <c r="L519" s="54"/>
      <c r="M519" s="31"/>
      <c r="N519" s="47" t="s">
        <v>4162</v>
      </c>
      <c r="O519" s="47" t="str">
        <f>IFERROR(__xludf.DUMMYFUNCTION("GOOGLETRANSLATE(N519,""EN"",""ES"")"),"Los rediseños de motocicletas no impactan en la imagen corporativa de Repsol.")</f>
        <v>Los rediseños de motocicletas no impactan en la imagen corporativa de Repsol.</v>
      </c>
      <c r="P519" s="30">
        <v>0.7</v>
      </c>
      <c r="Q519" s="31" t="str">
        <f>IFERROR(__xludf.DUMMYFUNCTION("GOOGLETRANSLATE(R519,""ES"",""EN"")"),"radical changes, renewable fuel")</f>
        <v>radical changes, renewable fuel</v>
      </c>
      <c r="R519" s="28" t="s">
        <v>4163</v>
      </c>
      <c r="S519" s="53" t="s">
        <v>4164</v>
      </c>
      <c r="T519" s="32" t="s">
        <v>4165</v>
      </c>
    </row>
    <row r="520">
      <c r="A520" s="33" t="s">
        <v>4166</v>
      </c>
      <c r="B520" s="40" t="s">
        <v>4167</v>
      </c>
      <c r="C520" s="41">
        <v>45335.0</v>
      </c>
      <c r="D520" s="40" t="s">
        <v>4168</v>
      </c>
      <c r="E520" s="42" t="s">
        <v>4169</v>
      </c>
      <c r="F520" s="43" t="s">
        <v>4170</v>
      </c>
      <c r="G520" s="43" t="s">
        <v>4171</v>
      </c>
      <c r="H520" s="44" t="s">
        <v>2447</v>
      </c>
      <c r="I520" s="15" t="str">
        <f>IFERROR(__xludf.DUMMYFUNCTION("GOOGLETRANSLATE(H520,""EN"",""ES"")"),"Asuntos del Consumidor")</f>
        <v>Asuntos del Consumidor</v>
      </c>
      <c r="J520" s="16" t="s">
        <v>27</v>
      </c>
      <c r="K520" s="17">
        <v>0.0</v>
      </c>
      <c r="L520" s="45"/>
      <c r="M520" s="18"/>
      <c r="N520" s="44"/>
      <c r="O520" s="44"/>
      <c r="P520" s="20">
        <v>0.0</v>
      </c>
      <c r="Q520" s="18"/>
      <c r="R520" s="18"/>
      <c r="S520" s="52"/>
      <c r="T520" s="22"/>
    </row>
    <row r="521">
      <c r="A521" s="23" t="s">
        <v>4172</v>
      </c>
      <c r="B521" s="40" t="s">
        <v>3479</v>
      </c>
      <c r="C521" s="41">
        <v>45335.0</v>
      </c>
      <c r="D521" s="40" t="s">
        <v>4173</v>
      </c>
      <c r="E521" s="42" t="s">
        <v>4174</v>
      </c>
      <c r="F521" s="43" t="s">
        <v>4175</v>
      </c>
      <c r="G521" s="43" t="s">
        <v>4176</v>
      </c>
      <c r="H521" s="47" t="s">
        <v>55</v>
      </c>
      <c r="I521" s="25" t="str">
        <f>IFERROR(__xludf.DUMMYFUNCTION("GOOGLETRANSLATE(H521,""EN"",""ES"")"),"deportes de motor")</f>
        <v>deportes de motor</v>
      </c>
      <c r="J521" s="26" t="s">
        <v>35</v>
      </c>
      <c r="K521" s="48">
        <v>0.0</v>
      </c>
      <c r="L521" s="54"/>
      <c r="M521" s="31"/>
      <c r="N521" s="47" t="s">
        <v>1630</v>
      </c>
      <c r="O521" s="47" t="str">
        <f>IFERROR(__xludf.DUMMYFUNCTION("GOOGLETRANSLATE(N521,""EN"",""ES"")"),"Las presentaciones de los equipos no impactan en la reputación corporativa de Repsol.")</f>
        <v>Las presentaciones de los equipos no impactan en la reputación corporativa de Repsol.</v>
      </c>
      <c r="P521" s="30">
        <v>0.6</v>
      </c>
      <c r="Q521" s="31" t="str">
        <f>IFERROR(__xludf.DUMMYFUNCTION("GOOGLETRANSLATE(R521,""ES"",""EN"")"),"new colors, presentation")</f>
        <v>new colors, presentation</v>
      </c>
      <c r="R521" s="28" t="s">
        <v>4177</v>
      </c>
      <c r="S521" s="53" t="s">
        <v>4139</v>
      </c>
      <c r="T521" s="32" t="s">
        <v>4140</v>
      </c>
    </row>
    <row r="522">
      <c r="A522" s="33" t="s">
        <v>4178</v>
      </c>
      <c r="B522" s="40" t="s">
        <v>2515</v>
      </c>
      <c r="C522" s="41">
        <v>45335.0</v>
      </c>
      <c r="D522" s="40" t="s">
        <v>4179</v>
      </c>
      <c r="E522" s="42" t="s">
        <v>4180</v>
      </c>
      <c r="F522" s="43" t="s">
        <v>4181</v>
      </c>
      <c r="G522" s="43" t="s">
        <v>4182</v>
      </c>
      <c r="H522" s="44" t="s">
        <v>598</v>
      </c>
      <c r="I522" s="15" t="str">
        <f>IFERROR(__xludf.DUMMYFUNCTION("GOOGLETRANSLATE(H522,""EN"",""ES"")"),"Expansión empresarial")</f>
        <v>Expansión empresarial</v>
      </c>
      <c r="J522" s="16" t="s">
        <v>35</v>
      </c>
      <c r="K522" s="48">
        <v>0.6</v>
      </c>
      <c r="L522" s="51" t="s">
        <v>4183</v>
      </c>
      <c r="M522" s="34" t="s">
        <v>4184</v>
      </c>
      <c r="N522" s="44" t="s">
        <v>4185</v>
      </c>
      <c r="O522" s="44" t="str">
        <f>IFERROR(__xludf.DUMMYFUNCTION("GOOGLETRANSLATE(N522,""EN"",""ES"")"),"La ampliación de la infraestructura de carga eléctrica se alinea con la estrategia de transición energética de Repsol.")</f>
        <v>La ampliación de la infraestructura de carga eléctrica se alinea con la estrategia de transición energética de Repsol.</v>
      </c>
      <c r="P522" s="30">
        <v>0.7</v>
      </c>
      <c r="Q522" s="18" t="str">
        <f>IFERROR(__xludf.DUMMYFUNCTION("GOOGLETRANSLATE(R522,""ES"",""EN"")"),"electric mobility, purchase, expansion")</f>
        <v>electric mobility, purchase, expansion</v>
      </c>
      <c r="R522" s="34" t="s">
        <v>4186</v>
      </c>
      <c r="S522" s="52" t="s">
        <v>4187</v>
      </c>
      <c r="T522" s="22" t="s">
        <v>4188</v>
      </c>
    </row>
    <row r="523">
      <c r="A523" s="23" t="s">
        <v>4189</v>
      </c>
      <c r="B523" s="40" t="s">
        <v>4190</v>
      </c>
      <c r="C523" s="41">
        <v>45335.0</v>
      </c>
      <c r="D523" s="40" t="s">
        <v>4191</v>
      </c>
      <c r="E523" s="42" t="s">
        <v>4192</v>
      </c>
      <c r="F523" s="43" t="s">
        <v>4193</v>
      </c>
      <c r="G523" s="43" t="s">
        <v>4194</v>
      </c>
      <c r="H523" s="47" t="s">
        <v>55</v>
      </c>
      <c r="I523" s="25" t="str">
        <f>IFERROR(__xludf.DUMMYFUNCTION("GOOGLETRANSLATE(H523,""EN"",""ES"")"),"deportes de motor")</f>
        <v>deportes de motor</v>
      </c>
      <c r="J523" s="26" t="s">
        <v>35</v>
      </c>
      <c r="K523" s="48">
        <v>0.0</v>
      </c>
      <c r="L523" s="54"/>
      <c r="M523" s="31"/>
      <c r="N523" s="47" t="s">
        <v>4195</v>
      </c>
      <c r="O523" s="47" t="str">
        <f>IFERROR(__xludf.DUMMYFUNCTION("GOOGLETRANSLATE(N523,""EN"",""ES"")"),"Los cambios en la alineación de pilotos no afectan al negocio de Repsol.")</f>
        <v>Los cambios en la alineación de pilotos no afectan al negocio de Repsol.</v>
      </c>
      <c r="P523" s="30">
        <v>0.5</v>
      </c>
      <c r="Q523" s="31" t="str">
        <f>IFERROR(__xludf.DUMMYFUNCTION("GOOGLETRANSLATE(R523,""ES"",""EN"")"),"new era, Mir and Marini")</f>
        <v>new era, Mir and Marini</v>
      </c>
      <c r="R523" s="28" t="s">
        <v>4196</v>
      </c>
      <c r="S523" s="53" t="s">
        <v>4197</v>
      </c>
      <c r="T523" s="32" t="s">
        <v>4198</v>
      </c>
    </row>
    <row r="524">
      <c r="A524" s="33" t="s">
        <v>4199</v>
      </c>
      <c r="B524" s="40" t="s">
        <v>1178</v>
      </c>
      <c r="C524" s="41">
        <v>45335.0</v>
      </c>
      <c r="D524" s="40" t="s">
        <v>4200</v>
      </c>
      <c r="E524" s="42" t="s">
        <v>4201</v>
      </c>
      <c r="F524" s="43" t="s">
        <v>4202</v>
      </c>
      <c r="G524" s="43" t="s">
        <v>4203</v>
      </c>
      <c r="H524" s="44" t="s">
        <v>55</v>
      </c>
      <c r="I524" s="15" t="str">
        <f>IFERROR(__xludf.DUMMYFUNCTION("GOOGLETRANSLATE(H524,""EN"",""ES"")"),"deportes de motor")</f>
        <v>deportes de motor</v>
      </c>
      <c r="J524" s="16" t="s">
        <v>35</v>
      </c>
      <c r="K524" s="48">
        <v>0.0</v>
      </c>
      <c r="L524" s="45"/>
      <c r="M524" s="18"/>
      <c r="N524" s="44" t="s">
        <v>4204</v>
      </c>
      <c r="O524" s="44" t="str">
        <f>IFERROR(__xludf.DUMMYFUNCTION("GOOGLETRANSLATE(N524,""EN"",""ES"")"),"Los diseños de motos del equipo no impactan en la reputación corporativa de Repsol.")</f>
        <v>Los diseños de motos del equipo no impactan en la reputación corporativa de Repsol.</v>
      </c>
      <c r="P524" s="30">
        <v>0.6</v>
      </c>
      <c r="Q524" s="18" t="str">
        <f>IFERROR(__xludf.DUMMYFUNCTION("GOOGLETRANSLATE(R524,""ES"",""EN"")"),"decoration, new season")</f>
        <v>decoration, new season</v>
      </c>
      <c r="R524" s="34" t="s">
        <v>4205</v>
      </c>
      <c r="S524" s="52" t="s">
        <v>4139</v>
      </c>
      <c r="T524" s="22" t="s">
        <v>4140</v>
      </c>
    </row>
    <row r="525">
      <c r="A525" s="23" t="s">
        <v>4206</v>
      </c>
      <c r="B525" s="40" t="s">
        <v>43</v>
      </c>
      <c r="C525" s="41">
        <v>45335.0</v>
      </c>
      <c r="D525" s="40" t="s">
        <v>4207</v>
      </c>
      <c r="E525" s="42" t="s">
        <v>4208</v>
      </c>
      <c r="F525" s="43" t="s">
        <v>4209</v>
      </c>
      <c r="G525" s="43" t="s">
        <v>4210</v>
      </c>
      <c r="H525" s="47" t="s">
        <v>55</v>
      </c>
      <c r="I525" s="25" t="str">
        <f>IFERROR(__xludf.DUMMYFUNCTION("GOOGLETRANSLATE(H525,""EN"",""ES"")"),"deportes de motor")</f>
        <v>deportes de motor</v>
      </c>
      <c r="J525" s="26" t="s">
        <v>35</v>
      </c>
      <c r="K525" s="48">
        <v>0.0</v>
      </c>
      <c r="L525" s="54"/>
      <c r="M525" s="31"/>
      <c r="N525" s="47" t="s">
        <v>4211</v>
      </c>
      <c r="O525" s="47" t="str">
        <f>IFERROR(__xludf.DUMMYFUNCTION("GOOGLETRANSLATE(N525,""EN"",""ES"")"),"Las actualizaciones de diseño en competición no afectan al negocio de Repsol.")</f>
        <v>Las actualizaciones de diseño en competición no afectan al negocio de Repsol.</v>
      </c>
      <c r="P525" s="30">
        <v>0.5</v>
      </c>
      <c r="Q525" s="31" t="str">
        <f>IFERROR(__xludf.DUMMYFUNCTION("GOOGLETRANSLATE(R525,""ES"",""EN"")"),"new stage, radical change")</f>
        <v>new stage, radical change</v>
      </c>
      <c r="R525" s="28" t="s">
        <v>4212</v>
      </c>
      <c r="S525" s="53" t="s">
        <v>4197</v>
      </c>
      <c r="T525" s="32" t="s">
        <v>4198</v>
      </c>
    </row>
    <row r="526">
      <c r="A526" s="33" t="s">
        <v>4213</v>
      </c>
      <c r="B526" s="40" t="s">
        <v>50</v>
      </c>
      <c r="C526" s="41">
        <v>45335.0</v>
      </c>
      <c r="D526" s="40" t="s">
        <v>4214</v>
      </c>
      <c r="E526" s="42" t="s">
        <v>4215</v>
      </c>
      <c r="F526" s="43" t="s">
        <v>4216</v>
      </c>
      <c r="G526" s="43" t="s">
        <v>4217</v>
      </c>
      <c r="H526" s="44" t="s">
        <v>55</v>
      </c>
      <c r="I526" s="15" t="str">
        <f>IFERROR(__xludf.DUMMYFUNCTION("GOOGLETRANSLATE(H526,""EN"",""ES"")"),"deportes de motor")</f>
        <v>deportes de motor</v>
      </c>
      <c r="J526" s="16" t="s">
        <v>35</v>
      </c>
      <c r="K526" s="48">
        <v>0.0</v>
      </c>
      <c r="L526" s="45"/>
      <c r="M526" s="18"/>
      <c r="N526" s="44" t="s">
        <v>4218</v>
      </c>
      <c r="O526" s="44" t="str">
        <f>IFERROR(__xludf.DUMMYFUNCTION("GOOGLETRANSLATE(N526,""EN"",""ES"")"),"Los rediseños de motocicletas no impactan en la percepción corporativa de Repsol.")</f>
        <v>Los rediseños de motocicletas no impactan en la percepción corporativa de Repsol.</v>
      </c>
      <c r="P526" s="30">
        <v>0.6</v>
      </c>
      <c r="Q526" s="18" t="str">
        <f>IFERROR(__xludf.DUMMYFUNCTION("GOOGLETRANSLATE(R526,""ES"",""EN"")"),"new design, renewed aesthetics")</f>
        <v>new design, renewed aesthetics</v>
      </c>
      <c r="R526" s="34" t="s">
        <v>4219</v>
      </c>
      <c r="S526" s="52" t="s">
        <v>4220</v>
      </c>
      <c r="T526" s="22" t="s">
        <v>4221</v>
      </c>
    </row>
    <row r="527">
      <c r="A527" s="23" t="s">
        <v>4222</v>
      </c>
      <c r="B527" s="40" t="s">
        <v>3428</v>
      </c>
      <c r="C527" s="41">
        <v>45335.0</v>
      </c>
      <c r="D527" s="40" t="s">
        <v>4223</v>
      </c>
      <c r="E527" s="42" t="s">
        <v>4224</v>
      </c>
      <c r="F527" s="43" t="s">
        <v>4225</v>
      </c>
      <c r="G527" s="43" t="s">
        <v>4226</v>
      </c>
      <c r="H527" s="47" t="s">
        <v>55</v>
      </c>
      <c r="I527" s="25" t="str">
        <f>IFERROR(__xludf.DUMMYFUNCTION("GOOGLETRANSLATE(H527,""EN"",""ES"")"),"deportes de motor")</f>
        <v>deportes de motor</v>
      </c>
      <c r="J527" s="26" t="s">
        <v>35</v>
      </c>
      <c r="K527" s="48">
        <v>0.0</v>
      </c>
      <c r="L527" s="54"/>
      <c r="M527" s="31"/>
      <c r="N527" s="47" t="s">
        <v>4227</v>
      </c>
      <c r="O527" s="47" t="str">
        <f>IFERROR(__xludf.DUMMYFUNCTION("GOOGLETRANSLATE(N527,""EN"",""ES"")"),"Las actualizaciones de la marca del equipo no impactan en el negocio de Repsol.")</f>
        <v>Las actualizaciones de la marca del equipo no impactan en el negocio de Repsol.</v>
      </c>
      <c r="P527" s="30">
        <v>0.7</v>
      </c>
      <c r="Q527" s="31" t="str">
        <f>IFERROR(__xludf.DUMMYFUNCTION("GOOGLETRANSLATE(R527,""ES"",""EN"")"),"new design, 30 years of collaboration")</f>
        <v>new design, 30 years of collaboration</v>
      </c>
      <c r="R527" s="28" t="s">
        <v>4228</v>
      </c>
      <c r="S527" s="53" t="s">
        <v>4229</v>
      </c>
      <c r="T527" s="32" t="s">
        <v>4230</v>
      </c>
    </row>
    <row r="528">
      <c r="A528" s="33" t="s">
        <v>4231</v>
      </c>
      <c r="B528" s="40" t="s">
        <v>513</v>
      </c>
      <c r="C528" s="41">
        <v>45335.0</v>
      </c>
      <c r="D528" s="40" t="s">
        <v>4232</v>
      </c>
      <c r="E528" s="42" t="s">
        <v>4233</v>
      </c>
      <c r="F528" s="43" t="s">
        <v>4234</v>
      </c>
      <c r="G528" s="43" t="s">
        <v>4235</v>
      </c>
      <c r="H528" s="44" t="s">
        <v>55</v>
      </c>
      <c r="I528" s="15" t="str">
        <f>IFERROR(__xludf.DUMMYFUNCTION("GOOGLETRANSLATE(H528,""EN"",""ES"")"),"deportes de motor")</f>
        <v>deportes de motor</v>
      </c>
      <c r="J528" s="16" t="s">
        <v>27</v>
      </c>
      <c r="K528" s="17">
        <v>0.0</v>
      </c>
      <c r="L528" s="45"/>
      <c r="M528" s="18"/>
      <c r="N528" s="44"/>
      <c r="O528" s="44"/>
      <c r="P528" s="20">
        <v>0.0</v>
      </c>
      <c r="Q528" s="18"/>
      <c r="R528" s="18"/>
      <c r="S528" s="52"/>
      <c r="T528" s="22"/>
    </row>
    <row r="529">
      <c r="A529" s="23" t="s">
        <v>4236</v>
      </c>
      <c r="B529" s="40" t="s">
        <v>614</v>
      </c>
      <c r="C529" s="41">
        <v>45335.0</v>
      </c>
      <c r="D529" s="40" t="s">
        <v>4237</v>
      </c>
      <c r="E529" s="42" t="s">
        <v>4238</v>
      </c>
      <c r="F529" s="43" t="s">
        <v>4239</v>
      </c>
      <c r="G529" s="43" t="s">
        <v>4240</v>
      </c>
      <c r="H529" s="47" t="s">
        <v>55</v>
      </c>
      <c r="I529" s="25" t="str">
        <f>IFERROR(__xludf.DUMMYFUNCTION("GOOGLETRANSLATE(H529,""EN"",""ES"")"),"deportes de motor")</f>
        <v>deportes de motor</v>
      </c>
      <c r="J529" s="26" t="s">
        <v>35</v>
      </c>
      <c r="K529" s="48">
        <v>0.0</v>
      </c>
      <c r="L529" s="54"/>
      <c r="M529" s="31"/>
      <c r="N529" s="47" t="s">
        <v>4241</v>
      </c>
      <c r="O529" s="47" t="str">
        <f>IFERROR(__xludf.DUMMYFUNCTION("GOOGLETRANSLATE(N529,""EN"",""ES"")"),"Las actualizaciones de los equipos de automovilismo no impactan en el negocio de Repsol.")</f>
        <v>Las actualizaciones de los equipos de automovilismo no impactan en el negocio de Repsol.</v>
      </c>
      <c r="P529" s="30">
        <v>0.5</v>
      </c>
      <c r="Q529" s="31" t="str">
        <f>IFERROR(__xludf.DUMMYFUNCTION("GOOGLETRANSLATE(R529,""ES"",""EN"")"),"transformation, return to the top")</f>
        <v>transformation, return to the top</v>
      </c>
      <c r="R529" s="28" t="s">
        <v>4242</v>
      </c>
      <c r="S529" s="53" t="s">
        <v>4243</v>
      </c>
      <c r="T529" s="32" t="s">
        <v>4244</v>
      </c>
    </row>
    <row r="530">
      <c r="A530" s="33" t="s">
        <v>4245</v>
      </c>
      <c r="B530" s="40" t="s">
        <v>1178</v>
      </c>
      <c r="C530" s="41">
        <v>45335.0</v>
      </c>
      <c r="D530" s="40" t="s">
        <v>4246</v>
      </c>
      <c r="E530" s="42" t="s">
        <v>4246</v>
      </c>
      <c r="F530" s="43" t="s">
        <v>4247</v>
      </c>
      <c r="G530" s="43" t="s">
        <v>4247</v>
      </c>
      <c r="H530" s="44" t="s">
        <v>55</v>
      </c>
      <c r="I530" s="15" t="str">
        <f>IFERROR(__xludf.DUMMYFUNCTION("GOOGLETRANSLATE(H530,""EN"",""ES"")"),"deportes de motor")</f>
        <v>deportes de motor</v>
      </c>
      <c r="J530" s="16" t="s">
        <v>35</v>
      </c>
      <c r="K530" s="48">
        <v>0.0</v>
      </c>
      <c r="L530" s="45"/>
      <c r="M530" s="18"/>
      <c r="N530" s="44" t="s">
        <v>4248</v>
      </c>
      <c r="O530" s="44" t="str">
        <f>IFERROR(__xludf.DUMMYFUNCTION("GOOGLETRANSLATE(N530,""EN"",""ES"")"),"Las actualizaciones en el diseño de los equipos no impactan en la percepción corporativa de Repsol.")</f>
        <v>Las actualizaciones en el diseño de los equipos no impactan en la percepción corporativa de Repsol.</v>
      </c>
      <c r="P530" s="30">
        <v>-0.3</v>
      </c>
      <c r="Q530" s="18" t="str">
        <f>IFERROR(__xludf.DUMMYFUNCTION("GOOGLETRANSLATE(R530,""ES"",""EN"")"),"radical change, loses presence")</f>
        <v>radical change, loses presence</v>
      </c>
      <c r="R530" s="34" t="s">
        <v>4249</v>
      </c>
      <c r="S530" s="52" t="s">
        <v>4250</v>
      </c>
      <c r="T530" s="22" t="s">
        <v>4251</v>
      </c>
    </row>
    <row r="531">
      <c r="A531" s="23" t="s">
        <v>4252</v>
      </c>
      <c r="B531" s="40" t="s">
        <v>3992</v>
      </c>
      <c r="C531" s="41">
        <v>45335.0</v>
      </c>
      <c r="D531" s="40" t="s">
        <v>4253</v>
      </c>
      <c r="E531" s="42" t="s">
        <v>4254</v>
      </c>
      <c r="F531" s="43" t="s">
        <v>4255</v>
      </c>
      <c r="G531" s="43" t="s">
        <v>4256</v>
      </c>
      <c r="H531" s="47" t="s">
        <v>55</v>
      </c>
      <c r="I531" s="25" t="str">
        <f>IFERROR(__xludf.DUMMYFUNCTION("GOOGLETRANSLATE(H531,""EN"",""ES"")"),"deportes de motor")</f>
        <v>deportes de motor</v>
      </c>
      <c r="J531" s="26" t="s">
        <v>35</v>
      </c>
      <c r="K531" s="48">
        <v>0.0</v>
      </c>
      <c r="L531" s="54"/>
      <c r="M531" s="31"/>
      <c r="N531" s="47" t="s">
        <v>4257</v>
      </c>
      <c r="O531" s="47" t="str">
        <f>IFERROR(__xludf.DUMMYFUNCTION("GOOGLETRANSLATE(N531,""EN"",""ES"")"),"Las discusiones sobre estrategia en el deporte del motor no impactan el negocio de Repsol.")</f>
        <v>Las discusiones sobre estrategia en el deporte del motor no impactan el negocio de Repsol.</v>
      </c>
      <c r="P531" s="30">
        <v>0.5</v>
      </c>
      <c r="Q531" s="31" t="str">
        <f>IFERROR(__xludf.DUMMYFUNCTION("GOOGLETRANSLATE(R531,""ES"",""EN"")"),"recovery, we do not think about Márquez")</f>
        <v>recovery, we do not think about Márquez</v>
      </c>
      <c r="R531" s="28" t="s">
        <v>4258</v>
      </c>
      <c r="S531" s="53" t="s">
        <v>4259</v>
      </c>
      <c r="T531" s="32" t="s">
        <v>4260</v>
      </c>
    </row>
    <row r="532">
      <c r="A532" s="33" t="s">
        <v>4261</v>
      </c>
      <c r="B532" s="40" t="s">
        <v>374</v>
      </c>
      <c r="C532" s="41">
        <v>45335.0</v>
      </c>
      <c r="D532" s="40" t="s">
        <v>4262</v>
      </c>
      <c r="E532" s="42" t="s">
        <v>4263</v>
      </c>
      <c r="F532" s="43" t="s">
        <v>4264</v>
      </c>
      <c r="G532" s="43" t="s">
        <v>4265</v>
      </c>
      <c r="H532" s="44" t="s">
        <v>55</v>
      </c>
      <c r="I532" s="15" t="str">
        <f>IFERROR(__xludf.DUMMYFUNCTION("GOOGLETRANSLATE(H532,""EN"",""ES"")"),"deportes de motor")</f>
        <v>deportes de motor</v>
      </c>
      <c r="J532" s="16" t="s">
        <v>35</v>
      </c>
      <c r="K532" s="48">
        <v>0.0</v>
      </c>
      <c r="L532" s="45"/>
      <c r="M532" s="18"/>
      <c r="N532" s="44" t="s">
        <v>4266</v>
      </c>
      <c r="O532" s="44" t="str">
        <f>IFERROR(__xludf.DUMMYFUNCTION("GOOGLETRANSLATE(N532,""EN"",""ES"")"),"Los cambios en la decoración del equipo no afectan al negocio de Repsol.")</f>
        <v>Los cambios en la decoración del equipo no afectan al negocio de Repsol.</v>
      </c>
      <c r="P532" s="30">
        <v>0.5</v>
      </c>
      <c r="Q532" s="18" t="str">
        <f>IFERROR(__xludf.DUMMYFUNCTION("GOOGLETRANSLATE(R532,""ES"",""EN"")"),"post-Márquez decoration, changes")</f>
        <v>post-Márquez decoration, changes</v>
      </c>
      <c r="R532" s="34" t="s">
        <v>4267</v>
      </c>
      <c r="S532" s="52" t="s">
        <v>4268</v>
      </c>
      <c r="T532" s="22" t="s">
        <v>4269</v>
      </c>
    </row>
    <row r="533">
      <c r="A533" s="23" t="s">
        <v>4270</v>
      </c>
      <c r="B533" s="40" t="s">
        <v>85</v>
      </c>
      <c r="C533" s="41">
        <v>45335.0</v>
      </c>
      <c r="D533" s="40" t="s">
        <v>4271</v>
      </c>
      <c r="E533" s="42" t="s">
        <v>4272</v>
      </c>
      <c r="F533" s="43" t="s">
        <v>4273</v>
      </c>
      <c r="G533" s="43" t="s">
        <v>4274</v>
      </c>
      <c r="H533" s="47" t="s">
        <v>55</v>
      </c>
      <c r="I533" s="25" t="str">
        <f>IFERROR(__xludf.DUMMYFUNCTION("GOOGLETRANSLATE(H533,""EN"",""ES"")"),"deportes de motor")</f>
        <v>deportes de motor</v>
      </c>
      <c r="J533" s="26" t="s">
        <v>27</v>
      </c>
      <c r="K533" s="17">
        <v>0.0</v>
      </c>
      <c r="L533" s="54"/>
      <c r="M533" s="31"/>
      <c r="N533" s="47"/>
      <c r="O533" s="47"/>
      <c r="P533" s="20">
        <v>0.0</v>
      </c>
      <c r="Q533" s="31"/>
      <c r="R533" s="31"/>
      <c r="S533" s="53"/>
      <c r="T533" s="32"/>
    </row>
    <row r="534">
      <c r="A534" s="33" t="s">
        <v>4275</v>
      </c>
      <c r="B534" s="40" t="s">
        <v>4151</v>
      </c>
      <c r="C534" s="41">
        <v>45335.0</v>
      </c>
      <c r="D534" s="40" t="s">
        <v>4276</v>
      </c>
      <c r="E534" s="42" t="s">
        <v>4277</v>
      </c>
      <c r="F534" s="43" t="s">
        <v>4278</v>
      </c>
      <c r="G534" s="43" t="s">
        <v>4279</v>
      </c>
      <c r="H534" s="44" t="s">
        <v>55</v>
      </c>
      <c r="I534" s="15" t="str">
        <f>IFERROR(__xludf.DUMMYFUNCTION("GOOGLETRANSLATE(H534,""EN"",""ES"")"),"deportes de motor")</f>
        <v>deportes de motor</v>
      </c>
      <c r="J534" s="16" t="s">
        <v>35</v>
      </c>
      <c r="K534" s="48">
        <v>0.0</v>
      </c>
      <c r="L534" s="45"/>
      <c r="M534" s="18"/>
      <c r="N534" s="44" t="s">
        <v>4280</v>
      </c>
      <c r="O534" s="44" t="str">
        <f>IFERROR(__xludf.DUMMYFUNCTION("GOOGLETRANSLATE(N534,""EN"",""ES"")"),"Las transiciones de pasajeros no impactan en la percepción corporativa de Repsol.")</f>
        <v>Las transiciones de pasajeros no impactan en la percepción corporativa de Repsol.</v>
      </c>
      <c r="P534" s="30">
        <v>0.5</v>
      </c>
      <c r="Q534" s="18" t="str">
        <f>IFERROR(__xludf.DUMMYFUNCTION("GOOGLETRANSLATE(R534,""ES"",""EN"")"),"forget Márquez, new season")</f>
        <v>forget Márquez, new season</v>
      </c>
      <c r="R534" s="34" t="s">
        <v>4281</v>
      </c>
      <c r="S534" s="52" t="s">
        <v>4197</v>
      </c>
      <c r="T534" s="22" t="s">
        <v>4198</v>
      </c>
    </row>
    <row r="535">
      <c r="A535" s="23" t="s">
        <v>4282</v>
      </c>
      <c r="B535" s="40" t="s">
        <v>4283</v>
      </c>
      <c r="C535" s="41">
        <v>45335.0</v>
      </c>
      <c r="D535" s="40" t="s">
        <v>4284</v>
      </c>
      <c r="E535" s="42" t="s">
        <v>4285</v>
      </c>
      <c r="F535" s="43" t="s">
        <v>4286</v>
      </c>
      <c r="G535" s="43" t="s">
        <v>4287</v>
      </c>
      <c r="H535" s="47" t="s">
        <v>55</v>
      </c>
      <c r="I535" s="25" t="str">
        <f>IFERROR(__xludf.DUMMYFUNCTION("GOOGLETRANSLATE(H535,""EN"",""ES"")"),"deportes de motor")</f>
        <v>deportes de motor</v>
      </c>
      <c r="J535" s="26" t="s">
        <v>35</v>
      </c>
      <c r="K535" s="48">
        <v>0.0</v>
      </c>
      <c r="L535" s="54"/>
      <c r="M535" s="31"/>
      <c r="N535" s="47" t="s">
        <v>4288</v>
      </c>
      <c r="O535" s="47" t="str">
        <f>IFERROR(__xludf.DUMMYFUNCTION("GOOGLETRANSLATE(N535,""EN"",""ES"")"),"Las actualizaciones de la gama de pasajeros no afectan a la reputación corporativa de Repsol.")</f>
        <v>Las actualizaciones de la gama de pasajeros no afectan a la reputación corporativa de Repsol.</v>
      </c>
      <c r="P535" s="30">
        <v>0.6</v>
      </c>
      <c r="Q535" s="31" t="str">
        <f>IFERROR(__xludf.DUMMYFUNCTION("GOOGLETRANSLATE(R535,""ES"",""EN"")"),"post-Márquez era, groundbreaking design")</f>
        <v>post-Márquez era, groundbreaking design</v>
      </c>
      <c r="R535" s="28" t="s">
        <v>4289</v>
      </c>
      <c r="S535" s="53" t="s">
        <v>4290</v>
      </c>
      <c r="T535" s="32" t="s">
        <v>4291</v>
      </c>
    </row>
    <row r="536">
      <c r="A536" s="33" t="s">
        <v>4292</v>
      </c>
      <c r="B536" s="40" t="s">
        <v>4293</v>
      </c>
      <c r="C536" s="41">
        <v>45335.0</v>
      </c>
      <c r="D536" s="40" t="s">
        <v>4294</v>
      </c>
      <c r="E536" s="42" t="s">
        <v>4295</v>
      </c>
      <c r="F536" s="43" t="s">
        <v>4296</v>
      </c>
      <c r="G536" s="43" t="s">
        <v>4297</v>
      </c>
      <c r="H536" s="44" t="s">
        <v>55</v>
      </c>
      <c r="I536" s="15" t="str">
        <f>IFERROR(__xludf.DUMMYFUNCTION("GOOGLETRANSLATE(H536,""EN"",""ES"")"),"deportes de motor")</f>
        <v>deportes de motor</v>
      </c>
      <c r="J536" s="16" t="s">
        <v>27</v>
      </c>
      <c r="K536" s="17">
        <v>0.0</v>
      </c>
      <c r="L536" s="45"/>
      <c r="M536" s="18"/>
      <c r="N536" s="44"/>
      <c r="O536" s="44"/>
      <c r="P536" s="20">
        <v>0.0</v>
      </c>
      <c r="Q536" s="18"/>
      <c r="R536" s="18"/>
      <c r="S536" s="52"/>
      <c r="T536" s="22"/>
    </row>
    <row r="537">
      <c r="A537" s="23" t="s">
        <v>4298</v>
      </c>
      <c r="B537" s="40" t="s">
        <v>4299</v>
      </c>
      <c r="C537" s="41">
        <v>45335.0</v>
      </c>
      <c r="D537" s="40" t="s">
        <v>4300</v>
      </c>
      <c r="E537" s="42" t="s">
        <v>4301</v>
      </c>
      <c r="F537" s="43" t="s">
        <v>4302</v>
      </c>
      <c r="G537" s="43" t="s">
        <v>4303</v>
      </c>
      <c r="H537" s="47" t="s">
        <v>55</v>
      </c>
      <c r="I537" s="25" t="str">
        <f>IFERROR(__xludf.DUMMYFUNCTION("GOOGLETRANSLATE(H537,""EN"",""ES"")"),"deportes de motor")</f>
        <v>deportes de motor</v>
      </c>
      <c r="J537" s="26" t="s">
        <v>35</v>
      </c>
      <c r="K537" s="48">
        <v>0.0</v>
      </c>
      <c r="L537" s="54"/>
      <c r="M537" s="31"/>
      <c r="N537" s="47" t="s">
        <v>4304</v>
      </c>
      <c r="O537" s="47" t="str">
        <f>IFERROR(__xludf.DUMMYFUNCTION("GOOGLETRANSLATE(N537,""EN"",""ES"")"),"Los cambios en el diseño de las motocicletas no afectan a la percepción corporativa de Repsol.")</f>
        <v>Los cambios en el diseño de las motocicletas no afectan a la percepción corporativa de Repsol.</v>
      </c>
      <c r="P537" s="30">
        <v>0.6</v>
      </c>
      <c r="Q537" s="31" t="str">
        <f>IFERROR(__xludf.DUMMYFUNCTION("GOOGLETRANSLATE(R537,""ES"",""EN"")"),"groundbreaking design, surprising")</f>
        <v>groundbreaking design, surprising</v>
      </c>
      <c r="R537" s="28" t="s">
        <v>4305</v>
      </c>
      <c r="S537" s="53" t="s">
        <v>4220</v>
      </c>
      <c r="T537" s="32" t="s">
        <v>4221</v>
      </c>
    </row>
    <row r="538">
      <c r="A538" s="33" t="s">
        <v>4306</v>
      </c>
      <c r="B538" s="40" t="s">
        <v>374</v>
      </c>
      <c r="C538" s="41">
        <v>45335.0</v>
      </c>
      <c r="D538" s="40" t="s">
        <v>4307</v>
      </c>
      <c r="E538" s="42" t="s">
        <v>4308</v>
      </c>
      <c r="F538" s="43" t="s">
        <v>4309</v>
      </c>
      <c r="G538" s="43" t="s">
        <v>4310</v>
      </c>
      <c r="H538" s="44" t="s">
        <v>55</v>
      </c>
      <c r="I538" s="15" t="str">
        <f>IFERROR(__xludf.DUMMYFUNCTION("GOOGLETRANSLATE(H538,""EN"",""ES"")"),"deportes de motor")</f>
        <v>deportes de motor</v>
      </c>
      <c r="J538" s="16" t="s">
        <v>27</v>
      </c>
      <c r="K538" s="17">
        <v>0.0</v>
      </c>
      <c r="L538" s="45"/>
      <c r="M538" s="18"/>
      <c r="N538" s="44"/>
      <c r="O538" s="44"/>
      <c r="P538" s="20">
        <v>0.0</v>
      </c>
      <c r="Q538" s="18"/>
      <c r="R538" s="18"/>
      <c r="S538" s="52"/>
      <c r="T538" s="22"/>
    </row>
    <row r="539">
      <c r="A539" s="23" t="s">
        <v>4311</v>
      </c>
      <c r="B539" s="40" t="s">
        <v>374</v>
      </c>
      <c r="C539" s="41">
        <v>45335.0</v>
      </c>
      <c r="D539" s="40" t="s">
        <v>4312</v>
      </c>
      <c r="E539" s="42" t="s">
        <v>4313</v>
      </c>
      <c r="F539" s="43" t="s">
        <v>4314</v>
      </c>
      <c r="G539" s="43" t="s">
        <v>4315</v>
      </c>
      <c r="H539" s="47" t="s">
        <v>55</v>
      </c>
      <c r="I539" s="25" t="str">
        <f>IFERROR(__xludf.DUMMYFUNCTION("GOOGLETRANSLATE(H539,""EN"",""ES"")"),"deportes de motor")</f>
        <v>deportes de motor</v>
      </c>
      <c r="J539" s="26" t="s">
        <v>27</v>
      </c>
      <c r="K539" s="17">
        <v>0.0</v>
      </c>
      <c r="L539" s="54"/>
      <c r="M539" s="31"/>
      <c r="N539" s="47"/>
      <c r="O539" s="47"/>
      <c r="P539" s="20">
        <v>0.0</v>
      </c>
      <c r="Q539" s="31"/>
      <c r="R539" s="31"/>
      <c r="S539" s="53"/>
      <c r="T539" s="32"/>
    </row>
    <row r="540">
      <c r="A540" s="33" t="s">
        <v>4316</v>
      </c>
      <c r="B540" s="40" t="s">
        <v>4317</v>
      </c>
      <c r="C540" s="41">
        <v>45335.0</v>
      </c>
      <c r="D540" s="40" t="s">
        <v>4318</v>
      </c>
      <c r="E540" s="42" t="s">
        <v>4319</v>
      </c>
      <c r="F540" s="43" t="s">
        <v>4320</v>
      </c>
      <c r="G540" s="43" t="s">
        <v>4321</v>
      </c>
      <c r="H540" s="44" t="s">
        <v>55</v>
      </c>
      <c r="I540" s="15" t="str">
        <f>IFERROR(__xludf.DUMMYFUNCTION("GOOGLETRANSLATE(H540,""EN"",""ES"")"),"deportes de motor")</f>
        <v>deportes de motor</v>
      </c>
      <c r="J540" s="16" t="s">
        <v>35</v>
      </c>
      <c r="K540" s="48">
        <v>0.0</v>
      </c>
      <c r="L540" s="45"/>
      <c r="M540" s="18"/>
      <c r="N540" s="44" t="s">
        <v>4227</v>
      </c>
      <c r="O540" s="44" t="str">
        <f>IFERROR(__xludf.DUMMYFUNCTION("GOOGLETRANSLATE(N540,""EN"",""ES"")"),"Las actualizaciones de la marca del equipo no impactan en el negocio de Repsol.")</f>
        <v>Las actualizaciones de la marca del equipo no impactan en el negocio de Repsol.</v>
      </c>
      <c r="P540" s="30">
        <v>0.5</v>
      </c>
      <c r="Q540" s="18" t="str">
        <f>IFERROR(__xludf.DUMMYFUNCTION("GOOGLETRANSLATE(R540,""ES"",""EN"")"),"breaks with the past, orange color disappears")</f>
        <v>breaks with the past, orange color disappears</v>
      </c>
      <c r="R540" s="34" t="s">
        <v>4322</v>
      </c>
      <c r="S540" s="52" t="s">
        <v>4268</v>
      </c>
      <c r="T540" s="22" t="s">
        <v>4269</v>
      </c>
    </row>
    <row r="541">
      <c r="A541" s="23" t="s">
        <v>4323</v>
      </c>
      <c r="B541" s="40" t="s">
        <v>374</v>
      </c>
      <c r="C541" s="41">
        <v>45335.0</v>
      </c>
      <c r="D541" s="40" t="s">
        <v>4324</v>
      </c>
      <c r="E541" s="42" t="s">
        <v>4325</v>
      </c>
      <c r="F541" s="43" t="s">
        <v>4326</v>
      </c>
      <c r="G541" s="43" t="s">
        <v>4327</v>
      </c>
      <c r="H541" s="47" t="s">
        <v>55</v>
      </c>
      <c r="I541" s="25" t="str">
        <f>IFERROR(__xludf.DUMMYFUNCTION("GOOGLETRANSLATE(H541,""EN"",""ES"")"),"deportes de motor")</f>
        <v>deportes de motor</v>
      </c>
      <c r="J541" s="26" t="s">
        <v>27</v>
      </c>
      <c r="K541" s="17">
        <v>0.0</v>
      </c>
      <c r="L541" s="54"/>
      <c r="M541" s="31"/>
      <c r="N541" s="47"/>
      <c r="O541" s="47"/>
      <c r="P541" s="20">
        <v>0.0</v>
      </c>
      <c r="Q541" s="31"/>
      <c r="R541" s="31"/>
      <c r="S541" s="53"/>
      <c r="T541" s="32"/>
    </row>
    <row r="542">
      <c r="A542" s="33" t="s">
        <v>4328</v>
      </c>
      <c r="B542" s="40" t="s">
        <v>4283</v>
      </c>
      <c r="C542" s="41">
        <v>45335.0</v>
      </c>
      <c r="D542" s="40" t="s">
        <v>4329</v>
      </c>
      <c r="E542" s="42" t="s">
        <v>4330</v>
      </c>
      <c r="F542" s="43" t="s">
        <v>4331</v>
      </c>
      <c r="G542" s="43" t="s">
        <v>4332</v>
      </c>
      <c r="H542" s="44" t="s">
        <v>55</v>
      </c>
      <c r="I542" s="15" t="str">
        <f>IFERROR(__xludf.DUMMYFUNCTION("GOOGLETRANSLATE(H542,""EN"",""ES"")"),"deportes de motor")</f>
        <v>deportes de motor</v>
      </c>
      <c r="J542" s="16" t="s">
        <v>27</v>
      </c>
      <c r="K542" s="17">
        <v>0.0</v>
      </c>
      <c r="L542" s="45"/>
      <c r="M542" s="18"/>
      <c r="N542" s="44"/>
      <c r="O542" s="44"/>
      <c r="P542" s="20">
        <v>0.0</v>
      </c>
      <c r="Q542" s="18"/>
      <c r="R542" s="18"/>
      <c r="S542" s="52"/>
      <c r="T542" s="22"/>
    </row>
    <row r="543">
      <c r="A543" s="23" t="s">
        <v>4333</v>
      </c>
      <c r="B543" s="40" t="s">
        <v>4334</v>
      </c>
      <c r="C543" s="41">
        <v>45335.0</v>
      </c>
      <c r="D543" s="40" t="s">
        <v>4335</v>
      </c>
      <c r="E543" s="42" t="s">
        <v>4336</v>
      </c>
      <c r="F543" s="43" t="s">
        <v>4337</v>
      </c>
      <c r="G543" s="43" t="s">
        <v>4338</v>
      </c>
      <c r="H543" s="47" t="s">
        <v>55</v>
      </c>
      <c r="I543" s="25" t="str">
        <f>IFERROR(__xludf.DUMMYFUNCTION("GOOGLETRANSLATE(H543,""EN"",""ES"")"),"deportes de motor")</f>
        <v>deportes de motor</v>
      </c>
      <c r="J543" s="26" t="s">
        <v>27</v>
      </c>
      <c r="K543" s="17">
        <v>0.0</v>
      </c>
      <c r="L543" s="54"/>
      <c r="M543" s="31"/>
      <c r="N543" s="47"/>
      <c r="O543" s="47"/>
      <c r="P543" s="20">
        <v>0.0</v>
      </c>
      <c r="Q543" s="31"/>
      <c r="R543" s="31"/>
      <c r="S543" s="53"/>
      <c r="T543" s="32"/>
    </row>
    <row r="544">
      <c r="A544" s="33" t="s">
        <v>4339</v>
      </c>
      <c r="B544" s="40" t="s">
        <v>4340</v>
      </c>
      <c r="C544" s="41">
        <v>45335.0</v>
      </c>
      <c r="D544" s="40" t="s">
        <v>4341</v>
      </c>
      <c r="E544" s="42" t="s">
        <v>4342</v>
      </c>
      <c r="F544" s="43" t="s">
        <v>4343</v>
      </c>
      <c r="G544" s="43" t="s">
        <v>4344</v>
      </c>
      <c r="H544" s="44" t="s">
        <v>55</v>
      </c>
      <c r="I544" s="15" t="str">
        <f>IFERROR(__xludf.DUMMYFUNCTION("GOOGLETRANSLATE(H544,""EN"",""ES"")"),"deportes de motor")</f>
        <v>deportes de motor</v>
      </c>
      <c r="J544" s="16" t="s">
        <v>35</v>
      </c>
      <c r="K544" s="48">
        <v>0.0</v>
      </c>
      <c r="L544" s="45"/>
      <c r="M544" s="18"/>
      <c r="N544" s="44" t="s">
        <v>4227</v>
      </c>
      <c r="O544" s="44" t="str">
        <f>IFERROR(__xludf.DUMMYFUNCTION("GOOGLETRANSLATE(N544,""EN"",""ES"")"),"Las actualizaciones de la marca del equipo no impactan en el negocio de Repsol.")</f>
        <v>Las actualizaciones de la marca del equipo no impactan en el negocio de Repsol.</v>
      </c>
      <c r="P544" s="30">
        <v>0.6</v>
      </c>
      <c r="Q544" s="18" t="str">
        <f>IFERROR(__xludf.DUMMYFUNCTION("GOOGLETRANSLATE(R544,""ES"",""EN"")"),"post-Márquez era, radical change")</f>
        <v>post-Márquez era, radical change</v>
      </c>
      <c r="R544" s="34" t="s">
        <v>4345</v>
      </c>
      <c r="S544" s="52" t="s">
        <v>4290</v>
      </c>
      <c r="T544" s="22" t="s">
        <v>4291</v>
      </c>
    </row>
    <row r="545">
      <c r="A545" s="23" t="s">
        <v>4346</v>
      </c>
      <c r="B545" s="40" t="s">
        <v>68</v>
      </c>
      <c r="C545" s="41">
        <v>45335.0</v>
      </c>
      <c r="D545" s="40" t="s">
        <v>4347</v>
      </c>
      <c r="E545" s="42" t="s">
        <v>4348</v>
      </c>
      <c r="F545" s="43" t="s">
        <v>4349</v>
      </c>
      <c r="G545" s="43" t="s">
        <v>4350</v>
      </c>
      <c r="H545" s="47" t="s">
        <v>55</v>
      </c>
      <c r="I545" s="25" t="str">
        <f>IFERROR(__xludf.DUMMYFUNCTION("GOOGLETRANSLATE(H545,""EN"",""ES"")"),"deportes de motor")</f>
        <v>deportes de motor</v>
      </c>
      <c r="J545" s="26" t="s">
        <v>27</v>
      </c>
      <c r="K545" s="17">
        <v>0.0</v>
      </c>
      <c r="L545" s="54"/>
      <c r="M545" s="31"/>
      <c r="N545" s="47"/>
      <c r="O545" s="47"/>
      <c r="P545" s="20">
        <v>0.0</v>
      </c>
      <c r="Q545" s="31"/>
      <c r="R545" s="31"/>
      <c r="S545" s="53"/>
      <c r="T545" s="32"/>
    </row>
    <row r="546">
      <c r="A546" s="33" t="s">
        <v>4351</v>
      </c>
      <c r="B546" s="40" t="s">
        <v>1869</v>
      </c>
      <c r="C546" s="41">
        <v>45335.0</v>
      </c>
      <c r="D546" s="40" t="s">
        <v>4352</v>
      </c>
      <c r="E546" s="42" t="s">
        <v>4353</v>
      </c>
      <c r="F546" s="43" t="s">
        <v>4354</v>
      </c>
      <c r="G546" s="43" t="s">
        <v>4355</v>
      </c>
      <c r="H546" s="44" t="s">
        <v>55</v>
      </c>
      <c r="I546" s="15" t="str">
        <f>IFERROR(__xludf.DUMMYFUNCTION("GOOGLETRANSLATE(H546,""EN"",""ES"")"),"deportes de motor")</f>
        <v>deportes de motor</v>
      </c>
      <c r="J546" s="16" t="s">
        <v>35</v>
      </c>
      <c r="K546" s="48">
        <v>0.0</v>
      </c>
      <c r="L546" s="45"/>
      <c r="M546" s="18"/>
      <c r="N546" s="44" t="s">
        <v>4356</v>
      </c>
      <c r="O546" s="44" t="str">
        <f>IFERROR(__xludf.DUMMYFUNCTION("GOOGLETRANSLATE(N546,""EN"",""ES"")"),"Los cambios en los equipos de automovilismo no afectan al negocio de Repsol.")</f>
        <v>Los cambios en los equipos de automovilismo no afectan al negocio de Repsol.</v>
      </c>
      <c r="P546" s="30">
        <v>0.6</v>
      </c>
      <c r="Q546" s="18" t="str">
        <f>IFERROR(__xludf.DUMMYFUNCTION("GOOGLETRANSLATE(R546,""ES"",""EN"")"),"revolution, change of decoration")</f>
        <v>revolution, change of decoration</v>
      </c>
      <c r="R546" s="34" t="s">
        <v>4357</v>
      </c>
      <c r="S546" s="52" t="s">
        <v>4220</v>
      </c>
      <c r="T546" s="22" t="s">
        <v>4221</v>
      </c>
    </row>
    <row r="547">
      <c r="A547" s="23" t="s">
        <v>4358</v>
      </c>
      <c r="B547" s="40" t="s">
        <v>4359</v>
      </c>
      <c r="C547" s="41">
        <v>45335.0</v>
      </c>
      <c r="D547" s="40" t="s">
        <v>4360</v>
      </c>
      <c r="E547" s="42" t="s">
        <v>4361</v>
      </c>
      <c r="F547" s="43" t="s">
        <v>4362</v>
      </c>
      <c r="G547" s="43" t="s">
        <v>4363</v>
      </c>
      <c r="H547" s="47" t="s">
        <v>55</v>
      </c>
      <c r="I547" s="25" t="str">
        <f>IFERROR(__xludf.DUMMYFUNCTION("GOOGLETRANSLATE(H547,""EN"",""ES"")"),"deportes de motor")</f>
        <v>deportes de motor</v>
      </c>
      <c r="J547" s="26" t="s">
        <v>35</v>
      </c>
      <c r="K547" s="48">
        <v>0.0</v>
      </c>
      <c r="L547" s="54"/>
      <c r="M547" s="31"/>
      <c r="N547" s="47" t="s">
        <v>4364</v>
      </c>
      <c r="O547" s="47" t="str">
        <f>IFERROR(__xludf.DUMMYFUNCTION("GOOGLETRANSLATE(N547,""EN"",""ES"")"),"Las actualizaciones en el diseño de las motocicletas no impactan en la percepción corporativa de Repsol.")</f>
        <v>Las actualizaciones en el diseño de las motocicletas no impactan en la percepción corporativa de Repsol.</v>
      </c>
      <c r="P547" s="30">
        <v>0.6</v>
      </c>
      <c r="Q547" s="31" t="str">
        <f>IFERROR(__xludf.DUMMYFUNCTION("GOOGLETRANSLATE(R547,""ES"",""EN"")"),"team colors, new livery")</f>
        <v>team colors, new livery</v>
      </c>
      <c r="R547" s="28" t="s">
        <v>4365</v>
      </c>
      <c r="S547" s="53" t="s">
        <v>4366</v>
      </c>
      <c r="T547" s="32" t="s">
        <v>4367</v>
      </c>
    </row>
    <row r="548">
      <c r="A548" s="33" t="s">
        <v>4368</v>
      </c>
      <c r="B548" s="40" t="s">
        <v>4369</v>
      </c>
      <c r="C548" s="41">
        <v>45335.0</v>
      </c>
      <c r="D548" s="40" t="s">
        <v>4370</v>
      </c>
      <c r="E548" s="42" t="s">
        <v>4371</v>
      </c>
      <c r="F548" s="43" t="s">
        <v>4372</v>
      </c>
      <c r="G548" s="43" t="s">
        <v>4373</v>
      </c>
      <c r="H548" s="44" t="s">
        <v>55</v>
      </c>
      <c r="I548" s="15" t="str">
        <f>IFERROR(__xludf.DUMMYFUNCTION("GOOGLETRANSLATE(H548,""EN"",""ES"")"),"deportes de motor")</f>
        <v>deportes de motor</v>
      </c>
      <c r="J548" s="16" t="s">
        <v>35</v>
      </c>
      <c r="K548" s="48">
        <v>0.0</v>
      </c>
      <c r="L548" s="45"/>
      <c r="M548" s="18"/>
      <c r="N548" s="44" t="s">
        <v>4374</v>
      </c>
      <c r="O548" s="44" t="str">
        <f>IFERROR(__xludf.DUMMYFUNCTION("GOOGLETRANSLATE(N548,""EN"",""ES"")"),"Las presentaciones de los equipos no impactan en el negocio de Repsol.")</f>
        <v>Las presentaciones de los equipos no impactan en el negocio de Repsol.</v>
      </c>
      <c r="P548" s="30">
        <v>0.5</v>
      </c>
      <c r="Q548" s="18" t="str">
        <f>IFERROR(__xludf.DUMMYFUNCTION("GOOGLETRANSLATE(R548,""ES"",""EN"")"),"presentation, orange disappears")</f>
        <v>presentation, orange disappears</v>
      </c>
      <c r="R548" s="34" t="s">
        <v>4375</v>
      </c>
      <c r="S548" s="52" t="s">
        <v>4376</v>
      </c>
      <c r="T548" s="22" t="s">
        <v>4377</v>
      </c>
    </row>
    <row r="549">
      <c r="A549" s="23" t="s">
        <v>4378</v>
      </c>
      <c r="B549" s="40" t="s">
        <v>163</v>
      </c>
      <c r="C549" s="41">
        <v>45336.0</v>
      </c>
      <c r="D549" s="40" t="s">
        <v>4379</v>
      </c>
      <c r="E549" s="42" t="s">
        <v>4380</v>
      </c>
      <c r="F549" s="43" t="s">
        <v>4381</v>
      </c>
      <c r="G549" s="43" t="s">
        <v>4382</v>
      </c>
      <c r="H549" s="47" t="s">
        <v>1914</v>
      </c>
      <c r="I549" s="25" t="str">
        <f>IFERROR(__xludf.DUMMYFUNCTION("GOOGLETRANSLATE(H549,""EN"",""ES"")"),"Política energética")</f>
        <v>Política energética</v>
      </c>
      <c r="J549" s="26" t="s">
        <v>27</v>
      </c>
      <c r="K549" s="17">
        <v>0.0</v>
      </c>
      <c r="L549" s="54"/>
      <c r="M549" s="31"/>
      <c r="N549" s="47"/>
      <c r="O549" s="47"/>
      <c r="P549" s="20">
        <v>0.0</v>
      </c>
      <c r="Q549" s="31"/>
      <c r="R549" s="31"/>
      <c r="S549" s="53"/>
      <c r="T549" s="32"/>
    </row>
    <row r="550">
      <c r="A550" s="33" t="s">
        <v>4383</v>
      </c>
      <c r="B550" s="40" t="s">
        <v>339</v>
      </c>
      <c r="C550" s="41">
        <v>45336.0</v>
      </c>
      <c r="D550" s="40" t="s">
        <v>4384</v>
      </c>
      <c r="E550" s="42" t="s">
        <v>4385</v>
      </c>
      <c r="F550" s="43" t="s">
        <v>4386</v>
      </c>
      <c r="G550" s="43" t="s">
        <v>4387</v>
      </c>
      <c r="H550" s="44" t="s">
        <v>130</v>
      </c>
      <c r="I550" s="15" t="str">
        <f>IFERROR(__xludf.DUMMYFUNCTION("GOOGLETRANSLATE(H550,""EN"",""ES"")"),"Sostenibilidad")</f>
        <v>Sostenibilidad</v>
      </c>
      <c r="J550" s="16" t="s">
        <v>35</v>
      </c>
      <c r="K550" s="48">
        <v>0.7</v>
      </c>
      <c r="L550" s="51" t="s">
        <v>4388</v>
      </c>
      <c r="M550" s="34" t="s">
        <v>4389</v>
      </c>
      <c r="N550" s="44" t="s">
        <v>4390</v>
      </c>
      <c r="O550" s="44" t="str">
        <f>IFERROR(__xludf.DUMMYFUNCTION("GOOGLETRANSLATE(N550,""EN"",""ES"")"),"Destacar los combustibles renovables en los patrocinios refuerza el esfuerzo de Repsol en materia de sostenibilidad.")</f>
        <v>Destacar los combustibles renovables en los patrocinios refuerza el esfuerzo de Repsol en materia de sostenibilidad.</v>
      </c>
      <c r="P550" s="30">
        <v>0.7</v>
      </c>
      <c r="Q550" s="18" t="str">
        <f>IFERROR(__xludf.DUMMYFUNCTION("GOOGLETRANSLATE(R550,""ES"",""EN"")"),"renewable fuels, spectacular event")</f>
        <v>renewable fuels, spectacular event</v>
      </c>
      <c r="R550" s="34" t="s">
        <v>4391</v>
      </c>
      <c r="S550" s="52" t="s">
        <v>4119</v>
      </c>
      <c r="T550" s="22" t="s">
        <v>4120</v>
      </c>
    </row>
    <row r="551">
      <c r="A551" s="23" t="s">
        <v>4392</v>
      </c>
      <c r="B551" s="40" t="s">
        <v>4393</v>
      </c>
      <c r="C551" s="41">
        <v>45336.0</v>
      </c>
      <c r="D551" s="40" t="s">
        <v>4394</v>
      </c>
      <c r="E551" s="42" t="s">
        <v>4395</v>
      </c>
      <c r="F551" s="43" t="s">
        <v>4396</v>
      </c>
      <c r="G551" s="43" t="s">
        <v>4397</v>
      </c>
      <c r="H551" s="47" t="s">
        <v>598</v>
      </c>
      <c r="I551" s="25" t="str">
        <f>IFERROR(__xludf.DUMMYFUNCTION("GOOGLETRANSLATE(H551,""EN"",""ES"")"),"Expansión empresarial")</f>
        <v>Expansión empresarial</v>
      </c>
      <c r="J551" s="26" t="s">
        <v>35</v>
      </c>
      <c r="K551" s="48">
        <v>0.6</v>
      </c>
      <c r="L551" s="49" t="s">
        <v>4398</v>
      </c>
      <c r="M551" s="28" t="s">
        <v>4399</v>
      </c>
      <c r="N551" s="47" t="s">
        <v>4400</v>
      </c>
      <c r="O551" s="47" t="str">
        <f>IFERROR(__xludf.DUMMYFUNCTION("GOOGLETRANSLATE(N551,""EN"",""ES"")"),"La diversificación hacia nuevos mercados fortalece el modelo de negocio de Repsol.")</f>
        <v>La diversificación hacia nuevos mercados fortalece el modelo de negocio de Repsol.</v>
      </c>
      <c r="P551" s="30">
        <v>0.3</v>
      </c>
      <c r="Q551" s="31" t="str">
        <f>IFERROR(__xludf.DUMMYFUNCTION("GOOGLETRANSLATE(R551,""ES"",""EN"")"),"mattress business, diversification")</f>
        <v>mattress business, diversification</v>
      </c>
      <c r="R551" s="28" t="s">
        <v>4401</v>
      </c>
      <c r="S551" s="53" t="s">
        <v>4402</v>
      </c>
      <c r="T551" s="32" t="s">
        <v>4403</v>
      </c>
    </row>
    <row r="552">
      <c r="A552" s="33" t="s">
        <v>4404</v>
      </c>
      <c r="B552" s="40" t="s">
        <v>3479</v>
      </c>
      <c r="C552" s="41">
        <v>45336.0</v>
      </c>
      <c r="D552" s="40" t="s">
        <v>4405</v>
      </c>
      <c r="E552" s="42" t="s">
        <v>4406</v>
      </c>
      <c r="F552" s="43" t="s">
        <v>4407</v>
      </c>
      <c r="G552" s="43" t="s">
        <v>4408</v>
      </c>
      <c r="H552" s="44" t="s">
        <v>55</v>
      </c>
      <c r="I552" s="15" t="str">
        <f>IFERROR(__xludf.DUMMYFUNCTION("GOOGLETRANSLATE(H552,""EN"",""ES"")"),"deportes de motor")</f>
        <v>deportes de motor</v>
      </c>
      <c r="J552" s="16" t="s">
        <v>27</v>
      </c>
      <c r="K552" s="17">
        <v>0.0</v>
      </c>
      <c r="L552" s="45"/>
      <c r="M552" s="18"/>
      <c r="N552" s="44"/>
      <c r="O552" s="44"/>
      <c r="P552" s="20">
        <v>0.0</v>
      </c>
      <c r="Q552" s="18"/>
      <c r="R552" s="18"/>
      <c r="S552" s="52"/>
      <c r="T552" s="22"/>
    </row>
    <row r="553">
      <c r="A553" s="23" t="s">
        <v>4409</v>
      </c>
      <c r="B553" s="40" t="s">
        <v>284</v>
      </c>
      <c r="C553" s="41">
        <v>45336.0</v>
      </c>
      <c r="D553" s="40" t="s">
        <v>4114</v>
      </c>
      <c r="E553" s="42" t="s">
        <v>4410</v>
      </c>
      <c r="F553" s="43" t="s">
        <v>4116</v>
      </c>
      <c r="G553" s="43" t="s">
        <v>4411</v>
      </c>
      <c r="H553" s="47" t="s">
        <v>55</v>
      </c>
      <c r="I553" s="25" t="str">
        <f>IFERROR(__xludf.DUMMYFUNCTION("GOOGLETRANSLATE(H553,""EN"",""ES"")"),"deportes de motor")</f>
        <v>deportes de motor</v>
      </c>
      <c r="J553" s="26" t="s">
        <v>35</v>
      </c>
      <c r="K553" s="48">
        <v>0.0</v>
      </c>
      <c r="L553" s="54"/>
      <c r="M553" s="31"/>
      <c r="N553" s="47" t="s">
        <v>4374</v>
      </c>
      <c r="O553" s="47" t="str">
        <f>IFERROR(__xludf.DUMMYFUNCTION("GOOGLETRANSLATE(N553,""EN"",""ES"")"),"Las presentaciones de los equipos no impactan en el negocio de Repsol.")</f>
        <v>Las presentaciones de los equipos no impactan en el negocio de Repsol.</v>
      </c>
      <c r="P553" s="30">
        <v>0.7</v>
      </c>
      <c r="Q553" s="31" t="str">
        <f>IFERROR(__xludf.DUMMYFUNCTION("GOOGLETRANSLATE(R553,""ES"",""EN"")"),"renewable fuels, key year")</f>
        <v>renewable fuels, key year</v>
      </c>
      <c r="R553" s="28" t="s">
        <v>4412</v>
      </c>
      <c r="S553" s="53" t="s">
        <v>4119</v>
      </c>
      <c r="T553" s="32" t="s">
        <v>4120</v>
      </c>
    </row>
    <row r="554">
      <c r="A554" s="33" t="s">
        <v>4413</v>
      </c>
      <c r="B554" s="40" t="s">
        <v>217</v>
      </c>
      <c r="C554" s="41">
        <v>45336.0</v>
      </c>
      <c r="D554" s="40" t="s">
        <v>4414</v>
      </c>
      <c r="E554" s="42" t="s">
        <v>4414</v>
      </c>
      <c r="F554" s="43" t="s">
        <v>4415</v>
      </c>
      <c r="G554" s="43" t="s">
        <v>4415</v>
      </c>
      <c r="H554" s="44" t="s">
        <v>3953</v>
      </c>
      <c r="I554" s="15" t="str">
        <f>IFERROR(__xludf.DUMMYFUNCTION("GOOGLETRANSLATE(H554,""EN"",""ES"")"),"Transición Energética")</f>
        <v>Transición Energética</v>
      </c>
      <c r="J554" s="16" t="s">
        <v>27</v>
      </c>
      <c r="K554" s="17">
        <v>0.0</v>
      </c>
      <c r="L554" s="45"/>
      <c r="M554" s="18"/>
      <c r="N554" s="44"/>
      <c r="O554" s="44"/>
      <c r="P554" s="20">
        <v>0.0</v>
      </c>
      <c r="Q554" s="18"/>
      <c r="R554" s="18"/>
      <c r="S554" s="52"/>
      <c r="T554" s="22"/>
    </row>
    <row r="555">
      <c r="A555" s="23" t="s">
        <v>4416</v>
      </c>
      <c r="B555" s="40" t="s">
        <v>1178</v>
      </c>
      <c r="C555" s="41">
        <v>45336.0</v>
      </c>
      <c r="D555" s="40" t="s">
        <v>4417</v>
      </c>
      <c r="E555" s="42" t="s">
        <v>4418</v>
      </c>
      <c r="F555" s="43" t="s">
        <v>4419</v>
      </c>
      <c r="G555" s="43" t="s">
        <v>4420</v>
      </c>
      <c r="H555" s="47" t="s">
        <v>55</v>
      </c>
      <c r="I555" s="25" t="str">
        <f>IFERROR(__xludf.DUMMYFUNCTION("GOOGLETRANSLATE(H555,""EN"",""ES"")"),"deportes de motor")</f>
        <v>deportes de motor</v>
      </c>
      <c r="J555" s="26" t="s">
        <v>27</v>
      </c>
      <c r="K555" s="17">
        <v>0.0</v>
      </c>
      <c r="L555" s="54"/>
      <c r="M555" s="31"/>
      <c r="N555" s="47"/>
      <c r="O555" s="47"/>
      <c r="P555" s="20">
        <v>0.0</v>
      </c>
      <c r="Q555" s="31"/>
      <c r="R555" s="31"/>
      <c r="S555" s="53"/>
      <c r="T555" s="32"/>
    </row>
    <row r="556">
      <c r="A556" s="33" t="s">
        <v>4421</v>
      </c>
      <c r="B556" s="40" t="s">
        <v>21</v>
      </c>
      <c r="C556" s="41">
        <v>45336.0</v>
      </c>
      <c r="D556" s="40" t="s">
        <v>4422</v>
      </c>
      <c r="E556" s="42" t="s">
        <v>4423</v>
      </c>
      <c r="F556" s="43" t="s">
        <v>4424</v>
      </c>
      <c r="G556" s="43" t="s">
        <v>4425</v>
      </c>
      <c r="H556" s="44" t="s">
        <v>148</v>
      </c>
      <c r="I556" s="15" t="str">
        <f>IFERROR(__xludf.DUMMYFUNCTION("GOOGLETRANSLATE(H556,""EN"",""ES"")"),"Gastronomía")</f>
        <v>Gastronomía</v>
      </c>
      <c r="J556" s="16" t="s">
        <v>27</v>
      </c>
      <c r="K556" s="17">
        <v>0.0</v>
      </c>
      <c r="L556" s="45"/>
      <c r="M556" s="18"/>
      <c r="N556" s="44"/>
      <c r="O556" s="44"/>
      <c r="P556" s="20">
        <v>0.0</v>
      </c>
      <c r="Q556" s="18"/>
      <c r="R556" s="18"/>
      <c r="S556" s="52"/>
      <c r="T556" s="22"/>
    </row>
    <row r="557">
      <c r="A557" s="23" t="s">
        <v>4426</v>
      </c>
      <c r="B557" s="40" t="s">
        <v>4283</v>
      </c>
      <c r="C557" s="41">
        <v>45336.0</v>
      </c>
      <c r="D557" s="40" t="s">
        <v>4427</v>
      </c>
      <c r="E557" s="42" t="s">
        <v>4428</v>
      </c>
      <c r="F557" s="43" t="s">
        <v>4429</v>
      </c>
      <c r="G557" s="43" t="s">
        <v>4430</v>
      </c>
      <c r="H557" s="47" t="s">
        <v>55</v>
      </c>
      <c r="I557" s="25" t="str">
        <f>IFERROR(__xludf.DUMMYFUNCTION("GOOGLETRANSLATE(H557,""EN"",""ES"")"),"deportes de motor")</f>
        <v>deportes de motor</v>
      </c>
      <c r="J557" s="26" t="s">
        <v>27</v>
      </c>
      <c r="K557" s="17">
        <v>0.0</v>
      </c>
      <c r="L557" s="54"/>
      <c r="M557" s="31"/>
      <c r="N557" s="47"/>
      <c r="O557" s="47"/>
      <c r="P557" s="20">
        <v>0.0</v>
      </c>
      <c r="Q557" s="31"/>
      <c r="R557" s="31"/>
      <c r="S557" s="53"/>
      <c r="T557" s="32"/>
    </row>
    <row r="558">
      <c r="A558" s="33" t="s">
        <v>4431</v>
      </c>
      <c r="B558" s="40" t="s">
        <v>4432</v>
      </c>
      <c r="C558" s="41">
        <v>45336.0</v>
      </c>
      <c r="D558" s="40" t="s">
        <v>4433</v>
      </c>
      <c r="E558" s="42" t="s">
        <v>4434</v>
      </c>
      <c r="F558" s="43" t="s">
        <v>4435</v>
      </c>
      <c r="G558" s="43" t="s">
        <v>4436</v>
      </c>
      <c r="H558" s="44" t="s">
        <v>55</v>
      </c>
      <c r="I558" s="15" t="str">
        <f>IFERROR(__xludf.DUMMYFUNCTION("GOOGLETRANSLATE(H558,""EN"",""ES"")"),"deportes de motor")</f>
        <v>deportes de motor</v>
      </c>
      <c r="J558" s="16" t="s">
        <v>35</v>
      </c>
      <c r="K558" s="48">
        <v>0.0</v>
      </c>
      <c r="L558" s="45"/>
      <c r="M558" s="18"/>
      <c r="N558" s="44" t="s">
        <v>4437</v>
      </c>
      <c r="O558" s="44" t="str">
        <f>IFERROR(__xludf.DUMMYFUNCTION("GOOGLETRANSLATE(N558,""EN"",""ES"")"),"Las presentaciones de los equipos no impactan en la percepción corporativa de Repsol.")</f>
        <v>Las presentaciones de los equipos no impactan en la percepción corporativa de Repsol.</v>
      </c>
      <c r="P558" s="30">
        <v>0.6</v>
      </c>
      <c r="Q558" s="18" t="str">
        <f>IFERROR(__xludf.DUMMYFUNCTION("GOOGLETRANSLATE(R558,""ES"",""EN"")"),"new RC213V, takeoff")</f>
        <v>new RC213V, takeoff</v>
      </c>
      <c r="R558" s="34" t="s">
        <v>4438</v>
      </c>
      <c r="S558" s="52" t="s">
        <v>4139</v>
      </c>
      <c r="T558" s="22" t="s">
        <v>4140</v>
      </c>
    </row>
    <row r="559">
      <c r="A559" s="23" t="s">
        <v>4439</v>
      </c>
      <c r="B559" s="40" t="s">
        <v>163</v>
      </c>
      <c r="C559" s="41">
        <v>45336.0</v>
      </c>
      <c r="D559" s="40" t="s">
        <v>4440</v>
      </c>
      <c r="E559" s="42" t="s">
        <v>4441</v>
      </c>
      <c r="F559" s="43" t="s">
        <v>4442</v>
      </c>
      <c r="G559" s="43" t="s">
        <v>4443</v>
      </c>
      <c r="H559" s="47" t="s">
        <v>2447</v>
      </c>
      <c r="I559" s="25" t="str">
        <f>IFERROR(__xludf.DUMMYFUNCTION("GOOGLETRANSLATE(H559,""EN"",""ES"")"),"Asuntos del Consumidor")</f>
        <v>Asuntos del Consumidor</v>
      </c>
      <c r="J559" s="26" t="s">
        <v>35</v>
      </c>
      <c r="K559" s="48">
        <v>0.5</v>
      </c>
      <c r="L559" s="49" t="s">
        <v>4444</v>
      </c>
      <c r="M559" s="28" t="s">
        <v>4445</v>
      </c>
      <c r="N559" s="47" t="s">
        <v>4446</v>
      </c>
      <c r="O559" s="47" t="str">
        <f>IFERROR(__xludf.DUMMYFUNCTION("GOOGLETRANSLATE(N559,""EN"",""ES"")"),"Proporcionar pautas de seguridad al consumidor refuerza el papel de Repsol como proveedor de energía.")</f>
        <v>Proporcionar pautas de seguridad al consumidor refuerza el papel de Repsol como proveedor de energía.</v>
      </c>
      <c r="P559" s="30">
        <v>0.0</v>
      </c>
      <c r="Q559" s="31"/>
      <c r="R559" s="31"/>
      <c r="S559" s="53" t="s">
        <v>4447</v>
      </c>
      <c r="T559" s="32" t="s">
        <v>4448</v>
      </c>
    </row>
    <row r="560">
      <c r="A560" s="33" t="s">
        <v>4449</v>
      </c>
      <c r="B560" s="40" t="s">
        <v>4450</v>
      </c>
      <c r="C560" s="41">
        <v>45336.0</v>
      </c>
      <c r="D560" s="40" t="s">
        <v>4451</v>
      </c>
      <c r="E560" s="42" t="s">
        <v>4452</v>
      </c>
      <c r="F560" s="43" t="s">
        <v>4453</v>
      </c>
      <c r="G560" s="43" t="s">
        <v>4454</v>
      </c>
      <c r="H560" s="44" t="s">
        <v>899</v>
      </c>
      <c r="I560" s="15" t="str">
        <f>IFERROR(__xludf.DUMMYFUNCTION("GOOGLETRANSLATE(H560,""EN"",""ES"")"),"Relaciones Laborales")</f>
        <v>Relaciones Laborales</v>
      </c>
      <c r="J560" s="16" t="s">
        <v>35</v>
      </c>
      <c r="K560" s="48">
        <v>-0.7</v>
      </c>
      <c r="L560" s="51" t="s">
        <v>4455</v>
      </c>
      <c r="M560" s="34" t="s">
        <v>4456</v>
      </c>
      <c r="N560" s="44" t="s">
        <v>4457</v>
      </c>
      <c r="O560" s="44" t="str">
        <f>IFERROR(__xludf.DUMMYFUNCTION("GOOGLETRANSLATE(N560,""EN"",""ES"")"),"Los incidentes de seguridad laboral impactan negativamente en la reputación de Repsol.")</f>
        <v>Los incidentes de seguridad laboral impactan negativamente en la reputación de Repsol.</v>
      </c>
      <c r="P560" s="30">
        <v>-1.0</v>
      </c>
      <c r="Q560" s="18" t="str">
        <f>IFERROR(__xludf.DUMMYFUNCTION("GOOGLETRANSLATE(R560,""ES"",""EN"")"),"work accident, death")</f>
        <v>work accident, death</v>
      </c>
      <c r="R560" s="34" t="s">
        <v>4458</v>
      </c>
      <c r="S560" s="52" t="s">
        <v>4459</v>
      </c>
      <c r="T560" s="22" t="s">
        <v>4460</v>
      </c>
    </row>
    <row r="561">
      <c r="A561" s="23" t="s">
        <v>4461</v>
      </c>
      <c r="B561" s="40" t="s">
        <v>374</v>
      </c>
      <c r="C561" s="41">
        <v>45336.0</v>
      </c>
      <c r="D561" s="40" t="s">
        <v>4462</v>
      </c>
      <c r="E561" s="42" t="s">
        <v>4463</v>
      </c>
      <c r="F561" s="43" t="s">
        <v>4464</v>
      </c>
      <c r="G561" s="43" t="s">
        <v>4465</v>
      </c>
      <c r="H561" s="47" t="s">
        <v>55</v>
      </c>
      <c r="I561" s="25" t="str">
        <f>IFERROR(__xludf.DUMMYFUNCTION("GOOGLETRANSLATE(H561,""EN"",""ES"")"),"deportes de motor")</f>
        <v>deportes de motor</v>
      </c>
      <c r="J561" s="26" t="s">
        <v>27</v>
      </c>
      <c r="K561" s="17">
        <v>0.0</v>
      </c>
      <c r="L561" s="54"/>
      <c r="M561" s="31"/>
      <c r="N561" s="47"/>
      <c r="O561" s="47"/>
      <c r="P561" s="20">
        <v>0.0</v>
      </c>
      <c r="Q561" s="31"/>
      <c r="R561" s="31"/>
      <c r="S561" s="53"/>
      <c r="T561" s="32"/>
    </row>
    <row r="562">
      <c r="A562" s="33" t="s">
        <v>4466</v>
      </c>
      <c r="B562" s="40" t="s">
        <v>513</v>
      </c>
      <c r="C562" s="41">
        <v>45336.0</v>
      </c>
      <c r="D562" s="40" t="s">
        <v>4467</v>
      </c>
      <c r="E562" s="42" t="s">
        <v>4468</v>
      </c>
      <c r="F562" s="43" t="s">
        <v>4469</v>
      </c>
      <c r="G562" s="43" t="s">
        <v>4470</v>
      </c>
      <c r="H562" s="44" t="s">
        <v>55</v>
      </c>
      <c r="I562" s="15" t="str">
        <f>IFERROR(__xludf.DUMMYFUNCTION("GOOGLETRANSLATE(H562,""EN"",""ES"")"),"deportes de motor")</f>
        <v>deportes de motor</v>
      </c>
      <c r="J562" s="16" t="s">
        <v>27</v>
      </c>
      <c r="K562" s="17">
        <v>0.0</v>
      </c>
      <c r="L562" s="45"/>
      <c r="M562" s="18"/>
      <c r="N562" s="44"/>
      <c r="O562" s="44"/>
      <c r="P562" s="20">
        <v>0.0</v>
      </c>
      <c r="Q562" s="18"/>
      <c r="R562" s="18"/>
      <c r="S562" s="52"/>
      <c r="T562" s="22"/>
    </row>
    <row r="563">
      <c r="A563" s="23" t="s">
        <v>4471</v>
      </c>
      <c r="B563" s="40" t="s">
        <v>4472</v>
      </c>
      <c r="C563" s="41">
        <v>45336.0</v>
      </c>
      <c r="D563" s="40" t="s">
        <v>4473</v>
      </c>
      <c r="E563" s="42" t="s">
        <v>4474</v>
      </c>
      <c r="F563" s="43" t="s">
        <v>4475</v>
      </c>
      <c r="G563" s="43" t="s">
        <v>4476</v>
      </c>
      <c r="H563" s="47" t="s">
        <v>55</v>
      </c>
      <c r="I563" s="25" t="str">
        <f>IFERROR(__xludf.DUMMYFUNCTION("GOOGLETRANSLATE(H563,""EN"",""ES"")"),"deportes de motor")</f>
        <v>deportes de motor</v>
      </c>
      <c r="J563" s="26" t="s">
        <v>27</v>
      </c>
      <c r="K563" s="17">
        <v>0.0</v>
      </c>
      <c r="L563" s="54"/>
      <c r="M563" s="31"/>
      <c r="N563" s="47"/>
      <c r="O563" s="47"/>
      <c r="P563" s="20">
        <v>0.0</v>
      </c>
      <c r="Q563" s="31"/>
      <c r="R563" s="31"/>
      <c r="S563" s="53"/>
      <c r="T563" s="32"/>
    </row>
    <row r="564">
      <c r="A564" s="33" t="s">
        <v>4477</v>
      </c>
      <c r="B564" s="40" t="s">
        <v>977</v>
      </c>
      <c r="C564" s="41">
        <v>45336.0</v>
      </c>
      <c r="D564" s="40" t="s">
        <v>4478</v>
      </c>
      <c r="E564" s="42" t="s">
        <v>4479</v>
      </c>
      <c r="F564" s="43" t="s">
        <v>4480</v>
      </c>
      <c r="G564" s="43" t="s">
        <v>4481</v>
      </c>
      <c r="H564" s="44" t="s">
        <v>395</v>
      </c>
      <c r="I564" s="15" t="str">
        <f>IFERROR(__xludf.DUMMYFUNCTION("GOOGLETRANSLATE(H564,""EN"",""ES"")"),"Ambiente")</f>
        <v>Ambiente</v>
      </c>
      <c r="J564" s="16" t="s">
        <v>35</v>
      </c>
      <c r="K564" s="48">
        <v>-0.8</v>
      </c>
      <c r="L564" s="51" t="s">
        <v>4482</v>
      </c>
      <c r="M564" s="34" t="s">
        <v>4483</v>
      </c>
      <c r="N564" s="44" t="s">
        <v>4484</v>
      </c>
      <c r="O564" s="44" t="str">
        <f>IFERROR(__xludf.DUMMYFUNCTION("GOOGLETRANSLATE(N564,""EN"",""ES"")"),"Los continuos daños medioambientales y la falta de esfuerzos de remediación afectan negativamente a la imagen de Repsol.")</f>
        <v>Los continuos daños medioambientales y la falta de esfuerzos de remediación afectan negativamente a la imagen de Repsol.</v>
      </c>
      <c r="P564" s="30">
        <v>-0.9</v>
      </c>
      <c r="Q564" s="18" t="str">
        <f>IFERROR(__xludf.DUMMYFUNCTION("GOOGLETRANSLATE(R564,""ES"",""EN"")"),"spill, ecological disaster, not approved")</f>
        <v>spill, ecological disaster, not approved</v>
      </c>
      <c r="R564" s="34" t="s">
        <v>4485</v>
      </c>
      <c r="S564" s="52" t="s">
        <v>4486</v>
      </c>
      <c r="T564" s="22" t="s">
        <v>4487</v>
      </c>
    </row>
    <row r="565">
      <c r="A565" s="23" t="s">
        <v>4488</v>
      </c>
      <c r="B565" s="40" t="s">
        <v>21</v>
      </c>
      <c r="C565" s="41">
        <v>45337.0</v>
      </c>
      <c r="D565" s="40" t="s">
        <v>4489</v>
      </c>
      <c r="E565" s="42" t="s">
        <v>4490</v>
      </c>
      <c r="F565" s="43" t="s">
        <v>4491</v>
      </c>
      <c r="G565" s="43" t="s">
        <v>4492</v>
      </c>
      <c r="H565" s="47" t="s">
        <v>148</v>
      </c>
      <c r="I565" s="25" t="str">
        <f>IFERROR(__xludf.DUMMYFUNCTION("GOOGLETRANSLATE(H565,""EN"",""ES"")"),"Gastronomía")</f>
        <v>Gastronomía</v>
      </c>
      <c r="J565" s="26" t="s">
        <v>27</v>
      </c>
      <c r="K565" s="17">
        <v>0.0</v>
      </c>
      <c r="L565" s="54"/>
      <c r="M565" s="31"/>
      <c r="N565" s="47"/>
      <c r="O565" s="47"/>
      <c r="P565" s="20">
        <v>0.0</v>
      </c>
      <c r="Q565" s="31"/>
      <c r="R565" s="31"/>
      <c r="S565" s="53"/>
      <c r="T565" s="32"/>
    </row>
    <row r="566">
      <c r="A566" s="33" t="s">
        <v>4493</v>
      </c>
      <c r="B566" s="40" t="s">
        <v>558</v>
      </c>
      <c r="C566" s="41">
        <v>45337.0</v>
      </c>
      <c r="D566" s="40" t="s">
        <v>4494</v>
      </c>
      <c r="E566" s="42" t="s">
        <v>4495</v>
      </c>
      <c r="F566" s="43" t="s">
        <v>4496</v>
      </c>
      <c r="G566" s="43" t="s">
        <v>4497</v>
      </c>
      <c r="H566" s="44" t="s">
        <v>48</v>
      </c>
      <c r="I566" s="15" t="str">
        <f>IFERROR(__xludf.DUMMYFUNCTION("GOOGLETRANSLATE(H566,""EN"",""ES"")"),"Finanzas")</f>
        <v>Finanzas</v>
      </c>
      <c r="J566" s="16" t="s">
        <v>35</v>
      </c>
      <c r="K566" s="48">
        <v>0.6</v>
      </c>
      <c r="L566" s="51" t="s">
        <v>4498</v>
      </c>
      <c r="M566" s="34" t="s">
        <v>4499</v>
      </c>
      <c r="N566" s="44" t="s">
        <v>4500</v>
      </c>
      <c r="O566" s="44" t="str">
        <f>IFERROR(__xludf.DUMMYFUNCTION("GOOGLETRANSLATE(N566,""EN"",""ES"")"),"Los sólidos resultados financieros y las políticas de dividendos refuerzan el sentimiento positivo hacia Repsol.")</f>
        <v>Los sólidos resultados financieros y las políticas de dividendos refuerzan el sentimiento positivo hacia Repsol.</v>
      </c>
      <c r="P566" s="30">
        <v>0.6</v>
      </c>
      <c r="Q566" s="18" t="str">
        <f>IFERROR(__xludf.DUMMYFUNCTION("GOOGLETRANSLATE(R566,""ES"",""EN"")"),"improve price, production, profit")</f>
        <v>improve price, production, profit</v>
      </c>
      <c r="R566" s="34" t="s">
        <v>4501</v>
      </c>
      <c r="S566" s="52" t="s">
        <v>4502</v>
      </c>
      <c r="T566" s="22" t="s">
        <v>4503</v>
      </c>
    </row>
    <row r="567">
      <c r="A567" s="23" t="s">
        <v>4504</v>
      </c>
      <c r="B567" s="40" t="s">
        <v>217</v>
      </c>
      <c r="C567" s="41">
        <v>45337.0</v>
      </c>
      <c r="D567" s="40" t="s">
        <v>4505</v>
      </c>
      <c r="E567" s="42" t="s">
        <v>4506</v>
      </c>
      <c r="F567" s="43" t="s">
        <v>4507</v>
      </c>
      <c r="G567" s="43" t="s">
        <v>4508</v>
      </c>
      <c r="H567" s="47" t="s">
        <v>4509</v>
      </c>
      <c r="I567" s="25" t="str">
        <f>IFERROR(__xludf.DUMMYFUNCTION("GOOGLETRANSLATE(H567,""EN"",""ES"")"),"Competencia")</f>
        <v>Competencia</v>
      </c>
      <c r="J567" s="26" t="s">
        <v>35</v>
      </c>
      <c r="K567" s="48">
        <v>-0.6</v>
      </c>
      <c r="L567" s="49" t="s">
        <v>4510</v>
      </c>
      <c r="M567" s="28" t="s">
        <v>4511</v>
      </c>
      <c r="N567" s="47" t="s">
        <v>4512</v>
      </c>
      <c r="O567" s="47" t="str">
        <f>IFERROR(__xludf.DUMMYFUNCTION("GOOGLETRANSLATE(N567,""EN"",""ES"")"),"La pérdida de cuota de mercado frente a proveedores independientes de combustible afecta negativamente al posicionamiento de Repsol en el mercado.")</f>
        <v>La pérdida de cuota de mercado frente a proveedores independientes de combustible afecta negativamente al posicionamiento de Repsol en el mercado.</v>
      </c>
      <c r="P567" s="30">
        <v>-0.4</v>
      </c>
      <c r="Q567" s="31" t="str">
        <f>IFERROR(__xludf.DUMMYFUNCTION("GOOGLETRANSLATE(R567,""ES"",""EN"")"),"surprise, independent")</f>
        <v>surprise, independent</v>
      </c>
      <c r="R567" s="28" t="s">
        <v>4513</v>
      </c>
      <c r="S567" s="53" t="s">
        <v>4514</v>
      </c>
      <c r="T567" s="32" t="s">
        <v>4515</v>
      </c>
    </row>
    <row r="568">
      <c r="A568" s="33" t="s">
        <v>4516</v>
      </c>
      <c r="B568" s="40" t="s">
        <v>2150</v>
      </c>
      <c r="C568" s="41">
        <v>45337.0</v>
      </c>
      <c r="D568" s="40" t="s">
        <v>4517</v>
      </c>
      <c r="E568" s="42" t="s">
        <v>4518</v>
      </c>
      <c r="F568" s="43" t="s">
        <v>4519</v>
      </c>
      <c r="G568" s="43" t="s">
        <v>4520</v>
      </c>
      <c r="H568" s="44" t="s">
        <v>2447</v>
      </c>
      <c r="I568" s="15" t="str">
        <f>IFERROR(__xludf.DUMMYFUNCTION("GOOGLETRANSLATE(H568,""EN"",""ES"")"),"Asuntos del Consumidor")</f>
        <v>Asuntos del Consumidor</v>
      </c>
      <c r="J568" s="16" t="s">
        <v>27</v>
      </c>
      <c r="K568" s="17">
        <v>0.0</v>
      </c>
      <c r="L568" s="45"/>
      <c r="M568" s="18"/>
      <c r="N568" s="44"/>
      <c r="O568" s="44"/>
      <c r="P568" s="20">
        <v>0.0</v>
      </c>
      <c r="Q568" s="18"/>
      <c r="R568" s="18"/>
      <c r="S568" s="52"/>
      <c r="T568" s="22"/>
    </row>
    <row r="569">
      <c r="A569" s="23" t="s">
        <v>4521</v>
      </c>
      <c r="B569" s="40" t="s">
        <v>50</v>
      </c>
      <c r="C569" s="41">
        <v>45337.0</v>
      </c>
      <c r="D569" s="40" t="s">
        <v>4522</v>
      </c>
      <c r="E569" s="42" t="s">
        <v>4523</v>
      </c>
      <c r="F569" s="43" t="s">
        <v>4524</v>
      </c>
      <c r="G569" s="43" t="s">
        <v>4525</v>
      </c>
      <c r="H569" s="47" t="s">
        <v>55</v>
      </c>
      <c r="I569" s="25" t="str">
        <f>IFERROR(__xludf.DUMMYFUNCTION("GOOGLETRANSLATE(H569,""EN"",""ES"")"),"deportes de motor")</f>
        <v>deportes de motor</v>
      </c>
      <c r="J569" s="26" t="s">
        <v>27</v>
      </c>
      <c r="K569" s="17">
        <v>0.0</v>
      </c>
      <c r="L569" s="54"/>
      <c r="M569" s="31"/>
      <c r="N569" s="47"/>
      <c r="O569" s="47"/>
      <c r="P569" s="20">
        <v>0.0</v>
      </c>
      <c r="Q569" s="31"/>
      <c r="R569" s="31"/>
      <c r="S569" s="53"/>
      <c r="T569" s="32"/>
    </row>
    <row r="570">
      <c r="A570" s="33" t="s">
        <v>4526</v>
      </c>
      <c r="B570" s="40" t="s">
        <v>1005</v>
      </c>
      <c r="C570" s="41">
        <v>45337.0</v>
      </c>
      <c r="D570" s="40" t="s">
        <v>4527</v>
      </c>
      <c r="E570" s="42" t="s">
        <v>4528</v>
      </c>
      <c r="F570" s="43" t="s">
        <v>4529</v>
      </c>
      <c r="G570" s="43" t="s">
        <v>4530</v>
      </c>
      <c r="H570" s="44" t="s">
        <v>26</v>
      </c>
      <c r="I570" s="15" t="str">
        <f>IFERROR(__xludf.DUMMYFUNCTION("GOOGLETRANSLATE(H570,""EN"",""ES"")"),"Otro")</f>
        <v>Otro</v>
      </c>
      <c r="J570" s="16" t="s">
        <v>27</v>
      </c>
      <c r="K570" s="17">
        <v>0.0</v>
      </c>
      <c r="L570" s="45"/>
      <c r="M570" s="18"/>
      <c r="N570" s="44"/>
      <c r="O570" s="44"/>
      <c r="P570" s="20">
        <v>0.0</v>
      </c>
      <c r="Q570" s="18"/>
      <c r="R570" s="18"/>
      <c r="S570" s="52"/>
      <c r="T570" s="22"/>
    </row>
    <row r="571">
      <c r="A571" s="23" t="s">
        <v>4531</v>
      </c>
      <c r="B571" s="40" t="s">
        <v>4532</v>
      </c>
      <c r="C571" s="41">
        <v>45337.0</v>
      </c>
      <c r="D571" s="40" t="s">
        <v>4533</v>
      </c>
      <c r="E571" s="42" t="s">
        <v>4534</v>
      </c>
      <c r="F571" s="43" t="s">
        <v>4535</v>
      </c>
      <c r="G571" s="43" t="s">
        <v>4536</v>
      </c>
      <c r="H571" s="47" t="s">
        <v>3953</v>
      </c>
      <c r="I571" s="25" t="str">
        <f>IFERROR(__xludf.DUMMYFUNCTION("GOOGLETRANSLATE(H571,""EN"",""ES"")"),"Transición Energética")</f>
        <v>Transición Energética</v>
      </c>
      <c r="J571" s="26" t="s">
        <v>27</v>
      </c>
      <c r="K571" s="17">
        <v>0.0</v>
      </c>
      <c r="L571" s="54"/>
      <c r="M571" s="31"/>
      <c r="N571" s="47"/>
      <c r="O571" s="47"/>
      <c r="P571" s="20">
        <v>0.0</v>
      </c>
      <c r="Q571" s="31"/>
      <c r="R571" s="31"/>
      <c r="S571" s="53"/>
      <c r="T571" s="32"/>
    </row>
    <row r="572">
      <c r="A572" s="33" t="s">
        <v>4537</v>
      </c>
      <c r="B572" s="40" t="s">
        <v>4538</v>
      </c>
      <c r="C572" s="41">
        <v>45337.0</v>
      </c>
      <c r="D572" s="40" t="s">
        <v>4539</v>
      </c>
      <c r="E572" s="42" t="s">
        <v>4540</v>
      </c>
      <c r="F572" s="43" t="s">
        <v>4541</v>
      </c>
      <c r="G572" s="43" t="s">
        <v>4542</v>
      </c>
      <c r="H572" s="44" t="s">
        <v>661</v>
      </c>
      <c r="I572" s="15" t="str">
        <f>IFERROR(__xludf.DUMMYFUNCTION("GOOGLETRANSLATE(H572,""EN"",""ES"")"),"Estrategia empresarial")</f>
        <v>Estrategia empresarial</v>
      </c>
      <c r="J572" s="16" t="s">
        <v>27</v>
      </c>
      <c r="K572" s="17">
        <v>0.0</v>
      </c>
      <c r="L572" s="45"/>
      <c r="M572" s="18"/>
      <c r="N572" s="44"/>
      <c r="O572" s="44"/>
      <c r="P572" s="20">
        <v>0.0</v>
      </c>
      <c r="Q572" s="18"/>
      <c r="R572" s="18"/>
      <c r="S572" s="52"/>
      <c r="T572" s="22"/>
    </row>
    <row r="573">
      <c r="A573" s="23" t="s">
        <v>4543</v>
      </c>
      <c r="B573" s="40" t="s">
        <v>2329</v>
      </c>
      <c r="C573" s="41">
        <v>45337.0</v>
      </c>
      <c r="D573" s="40" t="s">
        <v>4544</v>
      </c>
      <c r="E573" s="42" t="s">
        <v>4545</v>
      </c>
      <c r="F573" s="43" t="s">
        <v>4546</v>
      </c>
      <c r="G573" s="43" t="s">
        <v>4547</v>
      </c>
      <c r="H573" s="47" t="s">
        <v>26</v>
      </c>
      <c r="I573" s="25" t="str">
        <f>IFERROR(__xludf.DUMMYFUNCTION("GOOGLETRANSLATE(H573,""EN"",""ES"")"),"Otro")</f>
        <v>Otro</v>
      </c>
      <c r="J573" s="26" t="s">
        <v>27</v>
      </c>
      <c r="K573" s="17">
        <v>0.0</v>
      </c>
      <c r="L573" s="54"/>
      <c r="M573" s="31"/>
      <c r="N573" s="47"/>
      <c r="O573" s="47"/>
      <c r="P573" s="20">
        <v>0.0</v>
      </c>
      <c r="Q573" s="31"/>
      <c r="R573" s="31"/>
      <c r="S573" s="53"/>
      <c r="T573" s="32"/>
    </row>
    <row r="574">
      <c r="A574" s="33" t="s">
        <v>4548</v>
      </c>
      <c r="B574" s="40" t="s">
        <v>21</v>
      </c>
      <c r="C574" s="41">
        <v>45337.0</v>
      </c>
      <c r="D574" s="40" t="s">
        <v>4549</v>
      </c>
      <c r="E574" s="42" t="s">
        <v>4550</v>
      </c>
      <c r="F574" s="43" t="s">
        <v>4551</v>
      </c>
      <c r="G574" s="43" t="s">
        <v>4552</v>
      </c>
      <c r="H574" s="44" t="s">
        <v>148</v>
      </c>
      <c r="I574" s="15" t="str">
        <f>IFERROR(__xludf.DUMMYFUNCTION("GOOGLETRANSLATE(H574,""EN"",""ES"")"),"Gastronomía")</f>
        <v>Gastronomía</v>
      </c>
      <c r="J574" s="16" t="s">
        <v>27</v>
      </c>
      <c r="K574" s="17">
        <v>0.0</v>
      </c>
      <c r="L574" s="45"/>
      <c r="M574" s="18"/>
      <c r="N574" s="44"/>
      <c r="O574" s="44"/>
      <c r="P574" s="20">
        <v>0.0</v>
      </c>
      <c r="Q574" s="18"/>
      <c r="R574" s="18"/>
      <c r="S574" s="52"/>
      <c r="T574" s="22"/>
    </row>
    <row r="575">
      <c r="A575" s="23" t="s">
        <v>4553</v>
      </c>
      <c r="B575" s="40" t="s">
        <v>431</v>
      </c>
      <c r="C575" s="41">
        <v>45338.0</v>
      </c>
      <c r="D575" s="40" t="s">
        <v>4554</v>
      </c>
      <c r="E575" s="42" t="s">
        <v>4555</v>
      </c>
      <c r="F575" s="43" t="s">
        <v>4556</v>
      </c>
      <c r="G575" s="43" t="s">
        <v>4557</v>
      </c>
      <c r="H575" s="47" t="s">
        <v>148</v>
      </c>
      <c r="I575" s="25" t="str">
        <f>IFERROR(__xludf.DUMMYFUNCTION("GOOGLETRANSLATE(H575,""EN"",""ES"")"),"Gastronomía")</f>
        <v>Gastronomía</v>
      </c>
      <c r="J575" s="26" t="s">
        <v>27</v>
      </c>
      <c r="K575" s="17">
        <v>0.0</v>
      </c>
      <c r="L575" s="54"/>
      <c r="M575" s="31"/>
      <c r="N575" s="47"/>
      <c r="O575" s="47"/>
      <c r="P575" s="20">
        <v>0.0</v>
      </c>
      <c r="Q575" s="31"/>
      <c r="R575" s="31"/>
      <c r="S575" s="53"/>
      <c r="T575" s="32"/>
    </row>
    <row r="576">
      <c r="A576" s="33" t="s">
        <v>4558</v>
      </c>
      <c r="B576" s="40" t="s">
        <v>4559</v>
      </c>
      <c r="C576" s="41">
        <v>45338.0</v>
      </c>
      <c r="D576" s="40" t="s">
        <v>4560</v>
      </c>
      <c r="E576" s="42" t="s">
        <v>4561</v>
      </c>
      <c r="F576" s="43" t="s">
        <v>4562</v>
      </c>
      <c r="G576" s="43" t="s">
        <v>4563</v>
      </c>
      <c r="H576" s="44" t="s">
        <v>2281</v>
      </c>
      <c r="I576" s="15" t="str">
        <f>IFERROR(__xludf.DUMMYFUNCTION("GOOGLETRANSLATE(H576,""EN"",""ES"")"),"Operaciones comerciales")</f>
        <v>Operaciones comerciales</v>
      </c>
      <c r="J576" s="16" t="s">
        <v>35</v>
      </c>
      <c r="K576" s="48">
        <v>0.6</v>
      </c>
      <c r="L576" s="51" t="s">
        <v>4564</v>
      </c>
      <c r="M576" s="34" t="s">
        <v>4565</v>
      </c>
      <c r="N576" s="44" t="s">
        <v>4566</v>
      </c>
      <c r="O576" s="44" t="str">
        <f>IFERROR(__xludf.DUMMYFUNCTION("GOOGLETRANSLATE(N576,""EN"",""ES"")"),"Reconocer los logros en materia de seguridad en la refinería de Repsol refuerza su compromiso con la seguridad laboral.")</f>
        <v>Reconocer los logros en materia de seguridad en la refinería de Repsol refuerza su compromiso con la seguridad laboral.</v>
      </c>
      <c r="P576" s="30">
        <v>0.6</v>
      </c>
      <c r="Q576" s="18" t="str">
        <f>IFERROR(__xludf.DUMMYFUNCTION("GOOGLETRANSLATE(R576,""ES"",""EN"")"),"Safety, coordination award")</f>
        <v>Safety, coordination award</v>
      </c>
      <c r="R576" s="34" t="s">
        <v>4567</v>
      </c>
      <c r="S576" s="52" t="s">
        <v>4568</v>
      </c>
      <c r="T576" s="22" t="s">
        <v>4569</v>
      </c>
    </row>
    <row r="577">
      <c r="A577" s="23" t="s">
        <v>4570</v>
      </c>
      <c r="B577" s="40" t="s">
        <v>2792</v>
      </c>
      <c r="C577" s="41">
        <v>45338.0</v>
      </c>
      <c r="D577" s="40" t="s">
        <v>4571</v>
      </c>
      <c r="E577" s="42" t="s">
        <v>4572</v>
      </c>
      <c r="F577" s="43" t="s">
        <v>4573</v>
      </c>
      <c r="G577" s="43" t="s">
        <v>4574</v>
      </c>
      <c r="H577" s="47" t="s">
        <v>4575</v>
      </c>
      <c r="I577" s="25" t="str">
        <f>IFERROR(__xludf.DUMMYFUNCTION("GOOGLETRANSLATE(H577,""EN"",""ES"")"),"Ciberseguridad")</f>
        <v>Ciberseguridad</v>
      </c>
      <c r="J577" s="26" t="s">
        <v>27</v>
      </c>
      <c r="K577" s="17">
        <v>0.0</v>
      </c>
      <c r="L577" s="54"/>
      <c r="M577" s="31"/>
      <c r="N577" s="47"/>
      <c r="O577" s="47"/>
      <c r="P577" s="20">
        <v>0.0</v>
      </c>
      <c r="Q577" s="31"/>
      <c r="R577" s="31"/>
      <c r="S577" s="53"/>
      <c r="T577" s="32"/>
    </row>
    <row r="578">
      <c r="A578" s="33" t="s">
        <v>4576</v>
      </c>
      <c r="B578" s="40" t="s">
        <v>499</v>
      </c>
      <c r="C578" s="41">
        <v>45338.0</v>
      </c>
      <c r="D578" s="40" t="s">
        <v>4577</v>
      </c>
      <c r="E578" s="42" t="s">
        <v>4578</v>
      </c>
      <c r="F578" s="43" t="s">
        <v>4579</v>
      </c>
      <c r="G578" s="43" t="s">
        <v>4580</v>
      </c>
      <c r="H578" s="44" t="s">
        <v>4581</v>
      </c>
      <c r="I578" s="15" t="str">
        <f>IFERROR(__xludf.DUMMYFUNCTION("GOOGLETRANSLATE(H578,""EN"",""ES"")"),"Infraestructura Energética")</f>
        <v>Infraestructura Energética</v>
      </c>
      <c r="J578" s="16" t="s">
        <v>35</v>
      </c>
      <c r="K578" s="48">
        <v>-0.6</v>
      </c>
      <c r="L578" s="51" t="s">
        <v>4582</v>
      </c>
      <c r="M578" s="34" t="s">
        <v>4583</v>
      </c>
      <c r="N578" s="44" t="s">
        <v>4584</v>
      </c>
      <c r="O578" s="44" t="str">
        <f>IFERROR(__xludf.DUMMYFUNCTION("GOOGLETRANSLATE(N578,""EN"",""ES"")"),"Las interrupciones operativas en las instalaciones de regasificación pueden afectar a la cadena de suministro energético de Repsol.")</f>
        <v>Las interrupciones operativas en las instalaciones de regasificación pueden afectar a la cadena de suministro energético de Repsol.</v>
      </c>
      <c r="P578" s="30">
        <v>-0.5</v>
      </c>
      <c r="Q578" s="18" t="str">
        <f>IFERROR(__xludf.DUMMYFUNCTION("GOOGLETRANSLATE(R578,""ES"",""EN"")"),"incidence, not available")</f>
        <v>incidence, not available</v>
      </c>
      <c r="R578" s="34" t="s">
        <v>4585</v>
      </c>
      <c r="S578" s="52" t="s">
        <v>4586</v>
      </c>
      <c r="T578" s="22" t="s">
        <v>4587</v>
      </c>
    </row>
    <row r="579">
      <c r="A579" s="23" t="s">
        <v>4588</v>
      </c>
      <c r="B579" s="40" t="s">
        <v>217</v>
      </c>
      <c r="C579" s="41">
        <v>45338.0</v>
      </c>
      <c r="D579" s="40" t="s">
        <v>4589</v>
      </c>
      <c r="E579" s="42" t="s">
        <v>4590</v>
      </c>
      <c r="F579" s="43" t="s">
        <v>4591</v>
      </c>
      <c r="G579" s="43" t="s">
        <v>4592</v>
      </c>
      <c r="H579" s="47" t="s">
        <v>2591</v>
      </c>
      <c r="I579" s="25" t="str">
        <f>IFERROR(__xludf.DUMMYFUNCTION("GOOGLETRANSLATE(H579,""EN"",""ES"")"),"Negocio")</f>
        <v>Negocio</v>
      </c>
      <c r="J579" s="26" t="s">
        <v>27</v>
      </c>
      <c r="K579" s="17">
        <v>0.0</v>
      </c>
      <c r="L579" s="54"/>
      <c r="M579" s="31"/>
      <c r="N579" s="47"/>
      <c r="O579" s="47"/>
      <c r="P579" s="20">
        <v>0.0</v>
      </c>
      <c r="Q579" s="31"/>
      <c r="R579" s="31"/>
      <c r="S579" s="53"/>
      <c r="T579" s="32"/>
    </row>
    <row r="580">
      <c r="A580" s="33" t="s">
        <v>4593</v>
      </c>
      <c r="B580" s="40" t="s">
        <v>4594</v>
      </c>
      <c r="C580" s="41">
        <v>45338.0</v>
      </c>
      <c r="D580" s="40" t="s">
        <v>4595</v>
      </c>
      <c r="E580" s="42" t="s">
        <v>4596</v>
      </c>
      <c r="F580" s="43" t="s">
        <v>4597</v>
      </c>
      <c r="G580" s="43" t="s">
        <v>4598</v>
      </c>
      <c r="H580" s="44" t="s">
        <v>395</v>
      </c>
      <c r="I580" s="15" t="str">
        <f>IFERROR(__xludf.DUMMYFUNCTION("GOOGLETRANSLATE(H580,""EN"",""ES"")"),"Ambiente")</f>
        <v>Ambiente</v>
      </c>
      <c r="J580" s="16" t="s">
        <v>35</v>
      </c>
      <c r="K580" s="48">
        <v>-0.8</v>
      </c>
      <c r="L580" s="51" t="s">
        <v>4599</v>
      </c>
      <c r="M580" s="34" t="s">
        <v>4600</v>
      </c>
      <c r="N580" s="44" t="s">
        <v>4601</v>
      </c>
      <c r="O580" s="44" t="str">
        <f>IFERROR(__xludf.DUMMYFUNCTION("GOOGLETRANSLATE(N580,""EN"",""ES"")"),"El continuo impacto negativo en las comunidades locales refuerza la controversia ambiental que rodea a Repsol.")</f>
        <v>El continuo impacto negativo en las comunidades locales refuerza la controversia ambiental que rodea a Repsol.</v>
      </c>
      <c r="P580" s="30">
        <v>-0.8</v>
      </c>
      <c r="Q580" s="18" t="str">
        <f>IFERROR(__xludf.DUMMYFUNCTION("GOOGLETRANSLATE(R580,""ES"",""EN"")"),"spill, drifting fishermen")</f>
        <v>spill, drifting fishermen</v>
      </c>
      <c r="R580" s="34" t="s">
        <v>4602</v>
      </c>
      <c r="S580" s="52" t="s">
        <v>4603</v>
      </c>
      <c r="T580" s="22" t="s">
        <v>4604</v>
      </c>
    </row>
    <row r="581">
      <c r="A581" s="23" t="s">
        <v>4605</v>
      </c>
      <c r="B581" s="40" t="s">
        <v>4606</v>
      </c>
      <c r="C581" s="41">
        <v>45338.0</v>
      </c>
      <c r="D581" s="40" t="s">
        <v>4607</v>
      </c>
      <c r="E581" s="42" t="s">
        <v>4608</v>
      </c>
      <c r="F581" s="43" t="s">
        <v>4609</v>
      </c>
      <c r="G581" s="43" t="s">
        <v>4610</v>
      </c>
      <c r="H581" s="47" t="s">
        <v>26</v>
      </c>
      <c r="I581" s="25" t="str">
        <f>IFERROR(__xludf.DUMMYFUNCTION("GOOGLETRANSLATE(H581,""EN"",""ES"")"),"Otro")</f>
        <v>Otro</v>
      </c>
      <c r="J581" s="26" t="s">
        <v>27</v>
      </c>
      <c r="K581" s="17">
        <v>0.0</v>
      </c>
      <c r="L581" s="54"/>
      <c r="M581" s="31"/>
      <c r="N581" s="47"/>
      <c r="O581" s="47"/>
      <c r="P581" s="20">
        <v>0.0</v>
      </c>
      <c r="Q581" s="31"/>
      <c r="R581" s="31"/>
      <c r="S581" s="53"/>
      <c r="T581" s="32"/>
    </row>
    <row r="582">
      <c r="A582" s="33" t="s">
        <v>4611</v>
      </c>
      <c r="B582" s="40" t="s">
        <v>50</v>
      </c>
      <c r="C582" s="41">
        <v>45338.0</v>
      </c>
      <c r="D582" s="40" t="s">
        <v>4612</v>
      </c>
      <c r="E582" s="42" t="s">
        <v>4613</v>
      </c>
      <c r="F582" s="43" t="s">
        <v>4614</v>
      </c>
      <c r="G582" s="43" t="s">
        <v>4615</v>
      </c>
      <c r="H582" s="44" t="s">
        <v>55</v>
      </c>
      <c r="I582" s="15" t="str">
        <f>IFERROR(__xludf.DUMMYFUNCTION("GOOGLETRANSLATE(H582,""EN"",""ES"")"),"deportes de motor")</f>
        <v>deportes de motor</v>
      </c>
      <c r="J582" s="16" t="s">
        <v>27</v>
      </c>
      <c r="K582" s="17">
        <v>0.0</v>
      </c>
      <c r="L582" s="45"/>
      <c r="M582" s="18"/>
      <c r="N582" s="44"/>
      <c r="O582" s="44"/>
      <c r="P582" s="20">
        <v>0.0</v>
      </c>
      <c r="Q582" s="18"/>
      <c r="R582" s="18"/>
      <c r="S582" s="52"/>
      <c r="T582" s="22"/>
    </row>
    <row r="583">
      <c r="A583" s="23" t="s">
        <v>4616</v>
      </c>
      <c r="B583" s="40" t="s">
        <v>4617</v>
      </c>
      <c r="C583" s="41">
        <v>45338.0</v>
      </c>
      <c r="D583" s="40" t="s">
        <v>4618</v>
      </c>
      <c r="E583" s="42" t="s">
        <v>4618</v>
      </c>
      <c r="F583" s="43" t="s">
        <v>4619</v>
      </c>
      <c r="G583" s="43" t="s">
        <v>4619</v>
      </c>
      <c r="H583" s="47" t="s">
        <v>148</v>
      </c>
      <c r="I583" s="25" t="str">
        <f>IFERROR(__xludf.DUMMYFUNCTION("GOOGLETRANSLATE(H583,""EN"",""ES"")"),"Gastronomía")</f>
        <v>Gastronomía</v>
      </c>
      <c r="J583" s="26" t="s">
        <v>35</v>
      </c>
      <c r="K583" s="48">
        <v>0.0</v>
      </c>
      <c r="L583" s="54"/>
      <c r="M583" s="31"/>
      <c r="N583" s="47" t="s">
        <v>4620</v>
      </c>
      <c r="O583" s="47" t="str">
        <f>IFERROR(__xludf.DUMMYFUNCTION("GOOGLETRANSLATE(N583,""EN"",""ES"")"),"Los rankings de ciudades gastronómicas no impactan en el negocio de Repsol.")</f>
        <v>Los rankings de ciudades gastronómicas no impactan en el negocio de Repsol.</v>
      </c>
      <c r="P583" s="30">
        <v>0.6</v>
      </c>
      <c r="Q583" s="31" t="str">
        <f>IFERROR(__xludf.DUMMYFUNCTION("GOOGLETRANSLATE(R583,""ES"",""EN"")"),"renewable diesel, improvement")</f>
        <v>renewable diesel, improvement</v>
      </c>
      <c r="R583" s="28" t="s">
        <v>4621</v>
      </c>
      <c r="S583" s="53" t="s">
        <v>4062</v>
      </c>
      <c r="T583" s="32" t="s">
        <v>4063</v>
      </c>
    </row>
    <row r="584">
      <c r="A584" s="33" t="s">
        <v>4622</v>
      </c>
      <c r="B584" s="40" t="s">
        <v>4623</v>
      </c>
      <c r="C584" s="41">
        <v>45339.0</v>
      </c>
      <c r="D584" s="40" t="s">
        <v>4624</v>
      </c>
      <c r="E584" s="42" t="s">
        <v>4625</v>
      </c>
      <c r="F584" s="43" t="s">
        <v>4626</v>
      </c>
      <c r="G584" s="43" t="s">
        <v>4627</v>
      </c>
      <c r="H584" s="44" t="s">
        <v>148</v>
      </c>
      <c r="I584" s="15" t="str">
        <f>IFERROR(__xludf.DUMMYFUNCTION("GOOGLETRANSLATE(H584,""EN"",""ES"")"),"Gastronomía")</f>
        <v>Gastronomía</v>
      </c>
      <c r="J584" s="16" t="s">
        <v>27</v>
      </c>
      <c r="K584" s="17">
        <v>0.0</v>
      </c>
      <c r="L584" s="45"/>
      <c r="M584" s="18"/>
      <c r="N584" s="44"/>
      <c r="O584" s="44"/>
      <c r="P584" s="20">
        <v>0.0</v>
      </c>
      <c r="Q584" s="18"/>
      <c r="R584" s="18"/>
      <c r="S584" s="52"/>
      <c r="T584" s="22"/>
    </row>
    <row r="585">
      <c r="A585" s="23" t="s">
        <v>4628</v>
      </c>
      <c r="B585" s="40" t="s">
        <v>4432</v>
      </c>
      <c r="C585" s="41">
        <v>45339.0</v>
      </c>
      <c r="D585" s="40" t="s">
        <v>4629</v>
      </c>
      <c r="E585" s="42" t="s">
        <v>4630</v>
      </c>
      <c r="F585" s="43" t="s">
        <v>4631</v>
      </c>
      <c r="G585" s="43" t="s">
        <v>4632</v>
      </c>
      <c r="H585" s="47" t="s">
        <v>55</v>
      </c>
      <c r="I585" s="25" t="str">
        <f>IFERROR(__xludf.DUMMYFUNCTION("GOOGLETRANSLATE(H585,""EN"",""ES"")"),"deportes de motor")</f>
        <v>deportes de motor</v>
      </c>
      <c r="J585" s="26" t="s">
        <v>27</v>
      </c>
      <c r="K585" s="17">
        <v>0.0</v>
      </c>
      <c r="L585" s="54"/>
      <c r="M585" s="31"/>
      <c r="N585" s="47"/>
      <c r="O585" s="47"/>
      <c r="P585" s="20">
        <v>0.0</v>
      </c>
      <c r="Q585" s="31"/>
      <c r="R585" s="31"/>
      <c r="S585" s="53"/>
      <c r="T585" s="32"/>
    </row>
    <row r="586">
      <c r="A586" s="33" t="s">
        <v>4633</v>
      </c>
      <c r="B586" s="40" t="s">
        <v>4634</v>
      </c>
      <c r="C586" s="41">
        <v>45339.0</v>
      </c>
      <c r="D586" s="40" t="s">
        <v>4635</v>
      </c>
      <c r="E586" s="42" t="s">
        <v>4636</v>
      </c>
      <c r="F586" s="43" t="s">
        <v>4637</v>
      </c>
      <c r="G586" s="43" t="s">
        <v>4638</v>
      </c>
      <c r="H586" s="44" t="s">
        <v>2447</v>
      </c>
      <c r="I586" s="15" t="str">
        <f>IFERROR(__xludf.DUMMYFUNCTION("GOOGLETRANSLATE(H586,""EN"",""ES"")"),"Asuntos del Consumidor")</f>
        <v>Asuntos del Consumidor</v>
      </c>
      <c r="J586" s="16" t="s">
        <v>27</v>
      </c>
      <c r="K586" s="17">
        <v>0.0</v>
      </c>
      <c r="L586" s="45"/>
      <c r="M586" s="18"/>
      <c r="N586" s="44"/>
      <c r="O586" s="44"/>
      <c r="P586" s="20">
        <v>0.0</v>
      </c>
      <c r="Q586" s="18"/>
      <c r="R586" s="18"/>
      <c r="S586" s="52"/>
      <c r="T586" s="22"/>
    </row>
    <row r="587">
      <c r="A587" s="23" t="s">
        <v>4639</v>
      </c>
      <c r="B587" s="40" t="s">
        <v>1072</v>
      </c>
      <c r="C587" s="41">
        <v>45340.0</v>
      </c>
      <c r="D587" s="40" t="s">
        <v>4640</v>
      </c>
      <c r="E587" s="42" t="s">
        <v>4641</v>
      </c>
      <c r="F587" s="43" t="s">
        <v>4642</v>
      </c>
      <c r="G587" s="43" t="s">
        <v>4643</v>
      </c>
      <c r="H587" s="47" t="s">
        <v>661</v>
      </c>
      <c r="I587" s="25" t="str">
        <f>IFERROR(__xludf.DUMMYFUNCTION("GOOGLETRANSLATE(H587,""EN"",""ES"")"),"Estrategia empresarial")</f>
        <v>Estrategia empresarial</v>
      </c>
      <c r="J587" s="26" t="s">
        <v>35</v>
      </c>
      <c r="K587" s="48">
        <v>0.6</v>
      </c>
      <c r="L587" s="49" t="s">
        <v>4644</v>
      </c>
      <c r="M587" s="28" t="s">
        <v>4645</v>
      </c>
      <c r="N587" s="47" t="s">
        <v>4646</v>
      </c>
      <c r="O587" s="47" t="str">
        <f>IFERROR(__xludf.DUMMYFUNCTION("GOOGLETRANSLATE(N587,""EN"",""ES"")"),"La actualización del plan estratégico señala la dirección futura y el posicionamiento en el mercado de Repsol.")</f>
        <v>La actualización del plan estratégico señala la dirección futura y el posicionamiento en el mercado de Repsol.</v>
      </c>
      <c r="P587" s="30">
        <v>0.5</v>
      </c>
      <c r="Q587" s="31" t="str">
        <f>IFERROR(__xludf.DUMMYFUNCTION("GOOGLETRANSLATE(R587,""ES"",""EN"")"),"strategic plan, investments")</f>
        <v>strategic plan, investments</v>
      </c>
      <c r="R587" s="28" t="s">
        <v>4647</v>
      </c>
      <c r="S587" s="53" t="s">
        <v>4648</v>
      </c>
      <c r="T587" s="32" t="s">
        <v>4649</v>
      </c>
    </row>
    <row r="588">
      <c r="A588" s="33" t="s">
        <v>4650</v>
      </c>
      <c r="B588" s="40" t="s">
        <v>85</v>
      </c>
      <c r="C588" s="41">
        <v>45340.0</v>
      </c>
      <c r="D588" s="40" t="s">
        <v>4651</v>
      </c>
      <c r="E588" s="42" t="s">
        <v>4652</v>
      </c>
      <c r="F588" s="43" t="s">
        <v>4653</v>
      </c>
      <c r="G588" s="43" t="s">
        <v>4654</v>
      </c>
      <c r="H588" s="44" t="s">
        <v>130</v>
      </c>
      <c r="I588" s="15" t="str">
        <f>IFERROR(__xludf.DUMMYFUNCTION("GOOGLETRANSLATE(H588,""EN"",""ES"")"),"Sostenibilidad")</f>
        <v>Sostenibilidad</v>
      </c>
      <c r="J588" s="16" t="s">
        <v>35</v>
      </c>
      <c r="K588" s="48">
        <v>0.7</v>
      </c>
      <c r="L588" s="51" t="s">
        <v>4655</v>
      </c>
      <c r="M588" s="34" t="s">
        <v>4656</v>
      </c>
      <c r="N588" s="44" t="s">
        <v>4657</v>
      </c>
      <c r="O588" s="44" t="str">
        <f>IFERROR(__xludf.DUMMYFUNCTION("GOOGLETRANSLATE(N588,""EN"",""ES"")"),"Reafirmar el compromiso con la descarbonización se alinea con la estrategia de sostenibilidad de Repsol.")</f>
        <v>Reafirmar el compromiso con la descarbonización se alinea con la estrategia de sostenibilidad de Repsol.</v>
      </c>
      <c r="P588" s="30">
        <v>0.7</v>
      </c>
      <c r="Q588" s="18" t="str">
        <f>IFERROR(__xludf.DUMMYFUNCTION("GOOGLETRANSLATE(R588,""ES"",""EN"")"),"decarbonization, renewable fuels")</f>
        <v>decarbonization, renewable fuels</v>
      </c>
      <c r="R588" s="34" t="s">
        <v>4658</v>
      </c>
      <c r="S588" s="52" t="s">
        <v>4659</v>
      </c>
      <c r="T588" s="22" t="s">
        <v>4660</v>
      </c>
    </row>
    <row r="589">
      <c r="A589" s="23" t="s">
        <v>4661</v>
      </c>
      <c r="B589" s="40" t="s">
        <v>1970</v>
      </c>
      <c r="C589" s="41">
        <v>45340.0</v>
      </c>
      <c r="D589" s="40" t="s">
        <v>4662</v>
      </c>
      <c r="E589" s="42" t="s">
        <v>4663</v>
      </c>
      <c r="F589" s="43" t="s">
        <v>4664</v>
      </c>
      <c r="G589" s="43" t="s">
        <v>4665</v>
      </c>
      <c r="H589" s="47" t="s">
        <v>48</v>
      </c>
      <c r="I589" s="25" t="str">
        <f>IFERROR(__xludf.DUMMYFUNCTION("GOOGLETRANSLATE(H589,""EN"",""ES"")"),"Finanzas")</f>
        <v>Finanzas</v>
      </c>
      <c r="J589" s="26" t="s">
        <v>27</v>
      </c>
      <c r="K589" s="17">
        <v>0.0</v>
      </c>
      <c r="L589" s="54"/>
      <c r="M589" s="31"/>
      <c r="N589" s="47"/>
      <c r="O589" s="47"/>
      <c r="P589" s="20">
        <v>0.0</v>
      </c>
      <c r="Q589" s="31"/>
      <c r="R589" s="31"/>
      <c r="S589" s="53"/>
      <c r="T589" s="32"/>
    </row>
    <row r="590">
      <c r="A590" s="33" t="s">
        <v>4666</v>
      </c>
      <c r="B590" s="40" t="s">
        <v>4634</v>
      </c>
      <c r="C590" s="41">
        <v>45340.0</v>
      </c>
      <c r="D590" s="40" t="s">
        <v>4667</v>
      </c>
      <c r="E590" s="42" t="s">
        <v>4668</v>
      </c>
      <c r="F590" s="43" t="s">
        <v>4669</v>
      </c>
      <c r="G590" s="43" t="s">
        <v>4670</v>
      </c>
      <c r="H590" s="44" t="s">
        <v>4671</v>
      </c>
      <c r="I590" s="15" t="str">
        <f>IFERROR(__xludf.DUMMYFUNCTION("GOOGLETRANSLATE(H590,""EN"",""ES"")"),"Delito")</f>
        <v>Delito</v>
      </c>
      <c r="J590" s="16" t="s">
        <v>27</v>
      </c>
      <c r="K590" s="17">
        <v>0.0</v>
      </c>
      <c r="L590" s="45"/>
      <c r="M590" s="18"/>
      <c r="N590" s="44"/>
      <c r="O590" s="44"/>
      <c r="P590" s="20">
        <v>0.0</v>
      </c>
      <c r="Q590" s="18"/>
      <c r="R590" s="18"/>
      <c r="S590" s="52"/>
      <c r="T590" s="22"/>
    </row>
    <row r="591">
      <c r="A591" s="23" t="s">
        <v>4672</v>
      </c>
      <c r="B591" s="40" t="s">
        <v>4673</v>
      </c>
      <c r="C591" s="41">
        <v>45340.0</v>
      </c>
      <c r="D591" s="40" t="s">
        <v>4674</v>
      </c>
      <c r="E591" s="42" t="s">
        <v>4675</v>
      </c>
      <c r="F591" s="43" t="s">
        <v>4676</v>
      </c>
      <c r="G591" s="43" t="s">
        <v>4677</v>
      </c>
      <c r="H591" s="47" t="s">
        <v>26</v>
      </c>
      <c r="I591" s="25" t="str">
        <f>IFERROR(__xludf.DUMMYFUNCTION("GOOGLETRANSLATE(H591,""EN"",""ES"")"),"Otro")</f>
        <v>Otro</v>
      </c>
      <c r="J591" s="26" t="s">
        <v>27</v>
      </c>
      <c r="K591" s="17">
        <v>0.0</v>
      </c>
      <c r="L591" s="54"/>
      <c r="M591" s="31"/>
      <c r="N591" s="47"/>
      <c r="O591" s="47"/>
      <c r="P591" s="20">
        <v>0.0</v>
      </c>
      <c r="Q591" s="31"/>
      <c r="R591" s="31"/>
      <c r="S591" s="53"/>
      <c r="T591" s="32"/>
    </row>
    <row r="592">
      <c r="A592" s="33" t="s">
        <v>4678</v>
      </c>
      <c r="B592" s="40" t="s">
        <v>3676</v>
      </c>
      <c r="C592" s="41">
        <v>45341.0</v>
      </c>
      <c r="D592" s="40" t="s">
        <v>4679</v>
      </c>
      <c r="E592" s="42" t="s">
        <v>4680</v>
      </c>
      <c r="F592" s="43" t="s">
        <v>4681</v>
      </c>
      <c r="G592" s="43" t="s">
        <v>4682</v>
      </c>
      <c r="H592" s="44" t="s">
        <v>661</v>
      </c>
      <c r="I592" s="15" t="str">
        <f>IFERROR(__xludf.DUMMYFUNCTION("GOOGLETRANSLATE(H592,""EN"",""ES"")"),"Estrategia empresarial")</f>
        <v>Estrategia empresarial</v>
      </c>
      <c r="J592" s="16" t="s">
        <v>35</v>
      </c>
      <c r="K592" s="48">
        <v>0.6</v>
      </c>
      <c r="L592" s="51" t="s">
        <v>4683</v>
      </c>
      <c r="M592" s="34" t="s">
        <v>4684</v>
      </c>
      <c r="N592" s="44" t="s">
        <v>4685</v>
      </c>
      <c r="O592" s="44" t="str">
        <f>IFERROR(__xludf.DUMMYFUNCTION("GOOGLETRANSLATE(N592,""EN"",""ES"")"),"La toma del control total de Gespevesa fortalece las operaciones comerciales estratégicas de Repsol.")</f>
        <v>La toma del control total de Gespevesa fortalece las operaciones comerciales estratégicas de Repsol.</v>
      </c>
      <c r="P592" s="30">
        <v>0.3</v>
      </c>
      <c r="Q592" s="18" t="str">
        <f>IFERROR(__xludf.DUMMYFUNCTION("GOOGLETRANSLATE(R592,""ES"",""EN"")"),"administration, changes")</f>
        <v>administration, changes</v>
      </c>
      <c r="R592" s="34" t="s">
        <v>4686</v>
      </c>
      <c r="S592" s="52" t="s">
        <v>4687</v>
      </c>
      <c r="T592" s="22" t="s">
        <v>4688</v>
      </c>
    </row>
    <row r="593">
      <c r="A593" s="23" t="s">
        <v>4689</v>
      </c>
      <c r="B593" s="40" t="s">
        <v>4690</v>
      </c>
      <c r="C593" s="41">
        <v>45341.0</v>
      </c>
      <c r="D593" s="40" t="s">
        <v>4691</v>
      </c>
      <c r="E593" s="42" t="s">
        <v>4692</v>
      </c>
      <c r="F593" s="43" t="s">
        <v>4693</v>
      </c>
      <c r="G593" s="43" t="s">
        <v>4694</v>
      </c>
      <c r="H593" s="47" t="s">
        <v>661</v>
      </c>
      <c r="I593" s="25" t="str">
        <f>IFERROR(__xludf.DUMMYFUNCTION("GOOGLETRANSLATE(H593,""EN"",""ES"")"),"Estrategia empresarial")</f>
        <v>Estrategia empresarial</v>
      </c>
      <c r="J593" s="26" t="s">
        <v>35</v>
      </c>
      <c r="K593" s="48">
        <v>0.6</v>
      </c>
      <c r="L593" s="49" t="s">
        <v>4695</v>
      </c>
      <c r="M593" s="28" t="s">
        <v>4696</v>
      </c>
      <c r="N593" s="47" t="s">
        <v>4697</v>
      </c>
      <c r="O593" s="47" t="str">
        <f>IFERROR(__xludf.DUMMYFUNCTION("GOOGLETRANSLATE(N593,""EN"",""ES"")"),"La adquisición de la totalidad de Gespevesa amplía el alcance empresarial de Repsol.")</f>
        <v>La adquisición de la totalidad de Gespevesa amplía el alcance empresarial de Repsol.</v>
      </c>
      <c r="P593" s="30">
        <v>0.3</v>
      </c>
      <c r="Q593" s="31" t="str">
        <f>IFERROR(__xludf.DUMMYFUNCTION("GOOGLETRANSLATE(R593,""ES"",""EN"")"),"sale, Gespevesa")</f>
        <v>sale, Gespevesa</v>
      </c>
      <c r="R593" s="28" t="s">
        <v>4698</v>
      </c>
      <c r="S593" s="53" t="s">
        <v>4699</v>
      </c>
      <c r="T593" s="32" t="s">
        <v>4700</v>
      </c>
    </row>
    <row r="594">
      <c r="A594" s="33" t="s">
        <v>4701</v>
      </c>
      <c r="B594" s="40" t="s">
        <v>21</v>
      </c>
      <c r="C594" s="41">
        <v>45341.0</v>
      </c>
      <c r="D594" s="40" t="s">
        <v>4702</v>
      </c>
      <c r="E594" s="42" t="s">
        <v>4703</v>
      </c>
      <c r="F594" s="43" t="s">
        <v>4704</v>
      </c>
      <c r="G594" s="43" t="s">
        <v>4705</v>
      </c>
      <c r="H594" s="44" t="s">
        <v>148</v>
      </c>
      <c r="I594" s="15" t="str">
        <f>IFERROR(__xludf.DUMMYFUNCTION("GOOGLETRANSLATE(H594,""EN"",""ES"")"),"Gastronomía")</f>
        <v>Gastronomía</v>
      </c>
      <c r="J594" s="16" t="s">
        <v>27</v>
      </c>
      <c r="K594" s="17">
        <v>0.0</v>
      </c>
      <c r="L594" s="45"/>
      <c r="M594" s="18"/>
      <c r="N594" s="44"/>
      <c r="O594" s="44"/>
      <c r="P594" s="20">
        <v>0.0</v>
      </c>
      <c r="Q594" s="18"/>
      <c r="R594" s="18"/>
      <c r="S594" s="52"/>
      <c r="T594" s="22"/>
    </row>
    <row r="595">
      <c r="A595" s="23" t="s">
        <v>4706</v>
      </c>
      <c r="B595" s="40" t="s">
        <v>2442</v>
      </c>
      <c r="C595" s="41">
        <v>45341.0</v>
      </c>
      <c r="D595" s="40" t="s">
        <v>4707</v>
      </c>
      <c r="E595" s="42" t="s">
        <v>4708</v>
      </c>
      <c r="F595" s="43" t="s">
        <v>4709</v>
      </c>
      <c r="G595" s="43" t="s">
        <v>4710</v>
      </c>
      <c r="H595" s="47" t="s">
        <v>148</v>
      </c>
      <c r="I595" s="25" t="str">
        <f>IFERROR(__xludf.DUMMYFUNCTION("GOOGLETRANSLATE(H595,""EN"",""ES"")"),"Gastronomía")</f>
        <v>Gastronomía</v>
      </c>
      <c r="J595" s="26" t="s">
        <v>27</v>
      </c>
      <c r="K595" s="17">
        <v>0.0</v>
      </c>
      <c r="L595" s="54"/>
      <c r="M595" s="31"/>
      <c r="N595" s="47"/>
      <c r="O595" s="47"/>
      <c r="P595" s="20">
        <v>0.0</v>
      </c>
      <c r="Q595" s="31"/>
      <c r="R595" s="31"/>
      <c r="S595" s="53"/>
      <c r="T595" s="32"/>
    </row>
    <row r="596">
      <c r="A596" s="33" t="s">
        <v>4711</v>
      </c>
      <c r="B596" s="40" t="s">
        <v>1768</v>
      </c>
      <c r="C596" s="41">
        <v>45341.0</v>
      </c>
      <c r="D596" s="40" t="s">
        <v>4712</v>
      </c>
      <c r="E596" s="42" t="s">
        <v>4713</v>
      </c>
      <c r="F596" s="43" t="s">
        <v>4714</v>
      </c>
      <c r="G596" s="43" t="s">
        <v>4715</v>
      </c>
      <c r="H596" s="44" t="s">
        <v>26</v>
      </c>
      <c r="I596" s="15" t="str">
        <f>IFERROR(__xludf.DUMMYFUNCTION("GOOGLETRANSLATE(H596,""EN"",""ES"")"),"Otro")</f>
        <v>Otro</v>
      </c>
      <c r="J596" s="16" t="s">
        <v>27</v>
      </c>
      <c r="K596" s="17">
        <v>0.0</v>
      </c>
      <c r="L596" s="45"/>
      <c r="M596" s="18"/>
      <c r="N596" s="44"/>
      <c r="O596" s="44"/>
      <c r="P596" s="20">
        <v>0.0</v>
      </c>
      <c r="Q596" s="18"/>
      <c r="R596" s="18"/>
      <c r="S596" s="52"/>
      <c r="T596" s="22"/>
    </row>
    <row r="597">
      <c r="A597" s="23" t="s">
        <v>4716</v>
      </c>
      <c r="B597" s="40" t="s">
        <v>1192</v>
      </c>
      <c r="C597" s="41">
        <v>45341.0</v>
      </c>
      <c r="D597" s="40" t="s">
        <v>4717</v>
      </c>
      <c r="E597" s="42" t="s">
        <v>4718</v>
      </c>
      <c r="F597" s="43" t="s">
        <v>4719</v>
      </c>
      <c r="G597" s="43" t="s">
        <v>4720</v>
      </c>
      <c r="H597" s="47" t="s">
        <v>148</v>
      </c>
      <c r="I597" s="25" t="str">
        <f>IFERROR(__xludf.DUMMYFUNCTION("GOOGLETRANSLATE(H597,""EN"",""ES"")"),"Gastronomía")</f>
        <v>Gastronomía</v>
      </c>
      <c r="J597" s="26" t="s">
        <v>27</v>
      </c>
      <c r="K597" s="17">
        <v>0.0</v>
      </c>
      <c r="L597" s="54"/>
      <c r="M597" s="31"/>
      <c r="N597" s="47"/>
      <c r="O597" s="47"/>
      <c r="P597" s="20">
        <v>0.0</v>
      </c>
      <c r="Q597" s="31"/>
      <c r="R597" s="31"/>
      <c r="S597" s="53"/>
      <c r="T597" s="32"/>
    </row>
    <row r="598">
      <c r="A598" s="33" t="s">
        <v>4721</v>
      </c>
      <c r="B598" s="40" t="s">
        <v>163</v>
      </c>
      <c r="C598" s="41">
        <v>45341.0</v>
      </c>
      <c r="D598" s="40" t="s">
        <v>4722</v>
      </c>
      <c r="E598" s="42" t="s">
        <v>4722</v>
      </c>
      <c r="F598" s="43" t="s">
        <v>4723</v>
      </c>
      <c r="G598" s="43" t="s">
        <v>4723</v>
      </c>
      <c r="H598" s="44" t="s">
        <v>1914</v>
      </c>
      <c r="I598" s="15" t="str">
        <f>IFERROR(__xludf.DUMMYFUNCTION("GOOGLETRANSLATE(H598,""EN"",""ES"")"),"Política energética")</f>
        <v>Política energética</v>
      </c>
      <c r="J598" s="16" t="s">
        <v>27</v>
      </c>
      <c r="K598" s="17">
        <v>0.0</v>
      </c>
      <c r="L598" s="45"/>
      <c r="M598" s="18"/>
      <c r="N598" s="44"/>
      <c r="O598" s="44"/>
      <c r="P598" s="20">
        <v>0.0</v>
      </c>
      <c r="Q598" s="18"/>
      <c r="R598" s="18"/>
      <c r="S598" s="52"/>
      <c r="T598" s="22"/>
    </row>
    <row r="599">
      <c r="A599" s="23" t="s">
        <v>4724</v>
      </c>
      <c r="B599" s="40" t="s">
        <v>85</v>
      </c>
      <c r="C599" s="41">
        <v>45341.0</v>
      </c>
      <c r="D599" s="40" t="s">
        <v>4725</v>
      </c>
      <c r="E599" s="42" t="s">
        <v>4726</v>
      </c>
      <c r="F599" s="43" t="s">
        <v>4727</v>
      </c>
      <c r="G599" s="43" t="s">
        <v>4728</v>
      </c>
      <c r="H599" s="47" t="s">
        <v>148</v>
      </c>
      <c r="I599" s="25" t="str">
        <f>IFERROR(__xludf.DUMMYFUNCTION("GOOGLETRANSLATE(H599,""EN"",""ES"")"),"Gastronomía")</f>
        <v>Gastronomía</v>
      </c>
      <c r="J599" s="26" t="s">
        <v>27</v>
      </c>
      <c r="K599" s="17">
        <v>0.0</v>
      </c>
      <c r="L599" s="54"/>
      <c r="M599" s="31"/>
      <c r="N599" s="47"/>
      <c r="O599" s="47"/>
      <c r="P599" s="20">
        <v>0.0</v>
      </c>
      <c r="Q599" s="31"/>
      <c r="R599" s="31"/>
      <c r="S599" s="53"/>
      <c r="T599" s="32"/>
    </row>
    <row r="600">
      <c r="A600" s="33" t="s">
        <v>4729</v>
      </c>
      <c r="B600" s="40" t="s">
        <v>1168</v>
      </c>
      <c r="C600" s="41">
        <v>45341.0</v>
      </c>
      <c r="D600" s="40" t="s">
        <v>4730</v>
      </c>
      <c r="E600" s="42" t="s">
        <v>4731</v>
      </c>
      <c r="F600" s="43" t="s">
        <v>4732</v>
      </c>
      <c r="G600" s="43" t="s">
        <v>4733</v>
      </c>
      <c r="H600" s="44" t="s">
        <v>148</v>
      </c>
      <c r="I600" s="15" t="str">
        <f>IFERROR(__xludf.DUMMYFUNCTION("GOOGLETRANSLATE(H600,""EN"",""ES"")"),"Gastronomía")</f>
        <v>Gastronomía</v>
      </c>
      <c r="J600" s="16" t="s">
        <v>27</v>
      </c>
      <c r="K600" s="17">
        <v>0.0</v>
      </c>
      <c r="L600" s="45"/>
      <c r="M600" s="18"/>
      <c r="N600" s="44"/>
      <c r="O600" s="44"/>
      <c r="P600" s="20">
        <v>0.0</v>
      </c>
      <c r="Q600" s="18"/>
      <c r="R600" s="18"/>
      <c r="S600" s="52"/>
      <c r="T600" s="22"/>
    </row>
    <row r="601">
      <c r="A601" s="23" t="s">
        <v>4734</v>
      </c>
      <c r="B601" s="40" t="s">
        <v>3543</v>
      </c>
      <c r="C601" s="41">
        <v>45341.0</v>
      </c>
      <c r="D601" s="40" t="s">
        <v>4735</v>
      </c>
      <c r="E601" s="42" t="s">
        <v>4736</v>
      </c>
      <c r="F601" s="43" t="s">
        <v>4737</v>
      </c>
      <c r="G601" s="43" t="s">
        <v>4738</v>
      </c>
      <c r="H601" s="47" t="s">
        <v>148</v>
      </c>
      <c r="I601" s="25" t="str">
        <f>IFERROR(__xludf.DUMMYFUNCTION("GOOGLETRANSLATE(H601,""EN"",""ES"")"),"Gastronomía")</f>
        <v>Gastronomía</v>
      </c>
      <c r="J601" s="26" t="s">
        <v>27</v>
      </c>
      <c r="K601" s="17">
        <v>0.0</v>
      </c>
      <c r="L601" s="54"/>
      <c r="M601" s="31"/>
      <c r="N601" s="47"/>
      <c r="O601" s="47"/>
      <c r="P601" s="20">
        <v>0.0</v>
      </c>
      <c r="Q601" s="31"/>
      <c r="R601" s="31"/>
      <c r="S601" s="53"/>
      <c r="T601" s="32"/>
    </row>
    <row r="602">
      <c r="A602" s="33" t="s">
        <v>4739</v>
      </c>
      <c r="B602" s="40" t="s">
        <v>2792</v>
      </c>
      <c r="C602" s="41">
        <v>45341.0</v>
      </c>
      <c r="D602" s="40" t="s">
        <v>4740</v>
      </c>
      <c r="E602" s="42" t="s">
        <v>4741</v>
      </c>
      <c r="F602" s="43" t="s">
        <v>4742</v>
      </c>
      <c r="G602" s="43" t="s">
        <v>4743</v>
      </c>
      <c r="H602" s="44" t="s">
        <v>148</v>
      </c>
      <c r="I602" s="15" t="str">
        <f>IFERROR(__xludf.DUMMYFUNCTION("GOOGLETRANSLATE(H602,""EN"",""ES"")"),"Gastronomía")</f>
        <v>Gastronomía</v>
      </c>
      <c r="J602" s="16" t="s">
        <v>27</v>
      </c>
      <c r="K602" s="17">
        <v>0.0</v>
      </c>
      <c r="L602" s="45"/>
      <c r="M602" s="18"/>
      <c r="N602" s="44"/>
      <c r="O602" s="44"/>
      <c r="P602" s="20">
        <v>0.0</v>
      </c>
      <c r="Q602" s="18"/>
      <c r="R602" s="18"/>
      <c r="S602" s="52"/>
      <c r="T602" s="22"/>
    </row>
    <row r="603">
      <c r="A603" s="23" t="s">
        <v>4744</v>
      </c>
      <c r="B603" s="40" t="s">
        <v>1577</v>
      </c>
      <c r="C603" s="41">
        <v>45341.0</v>
      </c>
      <c r="D603" s="40" t="s">
        <v>4745</v>
      </c>
      <c r="E603" s="42" t="s">
        <v>4746</v>
      </c>
      <c r="F603" s="43" t="s">
        <v>4747</v>
      </c>
      <c r="G603" s="43" t="s">
        <v>4748</v>
      </c>
      <c r="H603" s="47" t="s">
        <v>148</v>
      </c>
      <c r="I603" s="25" t="str">
        <f>IFERROR(__xludf.DUMMYFUNCTION("GOOGLETRANSLATE(H603,""EN"",""ES"")"),"Gastronomía")</f>
        <v>Gastronomía</v>
      </c>
      <c r="J603" s="26" t="s">
        <v>27</v>
      </c>
      <c r="K603" s="17">
        <v>0.0</v>
      </c>
      <c r="L603" s="54"/>
      <c r="M603" s="31"/>
      <c r="N603" s="47"/>
      <c r="O603" s="47"/>
      <c r="P603" s="20">
        <v>0.0</v>
      </c>
      <c r="Q603" s="31"/>
      <c r="R603" s="31"/>
      <c r="S603" s="53"/>
      <c r="T603" s="32"/>
    </row>
    <row r="604">
      <c r="A604" s="33" t="s">
        <v>4749</v>
      </c>
      <c r="B604" s="40" t="s">
        <v>4750</v>
      </c>
      <c r="C604" s="41">
        <v>45341.0</v>
      </c>
      <c r="D604" s="40" t="s">
        <v>4751</v>
      </c>
      <c r="E604" s="42" t="s">
        <v>4752</v>
      </c>
      <c r="F604" s="43" t="s">
        <v>4753</v>
      </c>
      <c r="G604" s="43" t="s">
        <v>4754</v>
      </c>
      <c r="H604" s="44" t="s">
        <v>148</v>
      </c>
      <c r="I604" s="15" t="str">
        <f>IFERROR(__xludf.DUMMYFUNCTION("GOOGLETRANSLATE(H604,""EN"",""ES"")"),"Gastronomía")</f>
        <v>Gastronomía</v>
      </c>
      <c r="J604" s="16" t="s">
        <v>27</v>
      </c>
      <c r="K604" s="17">
        <v>0.0</v>
      </c>
      <c r="L604" s="45"/>
      <c r="M604" s="18"/>
      <c r="N604" s="44"/>
      <c r="O604" s="44"/>
      <c r="P604" s="20">
        <v>0.0</v>
      </c>
      <c r="Q604" s="18"/>
      <c r="R604" s="18"/>
      <c r="S604" s="52"/>
      <c r="T604" s="22"/>
    </row>
    <row r="605">
      <c r="A605" s="23" t="s">
        <v>4755</v>
      </c>
      <c r="B605" s="40" t="s">
        <v>163</v>
      </c>
      <c r="C605" s="41">
        <v>45341.0</v>
      </c>
      <c r="D605" s="40" t="s">
        <v>4756</v>
      </c>
      <c r="E605" s="42" t="s">
        <v>4757</v>
      </c>
      <c r="F605" s="43" t="s">
        <v>4758</v>
      </c>
      <c r="G605" s="43" t="s">
        <v>4759</v>
      </c>
      <c r="H605" s="47" t="s">
        <v>55</v>
      </c>
      <c r="I605" s="25" t="str">
        <f>IFERROR(__xludf.DUMMYFUNCTION("GOOGLETRANSLATE(H605,""EN"",""ES"")"),"deportes de motor")</f>
        <v>deportes de motor</v>
      </c>
      <c r="J605" s="26" t="s">
        <v>27</v>
      </c>
      <c r="K605" s="17">
        <v>0.0</v>
      </c>
      <c r="L605" s="54"/>
      <c r="M605" s="31"/>
      <c r="N605" s="47"/>
      <c r="O605" s="47"/>
      <c r="P605" s="20">
        <v>0.0</v>
      </c>
      <c r="Q605" s="31"/>
      <c r="R605" s="31"/>
      <c r="S605" s="53"/>
      <c r="T605" s="32"/>
    </row>
    <row r="606">
      <c r="A606" s="33" t="s">
        <v>4760</v>
      </c>
      <c r="B606" s="40" t="s">
        <v>431</v>
      </c>
      <c r="C606" s="41">
        <v>45341.0</v>
      </c>
      <c r="D606" s="40" t="s">
        <v>4761</v>
      </c>
      <c r="E606" s="42" t="s">
        <v>4762</v>
      </c>
      <c r="F606" s="43" t="s">
        <v>4763</v>
      </c>
      <c r="G606" s="43" t="s">
        <v>4764</v>
      </c>
      <c r="H606" s="44" t="s">
        <v>130</v>
      </c>
      <c r="I606" s="15" t="str">
        <f>IFERROR(__xludf.DUMMYFUNCTION("GOOGLETRANSLATE(H606,""EN"",""ES"")"),"Sostenibilidad")</f>
        <v>Sostenibilidad</v>
      </c>
      <c r="J606" s="16" t="s">
        <v>35</v>
      </c>
      <c r="K606" s="48">
        <v>0.7</v>
      </c>
      <c r="L606" s="51" t="s">
        <v>4765</v>
      </c>
      <c r="M606" s="34" t="s">
        <v>4766</v>
      </c>
      <c r="N606" s="44" t="s">
        <v>4767</v>
      </c>
      <c r="O606" s="44" t="str">
        <f>IFERROR(__xludf.DUMMYFUNCTION("GOOGLETRANSLATE(N606,""EN"",""ES"")"),"La ampliación de la oferta de diésel renovable refuerza el papel de Repsol en la energía sostenible.")</f>
        <v>La ampliación de la oferta de diésel renovable refuerza el papel de Repsol en la energía sostenible.</v>
      </c>
      <c r="P606" s="30">
        <v>0.7</v>
      </c>
      <c r="Q606" s="18" t="str">
        <f>IFERROR(__xludf.DUMMYFUNCTION("GOOGLETRANSLATE(R606,""ES"",""EN"")"),"renewable diesel, green")</f>
        <v>renewable diesel, green</v>
      </c>
      <c r="R606" s="34" t="s">
        <v>4768</v>
      </c>
      <c r="S606" s="52" t="s">
        <v>4062</v>
      </c>
      <c r="T606" s="22" t="s">
        <v>4063</v>
      </c>
    </row>
    <row r="607">
      <c r="A607" s="23" t="s">
        <v>4769</v>
      </c>
      <c r="B607" s="40" t="s">
        <v>85</v>
      </c>
      <c r="C607" s="41">
        <v>45341.0</v>
      </c>
      <c r="D607" s="40" t="s">
        <v>4770</v>
      </c>
      <c r="E607" s="42" t="s">
        <v>4771</v>
      </c>
      <c r="F607" s="43" t="s">
        <v>4772</v>
      </c>
      <c r="G607" s="43" t="s">
        <v>4773</v>
      </c>
      <c r="H607" s="47" t="s">
        <v>2591</v>
      </c>
      <c r="I607" s="25" t="str">
        <f>IFERROR(__xludf.DUMMYFUNCTION("GOOGLETRANSLATE(H607,""EN"",""ES"")"),"Negocio")</f>
        <v>Negocio</v>
      </c>
      <c r="J607" s="26" t="s">
        <v>27</v>
      </c>
      <c r="K607" s="17">
        <v>0.0</v>
      </c>
      <c r="L607" s="54"/>
      <c r="M607" s="31"/>
      <c r="N607" s="47"/>
      <c r="O607" s="47"/>
      <c r="P607" s="20">
        <v>0.0</v>
      </c>
      <c r="Q607" s="31"/>
      <c r="R607" s="31"/>
      <c r="S607" s="53"/>
      <c r="T607" s="32"/>
    </row>
    <row r="608">
      <c r="A608" s="33" t="s">
        <v>4774</v>
      </c>
      <c r="B608" s="40" t="s">
        <v>21</v>
      </c>
      <c r="C608" s="41">
        <v>45341.0</v>
      </c>
      <c r="D608" s="40" t="s">
        <v>4775</v>
      </c>
      <c r="E608" s="42" t="s">
        <v>4776</v>
      </c>
      <c r="F608" s="43" t="s">
        <v>4777</v>
      </c>
      <c r="G608" s="43" t="s">
        <v>4778</v>
      </c>
      <c r="H608" s="44" t="s">
        <v>148</v>
      </c>
      <c r="I608" s="15" t="str">
        <f>IFERROR(__xludf.DUMMYFUNCTION("GOOGLETRANSLATE(H608,""EN"",""ES"")"),"Gastronomía")</f>
        <v>Gastronomía</v>
      </c>
      <c r="J608" s="16" t="s">
        <v>27</v>
      </c>
      <c r="K608" s="17">
        <v>0.0</v>
      </c>
      <c r="L608" s="45"/>
      <c r="M608" s="18"/>
      <c r="N608" s="44"/>
      <c r="O608" s="44"/>
      <c r="P608" s="20">
        <v>0.0</v>
      </c>
      <c r="Q608" s="18"/>
      <c r="R608" s="18"/>
      <c r="S608" s="52"/>
      <c r="T608" s="22"/>
    </row>
    <row r="609">
      <c r="A609" s="23" t="s">
        <v>4779</v>
      </c>
      <c r="B609" s="40" t="s">
        <v>85</v>
      </c>
      <c r="C609" s="41">
        <v>45341.0</v>
      </c>
      <c r="D609" s="40" t="s">
        <v>4780</v>
      </c>
      <c r="E609" s="42" t="s">
        <v>4781</v>
      </c>
      <c r="F609" s="43" t="s">
        <v>4782</v>
      </c>
      <c r="G609" s="43" t="s">
        <v>4783</v>
      </c>
      <c r="H609" s="47" t="s">
        <v>148</v>
      </c>
      <c r="I609" s="25" t="str">
        <f>IFERROR(__xludf.DUMMYFUNCTION("GOOGLETRANSLATE(H609,""EN"",""ES"")"),"Gastronomía")</f>
        <v>Gastronomía</v>
      </c>
      <c r="J609" s="26" t="s">
        <v>27</v>
      </c>
      <c r="K609" s="17">
        <v>0.0</v>
      </c>
      <c r="L609" s="54"/>
      <c r="M609" s="31"/>
      <c r="N609" s="47"/>
      <c r="O609" s="47"/>
      <c r="P609" s="20">
        <v>0.0</v>
      </c>
      <c r="Q609" s="31"/>
      <c r="R609" s="31"/>
      <c r="S609" s="53"/>
      <c r="T609" s="32"/>
    </row>
    <row r="610">
      <c r="A610" s="33" t="s">
        <v>4784</v>
      </c>
      <c r="B610" s="40" t="s">
        <v>85</v>
      </c>
      <c r="C610" s="41">
        <v>45342.0</v>
      </c>
      <c r="D610" s="40" t="s">
        <v>4785</v>
      </c>
      <c r="E610" s="42" t="s">
        <v>4786</v>
      </c>
      <c r="F610" s="43" t="s">
        <v>4787</v>
      </c>
      <c r="G610" s="43" t="s">
        <v>4788</v>
      </c>
      <c r="H610" s="44" t="s">
        <v>661</v>
      </c>
      <c r="I610" s="15" t="str">
        <f>IFERROR(__xludf.DUMMYFUNCTION("GOOGLETRANSLATE(H610,""EN"",""ES"")"),"Estrategia empresarial")</f>
        <v>Estrategia empresarial</v>
      </c>
      <c r="J610" s="16" t="s">
        <v>35</v>
      </c>
      <c r="K610" s="48">
        <v>0.6</v>
      </c>
      <c r="L610" s="51" t="s">
        <v>4789</v>
      </c>
      <c r="M610" s="34" t="s">
        <v>4790</v>
      </c>
      <c r="N610" s="44" t="s">
        <v>4791</v>
      </c>
      <c r="O610" s="44" t="str">
        <f>IFERROR(__xludf.DUMMYFUNCTION("GOOGLETRANSLATE(N610,""EN"",""ES"")"),"La inversión en adaptación de infraestructuras fortalece la resiliencia operativa de Repsol a largo plazo.")</f>
        <v>La inversión en adaptación de infraestructuras fortalece la resiliencia operativa de Repsol a largo plazo.</v>
      </c>
      <c r="P610" s="30">
        <v>0.5</v>
      </c>
      <c r="Q610" s="18" t="str">
        <f>IFERROR(__xludf.DUMMYFUNCTION("GOOGLETRANSLATE(R610,""ES"",""EN"")"),"stop, investment, improvements")</f>
        <v>stop, investment, improvements</v>
      </c>
      <c r="R610" s="34" t="s">
        <v>4792</v>
      </c>
      <c r="S610" s="52" t="s">
        <v>4793</v>
      </c>
      <c r="T610" s="22" t="s">
        <v>4794</v>
      </c>
    </row>
    <row r="611">
      <c r="A611" s="23" t="s">
        <v>4795</v>
      </c>
      <c r="B611" s="40" t="s">
        <v>952</v>
      </c>
      <c r="C611" s="41">
        <v>45342.0</v>
      </c>
      <c r="D611" s="40" t="s">
        <v>4796</v>
      </c>
      <c r="E611" s="42" t="s">
        <v>4797</v>
      </c>
      <c r="F611" s="43" t="s">
        <v>4798</v>
      </c>
      <c r="G611" s="43" t="s">
        <v>4799</v>
      </c>
      <c r="H611" s="47" t="s">
        <v>2281</v>
      </c>
      <c r="I611" s="25" t="str">
        <f>IFERROR(__xludf.DUMMYFUNCTION("GOOGLETRANSLATE(H611,""EN"",""ES"")"),"Operaciones comerciales")</f>
        <v>Operaciones comerciales</v>
      </c>
      <c r="J611" s="26" t="s">
        <v>35</v>
      </c>
      <c r="K611" s="48">
        <v>-0.5</v>
      </c>
      <c r="L611" s="49" t="s">
        <v>4800</v>
      </c>
      <c r="M611" s="28" t="s">
        <v>4801</v>
      </c>
      <c r="N611" s="47" t="s">
        <v>4802</v>
      </c>
      <c r="O611" s="47" t="str">
        <f>IFERROR(__xludf.DUMMYFUNCTION("GOOGLETRANSLATE(N611,""EN"",""ES"")"),"Las paradas temporales de plantas pueden generar incertidumbre operativa, pero indican una inversión planificada.")</f>
        <v>Las paradas temporales de plantas pueden generar incertidumbre operativa, pero indican una inversión planificada.</v>
      </c>
      <c r="P611" s="30">
        <v>0.3</v>
      </c>
      <c r="Q611" s="31" t="str">
        <f>IFERROR(__xludf.DUMMYFUNCTION("GOOGLETRANSLATE(R611,""ES"",""EN"")"),"workers stop")</f>
        <v>workers stop</v>
      </c>
      <c r="R611" s="28" t="s">
        <v>4803</v>
      </c>
      <c r="S611" s="53" t="s">
        <v>4804</v>
      </c>
      <c r="T611" s="32" t="s">
        <v>4805</v>
      </c>
    </row>
    <row r="612">
      <c r="A612" s="33" t="s">
        <v>4806</v>
      </c>
      <c r="B612" s="40" t="s">
        <v>499</v>
      </c>
      <c r="C612" s="41">
        <v>45342.0</v>
      </c>
      <c r="D612" s="40" t="s">
        <v>4807</v>
      </c>
      <c r="E612" s="42" t="s">
        <v>4808</v>
      </c>
      <c r="F612" s="43" t="s">
        <v>4809</v>
      </c>
      <c r="G612" s="43" t="s">
        <v>4810</v>
      </c>
      <c r="H612" s="44" t="s">
        <v>2281</v>
      </c>
      <c r="I612" s="15" t="str">
        <f>IFERROR(__xludf.DUMMYFUNCTION("GOOGLETRANSLATE(H612,""EN"",""ES"")"),"Operaciones comerciales")</f>
        <v>Operaciones comerciales</v>
      </c>
      <c r="J612" s="16" t="s">
        <v>35</v>
      </c>
      <c r="K612" s="48">
        <v>0.6</v>
      </c>
      <c r="L612" s="51" t="s">
        <v>4811</v>
      </c>
      <c r="M612" s="34" t="s">
        <v>4812</v>
      </c>
      <c r="N612" s="44" t="s">
        <v>4813</v>
      </c>
      <c r="O612" s="44" t="str">
        <f>IFERROR(__xludf.DUMMYFUNCTION("GOOGLETRANSLATE(N612,""EN"",""ES"")"),"Las inversiones en mantenimiento a gran escala garantizan la estabilidad operativa a largo plazo.")</f>
        <v>Las inversiones en mantenimiento a gran escala garantizan la estabilidad operativa a largo plazo.</v>
      </c>
      <c r="P612" s="30">
        <v>0.4</v>
      </c>
      <c r="Q612" s="18" t="str">
        <f>IFERROR(__xludf.DUMMYFUNCTION("GOOGLETRANSLATE(R612,""ES"",""EN"")"),"technical stop, maintenance")</f>
        <v>technical stop, maintenance</v>
      </c>
      <c r="R612" s="34" t="s">
        <v>4814</v>
      </c>
      <c r="S612" s="52" t="s">
        <v>4804</v>
      </c>
      <c r="T612" s="22" t="s">
        <v>4805</v>
      </c>
    </row>
    <row r="613">
      <c r="A613" s="23" t="s">
        <v>4815</v>
      </c>
      <c r="B613" s="40" t="s">
        <v>3151</v>
      </c>
      <c r="C613" s="41">
        <v>45342.0</v>
      </c>
      <c r="D613" s="40" t="s">
        <v>4816</v>
      </c>
      <c r="E613" s="42" t="s">
        <v>4817</v>
      </c>
      <c r="F613" s="43" t="s">
        <v>4818</v>
      </c>
      <c r="G613" s="43" t="s">
        <v>4819</v>
      </c>
      <c r="H613" s="47" t="s">
        <v>2447</v>
      </c>
      <c r="I613" s="25" t="str">
        <f>IFERROR(__xludf.DUMMYFUNCTION("GOOGLETRANSLATE(H613,""EN"",""ES"")"),"Asuntos del Consumidor")</f>
        <v>Asuntos del Consumidor</v>
      </c>
      <c r="J613" s="26" t="s">
        <v>35</v>
      </c>
      <c r="K613" s="48">
        <v>0.6</v>
      </c>
      <c r="L613" s="49" t="s">
        <v>4820</v>
      </c>
      <c r="M613" s="28" t="s">
        <v>4821</v>
      </c>
      <c r="N613" s="47" t="s">
        <v>4822</v>
      </c>
      <c r="O613" s="47" t="str">
        <f>IFERROR(__xludf.DUMMYFUNCTION("GOOGLETRANSLATE(N613,""EN"",""ES"")"),"Ofrecer descuentos en combustible refuerza la fidelidad de los clientes y el posicionamiento en el mercado de Repsol.")</f>
        <v>Ofrecer descuentos en combustible refuerza la fidelidad de los clientes y el posicionamiento en el mercado de Repsol.</v>
      </c>
      <c r="P613" s="30">
        <v>0.6</v>
      </c>
      <c r="Q613" s="31" t="str">
        <f>IFERROR(__xludf.DUMMYFUNCTION("GOOGLETRANSLATE(R613,""ES"",""EN"")"),"save, promotion")</f>
        <v>save, promotion</v>
      </c>
      <c r="R613" s="28" t="s">
        <v>4823</v>
      </c>
      <c r="S613" s="53" t="s">
        <v>4824</v>
      </c>
      <c r="T613" s="32" t="s">
        <v>4825</v>
      </c>
    </row>
    <row r="614">
      <c r="A614" s="33" t="s">
        <v>4826</v>
      </c>
      <c r="B614" s="40" t="s">
        <v>2008</v>
      </c>
      <c r="C614" s="41">
        <v>45342.0</v>
      </c>
      <c r="D614" s="40" t="s">
        <v>4827</v>
      </c>
      <c r="E614" s="42" t="s">
        <v>4828</v>
      </c>
      <c r="F614" s="43" t="s">
        <v>4829</v>
      </c>
      <c r="G614" s="43" t="s">
        <v>4830</v>
      </c>
      <c r="H614" s="44" t="s">
        <v>148</v>
      </c>
      <c r="I614" s="15" t="str">
        <f>IFERROR(__xludf.DUMMYFUNCTION("GOOGLETRANSLATE(H614,""EN"",""ES"")"),"Gastronomía")</f>
        <v>Gastronomía</v>
      </c>
      <c r="J614" s="16" t="s">
        <v>27</v>
      </c>
      <c r="K614" s="17">
        <v>0.0</v>
      </c>
      <c r="L614" s="45"/>
      <c r="M614" s="18"/>
      <c r="N614" s="44"/>
      <c r="O614" s="44"/>
      <c r="P614" s="20">
        <v>0.0</v>
      </c>
      <c r="Q614" s="18"/>
      <c r="R614" s="18"/>
      <c r="S614" s="52"/>
      <c r="T614" s="22"/>
    </row>
    <row r="615">
      <c r="A615" s="23" t="s">
        <v>4831</v>
      </c>
      <c r="B615" s="40" t="s">
        <v>4832</v>
      </c>
      <c r="C615" s="41">
        <v>45342.0</v>
      </c>
      <c r="D615" s="40" t="s">
        <v>4833</v>
      </c>
      <c r="E615" s="42" t="s">
        <v>4834</v>
      </c>
      <c r="F615" s="43" t="s">
        <v>4835</v>
      </c>
      <c r="G615" s="43" t="s">
        <v>4836</v>
      </c>
      <c r="H615" s="47" t="s">
        <v>48</v>
      </c>
      <c r="I615" s="25" t="str">
        <f>IFERROR(__xludf.DUMMYFUNCTION("GOOGLETRANSLATE(H615,""EN"",""ES"")"),"Finanzas")</f>
        <v>Finanzas</v>
      </c>
      <c r="J615" s="26" t="s">
        <v>35</v>
      </c>
      <c r="K615" s="48">
        <v>0.6</v>
      </c>
      <c r="L615" s="49" t="s">
        <v>4837</v>
      </c>
      <c r="M615" s="28" t="s">
        <v>4838</v>
      </c>
      <c r="N615" s="47" t="s">
        <v>4839</v>
      </c>
      <c r="O615" s="47" t="str">
        <f>IFERROR(__xludf.DUMMYFUNCTION("GOOGLETRANSLATE(N615,""EN"",""ES"")"),"La positiva evolución del mercado bursátil indica una fuerte confianza de los inversores en Repsol.")</f>
        <v>La positiva evolución del mercado bursátil indica una fuerte confianza de los inversores en Repsol.</v>
      </c>
      <c r="P615" s="30">
        <v>-0.6</v>
      </c>
      <c r="Q615" s="31" t="str">
        <f>IFERROR(__xludf.DUMMYFUNCTION("GOOGLETRANSLATE(R615,""ES"",""EN"")"),"lose, shareholders")</f>
        <v>lose, shareholders</v>
      </c>
      <c r="R615" s="28" t="s">
        <v>4840</v>
      </c>
      <c r="S615" s="53" t="s">
        <v>4841</v>
      </c>
      <c r="T615" s="32" t="s">
        <v>4842</v>
      </c>
    </row>
    <row r="616">
      <c r="A616" s="33" t="s">
        <v>4843</v>
      </c>
      <c r="B616" s="40" t="s">
        <v>21</v>
      </c>
      <c r="C616" s="41">
        <v>45342.0</v>
      </c>
      <c r="D616" s="40" t="s">
        <v>4844</v>
      </c>
      <c r="E616" s="42" t="s">
        <v>4845</v>
      </c>
      <c r="F616" s="43" t="s">
        <v>4846</v>
      </c>
      <c r="G616" s="43" t="s">
        <v>4847</v>
      </c>
      <c r="H616" s="44" t="s">
        <v>148</v>
      </c>
      <c r="I616" s="15" t="str">
        <f>IFERROR(__xludf.DUMMYFUNCTION("GOOGLETRANSLATE(H616,""EN"",""ES"")"),"Gastronomía")</f>
        <v>Gastronomía</v>
      </c>
      <c r="J616" s="16" t="s">
        <v>27</v>
      </c>
      <c r="K616" s="17">
        <v>0.0</v>
      </c>
      <c r="L616" s="45"/>
      <c r="M616" s="18"/>
      <c r="N616" s="44"/>
      <c r="O616" s="44"/>
      <c r="P616" s="20">
        <v>0.0</v>
      </c>
      <c r="Q616" s="18"/>
      <c r="R616" s="18"/>
      <c r="S616" s="52"/>
      <c r="T616" s="22"/>
    </row>
    <row r="617">
      <c r="A617" s="23" t="s">
        <v>4848</v>
      </c>
      <c r="B617" s="40" t="s">
        <v>4849</v>
      </c>
      <c r="C617" s="41">
        <v>45342.0</v>
      </c>
      <c r="D617" s="40" t="s">
        <v>4850</v>
      </c>
      <c r="E617" s="42" t="s">
        <v>4851</v>
      </c>
      <c r="F617" s="43" t="s">
        <v>4852</v>
      </c>
      <c r="G617" s="43" t="s">
        <v>4853</v>
      </c>
      <c r="H617" s="47" t="s">
        <v>148</v>
      </c>
      <c r="I617" s="25" t="str">
        <f>IFERROR(__xludf.DUMMYFUNCTION("GOOGLETRANSLATE(H617,""EN"",""ES"")"),"Gastronomía")</f>
        <v>Gastronomía</v>
      </c>
      <c r="J617" s="26" t="s">
        <v>27</v>
      </c>
      <c r="K617" s="17">
        <v>0.0</v>
      </c>
      <c r="L617" s="54"/>
      <c r="M617" s="31"/>
      <c r="N617" s="47"/>
      <c r="O617" s="47"/>
      <c r="P617" s="20">
        <v>0.0</v>
      </c>
      <c r="Q617" s="31"/>
      <c r="R617" s="31"/>
      <c r="S617" s="53"/>
      <c r="T617" s="32"/>
    </row>
    <row r="618">
      <c r="A618" s="33" t="s">
        <v>4854</v>
      </c>
      <c r="B618" s="40" t="s">
        <v>977</v>
      </c>
      <c r="C618" s="41">
        <v>45342.0</v>
      </c>
      <c r="D618" s="40" t="s">
        <v>4855</v>
      </c>
      <c r="E618" s="42" t="s">
        <v>4856</v>
      </c>
      <c r="F618" s="43" t="s">
        <v>4857</v>
      </c>
      <c r="G618" s="43" t="s">
        <v>4858</v>
      </c>
      <c r="H618" s="44" t="s">
        <v>408</v>
      </c>
      <c r="I618" s="15" t="str">
        <f>IFERROR(__xludf.DUMMYFUNCTION("GOOGLETRANSLATE(H618,""EN"",""ES"")"),"Legal")</f>
        <v>Legal</v>
      </c>
      <c r="J618" s="16" t="s">
        <v>35</v>
      </c>
      <c r="K618" s="48">
        <v>-0.8</v>
      </c>
      <c r="L618" s="51" t="s">
        <v>4859</v>
      </c>
      <c r="M618" s="34" t="s">
        <v>4860</v>
      </c>
      <c r="N618" s="44" t="s">
        <v>4861</v>
      </c>
      <c r="O618" s="44" t="str">
        <f>IFERROR(__xludf.DUMMYFUNCTION("GOOGLETRANSLATE(N618,""EN"",""ES"")"),"Los juicios en curso por daños medioambientales refuerzan el sentimiento negativo hacia Repsol.")</f>
        <v>Los juicios en curso por daños medioambientales refuerzan el sentimiento negativo hacia Repsol.</v>
      </c>
      <c r="P618" s="30">
        <v>-0.8</v>
      </c>
      <c r="Q618" s="18" t="str">
        <f>IFERROR(__xludf.DUMMYFUNCTION("GOOGLETRANSLATE(R618,""ES"",""EN"")"),"spill, compensation, not fair")</f>
        <v>spill, compensation, not fair</v>
      </c>
      <c r="R618" s="34" t="s">
        <v>4862</v>
      </c>
      <c r="S618" s="52" t="s">
        <v>4863</v>
      </c>
      <c r="T618" s="22" t="s">
        <v>4864</v>
      </c>
    </row>
    <row r="619">
      <c r="A619" s="23" t="s">
        <v>4865</v>
      </c>
      <c r="B619" s="40" t="s">
        <v>4866</v>
      </c>
      <c r="C619" s="41">
        <v>45342.0</v>
      </c>
      <c r="D619" s="40" t="s">
        <v>4867</v>
      </c>
      <c r="E619" s="42" t="s">
        <v>4868</v>
      </c>
      <c r="F619" s="43" t="s">
        <v>4869</v>
      </c>
      <c r="G619" s="43" t="s">
        <v>4870</v>
      </c>
      <c r="H619" s="47" t="s">
        <v>148</v>
      </c>
      <c r="I619" s="25" t="str">
        <f>IFERROR(__xludf.DUMMYFUNCTION("GOOGLETRANSLATE(H619,""EN"",""ES"")"),"Gastronomía")</f>
        <v>Gastronomía</v>
      </c>
      <c r="J619" s="26" t="s">
        <v>27</v>
      </c>
      <c r="K619" s="17">
        <v>0.0</v>
      </c>
      <c r="L619" s="54"/>
      <c r="M619" s="31"/>
      <c r="N619" s="47"/>
      <c r="O619" s="47"/>
      <c r="P619" s="20">
        <v>0.0</v>
      </c>
      <c r="Q619" s="31"/>
      <c r="R619" s="31"/>
      <c r="S619" s="53"/>
      <c r="T619" s="32"/>
    </row>
    <row r="620">
      <c r="A620" s="33" t="s">
        <v>4871</v>
      </c>
      <c r="B620" s="40" t="s">
        <v>4872</v>
      </c>
      <c r="C620" s="41">
        <v>45342.0</v>
      </c>
      <c r="D620" s="40" t="s">
        <v>4873</v>
      </c>
      <c r="E620" s="42" t="s">
        <v>4874</v>
      </c>
      <c r="F620" s="43" t="s">
        <v>4875</v>
      </c>
      <c r="G620" s="43" t="s">
        <v>4876</v>
      </c>
      <c r="H620" s="44" t="s">
        <v>2281</v>
      </c>
      <c r="I620" s="15" t="str">
        <f>IFERROR(__xludf.DUMMYFUNCTION("GOOGLETRANSLATE(H620,""EN"",""ES"")"),"Operaciones comerciales")</f>
        <v>Operaciones comerciales</v>
      </c>
      <c r="J620" s="16" t="s">
        <v>35</v>
      </c>
      <c r="K620" s="48">
        <v>0.6</v>
      </c>
      <c r="L620" s="51" t="s">
        <v>4877</v>
      </c>
      <c r="M620" s="34" t="s">
        <v>4878</v>
      </c>
      <c r="N620" s="44" t="s">
        <v>4879</v>
      </c>
      <c r="O620" s="44" t="str">
        <f>IFERROR(__xludf.DUMMYFUNCTION("GOOGLETRANSLATE(N620,""EN"",""ES"")"),"La inversión en mantenimiento a gran escala respalda la resiliencia operativa de Repsol a largo plazo.")</f>
        <v>La inversión en mantenimiento a gran escala respalda la resiliencia operativa de Repsol a largo plazo.</v>
      </c>
      <c r="P620" s="30">
        <v>0.5</v>
      </c>
      <c r="Q620" s="18" t="str">
        <f>IFERROR(__xludf.DUMMYFUNCTION("GOOGLETRANSLATE(R620,""ES"",""EN"")"),"stop, innovation, decarbonization")</f>
        <v>stop, innovation, decarbonization</v>
      </c>
      <c r="R620" s="34" t="s">
        <v>4880</v>
      </c>
      <c r="S620" s="52" t="s">
        <v>4881</v>
      </c>
      <c r="T620" s="22" t="s">
        <v>4882</v>
      </c>
    </row>
    <row r="621">
      <c r="A621" s="23" t="s">
        <v>4883</v>
      </c>
      <c r="B621" s="40" t="s">
        <v>163</v>
      </c>
      <c r="C621" s="41">
        <v>45342.0</v>
      </c>
      <c r="D621" s="40" t="s">
        <v>4884</v>
      </c>
      <c r="E621" s="42" t="s">
        <v>4885</v>
      </c>
      <c r="F621" s="43" t="s">
        <v>4886</v>
      </c>
      <c r="G621" s="43" t="s">
        <v>4887</v>
      </c>
      <c r="H621" s="47" t="s">
        <v>1914</v>
      </c>
      <c r="I621" s="25" t="str">
        <f>IFERROR(__xludf.DUMMYFUNCTION("GOOGLETRANSLATE(H621,""EN"",""ES"")"),"Política energética")</f>
        <v>Política energética</v>
      </c>
      <c r="J621" s="26" t="s">
        <v>35</v>
      </c>
      <c r="K621" s="48">
        <v>0.5</v>
      </c>
      <c r="L621" s="49" t="s">
        <v>4888</v>
      </c>
      <c r="M621" s="28" t="s">
        <v>4889</v>
      </c>
      <c r="N621" s="47" t="s">
        <v>4890</v>
      </c>
      <c r="O621" s="47" t="str">
        <f>IFERROR(__xludf.DUMMYFUNCTION("GOOGLETRANSLATE(N621,""EN"",""ES"")"),"Proporcionar claridad en la normativa sobre vehículos diésel refuerza el papel de Repsol como líder del sector.")</f>
        <v>Proporcionar claridad en la normativa sobre vehículos diésel refuerza el papel de Repsol como líder del sector.</v>
      </c>
      <c r="P621" s="30">
        <v>0.4</v>
      </c>
      <c r="Q621" s="31" t="str">
        <f>IFERROR(__xludf.DUMMYFUNCTION("GOOGLETRANSLATE(R621,""ES"",""EN"")"),"future, diesel, perspectives")</f>
        <v>future, diesel, perspectives</v>
      </c>
      <c r="R621" s="28" t="s">
        <v>4891</v>
      </c>
      <c r="S621" s="53" t="s">
        <v>4447</v>
      </c>
      <c r="T621" s="32" t="s">
        <v>4448</v>
      </c>
    </row>
    <row r="622">
      <c r="A622" s="33" t="s">
        <v>4892</v>
      </c>
      <c r="B622" s="40" t="s">
        <v>4450</v>
      </c>
      <c r="C622" s="41">
        <v>45342.0</v>
      </c>
      <c r="D622" s="40" t="s">
        <v>4893</v>
      </c>
      <c r="E622" s="42" t="s">
        <v>4894</v>
      </c>
      <c r="F622" s="43" t="s">
        <v>4895</v>
      </c>
      <c r="G622" s="43" t="s">
        <v>4896</v>
      </c>
      <c r="H622" s="44" t="s">
        <v>1975</v>
      </c>
      <c r="I622" s="15" t="str">
        <f>IFERROR(__xludf.DUMMYFUNCTION("GOOGLETRANSLATE(H622,""EN"",""ES"")"),"Política")</f>
        <v>Política</v>
      </c>
      <c r="J622" s="16" t="s">
        <v>35</v>
      </c>
      <c r="K622" s="48">
        <v>0.0</v>
      </c>
      <c r="L622" s="45"/>
      <c r="M622" s="18"/>
      <c r="N622" s="44" t="s">
        <v>4897</v>
      </c>
      <c r="O622" s="44" t="str">
        <f>IFERROR(__xludf.DUMMYFUNCTION("GOOGLETRANSLATE(N622,""EN"",""ES"")"),"Las visitas gubernamentales a polígonos industriales no impactan en la percepción corporativa de Repsol.")</f>
        <v>Las visitas gubernamentales a polígonos industriales no impactan en la percepción corporativa de Repsol.</v>
      </c>
      <c r="P622" s="30">
        <v>0.3</v>
      </c>
      <c r="Q622" s="18" t="str">
        <f>IFERROR(__xludf.DUMMYFUNCTION("GOOGLETRANSLATE(R622,""ES"",""EN"")"),"meeting, work")</f>
        <v>meeting, work</v>
      </c>
      <c r="R622" s="34" t="s">
        <v>4898</v>
      </c>
      <c r="S622" s="52" t="s">
        <v>4447</v>
      </c>
      <c r="T622" s="22" t="s">
        <v>4448</v>
      </c>
    </row>
    <row r="623">
      <c r="A623" s="23" t="s">
        <v>4899</v>
      </c>
      <c r="B623" s="40" t="s">
        <v>21</v>
      </c>
      <c r="C623" s="41">
        <v>45342.0</v>
      </c>
      <c r="D623" s="40" t="s">
        <v>4900</v>
      </c>
      <c r="E623" s="42" t="s">
        <v>4901</v>
      </c>
      <c r="F623" s="43" t="s">
        <v>4902</v>
      </c>
      <c r="G623" s="43" t="s">
        <v>4903</v>
      </c>
      <c r="H623" s="47" t="s">
        <v>26</v>
      </c>
      <c r="I623" s="25" t="str">
        <f>IFERROR(__xludf.DUMMYFUNCTION("GOOGLETRANSLATE(H623,""EN"",""ES"")"),"Otro")</f>
        <v>Otro</v>
      </c>
      <c r="J623" s="26" t="s">
        <v>27</v>
      </c>
      <c r="K623" s="17">
        <v>0.0</v>
      </c>
      <c r="L623" s="54"/>
      <c r="M623" s="31"/>
      <c r="N623" s="47"/>
      <c r="O623" s="47"/>
      <c r="P623" s="20">
        <v>0.0</v>
      </c>
      <c r="Q623" s="31"/>
      <c r="R623" s="31"/>
      <c r="S623" s="53"/>
      <c r="T623" s="32"/>
    </row>
    <row r="624">
      <c r="A624" s="33" t="s">
        <v>4904</v>
      </c>
      <c r="B624" s="40" t="s">
        <v>3045</v>
      </c>
      <c r="C624" s="41">
        <v>45342.0</v>
      </c>
      <c r="D624" s="40" t="s">
        <v>4905</v>
      </c>
      <c r="E624" s="42" t="s">
        <v>4906</v>
      </c>
      <c r="F624" s="43" t="s">
        <v>4907</v>
      </c>
      <c r="G624" s="43" t="s">
        <v>4908</v>
      </c>
      <c r="H624" s="44" t="s">
        <v>130</v>
      </c>
      <c r="I624" s="15" t="str">
        <f>IFERROR(__xludf.DUMMYFUNCTION("GOOGLETRANSLATE(H624,""EN"",""ES"")"),"Sostenibilidad")</f>
        <v>Sostenibilidad</v>
      </c>
      <c r="J624" s="16" t="s">
        <v>27</v>
      </c>
      <c r="K624" s="17">
        <v>0.0</v>
      </c>
      <c r="L624" s="45"/>
      <c r="M624" s="18"/>
      <c r="N624" s="44"/>
      <c r="O624" s="44"/>
      <c r="P624" s="20">
        <v>0.0</v>
      </c>
      <c r="Q624" s="18"/>
      <c r="R624" s="18"/>
      <c r="S624" s="52"/>
      <c r="T624" s="22"/>
    </row>
    <row r="625">
      <c r="A625" s="23" t="s">
        <v>4909</v>
      </c>
      <c r="B625" s="40" t="s">
        <v>499</v>
      </c>
      <c r="C625" s="41">
        <v>45343.0</v>
      </c>
      <c r="D625" s="40" t="s">
        <v>4910</v>
      </c>
      <c r="E625" s="42" t="s">
        <v>4911</v>
      </c>
      <c r="F625" s="43" t="s">
        <v>4912</v>
      </c>
      <c r="G625" s="43" t="s">
        <v>4913</v>
      </c>
      <c r="H625" s="47" t="s">
        <v>48</v>
      </c>
      <c r="I625" s="25" t="str">
        <f>IFERROR(__xludf.DUMMYFUNCTION("GOOGLETRANSLATE(H625,""EN"",""ES"")"),"Finanzas")</f>
        <v>Finanzas</v>
      </c>
      <c r="J625" s="26" t="s">
        <v>35</v>
      </c>
      <c r="K625" s="48">
        <v>-0.6</v>
      </c>
      <c r="L625" s="49" t="s">
        <v>4914</v>
      </c>
      <c r="M625" s="28" t="s">
        <v>4915</v>
      </c>
      <c r="N625" s="47" t="s">
        <v>4916</v>
      </c>
      <c r="O625" s="47" t="str">
        <f>IFERROR(__xludf.DUMMYFUNCTION("GOOGLETRANSLATE(N625,""EN"",""ES"")"),"Una disminución de las ganancias puede afectar la confianza de los inversores a pesar del flujo de caja estable.")</f>
        <v>Una disminución de las ganancias puede afectar la confianza de los inversores a pesar del flujo de caja estable.</v>
      </c>
      <c r="P625" s="30">
        <v>-0.4</v>
      </c>
      <c r="Q625" s="31" t="str">
        <f>IFERROR(__xludf.DUMMYFUNCTION("GOOGLETRANSLATE(R625,""ES"",""EN"")"),"profit, cut")</f>
        <v>profit, cut</v>
      </c>
      <c r="R625" s="28" t="s">
        <v>4917</v>
      </c>
      <c r="S625" s="53" t="s">
        <v>4918</v>
      </c>
      <c r="T625" s="32" t="s">
        <v>4919</v>
      </c>
    </row>
    <row r="626">
      <c r="A626" s="33" t="s">
        <v>4920</v>
      </c>
      <c r="B626" s="40" t="s">
        <v>217</v>
      </c>
      <c r="C626" s="41">
        <v>45343.0</v>
      </c>
      <c r="D626" s="40" t="s">
        <v>4921</v>
      </c>
      <c r="E626" s="42" t="s">
        <v>4922</v>
      </c>
      <c r="F626" s="43" t="s">
        <v>4923</v>
      </c>
      <c r="G626" s="43" t="s">
        <v>4924</v>
      </c>
      <c r="H626" s="44" t="s">
        <v>48</v>
      </c>
      <c r="I626" s="15" t="str">
        <f>IFERROR(__xludf.DUMMYFUNCTION("GOOGLETRANSLATE(H626,""EN"",""ES"")"),"Finanzas")</f>
        <v>Finanzas</v>
      </c>
      <c r="J626" s="16" t="s">
        <v>35</v>
      </c>
      <c r="K626" s="48">
        <v>0.6</v>
      </c>
      <c r="L626" s="51" t="s">
        <v>4925</v>
      </c>
      <c r="M626" s="34" t="s">
        <v>4926</v>
      </c>
      <c r="N626" s="44" t="s">
        <v>4927</v>
      </c>
      <c r="O626" s="44" t="str">
        <f>IFERROR(__xludf.DUMMYFUNCTION("GOOGLETRANSLATE(N626,""EN"",""ES"")"),"El aumento de los dividendos puede reforzar la confianza de los inversores en la estrategia financiera de Repsol.")</f>
        <v>El aumento de los dividendos puede reforzar la confianza de los inversores en la estrategia financiera de Repsol.</v>
      </c>
      <c r="P626" s="30">
        <v>0.5</v>
      </c>
      <c r="Q626" s="18" t="str">
        <f>IFERROR(__xludf.DUMMYFUNCTION("GOOGLETRANSLATE(R626,""ES"",""EN"")"),"dividend, promised")</f>
        <v>dividend, promised</v>
      </c>
      <c r="R626" s="34" t="s">
        <v>4928</v>
      </c>
      <c r="S626" s="52" t="s">
        <v>4929</v>
      </c>
      <c r="T626" s="22" t="s">
        <v>4930</v>
      </c>
    </row>
    <row r="627">
      <c r="A627" s="23" t="s">
        <v>4931</v>
      </c>
      <c r="B627" s="40" t="s">
        <v>4038</v>
      </c>
      <c r="C627" s="41">
        <v>45343.0</v>
      </c>
      <c r="D627" s="40" t="s">
        <v>4932</v>
      </c>
      <c r="E627" s="42" t="s">
        <v>4933</v>
      </c>
      <c r="F627" s="43" t="s">
        <v>4934</v>
      </c>
      <c r="G627" s="43" t="s">
        <v>4935</v>
      </c>
      <c r="H627" s="47" t="s">
        <v>148</v>
      </c>
      <c r="I627" s="25" t="str">
        <f>IFERROR(__xludf.DUMMYFUNCTION("GOOGLETRANSLATE(H627,""EN"",""ES"")"),"Gastronomía")</f>
        <v>Gastronomía</v>
      </c>
      <c r="J627" s="26" t="s">
        <v>27</v>
      </c>
      <c r="K627" s="17">
        <v>0.0</v>
      </c>
      <c r="L627" s="54"/>
      <c r="M627" s="31"/>
      <c r="N627" s="47"/>
      <c r="O627" s="47"/>
      <c r="P627" s="20">
        <v>0.0</v>
      </c>
      <c r="Q627" s="31"/>
      <c r="R627" s="31"/>
      <c r="S627" s="53"/>
      <c r="T627" s="32"/>
    </row>
    <row r="628">
      <c r="A628" s="33" t="s">
        <v>4936</v>
      </c>
      <c r="B628" s="40" t="s">
        <v>4937</v>
      </c>
      <c r="C628" s="41">
        <v>45343.0</v>
      </c>
      <c r="D628" s="40" t="s">
        <v>4938</v>
      </c>
      <c r="E628" s="42" t="s">
        <v>4939</v>
      </c>
      <c r="F628" s="43" t="s">
        <v>4940</v>
      </c>
      <c r="G628" s="43" t="s">
        <v>4941</v>
      </c>
      <c r="H628" s="44" t="s">
        <v>130</v>
      </c>
      <c r="I628" s="15" t="str">
        <f>IFERROR(__xludf.DUMMYFUNCTION("GOOGLETRANSLATE(H628,""EN"",""ES"")"),"Sostenibilidad")</f>
        <v>Sostenibilidad</v>
      </c>
      <c r="J628" s="16" t="s">
        <v>35</v>
      </c>
      <c r="K628" s="48">
        <v>0.7</v>
      </c>
      <c r="L628" s="51" t="s">
        <v>4942</v>
      </c>
      <c r="M628" s="34" t="s">
        <v>4943</v>
      </c>
      <c r="N628" s="44" t="s">
        <v>2758</v>
      </c>
      <c r="O628" s="44" t="str">
        <f>IFERROR(__xludf.DUMMYFUNCTION("GOOGLETRANSLATE(N628,""EN"",""ES"")"),"El impulso de los combustibles renovables a nivel regional fortalece la estrategia de energía verde de Repsol.")</f>
        <v>El impulso de los combustibles renovables a nivel regional fortalece la estrategia de energía verde de Repsol.</v>
      </c>
      <c r="P628" s="30">
        <v>0.7</v>
      </c>
      <c r="Q628" s="18" t="str">
        <f>IFERROR(__xludf.DUMMYFUNCTION("GOOGLETRANSLATE(R628,""ES"",""EN"")"),"renewable fuels, mobility")</f>
        <v>renewable fuels, mobility</v>
      </c>
      <c r="R628" s="34" t="s">
        <v>4944</v>
      </c>
      <c r="S628" s="52" t="s">
        <v>4945</v>
      </c>
      <c r="T628" s="22" t="s">
        <v>4946</v>
      </c>
    </row>
    <row r="629">
      <c r="A629" s="23" t="s">
        <v>4947</v>
      </c>
      <c r="B629" s="40" t="s">
        <v>4948</v>
      </c>
      <c r="C629" s="41">
        <v>45343.0</v>
      </c>
      <c r="D629" s="40" t="s">
        <v>4949</v>
      </c>
      <c r="E629" s="42" t="s">
        <v>4950</v>
      </c>
      <c r="F629" s="43" t="s">
        <v>4951</v>
      </c>
      <c r="G629" s="43" t="s">
        <v>4952</v>
      </c>
      <c r="H629" s="47" t="s">
        <v>2281</v>
      </c>
      <c r="I629" s="25" t="str">
        <f>IFERROR(__xludf.DUMMYFUNCTION("GOOGLETRANSLATE(H629,""EN"",""ES"")"),"Operaciones comerciales")</f>
        <v>Operaciones comerciales</v>
      </c>
      <c r="J629" s="26" t="s">
        <v>35</v>
      </c>
      <c r="K629" s="48">
        <v>0.6</v>
      </c>
      <c r="L629" s="49" t="s">
        <v>4789</v>
      </c>
      <c r="M629" s="28" t="s">
        <v>4790</v>
      </c>
      <c r="N629" s="47" t="s">
        <v>4953</v>
      </c>
      <c r="O629" s="47" t="str">
        <f>IFERROR(__xludf.DUMMYFUNCTION("GOOGLETRANSLATE(N629,""EN"",""ES"")"),"Las inversiones planificadas en mantenimiento garantizan la eficiencia operativa a largo plazo.")</f>
        <v>Las inversiones planificadas en mantenimiento garantizan la eficiencia operativa a largo plazo.</v>
      </c>
      <c r="P629" s="30">
        <v>0.5</v>
      </c>
      <c r="Q629" s="31" t="str">
        <f>IFERROR(__xludf.DUMMYFUNCTION("GOOGLETRANSLATE(R629,""ES"",""EN"")"),"stop, investment, improvements")</f>
        <v>stop, investment, improvements</v>
      </c>
      <c r="R629" s="28" t="s">
        <v>4792</v>
      </c>
      <c r="S629" s="53" t="s">
        <v>4793</v>
      </c>
      <c r="T629" s="32" t="s">
        <v>4794</v>
      </c>
    </row>
    <row r="630">
      <c r="A630" s="33" t="s">
        <v>4954</v>
      </c>
      <c r="B630" s="40" t="s">
        <v>21</v>
      </c>
      <c r="C630" s="41">
        <v>45343.0</v>
      </c>
      <c r="D630" s="40" t="s">
        <v>4955</v>
      </c>
      <c r="E630" s="42" t="s">
        <v>4956</v>
      </c>
      <c r="F630" s="43" t="s">
        <v>4957</v>
      </c>
      <c r="G630" s="43" t="s">
        <v>4958</v>
      </c>
      <c r="H630" s="44" t="s">
        <v>148</v>
      </c>
      <c r="I630" s="15" t="str">
        <f>IFERROR(__xludf.DUMMYFUNCTION("GOOGLETRANSLATE(H630,""EN"",""ES"")"),"Gastronomía")</f>
        <v>Gastronomía</v>
      </c>
      <c r="J630" s="16" t="s">
        <v>27</v>
      </c>
      <c r="K630" s="17">
        <v>0.0</v>
      </c>
      <c r="L630" s="45"/>
      <c r="M630" s="18"/>
      <c r="N630" s="44"/>
      <c r="O630" s="44"/>
      <c r="P630" s="20">
        <v>0.0</v>
      </c>
      <c r="Q630" s="18"/>
      <c r="R630" s="18"/>
      <c r="S630" s="52"/>
      <c r="T630" s="22"/>
    </row>
    <row r="631">
      <c r="A631" s="23" t="s">
        <v>4959</v>
      </c>
      <c r="B631" s="40" t="s">
        <v>499</v>
      </c>
      <c r="C631" s="41">
        <v>45343.0</v>
      </c>
      <c r="D631" s="40" t="s">
        <v>4960</v>
      </c>
      <c r="E631" s="42" t="s">
        <v>4961</v>
      </c>
      <c r="F631" s="43" t="s">
        <v>4962</v>
      </c>
      <c r="G631" s="43" t="s">
        <v>4963</v>
      </c>
      <c r="H631" s="47" t="s">
        <v>48</v>
      </c>
      <c r="I631" s="25" t="str">
        <f>IFERROR(__xludf.DUMMYFUNCTION("GOOGLETRANSLATE(H631,""EN"",""ES"")"),"Finanzas")</f>
        <v>Finanzas</v>
      </c>
      <c r="J631" s="26" t="s">
        <v>35</v>
      </c>
      <c r="K631" s="48">
        <v>0.7</v>
      </c>
      <c r="L631" s="49" t="s">
        <v>4964</v>
      </c>
      <c r="M631" s="28" t="s">
        <v>4965</v>
      </c>
      <c r="N631" s="47" t="s">
        <v>4966</v>
      </c>
      <c r="O631" s="47" t="str">
        <f>IFERROR(__xludf.DUMMYFUNCTION("GOOGLETRANSLATE(N631,""EN"",""ES"")"),"Un dividendo récord fortalece el sentimiento de los inversores y señala un sólido desempeño financiero.")</f>
        <v>Un dividendo récord fortalece el sentimiento de los inversores y señala un sólido desempeño financiero.</v>
      </c>
      <c r="P631" s="30">
        <v>0.5</v>
      </c>
      <c r="Q631" s="31" t="str">
        <f>IFERROR(__xludf.DUMMYFUNCTION("GOOGLETRANSLATE(R631,""ES"",""EN"")"),"investment, regulatory framework")</f>
        <v>investment, regulatory framework</v>
      </c>
      <c r="R631" s="28" t="s">
        <v>4967</v>
      </c>
      <c r="S631" s="53" t="s">
        <v>4968</v>
      </c>
      <c r="T631" s="32" t="s">
        <v>4969</v>
      </c>
    </row>
    <row r="632">
      <c r="A632" s="33" t="s">
        <v>4970</v>
      </c>
      <c r="B632" s="40" t="s">
        <v>229</v>
      </c>
      <c r="C632" s="41">
        <v>45343.0</v>
      </c>
      <c r="D632" s="40" t="s">
        <v>4971</v>
      </c>
      <c r="E632" s="42" t="s">
        <v>4972</v>
      </c>
      <c r="F632" s="43" t="s">
        <v>4973</v>
      </c>
      <c r="G632" s="43" t="s">
        <v>4974</v>
      </c>
      <c r="H632" s="44" t="s">
        <v>2447</v>
      </c>
      <c r="I632" s="15" t="str">
        <f>IFERROR(__xludf.DUMMYFUNCTION("GOOGLETRANSLATE(H632,""EN"",""ES"")"),"Asuntos del Consumidor")</f>
        <v>Asuntos del Consumidor</v>
      </c>
      <c r="J632" s="16" t="s">
        <v>35</v>
      </c>
      <c r="K632" s="48">
        <v>0.0</v>
      </c>
      <c r="L632" s="45"/>
      <c r="M632" s="18"/>
      <c r="N632" s="44" t="s">
        <v>4975</v>
      </c>
      <c r="O632" s="44" t="str">
        <f>IFERROR(__xludf.DUMMYFUNCTION("GOOGLETRANSLATE(N632,""EN"",""ES"")"),"Las discusiones generales sobre eficiencia de combustible no afectan la reputación de Repsol.")</f>
        <v>Las discusiones generales sobre eficiencia de combustible no afectan la reputación de Repsol.</v>
      </c>
      <c r="P632" s="30">
        <v>0.4</v>
      </c>
      <c r="Q632" s="18" t="str">
        <f>IFERROR(__xludf.DUMMYFUNCTION("GOOGLETRANSLATE(R632,""ES"",""EN"")"),"gasoline, kilometers")</f>
        <v>gasoline, kilometers</v>
      </c>
      <c r="R632" s="34" t="s">
        <v>4976</v>
      </c>
      <c r="S632" s="52" t="s">
        <v>4447</v>
      </c>
      <c r="T632" s="22" t="s">
        <v>4448</v>
      </c>
    </row>
    <row r="633">
      <c r="A633" s="23" t="s">
        <v>4977</v>
      </c>
      <c r="B633" s="40" t="s">
        <v>1831</v>
      </c>
      <c r="C633" s="41">
        <v>45343.0</v>
      </c>
      <c r="D633" s="40" t="s">
        <v>4978</v>
      </c>
      <c r="E633" s="42" t="s">
        <v>4979</v>
      </c>
      <c r="F633" s="43" t="s">
        <v>4980</v>
      </c>
      <c r="G633" s="43" t="s">
        <v>4981</v>
      </c>
      <c r="H633" s="47" t="s">
        <v>2447</v>
      </c>
      <c r="I633" s="25" t="str">
        <f>IFERROR(__xludf.DUMMYFUNCTION("GOOGLETRANSLATE(H633,""EN"",""ES"")"),"Asuntos del Consumidor")</f>
        <v>Asuntos del Consumidor</v>
      </c>
      <c r="J633" s="26" t="s">
        <v>35</v>
      </c>
      <c r="K633" s="48">
        <v>0.0</v>
      </c>
      <c r="L633" s="54"/>
      <c r="M633" s="31"/>
      <c r="N633" s="47" t="s">
        <v>4982</v>
      </c>
      <c r="O633" s="47" t="str">
        <f>IFERROR(__xludf.DUMMYFUNCTION("GOOGLETRANSLATE(N633,""EN"",""ES"")"),"Las comparaciones de eficiencia de combustible no impactan en el negocio de Repsol.")</f>
        <v>Las comparaciones de eficiencia de combustible no impactan en el negocio de Repsol.</v>
      </c>
      <c r="P633" s="30">
        <v>0.4</v>
      </c>
      <c r="Q633" s="31" t="str">
        <f>IFERROR(__xludf.DUMMYFUNCTION("GOOGLETRANSLATE(R633,""ES"",""EN"")"),"gasoline, kilometers")</f>
        <v>gasoline, kilometers</v>
      </c>
      <c r="R633" s="28" t="s">
        <v>4976</v>
      </c>
      <c r="S633" s="53" t="s">
        <v>4447</v>
      </c>
      <c r="T633" s="32" t="s">
        <v>4448</v>
      </c>
    </row>
    <row r="634">
      <c r="A634" s="33" t="s">
        <v>4983</v>
      </c>
      <c r="B634" s="40" t="s">
        <v>4984</v>
      </c>
      <c r="C634" s="41">
        <v>45343.0</v>
      </c>
      <c r="D634" s="40" t="s">
        <v>4985</v>
      </c>
      <c r="E634" s="42" t="s">
        <v>4986</v>
      </c>
      <c r="F634" s="43" t="s">
        <v>4987</v>
      </c>
      <c r="G634" s="43" t="s">
        <v>4988</v>
      </c>
      <c r="H634" s="44" t="s">
        <v>26</v>
      </c>
      <c r="I634" s="15" t="str">
        <f>IFERROR(__xludf.DUMMYFUNCTION("GOOGLETRANSLATE(H634,""EN"",""ES"")"),"Otro")</f>
        <v>Otro</v>
      </c>
      <c r="J634" s="16" t="s">
        <v>27</v>
      </c>
      <c r="K634" s="17">
        <v>0.0</v>
      </c>
      <c r="L634" s="45"/>
      <c r="M634" s="18"/>
      <c r="N634" s="44"/>
      <c r="O634" s="44"/>
      <c r="P634" s="20">
        <v>0.0</v>
      </c>
      <c r="Q634" s="18"/>
      <c r="R634" s="18"/>
      <c r="S634" s="52"/>
      <c r="T634" s="22"/>
    </row>
    <row r="635">
      <c r="A635" s="23" t="s">
        <v>4989</v>
      </c>
      <c r="B635" s="40" t="s">
        <v>21</v>
      </c>
      <c r="C635" s="41">
        <v>45343.0</v>
      </c>
      <c r="D635" s="40" t="s">
        <v>4990</v>
      </c>
      <c r="E635" s="42" t="s">
        <v>4991</v>
      </c>
      <c r="F635" s="43" t="s">
        <v>4992</v>
      </c>
      <c r="G635" s="43" t="s">
        <v>4993</v>
      </c>
      <c r="H635" s="47" t="s">
        <v>148</v>
      </c>
      <c r="I635" s="25" t="str">
        <f>IFERROR(__xludf.DUMMYFUNCTION("GOOGLETRANSLATE(H635,""EN"",""ES"")"),"Gastronomía")</f>
        <v>Gastronomía</v>
      </c>
      <c r="J635" s="26" t="s">
        <v>27</v>
      </c>
      <c r="K635" s="17">
        <v>0.0</v>
      </c>
      <c r="L635" s="54"/>
      <c r="M635" s="31"/>
      <c r="N635" s="47"/>
      <c r="O635" s="47"/>
      <c r="P635" s="20">
        <v>0.0</v>
      </c>
      <c r="Q635" s="31"/>
      <c r="R635" s="31"/>
      <c r="S635" s="53"/>
      <c r="T635" s="32"/>
    </row>
    <row r="636">
      <c r="A636" s="33" t="s">
        <v>4994</v>
      </c>
      <c r="B636" s="40" t="s">
        <v>21</v>
      </c>
      <c r="C636" s="41">
        <v>45343.0</v>
      </c>
      <c r="D636" s="40" t="s">
        <v>4995</v>
      </c>
      <c r="E636" s="42" t="s">
        <v>4996</v>
      </c>
      <c r="F636" s="43" t="s">
        <v>4997</v>
      </c>
      <c r="G636" s="43" t="s">
        <v>4998</v>
      </c>
      <c r="H636" s="44" t="s">
        <v>148</v>
      </c>
      <c r="I636" s="15" t="str">
        <f>IFERROR(__xludf.DUMMYFUNCTION("GOOGLETRANSLATE(H636,""EN"",""ES"")"),"Gastronomía")</f>
        <v>Gastronomía</v>
      </c>
      <c r="J636" s="16" t="s">
        <v>27</v>
      </c>
      <c r="K636" s="17">
        <v>0.0</v>
      </c>
      <c r="L636" s="45"/>
      <c r="M636" s="18"/>
      <c r="N636" s="44"/>
      <c r="O636" s="44"/>
      <c r="P636" s="20">
        <v>0.0</v>
      </c>
      <c r="Q636" s="18"/>
      <c r="R636" s="18"/>
      <c r="S636" s="52"/>
      <c r="T636" s="22"/>
    </row>
    <row r="637">
      <c r="A637" s="23" t="s">
        <v>4999</v>
      </c>
      <c r="B637" s="40" t="s">
        <v>21</v>
      </c>
      <c r="C637" s="41">
        <v>45343.0</v>
      </c>
      <c r="D637" s="40" t="s">
        <v>5000</v>
      </c>
      <c r="E637" s="42" t="s">
        <v>5001</v>
      </c>
      <c r="F637" s="43" t="s">
        <v>5002</v>
      </c>
      <c r="G637" s="43" t="s">
        <v>5003</v>
      </c>
      <c r="H637" s="47" t="s">
        <v>26</v>
      </c>
      <c r="I637" s="25" t="str">
        <f>IFERROR(__xludf.DUMMYFUNCTION("GOOGLETRANSLATE(H637,""EN"",""ES"")"),"Otro")</f>
        <v>Otro</v>
      </c>
      <c r="J637" s="26" t="s">
        <v>27</v>
      </c>
      <c r="K637" s="17">
        <v>0.0</v>
      </c>
      <c r="L637" s="54"/>
      <c r="M637" s="31"/>
      <c r="N637" s="47"/>
      <c r="O637" s="47"/>
      <c r="P637" s="20">
        <v>0.0</v>
      </c>
      <c r="Q637" s="31"/>
      <c r="R637" s="31"/>
      <c r="S637" s="53"/>
      <c r="T637" s="32"/>
    </row>
    <row r="638">
      <c r="A638" s="33" t="s">
        <v>5004</v>
      </c>
      <c r="B638" s="40" t="s">
        <v>207</v>
      </c>
      <c r="C638" s="41">
        <v>45344.0</v>
      </c>
      <c r="D638" s="40" t="s">
        <v>5005</v>
      </c>
      <c r="E638" s="42" t="s">
        <v>5006</v>
      </c>
      <c r="F638" s="43" t="s">
        <v>5007</v>
      </c>
      <c r="G638" s="43" t="s">
        <v>5008</v>
      </c>
      <c r="H638" s="44" t="s">
        <v>48</v>
      </c>
      <c r="I638" s="15" t="str">
        <f>IFERROR(__xludf.DUMMYFUNCTION("GOOGLETRANSLATE(H638,""EN"",""ES"")"),"Finanzas")</f>
        <v>Finanzas</v>
      </c>
      <c r="J638" s="16" t="s">
        <v>35</v>
      </c>
      <c r="K638" s="48">
        <v>-0.6</v>
      </c>
      <c r="L638" s="51" t="s">
        <v>5009</v>
      </c>
      <c r="M638" s="34" t="s">
        <v>5010</v>
      </c>
      <c r="N638" s="44" t="s">
        <v>5011</v>
      </c>
      <c r="O638" s="44" t="str">
        <f>IFERROR(__xludf.DUMMYFUNCTION("GOOGLETRANSLATE(N638,""EN"",""ES"")"),"Una disminución de las ganancias puede afectar la confianza de los inversores a pesar de un desempeño financiero estable.")</f>
        <v>Una disminución de las ganancias puede afectar la confianza de los inversores a pesar de un desempeño financiero estable.</v>
      </c>
      <c r="P638" s="30">
        <v>-0.4</v>
      </c>
      <c r="Q638" s="18" t="str">
        <f>IFERROR(__xludf.DUMMYFUNCTION("GOOGLETRANSLATE(R638,""ES"",""EN"")"),"net profit, fall")</f>
        <v>net profit, fall</v>
      </c>
      <c r="R638" s="34" t="s">
        <v>5012</v>
      </c>
      <c r="S638" s="52" t="s">
        <v>4918</v>
      </c>
      <c r="T638" s="22" t="s">
        <v>4919</v>
      </c>
    </row>
    <row r="639">
      <c r="A639" s="23" t="s">
        <v>5013</v>
      </c>
      <c r="B639" s="40" t="s">
        <v>91</v>
      </c>
      <c r="C639" s="41">
        <v>45344.0</v>
      </c>
      <c r="D639" s="40" t="s">
        <v>5014</v>
      </c>
      <c r="E639" s="42" t="s">
        <v>5015</v>
      </c>
      <c r="F639" s="43" t="s">
        <v>5016</v>
      </c>
      <c r="G639" s="43" t="s">
        <v>5017</v>
      </c>
      <c r="H639" s="47" t="s">
        <v>598</v>
      </c>
      <c r="I639" s="25" t="str">
        <f>IFERROR(__xludf.DUMMYFUNCTION("GOOGLETRANSLATE(H639,""EN"",""ES"")"),"Expansión empresarial")</f>
        <v>Expansión empresarial</v>
      </c>
      <c r="J639" s="26" t="s">
        <v>35</v>
      </c>
      <c r="K639" s="48">
        <v>0.6</v>
      </c>
      <c r="L639" s="49" t="s">
        <v>5018</v>
      </c>
      <c r="M639" s="28" t="s">
        <v>5019</v>
      </c>
      <c r="N639" s="47" t="s">
        <v>5020</v>
      </c>
      <c r="O639" s="47" t="str">
        <f>IFERROR(__xludf.DUMMYFUNCTION("GOOGLETRANSLATE(N639,""EN"",""ES"")"),"La expansión de las operaciones internacionales refuerza la presencia de Repsol en el mercado global.")</f>
        <v>La expansión de las operaciones internacionales refuerza la presencia de Repsol en el mercado global.</v>
      </c>
      <c r="P639" s="30">
        <v>0.5</v>
      </c>
      <c r="Q639" s="31" t="str">
        <f>IFERROR(__xludf.DUMMYFUNCTION("GOOGLETRANSLATE(R639,""ES"",""EN"")"),"Bag, exploration")</f>
        <v>Bag, exploration</v>
      </c>
      <c r="R639" s="28" t="s">
        <v>5021</v>
      </c>
      <c r="S639" s="53" t="s">
        <v>5022</v>
      </c>
      <c r="T639" s="32" t="s">
        <v>5023</v>
      </c>
    </row>
    <row r="640">
      <c r="A640" s="33" t="s">
        <v>5024</v>
      </c>
      <c r="B640" s="40" t="s">
        <v>217</v>
      </c>
      <c r="C640" s="41">
        <v>45344.0</v>
      </c>
      <c r="D640" s="40" t="s">
        <v>5025</v>
      </c>
      <c r="E640" s="42" t="s">
        <v>5026</v>
      </c>
      <c r="F640" s="43" t="s">
        <v>5027</v>
      </c>
      <c r="G640" s="43" t="s">
        <v>5028</v>
      </c>
      <c r="H640" s="44" t="s">
        <v>48</v>
      </c>
      <c r="I640" s="15" t="str">
        <f>IFERROR(__xludf.DUMMYFUNCTION("GOOGLETRANSLATE(H640,""EN"",""ES"")"),"Finanzas")</f>
        <v>Finanzas</v>
      </c>
      <c r="J640" s="16" t="s">
        <v>35</v>
      </c>
      <c r="K640" s="48">
        <v>0.7</v>
      </c>
      <c r="L640" s="51" t="s">
        <v>5029</v>
      </c>
      <c r="M640" s="34" t="s">
        <v>5030</v>
      </c>
      <c r="N640" s="44" t="s">
        <v>5031</v>
      </c>
      <c r="O640" s="44" t="str">
        <f>IFERROR(__xludf.DUMMYFUNCTION("GOOGLETRANSLATE(N640,""EN"",""ES"")"),"El aumento de los dividendos indica un sólido desempeño financiero y atrae la confianza de los inversores.")</f>
        <v>El aumento de los dividendos indica un sólido desempeño financiero y atrae la confianza de los inversores.</v>
      </c>
      <c r="P640" s="30">
        <v>0.6</v>
      </c>
      <c r="Q640" s="18" t="str">
        <f>IFERROR(__xludf.DUMMYFUNCTION("GOOGLETRANSLATE(R640,""ES"",""EN"")"),"dividend, strategic plan")</f>
        <v>dividend, strategic plan</v>
      </c>
      <c r="R640" s="34" t="s">
        <v>5032</v>
      </c>
      <c r="S640" s="52" t="s">
        <v>5033</v>
      </c>
      <c r="T640" s="22" t="s">
        <v>5034</v>
      </c>
    </row>
    <row r="641">
      <c r="A641" s="23" t="s">
        <v>5035</v>
      </c>
      <c r="B641" s="40" t="s">
        <v>499</v>
      </c>
      <c r="C641" s="41">
        <v>45344.0</v>
      </c>
      <c r="D641" s="40" t="s">
        <v>5036</v>
      </c>
      <c r="E641" s="42" t="s">
        <v>5037</v>
      </c>
      <c r="F641" s="43" t="s">
        <v>5038</v>
      </c>
      <c r="G641" s="43" t="s">
        <v>5039</v>
      </c>
      <c r="H641" s="47" t="s">
        <v>48</v>
      </c>
      <c r="I641" s="25" t="str">
        <f>IFERROR(__xludf.DUMMYFUNCTION("GOOGLETRANSLATE(H641,""EN"",""ES"")"),"Finanzas")</f>
        <v>Finanzas</v>
      </c>
      <c r="J641" s="26" t="s">
        <v>35</v>
      </c>
      <c r="K641" s="48">
        <v>0.7</v>
      </c>
      <c r="L641" s="49" t="s">
        <v>5040</v>
      </c>
      <c r="M641" s="28" t="s">
        <v>5041</v>
      </c>
      <c r="N641" s="47" t="s">
        <v>5042</v>
      </c>
      <c r="O641" s="47" t="str">
        <f>IFERROR(__xludf.DUMMYFUNCTION("GOOGLETRANSLATE(N641,""EN"",""ES"")"),"Los mayores pagos de dividendos refuerzan la estabilidad financiera de Repsol y el atractivo para los accionistas.")</f>
        <v>Los mayores pagos de dividendos refuerzan la estabilidad financiera de Repsol y el atractivo para los accionistas.</v>
      </c>
      <c r="P641" s="30">
        <v>0.6</v>
      </c>
      <c r="Q641" s="31" t="str">
        <f>IFERROR(__xludf.DUMMYFUNCTION("GOOGLETRANSLATE(R641,""ES"",""EN"")"),"dividend, raise")</f>
        <v>dividend, raise</v>
      </c>
      <c r="R641" s="28" t="s">
        <v>5043</v>
      </c>
      <c r="S641" s="53" t="s">
        <v>5033</v>
      </c>
      <c r="T641" s="32" t="s">
        <v>5034</v>
      </c>
    </row>
    <row r="642">
      <c r="A642" s="33" t="s">
        <v>5044</v>
      </c>
      <c r="B642" s="40" t="s">
        <v>43</v>
      </c>
      <c r="C642" s="41">
        <v>45344.0</v>
      </c>
      <c r="D642" s="40" t="s">
        <v>5045</v>
      </c>
      <c r="E642" s="42" t="s">
        <v>5046</v>
      </c>
      <c r="F642" s="43" t="s">
        <v>5047</v>
      </c>
      <c r="G642" s="43" t="s">
        <v>5048</v>
      </c>
      <c r="H642" s="44" t="s">
        <v>130</v>
      </c>
      <c r="I642" s="15" t="str">
        <f>IFERROR(__xludf.DUMMYFUNCTION("GOOGLETRANSLATE(H642,""EN"",""ES"")"),"Sostenibilidad")</f>
        <v>Sostenibilidad</v>
      </c>
      <c r="J642" s="16" t="s">
        <v>35</v>
      </c>
      <c r="K642" s="48">
        <v>0.5</v>
      </c>
      <c r="L642" s="51" t="s">
        <v>5049</v>
      </c>
      <c r="M642" s="34" t="s">
        <v>5050</v>
      </c>
      <c r="N642" s="44" t="s">
        <v>5051</v>
      </c>
      <c r="O642" s="44" t="str">
        <f>IFERROR(__xludf.DUMMYFUNCTION("GOOGLETRANSLATE(N642,""EN"",""ES"")"),"Un enfoque cauteloso hacia la descarbonización puede ser visto positivamente por los inversores, pero con cautela por los grupos ambientalistas.")</f>
        <v>Un enfoque cauteloso hacia la descarbonización puede ser visto positivamente por los inversores, pero con cautela por los grupos ambientalistas.</v>
      </c>
      <c r="P642" s="30">
        <v>0.4</v>
      </c>
      <c r="Q642" s="18" t="str">
        <f>IFERROR(__xludf.DUMMYFUNCTION("GOOGLETRANSLATE(R642,""ES"",""EN"")"),"investments, energy tax")</f>
        <v>investments, energy tax</v>
      </c>
      <c r="R642" s="34" t="s">
        <v>5052</v>
      </c>
      <c r="S642" s="52" t="s">
        <v>5022</v>
      </c>
      <c r="T642" s="22" t="s">
        <v>5023</v>
      </c>
    </row>
    <row r="643">
      <c r="A643" s="23" t="s">
        <v>5053</v>
      </c>
      <c r="B643" s="40" t="s">
        <v>1081</v>
      </c>
      <c r="C643" s="41">
        <v>45344.0</v>
      </c>
      <c r="D643" s="40" t="s">
        <v>5054</v>
      </c>
      <c r="E643" s="42" t="s">
        <v>5055</v>
      </c>
      <c r="F643" s="43" t="s">
        <v>5056</v>
      </c>
      <c r="G643" s="43" t="s">
        <v>5057</v>
      </c>
      <c r="H643" s="47" t="s">
        <v>48</v>
      </c>
      <c r="I643" s="25" t="str">
        <f>IFERROR(__xludf.DUMMYFUNCTION("GOOGLETRANSLATE(H643,""EN"",""ES"")"),"Finanzas")</f>
        <v>Finanzas</v>
      </c>
      <c r="J643" s="26" t="s">
        <v>35</v>
      </c>
      <c r="K643" s="48">
        <v>0.7</v>
      </c>
      <c r="L643" s="49" t="s">
        <v>5058</v>
      </c>
      <c r="M643" s="28" t="s">
        <v>5059</v>
      </c>
      <c r="N643" s="47" t="s">
        <v>5060</v>
      </c>
      <c r="O643" s="47" t="str">
        <f>IFERROR(__xludf.DUMMYFUNCTION("GOOGLETRANSLATE(N643,""EN"",""ES"")"),"Un importante incremento del dividendo refuerza el atractivo de Repsol para el accionista.")</f>
        <v>Un importante incremento del dividendo refuerza el atractivo de Repsol para el accionista.</v>
      </c>
      <c r="P643" s="30">
        <v>0.6</v>
      </c>
      <c r="Q643" s="31" t="str">
        <f>IFERROR(__xludf.DUMMYFUNCTION("GOOGLETRANSLATE(R643,""ES"",""EN"")"),"dividend, raise")</f>
        <v>dividend, raise</v>
      </c>
      <c r="R643" s="28" t="s">
        <v>5043</v>
      </c>
      <c r="S643" s="53" t="s">
        <v>5033</v>
      </c>
      <c r="T643" s="32" t="s">
        <v>5034</v>
      </c>
    </row>
    <row r="644">
      <c r="A644" s="33" t="s">
        <v>5061</v>
      </c>
      <c r="B644" s="40" t="s">
        <v>3067</v>
      </c>
      <c r="C644" s="41">
        <v>45344.0</v>
      </c>
      <c r="D644" s="40" t="s">
        <v>5062</v>
      </c>
      <c r="E644" s="42" t="s">
        <v>5063</v>
      </c>
      <c r="F644" s="43" t="s">
        <v>5064</v>
      </c>
      <c r="G644" s="43" t="s">
        <v>5065</v>
      </c>
      <c r="H644" s="44" t="s">
        <v>661</v>
      </c>
      <c r="I644" s="15" t="str">
        <f>IFERROR(__xludf.DUMMYFUNCTION("GOOGLETRANSLATE(H644,""EN"",""ES"")"),"Estrategia empresarial")</f>
        <v>Estrategia empresarial</v>
      </c>
      <c r="J644" s="16" t="s">
        <v>35</v>
      </c>
      <c r="K644" s="48">
        <v>0.6</v>
      </c>
      <c r="L644" s="51" t="s">
        <v>5066</v>
      </c>
      <c r="M644" s="34" t="s">
        <v>5067</v>
      </c>
      <c r="N644" s="44" t="s">
        <v>5068</v>
      </c>
      <c r="O644" s="44" t="str">
        <f>IFERROR(__xludf.DUMMYFUNCTION("GOOGLETRANSLATE(N644,""EN"",""ES"")"),"Los planes de inversión de Repsol apoyan el crecimiento y la sostenibilidad a largo plazo.")</f>
        <v>Los planes de inversión de Repsol apoyan el crecimiento y la sostenibilidad a largo plazo.</v>
      </c>
      <c r="P644" s="30">
        <v>0.5</v>
      </c>
      <c r="Q644" s="18" t="str">
        <f>IFERROR(__xludf.DUMMYFUNCTION("GOOGLETRANSLATE(R644,""ES"",""EN"")"),"investments, regulatory framework")</f>
        <v>investments, regulatory framework</v>
      </c>
      <c r="R644" s="34" t="s">
        <v>5069</v>
      </c>
      <c r="S644" s="52" t="s">
        <v>5022</v>
      </c>
      <c r="T644" s="22" t="s">
        <v>5023</v>
      </c>
    </row>
    <row r="645">
      <c r="A645" s="23" t="s">
        <v>5070</v>
      </c>
      <c r="B645" s="40" t="s">
        <v>1168</v>
      </c>
      <c r="C645" s="41">
        <v>45344.0</v>
      </c>
      <c r="D645" s="40" t="s">
        <v>5071</v>
      </c>
      <c r="E645" s="42" t="s">
        <v>5072</v>
      </c>
      <c r="F645" s="43" t="s">
        <v>5073</v>
      </c>
      <c r="G645" s="43" t="s">
        <v>5074</v>
      </c>
      <c r="H645" s="47" t="s">
        <v>130</v>
      </c>
      <c r="I645" s="25" t="str">
        <f>IFERROR(__xludf.DUMMYFUNCTION("GOOGLETRANSLATE(H645,""EN"",""ES"")"),"Sostenibilidad")</f>
        <v>Sostenibilidad</v>
      </c>
      <c r="J645" s="26" t="s">
        <v>35</v>
      </c>
      <c r="K645" s="48">
        <v>0.7</v>
      </c>
      <c r="L645" s="49" t="s">
        <v>5075</v>
      </c>
      <c r="M645" s="28" t="s">
        <v>5076</v>
      </c>
      <c r="N645" s="47" t="s">
        <v>5077</v>
      </c>
      <c r="O645" s="47" t="str">
        <f>IFERROR(__xludf.DUMMYFUNCTION("GOOGLETRANSLATE(N645,""EN"",""ES"")"),"La puesta en marcha de una planta de biocombustibles refuerza la apuesta de Repsol por las energías verdes.")</f>
        <v>La puesta en marcha de una planta de biocombustibles refuerza la apuesta de Repsol por las energías verdes.</v>
      </c>
      <c r="P645" s="30">
        <v>0.7</v>
      </c>
      <c r="Q645" s="31" t="str">
        <f>IFERROR(__xludf.DUMMYFUNCTION("GOOGLETRANSLATE(R645,""ES"",""EN"")"),"biofuels, start-up")</f>
        <v>biofuels, start-up</v>
      </c>
      <c r="R645" s="28" t="s">
        <v>5078</v>
      </c>
      <c r="S645" s="53" t="s">
        <v>5079</v>
      </c>
      <c r="T645" s="32" t="s">
        <v>5080</v>
      </c>
    </row>
    <row r="646">
      <c r="A646" s="33" t="s">
        <v>5081</v>
      </c>
      <c r="B646" s="40" t="s">
        <v>2952</v>
      </c>
      <c r="C646" s="41">
        <v>45344.0</v>
      </c>
      <c r="D646" s="40" t="s">
        <v>5082</v>
      </c>
      <c r="E646" s="42" t="s">
        <v>5083</v>
      </c>
      <c r="F646" s="43" t="s">
        <v>5084</v>
      </c>
      <c r="G646" s="43" t="s">
        <v>5085</v>
      </c>
      <c r="H646" s="44" t="s">
        <v>48</v>
      </c>
      <c r="I646" s="15" t="str">
        <f>IFERROR(__xludf.DUMMYFUNCTION("GOOGLETRANSLATE(H646,""EN"",""ES"")"),"Finanzas")</f>
        <v>Finanzas</v>
      </c>
      <c r="J646" s="16" t="s">
        <v>35</v>
      </c>
      <c r="K646" s="48">
        <v>-0.6</v>
      </c>
      <c r="L646" s="51" t="s">
        <v>5086</v>
      </c>
      <c r="M646" s="34" t="s">
        <v>5087</v>
      </c>
      <c r="N646" s="44" t="s">
        <v>5088</v>
      </c>
      <c r="O646" s="44" t="str">
        <f>IFERROR(__xludf.DUMMYFUNCTION("GOOGLETRANSLATE(N646,""EN"",""ES"")"),"Una caída en el beneficio neto puede generar preocupación entre los inversores a pesar de las operaciones estables.")</f>
        <v>Una caída en el beneficio neto puede generar preocupación entre los inversores a pesar de las operaciones estables.</v>
      </c>
      <c r="P646" s="30">
        <v>-0.4</v>
      </c>
      <c r="Q646" s="18" t="str">
        <f>IFERROR(__xludf.DUMMYFUNCTION("GOOGLETRANSLATE(R646,""ES"",""EN"")"),"net profit, lower prices")</f>
        <v>net profit, lower prices</v>
      </c>
      <c r="R646" s="34" t="s">
        <v>5089</v>
      </c>
      <c r="S646" s="52" t="s">
        <v>4918</v>
      </c>
      <c r="T646" s="22" t="s">
        <v>4919</v>
      </c>
    </row>
    <row r="647">
      <c r="A647" s="23" t="s">
        <v>5090</v>
      </c>
      <c r="B647" s="40" t="s">
        <v>558</v>
      </c>
      <c r="C647" s="41">
        <v>45344.0</v>
      </c>
      <c r="D647" s="40" t="s">
        <v>5091</v>
      </c>
      <c r="E647" s="42" t="s">
        <v>5092</v>
      </c>
      <c r="F647" s="43" t="s">
        <v>5093</v>
      </c>
      <c r="G647" s="43" t="s">
        <v>5094</v>
      </c>
      <c r="H647" s="47" t="s">
        <v>48</v>
      </c>
      <c r="I647" s="25" t="str">
        <f>IFERROR(__xludf.DUMMYFUNCTION("GOOGLETRANSLATE(H647,""EN"",""ES"")"),"Finanzas")</f>
        <v>Finanzas</v>
      </c>
      <c r="J647" s="26" t="s">
        <v>35</v>
      </c>
      <c r="K647" s="48">
        <v>0.6</v>
      </c>
      <c r="L647" s="49" t="s">
        <v>5095</v>
      </c>
      <c r="M647" s="28" t="s">
        <v>5096</v>
      </c>
      <c r="N647" s="47" t="s">
        <v>5097</v>
      </c>
      <c r="O647" s="47" t="str">
        <f>IFERROR(__xludf.DUMMYFUNCTION("GOOGLETRANSLATE(N647,""EN"",""ES"")"),"Dar prioridad a la rentabilidad de los accionistas a pesar de la caída de los beneficios puede sostener la confianza de los inversores.")</f>
        <v>Dar prioridad a la rentabilidad de los accionistas a pesar de la caída de los beneficios puede sostener la confianza de los inversores.</v>
      </c>
      <c r="P647" s="30">
        <v>0.4</v>
      </c>
      <c r="Q647" s="31" t="str">
        <f>IFERROR(__xludf.DUMMYFUNCTION("GOOGLETRANSLATE(R647,""ES"",""EN"")"),"net profit, dividend")</f>
        <v>net profit, dividend</v>
      </c>
      <c r="R647" s="28" t="s">
        <v>5098</v>
      </c>
      <c r="S647" s="53" t="s">
        <v>5099</v>
      </c>
      <c r="T647" s="32" t="s">
        <v>5100</v>
      </c>
    </row>
    <row r="648">
      <c r="A648" s="33" t="s">
        <v>5101</v>
      </c>
      <c r="B648" s="40" t="s">
        <v>1192</v>
      </c>
      <c r="C648" s="41">
        <v>45344.0</v>
      </c>
      <c r="D648" s="40" t="s">
        <v>5102</v>
      </c>
      <c r="E648" s="42" t="s">
        <v>5103</v>
      </c>
      <c r="F648" s="43" t="s">
        <v>5104</v>
      </c>
      <c r="G648" s="43" t="s">
        <v>5105</v>
      </c>
      <c r="H648" s="44" t="s">
        <v>48</v>
      </c>
      <c r="I648" s="15" t="str">
        <f>IFERROR(__xludf.DUMMYFUNCTION("GOOGLETRANSLATE(H648,""EN"",""ES"")"),"Finanzas")</f>
        <v>Finanzas</v>
      </c>
      <c r="J648" s="16" t="s">
        <v>35</v>
      </c>
      <c r="K648" s="48">
        <v>0.7</v>
      </c>
      <c r="L648" s="51" t="s">
        <v>5106</v>
      </c>
      <c r="M648" s="34" t="s">
        <v>5107</v>
      </c>
      <c r="N648" s="44" t="s">
        <v>5108</v>
      </c>
      <c r="O648" s="44" t="str">
        <f>IFERROR(__xludf.DUMMYFUNCTION("GOOGLETRANSLATE(N648,""EN"",""ES"")"),"Los pagos de dividendos especiales pueden mejorar la confianza de los inversores en la estabilidad financiera de Repsol.")</f>
        <v>Los pagos de dividendos especiales pueden mejorar la confianza de los inversores en la estabilidad financiera de Repsol.</v>
      </c>
      <c r="P648" s="30">
        <v>0.6</v>
      </c>
      <c r="Q648" s="18" t="str">
        <f>IFERROR(__xludf.DUMMYFUNCTION("GOOGLETRANSLATE(R648,""ES"",""EN"")"),"dividend, extra payment")</f>
        <v>dividend, extra payment</v>
      </c>
      <c r="R648" s="34" t="s">
        <v>5109</v>
      </c>
      <c r="S648" s="52" t="s">
        <v>5033</v>
      </c>
      <c r="T648" s="22" t="s">
        <v>5034</v>
      </c>
    </row>
    <row r="649">
      <c r="A649" s="23" t="s">
        <v>5110</v>
      </c>
      <c r="B649" s="40" t="s">
        <v>5111</v>
      </c>
      <c r="C649" s="41">
        <v>45344.0</v>
      </c>
      <c r="D649" s="40" t="s">
        <v>5112</v>
      </c>
      <c r="E649" s="42" t="s">
        <v>5113</v>
      </c>
      <c r="F649" s="43" t="s">
        <v>5114</v>
      </c>
      <c r="G649" s="43" t="s">
        <v>5115</v>
      </c>
      <c r="H649" s="47" t="s">
        <v>408</v>
      </c>
      <c r="I649" s="25" t="str">
        <f>IFERROR(__xludf.DUMMYFUNCTION("GOOGLETRANSLATE(H649,""EN"",""ES"")"),"Legal")</f>
        <v>Legal</v>
      </c>
      <c r="J649" s="26" t="s">
        <v>35</v>
      </c>
      <c r="K649" s="48">
        <v>0.5</v>
      </c>
      <c r="L649" s="49" t="s">
        <v>5116</v>
      </c>
      <c r="M649" s="28" t="s">
        <v>5117</v>
      </c>
      <c r="N649" s="47" t="s">
        <v>5118</v>
      </c>
      <c r="O649" s="47" t="str">
        <f>IFERROR(__xludf.DUMMYFUNCTION("GOOGLETRANSLATE(N649,""EN"",""ES"")"),"La resolución de conflictos impacta positivamente en la situación jurídica de Repsol.")</f>
        <v>La resolución de conflictos impacta positivamente en la situación jurídica de Repsol.</v>
      </c>
      <c r="P649" s="30">
        <v>0.0</v>
      </c>
      <c r="Q649" s="31"/>
      <c r="R649" s="31"/>
      <c r="S649" s="53" t="s">
        <v>4447</v>
      </c>
      <c r="T649" s="32" t="s">
        <v>4448</v>
      </c>
    </row>
    <row r="650">
      <c r="A650" s="33" t="s">
        <v>5119</v>
      </c>
      <c r="B650" s="40" t="s">
        <v>103</v>
      </c>
      <c r="C650" s="41">
        <v>45344.0</v>
      </c>
      <c r="D650" s="40" t="s">
        <v>5120</v>
      </c>
      <c r="E650" s="42" t="s">
        <v>5121</v>
      </c>
      <c r="F650" s="43" t="s">
        <v>5122</v>
      </c>
      <c r="G650" s="43" t="s">
        <v>5123</v>
      </c>
      <c r="H650" s="44" t="s">
        <v>48</v>
      </c>
      <c r="I650" s="15" t="str">
        <f>IFERROR(__xludf.DUMMYFUNCTION("GOOGLETRANSLATE(H650,""EN"",""ES"")"),"Finanzas")</f>
        <v>Finanzas</v>
      </c>
      <c r="J650" s="16" t="s">
        <v>35</v>
      </c>
      <c r="K650" s="48">
        <v>0.7</v>
      </c>
      <c r="L650" s="51" t="s">
        <v>5124</v>
      </c>
      <c r="M650" s="34" t="s">
        <v>5125</v>
      </c>
      <c r="N650" s="44" t="s">
        <v>5126</v>
      </c>
      <c r="O650" s="44" t="str">
        <f>IFERROR(__xludf.DUMMYFUNCTION("GOOGLETRANSLATE(N650,""EN"",""ES"")"),"Las reacciones positivas del mercado indican la confianza de los inversores en la estrategia de Repsol.")</f>
        <v>Las reacciones positivas del mercado indican la confianza de los inversores en la estrategia de Repsol.</v>
      </c>
      <c r="P650" s="30">
        <v>0.7</v>
      </c>
      <c r="Q650" s="18" t="str">
        <f>IFERROR(__xludf.DUMMYFUNCTION("GOOGLETRANSLATE(R650,""ES"",""EN"")"),"Bag, distribute")</f>
        <v>Bag, distribute</v>
      </c>
      <c r="R650" s="34" t="s">
        <v>5127</v>
      </c>
      <c r="S650" s="52" t="s">
        <v>5033</v>
      </c>
      <c r="T650" s="22" t="s">
        <v>5034</v>
      </c>
    </row>
    <row r="651">
      <c r="A651" s="23" t="s">
        <v>5128</v>
      </c>
      <c r="B651" s="40" t="s">
        <v>5129</v>
      </c>
      <c r="C651" s="41">
        <v>45344.0</v>
      </c>
      <c r="D651" s="40" t="s">
        <v>5130</v>
      </c>
      <c r="E651" s="42" t="s">
        <v>5131</v>
      </c>
      <c r="F651" s="43" t="s">
        <v>5132</v>
      </c>
      <c r="G651" s="43" t="s">
        <v>5133</v>
      </c>
      <c r="H651" s="47" t="s">
        <v>48</v>
      </c>
      <c r="I651" s="25" t="str">
        <f>IFERROR(__xludf.DUMMYFUNCTION("GOOGLETRANSLATE(H651,""EN"",""ES"")"),"Finanzas")</f>
        <v>Finanzas</v>
      </c>
      <c r="J651" s="26" t="s">
        <v>35</v>
      </c>
      <c r="K651" s="48">
        <v>0.7</v>
      </c>
      <c r="L651" s="49" t="s">
        <v>5134</v>
      </c>
      <c r="M651" s="28" t="s">
        <v>5135</v>
      </c>
      <c r="N651" s="47" t="s">
        <v>5136</v>
      </c>
      <c r="O651" s="47" t="str">
        <f>IFERROR(__xludf.DUMMYFUNCTION("GOOGLETRANSLATE(N651,""EN"",""ES"")"),"Un buen desempeño del mercado de valores indica un sentimiento positivo de los inversores.")</f>
        <v>Un buen desempeño del mercado de valores indica un sentimiento positivo de los inversores.</v>
      </c>
      <c r="P651" s="30">
        <v>0.6</v>
      </c>
      <c r="Q651" s="31" t="str">
        <f>IFERROR(__xludf.DUMMYFUNCTION("GOOGLETRANSLATE(R651,""ES"",""EN"")"),"results, shoot")</f>
        <v>results, shoot</v>
      </c>
      <c r="R651" s="28" t="s">
        <v>5137</v>
      </c>
      <c r="S651" s="53" t="s">
        <v>5138</v>
      </c>
      <c r="T651" s="32" t="s">
        <v>5139</v>
      </c>
    </row>
    <row r="652">
      <c r="A652" s="33" t="s">
        <v>5140</v>
      </c>
      <c r="B652" s="40" t="s">
        <v>1072</v>
      </c>
      <c r="C652" s="41">
        <v>45344.0</v>
      </c>
      <c r="D652" s="40" t="s">
        <v>5141</v>
      </c>
      <c r="E652" s="42" t="s">
        <v>5142</v>
      </c>
      <c r="F652" s="43" t="s">
        <v>5143</v>
      </c>
      <c r="G652" s="43" t="s">
        <v>5144</v>
      </c>
      <c r="H652" s="44" t="s">
        <v>48</v>
      </c>
      <c r="I652" s="15" t="str">
        <f>IFERROR(__xludf.DUMMYFUNCTION("GOOGLETRANSLATE(H652,""EN"",""ES"")"),"Finanzas")</f>
        <v>Finanzas</v>
      </c>
      <c r="J652" s="16" t="s">
        <v>35</v>
      </c>
      <c r="K652" s="48">
        <v>0.7</v>
      </c>
      <c r="L652" s="51" t="s">
        <v>5145</v>
      </c>
      <c r="M652" s="34" t="s">
        <v>5146</v>
      </c>
      <c r="N652" s="44" t="s">
        <v>5147</v>
      </c>
      <c r="O652" s="44" t="str">
        <f>IFERROR(__xludf.DUMMYFUNCTION("GOOGLETRANSLATE(N652,""EN"",""ES"")"),"El aumento del pago de dividendos aumenta el atractivo bursátil de Repsol.")</f>
        <v>El aumento del pago de dividendos aumenta el atractivo bursátil de Repsol.</v>
      </c>
      <c r="P652" s="30">
        <v>0.7</v>
      </c>
      <c r="Q652" s="18" t="str">
        <f>IFERROR(__xludf.DUMMYFUNCTION("GOOGLETRANSLATE(R652,""ES"",""EN"")"),"dividends, remuneration")</f>
        <v>dividends, remuneration</v>
      </c>
      <c r="R652" s="34" t="s">
        <v>5148</v>
      </c>
      <c r="S652" s="52" t="s">
        <v>5033</v>
      </c>
      <c r="T652" s="22" t="s">
        <v>5034</v>
      </c>
    </row>
    <row r="653">
      <c r="A653" s="23" t="s">
        <v>5149</v>
      </c>
      <c r="B653" s="40" t="s">
        <v>2696</v>
      </c>
      <c r="C653" s="41">
        <v>45344.0</v>
      </c>
      <c r="D653" s="40" t="s">
        <v>5150</v>
      </c>
      <c r="E653" s="42" t="s">
        <v>5151</v>
      </c>
      <c r="F653" s="43" t="s">
        <v>5152</v>
      </c>
      <c r="G653" s="43" t="s">
        <v>5153</v>
      </c>
      <c r="H653" s="47" t="s">
        <v>661</v>
      </c>
      <c r="I653" s="25" t="str">
        <f>IFERROR(__xludf.DUMMYFUNCTION("GOOGLETRANSLATE(H653,""EN"",""ES"")"),"Estrategia empresarial")</f>
        <v>Estrategia empresarial</v>
      </c>
      <c r="J653" s="26" t="s">
        <v>35</v>
      </c>
      <c r="K653" s="48">
        <v>0.7</v>
      </c>
      <c r="L653" s="49" t="s">
        <v>5154</v>
      </c>
      <c r="M653" s="28" t="s">
        <v>5155</v>
      </c>
      <c r="N653" s="47" t="s">
        <v>5156</v>
      </c>
      <c r="O653" s="47" t="str">
        <f>IFERROR(__xludf.DUMMYFUNCTION("GOOGLETRANSLATE(N653,""EN"",""ES"")"),"Un plan de inversiones a largo plazo refuerza los esfuerzos de crecimiento y sostenibilidad de Repsol.")</f>
        <v>Un plan de inversiones a largo plazo refuerza los esfuerzos de crecimiento y sostenibilidad de Repsol.</v>
      </c>
      <c r="P653" s="30">
        <v>0.7</v>
      </c>
      <c r="Q653" s="31" t="str">
        <f>IFERROR(__xludf.DUMMYFUNCTION("GOOGLETRANSLATE(R653,""ES"",""EN"")"),"investment, transformation")</f>
        <v>investment, transformation</v>
      </c>
      <c r="R653" s="28" t="s">
        <v>5157</v>
      </c>
      <c r="S653" s="53" t="s">
        <v>5158</v>
      </c>
      <c r="T653" s="32" t="s">
        <v>5159</v>
      </c>
    </row>
    <row r="654">
      <c r="A654" s="33" t="s">
        <v>5160</v>
      </c>
      <c r="B654" s="40" t="s">
        <v>217</v>
      </c>
      <c r="C654" s="41">
        <v>45344.0</v>
      </c>
      <c r="D654" s="40" t="s">
        <v>5161</v>
      </c>
      <c r="E654" s="42" t="s">
        <v>5162</v>
      </c>
      <c r="F654" s="43" t="s">
        <v>5163</v>
      </c>
      <c r="G654" s="43" t="s">
        <v>5164</v>
      </c>
      <c r="H654" s="44" t="s">
        <v>48</v>
      </c>
      <c r="I654" s="15" t="str">
        <f>IFERROR(__xludf.DUMMYFUNCTION("GOOGLETRANSLATE(H654,""EN"",""ES"")"),"Finanzas")</f>
        <v>Finanzas</v>
      </c>
      <c r="J654" s="16" t="s">
        <v>35</v>
      </c>
      <c r="K654" s="48">
        <v>-0.6</v>
      </c>
      <c r="L654" s="51" t="s">
        <v>5165</v>
      </c>
      <c r="M654" s="34" t="s">
        <v>5166</v>
      </c>
      <c r="N654" s="44" t="s">
        <v>5167</v>
      </c>
      <c r="O654" s="44" t="str">
        <f>IFERROR(__xludf.DUMMYFUNCTION("GOOGLETRANSLATE(N654,""EN"",""ES"")"),"Las menores ganancias pueden causar preocupación a los inversores a pesar del sólido desempeño general.")</f>
        <v>Las menores ganancias pueden causar preocupación a los inversores a pesar del sólido desempeño general.</v>
      </c>
      <c r="P654" s="30">
        <v>0.4</v>
      </c>
      <c r="Q654" s="18" t="str">
        <f>IFERROR(__xludf.DUMMYFUNCTION("GOOGLETRANSLATE(R654,""ES"",""EN"")"),"net profit, dividend")</f>
        <v>net profit, dividend</v>
      </c>
      <c r="R654" s="34" t="s">
        <v>5098</v>
      </c>
      <c r="S654" s="52" t="s">
        <v>5099</v>
      </c>
      <c r="T654" s="22" t="s">
        <v>5100</v>
      </c>
    </row>
    <row r="655">
      <c r="A655" s="23" t="s">
        <v>5168</v>
      </c>
      <c r="B655" s="40" t="s">
        <v>499</v>
      </c>
      <c r="C655" s="41">
        <v>45344.0</v>
      </c>
      <c r="D655" s="40" t="s">
        <v>5169</v>
      </c>
      <c r="E655" s="42" t="s">
        <v>5170</v>
      </c>
      <c r="F655" s="43" t="s">
        <v>5171</v>
      </c>
      <c r="G655" s="43" t="s">
        <v>5172</v>
      </c>
      <c r="H655" s="47" t="s">
        <v>2555</v>
      </c>
      <c r="I655" s="25" t="str">
        <f>IFERROR(__xludf.DUMMYFUNCTION("GOOGLETRANSLATE(H655,""EN"",""ES"")"),"Asuntos Corporativos")</f>
        <v>Asuntos Corporativos</v>
      </c>
      <c r="J655" s="26" t="s">
        <v>35</v>
      </c>
      <c r="K655" s="48">
        <v>-0.5</v>
      </c>
      <c r="L655" s="49" t="s">
        <v>5173</v>
      </c>
      <c r="M655" s="28" t="s">
        <v>5174</v>
      </c>
      <c r="N655" s="47" t="s">
        <v>5175</v>
      </c>
      <c r="O655" s="47" t="str">
        <f>IFERROR(__xludf.DUMMYFUNCTION("GOOGLETRANSLATE(N655,""EN"",""ES"")"),"Las discusiones sobre la remuneración de los ejecutivos pueden generar reacciones encontradas entre las partes interesadas.")</f>
        <v>Las discusiones sobre la remuneración de los ejecutivos pueden generar reacciones encontradas entre las partes interesadas.</v>
      </c>
      <c r="P655" s="30">
        <v>0.0</v>
      </c>
      <c r="Q655" s="31"/>
      <c r="R655" s="31"/>
      <c r="S655" s="53" t="s">
        <v>4447</v>
      </c>
      <c r="T655" s="32" t="s">
        <v>4448</v>
      </c>
    </row>
    <row r="656">
      <c r="A656" s="33" t="s">
        <v>5176</v>
      </c>
      <c r="B656" s="40" t="s">
        <v>91</v>
      </c>
      <c r="C656" s="41">
        <v>45344.0</v>
      </c>
      <c r="D656" s="40" t="s">
        <v>5177</v>
      </c>
      <c r="E656" s="42" t="s">
        <v>5178</v>
      </c>
      <c r="F656" s="43" t="s">
        <v>5179</v>
      </c>
      <c r="G656" s="43" t="s">
        <v>5180</v>
      </c>
      <c r="H656" s="44" t="s">
        <v>48</v>
      </c>
      <c r="I656" s="15" t="str">
        <f>IFERROR(__xludf.DUMMYFUNCTION("GOOGLETRANSLATE(H656,""EN"",""ES"")"),"Finanzas")</f>
        <v>Finanzas</v>
      </c>
      <c r="J656" s="16" t="s">
        <v>35</v>
      </c>
      <c r="K656" s="48">
        <v>0.7</v>
      </c>
      <c r="L656" s="51" t="s">
        <v>5181</v>
      </c>
      <c r="M656" s="34" t="s">
        <v>5182</v>
      </c>
      <c r="N656" s="44" t="s">
        <v>5183</v>
      </c>
      <c r="O656" s="44" t="str">
        <f>IFERROR(__xludf.DUMMYFUNCTION("GOOGLETRANSLATE(N656,""EN"",""ES"")"),"El buen comportamiento del mercado de valores tras la publicación de resultados indica un sentimiento positivo de los inversores.")</f>
        <v>El buen comportamiento del mercado de valores tras la publicación de resultados indica un sentimiento positivo de los inversores.</v>
      </c>
      <c r="P656" s="30">
        <v>0.7</v>
      </c>
      <c r="Q656" s="18" t="str">
        <f>IFERROR(__xludf.DUMMYFUNCTION("GOOGLETRANSLATE(R656,""ES"",""EN"")"),"Stock market, shareholders")</f>
        <v>Stock market, shareholders</v>
      </c>
      <c r="R656" s="34" t="s">
        <v>5184</v>
      </c>
      <c r="S656" s="52" t="s">
        <v>5033</v>
      </c>
      <c r="T656" s="22" t="s">
        <v>5034</v>
      </c>
    </row>
    <row r="657">
      <c r="A657" s="23" t="s">
        <v>5185</v>
      </c>
      <c r="B657" s="40" t="s">
        <v>499</v>
      </c>
      <c r="C657" s="41">
        <v>45344.0</v>
      </c>
      <c r="D657" s="40" t="s">
        <v>5186</v>
      </c>
      <c r="E657" s="42" t="s">
        <v>5187</v>
      </c>
      <c r="F657" s="43" t="s">
        <v>5188</v>
      </c>
      <c r="G657" s="43" t="s">
        <v>5189</v>
      </c>
      <c r="H657" s="47" t="s">
        <v>130</v>
      </c>
      <c r="I657" s="25" t="str">
        <f>IFERROR(__xludf.DUMMYFUNCTION("GOOGLETRANSLATE(H657,""EN"",""ES"")"),"Sostenibilidad")</f>
        <v>Sostenibilidad</v>
      </c>
      <c r="J657" s="26" t="s">
        <v>35</v>
      </c>
      <c r="K657" s="48">
        <v>0.7</v>
      </c>
      <c r="L657" s="49" t="s">
        <v>5190</v>
      </c>
      <c r="M657" s="28" t="s">
        <v>5191</v>
      </c>
      <c r="N657" s="47" t="s">
        <v>5192</v>
      </c>
      <c r="O657" s="47" t="str">
        <f>IFERROR(__xludf.DUMMYFUNCTION("GOOGLETRANSLATE(N657,""EN"",""ES"")"),"El aumento de la producción de biocombustibles se alinea con la transición de Repsol hacia una energía más verde.")</f>
        <v>El aumento de la producción de biocombustibles se alinea con la transición de Repsol hacia una energía más verde.</v>
      </c>
      <c r="P657" s="30">
        <v>0.7</v>
      </c>
      <c r="Q657" s="31" t="str">
        <f>IFERROR(__xludf.DUMMYFUNCTION("GOOGLETRANSLATE(R657,""ES"",""EN"")"),"renewable fuels, conversion")</f>
        <v>renewable fuels, conversion</v>
      </c>
      <c r="R657" s="28" t="s">
        <v>5193</v>
      </c>
      <c r="S657" s="53" t="s">
        <v>5079</v>
      </c>
      <c r="T657" s="32" t="s">
        <v>5080</v>
      </c>
    </row>
    <row r="658">
      <c r="A658" s="33" t="s">
        <v>5194</v>
      </c>
      <c r="B658" s="40" t="s">
        <v>103</v>
      </c>
      <c r="C658" s="41">
        <v>45344.0</v>
      </c>
      <c r="D658" s="40" t="s">
        <v>5195</v>
      </c>
      <c r="E658" s="42" t="s">
        <v>5196</v>
      </c>
      <c r="F658" s="43" t="s">
        <v>5197</v>
      </c>
      <c r="G658" s="43" t="s">
        <v>5198</v>
      </c>
      <c r="H658" s="44" t="s">
        <v>48</v>
      </c>
      <c r="I658" s="15" t="str">
        <f>IFERROR(__xludf.DUMMYFUNCTION("GOOGLETRANSLATE(H658,""EN"",""ES"")"),"Finanzas")</f>
        <v>Finanzas</v>
      </c>
      <c r="J658" s="16" t="s">
        <v>35</v>
      </c>
      <c r="K658" s="48">
        <v>0.7</v>
      </c>
      <c r="L658" s="51" t="s">
        <v>5199</v>
      </c>
      <c r="M658" s="34" t="s">
        <v>5200</v>
      </c>
      <c r="N658" s="44" t="s">
        <v>5201</v>
      </c>
      <c r="O658" s="44" t="str">
        <f>IFERROR(__xludf.DUMMYFUNCTION("GOOGLETRANSLATE(N658,""EN"",""ES"")"),"La reducción de la deuda fortalece la posición financiera y la solvencia de Repsol.")</f>
        <v>La reducción de la deuda fortalece la posición financiera y la solvencia de Repsol.</v>
      </c>
      <c r="P658" s="30">
        <v>0.6</v>
      </c>
      <c r="Q658" s="18" t="str">
        <f>IFERROR(__xludf.DUMMYFUNCTION("GOOGLETRANSLATE(R658,""ES"",""EN"")"),"debt, reduce")</f>
        <v>debt, reduce</v>
      </c>
      <c r="R658" s="34" t="s">
        <v>5202</v>
      </c>
      <c r="S658" s="52" t="s">
        <v>5203</v>
      </c>
      <c r="T658" s="22" t="s">
        <v>5204</v>
      </c>
    </row>
    <row r="659">
      <c r="A659" s="23" t="s">
        <v>5205</v>
      </c>
      <c r="B659" s="40" t="s">
        <v>85</v>
      </c>
      <c r="C659" s="41">
        <v>45344.0</v>
      </c>
      <c r="D659" s="40" t="s">
        <v>5206</v>
      </c>
      <c r="E659" s="42" t="s">
        <v>5207</v>
      </c>
      <c r="F659" s="43" t="s">
        <v>5208</v>
      </c>
      <c r="G659" s="43" t="s">
        <v>5209</v>
      </c>
      <c r="H659" s="47" t="s">
        <v>598</v>
      </c>
      <c r="I659" s="25" t="str">
        <f>IFERROR(__xludf.DUMMYFUNCTION("GOOGLETRANSLATE(H659,""EN"",""ES"")"),"Expansión empresarial")</f>
        <v>Expansión empresarial</v>
      </c>
      <c r="J659" s="26" t="s">
        <v>35</v>
      </c>
      <c r="K659" s="48">
        <v>0.6</v>
      </c>
      <c r="L659" s="49" t="s">
        <v>5210</v>
      </c>
      <c r="M659" s="28" t="s">
        <v>5211</v>
      </c>
      <c r="N659" s="47" t="s">
        <v>5212</v>
      </c>
      <c r="O659" s="47" t="str">
        <f>IFERROR(__xludf.DUMMYFUNCTION("GOOGLETRANSLATE(N659,""EN"",""ES"")"),"Los avances en el desarrollo urbano se alinean con la estrategia de crecimiento a largo plazo de Repsol.")</f>
        <v>Los avances en el desarrollo urbano se alinean con la estrategia de crecimiento a largo plazo de Repsol.</v>
      </c>
      <c r="P659" s="30">
        <v>0.6</v>
      </c>
      <c r="Q659" s="31" t="str">
        <f>IFERROR(__xludf.DUMMYFUNCTION("GOOGLETRANSLATE(R659,""ES"",""EN"")"),"urbanization, green light")</f>
        <v>urbanization, green light</v>
      </c>
      <c r="R659" s="28" t="s">
        <v>5213</v>
      </c>
      <c r="S659" s="53" t="s">
        <v>5214</v>
      </c>
      <c r="T659" s="32" t="s">
        <v>5215</v>
      </c>
    </row>
    <row r="660">
      <c r="A660" s="33" t="s">
        <v>5216</v>
      </c>
      <c r="B660" s="40" t="s">
        <v>2175</v>
      </c>
      <c r="C660" s="41">
        <v>45344.0</v>
      </c>
      <c r="D660" s="40" t="s">
        <v>5217</v>
      </c>
      <c r="E660" s="42" t="s">
        <v>5218</v>
      </c>
      <c r="F660" s="43" t="s">
        <v>5219</v>
      </c>
      <c r="G660" s="43" t="s">
        <v>5220</v>
      </c>
      <c r="H660" s="44" t="s">
        <v>130</v>
      </c>
      <c r="I660" s="15" t="str">
        <f>IFERROR(__xludf.DUMMYFUNCTION("GOOGLETRANSLATE(H660,""EN"",""ES"")"),"Sostenibilidad")</f>
        <v>Sostenibilidad</v>
      </c>
      <c r="J660" s="16" t="s">
        <v>35</v>
      </c>
      <c r="K660" s="48">
        <v>0.6</v>
      </c>
      <c r="L660" s="51" t="s">
        <v>5221</v>
      </c>
      <c r="M660" s="34" t="s">
        <v>5222</v>
      </c>
      <c r="N660" s="44" t="s">
        <v>5223</v>
      </c>
      <c r="O660" s="44" t="str">
        <f>IFERROR(__xludf.DUMMYFUNCTION("GOOGLETRANSLATE(N660,""EN"",""ES"")"),"Reafirmar los compromisos de sostenibilidad fortalece la reputación ambiental de Repsol.")</f>
        <v>Reafirmar los compromisos de sostenibilidad fortalece la reputación ambiental de Repsol.</v>
      </c>
      <c r="P660" s="30">
        <v>-0.4</v>
      </c>
      <c r="Q660" s="18" t="str">
        <f>IFERROR(__xludf.DUMMYFUNCTION("GOOGLETRANSLATE(R660,""ES"",""EN"")"),"tax, investment")</f>
        <v>tax, investment</v>
      </c>
      <c r="R660" s="34" t="s">
        <v>5224</v>
      </c>
      <c r="S660" s="52" t="s">
        <v>5225</v>
      </c>
      <c r="T660" s="22" t="s">
        <v>5226</v>
      </c>
    </row>
    <row r="661">
      <c r="A661" s="23" t="s">
        <v>5227</v>
      </c>
      <c r="B661" s="40" t="s">
        <v>448</v>
      </c>
      <c r="C661" s="41">
        <v>45344.0</v>
      </c>
      <c r="D661" s="40" t="s">
        <v>5228</v>
      </c>
      <c r="E661" s="42" t="s">
        <v>5229</v>
      </c>
      <c r="F661" s="43" t="s">
        <v>5230</v>
      </c>
      <c r="G661" s="43" t="s">
        <v>5231</v>
      </c>
      <c r="H661" s="47" t="s">
        <v>661</v>
      </c>
      <c r="I661" s="25" t="str">
        <f>IFERROR(__xludf.DUMMYFUNCTION("GOOGLETRANSLATE(H661,""EN"",""ES"")"),"Estrategia empresarial")</f>
        <v>Estrategia empresarial</v>
      </c>
      <c r="J661" s="26" t="s">
        <v>35</v>
      </c>
      <c r="K661" s="48">
        <v>-0.5</v>
      </c>
      <c r="L661" s="49" t="s">
        <v>5232</v>
      </c>
      <c r="M661" s="28" t="s">
        <v>5233</v>
      </c>
      <c r="N661" s="47" t="s">
        <v>5234</v>
      </c>
      <c r="O661" s="47" t="str">
        <f>IFERROR(__xludf.DUMMYFUNCTION("GOOGLETRANSLATE(N661,""EN"",""ES"")"),"La incertidumbre sobre las grandes inversiones puede crear inestabilidad entre las partes interesadas.")</f>
        <v>La incertidumbre sobre las grandes inversiones puede crear inestabilidad entre las partes interesadas.</v>
      </c>
      <c r="P661" s="30">
        <v>-0.5</v>
      </c>
      <c r="Q661" s="31" t="str">
        <f>IFERROR(__xludf.DUMMYFUNCTION("GOOGLETRANSLATE(R661,""ES"",""EN"")"),"investment, taxes")</f>
        <v>investment, taxes</v>
      </c>
      <c r="R661" s="28" t="s">
        <v>5235</v>
      </c>
      <c r="S661" s="53" t="s">
        <v>5225</v>
      </c>
      <c r="T661" s="32" t="s">
        <v>5226</v>
      </c>
    </row>
    <row r="662">
      <c r="A662" s="33" t="s">
        <v>5236</v>
      </c>
      <c r="B662" s="40" t="s">
        <v>2442</v>
      </c>
      <c r="C662" s="41">
        <v>45344.0</v>
      </c>
      <c r="D662" s="40" t="s">
        <v>5237</v>
      </c>
      <c r="E662" s="42" t="s">
        <v>5238</v>
      </c>
      <c r="F662" s="43" t="s">
        <v>5239</v>
      </c>
      <c r="G662" s="43" t="s">
        <v>5240</v>
      </c>
      <c r="H662" s="44" t="s">
        <v>2555</v>
      </c>
      <c r="I662" s="15" t="str">
        <f>IFERROR(__xludf.DUMMYFUNCTION("GOOGLETRANSLATE(H662,""EN"",""ES"")"),"Asuntos Corporativos")</f>
        <v>Asuntos Corporativos</v>
      </c>
      <c r="J662" s="16" t="s">
        <v>35</v>
      </c>
      <c r="K662" s="48">
        <v>-0.5</v>
      </c>
      <c r="L662" s="51" t="s">
        <v>5173</v>
      </c>
      <c r="M662" s="34" t="s">
        <v>5174</v>
      </c>
      <c r="N662" s="44" t="s">
        <v>5175</v>
      </c>
      <c r="O662" s="44" t="str">
        <f>IFERROR(__xludf.DUMMYFUNCTION("GOOGLETRANSLATE(N662,""EN"",""ES"")"),"Las discusiones sobre la remuneración de los ejecutivos pueden generar reacciones encontradas entre las partes interesadas.")</f>
        <v>Las discusiones sobre la remuneración de los ejecutivos pueden generar reacciones encontradas entre las partes interesadas.</v>
      </c>
      <c r="P662" s="30">
        <v>0.0</v>
      </c>
      <c r="Q662" s="18"/>
      <c r="R662" s="18"/>
      <c r="S662" s="52" t="s">
        <v>4447</v>
      </c>
      <c r="T662" s="22" t="s">
        <v>4448</v>
      </c>
    </row>
    <row r="663">
      <c r="A663" s="23" t="s">
        <v>5241</v>
      </c>
      <c r="B663" s="40" t="s">
        <v>881</v>
      </c>
      <c r="C663" s="41">
        <v>45344.0</v>
      </c>
      <c r="D663" s="40" t="s">
        <v>5242</v>
      </c>
      <c r="E663" s="42" t="s">
        <v>5243</v>
      </c>
      <c r="F663" s="43" t="s">
        <v>5244</v>
      </c>
      <c r="G663" s="43" t="s">
        <v>5245</v>
      </c>
      <c r="H663" s="47" t="s">
        <v>661</v>
      </c>
      <c r="I663" s="25" t="str">
        <f>IFERROR(__xludf.DUMMYFUNCTION("GOOGLETRANSLATE(H663,""EN"",""ES"")"),"Estrategia empresarial")</f>
        <v>Estrategia empresarial</v>
      </c>
      <c r="J663" s="26" t="s">
        <v>35</v>
      </c>
      <c r="K663" s="48">
        <v>0.6</v>
      </c>
      <c r="L663" s="49" t="s">
        <v>5246</v>
      </c>
      <c r="M663" s="28" t="s">
        <v>5247</v>
      </c>
      <c r="N663" s="47" t="s">
        <v>5248</v>
      </c>
      <c r="O663" s="47" t="str">
        <f>IFERROR(__xludf.DUMMYFUNCTION("GOOGLETRANSLATE(N663,""EN"",""ES"")"),"La adaptación de las infraestructuras se alinea con la resiliencia operativa a largo plazo de Repsol.")</f>
        <v>La adaptación de las infraestructuras se alinea con la resiliencia operativa a largo plazo de Repsol.</v>
      </c>
      <c r="P663" s="30">
        <v>0.6</v>
      </c>
      <c r="Q663" s="31" t="str">
        <f>IFERROR(__xludf.DUMMYFUNCTION("GOOGLETRANSLATE(R663,""ES"",""EN"")"),"renewable fuels, adaptation")</f>
        <v>renewable fuels, adaptation</v>
      </c>
      <c r="R663" s="28" t="s">
        <v>5249</v>
      </c>
      <c r="S663" s="53" t="s">
        <v>5079</v>
      </c>
      <c r="T663" s="32" t="s">
        <v>5080</v>
      </c>
    </row>
    <row r="664">
      <c r="A664" s="33" t="s">
        <v>5250</v>
      </c>
      <c r="B664" s="40" t="s">
        <v>499</v>
      </c>
      <c r="C664" s="41">
        <v>45344.0</v>
      </c>
      <c r="D664" s="40" t="s">
        <v>5251</v>
      </c>
      <c r="E664" s="42" t="s">
        <v>5252</v>
      </c>
      <c r="F664" s="43" t="s">
        <v>5253</v>
      </c>
      <c r="G664" s="43" t="s">
        <v>5254</v>
      </c>
      <c r="H664" s="44" t="s">
        <v>130</v>
      </c>
      <c r="I664" s="15" t="str">
        <f>IFERROR(__xludf.DUMMYFUNCTION("GOOGLETRANSLATE(H664,""EN"",""ES"")"),"Sostenibilidad")</f>
        <v>Sostenibilidad</v>
      </c>
      <c r="J664" s="16" t="s">
        <v>35</v>
      </c>
      <c r="K664" s="48">
        <v>0.7</v>
      </c>
      <c r="L664" s="51" t="s">
        <v>5255</v>
      </c>
      <c r="M664" s="34" t="s">
        <v>5256</v>
      </c>
      <c r="N664" s="44" t="s">
        <v>5257</v>
      </c>
      <c r="O664" s="44" t="str">
        <f>IFERROR(__xludf.DUMMYFUNCTION("GOOGLETRANSLATE(N664,""EN"",""ES"")"),"La ampliación de la producción de biocombustibles refuerza la responsabilidad ambiental de Repsol.")</f>
        <v>La ampliación de la producción de biocombustibles refuerza la responsabilidad ambiental de Repsol.</v>
      </c>
      <c r="P664" s="30">
        <v>0.7</v>
      </c>
      <c r="Q664" s="18" t="str">
        <f>IFERROR(__xludf.DUMMYFUNCTION("GOOGLETRANSLATE(R664,""ES"",""EN"")"),"biofuels, emissions")</f>
        <v>biofuels, emissions</v>
      </c>
      <c r="R664" s="34" t="s">
        <v>5258</v>
      </c>
      <c r="S664" s="52" t="s">
        <v>5259</v>
      </c>
      <c r="T664" s="22" t="s">
        <v>5260</v>
      </c>
    </row>
    <row r="665">
      <c r="A665" s="23" t="s">
        <v>5261</v>
      </c>
      <c r="B665" s="40" t="s">
        <v>1005</v>
      </c>
      <c r="C665" s="41">
        <v>45344.0</v>
      </c>
      <c r="D665" s="40" t="s">
        <v>5262</v>
      </c>
      <c r="E665" s="42" t="s">
        <v>5263</v>
      </c>
      <c r="F665" s="43" t="s">
        <v>5264</v>
      </c>
      <c r="G665" s="43" t="s">
        <v>5265</v>
      </c>
      <c r="H665" s="47" t="s">
        <v>598</v>
      </c>
      <c r="I665" s="25" t="str">
        <f>IFERROR(__xludf.DUMMYFUNCTION("GOOGLETRANSLATE(H665,""EN"",""ES"")"),"Expansión empresarial")</f>
        <v>Expansión empresarial</v>
      </c>
      <c r="J665" s="26" t="s">
        <v>35</v>
      </c>
      <c r="K665" s="48">
        <v>0.6</v>
      </c>
      <c r="L665" s="49" t="s">
        <v>5266</v>
      </c>
      <c r="M665" s="28" t="s">
        <v>5267</v>
      </c>
      <c r="N665" s="47" t="s">
        <v>5268</v>
      </c>
      <c r="O665" s="47" t="str">
        <f>IFERROR(__xludf.DUMMYFUNCTION("GOOGLETRANSLATE(N665,""EN"",""ES"")"),"Los proyectos de desarrollo urbano apoyan la estrategia de crecimiento a largo plazo de Repsol.")</f>
        <v>Los proyectos de desarrollo urbano apoyan la estrategia de crecimiento a largo plazo de Repsol.</v>
      </c>
      <c r="P665" s="30">
        <v>0.6</v>
      </c>
      <c r="Q665" s="31" t="str">
        <f>IFERROR(__xludf.DUMMYFUNCTION("GOOGLETRANSLATE(R665,""ES"",""EN"")"),"urbanization, approved")</f>
        <v>urbanization, approved</v>
      </c>
      <c r="R665" s="28" t="s">
        <v>5269</v>
      </c>
      <c r="S665" s="53" t="s">
        <v>5214</v>
      </c>
      <c r="T665" s="32" t="s">
        <v>5215</v>
      </c>
    </row>
    <row r="666">
      <c r="A666" s="33" t="s">
        <v>5270</v>
      </c>
      <c r="B666" s="40" t="s">
        <v>339</v>
      </c>
      <c r="C666" s="41">
        <v>45344.0</v>
      </c>
      <c r="D666" s="40" t="s">
        <v>5271</v>
      </c>
      <c r="E666" s="42" t="s">
        <v>5272</v>
      </c>
      <c r="F666" s="43" t="s">
        <v>5273</v>
      </c>
      <c r="G666" s="43" t="s">
        <v>5274</v>
      </c>
      <c r="H666" s="44" t="s">
        <v>2281</v>
      </c>
      <c r="I666" s="15" t="str">
        <f>IFERROR(__xludf.DUMMYFUNCTION("GOOGLETRANSLATE(H666,""EN"",""ES"")"),"Operaciones comerciales")</f>
        <v>Operaciones comerciales</v>
      </c>
      <c r="J666" s="16" t="s">
        <v>35</v>
      </c>
      <c r="K666" s="48">
        <v>0.6</v>
      </c>
      <c r="L666" s="51" t="s">
        <v>5275</v>
      </c>
      <c r="M666" s="34" t="s">
        <v>5276</v>
      </c>
      <c r="N666" s="44" t="s">
        <v>5277</v>
      </c>
      <c r="O666" s="44" t="str">
        <f>IFERROR(__xludf.DUMMYFUNCTION("GOOGLETRANSLATE(N666,""EN"",""ES"")"),"Invertir en mantenimiento garantiza la eficiencia operativa a largo plazo.")</f>
        <v>Invertir en mantenimiento garantiza la eficiencia operativa a largo plazo.</v>
      </c>
      <c r="P666" s="30">
        <v>0.4</v>
      </c>
      <c r="Q666" s="18" t="str">
        <f>IFERROR(__xludf.DUMMYFUNCTION("GOOGLETRANSLATE(R666,""ES"",""EN"")"),"shutdown, maintenance")</f>
        <v>shutdown, maintenance</v>
      </c>
      <c r="R666" s="34" t="s">
        <v>5278</v>
      </c>
      <c r="S666" s="52" t="s">
        <v>4804</v>
      </c>
      <c r="T666" s="22" t="s">
        <v>4805</v>
      </c>
    </row>
    <row r="667">
      <c r="A667" s="23" t="s">
        <v>5279</v>
      </c>
      <c r="B667" s="40" t="s">
        <v>614</v>
      </c>
      <c r="C667" s="41">
        <v>45344.0</v>
      </c>
      <c r="D667" s="40" t="s">
        <v>5280</v>
      </c>
      <c r="E667" s="42" t="s">
        <v>5281</v>
      </c>
      <c r="F667" s="43" t="s">
        <v>5282</v>
      </c>
      <c r="G667" s="43" t="s">
        <v>5283</v>
      </c>
      <c r="H667" s="47" t="s">
        <v>1975</v>
      </c>
      <c r="I667" s="25" t="str">
        <f>IFERROR(__xludf.DUMMYFUNCTION("GOOGLETRANSLATE(H667,""EN"",""ES"")"),"Política")</f>
        <v>Política</v>
      </c>
      <c r="J667" s="26" t="s">
        <v>35</v>
      </c>
      <c r="K667" s="48">
        <v>0.5</v>
      </c>
      <c r="L667" s="49" t="s">
        <v>5284</v>
      </c>
      <c r="M667" s="28" t="s">
        <v>5285</v>
      </c>
      <c r="N667" s="47" t="s">
        <v>5286</v>
      </c>
      <c r="O667" s="47" t="str">
        <f>IFERROR(__xludf.DUMMYFUNCTION("GOOGLETRANSLATE(N667,""EN"",""ES"")"),"El lobby para mejoras fiscales respalda la estrategia inversora de Repsol.")</f>
        <v>El lobby para mejoras fiscales respalda la estrategia inversora de Repsol.</v>
      </c>
      <c r="P667" s="30">
        <v>-0.4</v>
      </c>
      <c r="Q667" s="31" t="str">
        <f>IFERROR(__xludf.DUMMYFUNCTION("GOOGLETRANSLATE(R667,""ES"",""EN"")"),"tax, investments")</f>
        <v>tax, investments</v>
      </c>
      <c r="R667" s="28" t="s">
        <v>5287</v>
      </c>
      <c r="S667" s="53" t="s">
        <v>5225</v>
      </c>
      <c r="T667" s="32" t="s">
        <v>5226</v>
      </c>
    </row>
    <row r="668">
      <c r="A668" s="33" t="s">
        <v>5288</v>
      </c>
      <c r="B668" s="40" t="s">
        <v>5289</v>
      </c>
      <c r="C668" s="41">
        <v>45344.0</v>
      </c>
      <c r="D668" s="40" t="s">
        <v>5290</v>
      </c>
      <c r="E668" s="42" t="s">
        <v>5291</v>
      </c>
      <c r="F668" s="43" t="s">
        <v>5292</v>
      </c>
      <c r="G668" s="43" t="s">
        <v>5293</v>
      </c>
      <c r="H668" s="44" t="s">
        <v>661</v>
      </c>
      <c r="I668" s="15" t="str">
        <f>IFERROR(__xludf.DUMMYFUNCTION("GOOGLETRANSLATE(H668,""EN"",""ES"")"),"Estrategia empresarial")</f>
        <v>Estrategia empresarial</v>
      </c>
      <c r="J668" s="16" t="s">
        <v>35</v>
      </c>
      <c r="K668" s="48">
        <v>0.6</v>
      </c>
      <c r="L668" s="51" t="s">
        <v>5294</v>
      </c>
      <c r="M668" s="34" t="s">
        <v>5295</v>
      </c>
      <c r="N668" s="44" t="s">
        <v>5296</v>
      </c>
      <c r="O668" s="44" t="str">
        <f>IFERROR(__xludf.DUMMYFUNCTION("GOOGLETRANSLATE(N668,""EN"",""ES"")"),"Fortalecer la eficiencia de las refinerías se alinea con la competitividad industrial de Repsol.")</f>
        <v>Fortalecer la eficiencia de las refinerías se alinea con la competitividad industrial de Repsol.</v>
      </c>
      <c r="P668" s="30">
        <v>0.6</v>
      </c>
      <c r="Q668" s="18" t="str">
        <f>IFERROR(__xludf.DUMMYFUNCTION("GOOGLETRANSLATE(R668,""ES"",""EN"")"),"competitiveness, industrial complex")</f>
        <v>competitiveness, industrial complex</v>
      </c>
      <c r="R668" s="34" t="s">
        <v>5297</v>
      </c>
      <c r="S668" s="52" t="s">
        <v>5298</v>
      </c>
      <c r="T668" s="22" t="s">
        <v>5299</v>
      </c>
    </row>
    <row r="669">
      <c r="A669" s="23" t="s">
        <v>5300</v>
      </c>
      <c r="B669" s="40" t="s">
        <v>4623</v>
      </c>
      <c r="C669" s="41">
        <v>45344.0</v>
      </c>
      <c r="D669" s="40" t="s">
        <v>5301</v>
      </c>
      <c r="E669" s="42" t="s">
        <v>5302</v>
      </c>
      <c r="F669" s="43" t="s">
        <v>5303</v>
      </c>
      <c r="G669" s="43" t="s">
        <v>5304</v>
      </c>
      <c r="H669" s="47" t="s">
        <v>408</v>
      </c>
      <c r="I669" s="25" t="str">
        <f>IFERROR(__xludf.DUMMYFUNCTION("GOOGLETRANSLATE(H669,""EN"",""ES"")"),"Legal")</f>
        <v>Legal</v>
      </c>
      <c r="J669" s="26" t="s">
        <v>35</v>
      </c>
      <c r="K669" s="48">
        <v>-0.6</v>
      </c>
      <c r="L669" s="49" t="s">
        <v>5305</v>
      </c>
      <c r="M669" s="28" t="s">
        <v>5306</v>
      </c>
      <c r="N669" s="47" t="s">
        <v>5307</v>
      </c>
      <c r="O669" s="47" t="str">
        <f>IFERROR(__xludf.DUMMYFUNCTION("GOOGLETRANSLATE(N669,""EN"",""ES"")"),"Las disputas legales sobre el uso del suelo pueden afectar las operaciones locales de Repsol.")</f>
        <v>Las disputas legales sobre el uso del suelo pueden afectar las operaciones locales de Repsol.</v>
      </c>
      <c r="P669" s="30">
        <v>-0.3</v>
      </c>
      <c r="Q669" s="31" t="str">
        <f>IFERROR(__xludf.DUMMYFUNCTION("GOOGLETRANSLATE(R669,""ES"",""EN"")"),"gas station, closed")</f>
        <v>gas station, closed</v>
      </c>
      <c r="R669" s="28" t="s">
        <v>5308</v>
      </c>
      <c r="S669" s="53" t="s">
        <v>5309</v>
      </c>
      <c r="T669" s="32" t="s">
        <v>5310</v>
      </c>
    </row>
    <row r="670">
      <c r="A670" s="33" t="s">
        <v>5311</v>
      </c>
      <c r="B670" s="40" t="s">
        <v>558</v>
      </c>
      <c r="C670" s="41">
        <v>45344.0</v>
      </c>
      <c r="D670" s="40" t="s">
        <v>5312</v>
      </c>
      <c r="E670" s="42" t="s">
        <v>5313</v>
      </c>
      <c r="F670" s="43" t="s">
        <v>5314</v>
      </c>
      <c r="G670" s="43" t="s">
        <v>5315</v>
      </c>
      <c r="H670" s="44" t="s">
        <v>48</v>
      </c>
      <c r="I670" s="15" t="str">
        <f>IFERROR(__xludf.DUMMYFUNCTION("GOOGLETRANSLATE(H670,""EN"",""ES"")"),"Finanzas")</f>
        <v>Finanzas</v>
      </c>
      <c r="J670" s="16" t="s">
        <v>35</v>
      </c>
      <c r="K670" s="48">
        <v>0.7</v>
      </c>
      <c r="L670" s="51" t="s">
        <v>5316</v>
      </c>
      <c r="M670" s="34" t="s">
        <v>5317</v>
      </c>
      <c r="N670" s="44" t="s">
        <v>5136</v>
      </c>
      <c r="O670" s="44" t="str">
        <f>IFERROR(__xludf.DUMMYFUNCTION("GOOGLETRANSLATE(N670,""EN"",""ES"")"),"Un buen desempeño del mercado de valores indica un sentimiento positivo de los inversores.")</f>
        <v>Un buen desempeño del mercado de valores indica un sentimiento positivo de los inversores.</v>
      </c>
      <c r="P670" s="30">
        <v>0.6</v>
      </c>
      <c r="Q670" s="18" t="str">
        <f>IFERROR(__xludf.DUMMYFUNCTION("GOOGLETRANSLATE(R670,""ES"",""EN"")"),"Bag, buy")</f>
        <v>Bag, buy</v>
      </c>
      <c r="R670" s="34" t="s">
        <v>5318</v>
      </c>
      <c r="S670" s="52" t="s">
        <v>5033</v>
      </c>
      <c r="T670" s="22" t="s">
        <v>5034</v>
      </c>
    </row>
    <row r="671">
      <c r="A671" s="23" t="s">
        <v>5319</v>
      </c>
      <c r="B671" s="40" t="s">
        <v>1602</v>
      </c>
      <c r="C671" s="41">
        <v>45344.0</v>
      </c>
      <c r="D671" s="40" t="s">
        <v>5320</v>
      </c>
      <c r="E671" s="42" t="s">
        <v>5321</v>
      </c>
      <c r="F671" s="43" t="s">
        <v>5322</v>
      </c>
      <c r="G671" s="43" t="s">
        <v>5323</v>
      </c>
      <c r="H671" s="47" t="s">
        <v>48</v>
      </c>
      <c r="I671" s="25" t="str">
        <f>IFERROR(__xludf.DUMMYFUNCTION("GOOGLETRANSLATE(H671,""EN"",""ES"")"),"Finanzas")</f>
        <v>Finanzas</v>
      </c>
      <c r="J671" s="26" t="s">
        <v>35</v>
      </c>
      <c r="K671" s="48">
        <v>0.7</v>
      </c>
      <c r="L671" s="49" t="s">
        <v>5324</v>
      </c>
      <c r="M671" s="28" t="s">
        <v>5325</v>
      </c>
      <c r="N671" s="47" t="s">
        <v>5326</v>
      </c>
      <c r="O671" s="47" t="str">
        <f>IFERROR(__xludf.DUMMYFUNCTION("GOOGLETRANSLATE(N671,""EN"",""ES"")"),"El pago de dividendos refuerza la confianza de los inversores en la estrategia financiera de Repsol.")</f>
        <v>El pago de dividendos refuerza la confianza de los inversores en la estrategia financiera de Repsol.</v>
      </c>
      <c r="P671" s="30">
        <v>0.6</v>
      </c>
      <c r="Q671" s="31" t="str">
        <f>IFERROR(__xludf.DUMMYFUNCTION("GOOGLETRANSLATE(R671,""ES"",""EN"")"),"dividend, buy back")</f>
        <v>dividend, buy back</v>
      </c>
      <c r="R671" s="28" t="s">
        <v>5327</v>
      </c>
      <c r="S671" s="53" t="s">
        <v>5033</v>
      </c>
      <c r="T671" s="32" t="s">
        <v>5034</v>
      </c>
    </row>
    <row r="672">
      <c r="A672" s="33" t="s">
        <v>5328</v>
      </c>
      <c r="B672" s="40" t="s">
        <v>1005</v>
      </c>
      <c r="C672" s="41">
        <v>45344.0</v>
      </c>
      <c r="D672" s="40" t="s">
        <v>5329</v>
      </c>
      <c r="E672" s="42" t="s">
        <v>5330</v>
      </c>
      <c r="F672" s="43" t="s">
        <v>5331</v>
      </c>
      <c r="G672" s="43" t="s">
        <v>5332</v>
      </c>
      <c r="H672" s="44" t="s">
        <v>899</v>
      </c>
      <c r="I672" s="15" t="str">
        <f>IFERROR(__xludf.DUMMYFUNCTION("GOOGLETRANSLATE(H672,""EN"",""ES"")"),"Relaciones Laborales")</f>
        <v>Relaciones Laborales</v>
      </c>
      <c r="J672" s="16" t="s">
        <v>27</v>
      </c>
      <c r="K672" s="17">
        <v>0.0</v>
      </c>
      <c r="L672" s="45"/>
      <c r="M672" s="18"/>
      <c r="N672" s="44"/>
      <c r="O672" s="44"/>
      <c r="P672" s="20">
        <v>0.0</v>
      </c>
      <c r="Q672" s="18"/>
      <c r="R672" s="18"/>
      <c r="S672" s="52"/>
      <c r="T672" s="22"/>
    </row>
    <row r="673">
      <c r="A673" s="23" t="s">
        <v>5333</v>
      </c>
      <c r="B673" s="40" t="s">
        <v>3992</v>
      </c>
      <c r="C673" s="41">
        <v>45344.0</v>
      </c>
      <c r="D673" s="40" t="s">
        <v>5334</v>
      </c>
      <c r="E673" s="42" t="s">
        <v>5335</v>
      </c>
      <c r="F673" s="43" t="s">
        <v>5336</v>
      </c>
      <c r="G673" s="43" t="s">
        <v>5337</v>
      </c>
      <c r="H673" s="47" t="s">
        <v>48</v>
      </c>
      <c r="I673" s="25" t="str">
        <f>IFERROR(__xludf.DUMMYFUNCTION("GOOGLETRANSLATE(H673,""EN"",""ES"")"),"Finanzas")</f>
        <v>Finanzas</v>
      </c>
      <c r="J673" s="26" t="s">
        <v>27</v>
      </c>
      <c r="K673" s="17">
        <v>0.0</v>
      </c>
      <c r="L673" s="54"/>
      <c r="M673" s="31"/>
      <c r="N673" s="47"/>
      <c r="O673" s="47"/>
      <c r="P673" s="20">
        <v>0.0</v>
      </c>
      <c r="Q673" s="31"/>
      <c r="R673" s="31"/>
      <c r="S673" s="53"/>
      <c r="T673" s="32"/>
    </row>
    <row r="674">
      <c r="A674" s="33" t="s">
        <v>5338</v>
      </c>
      <c r="B674" s="40" t="s">
        <v>3992</v>
      </c>
      <c r="C674" s="41">
        <v>45344.0</v>
      </c>
      <c r="D674" s="40" t="s">
        <v>5339</v>
      </c>
      <c r="E674" s="42" t="s">
        <v>5340</v>
      </c>
      <c r="F674" s="43" t="s">
        <v>5341</v>
      </c>
      <c r="G674" s="43" t="s">
        <v>5342</v>
      </c>
      <c r="H674" s="44" t="s">
        <v>661</v>
      </c>
      <c r="I674" s="15" t="str">
        <f>IFERROR(__xludf.DUMMYFUNCTION("GOOGLETRANSLATE(H674,""EN"",""ES"")"),"Estrategia empresarial")</f>
        <v>Estrategia empresarial</v>
      </c>
      <c r="J674" s="16" t="s">
        <v>27</v>
      </c>
      <c r="K674" s="17">
        <v>0.0</v>
      </c>
      <c r="L674" s="45"/>
      <c r="M674" s="18"/>
      <c r="N674" s="44"/>
      <c r="O674" s="44"/>
      <c r="P674" s="20">
        <v>0.0</v>
      </c>
      <c r="Q674" s="18"/>
      <c r="R674" s="18"/>
      <c r="S674" s="52"/>
      <c r="T674" s="22"/>
    </row>
    <row r="675">
      <c r="A675" s="23" t="s">
        <v>5343</v>
      </c>
      <c r="B675" s="40" t="s">
        <v>1751</v>
      </c>
      <c r="C675" s="41">
        <v>45344.0</v>
      </c>
      <c r="D675" s="40" t="s">
        <v>5344</v>
      </c>
      <c r="E675" s="42" t="s">
        <v>5345</v>
      </c>
      <c r="F675" s="43" t="s">
        <v>5346</v>
      </c>
      <c r="G675" s="43" t="s">
        <v>5347</v>
      </c>
      <c r="H675" s="47" t="s">
        <v>155</v>
      </c>
      <c r="I675" s="25" t="str">
        <f>IFERROR(__xludf.DUMMYFUNCTION("GOOGLETRANSLATE(H675,""EN"",""ES"")"),"Marketing")</f>
        <v>Marketing</v>
      </c>
      <c r="J675" s="26" t="s">
        <v>27</v>
      </c>
      <c r="K675" s="17">
        <v>0.0</v>
      </c>
      <c r="L675" s="54"/>
      <c r="M675" s="31"/>
      <c r="N675" s="47"/>
      <c r="O675" s="47"/>
      <c r="P675" s="20">
        <v>0.0</v>
      </c>
      <c r="Q675" s="31"/>
      <c r="R675" s="31"/>
      <c r="S675" s="53"/>
      <c r="T675" s="32"/>
    </row>
    <row r="676">
      <c r="A676" s="33" t="s">
        <v>5348</v>
      </c>
      <c r="B676" s="40" t="s">
        <v>217</v>
      </c>
      <c r="C676" s="41">
        <v>45344.0</v>
      </c>
      <c r="D676" s="40" t="s">
        <v>5349</v>
      </c>
      <c r="E676" s="42" t="s">
        <v>5350</v>
      </c>
      <c r="F676" s="43" t="s">
        <v>5351</v>
      </c>
      <c r="G676" s="43" t="s">
        <v>5352</v>
      </c>
      <c r="H676" s="44" t="s">
        <v>48</v>
      </c>
      <c r="I676" s="15" t="str">
        <f>IFERROR(__xludf.DUMMYFUNCTION("GOOGLETRANSLATE(H676,""EN"",""ES"")"),"Finanzas")</f>
        <v>Finanzas</v>
      </c>
      <c r="J676" s="16" t="s">
        <v>35</v>
      </c>
      <c r="K676" s="48">
        <v>-0.6</v>
      </c>
      <c r="L676" s="51" t="s">
        <v>5353</v>
      </c>
      <c r="M676" s="34" t="s">
        <v>5354</v>
      </c>
      <c r="N676" s="44" t="s">
        <v>5355</v>
      </c>
      <c r="O676" s="44" t="str">
        <f>IFERROR(__xludf.DUMMYFUNCTION("GOOGLETRANSLATE(N676,""EN"",""ES"")"),"Los menores beneficios debido a la volatilidad de los precios del petróleo pueden afectar la confianza de los inversores.")</f>
        <v>Los menores beneficios debido a la volatilidad de los precios del petróleo pueden afectar la confianza de los inversores.</v>
      </c>
      <c r="P676" s="30">
        <v>-0.4</v>
      </c>
      <c r="Q676" s="18" t="str">
        <f>IFERROR(__xludf.DUMMYFUNCTION("GOOGLETRANSLATE(R676,""ES"",""EN"")"),"profit, volatility")</f>
        <v>profit, volatility</v>
      </c>
      <c r="R676" s="34" t="s">
        <v>5356</v>
      </c>
      <c r="S676" s="52" t="s">
        <v>4918</v>
      </c>
      <c r="T676" s="22" t="s">
        <v>4919</v>
      </c>
    </row>
    <row r="677">
      <c r="A677" s="23" t="s">
        <v>5357</v>
      </c>
      <c r="B677" s="40" t="s">
        <v>5358</v>
      </c>
      <c r="C677" s="41">
        <v>45344.0</v>
      </c>
      <c r="D677" s="40" t="s">
        <v>5359</v>
      </c>
      <c r="E677" s="42" t="s">
        <v>5360</v>
      </c>
      <c r="F677" s="43" t="s">
        <v>5361</v>
      </c>
      <c r="G677" s="43" t="s">
        <v>5362</v>
      </c>
      <c r="H677" s="47" t="s">
        <v>48</v>
      </c>
      <c r="I677" s="25" t="str">
        <f>IFERROR(__xludf.DUMMYFUNCTION("GOOGLETRANSLATE(H677,""EN"",""ES"")"),"Finanzas")</f>
        <v>Finanzas</v>
      </c>
      <c r="J677" s="26" t="s">
        <v>35</v>
      </c>
      <c r="K677" s="48">
        <v>0.7</v>
      </c>
      <c r="L677" s="49" t="s">
        <v>5363</v>
      </c>
      <c r="M677" s="28" t="s">
        <v>5364</v>
      </c>
      <c r="N677" s="47" t="s">
        <v>5365</v>
      </c>
      <c r="O677" s="47" t="str">
        <f>IFERROR(__xludf.DUMMYFUNCTION("GOOGLETRANSLATE(N677,""EN"",""ES"")"),"La positiva evolución de las acciones indica una fuerte confianza de los inversores en Repsol.")</f>
        <v>La positiva evolución de las acciones indica una fuerte confianza de los inversores en Repsol.</v>
      </c>
      <c r="P677" s="30">
        <v>0.6</v>
      </c>
      <c r="Q677" s="31" t="str">
        <f>IFERROR(__xludf.DUMMYFUNCTION("GOOGLETRANSLATE(R677,""ES"",""EN"")"),"performance, income")</f>
        <v>performance, income</v>
      </c>
      <c r="R677" s="28" t="s">
        <v>5366</v>
      </c>
      <c r="S677" s="53" t="s">
        <v>5138</v>
      </c>
      <c r="T677" s="32" t="s">
        <v>5139</v>
      </c>
    </row>
    <row r="678">
      <c r="A678" s="33" t="s">
        <v>5367</v>
      </c>
      <c r="B678" s="40" t="s">
        <v>1142</v>
      </c>
      <c r="C678" s="41">
        <v>45345.0</v>
      </c>
      <c r="D678" s="40" t="s">
        <v>5368</v>
      </c>
      <c r="E678" s="42" t="s">
        <v>5369</v>
      </c>
      <c r="F678" s="43" t="s">
        <v>5370</v>
      </c>
      <c r="G678" s="43" t="s">
        <v>5371</v>
      </c>
      <c r="H678" s="44" t="s">
        <v>48</v>
      </c>
      <c r="I678" s="15" t="str">
        <f>IFERROR(__xludf.DUMMYFUNCTION("GOOGLETRANSLATE(H678,""EN"",""ES"")"),"Finanzas")</f>
        <v>Finanzas</v>
      </c>
      <c r="J678" s="16" t="s">
        <v>35</v>
      </c>
      <c r="K678" s="48">
        <v>-0.6</v>
      </c>
      <c r="L678" s="51" t="s">
        <v>5372</v>
      </c>
      <c r="M678" s="34" t="s">
        <v>5373</v>
      </c>
      <c r="N678" s="44" t="s">
        <v>5374</v>
      </c>
      <c r="O678" s="44" t="str">
        <f>IFERROR(__xludf.DUMMYFUNCTION("GOOGLETRANSLATE(N678,""EN"",""ES"")"),"Las caídas de beneficios pueden preocupar a los inversores a pesar de la solidez financiera general.")</f>
        <v>Las caídas de beneficios pueden preocupar a los inversores a pesar de la solidez financiera general.</v>
      </c>
      <c r="P678" s="30">
        <v>-0.4</v>
      </c>
      <c r="Q678" s="18" t="str">
        <f>IFERROR(__xludf.DUMMYFUNCTION("GOOGLETRANSLATE(R678,""ES"",""EN"")"),"net profit, lower prices")</f>
        <v>net profit, lower prices</v>
      </c>
      <c r="R678" s="34" t="s">
        <v>5089</v>
      </c>
      <c r="S678" s="52" t="s">
        <v>4918</v>
      </c>
      <c r="T678" s="22" t="s">
        <v>4919</v>
      </c>
    </row>
    <row r="679">
      <c r="A679" s="23" t="s">
        <v>5375</v>
      </c>
      <c r="B679" s="40" t="s">
        <v>103</v>
      </c>
      <c r="C679" s="41">
        <v>45345.0</v>
      </c>
      <c r="D679" s="40" t="s">
        <v>5376</v>
      </c>
      <c r="E679" s="42" t="s">
        <v>5377</v>
      </c>
      <c r="F679" s="43" t="s">
        <v>5378</v>
      </c>
      <c r="G679" s="43" t="s">
        <v>5379</v>
      </c>
      <c r="H679" s="47" t="s">
        <v>48</v>
      </c>
      <c r="I679" s="25" t="str">
        <f>IFERROR(__xludf.DUMMYFUNCTION("GOOGLETRANSLATE(H679,""EN"",""ES"")"),"Finanzas")</f>
        <v>Finanzas</v>
      </c>
      <c r="J679" s="26" t="s">
        <v>35</v>
      </c>
      <c r="K679" s="48">
        <v>0.7</v>
      </c>
      <c r="L679" s="49" t="s">
        <v>5380</v>
      </c>
      <c r="M679" s="28" t="s">
        <v>5381</v>
      </c>
      <c r="N679" s="47" t="s">
        <v>5382</v>
      </c>
      <c r="O679" s="47" t="str">
        <f>IFERROR(__xludf.DUMMYFUNCTION("GOOGLETRANSLATE(N679,""EN"",""ES"")"),"A pesar de las menores ganancias, el sólido desempeño financiero mantiene la confianza de los inversores.")</f>
        <v>A pesar de las menores ganancias, el sólido desempeño financiero mantiene la confianza de los inversores.</v>
      </c>
      <c r="P679" s="30">
        <v>0.4</v>
      </c>
      <c r="Q679" s="31" t="str">
        <f>IFERROR(__xludf.DUMMYFUNCTION("GOOGLETRANSLATE(R679,""ES"",""EN"")"),"benefit, historical")</f>
        <v>benefit, historical</v>
      </c>
      <c r="R679" s="28" t="s">
        <v>5383</v>
      </c>
      <c r="S679" s="53" t="s">
        <v>5384</v>
      </c>
      <c r="T679" s="32" t="s">
        <v>5385</v>
      </c>
    </row>
    <row r="680">
      <c r="A680" s="33" t="s">
        <v>5386</v>
      </c>
      <c r="B680" s="40" t="s">
        <v>1983</v>
      </c>
      <c r="C680" s="41">
        <v>45345.0</v>
      </c>
      <c r="D680" s="40" t="s">
        <v>5387</v>
      </c>
      <c r="E680" s="42" t="s">
        <v>5388</v>
      </c>
      <c r="F680" s="43" t="s">
        <v>5389</v>
      </c>
      <c r="G680" s="43" t="s">
        <v>5390</v>
      </c>
      <c r="H680" s="44" t="s">
        <v>4581</v>
      </c>
      <c r="I680" s="15" t="str">
        <f>IFERROR(__xludf.DUMMYFUNCTION("GOOGLETRANSLATE(H680,""EN"",""ES"")"),"Infraestructura Energética")</f>
        <v>Infraestructura Energética</v>
      </c>
      <c r="J680" s="16" t="s">
        <v>35</v>
      </c>
      <c r="K680" s="48">
        <v>-0.5</v>
      </c>
      <c r="L680" s="51" t="s">
        <v>5391</v>
      </c>
      <c r="M680" s="34" t="s">
        <v>5392</v>
      </c>
      <c r="N680" s="44" t="s">
        <v>5393</v>
      </c>
      <c r="O680" s="44" t="str">
        <f>IFERROR(__xludf.DUMMYFUNCTION("GOOGLETRANSLATE(N680,""EN"",""ES"")"),"Los posibles problemas de infraestructura pueden generar preocupaciones sobre la confiabilidad energética.")</f>
        <v>Los posibles problemas de infraestructura pueden generar preocupaciones sobre la confiabilidad energética.</v>
      </c>
      <c r="P680" s="30">
        <v>0.5</v>
      </c>
      <c r="Q680" s="18" t="str">
        <f>IFERROR(__xludf.DUMMYFUNCTION("GOOGLETRANSLATE(R680,""ES"",""EN"")"),"transition, high voltage cable")</f>
        <v>transition, high voltage cable</v>
      </c>
      <c r="R680" s="34" t="s">
        <v>5394</v>
      </c>
      <c r="S680" s="52" t="s">
        <v>4447</v>
      </c>
      <c r="T680" s="22" t="s">
        <v>4448</v>
      </c>
    </row>
    <row r="681">
      <c r="A681" s="23" t="s">
        <v>5395</v>
      </c>
      <c r="B681" s="40" t="s">
        <v>1072</v>
      </c>
      <c r="C681" s="41">
        <v>45345.0</v>
      </c>
      <c r="D681" s="40" t="s">
        <v>5396</v>
      </c>
      <c r="E681" s="42" t="s">
        <v>5397</v>
      </c>
      <c r="F681" s="43" t="s">
        <v>5398</v>
      </c>
      <c r="G681" s="43" t="s">
        <v>5399</v>
      </c>
      <c r="H681" s="47" t="s">
        <v>48</v>
      </c>
      <c r="I681" s="25" t="str">
        <f>IFERROR(__xludf.DUMMYFUNCTION("GOOGLETRANSLATE(H681,""EN"",""ES"")"),"Finanzas")</f>
        <v>Finanzas</v>
      </c>
      <c r="J681" s="26" t="s">
        <v>35</v>
      </c>
      <c r="K681" s="48">
        <v>0.6</v>
      </c>
      <c r="L681" s="49" t="s">
        <v>5400</v>
      </c>
      <c r="M681" s="28" t="s">
        <v>5401</v>
      </c>
      <c r="N681" s="47" t="s">
        <v>5402</v>
      </c>
      <c r="O681" s="47" t="str">
        <f>IFERROR(__xludf.DUMMYFUNCTION("GOOGLETRANSLATE(N681,""EN"",""ES"")"),"Vender activos para mejorar la rentabilidad para los accionistas se alinea con la estrategia de capital de Repsol.")</f>
        <v>Vender activos para mejorar la rentabilidad para los accionistas se alinea con la estrategia de capital de Repsol.</v>
      </c>
      <c r="P681" s="30">
        <v>0.6</v>
      </c>
      <c r="Q681" s="31" t="str">
        <f>IFERROR(__xludf.DUMMYFUNCTION("GOOGLETRANSLATE(R681,""ES"",""EN"")"),"assets, dividends")</f>
        <v>assets, dividends</v>
      </c>
      <c r="R681" s="28" t="s">
        <v>5403</v>
      </c>
      <c r="S681" s="53" t="s">
        <v>5033</v>
      </c>
      <c r="T681" s="32" t="s">
        <v>5034</v>
      </c>
    </row>
    <row r="682">
      <c r="A682" s="33" t="s">
        <v>5404</v>
      </c>
      <c r="B682" s="40" t="s">
        <v>85</v>
      </c>
      <c r="C682" s="41">
        <v>45345.0</v>
      </c>
      <c r="D682" s="40" t="s">
        <v>5405</v>
      </c>
      <c r="E682" s="42" t="s">
        <v>5406</v>
      </c>
      <c r="F682" s="43" t="s">
        <v>5407</v>
      </c>
      <c r="G682" s="43" t="s">
        <v>5408</v>
      </c>
      <c r="H682" s="44" t="s">
        <v>5409</v>
      </c>
      <c r="I682" s="15" t="str">
        <f>IFERROR(__xludf.DUMMYFUNCTION("GOOGLETRANSLATE(H682,""EN"",""ES"")"),"Desarrollo urbano")</f>
        <v>Desarrollo urbano</v>
      </c>
      <c r="J682" s="16" t="s">
        <v>35</v>
      </c>
      <c r="K682" s="48">
        <v>0.6</v>
      </c>
      <c r="L682" s="51" t="s">
        <v>5410</v>
      </c>
      <c r="M682" s="34" t="s">
        <v>5411</v>
      </c>
      <c r="N682" s="44" t="s">
        <v>5412</v>
      </c>
      <c r="O682" s="44" t="str">
        <f>IFERROR(__xludf.DUMMYFUNCTION("GOOGLETRANSLATE(N682,""EN"",""ES"")"),"La reutilización de suelos propiedad de Repsol para espacios verdes contribuye a los esfuerzos de sostenibilidad.")</f>
        <v>La reutilización de suelos propiedad de Repsol para espacios verdes contribuye a los esfuerzos de sostenibilidad.</v>
      </c>
      <c r="P682" s="30">
        <v>0.6</v>
      </c>
      <c r="Q682" s="18" t="str">
        <f>IFERROR(__xludf.DUMMYFUNCTION("GOOGLETRANSLATE(R682,""ES"",""EN"")"),"park, urbanization")</f>
        <v>park, urbanization</v>
      </c>
      <c r="R682" s="34" t="s">
        <v>5413</v>
      </c>
      <c r="S682" s="52" t="s">
        <v>5414</v>
      </c>
      <c r="T682" s="22" t="s">
        <v>5415</v>
      </c>
    </row>
    <row r="683">
      <c r="A683" s="23" t="s">
        <v>5416</v>
      </c>
      <c r="B683" s="40" t="s">
        <v>4538</v>
      </c>
      <c r="C683" s="41">
        <v>45345.0</v>
      </c>
      <c r="D683" s="40" t="s">
        <v>5417</v>
      </c>
      <c r="E683" s="42" t="s">
        <v>5418</v>
      </c>
      <c r="F683" s="43" t="s">
        <v>5419</v>
      </c>
      <c r="G683" s="43" t="s">
        <v>5420</v>
      </c>
      <c r="H683" s="47" t="s">
        <v>661</v>
      </c>
      <c r="I683" s="25" t="str">
        <f>IFERROR(__xludf.DUMMYFUNCTION("GOOGLETRANSLATE(H683,""EN"",""ES"")"),"Estrategia empresarial")</f>
        <v>Estrategia empresarial</v>
      </c>
      <c r="J683" s="26" t="s">
        <v>35</v>
      </c>
      <c r="K683" s="48">
        <v>0.7</v>
      </c>
      <c r="L683" s="49" t="s">
        <v>5421</v>
      </c>
      <c r="M683" s="28" t="s">
        <v>5422</v>
      </c>
      <c r="N683" s="47" t="s">
        <v>5423</v>
      </c>
      <c r="O683" s="47" t="str">
        <f>IFERROR(__xludf.DUMMYFUNCTION("GOOGLETRANSLATE(N683,""EN"",""ES"")"),"Una estrategia clara a largo plazo refuerza la visión de crecimiento y estabilidad del mercado de Repsol.")</f>
        <v>Una estrategia clara a largo plazo refuerza la visión de crecimiento y estabilidad del mercado de Repsol.</v>
      </c>
      <c r="P683" s="30">
        <v>0.6</v>
      </c>
      <c r="Q683" s="31" t="str">
        <f>IFERROR(__xludf.DUMMYFUNCTION("GOOGLETRANSLATE(R683,""ES"",""EN"")"),"strategic plan, talent")</f>
        <v>strategic plan, talent</v>
      </c>
      <c r="R683" s="28" t="s">
        <v>5424</v>
      </c>
      <c r="S683" s="53" t="s">
        <v>5425</v>
      </c>
      <c r="T683" s="32" t="s">
        <v>5426</v>
      </c>
    </row>
    <row r="684">
      <c r="A684" s="33" t="s">
        <v>5427</v>
      </c>
      <c r="B684" s="40" t="s">
        <v>499</v>
      </c>
      <c r="C684" s="41">
        <v>45345.0</v>
      </c>
      <c r="D684" s="40" t="s">
        <v>5428</v>
      </c>
      <c r="E684" s="42" t="s">
        <v>5429</v>
      </c>
      <c r="F684" s="43" t="s">
        <v>5430</v>
      </c>
      <c r="G684" s="43" t="s">
        <v>5431</v>
      </c>
      <c r="H684" s="44" t="s">
        <v>408</v>
      </c>
      <c r="I684" s="15" t="str">
        <f>IFERROR(__xludf.DUMMYFUNCTION("GOOGLETRANSLATE(H684,""EN"",""ES"")"),"Legal")</f>
        <v>Legal</v>
      </c>
      <c r="J684" s="16" t="s">
        <v>35</v>
      </c>
      <c r="K684" s="48">
        <v>0.5</v>
      </c>
      <c r="L684" s="51" t="s">
        <v>5432</v>
      </c>
      <c r="M684" s="34" t="s">
        <v>5433</v>
      </c>
      <c r="N684" s="44" t="s">
        <v>5434</v>
      </c>
      <c r="O684" s="44" t="str">
        <f>IFERROR(__xludf.DUMMYFUNCTION("GOOGLETRANSLATE(N684,""EN"",""ES"")"),"Las reclamaciones judiciales que buscan la restitución financiera indican el compromiso de Repsol con la protección de sus activos.")</f>
        <v>Las reclamaciones judiciales que buscan la restitución financiera indican el compromiso de Repsol con la protección de sus activos.</v>
      </c>
      <c r="P684" s="30">
        <v>-0.6</v>
      </c>
      <c r="Q684" s="18" t="str">
        <f>IFERROR(__xludf.DUMMYFUNCTION("GOOGLETRANSLATE(R684,""ES"",""EN"")"),"compensation, spill")</f>
        <v>compensation, spill</v>
      </c>
      <c r="R684" s="34" t="s">
        <v>5435</v>
      </c>
      <c r="S684" s="52" t="s">
        <v>5436</v>
      </c>
      <c r="T684" s="22" t="s">
        <v>5437</v>
      </c>
    </row>
    <row r="685">
      <c r="A685" s="23" t="s">
        <v>5438</v>
      </c>
      <c r="B685" s="40" t="s">
        <v>614</v>
      </c>
      <c r="C685" s="41">
        <v>45345.0</v>
      </c>
      <c r="D685" s="40" t="s">
        <v>5439</v>
      </c>
      <c r="E685" s="42" t="s">
        <v>5440</v>
      </c>
      <c r="F685" s="43" t="s">
        <v>5441</v>
      </c>
      <c r="G685" s="43" t="s">
        <v>5442</v>
      </c>
      <c r="H685" s="47" t="s">
        <v>1975</v>
      </c>
      <c r="I685" s="25" t="str">
        <f>IFERROR(__xludf.DUMMYFUNCTION("GOOGLETRANSLATE(H685,""EN"",""ES"")"),"Política")</f>
        <v>Política</v>
      </c>
      <c r="J685" s="26" t="s">
        <v>35</v>
      </c>
      <c r="K685" s="48">
        <v>0.5</v>
      </c>
      <c r="L685" s="49" t="s">
        <v>5443</v>
      </c>
      <c r="M685" s="28" t="s">
        <v>5444</v>
      </c>
      <c r="N685" s="47" t="s">
        <v>5445</v>
      </c>
      <c r="O685" s="47" t="str">
        <f>IFERROR(__xludf.DUMMYFUNCTION("GOOGLETRANSLATE(N685,""EN"",""ES"")"),"Los cambios de política en materia de fiscalidad energética pueden influir en la rentabilidad de Repsol.")</f>
        <v>Los cambios de política en materia de fiscalidad energética pueden influir en la rentabilidad de Repsol.</v>
      </c>
      <c r="P685" s="30">
        <v>0.4</v>
      </c>
      <c r="Q685" s="31" t="str">
        <f>IFERROR(__xludf.DUMMYFUNCTION("GOOGLETRANSLATE(R685,""ES"",""EN"")"),"imposing, optimistic")</f>
        <v>imposing, optimistic</v>
      </c>
      <c r="R685" s="28" t="s">
        <v>5446</v>
      </c>
      <c r="S685" s="53" t="s">
        <v>5447</v>
      </c>
      <c r="T685" s="32" t="s">
        <v>5448</v>
      </c>
    </row>
    <row r="686">
      <c r="A686" s="33" t="s">
        <v>5449</v>
      </c>
      <c r="B686" s="40" t="s">
        <v>3992</v>
      </c>
      <c r="C686" s="41">
        <v>45345.0</v>
      </c>
      <c r="D686" s="40" t="s">
        <v>5450</v>
      </c>
      <c r="E686" s="42" t="s">
        <v>5451</v>
      </c>
      <c r="F686" s="43" t="s">
        <v>5452</v>
      </c>
      <c r="G686" s="43" t="s">
        <v>5453</v>
      </c>
      <c r="H686" s="44" t="s">
        <v>1975</v>
      </c>
      <c r="I686" s="15" t="str">
        <f>IFERROR(__xludf.DUMMYFUNCTION("GOOGLETRANSLATE(H686,""EN"",""ES"")"),"Política")</f>
        <v>Política</v>
      </c>
      <c r="J686" s="16" t="s">
        <v>35</v>
      </c>
      <c r="K686" s="48">
        <v>-0.5</v>
      </c>
      <c r="L686" s="51" t="s">
        <v>5454</v>
      </c>
      <c r="M686" s="34" t="s">
        <v>5455</v>
      </c>
      <c r="N686" s="44" t="s">
        <v>5456</v>
      </c>
      <c r="O686" s="44" t="str">
        <f>IFERROR(__xludf.DUMMYFUNCTION("GOOGLETRANSLATE(N686,""EN"",""ES"")"),"Las disputas sobre políticas fiscales pueden generar incertidumbre regulatoria para Repsol.")</f>
        <v>Las disputas sobre políticas fiscales pueden generar incertidumbre regulatoria para Repsol.</v>
      </c>
      <c r="P686" s="30">
        <v>-0.4</v>
      </c>
      <c r="Q686" s="18" t="str">
        <f>IFERROR(__xludf.DUMMYFUNCTION("GOOGLETRANSLATE(R686,""ES"",""EN"")"),"fiscal pulse, investment")</f>
        <v>fiscal pulse, investment</v>
      </c>
      <c r="R686" s="34" t="s">
        <v>5457</v>
      </c>
      <c r="S686" s="52" t="s">
        <v>5458</v>
      </c>
      <c r="T686" s="22" t="s">
        <v>5459</v>
      </c>
    </row>
    <row r="687">
      <c r="A687" s="23" t="s">
        <v>5460</v>
      </c>
      <c r="B687" s="40" t="s">
        <v>2527</v>
      </c>
      <c r="C687" s="41">
        <v>45345.0</v>
      </c>
      <c r="D687" s="40" t="s">
        <v>5461</v>
      </c>
      <c r="E687" s="42" t="s">
        <v>5462</v>
      </c>
      <c r="F687" s="43" t="s">
        <v>5463</v>
      </c>
      <c r="G687" s="43" t="s">
        <v>5464</v>
      </c>
      <c r="H687" s="47" t="s">
        <v>130</v>
      </c>
      <c r="I687" s="25" t="str">
        <f>IFERROR(__xludf.DUMMYFUNCTION("GOOGLETRANSLATE(H687,""EN"",""ES"")"),"Sostenibilidad")</f>
        <v>Sostenibilidad</v>
      </c>
      <c r="J687" s="26" t="s">
        <v>35</v>
      </c>
      <c r="K687" s="48">
        <v>0.7</v>
      </c>
      <c r="L687" s="49" t="s">
        <v>5465</v>
      </c>
      <c r="M687" s="28" t="s">
        <v>5466</v>
      </c>
      <c r="N687" s="47" t="s">
        <v>5467</v>
      </c>
      <c r="O687" s="47" t="str">
        <f>IFERROR(__xludf.DUMMYFUNCTION("GOOGLETRANSLATE(N687,""EN"",""ES"")"),"El liderazgo de Repsol reafirma su transición hacia energías más limpias.")</f>
        <v>El liderazgo de Repsol reafirma su transición hacia energías más limpias.</v>
      </c>
      <c r="P687" s="30">
        <v>0.6</v>
      </c>
      <c r="Q687" s="31" t="str">
        <f>IFERROR(__xludf.DUMMYFUNCTION("GOOGLETRANSLATE(R687,""ES"",""EN"")"),"levers, future")</f>
        <v>levers, future</v>
      </c>
      <c r="R687" s="28" t="s">
        <v>5468</v>
      </c>
      <c r="S687" s="53" t="s">
        <v>5469</v>
      </c>
      <c r="T687" s="32" t="s">
        <v>5470</v>
      </c>
    </row>
    <row r="688">
      <c r="A688" s="33" t="s">
        <v>5471</v>
      </c>
      <c r="B688" s="40" t="s">
        <v>21</v>
      </c>
      <c r="C688" s="41">
        <v>45345.0</v>
      </c>
      <c r="D688" s="40" t="s">
        <v>5472</v>
      </c>
      <c r="E688" s="42" t="s">
        <v>5473</v>
      </c>
      <c r="F688" s="43" t="s">
        <v>5474</v>
      </c>
      <c r="G688" s="43" t="s">
        <v>5475</v>
      </c>
      <c r="H688" s="44" t="s">
        <v>148</v>
      </c>
      <c r="I688" s="15" t="str">
        <f>IFERROR(__xludf.DUMMYFUNCTION("GOOGLETRANSLATE(H688,""EN"",""ES"")"),"Gastronomía")</f>
        <v>Gastronomía</v>
      </c>
      <c r="J688" s="16" t="s">
        <v>27</v>
      </c>
      <c r="K688" s="17">
        <v>0.0</v>
      </c>
      <c r="L688" s="45"/>
      <c r="M688" s="18"/>
      <c r="N688" s="44"/>
      <c r="O688" s="44"/>
      <c r="P688" s="20">
        <v>0.0</v>
      </c>
      <c r="Q688" s="18"/>
      <c r="R688" s="18"/>
      <c r="S688" s="52"/>
      <c r="T688" s="22"/>
    </row>
    <row r="689">
      <c r="A689" s="23" t="s">
        <v>5476</v>
      </c>
      <c r="B689" s="40" t="s">
        <v>558</v>
      </c>
      <c r="C689" s="41">
        <v>45345.0</v>
      </c>
      <c r="D689" s="40" t="s">
        <v>4833</v>
      </c>
      <c r="E689" s="42" t="s">
        <v>5477</v>
      </c>
      <c r="F689" s="43" t="s">
        <v>4835</v>
      </c>
      <c r="G689" s="43" t="s">
        <v>5478</v>
      </c>
      <c r="H689" s="47" t="s">
        <v>48</v>
      </c>
      <c r="I689" s="25" t="str">
        <f>IFERROR(__xludf.DUMMYFUNCTION("GOOGLETRANSLATE(H689,""EN"",""ES"")"),"Finanzas")</f>
        <v>Finanzas</v>
      </c>
      <c r="J689" s="26" t="s">
        <v>35</v>
      </c>
      <c r="K689" s="48">
        <v>0.7</v>
      </c>
      <c r="L689" s="49" t="s">
        <v>5479</v>
      </c>
      <c r="M689" s="28" t="s">
        <v>5480</v>
      </c>
      <c r="N689" s="47" t="s">
        <v>5481</v>
      </c>
      <c r="O689" s="47" t="str">
        <f>IFERROR(__xludf.DUMMYFUNCTION("GOOGLETRANSLATE(N689,""EN"",""ES"")"),"Una fuerte tendencia del mercado refuerza la confianza de los inversores en Repsol.")</f>
        <v>Una fuerte tendencia del mercado refuerza la confianza de los inversores en Repsol.</v>
      </c>
      <c r="P689" s="30">
        <v>-0.6</v>
      </c>
      <c r="Q689" s="31" t="str">
        <f>IFERROR(__xludf.DUMMYFUNCTION("GOOGLETRANSLATE(R689,""ES"",""EN"")"),"lose, shareholders")</f>
        <v>lose, shareholders</v>
      </c>
      <c r="R689" s="28" t="s">
        <v>4840</v>
      </c>
      <c r="S689" s="53" t="s">
        <v>4841</v>
      </c>
      <c r="T689" s="32" t="s">
        <v>4842</v>
      </c>
    </row>
    <row r="690">
      <c r="A690" s="33" t="s">
        <v>5482</v>
      </c>
      <c r="B690" s="40" t="s">
        <v>5483</v>
      </c>
      <c r="C690" s="41">
        <v>45345.0</v>
      </c>
      <c r="D690" s="40" t="s">
        <v>5484</v>
      </c>
      <c r="E690" s="42" t="s">
        <v>5485</v>
      </c>
      <c r="F690" s="43" t="s">
        <v>5486</v>
      </c>
      <c r="G690" s="43" t="s">
        <v>5487</v>
      </c>
      <c r="H690" s="44" t="s">
        <v>148</v>
      </c>
      <c r="I690" s="15" t="str">
        <f>IFERROR(__xludf.DUMMYFUNCTION("GOOGLETRANSLATE(H690,""EN"",""ES"")"),"Gastronomía")</f>
        <v>Gastronomía</v>
      </c>
      <c r="J690" s="16" t="s">
        <v>27</v>
      </c>
      <c r="K690" s="17">
        <v>0.0</v>
      </c>
      <c r="L690" s="45"/>
      <c r="M690" s="18"/>
      <c r="N690" s="44"/>
      <c r="O690" s="44"/>
      <c r="P690" s="20">
        <v>0.0</v>
      </c>
      <c r="Q690" s="18"/>
      <c r="R690" s="18"/>
      <c r="S690" s="52"/>
      <c r="T690" s="22"/>
    </row>
    <row r="691">
      <c r="A691" s="23" t="s">
        <v>5488</v>
      </c>
      <c r="B691" s="40" t="s">
        <v>977</v>
      </c>
      <c r="C691" s="41">
        <v>45345.0</v>
      </c>
      <c r="D691" s="40" t="s">
        <v>5489</v>
      </c>
      <c r="E691" s="42" t="s">
        <v>5490</v>
      </c>
      <c r="F691" s="43" t="s">
        <v>5491</v>
      </c>
      <c r="G691" s="43" t="s">
        <v>5492</v>
      </c>
      <c r="H691" s="47" t="s">
        <v>48</v>
      </c>
      <c r="I691" s="25" t="str">
        <f>IFERROR(__xludf.DUMMYFUNCTION("GOOGLETRANSLATE(H691,""EN"",""ES"")"),"Finanzas")</f>
        <v>Finanzas</v>
      </c>
      <c r="J691" s="26" t="s">
        <v>27</v>
      </c>
      <c r="K691" s="17">
        <v>0.0</v>
      </c>
      <c r="L691" s="54"/>
      <c r="M691" s="31"/>
      <c r="N691" s="47"/>
      <c r="O691" s="47"/>
      <c r="P691" s="20">
        <v>0.0</v>
      </c>
      <c r="Q691" s="31"/>
      <c r="R691" s="31"/>
      <c r="S691" s="53"/>
      <c r="T691" s="32"/>
    </row>
    <row r="692">
      <c r="A692" s="33" t="s">
        <v>5493</v>
      </c>
      <c r="B692" s="40" t="s">
        <v>3543</v>
      </c>
      <c r="C692" s="41">
        <v>45345.0</v>
      </c>
      <c r="D692" s="40" t="s">
        <v>5494</v>
      </c>
      <c r="E692" s="42" t="s">
        <v>5494</v>
      </c>
      <c r="F692" s="43" t="s">
        <v>5495</v>
      </c>
      <c r="G692" s="43" t="s">
        <v>5495</v>
      </c>
      <c r="H692" s="44" t="s">
        <v>130</v>
      </c>
      <c r="I692" s="15" t="str">
        <f>IFERROR(__xludf.DUMMYFUNCTION("GOOGLETRANSLATE(H692,""EN"",""ES"")"),"Sostenibilidad")</f>
        <v>Sostenibilidad</v>
      </c>
      <c r="J692" s="16" t="s">
        <v>27</v>
      </c>
      <c r="K692" s="17">
        <v>0.0</v>
      </c>
      <c r="L692" s="45"/>
      <c r="M692" s="18"/>
      <c r="N692" s="44"/>
      <c r="O692" s="44"/>
      <c r="P692" s="20">
        <v>0.0</v>
      </c>
      <c r="Q692" s="18"/>
      <c r="R692" s="18"/>
      <c r="S692" s="52"/>
      <c r="T692" s="22"/>
    </row>
    <row r="693">
      <c r="A693" s="23" t="s">
        <v>5496</v>
      </c>
      <c r="B693" s="40" t="s">
        <v>103</v>
      </c>
      <c r="C693" s="41">
        <v>45345.0</v>
      </c>
      <c r="D693" s="40" t="s">
        <v>5497</v>
      </c>
      <c r="E693" s="42" t="s">
        <v>5498</v>
      </c>
      <c r="F693" s="43" t="s">
        <v>5499</v>
      </c>
      <c r="G693" s="43" t="s">
        <v>5500</v>
      </c>
      <c r="H693" s="47" t="s">
        <v>48</v>
      </c>
      <c r="I693" s="25" t="str">
        <f>IFERROR(__xludf.DUMMYFUNCTION("GOOGLETRANSLATE(H693,""EN"",""ES"")"),"Finanzas")</f>
        <v>Finanzas</v>
      </c>
      <c r="J693" s="26" t="s">
        <v>35</v>
      </c>
      <c r="K693" s="48">
        <v>-0.5</v>
      </c>
      <c r="L693" s="49" t="s">
        <v>5501</v>
      </c>
      <c r="M693" s="28" t="s">
        <v>5502</v>
      </c>
      <c r="N693" s="47" t="s">
        <v>5503</v>
      </c>
      <c r="O693" s="47" t="str">
        <f>IFERROR(__xludf.DUMMYFUNCTION("GOOGLETRANSLATE(N693,""EN"",""ES"")"),"La reducción de los pagos de impuestos puede generar preocupaciones regulatorias y éticas.")</f>
        <v>La reducción de los pagos de impuestos puede generar preocupaciones regulatorias y éticas.</v>
      </c>
      <c r="P693" s="30">
        <v>-0.3</v>
      </c>
      <c r="Q693" s="31" t="str">
        <f>IFERROR(__xludf.DUMMYFUNCTION("GOOGLETRANSLATE(R693,""ES"",""EN"")"),"payments, reduce")</f>
        <v>payments, reduce</v>
      </c>
      <c r="R693" s="28" t="s">
        <v>5504</v>
      </c>
      <c r="S693" s="53" t="s">
        <v>5505</v>
      </c>
      <c r="T693" s="32" t="s">
        <v>5506</v>
      </c>
    </row>
    <row r="694">
      <c r="A694" s="33" t="s">
        <v>5507</v>
      </c>
      <c r="B694" s="40" t="s">
        <v>5508</v>
      </c>
      <c r="C694" s="41">
        <v>45345.0</v>
      </c>
      <c r="D694" s="40" t="s">
        <v>5509</v>
      </c>
      <c r="E694" s="42" t="s">
        <v>5509</v>
      </c>
      <c r="F694" s="43" t="s">
        <v>5510</v>
      </c>
      <c r="G694" s="43" t="s">
        <v>5510</v>
      </c>
      <c r="H694" s="44" t="s">
        <v>48</v>
      </c>
      <c r="I694" s="15" t="str">
        <f>IFERROR(__xludf.DUMMYFUNCTION("GOOGLETRANSLATE(H694,""EN"",""ES"")"),"Finanzas")</f>
        <v>Finanzas</v>
      </c>
      <c r="J694" s="16" t="s">
        <v>35</v>
      </c>
      <c r="K694" s="48">
        <v>-0.6</v>
      </c>
      <c r="L694" s="51" t="s">
        <v>5511</v>
      </c>
      <c r="M694" s="34" t="s">
        <v>5512</v>
      </c>
      <c r="N694" s="44" t="s">
        <v>5513</v>
      </c>
      <c r="O694" s="44" t="str">
        <f>IFERROR(__xludf.DUMMYFUNCTION("GOOGLETRANSLATE(N694,""EN"",""ES"")"),"La caída de los precios de las materias primas impacta en el desempeño financiero de Repsol.")</f>
        <v>La caída de los precios de las materias primas impacta en el desempeño financiero de Repsol.</v>
      </c>
      <c r="P694" s="30">
        <v>-0.4</v>
      </c>
      <c r="Q694" s="18" t="str">
        <f>IFERROR(__xludf.DUMMYFUNCTION("GOOGLETRANSLATE(R694,""ES"",""EN"")"),"benefits, stop")</f>
        <v>benefits, stop</v>
      </c>
      <c r="R694" s="34" t="s">
        <v>5514</v>
      </c>
      <c r="S694" s="52" t="s">
        <v>4918</v>
      </c>
      <c r="T694" s="22" t="s">
        <v>4919</v>
      </c>
    </row>
    <row r="695">
      <c r="A695" s="23" t="s">
        <v>5515</v>
      </c>
      <c r="B695" s="40" t="s">
        <v>254</v>
      </c>
      <c r="C695" s="41">
        <v>45345.0</v>
      </c>
      <c r="D695" s="40" t="s">
        <v>5516</v>
      </c>
      <c r="E695" s="42" t="s">
        <v>5517</v>
      </c>
      <c r="F695" s="43" t="s">
        <v>5518</v>
      </c>
      <c r="G695" s="43" t="s">
        <v>5519</v>
      </c>
      <c r="H695" s="47" t="s">
        <v>408</v>
      </c>
      <c r="I695" s="25" t="str">
        <f>IFERROR(__xludf.DUMMYFUNCTION("GOOGLETRANSLATE(H695,""EN"",""ES"")"),"Legal")</f>
        <v>Legal</v>
      </c>
      <c r="J695" s="26" t="s">
        <v>35</v>
      </c>
      <c r="K695" s="48">
        <v>0.5</v>
      </c>
      <c r="L695" s="49" t="s">
        <v>5520</v>
      </c>
      <c r="M695" s="31" t="s">
        <v>5521</v>
      </c>
      <c r="N695" s="47" t="s">
        <v>5522</v>
      </c>
      <c r="O695" s="47" t="str">
        <f>IFERROR(__xludf.DUMMYFUNCTION("GOOGLETRANSLATE(N695,""EN"",""ES"")"),"Las acciones judiciales para recuperar pérdidas financieras indican el compromiso de Repsol con la protección empresarial.")</f>
        <v>Las acciones judiciales para recuperar pérdidas financieras indican el compromiso de Repsol con la protección empresarial.</v>
      </c>
      <c r="P695" s="30">
        <v>-0.6</v>
      </c>
      <c r="Q695" s="31" t="str">
        <f>IFERROR(__xludf.DUMMYFUNCTION("GOOGLETRANSLATE(R695,""ES"",""EN"")"),"spill, compensation")</f>
        <v>spill, compensation</v>
      </c>
      <c r="R695" s="28" t="s">
        <v>5523</v>
      </c>
      <c r="S695" s="53" t="s">
        <v>5436</v>
      </c>
      <c r="T695" s="32" t="s">
        <v>5437</v>
      </c>
    </row>
    <row r="696">
      <c r="A696" s="33" t="s">
        <v>5524</v>
      </c>
      <c r="B696" s="40" t="s">
        <v>5525</v>
      </c>
      <c r="C696" s="41">
        <v>45346.0</v>
      </c>
      <c r="D696" s="40" t="s">
        <v>5526</v>
      </c>
      <c r="E696" s="42" t="s">
        <v>5527</v>
      </c>
      <c r="F696" s="43" t="s">
        <v>5528</v>
      </c>
      <c r="G696" s="43" t="s">
        <v>5529</v>
      </c>
      <c r="H696" s="44" t="s">
        <v>48</v>
      </c>
      <c r="I696" s="15" t="str">
        <f>IFERROR(__xludf.DUMMYFUNCTION("GOOGLETRANSLATE(H696,""EN"",""ES"")"),"Finanzas")</f>
        <v>Finanzas</v>
      </c>
      <c r="J696" s="16" t="s">
        <v>35</v>
      </c>
      <c r="K696" s="48">
        <v>0.7</v>
      </c>
      <c r="L696" s="51" t="s">
        <v>5530</v>
      </c>
      <c r="M696" s="34" t="s">
        <v>5531</v>
      </c>
      <c r="N696" s="44" t="s">
        <v>5532</v>
      </c>
      <c r="O696" s="44" t="str">
        <f>IFERROR(__xludf.DUMMYFUNCTION("GOOGLETRANSLATE(N696,""EN"",""ES"")"),"Una política de dividendos sólida mejora el sentimiento de los inversores.")</f>
        <v>Una política de dividendos sólida mejora el sentimiento de los inversores.</v>
      </c>
      <c r="P696" s="30">
        <v>0.6</v>
      </c>
      <c r="Q696" s="18" t="str">
        <f>IFERROR(__xludf.DUMMYFUNCTION("GOOGLETRANSLATE(R696,""ES"",""EN"")"),"dividend, strategic plan")</f>
        <v>dividend, strategic plan</v>
      </c>
      <c r="R696" s="34" t="s">
        <v>5032</v>
      </c>
      <c r="S696" s="52" t="s">
        <v>5033</v>
      </c>
      <c r="T696" s="22" t="s">
        <v>5034</v>
      </c>
    </row>
    <row r="697">
      <c r="A697" s="23" t="s">
        <v>5533</v>
      </c>
      <c r="B697" s="40" t="s">
        <v>85</v>
      </c>
      <c r="C697" s="41">
        <v>45346.0</v>
      </c>
      <c r="D697" s="40" t="s">
        <v>5534</v>
      </c>
      <c r="E697" s="42" t="s">
        <v>5535</v>
      </c>
      <c r="F697" s="43" t="s">
        <v>5536</v>
      </c>
      <c r="G697" s="43" t="s">
        <v>5537</v>
      </c>
      <c r="H697" s="47" t="s">
        <v>130</v>
      </c>
      <c r="I697" s="25" t="str">
        <f>IFERROR(__xludf.DUMMYFUNCTION("GOOGLETRANSLATE(H697,""EN"",""ES"")"),"Sostenibilidad")</f>
        <v>Sostenibilidad</v>
      </c>
      <c r="J697" s="26" t="s">
        <v>35</v>
      </c>
      <c r="K697" s="48">
        <v>0.7</v>
      </c>
      <c r="L697" s="49" t="s">
        <v>5538</v>
      </c>
      <c r="M697" s="28" t="s">
        <v>5539</v>
      </c>
      <c r="N697" s="47" t="s">
        <v>5540</v>
      </c>
      <c r="O697" s="47" t="str">
        <f>IFERROR(__xludf.DUMMYFUNCTION("GOOGLETRANSLATE(N697,""EN"",""ES"")"),"La inversión en energía eólica fortalece la transición verde de Repsol.")</f>
        <v>La inversión en energía eólica fortalece la transición verde de Repsol.</v>
      </c>
      <c r="P697" s="30">
        <v>0.7</v>
      </c>
      <c r="Q697" s="31" t="str">
        <f>IFERROR(__xludf.DUMMYFUNCTION("GOOGLETRANSLATE(R697,""ES"",""EN"")"),"wind farm, control")</f>
        <v>wind farm, control</v>
      </c>
      <c r="R697" s="28" t="s">
        <v>5541</v>
      </c>
      <c r="S697" s="53" t="s">
        <v>5542</v>
      </c>
      <c r="T697" s="32" t="s">
        <v>5543</v>
      </c>
    </row>
    <row r="698">
      <c r="A698" s="33" t="s">
        <v>5544</v>
      </c>
      <c r="B698" s="40" t="s">
        <v>1081</v>
      </c>
      <c r="C698" s="41">
        <v>45346.0</v>
      </c>
      <c r="D698" s="40" t="s">
        <v>5545</v>
      </c>
      <c r="E698" s="42" t="s">
        <v>5546</v>
      </c>
      <c r="F698" s="43" t="s">
        <v>5547</v>
      </c>
      <c r="G698" s="43" t="s">
        <v>5548</v>
      </c>
      <c r="H698" s="44" t="s">
        <v>2281</v>
      </c>
      <c r="I698" s="15" t="str">
        <f>IFERROR(__xludf.DUMMYFUNCTION("GOOGLETRANSLATE(H698,""EN"",""ES"")"),"Operaciones comerciales")</f>
        <v>Operaciones comerciales</v>
      </c>
      <c r="J698" s="16" t="s">
        <v>35</v>
      </c>
      <c r="K698" s="48">
        <v>0.6</v>
      </c>
      <c r="L698" s="51" t="s">
        <v>5549</v>
      </c>
      <c r="M698" s="34" t="s">
        <v>5550</v>
      </c>
      <c r="N698" s="44" t="s">
        <v>5551</v>
      </c>
      <c r="O698" s="44" t="str">
        <f>IFERROR(__xludf.DUMMYFUNCTION("GOOGLETRANSLATE(N698,""EN"",""ES"")"),"Destacar las inversiones en infraestructuras refuerza la presencia industrial de Repsol.")</f>
        <v>Destacar las inversiones en infraestructuras refuerza la presencia industrial de Repsol.</v>
      </c>
      <c r="P698" s="30">
        <v>0.0</v>
      </c>
      <c r="Q698" s="18"/>
      <c r="R698" s="18"/>
      <c r="S698" s="52" t="s">
        <v>4447</v>
      </c>
      <c r="T698" s="22" t="s">
        <v>4448</v>
      </c>
    </row>
    <row r="699">
      <c r="A699" s="23" t="s">
        <v>5552</v>
      </c>
      <c r="B699" s="40" t="s">
        <v>43</v>
      </c>
      <c r="C699" s="41">
        <v>45346.0</v>
      </c>
      <c r="D699" s="40" t="s">
        <v>5553</v>
      </c>
      <c r="E699" s="42" t="s">
        <v>5554</v>
      </c>
      <c r="F699" s="43" t="s">
        <v>5555</v>
      </c>
      <c r="G699" s="43" t="s">
        <v>5556</v>
      </c>
      <c r="H699" s="47" t="s">
        <v>130</v>
      </c>
      <c r="I699" s="25" t="str">
        <f>IFERROR(__xludf.DUMMYFUNCTION("GOOGLETRANSLATE(H699,""EN"",""ES"")"),"Sostenibilidad")</f>
        <v>Sostenibilidad</v>
      </c>
      <c r="J699" s="26" t="s">
        <v>35</v>
      </c>
      <c r="K699" s="48">
        <v>0.6</v>
      </c>
      <c r="L699" s="49" t="s">
        <v>5557</v>
      </c>
      <c r="M699" s="28" t="s">
        <v>5558</v>
      </c>
      <c r="N699" s="47" t="s">
        <v>5559</v>
      </c>
      <c r="O699" s="47" t="str">
        <f>IFERROR(__xludf.DUMMYFUNCTION("GOOGLETRANSLATE(N699,""EN"",""ES"")"),"Abogar por el apoyo político fortalece la posición de Repsol en energía sostenible.")</f>
        <v>Abogar por el apoyo político fortalece la posición de Repsol en energía sostenible.</v>
      </c>
      <c r="P699" s="30">
        <v>-0.3</v>
      </c>
      <c r="Q699" s="31" t="str">
        <f>IFERROR(__xludf.DUMMYFUNCTION("GOOGLETRANSLATE(R699,""ES"",""EN"")"),"social, manufacturers")</f>
        <v>social, manufacturers</v>
      </c>
      <c r="R699" s="28" t="s">
        <v>5560</v>
      </c>
      <c r="S699" s="53" t="s">
        <v>5561</v>
      </c>
      <c r="T699" s="32" t="s">
        <v>5562</v>
      </c>
    </row>
    <row r="700">
      <c r="A700" s="33" t="s">
        <v>5563</v>
      </c>
      <c r="B700" s="40" t="s">
        <v>1005</v>
      </c>
      <c r="C700" s="41">
        <v>45346.0</v>
      </c>
      <c r="D700" s="40" t="s">
        <v>5564</v>
      </c>
      <c r="E700" s="42" t="s">
        <v>5565</v>
      </c>
      <c r="F700" s="43" t="s">
        <v>5566</v>
      </c>
      <c r="G700" s="43" t="s">
        <v>5567</v>
      </c>
      <c r="H700" s="44" t="s">
        <v>130</v>
      </c>
      <c r="I700" s="15" t="str">
        <f>IFERROR(__xludf.DUMMYFUNCTION("GOOGLETRANSLATE(H700,""EN"",""ES"")"),"Sostenibilidad")</f>
        <v>Sostenibilidad</v>
      </c>
      <c r="J700" s="16" t="s">
        <v>35</v>
      </c>
      <c r="K700" s="48">
        <v>0.7</v>
      </c>
      <c r="L700" s="51" t="s">
        <v>5568</v>
      </c>
      <c r="M700" s="34" t="s">
        <v>5569</v>
      </c>
      <c r="N700" s="44" t="s">
        <v>5570</v>
      </c>
      <c r="O700" s="44" t="str">
        <f>IFERROR(__xludf.DUMMYFUNCTION("GOOGLETRANSLATE(N700,""EN"",""ES"")"),"La ampliación de la infraestructura de biocombustibles se alinea con los objetivos de transición energética de Repsol.")</f>
        <v>La ampliación de la infraestructura de biocombustibles se alinea con los objetivos de transición energética de Repsol.</v>
      </c>
      <c r="P700" s="30">
        <v>0.8</v>
      </c>
      <c r="Q700" s="18" t="str">
        <f>IFERROR(__xludf.DUMMYFUNCTION("GOOGLETRANSLATE(R700,""ES"",""EN"")"),"distribution, production, renewable diesel, biofuel")</f>
        <v>distribution, production, renewable diesel, biofuel</v>
      </c>
      <c r="R700" s="34" t="s">
        <v>5571</v>
      </c>
      <c r="S700" s="52" t="s">
        <v>5572</v>
      </c>
      <c r="T700" s="22" t="s">
        <v>5573</v>
      </c>
    </row>
    <row r="701">
      <c r="A701" s="23" t="s">
        <v>5574</v>
      </c>
      <c r="B701" s="40" t="s">
        <v>217</v>
      </c>
      <c r="C701" s="41">
        <v>45346.0</v>
      </c>
      <c r="D701" s="40" t="s">
        <v>5575</v>
      </c>
      <c r="E701" s="42" t="s">
        <v>5576</v>
      </c>
      <c r="F701" s="43" t="s">
        <v>5577</v>
      </c>
      <c r="G701" s="43" t="s">
        <v>5578</v>
      </c>
      <c r="H701" s="47" t="s">
        <v>48</v>
      </c>
      <c r="I701" s="25" t="str">
        <f>IFERROR(__xludf.DUMMYFUNCTION("GOOGLETRANSLATE(H701,""EN"",""ES"")"),"Finanzas")</f>
        <v>Finanzas</v>
      </c>
      <c r="J701" s="26" t="s">
        <v>35</v>
      </c>
      <c r="K701" s="48">
        <v>0.7</v>
      </c>
      <c r="L701" s="49" t="s">
        <v>5579</v>
      </c>
      <c r="M701" s="28" t="s">
        <v>5580</v>
      </c>
      <c r="N701" s="47" t="s">
        <v>5581</v>
      </c>
      <c r="O701" s="47" t="str">
        <f>IFERROR(__xludf.DUMMYFUNCTION("GOOGLETRANSLATE(N701,""EN"",""ES"")"),"Una sólida posición de dividendos aumenta el atractivo de Repsol para los inversores.")</f>
        <v>Una sólida posición de dividendos aumenta el atractivo de Repsol para los inversores.</v>
      </c>
      <c r="P701" s="30">
        <v>0.0</v>
      </c>
      <c r="Q701" s="31"/>
      <c r="R701" s="31"/>
      <c r="S701" s="53" t="s">
        <v>5582</v>
      </c>
      <c r="T701" s="32" t="s">
        <v>5583</v>
      </c>
    </row>
    <row r="702">
      <c r="A702" s="33" t="s">
        <v>5584</v>
      </c>
      <c r="B702" s="40" t="s">
        <v>1011</v>
      </c>
      <c r="C702" s="41">
        <v>45346.0</v>
      </c>
      <c r="D702" s="40" t="s">
        <v>5585</v>
      </c>
      <c r="E702" s="42" t="s">
        <v>5586</v>
      </c>
      <c r="F702" s="43" t="s">
        <v>5587</v>
      </c>
      <c r="G702" s="43" t="s">
        <v>5588</v>
      </c>
      <c r="H702" s="44" t="s">
        <v>408</v>
      </c>
      <c r="I702" s="15" t="str">
        <f>IFERROR(__xludf.DUMMYFUNCTION("GOOGLETRANSLATE(H702,""EN"",""ES"")"),"Legal")</f>
        <v>Legal</v>
      </c>
      <c r="J702" s="16" t="s">
        <v>35</v>
      </c>
      <c r="K702" s="48">
        <v>0.5</v>
      </c>
      <c r="L702" s="51" t="s">
        <v>5520</v>
      </c>
      <c r="M702" s="18" t="s">
        <v>5521</v>
      </c>
      <c r="N702" s="44" t="s">
        <v>5589</v>
      </c>
      <c r="O702" s="44" t="str">
        <f>IFERROR(__xludf.DUMMYFUNCTION("GOOGLETRANSLATE(N702,""EN"",""ES"")"),"Los litigios legales reflejan el esfuerzo de Repsol por recuperar pérdidas financieras.")</f>
        <v>Los litigios legales reflejan el esfuerzo de Repsol por recuperar pérdidas financieras.</v>
      </c>
      <c r="P702" s="30">
        <v>-0.7</v>
      </c>
      <c r="Q702" s="18" t="str">
        <f>IFERROR(__xludf.DUMMYFUNCTION("GOOGLETRANSLATE(R702,""ES"",""EN"")"),"spill, lawsuit, italian shipping company")</f>
        <v>spill, lawsuit, italian shipping company</v>
      </c>
      <c r="R702" s="34" t="s">
        <v>5590</v>
      </c>
      <c r="S702" s="52" t="s">
        <v>5591</v>
      </c>
      <c r="T702" s="22" t="s">
        <v>5592</v>
      </c>
    </row>
    <row r="703">
      <c r="A703" s="23" t="s">
        <v>5593</v>
      </c>
      <c r="B703" s="40" t="s">
        <v>977</v>
      </c>
      <c r="C703" s="41">
        <v>45346.0</v>
      </c>
      <c r="D703" s="40" t="s">
        <v>5594</v>
      </c>
      <c r="E703" s="42" t="s">
        <v>5595</v>
      </c>
      <c r="F703" s="43" t="s">
        <v>5596</v>
      </c>
      <c r="G703" s="43" t="s">
        <v>5597</v>
      </c>
      <c r="H703" s="47" t="s">
        <v>2555</v>
      </c>
      <c r="I703" s="25" t="str">
        <f>IFERROR(__xludf.DUMMYFUNCTION("GOOGLETRANSLATE(H703,""EN"",""ES"")"),"Asuntos Corporativos")</f>
        <v>Asuntos Corporativos</v>
      </c>
      <c r="J703" s="26" t="s">
        <v>27</v>
      </c>
      <c r="K703" s="17">
        <v>0.0</v>
      </c>
      <c r="L703" s="54"/>
      <c r="M703" s="31"/>
      <c r="N703" s="47"/>
      <c r="O703" s="47"/>
      <c r="P703" s="20">
        <v>0.0</v>
      </c>
      <c r="Q703" s="31"/>
      <c r="R703" s="31"/>
      <c r="S703" s="53"/>
      <c r="T703" s="32"/>
    </row>
    <row r="704">
      <c r="A704" s="33" t="s">
        <v>5598</v>
      </c>
      <c r="B704" s="40" t="s">
        <v>217</v>
      </c>
      <c r="C704" s="41">
        <v>45346.0</v>
      </c>
      <c r="D704" s="40" t="s">
        <v>5599</v>
      </c>
      <c r="E704" s="42" t="s">
        <v>5600</v>
      </c>
      <c r="F704" s="43" t="s">
        <v>5601</v>
      </c>
      <c r="G704" s="43" t="s">
        <v>5602</v>
      </c>
      <c r="H704" s="44" t="s">
        <v>148</v>
      </c>
      <c r="I704" s="15" t="str">
        <f>IFERROR(__xludf.DUMMYFUNCTION("GOOGLETRANSLATE(H704,""EN"",""ES"")"),"Gastronomía")</f>
        <v>Gastronomía</v>
      </c>
      <c r="J704" s="16" t="s">
        <v>27</v>
      </c>
      <c r="K704" s="17">
        <v>0.0</v>
      </c>
      <c r="L704" s="45"/>
      <c r="M704" s="18"/>
      <c r="N704" s="44"/>
      <c r="O704" s="44"/>
      <c r="P704" s="20">
        <v>0.0</v>
      </c>
      <c r="Q704" s="18"/>
      <c r="R704" s="18"/>
      <c r="S704" s="52"/>
      <c r="T704" s="22"/>
    </row>
    <row r="705">
      <c r="A705" s="23" t="s">
        <v>5603</v>
      </c>
      <c r="B705" s="40" t="s">
        <v>1338</v>
      </c>
      <c r="C705" s="41">
        <v>45346.0</v>
      </c>
      <c r="D705" s="40" t="s">
        <v>5604</v>
      </c>
      <c r="E705" s="42" t="s">
        <v>5605</v>
      </c>
      <c r="F705" s="43" t="s">
        <v>5606</v>
      </c>
      <c r="G705" s="43" t="s">
        <v>5607</v>
      </c>
      <c r="H705" s="47" t="s">
        <v>5608</v>
      </c>
      <c r="I705" s="25" t="str">
        <f>IFERROR(__xludf.DUMMYFUNCTION("GOOGLETRANSLATE(H705,""EN"",""ES"")"),"Suministro de energía")</f>
        <v>Suministro de energía</v>
      </c>
      <c r="J705" s="26" t="s">
        <v>35</v>
      </c>
      <c r="K705" s="48">
        <v>0.5</v>
      </c>
      <c r="L705" s="49" t="s">
        <v>5609</v>
      </c>
      <c r="M705" s="28" t="s">
        <v>5610</v>
      </c>
      <c r="N705" s="47" t="s">
        <v>5611</v>
      </c>
      <c r="O705" s="47" t="str">
        <f>IFERROR(__xludf.DUMMYFUNCTION("GOOGLETRANSLATE(N705,""EN"",""ES"")"),"La escasez de combustible puede afectar la estabilidad del mercado energético.")</f>
        <v>La escasez de combustible puede afectar la estabilidad del mercado energético.</v>
      </c>
      <c r="P705" s="30">
        <v>-0.4</v>
      </c>
      <c r="Q705" s="31" t="str">
        <f>IFERROR(__xludf.DUMMYFUNCTION("GOOGLETRANSLATE(R705,""ES"",""EN"")"),"shortage, fuel, plane")</f>
        <v>shortage, fuel, plane</v>
      </c>
      <c r="R705" s="28" t="s">
        <v>5612</v>
      </c>
      <c r="S705" s="53" t="s">
        <v>5613</v>
      </c>
      <c r="T705" s="32" t="s">
        <v>5614</v>
      </c>
    </row>
    <row r="706">
      <c r="A706" s="33" t="s">
        <v>5615</v>
      </c>
      <c r="B706" s="40" t="s">
        <v>21</v>
      </c>
      <c r="C706" s="41">
        <v>45347.0</v>
      </c>
      <c r="D706" s="40" t="s">
        <v>5616</v>
      </c>
      <c r="E706" s="42" t="s">
        <v>5617</v>
      </c>
      <c r="F706" s="43" t="s">
        <v>5618</v>
      </c>
      <c r="G706" s="43" t="s">
        <v>5619</v>
      </c>
      <c r="H706" s="44" t="s">
        <v>148</v>
      </c>
      <c r="I706" s="15" t="str">
        <f>IFERROR(__xludf.DUMMYFUNCTION("GOOGLETRANSLATE(H706,""EN"",""ES"")"),"Gastronomía")</f>
        <v>Gastronomía</v>
      </c>
      <c r="J706" s="16" t="s">
        <v>27</v>
      </c>
      <c r="K706" s="17">
        <v>0.0</v>
      </c>
      <c r="L706" s="45"/>
      <c r="M706" s="18"/>
      <c r="N706" s="44"/>
      <c r="O706" s="44"/>
      <c r="P706" s="20">
        <v>0.0</v>
      </c>
      <c r="Q706" s="18"/>
      <c r="R706" s="18"/>
      <c r="S706" s="52"/>
      <c r="T706" s="22"/>
    </row>
    <row r="707">
      <c r="A707" s="23" t="s">
        <v>5620</v>
      </c>
      <c r="B707" s="40" t="s">
        <v>229</v>
      </c>
      <c r="C707" s="41">
        <v>45347.0</v>
      </c>
      <c r="D707" s="40" t="s">
        <v>5621</v>
      </c>
      <c r="E707" s="42" t="s">
        <v>5622</v>
      </c>
      <c r="F707" s="43" t="s">
        <v>5623</v>
      </c>
      <c r="G707" s="43" t="s">
        <v>5624</v>
      </c>
      <c r="H707" s="47" t="s">
        <v>2447</v>
      </c>
      <c r="I707" s="25" t="str">
        <f>IFERROR(__xludf.DUMMYFUNCTION("GOOGLETRANSLATE(H707,""EN"",""ES"")"),"Asuntos del Consumidor")</f>
        <v>Asuntos del Consumidor</v>
      </c>
      <c r="J707" s="26" t="s">
        <v>35</v>
      </c>
      <c r="K707" s="48">
        <v>0.5</v>
      </c>
      <c r="L707" s="49" t="s">
        <v>5625</v>
      </c>
      <c r="M707" s="28" t="s">
        <v>5626</v>
      </c>
      <c r="N707" s="47" t="s">
        <v>5627</v>
      </c>
      <c r="O707" s="47" t="str">
        <f>IFERROR(__xludf.DUMMYFUNCTION("GOOGLETRANSLATE(N707,""EN"",""ES"")"),"Las evaluaciones de la calidad de los combustibles pueden influir en la percepción pública de Repsol.")</f>
        <v>Las evaluaciones de la calidad de los combustibles pueden influir en la percepción pública de Repsol.</v>
      </c>
      <c r="P707" s="30">
        <v>0.0</v>
      </c>
      <c r="Q707" s="31"/>
      <c r="R707" s="31"/>
      <c r="S707" s="53" t="s">
        <v>5582</v>
      </c>
      <c r="T707" s="32" t="s">
        <v>5583</v>
      </c>
    </row>
    <row r="708">
      <c r="A708" s="33" t="s">
        <v>5628</v>
      </c>
      <c r="B708" s="40" t="s">
        <v>1081</v>
      </c>
      <c r="C708" s="41">
        <v>45347.0</v>
      </c>
      <c r="D708" s="40" t="s">
        <v>5629</v>
      </c>
      <c r="E708" s="42" t="s">
        <v>5630</v>
      </c>
      <c r="F708" s="43" t="s">
        <v>5631</v>
      </c>
      <c r="G708" s="43" t="s">
        <v>5632</v>
      </c>
      <c r="H708" s="44" t="s">
        <v>5608</v>
      </c>
      <c r="I708" s="15" t="str">
        <f>IFERROR(__xludf.DUMMYFUNCTION("GOOGLETRANSLATE(H708,""EN"",""ES"")"),"Suministro de energía")</f>
        <v>Suministro de energía</v>
      </c>
      <c r="J708" s="16" t="s">
        <v>35</v>
      </c>
      <c r="K708" s="48">
        <v>0.6</v>
      </c>
      <c r="L708" s="51" t="s">
        <v>5633</v>
      </c>
      <c r="M708" s="34" t="s">
        <v>5634</v>
      </c>
      <c r="N708" s="44" t="s">
        <v>5635</v>
      </c>
      <c r="O708" s="44" t="str">
        <f>IFERROR(__xludf.DUMMYFUNCTION("GOOGLETRANSLATE(N708,""EN"",""ES"")"),"La gestión de las importaciones de petróleo respalda eficazmente la estrategia de cadena de suministro de Repsol.")</f>
        <v>La gestión de las importaciones de petróleo respalda eficazmente la estrategia de cadena de suministro de Repsol.</v>
      </c>
      <c r="P708" s="30">
        <v>0.5</v>
      </c>
      <c r="Q708" s="18" t="str">
        <f>IFERROR(__xludf.DUMMYFUNCTION("GOOGLETRANSLATE(R708,""ES"",""EN"")"),"tankers, maritime terminal")</f>
        <v>tankers, maritime terminal</v>
      </c>
      <c r="R708" s="34" t="s">
        <v>5636</v>
      </c>
      <c r="S708" s="52" t="s">
        <v>5637</v>
      </c>
      <c r="T708" s="22" t="s">
        <v>5638</v>
      </c>
    </row>
    <row r="709">
      <c r="A709" s="23" t="s">
        <v>5639</v>
      </c>
      <c r="B709" s="40" t="s">
        <v>977</v>
      </c>
      <c r="C709" s="41">
        <v>45347.0</v>
      </c>
      <c r="D709" s="40" t="s">
        <v>5640</v>
      </c>
      <c r="E709" s="42" t="s">
        <v>5641</v>
      </c>
      <c r="F709" s="43" t="s">
        <v>5642</v>
      </c>
      <c r="G709" s="43" t="s">
        <v>5643</v>
      </c>
      <c r="H709" s="47" t="s">
        <v>408</v>
      </c>
      <c r="I709" s="25" t="str">
        <f>IFERROR(__xludf.DUMMYFUNCTION("GOOGLETRANSLATE(H709,""EN"",""ES"")"),"Legal")</f>
        <v>Legal</v>
      </c>
      <c r="J709" s="26" t="s">
        <v>35</v>
      </c>
      <c r="K709" s="48">
        <v>0.5</v>
      </c>
      <c r="L709" s="49" t="s">
        <v>5520</v>
      </c>
      <c r="M709" s="31" t="s">
        <v>5521</v>
      </c>
      <c r="N709" s="47" t="s">
        <v>5644</v>
      </c>
      <c r="O709" s="47" t="str">
        <f>IFERROR(__xludf.DUMMYFUNCTION("GOOGLETRANSLATE(N709,""EN"",""ES"")"),"Las acciones judiciales refuerzan la estrategia de Repsol para recuperar daños económicos.")</f>
        <v>Las acciones judiciales refuerzan la estrategia de Repsol para recuperar daños económicos.</v>
      </c>
      <c r="P709" s="30">
        <v>-0.7</v>
      </c>
      <c r="Q709" s="31" t="str">
        <f>IFERROR(__xludf.DUMMYFUNCTION("GOOGLETRANSLATE(R709,""ES"",""EN"")"),"compensation, lawsuit, spill")</f>
        <v>compensation, lawsuit, spill</v>
      </c>
      <c r="R709" s="28" t="s">
        <v>5645</v>
      </c>
      <c r="S709" s="53" t="s">
        <v>5591</v>
      </c>
      <c r="T709" s="32" t="s">
        <v>5592</v>
      </c>
    </row>
    <row r="710">
      <c r="A710" s="33" t="s">
        <v>5646</v>
      </c>
      <c r="B710" s="40" t="s">
        <v>21</v>
      </c>
      <c r="C710" s="41">
        <v>45347.0</v>
      </c>
      <c r="D710" s="40" t="s">
        <v>5647</v>
      </c>
      <c r="E710" s="42" t="s">
        <v>5648</v>
      </c>
      <c r="F710" s="43" t="s">
        <v>5649</v>
      </c>
      <c r="G710" s="43" t="s">
        <v>5650</v>
      </c>
      <c r="H710" s="44" t="s">
        <v>148</v>
      </c>
      <c r="I710" s="15" t="str">
        <f>IFERROR(__xludf.DUMMYFUNCTION("GOOGLETRANSLATE(H710,""EN"",""ES"")"),"Gastronomía")</f>
        <v>Gastronomía</v>
      </c>
      <c r="J710" s="16" t="s">
        <v>27</v>
      </c>
      <c r="K710" s="17">
        <v>0.0</v>
      </c>
      <c r="L710" s="45"/>
      <c r="M710" s="18"/>
      <c r="N710" s="44"/>
      <c r="O710" s="44"/>
      <c r="P710" s="20">
        <v>0.0</v>
      </c>
      <c r="Q710" s="18"/>
      <c r="R710" s="18"/>
      <c r="S710" s="52"/>
      <c r="T710" s="22"/>
    </row>
    <row r="711">
      <c r="A711" s="23" t="s">
        <v>5651</v>
      </c>
      <c r="B711" s="40" t="s">
        <v>5652</v>
      </c>
      <c r="C711" s="41">
        <v>45347.0</v>
      </c>
      <c r="D711" s="40" t="s">
        <v>5653</v>
      </c>
      <c r="E711" s="42" t="s">
        <v>5654</v>
      </c>
      <c r="F711" s="43" t="s">
        <v>5655</v>
      </c>
      <c r="G711" s="43" t="s">
        <v>5656</v>
      </c>
      <c r="H711" s="47" t="s">
        <v>5657</v>
      </c>
      <c r="I711" s="25" t="str">
        <f>IFERROR(__xludf.DUMMYFUNCTION("GOOGLETRANSLATE(H711,""EN"",""ES"")"),"Movilidad")</f>
        <v>Movilidad</v>
      </c>
      <c r="J711" s="26" t="s">
        <v>27</v>
      </c>
      <c r="K711" s="17">
        <v>0.0</v>
      </c>
      <c r="L711" s="54"/>
      <c r="M711" s="31"/>
      <c r="N711" s="47"/>
      <c r="O711" s="47"/>
      <c r="P711" s="20">
        <v>0.0</v>
      </c>
      <c r="Q711" s="31"/>
      <c r="R711" s="31"/>
      <c r="S711" s="53"/>
      <c r="T711" s="32"/>
    </row>
    <row r="712">
      <c r="A712" s="33" t="s">
        <v>5658</v>
      </c>
      <c r="B712" s="40" t="s">
        <v>1970</v>
      </c>
      <c r="C712" s="41">
        <v>45347.0</v>
      </c>
      <c r="D712" s="40" t="s">
        <v>5659</v>
      </c>
      <c r="E712" s="42" t="s">
        <v>5660</v>
      </c>
      <c r="F712" s="43" t="s">
        <v>5661</v>
      </c>
      <c r="G712" s="43" t="s">
        <v>5662</v>
      </c>
      <c r="H712" s="44" t="s">
        <v>148</v>
      </c>
      <c r="I712" s="15" t="str">
        <f>IFERROR(__xludf.DUMMYFUNCTION("GOOGLETRANSLATE(H712,""EN"",""ES"")"),"Gastronomía")</f>
        <v>Gastronomía</v>
      </c>
      <c r="J712" s="16" t="s">
        <v>27</v>
      </c>
      <c r="K712" s="17">
        <v>0.0</v>
      </c>
      <c r="L712" s="45"/>
      <c r="M712" s="18"/>
      <c r="N712" s="44"/>
      <c r="O712" s="44"/>
      <c r="P712" s="20">
        <v>0.0</v>
      </c>
      <c r="Q712" s="18"/>
      <c r="R712" s="18"/>
      <c r="S712" s="52"/>
      <c r="T712" s="22"/>
    </row>
    <row r="713">
      <c r="A713" s="23" t="s">
        <v>5663</v>
      </c>
      <c r="B713" s="40" t="s">
        <v>50</v>
      </c>
      <c r="C713" s="41">
        <v>45347.0</v>
      </c>
      <c r="D713" s="40" t="s">
        <v>5664</v>
      </c>
      <c r="E713" s="42" t="s">
        <v>5665</v>
      </c>
      <c r="F713" s="43" t="s">
        <v>5666</v>
      </c>
      <c r="G713" s="43" t="s">
        <v>5667</v>
      </c>
      <c r="H713" s="47" t="s">
        <v>55</v>
      </c>
      <c r="I713" s="25" t="str">
        <f>IFERROR(__xludf.DUMMYFUNCTION("GOOGLETRANSLATE(H713,""EN"",""ES"")"),"deportes de motor")</f>
        <v>deportes de motor</v>
      </c>
      <c r="J713" s="26" t="s">
        <v>27</v>
      </c>
      <c r="K713" s="17">
        <v>0.0</v>
      </c>
      <c r="L713" s="54"/>
      <c r="M713" s="31"/>
      <c r="N713" s="47"/>
      <c r="O713" s="47"/>
      <c r="P713" s="20">
        <v>0.0</v>
      </c>
      <c r="Q713" s="31"/>
      <c r="R713" s="31"/>
      <c r="S713" s="53"/>
      <c r="T713" s="32"/>
    </row>
    <row r="714">
      <c r="A714" s="33" t="s">
        <v>5668</v>
      </c>
      <c r="B714" s="40" t="s">
        <v>5669</v>
      </c>
      <c r="C714" s="41">
        <v>45347.0</v>
      </c>
      <c r="D714" s="40" t="s">
        <v>5670</v>
      </c>
      <c r="E714" s="42" t="s">
        <v>5671</v>
      </c>
      <c r="F714" s="43" t="s">
        <v>5672</v>
      </c>
      <c r="G714" s="43" t="s">
        <v>5673</v>
      </c>
      <c r="H714" s="44" t="s">
        <v>26</v>
      </c>
      <c r="I714" s="15" t="str">
        <f>IFERROR(__xludf.DUMMYFUNCTION("GOOGLETRANSLATE(H714,""EN"",""ES"")"),"Otro")</f>
        <v>Otro</v>
      </c>
      <c r="J714" s="16" t="s">
        <v>27</v>
      </c>
      <c r="K714" s="17">
        <v>0.0</v>
      </c>
      <c r="L714" s="45"/>
      <c r="M714" s="18"/>
      <c r="N714" s="44"/>
      <c r="O714" s="44"/>
      <c r="P714" s="20">
        <v>0.0</v>
      </c>
      <c r="Q714" s="18"/>
      <c r="R714" s="18"/>
      <c r="S714" s="52"/>
      <c r="T714" s="22"/>
    </row>
    <row r="715">
      <c r="A715" s="23" t="s">
        <v>5674</v>
      </c>
      <c r="B715" s="40" t="s">
        <v>43</v>
      </c>
      <c r="C715" s="41">
        <v>45347.0</v>
      </c>
      <c r="D715" s="40" t="s">
        <v>5675</v>
      </c>
      <c r="E715" s="42" t="s">
        <v>5676</v>
      </c>
      <c r="F715" s="43" t="s">
        <v>5677</v>
      </c>
      <c r="G715" s="43" t="s">
        <v>5678</v>
      </c>
      <c r="H715" s="47" t="s">
        <v>148</v>
      </c>
      <c r="I715" s="25" t="str">
        <f>IFERROR(__xludf.DUMMYFUNCTION("GOOGLETRANSLATE(H715,""EN"",""ES"")"),"Gastronomía")</f>
        <v>Gastronomía</v>
      </c>
      <c r="J715" s="26" t="s">
        <v>27</v>
      </c>
      <c r="K715" s="17">
        <v>0.0</v>
      </c>
      <c r="L715" s="54"/>
      <c r="M715" s="31"/>
      <c r="N715" s="47"/>
      <c r="O715" s="47"/>
      <c r="P715" s="20">
        <v>0.0</v>
      </c>
      <c r="Q715" s="31"/>
      <c r="R715" s="31"/>
      <c r="S715" s="53"/>
      <c r="T715" s="32"/>
    </row>
    <row r="716">
      <c r="A716" s="33" t="s">
        <v>5679</v>
      </c>
      <c r="B716" s="40" t="s">
        <v>217</v>
      </c>
      <c r="C716" s="41">
        <v>45348.0</v>
      </c>
      <c r="D716" s="40" t="s">
        <v>5680</v>
      </c>
      <c r="E716" s="42" t="s">
        <v>5681</v>
      </c>
      <c r="F716" s="43" t="s">
        <v>5682</v>
      </c>
      <c r="G716" s="43" t="s">
        <v>5683</v>
      </c>
      <c r="H716" s="44" t="s">
        <v>598</v>
      </c>
      <c r="I716" s="15" t="str">
        <f>IFERROR(__xludf.DUMMYFUNCTION("GOOGLETRANSLATE(H716,""EN"",""ES"")"),"Expansión empresarial")</f>
        <v>Expansión empresarial</v>
      </c>
      <c r="J716" s="16" t="s">
        <v>35</v>
      </c>
      <c r="K716" s="48">
        <v>0.7</v>
      </c>
      <c r="L716" s="51" t="s">
        <v>5684</v>
      </c>
      <c r="M716" s="34" t="s">
        <v>5685</v>
      </c>
      <c r="N716" s="44" t="s">
        <v>5686</v>
      </c>
      <c r="O716" s="44" t="str">
        <f>IFERROR(__xludf.DUMMYFUNCTION("GOOGLETRANSLATE(N716,""EN"",""ES"")"),"La ampliación de la base de clientes refuerza la presencia de Repsol en el mercado energético.")</f>
        <v>La ampliación de la base de clientes refuerza la presencia de Repsol en el mercado energético.</v>
      </c>
      <c r="P716" s="30">
        <v>0.7</v>
      </c>
      <c r="Q716" s="18" t="str">
        <f>IFERROR(__xludf.DUMMYFUNCTION("GOOGLETRANSLATE(R716,""ES"",""EN"")"),"clients, electricity, gas, objectives")</f>
        <v>clients, electricity, gas, objectives</v>
      </c>
      <c r="R716" s="34" t="s">
        <v>5687</v>
      </c>
      <c r="S716" s="52" t="s">
        <v>5688</v>
      </c>
      <c r="T716" s="22" t="s">
        <v>5689</v>
      </c>
    </row>
    <row r="717">
      <c r="A717" s="23" t="s">
        <v>5690</v>
      </c>
      <c r="B717" s="40" t="s">
        <v>626</v>
      </c>
      <c r="C717" s="41">
        <v>45348.0</v>
      </c>
      <c r="D717" s="40" t="s">
        <v>5691</v>
      </c>
      <c r="E717" s="42" t="s">
        <v>5692</v>
      </c>
      <c r="F717" s="43" t="s">
        <v>5693</v>
      </c>
      <c r="G717" s="43" t="s">
        <v>5694</v>
      </c>
      <c r="H717" s="47" t="s">
        <v>130</v>
      </c>
      <c r="I717" s="25" t="str">
        <f>IFERROR(__xludf.DUMMYFUNCTION("GOOGLETRANSLATE(H717,""EN"",""ES"")"),"Sostenibilidad")</f>
        <v>Sostenibilidad</v>
      </c>
      <c r="J717" s="26" t="s">
        <v>35</v>
      </c>
      <c r="K717" s="48">
        <v>0.7</v>
      </c>
      <c r="L717" s="49" t="s">
        <v>5695</v>
      </c>
      <c r="M717" s="28" t="s">
        <v>5696</v>
      </c>
      <c r="N717" s="47" t="s">
        <v>5697</v>
      </c>
      <c r="O717" s="47" t="str">
        <f>IFERROR(__xludf.DUMMYFUNCTION("GOOGLETRANSLATE(N717,""EN"",""ES"")"),"La ampliación de la producción de energía renovable se alinea con los objetivos de sostenibilidad de Repsol.")</f>
        <v>La ampliación de la producción de energía renovable se alinea con los objetivos de sostenibilidad de Repsol.</v>
      </c>
      <c r="P717" s="30">
        <v>0.9</v>
      </c>
      <c r="Q717" s="31" t="str">
        <f>IFERROR(__xludf.DUMMYFUNCTION("GOOGLETRANSLATE(R717,""ES"",""EN"")"),"renewables, projects, solar energy")</f>
        <v>renewables, projects, solar energy</v>
      </c>
      <c r="R717" s="28" t="s">
        <v>5698</v>
      </c>
      <c r="S717" s="53" t="s">
        <v>5699</v>
      </c>
      <c r="T717" s="32" t="s">
        <v>5700</v>
      </c>
    </row>
    <row r="718">
      <c r="A718" s="33" t="s">
        <v>5701</v>
      </c>
      <c r="B718" s="40" t="s">
        <v>339</v>
      </c>
      <c r="C718" s="41">
        <v>45348.0</v>
      </c>
      <c r="D718" s="40" t="s">
        <v>5702</v>
      </c>
      <c r="E718" s="42" t="s">
        <v>5703</v>
      </c>
      <c r="F718" s="43" t="s">
        <v>5704</v>
      </c>
      <c r="G718" s="43" t="s">
        <v>5705</v>
      </c>
      <c r="H718" s="44" t="s">
        <v>130</v>
      </c>
      <c r="I718" s="15" t="str">
        <f>IFERROR(__xludf.DUMMYFUNCTION("GOOGLETRANSLATE(H718,""EN"",""ES"")"),"Sostenibilidad")</f>
        <v>Sostenibilidad</v>
      </c>
      <c r="J718" s="16" t="s">
        <v>35</v>
      </c>
      <c r="K718" s="48">
        <v>0.7</v>
      </c>
      <c r="L718" s="51" t="s">
        <v>3378</v>
      </c>
      <c r="M718" s="34" t="s">
        <v>1600</v>
      </c>
      <c r="N718" s="44" t="s">
        <v>5706</v>
      </c>
      <c r="O718" s="44" t="str">
        <f>IFERROR(__xludf.DUMMYFUNCTION("GOOGLETRANSLATE(N718,""EN"",""ES"")"),"La ampliación de la infraestructura de combustibles renovables refuerza el compromiso medioambiental de Repsol.")</f>
        <v>La ampliación de la infraestructura de combustibles renovables refuerza el compromiso medioambiental de Repsol.</v>
      </c>
      <c r="P718" s="30">
        <v>0.8</v>
      </c>
      <c r="Q718" s="18" t="str">
        <f>IFERROR(__xludf.DUMMYFUNCTION("GOOGLETRANSLATE(R718,""ES"",""EN"")"),"renewable fuels, energy transition")</f>
        <v>renewable fuels, energy transition</v>
      </c>
      <c r="R718" s="34" t="s">
        <v>5707</v>
      </c>
      <c r="S718" s="52" t="s">
        <v>5708</v>
      </c>
      <c r="T718" s="22" t="s">
        <v>5709</v>
      </c>
    </row>
    <row r="719">
      <c r="A719" s="23" t="s">
        <v>5710</v>
      </c>
      <c r="B719" s="40" t="s">
        <v>1072</v>
      </c>
      <c r="C719" s="41">
        <v>45348.0</v>
      </c>
      <c r="D719" s="40" t="s">
        <v>5711</v>
      </c>
      <c r="E719" s="42" t="s">
        <v>5712</v>
      </c>
      <c r="F719" s="43" t="s">
        <v>5713</v>
      </c>
      <c r="G719" s="43" t="s">
        <v>5714</v>
      </c>
      <c r="H719" s="47" t="s">
        <v>661</v>
      </c>
      <c r="I719" s="25" t="str">
        <f>IFERROR(__xludf.DUMMYFUNCTION("GOOGLETRANSLATE(H719,""EN"",""ES"")"),"Estrategia empresarial")</f>
        <v>Estrategia empresarial</v>
      </c>
      <c r="J719" s="26" t="s">
        <v>35</v>
      </c>
      <c r="K719" s="48">
        <v>0.6</v>
      </c>
      <c r="L719" s="49" t="s">
        <v>5715</v>
      </c>
      <c r="M719" s="28" t="s">
        <v>5716</v>
      </c>
      <c r="N719" s="47" t="s">
        <v>5717</v>
      </c>
      <c r="O719" s="47" t="str">
        <f>IFERROR(__xludf.DUMMYFUNCTION("GOOGLETRANSLATE(N719,""EN"",""ES"")"),"La atracción de inversores globales fortalece la estabilidad financiera y operativa de Repsol.")</f>
        <v>La atracción de inversores globales fortalece la estabilidad financiera y operativa de Repsol.</v>
      </c>
      <c r="P719" s="30">
        <v>0.5</v>
      </c>
      <c r="Q719" s="31" t="str">
        <f>IFERROR(__xludf.DUMMYFUNCTION("GOOGLETRANSLATE(R719,""ES"",""EN"")"),"investors, oil")</f>
        <v>investors, oil</v>
      </c>
      <c r="R719" s="28" t="s">
        <v>5718</v>
      </c>
      <c r="S719" s="53" t="s">
        <v>5719</v>
      </c>
      <c r="T719" s="32" t="s">
        <v>5720</v>
      </c>
    </row>
    <row r="720">
      <c r="A720" s="33" t="s">
        <v>5721</v>
      </c>
      <c r="B720" s="40" t="s">
        <v>21</v>
      </c>
      <c r="C720" s="41">
        <v>45348.0</v>
      </c>
      <c r="D720" s="40" t="s">
        <v>5722</v>
      </c>
      <c r="E720" s="42" t="s">
        <v>5723</v>
      </c>
      <c r="F720" s="43" t="s">
        <v>5724</v>
      </c>
      <c r="G720" s="43" t="s">
        <v>5725</v>
      </c>
      <c r="H720" s="44" t="s">
        <v>148</v>
      </c>
      <c r="I720" s="15" t="str">
        <f>IFERROR(__xludf.DUMMYFUNCTION("GOOGLETRANSLATE(H720,""EN"",""ES"")"),"Gastronomía")</f>
        <v>Gastronomía</v>
      </c>
      <c r="J720" s="16" t="s">
        <v>27</v>
      </c>
      <c r="K720" s="17">
        <v>0.0</v>
      </c>
      <c r="L720" s="45"/>
      <c r="M720" s="18"/>
      <c r="N720" s="44"/>
      <c r="O720" s="44"/>
      <c r="P720" s="20">
        <v>0.0</v>
      </c>
      <c r="Q720" s="18"/>
      <c r="R720" s="18"/>
      <c r="S720" s="52"/>
      <c r="T720" s="22"/>
    </row>
    <row r="721">
      <c r="A721" s="23" t="s">
        <v>5726</v>
      </c>
      <c r="B721" s="40" t="s">
        <v>4984</v>
      </c>
      <c r="C721" s="41">
        <v>45348.0</v>
      </c>
      <c r="D721" s="40" t="s">
        <v>5727</v>
      </c>
      <c r="E721" s="42" t="s">
        <v>5728</v>
      </c>
      <c r="F721" s="43" t="s">
        <v>5729</v>
      </c>
      <c r="G721" s="43" t="s">
        <v>5730</v>
      </c>
      <c r="H721" s="47" t="s">
        <v>148</v>
      </c>
      <c r="I721" s="25" t="str">
        <f>IFERROR(__xludf.DUMMYFUNCTION("GOOGLETRANSLATE(H721,""EN"",""ES"")"),"Gastronomía")</f>
        <v>Gastronomía</v>
      </c>
      <c r="J721" s="26" t="s">
        <v>27</v>
      </c>
      <c r="K721" s="17">
        <v>0.0</v>
      </c>
      <c r="L721" s="54"/>
      <c r="M721" s="31"/>
      <c r="N721" s="47"/>
      <c r="O721" s="47"/>
      <c r="P721" s="20">
        <v>0.0</v>
      </c>
      <c r="Q721" s="31"/>
      <c r="R721" s="31"/>
      <c r="S721" s="53"/>
      <c r="T721" s="32"/>
    </row>
    <row r="722">
      <c r="A722" s="33" t="s">
        <v>5731</v>
      </c>
      <c r="B722" s="40" t="s">
        <v>2792</v>
      </c>
      <c r="C722" s="41">
        <v>45348.0</v>
      </c>
      <c r="D722" s="40" t="s">
        <v>5732</v>
      </c>
      <c r="E722" s="42" t="s">
        <v>5733</v>
      </c>
      <c r="F722" s="43" t="s">
        <v>5734</v>
      </c>
      <c r="G722" s="43" t="s">
        <v>5735</v>
      </c>
      <c r="H722" s="44" t="s">
        <v>148</v>
      </c>
      <c r="I722" s="15" t="str">
        <f>IFERROR(__xludf.DUMMYFUNCTION("GOOGLETRANSLATE(H722,""EN"",""ES"")"),"Gastronomía")</f>
        <v>Gastronomía</v>
      </c>
      <c r="J722" s="16" t="s">
        <v>27</v>
      </c>
      <c r="K722" s="17">
        <v>0.0</v>
      </c>
      <c r="L722" s="45"/>
      <c r="M722" s="18"/>
      <c r="N722" s="44"/>
      <c r="O722" s="44"/>
      <c r="P722" s="20">
        <v>0.0</v>
      </c>
      <c r="Q722" s="18"/>
      <c r="R722" s="18"/>
      <c r="S722" s="52"/>
      <c r="T722" s="22"/>
    </row>
    <row r="723">
      <c r="A723" s="23" t="s">
        <v>5736</v>
      </c>
      <c r="B723" s="40" t="s">
        <v>5737</v>
      </c>
      <c r="C723" s="41">
        <v>45348.0</v>
      </c>
      <c r="D723" s="40" t="s">
        <v>5738</v>
      </c>
      <c r="E723" s="42" t="s">
        <v>5739</v>
      </c>
      <c r="F723" s="43" t="s">
        <v>5740</v>
      </c>
      <c r="G723" s="43" t="s">
        <v>5741</v>
      </c>
      <c r="H723" s="47" t="s">
        <v>899</v>
      </c>
      <c r="I723" s="25" t="str">
        <f>IFERROR(__xludf.DUMMYFUNCTION("GOOGLETRANSLATE(H723,""EN"",""ES"")"),"Relaciones Laborales")</f>
        <v>Relaciones Laborales</v>
      </c>
      <c r="J723" s="26" t="s">
        <v>27</v>
      </c>
      <c r="K723" s="17">
        <v>0.0</v>
      </c>
      <c r="L723" s="54"/>
      <c r="M723" s="31"/>
      <c r="N723" s="47"/>
      <c r="O723" s="47"/>
      <c r="P723" s="20">
        <v>0.0</v>
      </c>
      <c r="Q723" s="31"/>
      <c r="R723" s="31"/>
      <c r="S723" s="53"/>
      <c r="T723" s="32"/>
    </row>
    <row r="724">
      <c r="A724" s="33" t="s">
        <v>5742</v>
      </c>
      <c r="B724" s="40" t="s">
        <v>499</v>
      </c>
      <c r="C724" s="41">
        <v>45348.0</v>
      </c>
      <c r="D724" s="40" t="s">
        <v>5743</v>
      </c>
      <c r="E724" s="42" t="s">
        <v>5744</v>
      </c>
      <c r="F724" s="43" t="s">
        <v>5745</v>
      </c>
      <c r="G724" s="43" t="s">
        <v>5746</v>
      </c>
      <c r="H724" s="44" t="s">
        <v>5747</v>
      </c>
      <c r="I724" s="15" t="str">
        <f>IFERROR(__xludf.DUMMYFUNCTION("GOOGLETRANSLATE(H724,""EN"",""ES"")"),"Mercado energético")</f>
        <v>Mercado energético</v>
      </c>
      <c r="J724" s="16" t="s">
        <v>35</v>
      </c>
      <c r="K724" s="48">
        <v>0.0</v>
      </c>
      <c r="L724" s="45"/>
      <c r="M724" s="18"/>
      <c r="N724" s="44" t="s">
        <v>5748</v>
      </c>
      <c r="O724" s="44" t="str">
        <f>IFERROR(__xludf.DUMMYFUNCTION("GOOGLETRANSLATE(N724,""EN"",""ES"")"),"Los acuerdos energéticos de competidores no impactan en el negocio de Repsol.")</f>
        <v>Los acuerdos energéticos de competidores no impactan en el negocio de Repsol.</v>
      </c>
      <c r="P724" s="30">
        <v>0.0</v>
      </c>
      <c r="Q724" s="18"/>
      <c r="R724" s="18"/>
      <c r="S724" s="52" t="s">
        <v>5582</v>
      </c>
      <c r="T724" s="22" t="s">
        <v>5583</v>
      </c>
    </row>
    <row r="725">
      <c r="A725" s="23" t="s">
        <v>5749</v>
      </c>
      <c r="B725" s="40" t="s">
        <v>21</v>
      </c>
      <c r="C725" s="41">
        <v>45348.0</v>
      </c>
      <c r="D725" s="40" t="s">
        <v>5750</v>
      </c>
      <c r="E725" s="42" t="s">
        <v>5751</v>
      </c>
      <c r="F725" s="43" t="s">
        <v>5752</v>
      </c>
      <c r="G725" s="43" t="s">
        <v>5753</v>
      </c>
      <c r="H725" s="47" t="s">
        <v>26</v>
      </c>
      <c r="I725" s="25" t="str">
        <f>IFERROR(__xludf.DUMMYFUNCTION("GOOGLETRANSLATE(H725,""EN"",""ES"")"),"Otro")</f>
        <v>Otro</v>
      </c>
      <c r="J725" s="26" t="s">
        <v>27</v>
      </c>
      <c r="K725" s="17">
        <v>0.0</v>
      </c>
      <c r="L725" s="54"/>
      <c r="M725" s="31"/>
      <c r="N725" s="47"/>
      <c r="O725" s="47"/>
      <c r="P725" s="20">
        <v>0.0</v>
      </c>
      <c r="Q725" s="31"/>
      <c r="R725" s="31"/>
      <c r="S725" s="53"/>
      <c r="T725" s="32"/>
    </row>
    <row r="726">
      <c r="A726" s="33" t="s">
        <v>5754</v>
      </c>
      <c r="B726" s="40" t="s">
        <v>1142</v>
      </c>
      <c r="C726" s="41">
        <v>45349.0</v>
      </c>
      <c r="D726" s="40" t="s">
        <v>5755</v>
      </c>
      <c r="E726" s="42" t="s">
        <v>5756</v>
      </c>
      <c r="F726" s="43" t="s">
        <v>5757</v>
      </c>
      <c r="G726" s="43" t="s">
        <v>5758</v>
      </c>
      <c r="H726" s="44" t="s">
        <v>2555</v>
      </c>
      <c r="I726" s="15" t="str">
        <f>IFERROR(__xludf.DUMMYFUNCTION("GOOGLETRANSLATE(H726,""EN"",""ES"")"),"Asuntos Corporativos")</f>
        <v>Asuntos Corporativos</v>
      </c>
      <c r="J726" s="16" t="s">
        <v>35</v>
      </c>
      <c r="K726" s="48">
        <v>-0.5</v>
      </c>
      <c r="L726" s="51" t="s">
        <v>5173</v>
      </c>
      <c r="M726" s="34" t="s">
        <v>5174</v>
      </c>
      <c r="N726" s="44" t="s">
        <v>5175</v>
      </c>
      <c r="O726" s="44" t="str">
        <f>IFERROR(__xludf.DUMMYFUNCTION("GOOGLETRANSLATE(N726,""EN"",""ES"")"),"Las discusiones sobre la remuneración de los ejecutivos pueden generar reacciones encontradas entre las partes interesadas.")</f>
        <v>Las discusiones sobre la remuneración de los ejecutivos pueden generar reacciones encontradas entre las partes interesadas.</v>
      </c>
      <c r="P726" s="30">
        <v>-0.3</v>
      </c>
      <c r="Q726" s="18" t="str">
        <f>IFERROR(__xludf.DUMMYFUNCTION("GOOGLETRANSLATE(R726,""ES"",""EN"")"),"CEO, remuneration")</f>
        <v>CEO, remuneration</v>
      </c>
      <c r="R726" s="34" t="s">
        <v>5759</v>
      </c>
      <c r="S726" s="52" t="s">
        <v>5760</v>
      </c>
      <c r="T726" s="22" t="s">
        <v>5761</v>
      </c>
    </row>
    <row r="727">
      <c r="A727" s="23" t="s">
        <v>5762</v>
      </c>
      <c r="B727" s="40" t="s">
        <v>21</v>
      </c>
      <c r="C727" s="41">
        <v>45349.0</v>
      </c>
      <c r="D727" s="40" t="s">
        <v>5763</v>
      </c>
      <c r="E727" s="42" t="s">
        <v>5764</v>
      </c>
      <c r="F727" s="43" t="s">
        <v>5765</v>
      </c>
      <c r="G727" s="43" t="s">
        <v>5766</v>
      </c>
      <c r="H727" s="47" t="s">
        <v>148</v>
      </c>
      <c r="I727" s="25" t="str">
        <f>IFERROR(__xludf.DUMMYFUNCTION("GOOGLETRANSLATE(H727,""EN"",""ES"")"),"Gastronomía")</f>
        <v>Gastronomía</v>
      </c>
      <c r="J727" s="26" t="s">
        <v>27</v>
      </c>
      <c r="K727" s="17">
        <v>0.0</v>
      </c>
      <c r="L727" s="54"/>
      <c r="M727" s="31"/>
      <c r="N727" s="47"/>
      <c r="O727" s="47"/>
      <c r="P727" s="20">
        <v>0.0</v>
      </c>
      <c r="Q727" s="31"/>
      <c r="R727" s="31"/>
      <c r="S727" s="53"/>
      <c r="T727" s="32"/>
    </row>
    <row r="728">
      <c r="A728" s="33" t="s">
        <v>5767</v>
      </c>
      <c r="B728" s="40" t="s">
        <v>1072</v>
      </c>
      <c r="C728" s="41">
        <v>45349.0</v>
      </c>
      <c r="D728" s="40" t="s">
        <v>5768</v>
      </c>
      <c r="E728" s="42" t="s">
        <v>5769</v>
      </c>
      <c r="F728" s="43" t="s">
        <v>5770</v>
      </c>
      <c r="G728" s="43" t="s">
        <v>5771</v>
      </c>
      <c r="H728" s="44" t="s">
        <v>48</v>
      </c>
      <c r="I728" s="15" t="str">
        <f>IFERROR(__xludf.DUMMYFUNCTION("GOOGLETRANSLATE(H728,""EN"",""ES"")"),"Finanzas")</f>
        <v>Finanzas</v>
      </c>
      <c r="J728" s="16" t="s">
        <v>35</v>
      </c>
      <c r="K728" s="48">
        <v>0.7</v>
      </c>
      <c r="L728" s="51" t="s">
        <v>5772</v>
      </c>
      <c r="M728" s="34" t="s">
        <v>5773</v>
      </c>
      <c r="N728" s="44" t="s">
        <v>5774</v>
      </c>
      <c r="O728" s="44" t="str">
        <f>IFERROR(__xludf.DUMMYFUNCTION("GOOGLETRANSLATE(N728,""EN"",""ES"")"),"El buen comportamiento de las acciones refuerza la confianza de los inversores.")</f>
        <v>El buen comportamiento de las acciones refuerza la confianza de los inversores.</v>
      </c>
      <c r="P728" s="30">
        <v>0.7</v>
      </c>
      <c r="Q728" s="18" t="str">
        <f>IFERROR(__xludf.DUMMYFUNCTION("GOOGLETRANSLATE(R728,""ES"",""EN"")"),"Stock market, strategic plan")</f>
        <v>Stock market, strategic plan</v>
      </c>
      <c r="R728" s="34" t="s">
        <v>5775</v>
      </c>
      <c r="S728" s="52" t="s">
        <v>5776</v>
      </c>
      <c r="T728" s="22" t="s">
        <v>5777</v>
      </c>
    </row>
    <row r="729">
      <c r="A729" s="23" t="s">
        <v>5778</v>
      </c>
      <c r="B729" s="40" t="s">
        <v>2973</v>
      </c>
      <c r="C729" s="41">
        <v>45349.0</v>
      </c>
      <c r="D729" s="40" t="s">
        <v>5779</v>
      </c>
      <c r="E729" s="42" t="s">
        <v>5780</v>
      </c>
      <c r="F729" s="43" t="s">
        <v>5781</v>
      </c>
      <c r="G729" s="43" t="s">
        <v>5782</v>
      </c>
      <c r="H729" s="47" t="s">
        <v>130</v>
      </c>
      <c r="I729" s="25" t="str">
        <f>IFERROR(__xludf.DUMMYFUNCTION("GOOGLETRANSLATE(H729,""EN"",""ES"")"),"Sostenibilidad")</f>
        <v>Sostenibilidad</v>
      </c>
      <c r="J729" s="26" t="s">
        <v>35</v>
      </c>
      <c r="K729" s="48">
        <v>0.0</v>
      </c>
      <c r="L729" s="54"/>
      <c r="M729" s="31"/>
      <c r="N729" s="47" t="s">
        <v>5783</v>
      </c>
      <c r="O729" s="47" t="str">
        <f>IFERROR(__xludf.DUMMYFUNCTION("GOOGLETRANSLATE(N729,""EN"",""ES"")"),"Los modelos de costes del hidrógeno no impactan directamente en el negocio de Repsol.")</f>
        <v>Los modelos de costes del hidrógeno no impactan directamente en el negocio de Repsol.</v>
      </c>
      <c r="P729" s="30">
        <v>0.0</v>
      </c>
      <c r="Q729" s="31"/>
      <c r="R729" s="31"/>
      <c r="S729" s="53" t="s">
        <v>5582</v>
      </c>
      <c r="T729" s="32" t="s">
        <v>5583</v>
      </c>
    </row>
    <row r="730">
      <c r="A730" s="33" t="s">
        <v>5784</v>
      </c>
      <c r="B730" s="40" t="s">
        <v>163</v>
      </c>
      <c r="C730" s="41">
        <v>45349.0</v>
      </c>
      <c r="D730" s="40" t="s">
        <v>5785</v>
      </c>
      <c r="E730" s="42" t="s">
        <v>5786</v>
      </c>
      <c r="F730" s="43" t="s">
        <v>5787</v>
      </c>
      <c r="G730" s="43" t="s">
        <v>5788</v>
      </c>
      <c r="H730" s="44" t="s">
        <v>26</v>
      </c>
      <c r="I730" s="15" t="str">
        <f>IFERROR(__xludf.DUMMYFUNCTION("GOOGLETRANSLATE(H730,""EN"",""ES"")"),"Otro")</f>
        <v>Otro</v>
      </c>
      <c r="J730" s="16" t="s">
        <v>27</v>
      </c>
      <c r="K730" s="17">
        <v>0.0</v>
      </c>
      <c r="L730" s="45"/>
      <c r="M730" s="18"/>
      <c r="N730" s="44"/>
      <c r="O730" s="44"/>
      <c r="P730" s="20">
        <v>0.0</v>
      </c>
      <c r="Q730" s="18"/>
      <c r="R730" s="18"/>
      <c r="S730" s="52"/>
      <c r="T730" s="22"/>
    </row>
    <row r="731">
      <c r="A731" s="23" t="s">
        <v>5789</v>
      </c>
      <c r="B731" s="40" t="s">
        <v>431</v>
      </c>
      <c r="C731" s="41">
        <v>45349.0</v>
      </c>
      <c r="D731" s="40" t="s">
        <v>5790</v>
      </c>
      <c r="E731" s="42" t="s">
        <v>5791</v>
      </c>
      <c r="F731" s="43" t="s">
        <v>5792</v>
      </c>
      <c r="G731" s="43" t="s">
        <v>5793</v>
      </c>
      <c r="H731" s="47" t="s">
        <v>5794</v>
      </c>
      <c r="I731" s="25" t="str">
        <f>IFERROR(__xludf.DUMMYFUNCTION("GOOGLETRANSLATE(H731,""EN"",""ES"")"),"Clasificaciones de empresas")</f>
        <v>Clasificaciones de empresas</v>
      </c>
      <c r="J731" s="26" t="s">
        <v>27</v>
      </c>
      <c r="K731" s="17">
        <v>0.0</v>
      </c>
      <c r="L731" s="54"/>
      <c r="M731" s="31"/>
      <c r="N731" s="47"/>
      <c r="O731" s="47"/>
      <c r="P731" s="20">
        <v>0.0</v>
      </c>
      <c r="Q731" s="31"/>
      <c r="R731" s="31"/>
      <c r="S731" s="53"/>
      <c r="T731" s="32"/>
    </row>
    <row r="732">
      <c r="A732" s="33" t="s">
        <v>5795</v>
      </c>
      <c r="B732" s="40" t="s">
        <v>1081</v>
      </c>
      <c r="C732" s="41">
        <v>45349.0</v>
      </c>
      <c r="D732" s="40" t="s">
        <v>5796</v>
      </c>
      <c r="E732" s="42" t="s">
        <v>5797</v>
      </c>
      <c r="F732" s="43" t="s">
        <v>5798</v>
      </c>
      <c r="G732" s="43" t="s">
        <v>5799</v>
      </c>
      <c r="H732" s="44" t="s">
        <v>4581</v>
      </c>
      <c r="I732" s="15" t="str">
        <f>IFERROR(__xludf.DUMMYFUNCTION("GOOGLETRANSLATE(H732,""EN"",""ES"")"),"Infraestructura Energética")</f>
        <v>Infraestructura Energética</v>
      </c>
      <c r="J732" s="16" t="s">
        <v>35</v>
      </c>
      <c r="K732" s="48">
        <v>0.6</v>
      </c>
      <c r="L732" s="51" t="s">
        <v>5800</v>
      </c>
      <c r="M732" s="34" t="s">
        <v>5801</v>
      </c>
      <c r="N732" s="44" t="s">
        <v>5802</v>
      </c>
      <c r="O732" s="44" t="str">
        <f>IFERROR(__xludf.DUMMYFUNCTION("GOOGLETRANSLATE(N732,""EN"",""ES"")"),"La creciente actividad portuaria refuerza la capacidad logística de Repsol.")</f>
        <v>La creciente actividad portuaria refuerza la capacidad logística de Repsol.</v>
      </c>
      <c r="P732" s="30">
        <v>0.5</v>
      </c>
      <c r="Q732" s="18" t="str">
        <f>IFERROR(__xludf.DUMMYFUNCTION("GOOGLETRANSLATE(R732,""ES"",""EN"")"),"Punta Langosteira, dock")</f>
        <v>Punta Langosteira, dock</v>
      </c>
      <c r="R732" s="34" t="s">
        <v>5803</v>
      </c>
      <c r="S732" s="52" t="s">
        <v>5637</v>
      </c>
      <c r="T732" s="22" t="s">
        <v>5638</v>
      </c>
    </row>
    <row r="733">
      <c r="A733" s="23" t="s">
        <v>5804</v>
      </c>
      <c r="B733" s="40" t="s">
        <v>977</v>
      </c>
      <c r="C733" s="41">
        <v>45349.0</v>
      </c>
      <c r="D733" s="40" t="s">
        <v>5805</v>
      </c>
      <c r="E733" s="42" t="s">
        <v>5806</v>
      </c>
      <c r="F733" s="43" t="s">
        <v>5807</v>
      </c>
      <c r="G733" s="43" t="s">
        <v>5808</v>
      </c>
      <c r="H733" s="47" t="s">
        <v>395</v>
      </c>
      <c r="I733" s="25" t="str">
        <f>IFERROR(__xludf.DUMMYFUNCTION("GOOGLETRANSLATE(H733,""EN"",""ES"")"),"Ambiente")</f>
        <v>Ambiente</v>
      </c>
      <c r="J733" s="26" t="s">
        <v>35</v>
      </c>
      <c r="K733" s="48">
        <v>-0.8</v>
      </c>
      <c r="L733" s="49" t="s">
        <v>5809</v>
      </c>
      <c r="M733" s="28" t="s">
        <v>5810</v>
      </c>
      <c r="N733" s="47" t="s">
        <v>5811</v>
      </c>
      <c r="O733" s="47" t="str">
        <f>IFERROR(__xludf.DUMMYFUNCTION("GOOGLETRANSLATE(N733,""EN"",""ES"")"),"Los continuos daños medioambientales y las demandas judiciales dañan la imagen pública de Repsol.")</f>
        <v>Los continuos daños medioambientales y las demandas judiciales dañan la imagen pública de Repsol.</v>
      </c>
      <c r="P733" s="30">
        <v>-0.8</v>
      </c>
      <c r="Q733" s="31" t="str">
        <f>IFERROR(__xludf.DUMMYFUNCTION("GOOGLETRANSLATE(R733,""ES"",""EN"")"),"spill, fishermen, environmental impact")</f>
        <v>spill, fishermen, environmental impact</v>
      </c>
      <c r="R733" s="28" t="s">
        <v>5812</v>
      </c>
      <c r="S733" s="53" t="s">
        <v>5813</v>
      </c>
      <c r="T733" s="32" t="s">
        <v>5814</v>
      </c>
    </row>
    <row r="734">
      <c r="A734" s="33" t="s">
        <v>5815</v>
      </c>
      <c r="B734" s="40" t="s">
        <v>21</v>
      </c>
      <c r="C734" s="41">
        <v>45349.0</v>
      </c>
      <c r="D734" s="40" t="s">
        <v>5816</v>
      </c>
      <c r="E734" s="42" t="s">
        <v>5817</v>
      </c>
      <c r="F734" s="43" t="s">
        <v>5818</v>
      </c>
      <c r="G734" s="43" t="s">
        <v>5819</v>
      </c>
      <c r="H734" s="44" t="s">
        <v>148</v>
      </c>
      <c r="I734" s="15" t="str">
        <f>IFERROR(__xludf.DUMMYFUNCTION("GOOGLETRANSLATE(H734,""EN"",""ES"")"),"Gastronomía")</f>
        <v>Gastronomía</v>
      </c>
      <c r="J734" s="16" t="s">
        <v>27</v>
      </c>
      <c r="K734" s="17">
        <v>0.0</v>
      </c>
      <c r="L734" s="45"/>
      <c r="M734" s="18"/>
      <c r="N734" s="44"/>
      <c r="O734" s="44"/>
      <c r="P734" s="20">
        <v>0.0</v>
      </c>
      <c r="Q734" s="18"/>
      <c r="R734" s="18"/>
      <c r="S734" s="52"/>
      <c r="T734" s="22"/>
    </row>
    <row r="735">
      <c r="A735" s="23" t="s">
        <v>5820</v>
      </c>
      <c r="B735" s="40" t="s">
        <v>5821</v>
      </c>
      <c r="C735" s="41">
        <v>45349.0</v>
      </c>
      <c r="D735" s="40" t="s">
        <v>5822</v>
      </c>
      <c r="E735" s="42" t="s">
        <v>5823</v>
      </c>
      <c r="F735" s="43" t="s">
        <v>5824</v>
      </c>
      <c r="G735" s="43" t="s">
        <v>5825</v>
      </c>
      <c r="H735" s="47" t="s">
        <v>2677</v>
      </c>
      <c r="I735" s="25" t="str">
        <f>IFERROR(__xludf.DUMMYFUNCTION("GOOGLETRANSLATE(H735,""EN"",""ES"")"),"Responsabilidad Social")</f>
        <v>Responsabilidad Social</v>
      </c>
      <c r="J735" s="26" t="s">
        <v>27</v>
      </c>
      <c r="K735" s="17">
        <v>0.0</v>
      </c>
      <c r="L735" s="54"/>
      <c r="M735" s="31"/>
      <c r="N735" s="47"/>
      <c r="O735" s="47"/>
      <c r="P735" s="20">
        <v>0.0</v>
      </c>
      <c r="Q735" s="31"/>
      <c r="R735" s="31"/>
      <c r="S735" s="53"/>
      <c r="T735" s="32"/>
    </row>
    <row r="736">
      <c r="A736" s="33" t="s">
        <v>5826</v>
      </c>
      <c r="B736" s="40" t="s">
        <v>163</v>
      </c>
      <c r="C736" s="41">
        <v>45350.0</v>
      </c>
      <c r="D736" s="40" t="s">
        <v>5827</v>
      </c>
      <c r="E736" s="42" t="s">
        <v>5828</v>
      </c>
      <c r="F736" s="43" t="s">
        <v>5829</v>
      </c>
      <c r="G736" s="43" t="s">
        <v>5830</v>
      </c>
      <c r="H736" s="44" t="s">
        <v>130</v>
      </c>
      <c r="I736" s="15" t="str">
        <f>IFERROR(__xludf.DUMMYFUNCTION("GOOGLETRANSLATE(H736,""EN"",""ES"")"),"Sostenibilidad")</f>
        <v>Sostenibilidad</v>
      </c>
      <c r="J736" s="16" t="s">
        <v>35</v>
      </c>
      <c r="K736" s="48">
        <v>0.7</v>
      </c>
      <c r="L736" s="51" t="s">
        <v>5831</v>
      </c>
      <c r="M736" s="34" t="s">
        <v>5832</v>
      </c>
      <c r="N736" s="44" t="s">
        <v>5833</v>
      </c>
      <c r="O736" s="44" t="str">
        <f>IFERROR(__xludf.DUMMYFUNCTION("GOOGLETRANSLATE(N736,""EN"",""ES"")"),"Apoyar iniciativas de energías renovables en condiciones extremas refuerza la imagen verde de Repsol.")</f>
        <v>Apoyar iniciativas de energías renovables en condiciones extremas refuerza la imagen verde de Repsol.</v>
      </c>
      <c r="P736" s="30">
        <v>0.7</v>
      </c>
      <c r="Q736" s="18" t="str">
        <f>IFERROR(__xludf.DUMMYFUNCTION("GOOGLETRANSLATE(R736,""ES"",""EN"")"),"renewable fuels, Antarctica")</f>
        <v>renewable fuels, Antarctica</v>
      </c>
      <c r="R736" s="34" t="s">
        <v>5834</v>
      </c>
      <c r="S736" s="52" t="s">
        <v>5835</v>
      </c>
      <c r="T736" s="22" t="s">
        <v>5836</v>
      </c>
    </row>
    <row r="737">
      <c r="A737" s="23" t="s">
        <v>5837</v>
      </c>
      <c r="B737" s="40" t="s">
        <v>499</v>
      </c>
      <c r="C737" s="41">
        <v>45350.0</v>
      </c>
      <c r="D737" s="40" t="s">
        <v>5838</v>
      </c>
      <c r="E737" s="42" t="s">
        <v>5839</v>
      </c>
      <c r="F737" s="43" t="s">
        <v>5840</v>
      </c>
      <c r="G737" s="43" t="s">
        <v>5841</v>
      </c>
      <c r="H737" s="47" t="s">
        <v>130</v>
      </c>
      <c r="I737" s="25" t="str">
        <f>IFERROR(__xludf.DUMMYFUNCTION("GOOGLETRANSLATE(H737,""EN"",""ES"")"),"Sostenibilidad")</f>
        <v>Sostenibilidad</v>
      </c>
      <c r="J737" s="26" t="s">
        <v>35</v>
      </c>
      <c r="K737" s="48">
        <v>0.7</v>
      </c>
      <c r="L737" s="49" t="s">
        <v>5842</v>
      </c>
      <c r="M737" s="28" t="s">
        <v>5843</v>
      </c>
      <c r="N737" s="47" t="s">
        <v>5844</v>
      </c>
      <c r="O737" s="47" t="str">
        <f>IFERROR(__xludf.DUMMYFUNCTION("GOOGLETRANSLATE(N737,""EN"",""ES"")"),"La ampliación de las aplicaciones de combustibles renovables refuerza el liderazgo en sostenibilidad de Repsol.")</f>
        <v>La ampliación de las aplicaciones de combustibles renovables refuerza el liderazgo en sostenibilidad de Repsol.</v>
      </c>
      <c r="P737" s="30">
        <v>0.7</v>
      </c>
      <c r="Q737" s="31" t="str">
        <f>IFERROR(__xludf.DUMMYFUNCTION("GOOGLETRANSLATE(R737,""ES"",""EN"")"),"renewable fuels, Antarctica")</f>
        <v>renewable fuels, Antarctica</v>
      </c>
      <c r="R737" s="28" t="s">
        <v>5834</v>
      </c>
      <c r="S737" s="53" t="s">
        <v>5845</v>
      </c>
      <c r="T737" s="32" t="s">
        <v>5846</v>
      </c>
    </row>
    <row r="738">
      <c r="A738" s="33" t="s">
        <v>5847</v>
      </c>
      <c r="B738" s="40" t="s">
        <v>5848</v>
      </c>
      <c r="C738" s="41">
        <v>45350.0</v>
      </c>
      <c r="D738" s="40" t="s">
        <v>5849</v>
      </c>
      <c r="E738" s="42" t="s">
        <v>5850</v>
      </c>
      <c r="F738" s="43" t="s">
        <v>5851</v>
      </c>
      <c r="G738" s="43" t="s">
        <v>5852</v>
      </c>
      <c r="H738" s="44" t="s">
        <v>148</v>
      </c>
      <c r="I738" s="15" t="str">
        <f>IFERROR(__xludf.DUMMYFUNCTION("GOOGLETRANSLATE(H738,""EN"",""ES"")"),"Gastronomía")</f>
        <v>Gastronomía</v>
      </c>
      <c r="J738" s="16" t="s">
        <v>27</v>
      </c>
      <c r="K738" s="17">
        <v>0.0</v>
      </c>
      <c r="L738" s="45"/>
      <c r="M738" s="18"/>
      <c r="N738" s="44"/>
      <c r="O738" s="44"/>
      <c r="P738" s="20">
        <v>0.0</v>
      </c>
      <c r="Q738" s="18"/>
      <c r="R738" s="18"/>
      <c r="S738" s="52"/>
      <c r="T738" s="22"/>
    </row>
    <row r="739">
      <c r="A739" s="23" t="s">
        <v>5853</v>
      </c>
      <c r="B739" s="40" t="s">
        <v>21</v>
      </c>
      <c r="C739" s="41">
        <v>45350.0</v>
      </c>
      <c r="D739" s="40" t="s">
        <v>5854</v>
      </c>
      <c r="E739" s="42" t="s">
        <v>5855</v>
      </c>
      <c r="F739" s="43" t="s">
        <v>5856</v>
      </c>
      <c r="G739" s="43" t="s">
        <v>5857</v>
      </c>
      <c r="H739" s="47" t="s">
        <v>148</v>
      </c>
      <c r="I739" s="25" t="str">
        <f>IFERROR(__xludf.DUMMYFUNCTION("GOOGLETRANSLATE(H739,""EN"",""ES"")"),"Gastronomía")</f>
        <v>Gastronomía</v>
      </c>
      <c r="J739" s="26" t="s">
        <v>27</v>
      </c>
      <c r="K739" s="17">
        <v>0.0</v>
      </c>
      <c r="L739" s="54"/>
      <c r="M739" s="31"/>
      <c r="N739" s="47"/>
      <c r="O739" s="47"/>
      <c r="P739" s="20">
        <v>0.0</v>
      </c>
      <c r="Q739" s="31"/>
      <c r="R739" s="31"/>
      <c r="S739" s="53"/>
      <c r="T739" s="32"/>
    </row>
    <row r="740">
      <c r="A740" s="33" t="s">
        <v>5858</v>
      </c>
      <c r="B740" s="40" t="s">
        <v>2952</v>
      </c>
      <c r="C740" s="41">
        <v>45350.0</v>
      </c>
      <c r="D740" s="40" t="s">
        <v>5859</v>
      </c>
      <c r="E740" s="42" t="s">
        <v>5860</v>
      </c>
      <c r="F740" s="43" t="s">
        <v>5861</v>
      </c>
      <c r="G740" s="43" t="s">
        <v>5862</v>
      </c>
      <c r="H740" s="44" t="s">
        <v>148</v>
      </c>
      <c r="I740" s="15" t="str">
        <f>IFERROR(__xludf.DUMMYFUNCTION("GOOGLETRANSLATE(H740,""EN"",""ES"")"),"Gastronomía")</f>
        <v>Gastronomía</v>
      </c>
      <c r="J740" s="16" t="s">
        <v>27</v>
      </c>
      <c r="K740" s="17">
        <v>0.0</v>
      </c>
      <c r="L740" s="45"/>
      <c r="M740" s="18"/>
      <c r="N740" s="44"/>
      <c r="O740" s="44"/>
      <c r="P740" s="20">
        <v>0.0</v>
      </c>
      <c r="Q740" s="18"/>
      <c r="R740" s="18"/>
      <c r="S740" s="52"/>
      <c r="T740" s="22"/>
    </row>
    <row r="741">
      <c r="A741" s="23" t="s">
        <v>5863</v>
      </c>
      <c r="B741" s="40" t="s">
        <v>1768</v>
      </c>
      <c r="C741" s="41">
        <v>45350.0</v>
      </c>
      <c r="D741" s="40" t="s">
        <v>5864</v>
      </c>
      <c r="E741" s="42" t="s">
        <v>5865</v>
      </c>
      <c r="F741" s="43" t="s">
        <v>5866</v>
      </c>
      <c r="G741" s="43" t="s">
        <v>5867</v>
      </c>
      <c r="H741" s="47" t="s">
        <v>148</v>
      </c>
      <c r="I741" s="25" t="str">
        <f>IFERROR(__xludf.DUMMYFUNCTION("GOOGLETRANSLATE(H741,""EN"",""ES"")"),"Gastronomía")</f>
        <v>Gastronomía</v>
      </c>
      <c r="J741" s="26" t="s">
        <v>27</v>
      </c>
      <c r="K741" s="17">
        <v>0.0</v>
      </c>
      <c r="L741" s="54"/>
      <c r="M741" s="31"/>
      <c r="N741" s="47"/>
      <c r="O741" s="47"/>
      <c r="P741" s="20">
        <v>0.0</v>
      </c>
      <c r="Q741" s="31"/>
      <c r="R741" s="31"/>
      <c r="S741" s="53"/>
      <c r="T741" s="32"/>
    </row>
    <row r="742">
      <c r="A742" s="33" t="s">
        <v>5868</v>
      </c>
      <c r="B742" s="40" t="s">
        <v>2944</v>
      </c>
      <c r="C742" s="41">
        <v>45350.0</v>
      </c>
      <c r="D742" s="40" t="s">
        <v>5869</v>
      </c>
      <c r="E742" s="42" t="s">
        <v>5870</v>
      </c>
      <c r="F742" s="43" t="s">
        <v>5871</v>
      </c>
      <c r="G742" s="43" t="s">
        <v>5872</v>
      </c>
      <c r="H742" s="44" t="s">
        <v>148</v>
      </c>
      <c r="I742" s="15" t="str">
        <f>IFERROR(__xludf.DUMMYFUNCTION("GOOGLETRANSLATE(H742,""EN"",""ES"")"),"Gastronomía")</f>
        <v>Gastronomía</v>
      </c>
      <c r="J742" s="16" t="s">
        <v>27</v>
      </c>
      <c r="K742" s="17">
        <v>0.0</v>
      </c>
      <c r="L742" s="45"/>
      <c r="M742" s="18"/>
      <c r="N742" s="44"/>
      <c r="O742" s="44"/>
      <c r="P742" s="20">
        <v>0.0</v>
      </c>
      <c r="Q742" s="18"/>
      <c r="R742" s="18"/>
      <c r="S742" s="52"/>
      <c r="T742" s="22"/>
    </row>
    <row r="743">
      <c r="A743" s="23" t="s">
        <v>5873</v>
      </c>
      <c r="B743" s="40" t="s">
        <v>21</v>
      </c>
      <c r="C743" s="41">
        <v>45350.0</v>
      </c>
      <c r="D743" s="40" t="s">
        <v>5874</v>
      </c>
      <c r="E743" s="42" t="s">
        <v>5875</v>
      </c>
      <c r="F743" s="43" t="s">
        <v>5876</v>
      </c>
      <c r="G743" s="43" t="s">
        <v>5877</v>
      </c>
      <c r="H743" s="47" t="s">
        <v>5878</v>
      </c>
      <c r="I743" s="25" t="str">
        <f>IFERROR(__xludf.DUMMYFUNCTION("GOOGLETRANSLATE(H743,""EN"",""ES"")"),"Entretenimiento")</f>
        <v>Entretenimiento</v>
      </c>
      <c r="J743" s="26" t="s">
        <v>27</v>
      </c>
      <c r="K743" s="17">
        <v>0.0</v>
      </c>
      <c r="L743" s="54"/>
      <c r="M743" s="31"/>
      <c r="N743" s="47"/>
      <c r="O743" s="47"/>
      <c r="P743" s="20">
        <v>0.0</v>
      </c>
      <c r="Q743" s="31"/>
      <c r="R743" s="31"/>
      <c r="S743" s="53"/>
      <c r="T743" s="32"/>
    </row>
    <row r="744">
      <c r="A744" s="33" t="s">
        <v>5879</v>
      </c>
      <c r="B744" s="40" t="s">
        <v>5880</v>
      </c>
      <c r="C744" s="41">
        <v>45350.0</v>
      </c>
      <c r="D744" s="40" t="s">
        <v>5881</v>
      </c>
      <c r="E744" s="42" t="s">
        <v>5882</v>
      </c>
      <c r="F744" s="43" t="s">
        <v>5883</v>
      </c>
      <c r="G744" s="43" t="s">
        <v>5884</v>
      </c>
      <c r="H744" s="44" t="s">
        <v>598</v>
      </c>
      <c r="I744" s="15" t="str">
        <f>IFERROR(__xludf.DUMMYFUNCTION("GOOGLETRANSLATE(H744,""EN"",""ES"")"),"Expansión empresarial")</f>
        <v>Expansión empresarial</v>
      </c>
      <c r="J744" s="16" t="s">
        <v>35</v>
      </c>
      <c r="K744" s="48">
        <v>0.6</v>
      </c>
      <c r="L744" s="51" t="s">
        <v>5885</v>
      </c>
      <c r="M744" s="34" t="s">
        <v>5886</v>
      </c>
      <c r="N744" s="44" t="s">
        <v>5887</v>
      </c>
      <c r="O744" s="44" t="str">
        <f>IFERROR(__xludf.DUMMYFUNCTION("GOOGLETRANSLATE(N744,""EN"",""ES"")"),"El refuerzo de las alianzas energéticas respalda la estrategia de negocio internacional de Repsol.")</f>
        <v>El refuerzo de las alianzas energéticas respalda la estrategia de negocio internacional de Repsol.</v>
      </c>
      <c r="P744" s="30">
        <v>0.5</v>
      </c>
      <c r="Q744" s="18" t="str">
        <f>IFERROR(__xludf.DUMMYFUNCTION("GOOGLETRANSLATE(R744,""ES"",""EN"")"),"energy cooperation, PDVSA")</f>
        <v>energy cooperation, PDVSA</v>
      </c>
      <c r="R744" s="34" t="s">
        <v>5888</v>
      </c>
      <c r="S744" s="52" t="s">
        <v>5889</v>
      </c>
      <c r="T744" s="22" t="s">
        <v>5890</v>
      </c>
    </row>
    <row r="745">
      <c r="A745" s="23" t="s">
        <v>5891</v>
      </c>
      <c r="B745" s="40" t="s">
        <v>163</v>
      </c>
      <c r="C745" s="41">
        <v>45351.0</v>
      </c>
      <c r="D745" s="40" t="s">
        <v>5892</v>
      </c>
      <c r="E745" s="42" t="s">
        <v>5893</v>
      </c>
      <c r="F745" s="43" t="s">
        <v>5894</v>
      </c>
      <c r="G745" s="43" t="s">
        <v>5895</v>
      </c>
      <c r="H745" s="47" t="s">
        <v>130</v>
      </c>
      <c r="I745" s="25" t="str">
        <f>IFERROR(__xludf.DUMMYFUNCTION("GOOGLETRANSLATE(H745,""EN"",""ES"")"),"Sostenibilidad")</f>
        <v>Sostenibilidad</v>
      </c>
      <c r="J745" s="26" t="s">
        <v>35</v>
      </c>
      <c r="K745" s="48">
        <v>0.7</v>
      </c>
      <c r="L745" s="49" t="s">
        <v>5896</v>
      </c>
      <c r="M745" s="28" t="s">
        <v>5897</v>
      </c>
      <c r="N745" s="47" t="s">
        <v>5898</v>
      </c>
      <c r="O745" s="47" t="str">
        <f>IFERROR(__xludf.DUMMYFUNCTION("GOOGLETRANSLATE(N745,""EN"",""ES"")"),"El avance de los combustibles renovables en la aviación respalda las iniciativas de energía verde de Repsol.")</f>
        <v>El avance de los combustibles renovables en la aviación respalda las iniciativas de energía verde de Repsol.</v>
      </c>
      <c r="P745" s="30">
        <v>0.8</v>
      </c>
      <c r="Q745" s="31" t="str">
        <f>IFERROR(__xludf.DUMMYFUNCTION("GOOGLETRANSLATE(R745,""ES"",""EN"")"),"sustainable fuel, Malaga Festival")</f>
        <v>sustainable fuel, Malaga Festival</v>
      </c>
      <c r="R745" s="28" t="s">
        <v>5899</v>
      </c>
      <c r="S745" s="53" t="s">
        <v>5900</v>
      </c>
      <c r="T745" s="32" t="s">
        <v>5901</v>
      </c>
    </row>
    <row r="746">
      <c r="A746" s="33" t="s">
        <v>5902</v>
      </c>
      <c r="B746" s="40" t="s">
        <v>272</v>
      </c>
      <c r="C746" s="41">
        <v>45351.0</v>
      </c>
      <c r="D746" s="40" t="s">
        <v>5903</v>
      </c>
      <c r="E746" s="42" t="s">
        <v>5904</v>
      </c>
      <c r="F746" s="43" t="s">
        <v>5905</v>
      </c>
      <c r="G746" s="43" t="s">
        <v>5906</v>
      </c>
      <c r="H746" s="44" t="s">
        <v>148</v>
      </c>
      <c r="I746" s="15" t="str">
        <f>IFERROR(__xludf.DUMMYFUNCTION("GOOGLETRANSLATE(H746,""EN"",""ES"")"),"Gastronomía")</f>
        <v>Gastronomía</v>
      </c>
      <c r="J746" s="16" t="s">
        <v>27</v>
      </c>
      <c r="K746" s="17">
        <v>0.0</v>
      </c>
      <c r="L746" s="45"/>
      <c r="M746" s="18"/>
      <c r="N746" s="44"/>
      <c r="O746" s="44"/>
      <c r="P746" s="20">
        <v>0.0</v>
      </c>
      <c r="Q746" s="18"/>
      <c r="R746" s="18"/>
      <c r="S746" s="52"/>
      <c r="T746" s="22"/>
    </row>
    <row r="747">
      <c r="A747" s="23" t="s">
        <v>5907</v>
      </c>
      <c r="B747" s="40" t="s">
        <v>339</v>
      </c>
      <c r="C747" s="41">
        <v>45351.0</v>
      </c>
      <c r="D747" s="40" t="s">
        <v>5908</v>
      </c>
      <c r="E747" s="42" t="s">
        <v>5909</v>
      </c>
      <c r="F747" s="43" t="s">
        <v>5910</v>
      </c>
      <c r="G747" s="43" t="s">
        <v>5911</v>
      </c>
      <c r="H747" s="47" t="s">
        <v>130</v>
      </c>
      <c r="I747" s="25" t="str">
        <f>IFERROR(__xludf.DUMMYFUNCTION("GOOGLETRANSLATE(H747,""EN"",""ES"")"),"Sostenibilidad")</f>
        <v>Sostenibilidad</v>
      </c>
      <c r="J747" s="26" t="s">
        <v>35</v>
      </c>
      <c r="K747" s="48">
        <v>0.7</v>
      </c>
      <c r="L747" s="49" t="s">
        <v>5912</v>
      </c>
      <c r="M747" s="28" t="s">
        <v>5913</v>
      </c>
      <c r="N747" s="47" t="s">
        <v>5914</v>
      </c>
      <c r="O747" s="47" t="str">
        <f>IFERROR(__xludf.DUMMYFUNCTION("GOOGLETRANSLATE(N747,""EN"",""ES"")"),"La promoción de combustibles de aviación sostenibles fortalece la reputación verde de Repsol.")</f>
        <v>La promoción de combustibles de aviación sostenibles fortalece la reputación verde de Repsol.</v>
      </c>
      <c r="P747" s="30">
        <v>0.8</v>
      </c>
      <c r="Q747" s="31" t="str">
        <f>IFERROR(__xludf.DUMMYFUNCTION("GOOGLETRANSLATE(R747,""ES"",""EN"")"),"sustainable fuel, Malaga Festival")</f>
        <v>sustainable fuel, Malaga Festival</v>
      </c>
      <c r="R747" s="28" t="s">
        <v>5899</v>
      </c>
      <c r="S747" s="53" t="s">
        <v>5915</v>
      </c>
      <c r="T747" s="32" t="s">
        <v>5916</v>
      </c>
    </row>
    <row r="748">
      <c r="A748" s="33" t="s">
        <v>5917</v>
      </c>
      <c r="B748" s="40" t="s">
        <v>21</v>
      </c>
      <c r="C748" s="41">
        <v>45351.0</v>
      </c>
      <c r="D748" s="40" t="s">
        <v>5918</v>
      </c>
      <c r="E748" s="42" t="s">
        <v>5919</v>
      </c>
      <c r="F748" s="43" t="s">
        <v>5920</v>
      </c>
      <c r="G748" s="43" t="s">
        <v>5921</v>
      </c>
      <c r="H748" s="44" t="s">
        <v>148</v>
      </c>
      <c r="I748" s="15" t="str">
        <f>IFERROR(__xludf.DUMMYFUNCTION("GOOGLETRANSLATE(H748,""EN"",""ES"")"),"Gastronomía")</f>
        <v>Gastronomía</v>
      </c>
      <c r="J748" s="16" t="s">
        <v>27</v>
      </c>
      <c r="K748" s="17">
        <v>0.0</v>
      </c>
      <c r="L748" s="45"/>
      <c r="M748" s="18"/>
      <c r="N748" s="44"/>
      <c r="O748" s="44"/>
      <c r="P748" s="20">
        <v>0.0</v>
      </c>
      <c r="Q748" s="18"/>
      <c r="R748" s="18"/>
      <c r="S748" s="52"/>
      <c r="T748" s="22"/>
    </row>
    <row r="749">
      <c r="A749" s="23" t="s">
        <v>5922</v>
      </c>
      <c r="B749" s="40" t="s">
        <v>403</v>
      </c>
      <c r="C749" s="41">
        <v>45351.0</v>
      </c>
      <c r="D749" s="40" t="s">
        <v>5923</v>
      </c>
      <c r="E749" s="42" t="s">
        <v>5924</v>
      </c>
      <c r="F749" s="43" t="s">
        <v>5925</v>
      </c>
      <c r="G749" s="43" t="s">
        <v>5926</v>
      </c>
      <c r="H749" s="47" t="s">
        <v>130</v>
      </c>
      <c r="I749" s="25" t="str">
        <f>IFERROR(__xludf.DUMMYFUNCTION("GOOGLETRANSLATE(H749,""EN"",""ES"")"),"Sostenibilidad")</f>
        <v>Sostenibilidad</v>
      </c>
      <c r="J749" s="26" t="s">
        <v>35</v>
      </c>
      <c r="K749" s="48">
        <v>0.7</v>
      </c>
      <c r="L749" s="49" t="s">
        <v>5927</v>
      </c>
      <c r="M749" s="28" t="s">
        <v>5928</v>
      </c>
      <c r="N749" s="47" t="s">
        <v>5929</v>
      </c>
      <c r="O749" s="47" t="str">
        <f>IFERROR(__xludf.DUMMYFUNCTION("GOOGLETRANSLATE(N749,""EN"",""ES"")"),"Ampliar el uso de combustibles sostenibles refuerza la responsabilidad ambiental de Repsol.")</f>
        <v>Ampliar el uso de combustibles sostenibles refuerza la responsabilidad ambiental de Repsol.</v>
      </c>
      <c r="P749" s="30">
        <v>0.8</v>
      </c>
      <c r="Q749" s="31" t="str">
        <f>IFERROR(__xludf.DUMMYFUNCTION("GOOGLETRANSLATE(R749,""ES"",""EN"")"),"sustainable fuel, Malaga Festival")</f>
        <v>sustainable fuel, Malaga Festival</v>
      </c>
      <c r="R749" s="28" t="s">
        <v>5899</v>
      </c>
      <c r="S749" s="53" t="s">
        <v>5915</v>
      </c>
      <c r="T749" s="32" t="s">
        <v>5916</v>
      </c>
    </row>
    <row r="750">
      <c r="A750" s="33" t="s">
        <v>5930</v>
      </c>
      <c r="B750" s="40" t="s">
        <v>1072</v>
      </c>
      <c r="C750" s="41">
        <v>45351.0</v>
      </c>
      <c r="D750" s="40" t="s">
        <v>5931</v>
      </c>
      <c r="E750" s="42" t="s">
        <v>5932</v>
      </c>
      <c r="F750" s="43" t="s">
        <v>5933</v>
      </c>
      <c r="G750" s="43" t="s">
        <v>5934</v>
      </c>
      <c r="H750" s="44" t="s">
        <v>661</v>
      </c>
      <c r="I750" s="15" t="str">
        <f>IFERROR(__xludf.DUMMYFUNCTION("GOOGLETRANSLATE(H750,""EN"",""ES"")"),"Estrategia empresarial")</f>
        <v>Estrategia empresarial</v>
      </c>
      <c r="J750" s="16" t="s">
        <v>35</v>
      </c>
      <c r="K750" s="48">
        <v>0.6</v>
      </c>
      <c r="L750" s="51" t="s">
        <v>5935</v>
      </c>
      <c r="M750" s="34" t="s">
        <v>5936</v>
      </c>
      <c r="N750" s="44" t="s">
        <v>5937</v>
      </c>
      <c r="O750" s="44" t="str">
        <f>IFERROR(__xludf.DUMMYFUNCTION("GOOGLETRANSLATE(N750,""EN"",""ES"")"),"El buen comportamiento del carsharing diversifica las inversiones en movilidad de Repsol.")</f>
        <v>El buen comportamiento del carsharing diversifica las inversiones en movilidad de Repsol.</v>
      </c>
      <c r="P750" s="30">
        <v>0.7</v>
      </c>
      <c r="Q750" s="18" t="str">
        <f>IFERROR(__xludf.DUMMYFUNCTION("GOOGLETRANSLATE(R750,""ES"",""EN"")"),"record revenue, positive ebitda")</f>
        <v>record revenue, positive ebitda</v>
      </c>
      <c r="R750" s="34" t="s">
        <v>5938</v>
      </c>
      <c r="S750" s="52" t="s">
        <v>5939</v>
      </c>
      <c r="T750" s="22" t="s">
        <v>5940</v>
      </c>
    </row>
    <row r="751">
      <c r="A751" s="23" t="s">
        <v>5941</v>
      </c>
      <c r="B751" s="40" t="s">
        <v>5942</v>
      </c>
      <c r="C751" s="41">
        <v>45351.0</v>
      </c>
      <c r="D751" s="40" t="s">
        <v>5943</v>
      </c>
      <c r="E751" s="42" t="s">
        <v>5944</v>
      </c>
      <c r="F751" s="43" t="s">
        <v>5945</v>
      </c>
      <c r="G751" s="43" t="s">
        <v>5946</v>
      </c>
      <c r="H751" s="47" t="s">
        <v>148</v>
      </c>
      <c r="I751" s="25" t="str">
        <f>IFERROR(__xludf.DUMMYFUNCTION("GOOGLETRANSLATE(H751,""EN"",""ES"")"),"Gastronomía")</f>
        <v>Gastronomía</v>
      </c>
      <c r="J751" s="26" t="s">
        <v>27</v>
      </c>
      <c r="K751" s="17">
        <v>0.0</v>
      </c>
      <c r="L751" s="54"/>
      <c r="M751" s="31"/>
      <c r="N751" s="47"/>
      <c r="O751" s="47"/>
      <c r="P751" s="20">
        <v>0.0</v>
      </c>
      <c r="Q751" s="31"/>
      <c r="R751" s="31"/>
      <c r="S751" s="53"/>
      <c r="T751" s="32"/>
    </row>
    <row r="752">
      <c r="A752" s="33" t="s">
        <v>5947</v>
      </c>
      <c r="B752" s="40" t="s">
        <v>85</v>
      </c>
      <c r="C752" s="41">
        <v>45351.0</v>
      </c>
      <c r="D752" s="40" t="s">
        <v>5948</v>
      </c>
      <c r="E752" s="42" t="s">
        <v>5949</v>
      </c>
      <c r="F752" s="43" t="s">
        <v>5950</v>
      </c>
      <c r="G752" s="43" t="s">
        <v>5951</v>
      </c>
      <c r="H752" s="44" t="s">
        <v>899</v>
      </c>
      <c r="I752" s="15" t="str">
        <f>IFERROR(__xludf.DUMMYFUNCTION("GOOGLETRANSLATE(H752,""EN"",""ES"")"),"Relaciones Laborales")</f>
        <v>Relaciones Laborales</v>
      </c>
      <c r="J752" s="16" t="s">
        <v>35</v>
      </c>
      <c r="K752" s="48">
        <v>-0.7</v>
      </c>
      <c r="L752" s="51" t="s">
        <v>5952</v>
      </c>
      <c r="M752" s="34" t="s">
        <v>5953</v>
      </c>
      <c r="N752" s="44" t="s">
        <v>5954</v>
      </c>
      <c r="O752" s="44" t="str">
        <f>IFERROR(__xludf.DUMMYFUNCTION("GOOGLETRANSLATE(N752,""EN"",""ES"")"),"Las protestas que interrumpen las operaciones de Repsol pueden crear una percepción pública negativa.")</f>
        <v>Las protestas que interrumpen las operaciones de Repsol pueden crear una percepción pública negativa.</v>
      </c>
      <c r="P752" s="30">
        <v>-0.6</v>
      </c>
      <c r="Q752" s="18" t="str">
        <f>IFERROR(__xludf.DUMMYFUNCTION("GOOGLETRANSLATE(R752,""ES"",""EN"")"),"farmers, protest, refinery")</f>
        <v>farmers, protest, refinery</v>
      </c>
      <c r="R752" s="34" t="s">
        <v>5955</v>
      </c>
      <c r="S752" s="52" t="s">
        <v>5956</v>
      </c>
      <c r="T752" s="22" t="s">
        <v>5957</v>
      </c>
    </row>
    <row r="753">
      <c r="A753" s="23" t="s">
        <v>5958</v>
      </c>
      <c r="B753" s="40" t="s">
        <v>5959</v>
      </c>
      <c r="C753" s="41">
        <v>45351.0</v>
      </c>
      <c r="D753" s="40" t="s">
        <v>5960</v>
      </c>
      <c r="E753" s="42" t="s">
        <v>5961</v>
      </c>
      <c r="F753" s="43" t="s">
        <v>5962</v>
      </c>
      <c r="G753" s="43" t="s">
        <v>5963</v>
      </c>
      <c r="H753" s="47" t="s">
        <v>598</v>
      </c>
      <c r="I753" s="25" t="str">
        <f>IFERROR(__xludf.DUMMYFUNCTION("GOOGLETRANSLATE(H753,""EN"",""ES"")"),"Expansión empresarial")</f>
        <v>Expansión empresarial</v>
      </c>
      <c r="J753" s="26" t="s">
        <v>35</v>
      </c>
      <c r="K753" s="48">
        <v>0.6</v>
      </c>
      <c r="L753" s="49" t="s">
        <v>5964</v>
      </c>
      <c r="M753" s="28" t="s">
        <v>5965</v>
      </c>
      <c r="N753" s="47" t="s">
        <v>5966</v>
      </c>
      <c r="O753" s="47" t="str">
        <f>IFERROR(__xludf.DUMMYFUNCTION("GOOGLETRANSLATE(N753,""EN"",""ES"")"),"Reforzar los vínculos con Venezuela potencia las alianzas energéticas de Repsol.")</f>
        <v>Reforzar los vínculos con Venezuela potencia las alianzas energéticas de Repsol.</v>
      </c>
      <c r="P753" s="30">
        <v>0.5</v>
      </c>
      <c r="Q753" s="31" t="str">
        <f>IFERROR(__xludf.DUMMYFUNCTION("GOOGLETRANSLATE(R753,""ES"",""EN"")"),"commitment, Venezuela")</f>
        <v>commitment, Venezuela</v>
      </c>
      <c r="R753" s="28" t="s">
        <v>5967</v>
      </c>
      <c r="S753" s="53" t="s">
        <v>5968</v>
      </c>
      <c r="T753" s="32" t="s">
        <v>5969</v>
      </c>
    </row>
    <row r="754">
      <c r="A754" s="33" t="s">
        <v>5970</v>
      </c>
      <c r="B754" s="40" t="s">
        <v>5971</v>
      </c>
      <c r="C754" s="41">
        <v>45351.0</v>
      </c>
      <c r="D754" s="40" t="s">
        <v>5972</v>
      </c>
      <c r="E754" s="42" t="s">
        <v>5973</v>
      </c>
      <c r="F754" s="43" t="s">
        <v>5974</v>
      </c>
      <c r="G754" s="43" t="s">
        <v>5975</v>
      </c>
      <c r="H754" s="44" t="s">
        <v>148</v>
      </c>
      <c r="I754" s="15" t="str">
        <f>IFERROR(__xludf.DUMMYFUNCTION("GOOGLETRANSLATE(H754,""EN"",""ES"")"),"Gastronomía")</f>
        <v>Gastronomía</v>
      </c>
      <c r="J754" s="16" t="s">
        <v>27</v>
      </c>
      <c r="K754" s="17">
        <v>0.0</v>
      </c>
      <c r="L754" s="45"/>
      <c r="M754" s="18"/>
      <c r="N754" s="44"/>
      <c r="O754" s="44"/>
      <c r="P754" s="20">
        <v>0.0</v>
      </c>
      <c r="Q754" s="18"/>
      <c r="R754" s="18"/>
      <c r="S754" s="52"/>
      <c r="T754" s="22"/>
    </row>
    <row r="755">
      <c r="A755" s="23" t="s">
        <v>5976</v>
      </c>
      <c r="B755" s="58" t="s">
        <v>3511</v>
      </c>
      <c r="C755" s="41">
        <v>45351.0</v>
      </c>
      <c r="D755" s="40" t="s">
        <v>5977</v>
      </c>
      <c r="E755" s="41" t="s">
        <v>5978</v>
      </c>
      <c r="F755" s="43" t="s">
        <v>5979</v>
      </c>
      <c r="G755" s="43" t="s">
        <v>5980</v>
      </c>
      <c r="H755" s="59" t="s">
        <v>130</v>
      </c>
      <c r="I755" s="25" t="str">
        <f>IFERROR(__xludf.DUMMYFUNCTION("GOOGLETRANSLATE(H755,""EN"",""ES"")"),"Sostenibilidad")</f>
        <v>Sostenibilidad</v>
      </c>
      <c r="J755" s="26" t="s">
        <v>35</v>
      </c>
      <c r="K755" s="48">
        <v>0.7</v>
      </c>
      <c r="L755" s="49" t="s">
        <v>5981</v>
      </c>
      <c r="M755" s="28" t="s">
        <v>5982</v>
      </c>
      <c r="N755" s="47" t="s">
        <v>5983</v>
      </c>
      <c r="O755" s="47" t="str">
        <f>IFERROR(__xludf.DUMMYFUNCTION("GOOGLETRANSLATE(N755,""EN"",""ES"")"),"La promoción de combustibles de aviación sostenibles refuerza el compromiso de Repsol con las energías verdes.")</f>
        <v>La promoción de combustibles de aviación sostenibles refuerza el compromiso de Repsol con las energías verdes.</v>
      </c>
      <c r="P755" s="30">
        <v>0.8</v>
      </c>
      <c r="Q755" s="31" t="str">
        <f>IFERROR(__xludf.DUMMYFUNCTION("GOOGLETRANSLATE(R755,""ES"",""EN"")"),"sustainable fuel, flight")</f>
        <v>sustainable fuel, flight</v>
      </c>
      <c r="R755" s="28" t="s">
        <v>5984</v>
      </c>
      <c r="S755" s="46" t="s">
        <v>5915</v>
      </c>
      <c r="T755" s="32" t="s">
        <v>5916</v>
      </c>
    </row>
    <row r="756">
      <c r="A756" s="33" t="s">
        <v>5985</v>
      </c>
      <c r="B756" s="60" t="s">
        <v>21</v>
      </c>
      <c r="C756" s="41">
        <v>45351.0</v>
      </c>
      <c r="D756" s="40" t="s">
        <v>5986</v>
      </c>
      <c r="E756" s="41" t="s">
        <v>5987</v>
      </c>
      <c r="F756" s="43" t="s">
        <v>5988</v>
      </c>
      <c r="G756" s="43" t="s">
        <v>5989</v>
      </c>
      <c r="H756" s="61" t="s">
        <v>969</v>
      </c>
      <c r="I756" s="15" t="str">
        <f>IFERROR(__xludf.DUMMYFUNCTION("GOOGLETRANSLATE(H756,""EN"",""ES"")"),"Turismo")</f>
        <v>Turismo</v>
      </c>
      <c r="J756" s="16" t="s">
        <v>27</v>
      </c>
      <c r="K756" s="17">
        <v>0.0</v>
      </c>
      <c r="L756" s="45"/>
      <c r="M756" s="18"/>
      <c r="N756" s="44"/>
      <c r="O756" s="44"/>
      <c r="P756" s="20">
        <v>0.0</v>
      </c>
      <c r="Q756" s="18"/>
      <c r="R756" s="18"/>
      <c r="S756" s="46"/>
      <c r="T756" s="22"/>
    </row>
    <row r="757">
      <c r="A757" s="23" t="s">
        <v>5990</v>
      </c>
      <c r="B757" s="58" t="s">
        <v>5991</v>
      </c>
      <c r="C757" s="41">
        <v>45351.0</v>
      </c>
      <c r="D757" s="40" t="s">
        <v>5992</v>
      </c>
      <c r="E757" s="41" t="s">
        <v>5993</v>
      </c>
      <c r="F757" s="43" t="s">
        <v>5994</v>
      </c>
      <c r="G757" s="43" t="s">
        <v>5995</v>
      </c>
      <c r="H757" s="59" t="s">
        <v>598</v>
      </c>
      <c r="I757" s="25" t="str">
        <f>IFERROR(__xludf.DUMMYFUNCTION("GOOGLETRANSLATE(H757,""EN"",""ES"")"),"Expansión empresarial")</f>
        <v>Expansión empresarial</v>
      </c>
      <c r="J757" s="26" t="s">
        <v>35</v>
      </c>
      <c r="K757" s="48">
        <v>0.6</v>
      </c>
      <c r="L757" s="49" t="s">
        <v>5996</v>
      </c>
      <c r="M757" s="28" t="s">
        <v>5997</v>
      </c>
      <c r="N757" s="47" t="s">
        <v>5998</v>
      </c>
      <c r="O757" s="47" t="str">
        <f>IFERROR(__xludf.DUMMYFUNCTION("GOOGLETRANSLATE(N757,""EN"",""ES"")"),"Estrechar lazos con PDVSA refuerza la estrategia latinoamericana de Repsol.")</f>
        <v>Estrechar lazos con PDVSA refuerza la estrategia latinoamericana de Repsol.</v>
      </c>
      <c r="P757" s="30">
        <v>0.5</v>
      </c>
      <c r="Q757" s="31" t="str">
        <f>IFERROR(__xludf.DUMMYFUNCTION("GOOGLETRANSLATE(R757,""ES"",""EN"")"),"alliances, PDVSA")</f>
        <v>alliances, PDVSA</v>
      </c>
      <c r="R757" s="28" t="s">
        <v>5999</v>
      </c>
      <c r="S757" s="53" t="s">
        <v>5968</v>
      </c>
      <c r="T757" s="32" t="s">
        <v>5969</v>
      </c>
    </row>
    <row r="758">
      <c r="A758" s="33" t="s">
        <v>6000</v>
      </c>
      <c r="B758" s="60" t="s">
        <v>3045</v>
      </c>
      <c r="C758" s="41">
        <v>45351.0</v>
      </c>
      <c r="D758" s="40" t="s">
        <v>6001</v>
      </c>
      <c r="E758" s="41" t="s">
        <v>6002</v>
      </c>
      <c r="F758" s="43" t="s">
        <v>6003</v>
      </c>
      <c r="G758" s="43" t="s">
        <v>6004</v>
      </c>
      <c r="H758" s="61" t="s">
        <v>148</v>
      </c>
      <c r="I758" s="15" t="str">
        <f>IFERROR(__xludf.DUMMYFUNCTION("GOOGLETRANSLATE(H758,""EN"",""ES"")"),"Gastronomía")</f>
        <v>Gastronomía</v>
      </c>
      <c r="J758" s="16" t="s">
        <v>27</v>
      </c>
      <c r="K758" s="17">
        <v>0.0</v>
      </c>
      <c r="L758" s="45"/>
      <c r="M758" s="18"/>
      <c r="N758" s="44"/>
      <c r="O758" s="44"/>
      <c r="P758" s="20">
        <v>0.0</v>
      </c>
      <c r="Q758" s="18"/>
      <c r="R758" s="18"/>
      <c r="S758" s="52"/>
      <c r="T758" s="22"/>
    </row>
    <row r="759">
      <c r="A759" s="23" t="s">
        <v>6005</v>
      </c>
      <c r="B759" s="58" t="s">
        <v>21</v>
      </c>
      <c r="C759" s="41">
        <v>45351.0</v>
      </c>
      <c r="D759" s="40" t="s">
        <v>6006</v>
      </c>
      <c r="E759" s="41" t="s">
        <v>6007</v>
      </c>
      <c r="F759" s="43" t="s">
        <v>6008</v>
      </c>
      <c r="G759" s="43" t="s">
        <v>6009</v>
      </c>
      <c r="H759" s="59" t="s">
        <v>148</v>
      </c>
      <c r="I759" s="25" t="str">
        <f>IFERROR(__xludf.DUMMYFUNCTION("GOOGLETRANSLATE(H759,""EN"",""ES"")"),"Gastronomía")</f>
        <v>Gastronomía</v>
      </c>
      <c r="J759" s="26" t="s">
        <v>27</v>
      </c>
      <c r="K759" s="17">
        <v>0.0</v>
      </c>
      <c r="L759" s="54"/>
      <c r="M759" s="31"/>
      <c r="N759" s="47"/>
      <c r="O759" s="47"/>
      <c r="P759" s="20">
        <v>0.0</v>
      </c>
      <c r="Q759" s="31"/>
      <c r="R759" s="31"/>
      <c r="S759" s="53"/>
      <c r="T759" s="32"/>
    </row>
    <row r="760">
      <c r="A760" s="33" t="s">
        <v>6010</v>
      </c>
      <c r="B760" s="60" t="s">
        <v>6011</v>
      </c>
      <c r="C760" s="41">
        <v>45352.0</v>
      </c>
      <c r="D760" s="40" t="s">
        <v>6012</v>
      </c>
      <c r="E760" s="41" t="s">
        <v>6013</v>
      </c>
      <c r="F760" s="43" t="s">
        <v>6014</v>
      </c>
      <c r="G760" s="43" t="s">
        <v>6015</v>
      </c>
      <c r="H760" s="61" t="s">
        <v>130</v>
      </c>
      <c r="I760" s="15" t="str">
        <f>IFERROR(__xludf.DUMMYFUNCTION("GOOGLETRANSLATE(H760,""EN"",""ES"")"),"Sostenibilidad")</f>
        <v>Sostenibilidad</v>
      </c>
      <c r="J760" s="16" t="s">
        <v>35</v>
      </c>
      <c r="K760" s="48">
        <v>0.7</v>
      </c>
      <c r="L760" s="51" t="s">
        <v>6016</v>
      </c>
      <c r="M760" s="34" t="s">
        <v>6017</v>
      </c>
      <c r="N760" s="44" t="s">
        <v>6018</v>
      </c>
      <c r="O760" s="44" t="str">
        <f>IFERROR(__xludf.DUMMYFUNCTION("GOOGLETRANSLATE(N760,""EN"",""ES"")"),"Reforzar las iniciativas regionales de sostenibilidad se alinea con la estrategia de energía verde de Repsol.")</f>
        <v>Reforzar las iniciativas regionales de sostenibilidad se alinea con la estrategia de energía verde de Repsol.</v>
      </c>
      <c r="P760" s="30">
        <v>0.6</v>
      </c>
      <c r="Q760" s="18" t="str">
        <f>IFERROR(__xludf.DUMMYFUNCTION("GOOGLETRANSLATE(R760,""ES"",""EN"")"),"Dual FP, training")</f>
        <v>Dual FP, training</v>
      </c>
      <c r="R760" s="34" t="s">
        <v>6019</v>
      </c>
      <c r="S760" s="52" t="s">
        <v>6020</v>
      </c>
      <c r="T760" s="22" t="s">
        <v>6021</v>
      </c>
    </row>
    <row r="761">
      <c r="A761" s="23" t="s">
        <v>6022</v>
      </c>
      <c r="B761" s="58" t="s">
        <v>103</v>
      </c>
      <c r="C761" s="41">
        <v>45352.0</v>
      </c>
      <c r="D761" s="40" t="s">
        <v>6023</v>
      </c>
      <c r="E761" s="41" t="s">
        <v>6024</v>
      </c>
      <c r="F761" s="43" t="s">
        <v>6025</v>
      </c>
      <c r="G761" s="43" t="s">
        <v>6026</v>
      </c>
      <c r="H761" s="59" t="s">
        <v>661</v>
      </c>
      <c r="I761" s="25" t="str">
        <f>IFERROR(__xludf.DUMMYFUNCTION("GOOGLETRANSLATE(H761,""EN"",""ES"")"),"Estrategia empresarial")</f>
        <v>Estrategia empresarial</v>
      </c>
      <c r="J761" s="26" t="s">
        <v>35</v>
      </c>
      <c r="K761" s="48">
        <v>0.5</v>
      </c>
      <c r="L761" s="49" t="s">
        <v>6027</v>
      </c>
      <c r="M761" s="28" t="s">
        <v>6028</v>
      </c>
      <c r="N761" s="47" t="s">
        <v>6029</v>
      </c>
      <c r="O761" s="47" t="str">
        <f>IFERROR(__xludf.DUMMYFUNCTION("GOOGLETRANSLATE(N761,""EN"",""ES"")"),"Las ventas de activos en Noruega pueden impactar en la cartera estratégica de Repsol.")</f>
        <v>Las ventas de activos en Noruega pueden impactar en la cartera estratégica de Repsol.</v>
      </c>
      <c r="P761" s="30">
        <v>0.2</v>
      </c>
      <c r="Q761" s="31" t="str">
        <f>IFERROR(__xludf.DUMMYFUNCTION("GOOGLETRANSLATE(R761,""ES"",""EN"")"),"sell, operations, Norway")</f>
        <v>sell, operations, Norway</v>
      </c>
      <c r="R761" s="28" t="s">
        <v>6030</v>
      </c>
      <c r="S761" s="53" t="s">
        <v>6031</v>
      </c>
      <c r="T761" s="32" t="s">
        <v>6032</v>
      </c>
    </row>
    <row r="762">
      <c r="A762" s="33" t="s">
        <v>6033</v>
      </c>
      <c r="B762" s="60" t="s">
        <v>85</v>
      </c>
      <c r="C762" s="41">
        <v>45352.0</v>
      </c>
      <c r="D762" s="40" t="s">
        <v>6034</v>
      </c>
      <c r="E762" s="41" t="s">
        <v>6035</v>
      </c>
      <c r="F762" s="43" t="s">
        <v>6036</v>
      </c>
      <c r="G762" s="43" t="s">
        <v>6037</v>
      </c>
      <c r="H762" s="61" t="s">
        <v>130</v>
      </c>
      <c r="I762" s="15" t="str">
        <f>IFERROR(__xludf.DUMMYFUNCTION("GOOGLETRANSLATE(H762,""EN"",""ES"")"),"Sostenibilidad")</f>
        <v>Sostenibilidad</v>
      </c>
      <c r="J762" s="16" t="s">
        <v>35</v>
      </c>
      <c r="K762" s="48">
        <v>0.7</v>
      </c>
      <c r="L762" s="51" t="s">
        <v>6038</v>
      </c>
      <c r="M762" s="34" t="s">
        <v>6039</v>
      </c>
      <c r="N762" s="44" t="s">
        <v>6040</v>
      </c>
      <c r="O762" s="44" t="str">
        <f>IFERROR(__xludf.DUMMYFUNCTION("GOOGLETRANSLATE(N762,""EN"",""ES"")"),"Reforzar las alianzas en materia de sostenibilidad se alinea con la estrategia ambiental de Repsol.")</f>
        <v>Reforzar las alianzas en materia de sostenibilidad se alinea con la estrategia ambiental de Repsol.</v>
      </c>
      <c r="P762" s="30">
        <v>0.6</v>
      </c>
      <c r="Q762" s="18" t="str">
        <f>IFERROR(__xludf.DUMMYFUNCTION("GOOGLETRANSLATE(R762,""ES"",""EN"")"),"vocational training, employability")</f>
        <v>vocational training, employability</v>
      </c>
      <c r="R762" s="34" t="s">
        <v>6041</v>
      </c>
      <c r="S762" s="52" t="s">
        <v>6042</v>
      </c>
      <c r="T762" s="22" t="s">
        <v>6043</v>
      </c>
    </row>
    <row r="763">
      <c r="A763" s="23" t="s">
        <v>6044</v>
      </c>
      <c r="B763" s="58" t="s">
        <v>91</v>
      </c>
      <c r="C763" s="41">
        <v>45352.0</v>
      </c>
      <c r="D763" s="40" t="s">
        <v>6045</v>
      </c>
      <c r="E763" s="41" t="s">
        <v>6046</v>
      </c>
      <c r="F763" s="43" t="s">
        <v>6047</v>
      </c>
      <c r="G763" s="43" t="s">
        <v>6048</v>
      </c>
      <c r="H763" s="59" t="s">
        <v>661</v>
      </c>
      <c r="I763" s="25" t="str">
        <f>IFERROR(__xludf.DUMMYFUNCTION("GOOGLETRANSLATE(H763,""EN"",""ES"")"),"Estrategia empresarial")</f>
        <v>Estrategia empresarial</v>
      </c>
      <c r="J763" s="26" t="s">
        <v>35</v>
      </c>
      <c r="K763" s="48">
        <v>0.5</v>
      </c>
      <c r="L763" s="49" t="s">
        <v>6049</v>
      </c>
      <c r="M763" s="28" t="s">
        <v>6050</v>
      </c>
      <c r="N763" s="47" t="s">
        <v>6051</v>
      </c>
      <c r="O763" s="47" t="str">
        <f>IFERROR(__xludf.DUMMYFUNCTION("GOOGLETRANSLATE(N763,""EN"",""ES"")"),"La venta de activos en Noruega puede cambiar las prioridades de inversión de Repsol.")</f>
        <v>La venta de activos en Noruega puede cambiar las prioridades de inversión de Repsol.</v>
      </c>
      <c r="P763" s="30">
        <v>0.2</v>
      </c>
      <c r="Q763" s="31" t="str">
        <f>IFERROR(__xludf.DUMMYFUNCTION("GOOGLETRANSLATE(R763,""ES"",""EN"")"),"sell, business, Norway")</f>
        <v>sell, business, Norway</v>
      </c>
      <c r="R763" s="28" t="s">
        <v>6052</v>
      </c>
      <c r="S763" s="53" t="s">
        <v>6031</v>
      </c>
      <c r="T763" s="32" t="s">
        <v>6032</v>
      </c>
    </row>
    <row r="764">
      <c r="A764" s="33" t="s">
        <v>6053</v>
      </c>
      <c r="B764" s="60" t="s">
        <v>1081</v>
      </c>
      <c r="C764" s="41">
        <v>45352.0</v>
      </c>
      <c r="D764" s="40" t="s">
        <v>6054</v>
      </c>
      <c r="E764" s="41" t="s">
        <v>6055</v>
      </c>
      <c r="F764" s="43" t="s">
        <v>6056</v>
      </c>
      <c r="G764" s="43" t="s">
        <v>6057</v>
      </c>
      <c r="H764" s="61" t="s">
        <v>2677</v>
      </c>
      <c r="I764" s="15" t="str">
        <f>IFERROR(__xludf.DUMMYFUNCTION("GOOGLETRANSLATE(H764,""EN"",""ES"")"),"Responsabilidad Social")</f>
        <v>Responsabilidad Social</v>
      </c>
      <c r="J764" s="16" t="s">
        <v>35</v>
      </c>
      <c r="K764" s="48">
        <v>0.6</v>
      </c>
      <c r="L764" s="51" t="s">
        <v>6058</v>
      </c>
      <c r="M764" s="34" t="s">
        <v>6059</v>
      </c>
      <c r="N764" s="44" t="s">
        <v>6060</v>
      </c>
      <c r="O764" s="44" t="str">
        <f>IFERROR(__xludf.DUMMYFUNCTION("GOOGLETRANSLATE(N764,""EN"",""ES"")"),"La inversión en programas de empleo fortalece el impacto social de Repsol.")</f>
        <v>La inversión en programas de empleo fortalece el impacto social de Repsol.</v>
      </c>
      <c r="P764" s="30">
        <v>0.6</v>
      </c>
      <c r="Q764" s="18" t="str">
        <f>IFERROR(__xludf.DUMMYFUNCTION("GOOGLETRANSLATE(R764,""ES"",""EN"")"),"vocational training, agreement")</f>
        <v>vocational training, agreement</v>
      </c>
      <c r="R764" s="34" t="s">
        <v>6061</v>
      </c>
      <c r="S764" s="52" t="s">
        <v>6020</v>
      </c>
      <c r="T764" s="22" t="s">
        <v>6021</v>
      </c>
    </row>
    <row r="765">
      <c r="A765" s="23" t="s">
        <v>6062</v>
      </c>
      <c r="B765" s="58" t="s">
        <v>403</v>
      </c>
      <c r="C765" s="41">
        <v>45352.0</v>
      </c>
      <c r="D765" s="40" t="s">
        <v>6063</v>
      </c>
      <c r="E765" s="41" t="s">
        <v>6064</v>
      </c>
      <c r="F765" s="43" t="s">
        <v>6065</v>
      </c>
      <c r="G765" s="43" t="s">
        <v>6066</v>
      </c>
      <c r="H765" s="59" t="s">
        <v>130</v>
      </c>
      <c r="I765" s="25" t="str">
        <f>IFERROR(__xludf.DUMMYFUNCTION("GOOGLETRANSLATE(H765,""EN"",""ES"")"),"Sostenibilidad")</f>
        <v>Sostenibilidad</v>
      </c>
      <c r="J765" s="26" t="s">
        <v>35</v>
      </c>
      <c r="K765" s="48">
        <v>0.7</v>
      </c>
      <c r="L765" s="49" t="s">
        <v>5927</v>
      </c>
      <c r="M765" s="28" t="s">
        <v>5928</v>
      </c>
      <c r="N765" s="47" t="s">
        <v>6067</v>
      </c>
      <c r="O765" s="47" t="str">
        <f>IFERROR(__xludf.DUMMYFUNCTION("GOOGLETRANSLATE(N765,""EN"",""ES"")"),"Ampliar el uso de combustibles sostenibles refuerza el compromiso de Repsol con las energías verdes.")</f>
        <v>Ampliar el uso de combustibles sostenibles refuerza el compromiso de Repsol con las energías verdes.</v>
      </c>
      <c r="P765" s="30">
        <v>0.8</v>
      </c>
      <c r="Q765" s="31" t="str">
        <f>IFERROR(__xludf.DUMMYFUNCTION("GOOGLETRANSLATE(R765,""ES"",""EN"")"),"flight, Malaga Festival")</f>
        <v>flight, Malaga Festival</v>
      </c>
      <c r="R765" s="28" t="s">
        <v>6068</v>
      </c>
      <c r="S765" s="53" t="s">
        <v>5915</v>
      </c>
      <c r="T765" s="32" t="s">
        <v>5916</v>
      </c>
    </row>
    <row r="766">
      <c r="A766" s="33" t="s">
        <v>6069</v>
      </c>
      <c r="B766" s="60" t="s">
        <v>2008</v>
      </c>
      <c r="C766" s="41">
        <v>45352.0</v>
      </c>
      <c r="D766" s="40" t="s">
        <v>6070</v>
      </c>
      <c r="E766" s="41" t="s">
        <v>6071</v>
      </c>
      <c r="F766" s="43" t="s">
        <v>6072</v>
      </c>
      <c r="G766" s="43" t="s">
        <v>6073</v>
      </c>
      <c r="H766" s="61" t="s">
        <v>2677</v>
      </c>
      <c r="I766" s="15" t="str">
        <f>IFERROR(__xludf.DUMMYFUNCTION("GOOGLETRANSLATE(H766,""EN"",""ES"")"),"Responsabilidad Social")</f>
        <v>Responsabilidad Social</v>
      </c>
      <c r="J766" s="16" t="s">
        <v>35</v>
      </c>
      <c r="K766" s="48">
        <v>0.6</v>
      </c>
      <c r="L766" s="51" t="s">
        <v>6074</v>
      </c>
      <c r="M766" s="34" t="s">
        <v>6075</v>
      </c>
      <c r="N766" s="44" t="s">
        <v>6076</v>
      </c>
      <c r="O766" s="44" t="str">
        <f>IFERROR(__xludf.DUMMYFUNCTION("GOOGLETRANSLATE(N766,""EN"",""ES"")"),"El apoyo a los programas de educación y formación potencia la imagen corporativa de Repsol.")</f>
        <v>El apoyo a los programas de educación y formación potencia la imagen corporativa de Repsol.</v>
      </c>
      <c r="P766" s="30">
        <v>0.6</v>
      </c>
      <c r="Q766" s="18" t="str">
        <f>IFERROR(__xludf.DUMMYFUNCTION("GOOGLETRANSLATE(R766,""ES"",""EN"")"),"vocational training, agreement")</f>
        <v>vocational training, agreement</v>
      </c>
      <c r="R766" s="34" t="s">
        <v>6061</v>
      </c>
      <c r="S766" s="52" t="s">
        <v>6020</v>
      </c>
      <c r="T766" s="22" t="s">
        <v>6021</v>
      </c>
    </row>
    <row r="767">
      <c r="A767" s="23" t="s">
        <v>6077</v>
      </c>
      <c r="B767" s="58" t="s">
        <v>2099</v>
      </c>
      <c r="C767" s="41">
        <v>45352.0</v>
      </c>
      <c r="D767" s="40" t="s">
        <v>6078</v>
      </c>
      <c r="E767" s="41" t="s">
        <v>6079</v>
      </c>
      <c r="F767" s="43" t="s">
        <v>6080</v>
      </c>
      <c r="G767" s="43" t="s">
        <v>6081</v>
      </c>
      <c r="H767" s="59" t="s">
        <v>130</v>
      </c>
      <c r="I767" s="25" t="str">
        <f>IFERROR(__xludf.DUMMYFUNCTION("GOOGLETRANSLATE(H767,""EN"",""ES"")"),"Sostenibilidad")</f>
        <v>Sostenibilidad</v>
      </c>
      <c r="J767" s="26" t="s">
        <v>35</v>
      </c>
      <c r="K767" s="48">
        <v>0.7</v>
      </c>
      <c r="L767" s="49" t="s">
        <v>6082</v>
      </c>
      <c r="M767" s="28" t="s">
        <v>6083</v>
      </c>
      <c r="N767" s="47" t="s">
        <v>6084</v>
      </c>
      <c r="O767" s="47" t="str">
        <f>IFERROR(__xludf.DUMMYFUNCTION("GOOGLETRANSLATE(N767,""EN"",""ES"")"),"Apoyar las iniciativas de reducción de CO₂ se alinea con los objetivos de sostenibilidad de Repsol.")</f>
        <v>Apoyar las iniciativas de reducción de CO₂ se alinea con los objetivos de sostenibilidad de Repsol.</v>
      </c>
      <c r="P767" s="30">
        <v>0.7</v>
      </c>
      <c r="Q767" s="31" t="str">
        <f>IFERROR(__xludf.DUMMYFUNCTION("GOOGLETRANSLATE(R767,""ES"",""EN"")"),"neutralize emissions, reforestation")</f>
        <v>neutralize emissions, reforestation</v>
      </c>
      <c r="R767" s="28" t="s">
        <v>6085</v>
      </c>
      <c r="S767" s="53" t="s">
        <v>6086</v>
      </c>
      <c r="T767" s="32" t="s">
        <v>6087</v>
      </c>
    </row>
    <row r="768">
      <c r="A768" s="33" t="s">
        <v>6088</v>
      </c>
      <c r="B768" s="60" t="s">
        <v>3808</v>
      </c>
      <c r="C768" s="41">
        <v>45352.0</v>
      </c>
      <c r="D768" s="40" t="s">
        <v>6089</v>
      </c>
      <c r="E768" s="41" t="s">
        <v>6090</v>
      </c>
      <c r="F768" s="43" t="s">
        <v>6091</v>
      </c>
      <c r="G768" s="43" t="s">
        <v>6092</v>
      </c>
      <c r="H768" s="61" t="s">
        <v>975</v>
      </c>
      <c r="I768" s="15" t="str">
        <f>IFERROR(__xludf.DUMMYFUNCTION("GOOGLETRANSLATE(H768,""EN"",""ES"")"),"Patrocinio")</f>
        <v>Patrocinio</v>
      </c>
      <c r="J768" s="16" t="s">
        <v>35</v>
      </c>
      <c r="K768" s="48">
        <v>0.5</v>
      </c>
      <c r="L768" s="51" t="s">
        <v>6093</v>
      </c>
      <c r="M768" s="34" t="s">
        <v>3814</v>
      </c>
      <c r="N768" s="44" t="s">
        <v>3815</v>
      </c>
      <c r="O768" s="44" t="str">
        <f>IFERROR(__xludf.DUMMYFUNCTION("GOOGLETRANSLATE(N768,""EN"",""ES"")"),"El patrocinio de eventos culturales potencia la visibilidad de la marca Repsol.")</f>
        <v>El patrocinio de eventos culturales potencia la visibilidad de la marca Repsol.</v>
      </c>
      <c r="P768" s="30">
        <v>0.6</v>
      </c>
      <c r="Q768" s="18" t="str">
        <f>IFERROR(__xludf.DUMMYFUNCTION("GOOGLETRANSLATE(R768,""ES"",""EN"")"),"sponsorship, Malaga Festival")</f>
        <v>sponsorship, Malaga Festival</v>
      </c>
      <c r="R768" s="34" t="s">
        <v>3814</v>
      </c>
      <c r="S768" s="52" t="s">
        <v>6094</v>
      </c>
      <c r="T768" s="22" t="s">
        <v>6095</v>
      </c>
    </row>
    <row r="769">
      <c r="A769" s="23" t="s">
        <v>6096</v>
      </c>
      <c r="B769" s="58" t="s">
        <v>2713</v>
      </c>
      <c r="C769" s="41">
        <v>45352.0</v>
      </c>
      <c r="D769" s="40" t="s">
        <v>6097</v>
      </c>
      <c r="E769" s="41" t="s">
        <v>6098</v>
      </c>
      <c r="F769" s="43" t="s">
        <v>6099</v>
      </c>
      <c r="G769" s="43" t="s">
        <v>6100</v>
      </c>
      <c r="H769" s="59" t="s">
        <v>6101</v>
      </c>
      <c r="I769" s="25" t="str">
        <f>IFERROR(__xludf.DUMMYFUNCTION("GOOGLETRANSLATE(H769,""EN"",""ES"")"),"Marca empresarial")</f>
        <v>Marca empresarial</v>
      </c>
      <c r="J769" s="26" t="s">
        <v>27</v>
      </c>
      <c r="K769" s="17">
        <v>0.0</v>
      </c>
      <c r="L769" s="54"/>
      <c r="M769" s="31"/>
      <c r="N769" s="47"/>
      <c r="O769" s="47"/>
      <c r="P769" s="20">
        <v>0.0</v>
      </c>
      <c r="Q769" s="31"/>
      <c r="R769" s="31"/>
      <c r="S769" s="53"/>
      <c r="T769" s="32"/>
    </row>
    <row r="770">
      <c r="A770" s="33" t="s">
        <v>6102</v>
      </c>
      <c r="B770" s="60" t="s">
        <v>21</v>
      </c>
      <c r="C770" s="41">
        <v>45352.0</v>
      </c>
      <c r="D770" s="40" t="s">
        <v>6103</v>
      </c>
      <c r="E770" s="41" t="s">
        <v>6104</v>
      </c>
      <c r="F770" s="43" t="s">
        <v>6105</v>
      </c>
      <c r="G770" s="43" t="s">
        <v>6106</v>
      </c>
      <c r="H770" s="61" t="s">
        <v>969</v>
      </c>
      <c r="I770" s="15" t="str">
        <f>IFERROR(__xludf.DUMMYFUNCTION("GOOGLETRANSLATE(H770,""EN"",""ES"")"),"Turismo")</f>
        <v>Turismo</v>
      </c>
      <c r="J770" s="16" t="s">
        <v>27</v>
      </c>
      <c r="K770" s="17">
        <v>0.0</v>
      </c>
      <c r="L770" s="45"/>
      <c r="M770" s="18"/>
      <c r="N770" s="44"/>
      <c r="O770" s="44"/>
      <c r="P770" s="20">
        <v>0.0</v>
      </c>
      <c r="Q770" s="18"/>
      <c r="R770" s="18"/>
      <c r="S770" s="52"/>
      <c r="T770" s="22"/>
    </row>
    <row r="771">
      <c r="A771" s="23" t="s">
        <v>6107</v>
      </c>
      <c r="B771" s="58" t="s">
        <v>229</v>
      </c>
      <c r="C771" s="41">
        <v>45352.0</v>
      </c>
      <c r="D771" s="40" t="s">
        <v>6108</v>
      </c>
      <c r="E771" s="41" t="s">
        <v>6109</v>
      </c>
      <c r="F771" s="43" t="s">
        <v>6110</v>
      </c>
      <c r="G771" s="43" t="s">
        <v>6111</v>
      </c>
      <c r="H771" s="59" t="s">
        <v>2447</v>
      </c>
      <c r="I771" s="25" t="str">
        <f>IFERROR(__xludf.DUMMYFUNCTION("GOOGLETRANSLATE(H771,""EN"",""ES"")"),"Asuntos del Consumidor")</f>
        <v>Asuntos del Consumidor</v>
      </c>
      <c r="J771" s="26" t="s">
        <v>35</v>
      </c>
      <c r="K771" s="48">
        <v>0.6</v>
      </c>
      <c r="L771" s="49" t="s">
        <v>6112</v>
      </c>
      <c r="M771" s="28" t="s">
        <v>6113</v>
      </c>
      <c r="N771" s="47" t="s">
        <v>6114</v>
      </c>
      <c r="O771" s="47" t="str">
        <f>IFERROR(__xludf.DUMMYFUNCTION("GOOGLETRANSLATE(N771,""EN"",""ES"")"),"Ofrecer descuentos en combustible refuerza la estrategia de vinculación con el cliente de Repsol.")</f>
        <v>Ofrecer descuentos en combustible refuerza la estrategia de vinculación con el cliente de Repsol.</v>
      </c>
      <c r="P771" s="30">
        <v>0.0</v>
      </c>
      <c r="Q771" s="31"/>
      <c r="R771" s="31"/>
      <c r="S771" s="53" t="s">
        <v>5582</v>
      </c>
      <c r="T771" s="32" t="s">
        <v>5583</v>
      </c>
    </row>
    <row r="772">
      <c r="A772" s="33" t="s">
        <v>6115</v>
      </c>
      <c r="B772" s="60" t="s">
        <v>272</v>
      </c>
      <c r="C772" s="41">
        <v>45353.0</v>
      </c>
      <c r="D772" s="40" t="s">
        <v>6116</v>
      </c>
      <c r="E772" s="41" t="s">
        <v>6117</v>
      </c>
      <c r="F772" s="43" t="s">
        <v>6118</v>
      </c>
      <c r="G772" s="43" t="s">
        <v>6119</v>
      </c>
      <c r="H772" s="61" t="s">
        <v>148</v>
      </c>
      <c r="I772" s="15" t="str">
        <f>IFERROR(__xludf.DUMMYFUNCTION("GOOGLETRANSLATE(H772,""EN"",""ES"")"),"Gastronomía")</f>
        <v>Gastronomía</v>
      </c>
      <c r="J772" s="16" t="s">
        <v>27</v>
      </c>
      <c r="K772" s="17">
        <v>0.0</v>
      </c>
      <c r="L772" s="45"/>
      <c r="M772" s="18"/>
      <c r="N772" s="44"/>
      <c r="O772" s="44"/>
      <c r="P772" s="20">
        <v>0.0</v>
      </c>
      <c r="Q772" s="18"/>
      <c r="R772" s="18"/>
      <c r="S772" s="52"/>
      <c r="T772" s="22"/>
    </row>
    <row r="773">
      <c r="A773" s="23" t="s">
        <v>6120</v>
      </c>
      <c r="B773" s="58" t="s">
        <v>431</v>
      </c>
      <c r="C773" s="41">
        <v>45353.0</v>
      </c>
      <c r="D773" s="40" t="s">
        <v>6121</v>
      </c>
      <c r="E773" s="41" t="s">
        <v>6122</v>
      </c>
      <c r="F773" s="43" t="s">
        <v>6123</v>
      </c>
      <c r="G773" s="43" t="s">
        <v>6124</v>
      </c>
      <c r="H773" s="59" t="s">
        <v>148</v>
      </c>
      <c r="I773" s="25" t="str">
        <f>IFERROR(__xludf.DUMMYFUNCTION("GOOGLETRANSLATE(H773,""EN"",""ES"")"),"Gastronomía")</f>
        <v>Gastronomía</v>
      </c>
      <c r="J773" s="26" t="s">
        <v>27</v>
      </c>
      <c r="K773" s="17">
        <v>0.0</v>
      </c>
      <c r="L773" s="54"/>
      <c r="M773" s="31"/>
      <c r="N773" s="47"/>
      <c r="O773" s="47"/>
      <c r="P773" s="20">
        <v>0.0</v>
      </c>
      <c r="Q773" s="31"/>
      <c r="R773" s="31"/>
      <c r="S773" s="53"/>
      <c r="T773" s="32"/>
    </row>
    <row r="774">
      <c r="A774" s="33" t="s">
        <v>6125</v>
      </c>
      <c r="B774" s="60" t="s">
        <v>6126</v>
      </c>
      <c r="C774" s="41">
        <v>45353.0</v>
      </c>
      <c r="D774" s="40" t="s">
        <v>6127</v>
      </c>
      <c r="E774" s="41" t="s">
        <v>6128</v>
      </c>
      <c r="F774" s="43" t="s">
        <v>6129</v>
      </c>
      <c r="G774" s="43" t="s">
        <v>6130</v>
      </c>
      <c r="H774" s="61" t="s">
        <v>55</v>
      </c>
      <c r="I774" s="15" t="str">
        <f>IFERROR(__xludf.DUMMYFUNCTION("GOOGLETRANSLATE(H774,""EN"",""ES"")"),"deportes de motor")</f>
        <v>deportes de motor</v>
      </c>
      <c r="J774" s="16" t="s">
        <v>35</v>
      </c>
      <c r="K774" s="48">
        <v>0.0</v>
      </c>
      <c r="L774" s="45"/>
      <c r="M774" s="18"/>
      <c r="N774" s="44" t="s">
        <v>6131</v>
      </c>
      <c r="O774" s="44" t="str">
        <f>IFERROR(__xludf.DUMMYFUNCTION("GOOGLETRANSLATE(N774,""EN"",""ES"")"),"Los patrocinios en el deporte del motor no impactan en la percepción corporativa de Repsol.")</f>
        <v>Los patrocinios en el deporte del motor no impactan en la percepción corporativa de Repsol.</v>
      </c>
      <c r="P774" s="30">
        <v>0.5</v>
      </c>
      <c r="Q774" s="18" t="str">
        <f>IFERROR(__xludf.DUMMYFUNCTION("GOOGLETRANSLATE(R774,""ES"",""EN"")"),"Dakar, Toyota")</f>
        <v>Dakar, Toyota</v>
      </c>
      <c r="R774" s="34" t="s">
        <v>6132</v>
      </c>
      <c r="S774" s="52" t="s">
        <v>6133</v>
      </c>
      <c r="T774" s="22" t="s">
        <v>6134</v>
      </c>
    </row>
    <row r="775">
      <c r="A775" s="23" t="s">
        <v>6135</v>
      </c>
      <c r="B775" s="58" t="s">
        <v>6136</v>
      </c>
      <c r="C775" s="41">
        <v>45353.0</v>
      </c>
      <c r="D775" s="40" t="s">
        <v>6137</v>
      </c>
      <c r="E775" s="41" t="s">
        <v>6138</v>
      </c>
      <c r="F775" s="43" t="s">
        <v>6139</v>
      </c>
      <c r="G775" s="43" t="s">
        <v>6140</v>
      </c>
      <c r="H775" s="59" t="s">
        <v>2447</v>
      </c>
      <c r="I775" s="25" t="str">
        <f>IFERROR(__xludf.DUMMYFUNCTION("GOOGLETRANSLATE(H775,""EN"",""ES"")"),"Asuntos del Consumidor")</f>
        <v>Asuntos del Consumidor</v>
      </c>
      <c r="J775" s="26" t="s">
        <v>35</v>
      </c>
      <c r="K775" s="48">
        <v>0.0</v>
      </c>
      <c r="L775" s="54"/>
      <c r="M775" s="31"/>
      <c r="N775" s="47" t="s">
        <v>6141</v>
      </c>
      <c r="O775" s="47" t="str">
        <f>IFERROR(__xludf.DUMMYFUNCTION("GOOGLETRANSLATE(N775,""EN"",""ES"")"),"Las comparaciones generales de precios de combustibles no impactan en el negocio de Repsol.")</f>
        <v>Las comparaciones generales de precios de combustibles no impactan en el negocio de Repsol.</v>
      </c>
      <c r="P775" s="30">
        <v>-0.3</v>
      </c>
      <c r="Q775" s="31" t="str">
        <f>IFERROR(__xludf.DUMMYFUNCTION("GOOGLETRANSLATE(R775,""ES"",""EN"")"),"gas stations, prices")</f>
        <v>gas stations, prices</v>
      </c>
      <c r="R775" s="28" t="s">
        <v>6142</v>
      </c>
      <c r="S775" s="53" t="s">
        <v>6143</v>
      </c>
      <c r="T775" s="32" t="s">
        <v>6144</v>
      </c>
    </row>
    <row r="776">
      <c r="A776" s="33" t="s">
        <v>6145</v>
      </c>
      <c r="B776" s="60" t="s">
        <v>6146</v>
      </c>
      <c r="C776" s="41">
        <v>45353.0</v>
      </c>
      <c r="D776" s="40" t="s">
        <v>6147</v>
      </c>
      <c r="E776" s="41" t="s">
        <v>6148</v>
      </c>
      <c r="F776" s="43" t="s">
        <v>6149</v>
      </c>
      <c r="G776" s="43" t="s">
        <v>6150</v>
      </c>
      <c r="H776" s="61" t="s">
        <v>55</v>
      </c>
      <c r="I776" s="15" t="str">
        <f>IFERROR(__xludf.DUMMYFUNCTION("GOOGLETRANSLATE(H776,""EN"",""ES"")"),"deportes de motor")</f>
        <v>deportes de motor</v>
      </c>
      <c r="J776" s="16" t="s">
        <v>27</v>
      </c>
      <c r="K776" s="17">
        <v>0.0</v>
      </c>
      <c r="L776" s="45"/>
      <c r="M776" s="18"/>
      <c r="N776" s="44"/>
      <c r="O776" s="44"/>
      <c r="P776" s="20">
        <v>0.0</v>
      </c>
      <c r="Q776" s="18"/>
      <c r="R776" s="18"/>
      <c r="S776" s="52"/>
      <c r="T776" s="22"/>
    </row>
    <row r="777">
      <c r="A777" s="23" t="s">
        <v>6151</v>
      </c>
      <c r="B777" s="58" t="s">
        <v>4532</v>
      </c>
      <c r="C777" s="41">
        <v>45353.0</v>
      </c>
      <c r="D777" s="40" t="s">
        <v>6152</v>
      </c>
      <c r="E777" s="41" t="s">
        <v>6153</v>
      </c>
      <c r="F777" s="43" t="s">
        <v>6154</v>
      </c>
      <c r="G777" s="43" t="s">
        <v>6155</v>
      </c>
      <c r="H777" s="59" t="s">
        <v>5747</v>
      </c>
      <c r="I777" s="25" t="str">
        <f>IFERROR(__xludf.DUMMYFUNCTION("GOOGLETRANSLATE(H777,""EN"",""ES"")"),"Mercado energético")</f>
        <v>Mercado energético</v>
      </c>
      <c r="J777" s="26" t="s">
        <v>35</v>
      </c>
      <c r="K777" s="48">
        <v>0.0</v>
      </c>
      <c r="L777" s="54"/>
      <c r="M777" s="31"/>
      <c r="N777" s="47" t="s">
        <v>6156</v>
      </c>
      <c r="O777" s="47" t="str">
        <f>IFERROR(__xludf.DUMMYFUNCTION("GOOGLETRANSLATE(N777,""EN"",""ES"")"),"Los costes generales de carga de vehículos eléctricos no impactan en la percepción corporativa de Repsol.")</f>
        <v>Los costes generales de carga de vehículos eléctricos no impactan en la percepción corporativa de Repsol.</v>
      </c>
      <c r="P777" s="30">
        <v>0.0</v>
      </c>
      <c r="Q777" s="31"/>
      <c r="R777" s="31"/>
      <c r="S777" s="53" t="s">
        <v>5582</v>
      </c>
      <c r="T777" s="32" t="s">
        <v>5583</v>
      </c>
    </row>
    <row r="778">
      <c r="A778" s="33" t="s">
        <v>6157</v>
      </c>
      <c r="B778" s="60" t="s">
        <v>21</v>
      </c>
      <c r="C778" s="41">
        <v>45354.0</v>
      </c>
      <c r="D778" s="40" t="s">
        <v>6158</v>
      </c>
      <c r="E778" s="41" t="s">
        <v>6159</v>
      </c>
      <c r="F778" s="43" t="s">
        <v>6160</v>
      </c>
      <c r="G778" s="43" t="s">
        <v>6161</v>
      </c>
      <c r="H778" s="61" t="s">
        <v>148</v>
      </c>
      <c r="I778" s="15" t="str">
        <f>IFERROR(__xludf.DUMMYFUNCTION("GOOGLETRANSLATE(H778,""EN"",""ES"")"),"Gastronomía")</f>
        <v>Gastronomía</v>
      </c>
      <c r="J778" s="16" t="s">
        <v>27</v>
      </c>
      <c r="K778" s="17">
        <v>0.0</v>
      </c>
      <c r="L778" s="45"/>
      <c r="M778" s="18"/>
      <c r="N778" s="44"/>
      <c r="O778" s="44"/>
      <c r="P778" s="20">
        <v>0.0</v>
      </c>
      <c r="Q778" s="18"/>
      <c r="R778" s="18"/>
      <c r="S778" s="52"/>
      <c r="T778" s="22"/>
    </row>
    <row r="779">
      <c r="A779" s="23" t="s">
        <v>6162</v>
      </c>
      <c r="B779" s="58" t="s">
        <v>437</v>
      </c>
      <c r="C779" s="41">
        <v>45354.0</v>
      </c>
      <c r="D779" s="40" t="s">
        <v>6163</v>
      </c>
      <c r="E779" s="41" t="s">
        <v>6164</v>
      </c>
      <c r="F779" s="43" t="s">
        <v>6165</v>
      </c>
      <c r="G779" s="43" t="s">
        <v>6166</v>
      </c>
      <c r="H779" s="59" t="s">
        <v>148</v>
      </c>
      <c r="I779" s="25" t="str">
        <f>IFERROR(__xludf.DUMMYFUNCTION("GOOGLETRANSLATE(H779,""EN"",""ES"")"),"Gastronomía")</f>
        <v>Gastronomía</v>
      </c>
      <c r="J779" s="26" t="s">
        <v>27</v>
      </c>
      <c r="K779" s="17">
        <v>0.0</v>
      </c>
      <c r="L779" s="54"/>
      <c r="M779" s="31"/>
      <c r="N779" s="47"/>
      <c r="O779" s="47"/>
      <c r="P779" s="20">
        <v>0.0</v>
      </c>
      <c r="Q779" s="31"/>
      <c r="R779" s="31"/>
      <c r="S779" s="53"/>
      <c r="T779" s="32"/>
    </row>
    <row r="780">
      <c r="A780" s="33" t="s">
        <v>6167</v>
      </c>
      <c r="B780" s="60" t="s">
        <v>6168</v>
      </c>
      <c r="C780" s="41">
        <v>45354.0</v>
      </c>
      <c r="D780" s="40" t="s">
        <v>6169</v>
      </c>
      <c r="E780" s="41" t="s">
        <v>6170</v>
      </c>
      <c r="F780" s="43" t="s">
        <v>6171</v>
      </c>
      <c r="G780" s="43" t="s">
        <v>6172</v>
      </c>
      <c r="H780" s="61" t="s">
        <v>2281</v>
      </c>
      <c r="I780" s="15" t="str">
        <f>IFERROR(__xludf.DUMMYFUNCTION("GOOGLETRANSLATE(H780,""EN"",""ES"")"),"Operaciones comerciales")</f>
        <v>Operaciones comerciales</v>
      </c>
      <c r="J780" s="16" t="s">
        <v>35</v>
      </c>
      <c r="K780" s="48">
        <v>0.6</v>
      </c>
      <c r="L780" s="51" t="s">
        <v>6173</v>
      </c>
      <c r="M780" s="34" t="s">
        <v>6174</v>
      </c>
      <c r="N780" s="44" t="s">
        <v>6175</v>
      </c>
      <c r="O780" s="44" t="str">
        <f>IFERROR(__xludf.DUMMYFUNCTION("GOOGLETRANSLATE(N780,""EN"",""ES"")"),"La celebración de hitos logísticos refuerza la presencia en infraestructuras de Repsol.")</f>
        <v>La celebración de hitos logísticos refuerza la presencia en infraestructuras de Repsol.</v>
      </c>
      <c r="P780" s="30">
        <v>0.3</v>
      </c>
      <c r="Q780" s="18" t="str">
        <f>IFERROR(__xludf.DUMMYFUNCTION("GOOGLETRANSLATE(R780,""ES"",""EN"")"),"terminal, downloads, crude")</f>
        <v>terminal, downloads, crude</v>
      </c>
      <c r="R780" s="34" t="s">
        <v>6176</v>
      </c>
      <c r="S780" s="52" t="s">
        <v>6177</v>
      </c>
      <c r="T780" s="22" t="s">
        <v>6178</v>
      </c>
    </row>
    <row r="781">
      <c r="A781" s="23" t="s">
        <v>6179</v>
      </c>
      <c r="B781" s="58" t="s">
        <v>103</v>
      </c>
      <c r="C781" s="41">
        <v>45354.0</v>
      </c>
      <c r="D781" s="40" t="s">
        <v>6180</v>
      </c>
      <c r="E781" s="41" t="s">
        <v>6181</v>
      </c>
      <c r="F781" s="43" t="s">
        <v>6182</v>
      </c>
      <c r="G781" s="43" t="s">
        <v>6183</v>
      </c>
      <c r="H781" s="59" t="s">
        <v>48</v>
      </c>
      <c r="I781" s="25" t="str">
        <f>IFERROR(__xludf.DUMMYFUNCTION("GOOGLETRANSLATE(H781,""EN"",""ES"")"),"Finanzas")</f>
        <v>Finanzas</v>
      </c>
      <c r="J781" s="26" t="s">
        <v>35</v>
      </c>
      <c r="K781" s="48">
        <v>0.0</v>
      </c>
      <c r="L781" s="54"/>
      <c r="M781" s="31"/>
      <c r="N781" s="47" t="s">
        <v>6184</v>
      </c>
      <c r="O781" s="47" t="str">
        <f>IFERROR(__xludf.DUMMYFUNCTION("GOOGLETRANSLATE(N781,""EN"",""ES"")"),"Las discusiones generales del sector energético no impactan el negocio de Repsol.")</f>
        <v>Las discusiones generales del sector energético no impactan el negocio de Repsol.</v>
      </c>
      <c r="P781" s="30">
        <v>0.6</v>
      </c>
      <c r="Q781" s="31" t="str">
        <f>IFERROR(__xludf.DUMMYFUNCTION("GOOGLETRANSLATE(R781,""ES"",""EN"")"),"profits, energy")</f>
        <v>profits, energy</v>
      </c>
      <c r="R781" s="28" t="s">
        <v>6185</v>
      </c>
      <c r="S781" s="53" t="s">
        <v>6186</v>
      </c>
      <c r="T781" s="32" t="s">
        <v>6187</v>
      </c>
    </row>
    <row r="782">
      <c r="A782" s="33" t="s">
        <v>6188</v>
      </c>
      <c r="B782" s="60" t="s">
        <v>2792</v>
      </c>
      <c r="C782" s="41">
        <v>45354.0</v>
      </c>
      <c r="D782" s="40" t="s">
        <v>6189</v>
      </c>
      <c r="E782" s="41" t="s">
        <v>6190</v>
      </c>
      <c r="F782" s="43" t="s">
        <v>6191</v>
      </c>
      <c r="G782" s="43" t="s">
        <v>6192</v>
      </c>
      <c r="H782" s="61" t="s">
        <v>148</v>
      </c>
      <c r="I782" s="15" t="str">
        <f>IFERROR(__xludf.DUMMYFUNCTION("GOOGLETRANSLATE(H782,""EN"",""ES"")"),"Gastronomía")</f>
        <v>Gastronomía</v>
      </c>
      <c r="J782" s="16" t="s">
        <v>27</v>
      </c>
      <c r="K782" s="17">
        <v>0.0</v>
      </c>
      <c r="L782" s="45"/>
      <c r="M782" s="18"/>
      <c r="N782" s="44"/>
      <c r="O782" s="44"/>
      <c r="P782" s="20">
        <v>0.0</v>
      </c>
      <c r="Q782" s="18"/>
      <c r="R782" s="18"/>
      <c r="S782" s="52"/>
      <c r="T782" s="22"/>
    </row>
    <row r="783">
      <c r="A783" s="23" t="s">
        <v>6193</v>
      </c>
      <c r="B783" s="58" t="s">
        <v>6194</v>
      </c>
      <c r="C783" s="41">
        <v>45354.0</v>
      </c>
      <c r="D783" s="40" t="s">
        <v>6195</v>
      </c>
      <c r="E783" s="41" t="s">
        <v>6196</v>
      </c>
      <c r="F783" s="43" t="s">
        <v>6197</v>
      </c>
      <c r="G783" s="43" t="s">
        <v>6198</v>
      </c>
      <c r="H783" s="59" t="s">
        <v>148</v>
      </c>
      <c r="I783" s="25" t="str">
        <f>IFERROR(__xludf.DUMMYFUNCTION("GOOGLETRANSLATE(H783,""EN"",""ES"")"),"Gastronomía")</f>
        <v>Gastronomía</v>
      </c>
      <c r="J783" s="26" t="s">
        <v>27</v>
      </c>
      <c r="K783" s="17">
        <v>0.0</v>
      </c>
      <c r="L783" s="54"/>
      <c r="M783" s="31"/>
      <c r="N783" s="47"/>
      <c r="O783" s="47"/>
      <c r="P783" s="20">
        <v>0.0</v>
      </c>
      <c r="Q783" s="31"/>
      <c r="R783" s="31"/>
      <c r="S783" s="53"/>
      <c r="T783" s="32"/>
    </row>
    <row r="784">
      <c r="A784" s="33" t="s">
        <v>6199</v>
      </c>
      <c r="B784" s="60" t="s">
        <v>1005</v>
      </c>
      <c r="C784" s="41">
        <v>45354.0</v>
      </c>
      <c r="D784" s="40" t="s">
        <v>6200</v>
      </c>
      <c r="E784" s="41" t="s">
        <v>6201</v>
      </c>
      <c r="F784" s="43" t="s">
        <v>6202</v>
      </c>
      <c r="G784" s="43" t="s">
        <v>6203</v>
      </c>
      <c r="H784" s="61" t="s">
        <v>148</v>
      </c>
      <c r="I784" s="15" t="str">
        <f>IFERROR(__xludf.DUMMYFUNCTION("GOOGLETRANSLATE(H784,""EN"",""ES"")"),"Gastronomía")</f>
        <v>Gastronomía</v>
      </c>
      <c r="J784" s="16" t="s">
        <v>27</v>
      </c>
      <c r="K784" s="17">
        <v>0.0</v>
      </c>
      <c r="L784" s="45"/>
      <c r="M784" s="18"/>
      <c r="N784" s="44"/>
      <c r="O784" s="44"/>
      <c r="P784" s="20">
        <v>0.0</v>
      </c>
      <c r="Q784" s="18"/>
      <c r="R784" s="18"/>
      <c r="S784" s="52"/>
      <c r="T784" s="22"/>
    </row>
    <row r="785">
      <c r="A785" s="23" t="s">
        <v>6204</v>
      </c>
      <c r="B785" s="58" t="s">
        <v>2952</v>
      </c>
      <c r="C785" s="41">
        <v>45354.0</v>
      </c>
      <c r="D785" s="40" t="s">
        <v>6205</v>
      </c>
      <c r="E785" s="41" t="s">
        <v>6206</v>
      </c>
      <c r="F785" s="43" t="s">
        <v>6207</v>
      </c>
      <c r="G785" s="43" t="s">
        <v>6208</v>
      </c>
      <c r="H785" s="59" t="s">
        <v>2281</v>
      </c>
      <c r="I785" s="25" t="str">
        <f>IFERROR(__xludf.DUMMYFUNCTION("GOOGLETRANSLATE(H785,""EN"",""ES"")"),"Operaciones comerciales")</f>
        <v>Operaciones comerciales</v>
      </c>
      <c r="J785" s="26" t="s">
        <v>27</v>
      </c>
      <c r="K785" s="17">
        <v>0.0</v>
      </c>
      <c r="L785" s="54"/>
      <c r="M785" s="31"/>
      <c r="N785" s="47"/>
      <c r="O785" s="47"/>
      <c r="P785" s="20">
        <v>0.0</v>
      </c>
      <c r="Q785" s="31"/>
      <c r="R785" s="31"/>
      <c r="S785" s="53"/>
      <c r="T785" s="32"/>
    </row>
    <row r="786">
      <c r="A786" s="33" t="s">
        <v>6209</v>
      </c>
      <c r="B786" s="60" t="s">
        <v>85</v>
      </c>
      <c r="C786" s="41">
        <v>45354.0</v>
      </c>
      <c r="D786" s="40" t="s">
        <v>6210</v>
      </c>
      <c r="E786" s="41" t="s">
        <v>6211</v>
      </c>
      <c r="F786" s="43" t="s">
        <v>6212</v>
      </c>
      <c r="G786" s="43" t="s">
        <v>6213</v>
      </c>
      <c r="H786" s="61" t="s">
        <v>2447</v>
      </c>
      <c r="I786" s="15" t="str">
        <f>IFERROR(__xludf.DUMMYFUNCTION("GOOGLETRANSLATE(H786,""EN"",""ES"")"),"Asuntos del Consumidor")</f>
        <v>Asuntos del Consumidor</v>
      </c>
      <c r="J786" s="16" t="s">
        <v>35</v>
      </c>
      <c r="K786" s="48">
        <v>0.6</v>
      </c>
      <c r="L786" s="51" t="s">
        <v>6112</v>
      </c>
      <c r="M786" s="34" t="s">
        <v>6113</v>
      </c>
      <c r="N786" s="44" t="s">
        <v>6214</v>
      </c>
      <c r="O786" s="44" t="str">
        <f>IFERROR(__xludf.DUMMYFUNCTION("GOOGLETRANSLATE(N786,""EN"",""ES"")"),"Ofrecer descuentos en combustible refuerza el compromiso con el cliente de Repsol.")</f>
        <v>Ofrecer descuentos en combustible refuerza el compromiso con el cliente de Repsol.</v>
      </c>
      <c r="P786" s="30">
        <v>0.3</v>
      </c>
      <c r="Q786" s="18" t="str">
        <f>IFERROR(__xludf.DUMMYFUNCTION("GOOGLETRANSLATE(R786,""ES"",""EN"")"),"terminal, downloads, crude")</f>
        <v>terminal, downloads, crude</v>
      </c>
      <c r="R786" s="34" t="s">
        <v>6176</v>
      </c>
      <c r="S786" s="52" t="s">
        <v>6177</v>
      </c>
      <c r="T786" s="22" t="s">
        <v>6178</v>
      </c>
    </row>
    <row r="787">
      <c r="A787" s="23" t="s">
        <v>6215</v>
      </c>
      <c r="B787" s="58" t="s">
        <v>254</v>
      </c>
      <c r="C787" s="41">
        <v>45354.0</v>
      </c>
      <c r="D787" s="40" t="s">
        <v>6216</v>
      </c>
      <c r="E787" s="41" t="s">
        <v>6217</v>
      </c>
      <c r="F787" s="43" t="s">
        <v>6218</v>
      </c>
      <c r="G787" s="43" t="s">
        <v>6219</v>
      </c>
      <c r="H787" s="59" t="s">
        <v>661</v>
      </c>
      <c r="I787" s="25" t="str">
        <f>IFERROR(__xludf.DUMMYFUNCTION("GOOGLETRANSLATE(H787,""EN"",""ES"")"),"Estrategia empresarial")</f>
        <v>Estrategia empresarial</v>
      </c>
      <c r="J787" s="26" t="s">
        <v>35</v>
      </c>
      <c r="K787" s="48">
        <v>0.7</v>
      </c>
      <c r="L787" s="49" t="s">
        <v>6220</v>
      </c>
      <c r="M787" s="28" t="s">
        <v>6221</v>
      </c>
      <c r="N787" s="47" t="s">
        <v>6222</v>
      </c>
      <c r="O787" s="47" t="str">
        <f>IFERROR(__xludf.DUMMYFUNCTION("GOOGLETRANSLATE(N787,""EN"",""ES"")"),"Posicionarse como proveedor energético integral refuerza la presencia de Repsol en el mercado.")</f>
        <v>Posicionarse como proveedor energético integral refuerza la presencia de Repsol en el mercado.</v>
      </c>
      <c r="P787" s="30">
        <v>0.5</v>
      </c>
      <c r="Q787" s="31" t="str">
        <f>IFERROR(__xludf.DUMMYFUNCTION("GOOGLETRANSLATE(R787,""ES"",""EN"")"),"promotions, fuel")</f>
        <v>promotions, fuel</v>
      </c>
      <c r="R787" s="28" t="s">
        <v>6223</v>
      </c>
      <c r="S787" s="53" t="s">
        <v>6224</v>
      </c>
      <c r="T787" s="32" t="s">
        <v>6225</v>
      </c>
    </row>
    <row r="788">
      <c r="A788" s="62" t="s">
        <v>6226</v>
      </c>
      <c r="B788" s="60" t="s">
        <v>6227</v>
      </c>
      <c r="C788" s="41">
        <v>45355.0</v>
      </c>
      <c r="D788" s="40" t="s">
        <v>6228</v>
      </c>
      <c r="E788" s="41" t="s">
        <v>6229</v>
      </c>
      <c r="F788" s="43" t="s">
        <v>6230</v>
      </c>
      <c r="G788" s="43" t="s">
        <v>6231</v>
      </c>
      <c r="H788" s="61" t="s">
        <v>661</v>
      </c>
      <c r="I788" s="15" t="str">
        <f>IFERROR(__xludf.DUMMYFUNCTION("GOOGLETRANSLATE(H788,""EN"",""ES"")"),"Estrategia empresarial")</f>
        <v>Estrategia empresarial</v>
      </c>
      <c r="J788" s="16" t="s">
        <v>27</v>
      </c>
      <c r="K788" s="17">
        <v>0.0</v>
      </c>
      <c r="L788" s="45"/>
      <c r="M788" s="18"/>
      <c r="N788" s="44"/>
      <c r="O788" s="44"/>
      <c r="P788" s="20">
        <v>0.0</v>
      </c>
      <c r="Q788" s="18"/>
      <c r="R788" s="18"/>
      <c r="S788" s="52"/>
      <c r="T788" s="22"/>
    </row>
    <row r="789">
      <c r="A789" s="63" t="s">
        <v>6232</v>
      </c>
      <c r="B789" s="58" t="s">
        <v>163</v>
      </c>
      <c r="C789" s="41">
        <v>45355.0</v>
      </c>
      <c r="D789" s="40" t="s">
        <v>6233</v>
      </c>
      <c r="E789" s="41" t="s">
        <v>6234</v>
      </c>
      <c r="F789" s="43" t="s">
        <v>6235</v>
      </c>
      <c r="G789" s="43" t="s">
        <v>6236</v>
      </c>
      <c r="H789" s="59" t="s">
        <v>130</v>
      </c>
      <c r="I789" s="25" t="str">
        <f>IFERROR(__xludf.DUMMYFUNCTION("GOOGLETRANSLATE(H789,""EN"",""ES"")"),"Sostenibilidad")</f>
        <v>Sostenibilidad</v>
      </c>
      <c r="J789" s="26" t="s">
        <v>35</v>
      </c>
      <c r="K789" s="48">
        <v>0.7</v>
      </c>
      <c r="L789" s="49" t="s">
        <v>6237</v>
      </c>
      <c r="M789" s="28" t="s">
        <v>6238</v>
      </c>
      <c r="N789" s="47" t="s">
        <v>6239</v>
      </c>
      <c r="O789" s="47" t="str">
        <f>IFERROR(__xludf.DUMMYFUNCTION("GOOGLETRANSLATE(N789,""EN"",""ES"")"),"La ampliación de la infraestructura de carga de vehículos eléctricos respalda la transición de Repsol hacia las energías limpias.")</f>
        <v>La ampliación de la infraestructura de carga de vehículos eléctricos respalda la transición de Repsol hacia las energías limpias.</v>
      </c>
      <c r="P789" s="30">
        <v>0.8</v>
      </c>
      <c r="Q789" s="31" t="str">
        <f>IFERROR(__xludf.DUMMYFUNCTION("GOOGLETRANSLATE(R789,""ES"",""EN"")"),"energy solution, reduce emissions")</f>
        <v>energy solution, reduce emissions</v>
      </c>
      <c r="R789" s="28" t="s">
        <v>6240</v>
      </c>
      <c r="S789" s="53" t="s">
        <v>6241</v>
      </c>
      <c r="T789" s="32" t="s">
        <v>6242</v>
      </c>
    </row>
    <row r="790">
      <c r="A790" s="62" t="s">
        <v>6243</v>
      </c>
      <c r="B790" s="60" t="s">
        <v>1081</v>
      </c>
      <c r="C790" s="41">
        <v>45355.0</v>
      </c>
      <c r="D790" s="40" t="s">
        <v>6244</v>
      </c>
      <c r="E790" s="41" t="s">
        <v>6245</v>
      </c>
      <c r="F790" s="43" t="s">
        <v>6246</v>
      </c>
      <c r="G790" s="43" t="s">
        <v>6247</v>
      </c>
      <c r="H790" s="61" t="s">
        <v>661</v>
      </c>
      <c r="I790" s="15" t="str">
        <f>IFERROR(__xludf.DUMMYFUNCTION("GOOGLETRANSLATE(H790,""EN"",""ES"")"),"Estrategia empresarial")</f>
        <v>Estrategia empresarial</v>
      </c>
      <c r="J790" s="16" t="s">
        <v>35</v>
      </c>
      <c r="K790" s="48">
        <v>0.6</v>
      </c>
      <c r="L790" s="51" t="s">
        <v>6248</v>
      </c>
      <c r="M790" s="34" t="s">
        <v>6249</v>
      </c>
      <c r="N790" s="44" t="s">
        <v>6250</v>
      </c>
      <c r="O790" s="44" t="str">
        <f>IFERROR(__xludf.DUMMYFUNCTION("GOOGLETRANSLATE(N790,""EN"",""ES"")"),"Una importante inversión en logística portuaria refuerza la eficiencia de la cadena de suministro y la expansión del mercado de Repsol.")</f>
        <v>Una importante inversión en logística portuaria refuerza la eficiencia de la cadena de suministro y la expansión del mercado de Repsol.</v>
      </c>
      <c r="P790" s="30">
        <v>0.5</v>
      </c>
      <c r="Q790" s="18" t="str">
        <f>IFERROR(__xludf.DUMMYFUNCTION("GOOGLETRANSLATE(R790,""ES"",""EN"")"),"investment, outer port")</f>
        <v>investment, outer port</v>
      </c>
      <c r="R790" s="34" t="s">
        <v>6251</v>
      </c>
      <c r="S790" s="52" t="s">
        <v>6252</v>
      </c>
      <c r="T790" s="22" t="s">
        <v>6253</v>
      </c>
    </row>
    <row r="791">
      <c r="A791" s="63" t="s">
        <v>6254</v>
      </c>
      <c r="B791" s="58" t="s">
        <v>674</v>
      </c>
      <c r="C791" s="41">
        <v>45355.0</v>
      </c>
      <c r="D791" s="40" t="s">
        <v>6255</v>
      </c>
      <c r="E791" s="41" t="s">
        <v>6256</v>
      </c>
      <c r="F791" s="43" t="s">
        <v>6257</v>
      </c>
      <c r="G791" s="43" t="s">
        <v>6258</v>
      </c>
      <c r="H791" s="59" t="s">
        <v>130</v>
      </c>
      <c r="I791" s="25" t="str">
        <f>IFERROR(__xludf.DUMMYFUNCTION("GOOGLETRANSLATE(H791,""EN"",""ES"")"),"Sostenibilidad")</f>
        <v>Sostenibilidad</v>
      </c>
      <c r="J791" s="26" t="s">
        <v>35</v>
      </c>
      <c r="K791" s="48">
        <v>0.7</v>
      </c>
      <c r="L791" s="49" t="s">
        <v>6259</v>
      </c>
      <c r="M791" s="28" t="s">
        <v>6260</v>
      </c>
      <c r="N791" s="47" t="s">
        <v>6261</v>
      </c>
      <c r="O791" s="47" t="str">
        <f>IFERROR(__xludf.DUMMYFUNCTION("GOOGLETRANSLATE(N791,""EN"",""ES"")"),"El apoyo a las energías renovables en entornos extremos refuerza las iniciativas verdes de Repsol.")</f>
        <v>El apoyo a las energías renovables en entornos extremos refuerza las iniciativas verdes de Repsol.</v>
      </c>
      <c r="P791" s="30">
        <v>0.4</v>
      </c>
      <c r="Q791" s="31" t="str">
        <f>IFERROR(__xludf.DUMMYFUNCTION("GOOGLETRANSLATE(R791,""ES"",""EN"")"),"Army, Antarctica")</f>
        <v>Army, Antarctica</v>
      </c>
      <c r="R791" s="28" t="s">
        <v>6262</v>
      </c>
      <c r="S791" s="53" t="s">
        <v>6263</v>
      </c>
      <c r="T791" s="32" t="s">
        <v>6264</v>
      </c>
    </row>
    <row r="792">
      <c r="A792" s="62" t="s">
        <v>6265</v>
      </c>
      <c r="B792" s="60" t="s">
        <v>2498</v>
      </c>
      <c r="C792" s="41">
        <v>45355.0</v>
      </c>
      <c r="D792" s="40" t="s">
        <v>6266</v>
      </c>
      <c r="E792" s="41" t="s">
        <v>6267</v>
      </c>
      <c r="F792" s="43" t="s">
        <v>6268</v>
      </c>
      <c r="G792" s="43" t="s">
        <v>6269</v>
      </c>
      <c r="H792" s="61" t="s">
        <v>148</v>
      </c>
      <c r="I792" s="15" t="str">
        <f>IFERROR(__xludf.DUMMYFUNCTION("GOOGLETRANSLATE(H792,""EN"",""ES"")"),"Gastronomía")</f>
        <v>Gastronomía</v>
      </c>
      <c r="J792" s="16" t="s">
        <v>27</v>
      </c>
      <c r="K792" s="17">
        <v>0.0</v>
      </c>
      <c r="L792" s="45"/>
      <c r="M792" s="18"/>
      <c r="N792" s="44"/>
      <c r="O792" s="44"/>
      <c r="P792" s="20">
        <v>0.0</v>
      </c>
      <c r="Q792" s="18"/>
      <c r="R792" s="18"/>
      <c r="S792" s="52"/>
      <c r="T792" s="22"/>
    </row>
    <row r="793">
      <c r="A793" s="63" t="s">
        <v>6270</v>
      </c>
      <c r="B793" s="58" t="s">
        <v>4634</v>
      </c>
      <c r="C793" s="41">
        <v>45355.0</v>
      </c>
      <c r="D793" s="40" t="s">
        <v>6271</v>
      </c>
      <c r="E793" s="41" t="s">
        <v>6272</v>
      </c>
      <c r="F793" s="43" t="s">
        <v>6273</v>
      </c>
      <c r="G793" s="43" t="s">
        <v>6274</v>
      </c>
      <c r="H793" s="59" t="s">
        <v>148</v>
      </c>
      <c r="I793" s="25" t="str">
        <f>IFERROR(__xludf.DUMMYFUNCTION("GOOGLETRANSLATE(H793,""EN"",""ES"")"),"Gastronomía")</f>
        <v>Gastronomía</v>
      </c>
      <c r="J793" s="26" t="s">
        <v>27</v>
      </c>
      <c r="K793" s="17">
        <v>0.0</v>
      </c>
      <c r="L793" s="54"/>
      <c r="M793" s="31"/>
      <c r="N793" s="47"/>
      <c r="O793" s="47"/>
      <c r="P793" s="20">
        <v>0.0</v>
      </c>
      <c r="Q793" s="31"/>
      <c r="R793" s="31"/>
      <c r="S793" s="53"/>
      <c r="T793" s="32"/>
    </row>
    <row r="794">
      <c r="A794" s="62" t="s">
        <v>6275</v>
      </c>
      <c r="B794" s="60" t="s">
        <v>21</v>
      </c>
      <c r="C794" s="41">
        <v>45355.0</v>
      </c>
      <c r="D794" s="40" t="s">
        <v>6276</v>
      </c>
      <c r="E794" s="41" t="s">
        <v>6277</v>
      </c>
      <c r="F794" s="43" t="s">
        <v>6278</v>
      </c>
      <c r="G794" s="43" t="s">
        <v>6279</v>
      </c>
      <c r="H794" s="61" t="s">
        <v>148</v>
      </c>
      <c r="I794" s="15" t="str">
        <f>IFERROR(__xludf.DUMMYFUNCTION("GOOGLETRANSLATE(H794,""EN"",""ES"")"),"Gastronomía")</f>
        <v>Gastronomía</v>
      </c>
      <c r="J794" s="16" t="s">
        <v>27</v>
      </c>
      <c r="K794" s="17">
        <v>0.0</v>
      </c>
      <c r="L794" s="45"/>
      <c r="M794" s="18"/>
      <c r="N794" s="44"/>
      <c r="O794" s="44"/>
      <c r="P794" s="20">
        <v>0.0</v>
      </c>
      <c r="Q794" s="18"/>
      <c r="R794" s="18"/>
      <c r="S794" s="52"/>
      <c r="T794" s="22"/>
    </row>
    <row r="795">
      <c r="A795" s="63" t="s">
        <v>6280</v>
      </c>
      <c r="B795" s="58" t="s">
        <v>1970</v>
      </c>
      <c r="C795" s="41">
        <v>45355.0</v>
      </c>
      <c r="D795" s="40" t="s">
        <v>6281</v>
      </c>
      <c r="E795" s="41" t="s">
        <v>6282</v>
      </c>
      <c r="F795" s="43" t="s">
        <v>6283</v>
      </c>
      <c r="G795" s="43" t="s">
        <v>6284</v>
      </c>
      <c r="H795" s="59" t="s">
        <v>148</v>
      </c>
      <c r="I795" s="25" t="str">
        <f>IFERROR(__xludf.DUMMYFUNCTION("GOOGLETRANSLATE(H795,""EN"",""ES"")"),"Gastronomía")</f>
        <v>Gastronomía</v>
      </c>
      <c r="J795" s="26" t="s">
        <v>27</v>
      </c>
      <c r="K795" s="17">
        <v>0.0</v>
      </c>
      <c r="L795" s="54"/>
      <c r="M795" s="31"/>
      <c r="N795" s="47"/>
      <c r="O795" s="47"/>
      <c r="P795" s="20">
        <v>0.0</v>
      </c>
      <c r="Q795" s="31"/>
      <c r="R795" s="31"/>
      <c r="S795" s="53"/>
      <c r="T795" s="32"/>
    </row>
    <row r="796">
      <c r="A796" s="62" t="s">
        <v>6285</v>
      </c>
      <c r="B796" s="60" t="s">
        <v>6286</v>
      </c>
      <c r="C796" s="41">
        <v>45355.0</v>
      </c>
      <c r="D796" s="40" t="s">
        <v>6287</v>
      </c>
      <c r="E796" s="41" t="s">
        <v>6288</v>
      </c>
      <c r="F796" s="43" t="s">
        <v>6289</v>
      </c>
      <c r="G796" s="43" t="s">
        <v>6290</v>
      </c>
      <c r="H796" s="61" t="s">
        <v>148</v>
      </c>
      <c r="I796" s="15" t="str">
        <f>IFERROR(__xludf.DUMMYFUNCTION("GOOGLETRANSLATE(H796,""EN"",""ES"")"),"Gastronomía")</f>
        <v>Gastronomía</v>
      </c>
      <c r="J796" s="16" t="s">
        <v>27</v>
      </c>
      <c r="K796" s="17">
        <v>0.0</v>
      </c>
      <c r="L796" s="45"/>
      <c r="M796" s="18"/>
      <c r="N796" s="44"/>
      <c r="O796" s="44"/>
      <c r="P796" s="20">
        <v>0.0</v>
      </c>
      <c r="Q796" s="18"/>
      <c r="R796" s="18"/>
      <c r="S796" s="52"/>
      <c r="T796" s="22"/>
    </row>
    <row r="797">
      <c r="A797" s="63" t="s">
        <v>6291</v>
      </c>
      <c r="B797" s="58" t="s">
        <v>85</v>
      </c>
      <c r="C797" s="41">
        <v>45355.0</v>
      </c>
      <c r="D797" s="40" t="s">
        <v>6292</v>
      </c>
      <c r="E797" s="41" t="s">
        <v>6293</v>
      </c>
      <c r="F797" s="43" t="s">
        <v>6294</v>
      </c>
      <c r="G797" s="43" t="s">
        <v>6295</v>
      </c>
      <c r="H797" s="59" t="s">
        <v>148</v>
      </c>
      <c r="I797" s="25" t="str">
        <f>IFERROR(__xludf.DUMMYFUNCTION("GOOGLETRANSLATE(H797,""EN"",""ES"")"),"Gastronomía")</f>
        <v>Gastronomía</v>
      </c>
      <c r="J797" s="26" t="s">
        <v>27</v>
      </c>
      <c r="K797" s="17">
        <v>0.0</v>
      </c>
      <c r="L797" s="54"/>
      <c r="M797" s="31"/>
      <c r="N797" s="47"/>
      <c r="O797" s="47"/>
      <c r="P797" s="20">
        <v>0.0</v>
      </c>
      <c r="Q797" s="31"/>
      <c r="R797" s="31"/>
      <c r="S797" s="53"/>
      <c r="T797" s="32"/>
    </row>
    <row r="798">
      <c r="A798" s="33" t="s">
        <v>6296</v>
      </c>
      <c r="B798" s="60" t="s">
        <v>6297</v>
      </c>
      <c r="C798" s="41">
        <v>45355.0</v>
      </c>
      <c r="D798" s="40" t="s">
        <v>6298</v>
      </c>
      <c r="E798" s="41" t="s">
        <v>6299</v>
      </c>
      <c r="F798" s="43" t="s">
        <v>6300</v>
      </c>
      <c r="G798" s="43" t="s">
        <v>6301</v>
      </c>
      <c r="H798" s="61" t="s">
        <v>148</v>
      </c>
      <c r="I798" s="15" t="str">
        <f>IFERROR(__xludf.DUMMYFUNCTION("GOOGLETRANSLATE(H798,""EN"",""ES"")"),"Gastronomía")</f>
        <v>Gastronomía</v>
      </c>
      <c r="J798" s="16" t="s">
        <v>27</v>
      </c>
      <c r="K798" s="17">
        <v>0.0</v>
      </c>
      <c r="L798" s="45"/>
      <c r="M798" s="18"/>
      <c r="N798" s="44"/>
      <c r="O798" s="44"/>
      <c r="P798" s="20">
        <v>0.0</v>
      </c>
      <c r="Q798" s="18"/>
      <c r="R798" s="18"/>
      <c r="S798" s="52"/>
      <c r="T798" s="22"/>
    </row>
    <row r="799">
      <c r="A799" s="23" t="s">
        <v>6302</v>
      </c>
      <c r="B799" s="58" t="s">
        <v>3151</v>
      </c>
      <c r="C799" s="41">
        <v>45355.0</v>
      </c>
      <c r="D799" s="40" t="s">
        <v>6303</v>
      </c>
      <c r="E799" s="41" t="s">
        <v>6304</v>
      </c>
      <c r="F799" s="43" t="s">
        <v>6305</v>
      </c>
      <c r="G799" s="43" t="s">
        <v>6306</v>
      </c>
      <c r="H799" s="59" t="s">
        <v>148</v>
      </c>
      <c r="I799" s="25" t="str">
        <f>IFERROR(__xludf.DUMMYFUNCTION("GOOGLETRANSLATE(H799,""EN"",""ES"")"),"Gastronomía")</f>
        <v>Gastronomía</v>
      </c>
      <c r="J799" s="26" t="s">
        <v>27</v>
      </c>
      <c r="K799" s="17">
        <v>0.0</v>
      </c>
      <c r="L799" s="54"/>
      <c r="M799" s="31"/>
      <c r="N799" s="47"/>
      <c r="O799" s="47"/>
      <c r="P799" s="20">
        <v>0.0</v>
      </c>
      <c r="Q799" s="31"/>
      <c r="R799" s="31"/>
      <c r="S799" s="53"/>
      <c r="T799" s="32"/>
    </row>
    <row r="800">
      <c r="A800" s="33" t="s">
        <v>6307</v>
      </c>
      <c r="B800" s="60" t="s">
        <v>6308</v>
      </c>
      <c r="C800" s="41">
        <v>45355.0</v>
      </c>
      <c r="D800" s="40" t="s">
        <v>6309</v>
      </c>
      <c r="E800" s="41" t="s">
        <v>6310</v>
      </c>
      <c r="F800" s="43" t="s">
        <v>6311</v>
      </c>
      <c r="G800" s="43" t="s">
        <v>6312</v>
      </c>
      <c r="H800" s="61" t="s">
        <v>148</v>
      </c>
      <c r="I800" s="15" t="str">
        <f>IFERROR(__xludf.DUMMYFUNCTION("GOOGLETRANSLATE(H800,""EN"",""ES"")"),"Gastronomía")</f>
        <v>Gastronomía</v>
      </c>
      <c r="J800" s="16" t="s">
        <v>27</v>
      </c>
      <c r="K800" s="17">
        <v>0.0</v>
      </c>
      <c r="L800" s="45"/>
      <c r="M800" s="18"/>
      <c r="N800" s="44"/>
      <c r="O800" s="44"/>
      <c r="P800" s="20">
        <v>0.0</v>
      </c>
      <c r="Q800" s="18"/>
      <c r="R800" s="18"/>
      <c r="S800" s="52"/>
      <c r="T800" s="22"/>
    </row>
    <row r="801">
      <c r="A801" s="23" t="s">
        <v>6313</v>
      </c>
      <c r="B801" s="58" t="s">
        <v>431</v>
      </c>
      <c r="C801" s="41">
        <v>45355.0</v>
      </c>
      <c r="D801" s="40" t="s">
        <v>6314</v>
      </c>
      <c r="E801" s="41" t="s">
        <v>6315</v>
      </c>
      <c r="F801" s="43" t="s">
        <v>6316</v>
      </c>
      <c r="G801" s="43" t="s">
        <v>6317</v>
      </c>
      <c r="H801" s="59" t="s">
        <v>148</v>
      </c>
      <c r="I801" s="25" t="str">
        <f>IFERROR(__xludf.DUMMYFUNCTION("GOOGLETRANSLATE(H801,""EN"",""ES"")"),"Gastronomía")</f>
        <v>Gastronomía</v>
      </c>
      <c r="J801" s="26" t="s">
        <v>27</v>
      </c>
      <c r="K801" s="17">
        <v>0.0</v>
      </c>
      <c r="L801" s="54"/>
      <c r="M801" s="31"/>
      <c r="N801" s="47"/>
      <c r="O801" s="47"/>
      <c r="P801" s="20">
        <v>0.0</v>
      </c>
      <c r="Q801" s="31"/>
      <c r="R801" s="31"/>
      <c r="S801" s="53"/>
      <c r="T801" s="32"/>
    </row>
    <row r="802">
      <c r="A802" s="33" t="s">
        <v>6318</v>
      </c>
      <c r="B802" s="60" t="s">
        <v>6319</v>
      </c>
      <c r="C802" s="41">
        <v>45355.0</v>
      </c>
      <c r="D802" s="40" t="s">
        <v>6320</v>
      </c>
      <c r="E802" s="41" t="s">
        <v>6321</v>
      </c>
      <c r="F802" s="43" t="s">
        <v>6322</v>
      </c>
      <c r="G802" s="43" t="s">
        <v>6323</v>
      </c>
      <c r="H802" s="61" t="s">
        <v>148</v>
      </c>
      <c r="I802" s="15" t="str">
        <f>IFERROR(__xludf.DUMMYFUNCTION("GOOGLETRANSLATE(H802,""EN"",""ES"")"),"Gastronomía")</f>
        <v>Gastronomía</v>
      </c>
      <c r="J802" s="16" t="s">
        <v>27</v>
      </c>
      <c r="K802" s="17">
        <v>0.0</v>
      </c>
      <c r="L802" s="45"/>
      <c r="M802" s="18"/>
      <c r="N802" s="44"/>
      <c r="O802" s="44"/>
      <c r="P802" s="20">
        <v>0.0</v>
      </c>
      <c r="Q802" s="18"/>
      <c r="R802" s="18"/>
      <c r="S802" s="52"/>
      <c r="T802" s="22"/>
    </row>
    <row r="803">
      <c r="A803" s="23" t="s">
        <v>6324</v>
      </c>
      <c r="B803" s="58" t="s">
        <v>1577</v>
      </c>
      <c r="C803" s="41">
        <v>45355.0</v>
      </c>
      <c r="D803" s="40" t="s">
        <v>6325</v>
      </c>
      <c r="E803" s="41" t="s">
        <v>6326</v>
      </c>
      <c r="F803" s="43" t="s">
        <v>6327</v>
      </c>
      <c r="G803" s="43" t="s">
        <v>6328</v>
      </c>
      <c r="H803" s="59" t="s">
        <v>148</v>
      </c>
      <c r="I803" s="25" t="str">
        <f>IFERROR(__xludf.DUMMYFUNCTION("GOOGLETRANSLATE(H803,""EN"",""ES"")"),"Gastronomía")</f>
        <v>Gastronomía</v>
      </c>
      <c r="J803" s="26" t="s">
        <v>27</v>
      </c>
      <c r="K803" s="17">
        <v>0.0</v>
      </c>
      <c r="L803" s="54"/>
      <c r="M803" s="31"/>
      <c r="N803" s="47"/>
      <c r="O803" s="47"/>
      <c r="P803" s="20">
        <v>0.0</v>
      </c>
      <c r="Q803" s="31"/>
      <c r="R803" s="31"/>
      <c r="S803" s="53"/>
      <c r="T803" s="32"/>
    </row>
    <row r="804">
      <c r="A804" s="33" t="s">
        <v>6329</v>
      </c>
      <c r="B804" s="60" t="s">
        <v>448</v>
      </c>
      <c r="C804" s="41">
        <v>45355.0</v>
      </c>
      <c r="D804" s="40" t="s">
        <v>6330</v>
      </c>
      <c r="E804" s="41" t="s">
        <v>6331</v>
      </c>
      <c r="F804" s="43" t="s">
        <v>6332</v>
      </c>
      <c r="G804" s="43" t="s">
        <v>6333</v>
      </c>
      <c r="H804" s="61" t="s">
        <v>130</v>
      </c>
      <c r="I804" s="15" t="str">
        <f>IFERROR(__xludf.DUMMYFUNCTION("GOOGLETRANSLATE(H804,""EN"",""ES"")"),"Sostenibilidad")</f>
        <v>Sostenibilidad</v>
      </c>
      <c r="J804" s="16" t="s">
        <v>35</v>
      </c>
      <c r="K804" s="48">
        <v>0.7</v>
      </c>
      <c r="L804" s="51" t="s">
        <v>6237</v>
      </c>
      <c r="M804" s="34" t="s">
        <v>6238</v>
      </c>
      <c r="N804" s="44" t="s">
        <v>6239</v>
      </c>
      <c r="O804" s="44" t="str">
        <f>IFERROR(__xludf.DUMMYFUNCTION("GOOGLETRANSLATE(N804,""EN"",""ES"")"),"La ampliación de la infraestructura de carga de vehículos eléctricos respalda la transición de Repsol hacia las energías limpias.")</f>
        <v>La ampliación de la infraestructura de carga de vehículos eléctricos respalda la transición de Repsol hacia las energías limpias.</v>
      </c>
      <c r="P804" s="30">
        <v>0.7</v>
      </c>
      <c r="Q804" s="18" t="str">
        <f>IFERROR(__xludf.DUMMYFUNCTION("GOOGLETRANSLATE(R804,""ES"",""EN"")"),"installation, charging points, agreement")</f>
        <v>installation, charging points, agreement</v>
      </c>
      <c r="R804" s="34" t="s">
        <v>6334</v>
      </c>
      <c r="S804" s="52" t="s">
        <v>6335</v>
      </c>
      <c r="T804" s="22" t="s">
        <v>6336</v>
      </c>
    </row>
    <row r="805">
      <c r="A805" s="23" t="s">
        <v>6337</v>
      </c>
      <c r="B805" s="58" t="s">
        <v>163</v>
      </c>
      <c r="C805" s="41">
        <v>45355.0</v>
      </c>
      <c r="D805" s="40" t="s">
        <v>6338</v>
      </c>
      <c r="E805" s="41" t="s">
        <v>6339</v>
      </c>
      <c r="F805" s="43" t="s">
        <v>6340</v>
      </c>
      <c r="G805" s="43" t="s">
        <v>6341</v>
      </c>
      <c r="H805" s="59" t="s">
        <v>148</v>
      </c>
      <c r="I805" s="25" t="str">
        <f>IFERROR(__xludf.DUMMYFUNCTION("GOOGLETRANSLATE(H805,""EN"",""ES"")"),"Gastronomía")</f>
        <v>Gastronomía</v>
      </c>
      <c r="J805" s="26" t="s">
        <v>27</v>
      </c>
      <c r="K805" s="17">
        <v>0.0</v>
      </c>
      <c r="L805" s="54"/>
      <c r="M805" s="31"/>
      <c r="N805" s="47"/>
      <c r="O805" s="47"/>
      <c r="P805" s="20">
        <v>0.0</v>
      </c>
      <c r="Q805" s="31"/>
      <c r="R805" s="31"/>
      <c r="S805" s="53"/>
      <c r="T805" s="32"/>
    </row>
    <row r="806">
      <c r="A806" s="33" t="s">
        <v>6342</v>
      </c>
      <c r="B806" s="60" t="s">
        <v>977</v>
      </c>
      <c r="C806" s="41">
        <v>45355.0</v>
      </c>
      <c r="D806" s="40" t="s">
        <v>6343</v>
      </c>
      <c r="E806" s="41" t="s">
        <v>6344</v>
      </c>
      <c r="F806" s="43" t="s">
        <v>6345</v>
      </c>
      <c r="G806" s="43" t="s">
        <v>6346</v>
      </c>
      <c r="H806" s="61" t="s">
        <v>148</v>
      </c>
      <c r="I806" s="15" t="str">
        <f>IFERROR(__xludf.DUMMYFUNCTION("GOOGLETRANSLATE(H806,""EN"",""ES"")"),"Gastronomía")</f>
        <v>Gastronomía</v>
      </c>
      <c r="J806" s="16" t="s">
        <v>27</v>
      </c>
      <c r="K806" s="17">
        <v>0.0</v>
      </c>
      <c r="L806" s="45"/>
      <c r="M806" s="18"/>
      <c r="N806" s="44"/>
      <c r="O806" s="44"/>
      <c r="P806" s="20">
        <v>0.0</v>
      </c>
      <c r="Q806" s="18"/>
      <c r="R806" s="18"/>
      <c r="S806" s="52"/>
      <c r="T806" s="22"/>
    </row>
    <row r="807">
      <c r="A807" s="23" t="s">
        <v>6347</v>
      </c>
      <c r="B807" s="58" t="s">
        <v>21</v>
      </c>
      <c r="C807" s="41">
        <v>45355.0</v>
      </c>
      <c r="D807" s="40" t="s">
        <v>6348</v>
      </c>
      <c r="E807" s="41" t="s">
        <v>6326</v>
      </c>
      <c r="F807" s="43" t="s">
        <v>6349</v>
      </c>
      <c r="G807" s="43" t="s">
        <v>6328</v>
      </c>
      <c r="H807" s="59" t="s">
        <v>148</v>
      </c>
      <c r="I807" s="25" t="str">
        <f>IFERROR(__xludf.DUMMYFUNCTION("GOOGLETRANSLATE(H807,""EN"",""ES"")"),"Gastronomía")</f>
        <v>Gastronomía</v>
      </c>
      <c r="J807" s="26" t="s">
        <v>27</v>
      </c>
      <c r="K807" s="17">
        <v>0.0</v>
      </c>
      <c r="L807" s="54"/>
      <c r="M807" s="31"/>
      <c r="N807" s="47"/>
      <c r="O807" s="47"/>
      <c r="P807" s="20">
        <v>0.0</v>
      </c>
      <c r="Q807" s="31"/>
      <c r="R807" s="31"/>
      <c r="S807" s="53"/>
      <c r="T807" s="32"/>
    </row>
    <row r="808">
      <c r="A808" s="33" t="s">
        <v>6350</v>
      </c>
      <c r="B808" s="60" t="s">
        <v>431</v>
      </c>
      <c r="C808" s="41">
        <v>45355.0</v>
      </c>
      <c r="D808" s="40" t="s">
        <v>6351</v>
      </c>
      <c r="E808" s="41" t="s">
        <v>6352</v>
      </c>
      <c r="F808" s="43" t="s">
        <v>6353</v>
      </c>
      <c r="G808" s="43" t="s">
        <v>6354</v>
      </c>
      <c r="H808" s="61" t="s">
        <v>148</v>
      </c>
      <c r="I808" s="15" t="str">
        <f>IFERROR(__xludf.DUMMYFUNCTION("GOOGLETRANSLATE(H808,""EN"",""ES"")"),"Gastronomía")</f>
        <v>Gastronomía</v>
      </c>
      <c r="J808" s="16" t="s">
        <v>27</v>
      </c>
      <c r="K808" s="17">
        <v>0.0</v>
      </c>
      <c r="L808" s="45"/>
      <c r="M808" s="18"/>
      <c r="N808" s="44"/>
      <c r="O808" s="44"/>
      <c r="P808" s="20">
        <v>0.0</v>
      </c>
      <c r="Q808" s="18"/>
      <c r="R808" s="18"/>
      <c r="S808" s="52"/>
      <c r="T808" s="22"/>
    </row>
    <row r="809">
      <c r="A809" s="23" t="s">
        <v>6355</v>
      </c>
      <c r="B809" s="58" t="s">
        <v>431</v>
      </c>
      <c r="C809" s="41">
        <v>45355.0</v>
      </c>
      <c r="D809" s="40" t="s">
        <v>6356</v>
      </c>
      <c r="E809" s="41" t="s">
        <v>6357</v>
      </c>
      <c r="F809" s="43" t="s">
        <v>6358</v>
      </c>
      <c r="G809" s="43" t="s">
        <v>6359</v>
      </c>
      <c r="H809" s="59" t="s">
        <v>148</v>
      </c>
      <c r="I809" s="25" t="str">
        <f>IFERROR(__xludf.DUMMYFUNCTION("GOOGLETRANSLATE(H809,""EN"",""ES"")"),"Gastronomía")</f>
        <v>Gastronomía</v>
      </c>
      <c r="J809" s="26" t="s">
        <v>27</v>
      </c>
      <c r="K809" s="17">
        <v>0.0</v>
      </c>
      <c r="L809" s="54"/>
      <c r="M809" s="31"/>
      <c r="N809" s="47"/>
      <c r="O809" s="47"/>
      <c r="P809" s="20">
        <v>0.0</v>
      </c>
      <c r="Q809" s="31"/>
      <c r="R809" s="31"/>
      <c r="S809" s="53"/>
      <c r="T809" s="32"/>
    </row>
    <row r="810">
      <c r="A810" s="33" t="s">
        <v>6360</v>
      </c>
      <c r="B810" s="60" t="s">
        <v>2008</v>
      </c>
      <c r="C810" s="41">
        <v>45355.0</v>
      </c>
      <c r="D810" s="40" t="s">
        <v>6361</v>
      </c>
      <c r="E810" s="41" t="s">
        <v>6362</v>
      </c>
      <c r="F810" s="43" t="s">
        <v>6363</v>
      </c>
      <c r="G810" s="43" t="s">
        <v>6364</v>
      </c>
      <c r="H810" s="61" t="s">
        <v>148</v>
      </c>
      <c r="I810" s="15" t="str">
        <f>IFERROR(__xludf.DUMMYFUNCTION("GOOGLETRANSLATE(H810,""EN"",""ES"")"),"Gastronomía")</f>
        <v>Gastronomía</v>
      </c>
      <c r="J810" s="16" t="s">
        <v>27</v>
      </c>
      <c r="K810" s="17">
        <v>0.0</v>
      </c>
      <c r="L810" s="45"/>
      <c r="M810" s="18"/>
      <c r="N810" s="44"/>
      <c r="O810" s="44"/>
      <c r="P810" s="20">
        <v>0.0</v>
      </c>
      <c r="Q810" s="18"/>
      <c r="R810" s="18"/>
      <c r="S810" s="52"/>
      <c r="T810" s="22"/>
    </row>
    <row r="811">
      <c r="A811" s="23" t="s">
        <v>6365</v>
      </c>
      <c r="B811" s="58" t="s">
        <v>4038</v>
      </c>
      <c r="C811" s="41">
        <v>45355.0</v>
      </c>
      <c r="D811" s="40" t="s">
        <v>6366</v>
      </c>
      <c r="E811" s="41" t="s">
        <v>6367</v>
      </c>
      <c r="F811" s="43" t="s">
        <v>6368</v>
      </c>
      <c r="G811" s="43" t="s">
        <v>6369</v>
      </c>
      <c r="H811" s="59" t="s">
        <v>148</v>
      </c>
      <c r="I811" s="25" t="str">
        <f>IFERROR(__xludf.DUMMYFUNCTION("GOOGLETRANSLATE(H811,""EN"",""ES"")"),"Gastronomía")</f>
        <v>Gastronomía</v>
      </c>
      <c r="J811" s="26" t="s">
        <v>27</v>
      </c>
      <c r="K811" s="17">
        <v>0.0</v>
      </c>
      <c r="L811" s="54"/>
      <c r="M811" s="31"/>
      <c r="N811" s="47"/>
      <c r="O811" s="47"/>
      <c r="P811" s="20">
        <v>0.0</v>
      </c>
      <c r="Q811" s="31"/>
      <c r="R811" s="31"/>
      <c r="S811" s="53"/>
      <c r="T811" s="32"/>
    </row>
    <row r="812">
      <c r="A812" s="33" t="s">
        <v>6370</v>
      </c>
      <c r="B812" s="60" t="s">
        <v>6194</v>
      </c>
      <c r="C812" s="41">
        <v>45355.0</v>
      </c>
      <c r="D812" s="40" t="s">
        <v>6371</v>
      </c>
      <c r="E812" s="41" t="s">
        <v>6372</v>
      </c>
      <c r="F812" s="43" t="s">
        <v>6373</v>
      </c>
      <c r="G812" s="43" t="s">
        <v>6374</v>
      </c>
      <c r="H812" s="61" t="s">
        <v>148</v>
      </c>
      <c r="I812" s="15" t="str">
        <f>IFERROR(__xludf.DUMMYFUNCTION("GOOGLETRANSLATE(H812,""EN"",""ES"")"),"Gastronomía")</f>
        <v>Gastronomía</v>
      </c>
      <c r="J812" s="16" t="s">
        <v>27</v>
      </c>
      <c r="K812" s="17">
        <v>0.0</v>
      </c>
      <c r="L812" s="45"/>
      <c r="M812" s="18"/>
      <c r="N812" s="44"/>
      <c r="O812" s="44"/>
      <c r="P812" s="20">
        <v>0.0</v>
      </c>
      <c r="Q812" s="18"/>
      <c r="R812" s="18"/>
      <c r="S812" s="52"/>
      <c r="T812" s="22"/>
    </row>
    <row r="813">
      <c r="A813" s="23" t="s">
        <v>6375</v>
      </c>
      <c r="B813" s="58" t="s">
        <v>2210</v>
      </c>
      <c r="C813" s="41">
        <v>45355.0</v>
      </c>
      <c r="D813" s="40" t="s">
        <v>6376</v>
      </c>
      <c r="E813" s="41" t="s">
        <v>6377</v>
      </c>
      <c r="F813" s="43" t="s">
        <v>6378</v>
      </c>
      <c r="G813" s="43" t="s">
        <v>6379</v>
      </c>
      <c r="H813" s="59" t="s">
        <v>148</v>
      </c>
      <c r="I813" s="25" t="str">
        <f>IFERROR(__xludf.DUMMYFUNCTION("GOOGLETRANSLATE(H813,""EN"",""ES"")"),"Gastronomía")</f>
        <v>Gastronomía</v>
      </c>
      <c r="J813" s="26" t="s">
        <v>27</v>
      </c>
      <c r="K813" s="17">
        <v>0.0</v>
      </c>
      <c r="L813" s="54"/>
      <c r="M813" s="31"/>
      <c r="N813" s="47"/>
      <c r="O813" s="47"/>
      <c r="P813" s="20">
        <v>0.0</v>
      </c>
      <c r="Q813" s="31"/>
      <c r="R813" s="31"/>
      <c r="S813" s="53"/>
      <c r="T813" s="32"/>
    </row>
    <row r="814">
      <c r="A814" s="33" t="s">
        <v>6380</v>
      </c>
      <c r="B814" s="60" t="s">
        <v>6381</v>
      </c>
      <c r="C814" s="41">
        <v>45355.0</v>
      </c>
      <c r="D814" s="40" t="s">
        <v>6382</v>
      </c>
      <c r="E814" s="41" t="s">
        <v>6383</v>
      </c>
      <c r="F814" s="43" t="s">
        <v>6384</v>
      </c>
      <c r="G814" s="43" t="s">
        <v>6385</v>
      </c>
      <c r="H814" s="61" t="s">
        <v>148</v>
      </c>
      <c r="I814" s="15" t="str">
        <f>IFERROR(__xludf.DUMMYFUNCTION("GOOGLETRANSLATE(H814,""EN"",""ES"")"),"Gastronomía")</f>
        <v>Gastronomía</v>
      </c>
      <c r="J814" s="16" t="s">
        <v>27</v>
      </c>
      <c r="K814" s="17">
        <v>0.0</v>
      </c>
      <c r="L814" s="45"/>
      <c r="M814" s="18"/>
      <c r="N814" s="44"/>
      <c r="O814" s="44"/>
      <c r="P814" s="20">
        <v>0.0</v>
      </c>
      <c r="Q814" s="18"/>
      <c r="R814" s="18"/>
      <c r="S814" s="52"/>
      <c r="T814" s="22"/>
    </row>
    <row r="815">
      <c r="A815" s="23" t="s">
        <v>6386</v>
      </c>
      <c r="B815" s="58" t="s">
        <v>1005</v>
      </c>
      <c r="C815" s="41">
        <v>45355.0</v>
      </c>
      <c r="D815" s="40" t="s">
        <v>6387</v>
      </c>
      <c r="E815" s="41" t="s">
        <v>6388</v>
      </c>
      <c r="F815" s="43" t="s">
        <v>6389</v>
      </c>
      <c r="G815" s="43" t="s">
        <v>6390</v>
      </c>
      <c r="H815" s="59" t="s">
        <v>148</v>
      </c>
      <c r="I815" s="25" t="str">
        <f>IFERROR(__xludf.DUMMYFUNCTION("GOOGLETRANSLATE(H815,""EN"",""ES"")"),"Gastronomía")</f>
        <v>Gastronomía</v>
      </c>
      <c r="J815" s="26" t="s">
        <v>27</v>
      </c>
      <c r="K815" s="17">
        <v>0.0</v>
      </c>
      <c r="L815" s="54"/>
      <c r="M815" s="31"/>
      <c r="N815" s="47"/>
      <c r="O815" s="47"/>
      <c r="P815" s="20">
        <v>0.0</v>
      </c>
      <c r="Q815" s="31"/>
      <c r="R815" s="31"/>
      <c r="S815" s="53"/>
      <c r="T815" s="32"/>
    </row>
    <row r="816">
      <c r="A816" s="33" t="s">
        <v>6391</v>
      </c>
      <c r="B816" s="60" t="s">
        <v>85</v>
      </c>
      <c r="C816" s="41">
        <v>45355.0</v>
      </c>
      <c r="D816" s="40" t="s">
        <v>6392</v>
      </c>
      <c r="E816" s="41" t="s">
        <v>6393</v>
      </c>
      <c r="F816" s="43" t="s">
        <v>6394</v>
      </c>
      <c r="G816" s="43" t="s">
        <v>6395</v>
      </c>
      <c r="H816" s="61" t="s">
        <v>148</v>
      </c>
      <c r="I816" s="15" t="str">
        <f>IFERROR(__xludf.DUMMYFUNCTION("GOOGLETRANSLATE(H816,""EN"",""ES"")"),"Gastronomía")</f>
        <v>Gastronomía</v>
      </c>
      <c r="J816" s="16" t="s">
        <v>27</v>
      </c>
      <c r="K816" s="17">
        <v>0.0</v>
      </c>
      <c r="L816" s="45"/>
      <c r="M816" s="18"/>
      <c r="N816" s="44"/>
      <c r="O816" s="44"/>
      <c r="P816" s="20">
        <v>0.0</v>
      </c>
      <c r="Q816" s="18"/>
      <c r="R816" s="18"/>
      <c r="S816" s="52"/>
      <c r="T816" s="22"/>
    </row>
    <row r="817">
      <c r="A817" s="23" t="s">
        <v>6396</v>
      </c>
      <c r="B817" s="58" t="s">
        <v>6381</v>
      </c>
      <c r="C817" s="41">
        <v>45355.0</v>
      </c>
      <c r="D817" s="40" t="s">
        <v>6397</v>
      </c>
      <c r="E817" s="41" t="s">
        <v>6398</v>
      </c>
      <c r="F817" s="43" t="s">
        <v>6399</v>
      </c>
      <c r="G817" s="43" t="s">
        <v>6400</v>
      </c>
      <c r="H817" s="59" t="s">
        <v>148</v>
      </c>
      <c r="I817" s="25" t="str">
        <f>IFERROR(__xludf.DUMMYFUNCTION("GOOGLETRANSLATE(H817,""EN"",""ES"")"),"Gastronomía")</f>
        <v>Gastronomía</v>
      </c>
      <c r="J817" s="26" t="s">
        <v>27</v>
      </c>
      <c r="K817" s="17">
        <v>0.0</v>
      </c>
      <c r="L817" s="54"/>
      <c r="M817" s="31"/>
      <c r="N817" s="47"/>
      <c r="O817" s="47"/>
      <c r="P817" s="20">
        <v>0.0</v>
      </c>
      <c r="Q817" s="31"/>
      <c r="R817" s="31"/>
      <c r="S817" s="53"/>
      <c r="T817" s="32"/>
    </row>
    <row r="818">
      <c r="A818" s="33" t="s">
        <v>6401</v>
      </c>
      <c r="B818" s="60" t="s">
        <v>431</v>
      </c>
      <c r="C818" s="41">
        <v>45355.0</v>
      </c>
      <c r="D818" s="40" t="s">
        <v>6402</v>
      </c>
      <c r="E818" s="41" t="s">
        <v>6403</v>
      </c>
      <c r="F818" s="43" t="s">
        <v>6404</v>
      </c>
      <c r="G818" s="43" t="s">
        <v>6405</v>
      </c>
      <c r="H818" s="61" t="s">
        <v>148</v>
      </c>
      <c r="I818" s="15" t="str">
        <f>IFERROR(__xludf.DUMMYFUNCTION("GOOGLETRANSLATE(H818,""EN"",""ES"")"),"Gastronomía")</f>
        <v>Gastronomía</v>
      </c>
      <c r="J818" s="16" t="s">
        <v>27</v>
      </c>
      <c r="K818" s="17">
        <v>0.0</v>
      </c>
      <c r="L818" s="45"/>
      <c r="M818" s="18"/>
      <c r="N818" s="44"/>
      <c r="O818" s="44"/>
      <c r="P818" s="20">
        <v>0.0</v>
      </c>
      <c r="Q818" s="18"/>
      <c r="R818" s="18"/>
      <c r="S818" s="52"/>
      <c r="T818" s="22"/>
    </row>
    <row r="819">
      <c r="A819" s="23" t="s">
        <v>6406</v>
      </c>
      <c r="B819" s="58" t="s">
        <v>6407</v>
      </c>
      <c r="C819" s="41">
        <v>45355.0</v>
      </c>
      <c r="D819" s="40" t="s">
        <v>6408</v>
      </c>
      <c r="E819" s="41" t="s">
        <v>6409</v>
      </c>
      <c r="F819" s="43" t="s">
        <v>6410</v>
      </c>
      <c r="G819" s="43" t="s">
        <v>6411</v>
      </c>
      <c r="H819" s="59" t="s">
        <v>148</v>
      </c>
      <c r="I819" s="25" t="str">
        <f>IFERROR(__xludf.DUMMYFUNCTION("GOOGLETRANSLATE(H819,""EN"",""ES"")"),"Gastronomía")</f>
        <v>Gastronomía</v>
      </c>
      <c r="J819" s="26" t="s">
        <v>27</v>
      </c>
      <c r="K819" s="17">
        <v>0.0</v>
      </c>
      <c r="L819" s="54"/>
      <c r="M819" s="31"/>
      <c r="N819" s="47"/>
      <c r="O819" s="47"/>
      <c r="P819" s="20">
        <v>0.0</v>
      </c>
      <c r="Q819" s="31"/>
      <c r="R819" s="31"/>
      <c r="S819" s="53"/>
      <c r="T819" s="32"/>
    </row>
    <row r="820">
      <c r="A820" s="33" t="s">
        <v>6412</v>
      </c>
      <c r="B820" s="60" t="s">
        <v>6413</v>
      </c>
      <c r="C820" s="41">
        <v>45355.0</v>
      </c>
      <c r="D820" s="40" t="s">
        <v>6414</v>
      </c>
      <c r="E820" s="41" t="s">
        <v>6415</v>
      </c>
      <c r="F820" s="43" t="s">
        <v>6416</v>
      </c>
      <c r="G820" s="43" t="s">
        <v>6417</v>
      </c>
      <c r="H820" s="61" t="s">
        <v>148</v>
      </c>
      <c r="I820" s="15" t="str">
        <f>IFERROR(__xludf.DUMMYFUNCTION("GOOGLETRANSLATE(H820,""EN"",""ES"")"),"Gastronomía")</f>
        <v>Gastronomía</v>
      </c>
      <c r="J820" s="16" t="s">
        <v>27</v>
      </c>
      <c r="K820" s="17">
        <v>0.0</v>
      </c>
      <c r="L820" s="45"/>
      <c r="M820" s="18"/>
      <c r="N820" s="44"/>
      <c r="O820" s="44"/>
      <c r="P820" s="20">
        <v>0.0</v>
      </c>
      <c r="Q820" s="18"/>
      <c r="R820" s="18"/>
      <c r="S820" s="52"/>
      <c r="T820" s="22"/>
    </row>
    <row r="821">
      <c r="A821" s="23" t="s">
        <v>6418</v>
      </c>
      <c r="B821" s="58" t="s">
        <v>1005</v>
      </c>
      <c r="C821" s="41">
        <v>45355.0</v>
      </c>
      <c r="D821" s="40" t="s">
        <v>6419</v>
      </c>
      <c r="E821" s="41" t="s">
        <v>6420</v>
      </c>
      <c r="F821" s="43" t="s">
        <v>6421</v>
      </c>
      <c r="G821" s="43" t="s">
        <v>6422</v>
      </c>
      <c r="H821" s="59" t="s">
        <v>148</v>
      </c>
      <c r="I821" s="25" t="str">
        <f>IFERROR(__xludf.DUMMYFUNCTION("GOOGLETRANSLATE(H821,""EN"",""ES"")"),"Gastronomía")</f>
        <v>Gastronomía</v>
      </c>
      <c r="J821" s="26" t="s">
        <v>27</v>
      </c>
      <c r="K821" s="17">
        <v>0.0</v>
      </c>
      <c r="L821" s="54"/>
      <c r="M821" s="31"/>
      <c r="N821" s="47"/>
      <c r="O821" s="47"/>
      <c r="P821" s="20">
        <v>0.0</v>
      </c>
      <c r="Q821" s="31"/>
      <c r="R821" s="31"/>
      <c r="S821" s="53"/>
      <c r="T821" s="32"/>
    </row>
    <row r="822">
      <c r="A822" s="33" t="s">
        <v>6423</v>
      </c>
      <c r="B822" s="60" t="s">
        <v>43</v>
      </c>
      <c r="C822" s="41">
        <v>45355.0</v>
      </c>
      <c r="D822" s="40" t="s">
        <v>6424</v>
      </c>
      <c r="E822" s="41" t="s">
        <v>6425</v>
      </c>
      <c r="F822" s="43" t="s">
        <v>6426</v>
      </c>
      <c r="G822" s="43" t="s">
        <v>6427</v>
      </c>
      <c r="H822" s="61" t="s">
        <v>148</v>
      </c>
      <c r="I822" s="15" t="str">
        <f>IFERROR(__xludf.DUMMYFUNCTION("GOOGLETRANSLATE(H822,""EN"",""ES"")"),"Gastronomía")</f>
        <v>Gastronomía</v>
      </c>
      <c r="J822" s="16" t="s">
        <v>27</v>
      </c>
      <c r="K822" s="17">
        <v>0.0</v>
      </c>
      <c r="L822" s="45"/>
      <c r="M822" s="18"/>
      <c r="N822" s="44"/>
      <c r="O822" s="44"/>
      <c r="P822" s="20">
        <v>0.0</v>
      </c>
      <c r="Q822" s="18"/>
      <c r="R822" s="18"/>
      <c r="S822" s="52"/>
      <c r="T822" s="22"/>
    </row>
    <row r="823">
      <c r="A823" s="23" t="s">
        <v>6428</v>
      </c>
      <c r="B823" s="58" t="s">
        <v>6429</v>
      </c>
      <c r="C823" s="41">
        <v>45355.0</v>
      </c>
      <c r="D823" s="40" t="s">
        <v>6430</v>
      </c>
      <c r="E823" s="41" t="s">
        <v>6431</v>
      </c>
      <c r="F823" s="43" t="s">
        <v>6432</v>
      </c>
      <c r="G823" s="43" t="s">
        <v>6433</v>
      </c>
      <c r="H823" s="59" t="s">
        <v>148</v>
      </c>
      <c r="I823" s="25" t="str">
        <f>IFERROR(__xludf.DUMMYFUNCTION("GOOGLETRANSLATE(H823,""EN"",""ES"")"),"Gastronomía")</f>
        <v>Gastronomía</v>
      </c>
      <c r="J823" s="26" t="s">
        <v>27</v>
      </c>
      <c r="K823" s="17">
        <v>0.0</v>
      </c>
      <c r="L823" s="54"/>
      <c r="M823" s="31"/>
      <c r="N823" s="47"/>
      <c r="O823" s="47"/>
      <c r="P823" s="20">
        <v>0.0</v>
      </c>
      <c r="Q823" s="31"/>
      <c r="R823" s="31"/>
      <c r="S823" s="53"/>
      <c r="T823" s="32"/>
    </row>
    <row r="824">
      <c r="A824" s="33" t="s">
        <v>6434</v>
      </c>
      <c r="B824" s="60" t="s">
        <v>6435</v>
      </c>
      <c r="C824" s="41">
        <v>45355.0</v>
      </c>
      <c r="D824" s="40" t="s">
        <v>6436</v>
      </c>
      <c r="E824" s="41" t="s">
        <v>6437</v>
      </c>
      <c r="F824" s="43" t="s">
        <v>6438</v>
      </c>
      <c r="G824" s="43" t="s">
        <v>6439</v>
      </c>
      <c r="H824" s="61" t="s">
        <v>148</v>
      </c>
      <c r="I824" s="15" t="str">
        <f>IFERROR(__xludf.DUMMYFUNCTION("GOOGLETRANSLATE(H824,""EN"",""ES"")"),"Gastronomía")</f>
        <v>Gastronomía</v>
      </c>
      <c r="J824" s="16" t="s">
        <v>27</v>
      </c>
      <c r="K824" s="17">
        <v>0.0</v>
      </c>
      <c r="L824" s="45"/>
      <c r="M824" s="18"/>
      <c r="N824" s="44"/>
      <c r="O824" s="44"/>
      <c r="P824" s="20">
        <v>0.0</v>
      </c>
      <c r="Q824" s="18"/>
      <c r="R824" s="18"/>
      <c r="S824" s="52"/>
      <c r="T824" s="22"/>
    </row>
    <row r="825">
      <c r="A825" s="23" t="s">
        <v>6440</v>
      </c>
      <c r="B825" s="58" t="s">
        <v>6441</v>
      </c>
      <c r="C825" s="41">
        <v>45355.0</v>
      </c>
      <c r="D825" s="40" t="s">
        <v>6442</v>
      </c>
      <c r="E825" s="41" t="s">
        <v>6443</v>
      </c>
      <c r="F825" s="43" t="s">
        <v>6444</v>
      </c>
      <c r="G825" s="43" t="s">
        <v>6445</v>
      </c>
      <c r="H825" s="59" t="s">
        <v>148</v>
      </c>
      <c r="I825" s="25" t="str">
        <f>IFERROR(__xludf.DUMMYFUNCTION("GOOGLETRANSLATE(H825,""EN"",""ES"")"),"Gastronomía")</f>
        <v>Gastronomía</v>
      </c>
      <c r="J825" s="26" t="s">
        <v>27</v>
      </c>
      <c r="K825" s="17">
        <v>0.0</v>
      </c>
      <c r="L825" s="54"/>
      <c r="M825" s="31"/>
      <c r="N825" s="47"/>
      <c r="O825" s="47"/>
      <c r="P825" s="20">
        <v>0.0</v>
      </c>
      <c r="Q825" s="31"/>
      <c r="R825" s="31"/>
      <c r="S825" s="53"/>
      <c r="T825" s="32"/>
    </row>
    <row r="826">
      <c r="A826" s="33" t="s">
        <v>6446</v>
      </c>
      <c r="B826" s="60" t="s">
        <v>85</v>
      </c>
      <c r="C826" s="41">
        <v>45355.0</v>
      </c>
      <c r="D826" s="40" t="s">
        <v>6447</v>
      </c>
      <c r="E826" s="41" t="s">
        <v>6448</v>
      </c>
      <c r="F826" s="43" t="s">
        <v>6449</v>
      </c>
      <c r="G826" s="43" t="s">
        <v>6450</v>
      </c>
      <c r="H826" s="61" t="s">
        <v>148</v>
      </c>
      <c r="I826" s="15" t="str">
        <f>IFERROR(__xludf.DUMMYFUNCTION("GOOGLETRANSLATE(H826,""EN"",""ES"")"),"Gastronomía")</f>
        <v>Gastronomía</v>
      </c>
      <c r="J826" s="16" t="s">
        <v>27</v>
      </c>
      <c r="K826" s="17">
        <v>0.0</v>
      </c>
      <c r="L826" s="45"/>
      <c r="M826" s="18"/>
      <c r="N826" s="44"/>
      <c r="O826" s="44"/>
      <c r="P826" s="20">
        <v>0.0</v>
      </c>
      <c r="Q826" s="18"/>
      <c r="R826" s="18"/>
      <c r="S826" s="52"/>
      <c r="T826" s="22"/>
    </row>
    <row r="827">
      <c r="A827" s="23" t="s">
        <v>6451</v>
      </c>
      <c r="B827" s="58" t="s">
        <v>6452</v>
      </c>
      <c r="C827" s="41">
        <v>45355.0</v>
      </c>
      <c r="D827" s="40" t="s">
        <v>6453</v>
      </c>
      <c r="E827" s="41" t="s">
        <v>6454</v>
      </c>
      <c r="F827" s="43" t="s">
        <v>6455</v>
      </c>
      <c r="G827" s="43" t="s">
        <v>6456</v>
      </c>
      <c r="H827" s="59" t="s">
        <v>148</v>
      </c>
      <c r="I827" s="25" t="str">
        <f>IFERROR(__xludf.DUMMYFUNCTION("GOOGLETRANSLATE(H827,""EN"",""ES"")"),"Gastronomía")</f>
        <v>Gastronomía</v>
      </c>
      <c r="J827" s="26" t="s">
        <v>27</v>
      </c>
      <c r="K827" s="17">
        <v>0.0</v>
      </c>
      <c r="L827" s="54"/>
      <c r="M827" s="31"/>
      <c r="N827" s="47"/>
      <c r="O827" s="47"/>
      <c r="P827" s="20">
        <v>0.0</v>
      </c>
      <c r="Q827" s="31"/>
      <c r="R827" s="31"/>
      <c r="S827" s="53"/>
      <c r="T827" s="32"/>
    </row>
    <row r="828">
      <c r="A828" s="33" t="s">
        <v>6457</v>
      </c>
      <c r="B828" s="60" t="s">
        <v>6458</v>
      </c>
      <c r="C828" s="41">
        <v>45355.0</v>
      </c>
      <c r="D828" s="40" t="s">
        <v>6459</v>
      </c>
      <c r="E828" s="41" t="s">
        <v>6460</v>
      </c>
      <c r="F828" s="43" t="s">
        <v>6461</v>
      </c>
      <c r="G828" s="43" t="s">
        <v>6462</v>
      </c>
      <c r="H828" s="61" t="s">
        <v>148</v>
      </c>
      <c r="I828" s="15" t="str">
        <f>IFERROR(__xludf.DUMMYFUNCTION("GOOGLETRANSLATE(H828,""EN"",""ES"")"),"Gastronomía")</f>
        <v>Gastronomía</v>
      </c>
      <c r="J828" s="16" t="s">
        <v>27</v>
      </c>
      <c r="K828" s="17">
        <v>0.0</v>
      </c>
      <c r="L828" s="45"/>
      <c r="M828" s="18"/>
      <c r="N828" s="44"/>
      <c r="O828" s="44"/>
      <c r="P828" s="20">
        <v>0.0</v>
      </c>
      <c r="Q828" s="18"/>
      <c r="R828" s="18"/>
      <c r="S828" s="52"/>
      <c r="T828" s="22"/>
    </row>
    <row r="829">
      <c r="A829" s="23" t="s">
        <v>6463</v>
      </c>
      <c r="B829" s="58" t="s">
        <v>163</v>
      </c>
      <c r="C829" s="41">
        <v>45355.0</v>
      </c>
      <c r="D829" s="40" t="s">
        <v>6464</v>
      </c>
      <c r="E829" s="41" t="s">
        <v>6465</v>
      </c>
      <c r="F829" s="43" t="s">
        <v>6466</v>
      </c>
      <c r="G829" s="43" t="s">
        <v>6467</v>
      </c>
      <c r="H829" s="59" t="s">
        <v>148</v>
      </c>
      <c r="I829" s="25" t="str">
        <f>IFERROR(__xludf.DUMMYFUNCTION("GOOGLETRANSLATE(H829,""EN"",""ES"")"),"Gastronomía")</f>
        <v>Gastronomía</v>
      </c>
      <c r="J829" s="26" t="s">
        <v>27</v>
      </c>
      <c r="K829" s="17">
        <v>0.0</v>
      </c>
      <c r="L829" s="54"/>
      <c r="M829" s="31"/>
      <c r="N829" s="47"/>
      <c r="O829" s="47"/>
      <c r="P829" s="20">
        <v>0.0</v>
      </c>
      <c r="Q829" s="31"/>
      <c r="R829" s="31"/>
      <c r="S829" s="53"/>
      <c r="T829" s="32"/>
    </row>
    <row r="830">
      <c r="A830" s="33" t="s">
        <v>6468</v>
      </c>
      <c r="B830" s="60" t="s">
        <v>6469</v>
      </c>
      <c r="C830" s="41">
        <v>45355.0</v>
      </c>
      <c r="D830" s="40" t="s">
        <v>6470</v>
      </c>
      <c r="E830" s="41" t="s">
        <v>6471</v>
      </c>
      <c r="F830" s="43" t="s">
        <v>6472</v>
      </c>
      <c r="G830" s="43" t="s">
        <v>6473</v>
      </c>
      <c r="H830" s="61" t="s">
        <v>148</v>
      </c>
      <c r="I830" s="15" t="str">
        <f>IFERROR(__xludf.DUMMYFUNCTION("GOOGLETRANSLATE(H830,""EN"",""ES"")"),"Gastronomía")</f>
        <v>Gastronomía</v>
      </c>
      <c r="J830" s="16" t="s">
        <v>27</v>
      </c>
      <c r="K830" s="17">
        <v>0.0</v>
      </c>
      <c r="L830" s="45"/>
      <c r="M830" s="18"/>
      <c r="N830" s="44"/>
      <c r="O830" s="44"/>
      <c r="P830" s="20">
        <v>0.0</v>
      </c>
      <c r="Q830" s="18"/>
      <c r="R830" s="18"/>
      <c r="S830" s="52"/>
      <c r="T830" s="22"/>
    </row>
    <row r="831">
      <c r="A831" s="23" t="s">
        <v>6474</v>
      </c>
      <c r="B831" s="58" t="s">
        <v>6475</v>
      </c>
      <c r="C831" s="41">
        <v>45355.0</v>
      </c>
      <c r="D831" s="40" t="s">
        <v>6476</v>
      </c>
      <c r="E831" s="41" t="s">
        <v>6477</v>
      </c>
      <c r="F831" s="43" t="s">
        <v>6478</v>
      </c>
      <c r="G831" s="43" t="s">
        <v>6479</v>
      </c>
      <c r="H831" s="59" t="s">
        <v>148</v>
      </c>
      <c r="I831" s="25" t="str">
        <f>IFERROR(__xludf.DUMMYFUNCTION("GOOGLETRANSLATE(H831,""EN"",""ES"")"),"Gastronomía")</f>
        <v>Gastronomía</v>
      </c>
      <c r="J831" s="26" t="s">
        <v>27</v>
      </c>
      <c r="K831" s="17">
        <v>0.0</v>
      </c>
      <c r="L831" s="54"/>
      <c r="M831" s="31"/>
      <c r="N831" s="47"/>
      <c r="O831" s="47"/>
      <c r="P831" s="20">
        <v>0.0</v>
      </c>
      <c r="Q831" s="31"/>
      <c r="R831" s="31"/>
      <c r="S831" s="53"/>
      <c r="T831" s="32"/>
    </row>
    <row r="832">
      <c r="A832" s="33" t="s">
        <v>6480</v>
      </c>
      <c r="B832" s="60" t="s">
        <v>859</v>
      </c>
      <c r="C832" s="41">
        <v>45355.0</v>
      </c>
      <c r="D832" s="40" t="s">
        <v>6481</v>
      </c>
      <c r="E832" s="41" t="s">
        <v>6482</v>
      </c>
      <c r="F832" s="43" t="s">
        <v>6483</v>
      </c>
      <c r="G832" s="43" t="s">
        <v>6484</v>
      </c>
      <c r="H832" s="61" t="s">
        <v>148</v>
      </c>
      <c r="I832" s="15" t="str">
        <f>IFERROR(__xludf.DUMMYFUNCTION("GOOGLETRANSLATE(H832,""EN"",""ES"")"),"Gastronomía")</f>
        <v>Gastronomía</v>
      </c>
      <c r="J832" s="16" t="s">
        <v>27</v>
      </c>
      <c r="K832" s="17">
        <v>0.0</v>
      </c>
      <c r="L832" s="45"/>
      <c r="M832" s="18"/>
      <c r="N832" s="44"/>
      <c r="O832" s="44"/>
      <c r="P832" s="20">
        <v>0.0</v>
      </c>
      <c r="Q832" s="18"/>
      <c r="R832" s="18"/>
      <c r="S832" s="52"/>
      <c r="T832" s="22"/>
    </row>
    <row r="833">
      <c r="A833" s="23" t="s">
        <v>6485</v>
      </c>
      <c r="B833" s="58" t="s">
        <v>2008</v>
      </c>
      <c r="C833" s="41">
        <v>45355.0</v>
      </c>
      <c r="D833" s="40" t="s">
        <v>6486</v>
      </c>
      <c r="E833" s="41" t="s">
        <v>6487</v>
      </c>
      <c r="F833" s="43" t="s">
        <v>6488</v>
      </c>
      <c r="G833" s="43" t="s">
        <v>6489</v>
      </c>
      <c r="H833" s="59" t="s">
        <v>148</v>
      </c>
      <c r="I833" s="25" t="str">
        <f>IFERROR(__xludf.DUMMYFUNCTION("GOOGLETRANSLATE(H833,""EN"",""ES"")"),"Gastronomía")</f>
        <v>Gastronomía</v>
      </c>
      <c r="J833" s="26" t="s">
        <v>27</v>
      </c>
      <c r="K833" s="17">
        <v>0.0</v>
      </c>
      <c r="L833" s="54"/>
      <c r="M833" s="31"/>
      <c r="N833" s="47"/>
      <c r="O833" s="47"/>
      <c r="P833" s="20">
        <v>0.0</v>
      </c>
      <c r="Q833" s="31"/>
      <c r="R833" s="31"/>
      <c r="S833" s="53"/>
      <c r="T833" s="32"/>
    </row>
    <row r="834">
      <c r="A834" s="33" t="s">
        <v>6490</v>
      </c>
      <c r="B834" s="60" t="s">
        <v>5483</v>
      </c>
      <c r="C834" s="41">
        <v>45355.0</v>
      </c>
      <c r="D834" s="40" t="s">
        <v>6491</v>
      </c>
      <c r="E834" s="41" t="s">
        <v>6492</v>
      </c>
      <c r="F834" s="43" t="s">
        <v>6493</v>
      </c>
      <c r="G834" s="43" t="s">
        <v>6494</v>
      </c>
      <c r="H834" s="61" t="s">
        <v>148</v>
      </c>
      <c r="I834" s="15" t="str">
        <f>IFERROR(__xludf.DUMMYFUNCTION("GOOGLETRANSLATE(H834,""EN"",""ES"")"),"Gastronomía")</f>
        <v>Gastronomía</v>
      </c>
      <c r="J834" s="16" t="s">
        <v>27</v>
      </c>
      <c r="K834" s="17">
        <v>0.0</v>
      </c>
      <c r="L834" s="45"/>
      <c r="M834" s="18"/>
      <c r="N834" s="44"/>
      <c r="O834" s="44"/>
      <c r="P834" s="20">
        <v>0.0</v>
      </c>
      <c r="Q834" s="18"/>
      <c r="R834" s="18"/>
      <c r="S834" s="52"/>
      <c r="T834" s="22"/>
    </row>
    <row r="835">
      <c r="A835" s="23" t="s">
        <v>6495</v>
      </c>
      <c r="B835" s="58" t="s">
        <v>6496</v>
      </c>
      <c r="C835" s="41">
        <v>45355.0</v>
      </c>
      <c r="D835" s="40" t="s">
        <v>6497</v>
      </c>
      <c r="E835" s="41" t="s">
        <v>6498</v>
      </c>
      <c r="F835" s="43" t="s">
        <v>6499</v>
      </c>
      <c r="G835" s="43" t="s">
        <v>6500</v>
      </c>
      <c r="H835" s="59" t="s">
        <v>148</v>
      </c>
      <c r="I835" s="25" t="str">
        <f>IFERROR(__xludf.DUMMYFUNCTION("GOOGLETRANSLATE(H835,""EN"",""ES"")"),"Gastronomía")</f>
        <v>Gastronomía</v>
      </c>
      <c r="J835" s="26" t="s">
        <v>27</v>
      </c>
      <c r="K835" s="17">
        <v>0.0</v>
      </c>
      <c r="L835" s="54"/>
      <c r="M835" s="31"/>
      <c r="N835" s="47"/>
      <c r="O835" s="47"/>
      <c r="P835" s="20">
        <v>0.0</v>
      </c>
      <c r="Q835" s="31"/>
      <c r="R835" s="31"/>
      <c r="S835" s="53"/>
      <c r="T835" s="32"/>
    </row>
    <row r="836">
      <c r="A836" s="33" t="s">
        <v>6501</v>
      </c>
      <c r="B836" s="60" t="s">
        <v>4634</v>
      </c>
      <c r="C836" s="41">
        <v>45355.0</v>
      </c>
      <c r="D836" s="40" t="s">
        <v>6502</v>
      </c>
      <c r="E836" s="41" t="s">
        <v>6503</v>
      </c>
      <c r="F836" s="43" t="s">
        <v>6504</v>
      </c>
      <c r="G836" s="43" t="s">
        <v>6505</v>
      </c>
      <c r="H836" s="61" t="s">
        <v>148</v>
      </c>
      <c r="I836" s="15" t="str">
        <f>IFERROR(__xludf.DUMMYFUNCTION("GOOGLETRANSLATE(H836,""EN"",""ES"")"),"Gastronomía")</f>
        <v>Gastronomía</v>
      </c>
      <c r="J836" s="16" t="s">
        <v>27</v>
      </c>
      <c r="K836" s="17">
        <v>0.0</v>
      </c>
      <c r="L836" s="45"/>
      <c r="M836" s="18"/>
      <c r="N836" s="44"/>
      <c r="O836" s="44"/>
      <c r="P836" s="20">
        <v>0.0</v>
      </c>
      <c r="Q836" s="18"/>
      <c r="R836" s="18"/>
      <c r="S836" s="52"/>
      <c r="T836" s="22"/>
    </row>
    <row r="837">
      <c r="A837" s="23" t="s">
        <v>6506</v>
      </c>
      <c r="B837" s="58" t="s">
        <v>85</v>
      </c>
      <c r="C837" s="41">
        <v>45355.0</v>
      </c>
      <c r="D837" s="40" t="s">
        <v>6507</v>
      </c>
      <c r="E837" s="41" t="s">
        <v>6508</v>
      </c>
      <c r="F837" s="43" t="s">
        <v>6509</v>
      </c>
      <c r="G837" s="43" t="s">
        <v>6510</v>
      </c>
      <c r="H837" s="59" t="s">
        <v>148</v>
      </c>
      <c r="I837" s="25" t="str">
        <f>IFERROR(__xludf.DUMMYFUNCTION("GOOGLETRANSLATE(H837,""EN"",""ES"")"),"Gastronomía")</f>
        <v>Gastronomía</v>
      </c>
      <c r="J837" s="26" t="s">
        <v>27</v>
      </c>
      <c r="K837" s="17">
        <v>0.0</v>
      </c>
      <c r="L837" s="54"/>
      <c r="M837" s="31"/>
      <c r="N837" s="47"/>
      <c r="O837" s="47"/>
      <c r="P837" s="20">
        <v>0.0</v>
      </c>
      <c r="Q837" s="31"/>
      <c r="R837" s="31"/>
      <c r="S837" s="53"/>
      <c r="T837" s="32"/>
    </row>
    <row r="838">
      <c r="A838" s="33" t="s">
        <v>6511</v>
      </c>
      <c r="B838" s="60" t="s">
        <v>74</v>
      </c>
      <c r="C838" s="41">
        <v>45355.0</v>
      </c>
      <c r="D838" s="40" t="s">
        <v>6512</v>
      </c>
      <c r="E838" s="41" t="s">
        <v>6513</v>
      </c>
      <c r="F838" s="43" t="s">
        <v>6514</v>
      </c>
      <c r="G838" s="43" t="s">
        <v>6515</v>
      </c>
      <c r="H838" s="61" t="s">
        <v>148</v>
      </c>
      <c r="I838" s="15" t="str">
        <f>IFERROR(__xludf.DUMMYFUNCTION("GOOGLETRANSLATE(H838,""EN"",""ES"")"),"Gastronomía")</f>
        <v>Gastronomía</v>
      </c>
      <c r="J838" s="16" t="s">
        <v>27</v>
      </c>
      <c r="K838" s="17">
        <v>0.0</v>
      </c>
      <c r="L838" s="45"/>
      <c r="M838" s="18"/>
      <c r="N838" s="44"/>
      <c r="O838" s="44"/>
      <c r="P838" s="20">
        <v>0.0</v>
      </c>
      <c r="Q838" s="18"/>
      <c r="R838" s="18"/>
      <c r="S838" s="52"/>
      <c r="T838" s="22"/>
    </row>
    <row r="839">
      <c r="A839" s="23" t="s">
        <v>6516</v>
      </c>
      <c r="B839" s="58" t="s">
        <v>192</v>
      </c>
      <c r="C839" s="41">
        <v>45355.0</v>
      </c>
      <c r="D839" s="40" t="s">
        <v>6517</v>
      </c>
      <c r="E839" s="41" t="s">
        <v>6518</v>
      </c>
      <c r="F839" s="43" t="s">
        <v>6519</v>
      </c>
      <c r="G839" s="43" t="s">
        <v>6520</v>
      </c>
      <c r="H839" s="59" t="s">
        <v>148</v>
      </c>
      <c r="I839" s="25" t="str">
        <f>IFERROR(__xludf.DUMMYFUNCTION("GOOGLETRANSLATE(H839,""EN"",""ES"")"),"Gastronomía")</f>
        <v>Gastronomía</v>
      </c>
      <c r="J839" s="26" t="s">
        <v>27</v>
      </c>
      <c r="K839" s="17">
        <v>0.0</v>
      </c>
      <c r="L839" s="54"/>
      <c r="M839" s="31"/>
      <c r="N839" s="47"/>
      <c r="O839" s="47"/>
      <c r="P839" s="20">
        <v>0.0</v>
      </c>
      <c r="Q839" s="31"/>
      <c r="R839" s="31"/>
      <c r="S839" s="53"/>
      <c r="T839" s="32"/>
    </row>
    <row r="840">
      <c r="A840" s="33" t="s">
        <v>6521</v>
      </c>
      <c r="B840" s="60" t="s">
        <v>6522</v>
      </c>
      <c r="C840" s="41">
        <v>45355.0</v>
      </c>
      <c r="D840" s="40" t="s">
        <v>6523</v>
      </c>
      <c r="E840" s="41" t="s">
        <v>6524</v>
      </c>
      <c r="F840" s="43" t="s">
        <v>6525</v>
      </c>
      <c r="G840" s="43" t="s">
        <v>6526</v>
      </c>
      <c r="H840" s="61" t="s">
        <v>148</v>
      </c>
      <c r="I840" s="15" t="str">
        <f>IFERROR(__xludf.DUMMYFUNCTION("GOOGLETRANSLATE(H840,""EN"",""ES"")"),"Gastronomía")</f>
        <v>Gastronomía</v>
      </c>
      <c r="J840" s="16" t="s">
        <v>27</v>
      </c>
      <c r="K840" s="17">
        <v>0.0</v>
      </c>
      <c r="L840" s="45"/>
      <c r="M840" s="18"/>
      <c r="N840" s="44"/>
      <c r="O840" s="44"/>
      <c r="P840" s="20">
        <v>0.0</v>
      </c>
      <c r="Q840" s="18"/>
      <c r="R840" s="18"/>
      <c r="S840" s="52"/>
      <c r="T840" s="22"/>
    </row>
    <row r="841">
      <c r="A841" s="23" t="s">
        <v>6527</v>
      </c>
      <c r="B841" s="58" t="s">
        <v>21</v>
      </c>
      <c r="C841" s="41">
        <v>45355.0</v>
      </c>
      <c r="D841" s="40" t="s">
        <v>6528</v>
      </c>
      <c r="E841" s="41" t="s">
        <v>6529</v>
      </c>
      <c r="F841" s="43" t="s">
        <v>6530</v>
      </c>
      <c r="G841" s="43" t="s">
        <v>6531</v>
      </c>
      <c r="H841" s="59" t="s">
        <v>148</v>
      </c>
      <c r="I841" s="25" t="str">
        <f>IFERROR(__xludf.DUMMYFUNCTION("GOOGLETRANSLATE(H841,""EN"",""ES"")"),"Gastronomía")</f>
        <v>Gastronomía</v>
      </c>
      <c r="J841" s="26" t="s">
        <v>27</v>
      </c>
      <c r="K841" s="17">
        <v>0.0</v>
      </c>
      <c r="L841" s="54"/>
      <c r="M841" s="31"/>
      <c r="N841" s="47"/>
      <c r="O841" s="47"/>
      <c r="P841" s="20">
        <v>0.0</v>
      </c>
      <c r="Q841" s="31"/>
      <c r="R841" s="31"/>
      <c r="S841" s="53"/>
      <c r="T841" s="32"/>
    </row>
    <row r="842">
      <c r="A842" s="33" t="s">
        <v>6532</v>
      </c>
      <c r="B842" s="60" t="s">
        <v>6533</v>
      </c>
      <c r="C842" s="41">
        <v>45355.0</v>
      </c>
      <c r="D842" s="40" t="s">
        <v>6534</v>
      </c>
      <c r="E842" s="41" t="s">
        <v>6535</v>
      </c>
      <c r="F842" s="43" t="s">
        <v>6536</v>
      </c>
      <c r="G842" s="43" t="s">
        <v>6537</v>
      </c>
      <c r="H842" s="61" t="s">
        <v>148</v>
      </c>
      <c r="I842" s="15" t="str">
        <f>IFERROR(__xludf.DUMMYFUNCTION("GOOGLETRANSLATE(H842,""EN"",""ES"")"),"Gastronomía")</f>
        <v>Gastronomía</v>
      </c>
      <c r="J842" s="16" t="s">
        <v>27</v>
      </c>
      <c r="K842" s="17">
        <v>0.0</v>
      </c>
      <c r="L842" s="45"/>
      <c r="M842" s="18"/>
      <c r="N842" s="44"/>
      <c r="O842" s="44"/>
      <c r="P842" s="20">
        <v>0.0</v>
      </c>
      <c r="Q842" s="18"/>
      <c r="R842" s="18"/>
      <c r="S842" s="52"/>
      <c r="T842" s="22"/>
    </row>
    <row r="843">
      <c r="A843" s="23" t="s">
        <v>6538</v>
      </c>
      <c r="B843" s="58" t="s">
        <v>6539</v>
      </c>
      <c r="C843" s="41">
        <v>45355.0</v>
      </c>
      <c r="D843" s="40" t="s">
        <v>6540</v>
      </c>
      <c r="E843" s="41" t="s">
        <v>6541</v>
      </c>
      <c r="F843" s="43" t="s">
        <v>6542</v>
      </c>
      <c r="G843" s="43" t="s">
        <v>6543</v>
      </c>
      <c r="H843" s="59" t="s">
        <v>148</v>
      </c>
      <c r="I843" s="25" t="str">
        <f>IFERROR(__xludf.DUMMYFUNCTION("GOOGLETRANSLATE(H843,""EN"",""ES"")"),"Gastronomía")</f>
        <v>Gastronomía</v>
      </c>
      <c r="J843" s="26" t="s">
        <v>27</v>
      </c>
      <c r="K843" s="17">
        <v>0.0</v>
      </c>
      <c r="L843" s="54"/>
      <c r="M843" s="31"/>
      <c r="N843" s="47"/>
      <c r="O843" s="47"/>
      <c r="P843" s="20">
        <v>0.0</v>
      </c>
      <c r="Q843" s="31"/>
      <c r="R843" s="31"/>
      <c r="S843" s="53"/>
      <c r="T843" s="32"/>
    </row>
    <row r="844">
      <c r="A844" s="64" t="s">
        <v>6544</v>
      </c>
      <c r="B844" s="60" t="s">
        <v>21</v>
      </c>
      <c r="C844" s="41">
        <v>45355.0</v>
      </c>
      <c r="D844" s="40" t="s">
        <v>6545</v>
      </c>
      <c r="E844" s="40" t="s">
        <v>6546</v>
      </c>
      <c r="F844" s="43" t="s">
        <v>6547</v>
      </c>
      <c r="G844" s="43" t="s">
        <v>6548</v>
      </c>
      <c r="H844" s="44" t="s">
        <v>148</v>
      </c>
      <c r="I844" s="15" t="str">
        <f>IFERROR(__xludf.DUMMYFUNCTION("GOOGLETRANSLATE(H844,""EN"",""ES"")"),"Gastronomía")</f>
        <v>Gastronomía</v>
      </c>
      <c r="J844" s="16" t="s">
        <v>27</v>
      </c>
      <c r="K844" s="17">
        <v>0.0</v>
      </c>
      <c r="L844" s="45"/>
      <c r="M844" s="18"/>
      <c r="N844" s="44"/>
      <c r="O844" s="44"/>
      <c r="P844" s="20">
        <v>0.0</v>
      </c>
      <c r="Q844" s="18"/>
      <c r="R844" s="18"/>
      <c r="S844" s="52"/>
      <c r="T844" s="22"/>
    </row>
    <row r="845">
      <c r="A845" s="23" t="s">
        <v>6549</v>
      </c>
      <c r="B845" s="58" t="s">
        <v>6136</v>
      </c>
      <c r="C845" s="41">
        <v>45355.0</v>
      </c>
      <c r="D845" s="40" t="s">
        <v>6550</v>
      </c>
      <c r="E845" s="41" t="s">
        <v>6551</v>
      </c>
      <c r="F845" s="43" t="s">
        <v>6552</v>
      </c>
      <c r="G845" s="43" t="s">
        <v>6553</v>
      </c>
      <c r="H845" s="59" t="s">
        <v>148</v>
      </c>
      <c r="I845" s="25" t="str">
        <f>IFERROR(__xludf.DUMMYFUNCTION("GOOGLETRANSLATE(H845,""EN"",""ES"")"),"Gastronomía")</f>
        <v>Gastronomía</v>
      </c>
      <c r="J845" s="26" t="s">
        <v>27</v>
      </c>
      <c r="K845" s="17">
        <v>0.0</v>
      </c>
      <c r="L845" s="54"/>
      <c r="M845" s="31"/>
      <c r="N845" s="47"/>
      <c r="O845" s="47"/>
      <c r="P845" s="20">
        <v>0.0</v>
      </c>
      <c r="Q845" s="31"/>
      <c r="R845" s="31"/>
      <c r="S845" s="53"/>
      <c r="T845" s="32"/>
    </row>
    <row r="846">
      <c r="A846" s="33" t="s">
        <v>6554</v>
      </c>
      <c r="B846" s="60" t="s">
        <v>6555</v>
      </c>
      <c r="C846" s="41">
        <v>45355.0</v>
      </c>
      <c r="D846" s="40" t="s">
        <v>6556</v>
      </c>
      <c r="E846" s="41" t="s">
        <v>6557</v>
      </c>
      <c r="F846" s="43" t="s">
        <v>6558</v>
      </c>
      <c r="G846" s="43" t="s">
        <v>6559</v>
      </c>
      <c r="H846" s="61" t="s">
        <v>148</v>
      </c>
      <c r="I846" s="15" t="str">
        <f>IFERROR(__xludf.DUMMYFUNCTION("GOOGLETRANSLATE(H846,""EN"",""ES"")"),"Gastronomía")</f>
        <v>Gastronomía</v>
      </c>
      <c r="J846" s="16" t="s">
        <v>27</v>
      </c>
      <c r="K846" s="17">
        <v>0.0</v>
      </c>
      <c r="L846" s="45"/>
      <c r="M846" s="18"/>
      <c r="N846" s="44"/>
      <c r="O846" s="44"/>
      <c r="P846" s="20">
        <v>0.0</v>
      </c>
      <c r="Q846" s="18"/>
      <c r="R846" s="18"/>
      <c r="S846" s="52"/>
      <c r="T846" s="22"/>
    </row>
    <row r="847">
      <c r="A847" s="23" t="s">
        <v>6560</v>
      </c>
      <c r="B847" s="58" t="s">
        <v>6561</v>
      </c>
      <c r="C847" s="41">
        <v>45355.0</v>
      </c>
      <c r="D847" s="40" t="s">
        <v>6562</v>
      </c>
      <c r="E847" s="41" t="s">
        <v>6563</v>
      </c>
      <c r="F847" s="43" t="s">
        <v>6564</v>
      </c>
      <c r="G847" s="43" t="s">
        <v>6565</v>
      </c>
      <c r="H847" s="59" t="s">
        <v>148</v>
      </c>
      <c r="I847" s="25" t="str">
        <f>IFERROR(__xludf.DUMMYFUNCTION("GOOGLETRANSLATE(H847,""EN"",""ES"")"),"Gastronomía")</f>
        <v>Gastronomía</v>
      </c>
      <c r="J847" s="26" t="s">
        <v>27</v>
      </c>
      <c r="K847" s="17">
        <v>0.0</v>
      </c>
      <c r="L847" s="54"/>
      <c r="M847" s="31"/>
      <c r="N847" s="47"/>
      <c r="O847" s="47"/>
      <c r="P847" s="20">
        <v>0.0</v>
      </c>
      <c r="Q847" s="31"/>
      <c r="R847" s="31"/>
      <c r="S847" s="53"/>
      <c r="T847" s="32"/>
    </row>
    <row r="848">
      <c r="A848" s="33" t="s">
        <v>6566</v>
      </c>
      <c r="B848" s="60" t="s">
        <v>6567</v>
      </c>
      <c r="C848" s="41">
        <v>45355.0</v>
      </c>
      <c r="D848" s="40" t="s">
        <v>6568</v>
      </c>
      <c r="E848" s="41" t="s">
        <v>6569</v>
      </c>
      <c r="F848" s="43" t="s">
        <v>6570</v>
      </c>
      <c r="G848" s="43" t="s">
        <v>6571</v>
      </c>
      <c r="H848" s="61" t="s">
        <v>148</v>
      </c>
      <c r="I848" s="15" t="str">
        <f>IFERROR(__xludf.DUMMYFUNCTION("GOOGLETRANSLATE(H848,""EN"",""ES"")"),"Gastronomía")</f>
        <v>Gastronomía</v>
      </c>
      <c r="J848" s="16" t="s">
        <v>27</v>
      </c>
      <c r="K848" s="17">
        <v>0.0</v>
      </c>
      <c r="L848" s="45"/>
      <c r="M848" s="18"/>
      <c r="N848" s="44"/>
      <c r="O848" s="44"/>
      <c r="P848" s="20">
        <v>0.0</v>
      </c>
      <c r="Q848" s="18"/>
      <c r="R848" s="18"/>
      <c r="S848" s="52"/>
      <c r="T848" s="22"/>
    </row>
    <row r="849">
      <c r="A849" s="23" t="s">
        <v>6572</v>
      </c>
      <c r="B849" s="58" t="s">
        <v>21</v>
      </c>
      <c r="C849" s="41">
        <v>45355.0</v>
      </c>
      <c r="D849" s="40" t="s">
        <v>6573</v>
      </c>
      <c r="E849" s="41" t="s">
        <v>6574</v>
      </c>
      <c r="F849" s="43" t="s">
        <v>6575</v>
      </c>
      <c r="G849" s="43" t="s">
        <v>6576</v>
      </c>
      <c r="H849" s="59" t="s">
        <v>148</v>
      </c>
      <c r="I849" s="25" t="str">
        <f>IFERROR(__xludf.DUMMYFUNCTION("GOOGLETRANSLATE(H849,""EN"",""ES"")"),"Gastronomía")</f>
        <v>Gastronomía</v>
      </c>
      <c r="J849" s="26" t="s">
        <v>27</v>
      </c>
      <c r="K849" s="17">
        <v>0.0</v>
      </c>
      <c r="L849" s="54"/>
      <c r="M849" s="31"/>
      <c r="N849" s="47"/>
      <c r="O849" s="47"/>
      <c r="P849" s="20">
        <v>0.0</v>
      </c>
      <c r="Q849" s="31"/>
      <c r="R849" s="31"/>
      <c r="S849" s="53"/>
      <c r="T849" s="32"/>
    </row>
    <row r="850">
      <c r="A850" s="33" t="s">
        <v>6577</v>
      </c>
      <c r="B850" s="60" t="s">
        <v>6578</v>
      </c>
      <c r="C850" s="41">
        <v>45355.0</v>
      </c>
      <c r="D850" s="40" t="s">
        <v>6579</v>
      </c>
      <c r="E850" s="41" t="s">
        <v>6580</v>
      </c>
      <c r="F850" s="43" t="s">
        <v>6581</v>
      </c>
      <c r="G850" s="43" t="s">
        <v>6582</v>
      </c>
      <c r="H850" s="61" t="s">
        <v>148</v>
      </c>
      <c r="I850" s="15" t="str">
        <f>IFERROR(__xludf.DUMMYFUNCTION("GOOGLETRANSLATE(H850,""EN"",""ES"")"),"Gastronomía")</f>
        <v>Gastronomía</v>
      </c>
      <c r="J850" s="16" t="s">
        <v>27</v>
      </c>
      <c r="K850" s="17">
        <v>0.0</v>
      </c>
      <c r="L850" s="45"/>
      <c r="M850" s="18"/>
      <c r="N850" s="44"/>
      <c r="O850" s="44"/>
      <c r="P850" s="20">
        <v>0.0</v>
      </c>
      <c r="Q850" s="18"/>
      <c r="R850" s="18"/>
      <c r="S850" s="52"/>
      <c r="T850" s="22"/>
    </row>
    <row r="851">
      <c r="A851" s="23" t="s">
        <v>6583</v>
      </c>
      <c r="B851" s="58" t="s">
        <v>3992</v>
      </c>
      <c r="C851" s="41">
        <v>45355.0</v>
      </c>
      <c r="D851" s="40" t="s">
        <v>6584</v>
      </c>
      <c r="E851" s="41" t="s">
        <v>6585</v>
      </c>
      <c r="F851" s="43" t="s">
        <v>6586</v>
      </c>
      <c r="G851" s="43" t="s">
        <v>6587</v>
      </c>
      <c r="H851" s="59" t="s">
        <v>148</v>
      </c>
      <c r="I851" s="25" t="str">
        <f>IFERROR(__xludf.DUMMYFUNCTION("GOOGLETRANSLATE(H851,""EN"",""ES"")"),"Gastronomía")</f>
        <v>Gastronomía</v>
      </c>
      <c r="J851" s="26" t="s">
        <v>27</v>
      </c>
      <c r="K851" s="17">
        <v>0.0</v>
      </c>
      <c r="L851" s="54"/>
      <c r="M851" s="31"/>
      <c r="N851" s="47"/>
      <c r="O851" s="47"/>
      <c r="P851" s="20">
        <v>0.0</v>
      </c>
      <c r="Q851" s="31"/>
      <c r="R851" s="31"/>
      <c r="S851" s="53"/>
      <c r="T851" s="32"/>
    </row>
    <row r="852">
      <c r="A852" s="33" t="s">
        <v>6588</v>
      </c>
      <c r="B852" s="60" t="s">
        <v>2751</v>
      </c>
      <c r="C852" s="41">
        <v>45355.0</v>
      </c>
      <c r="D852" s="40" t="s">
        <v>6589</v>
      </c>
      <c r="E852" s="41" t="s">
        <v>6590</v>
      </c>
      <c r="F852" s="43" t="s">
        <v>6591</v>
      </c>
      <c r="G852" s="43" t="s">
        <v>6592</v>
      </c>
      <c r="H852" s="61" t="s">
        <v>130</v>
      </c>
      <c r="I852" s="15" t="str">
        <f>IFERROR(__xludf.DUMMYFUNCTION("GOOGLETRANSLATE(H852,""EN"",""ES"")"),"Sostenibilidad")</f>
        <v>Sostenibilidad</v>
      </c>
      <c r="J852" s="16" t="s">
        <v>35</v>
      </c>
      <c r="K852" s="48">
        <v>0.7</v>
      </c>
      <c r="L852" s="51" t="s">
        <v>6593</v>
      </c>
      <c r="M852" s="34" t="s">
        <v>6594</v>
      </c>
      <c r="N852" s="44" t="s">
        <v>6239</v>
      </c>
      <c r="O852" s="44" t="str">
        <f>IFERROR(__xludf.DUMMYFUNCTION("GOOGLETRANSLATE(N852,""EN"",""ES"")"),"La ampliación de la infraestructura de carga de vehículos eléctricos respalda la transición de Repsol hacia las energías limpias.")</f>
        <v>La ampliación de la infraestructura de carga de vehículos eléctricos respalda la transición de Repsol hacia las energías limpias.</v>
      </c>
      <c r="P852" s="30">
        <v>0.7</v>
      </c>
      <c r="Q852" s="18" t="str">
        <f>IFERROR(__xludf.DUMMYFUNCTION("GOOGLETRANSLATE(R852,""ES"",""EN"")"),"chargers, electric cars, install")</f>
        <v>chargers, electric cars, install</v>
      </c>
      <c r="R852" s="34" t="s">
        <v>6595</v>
      </c>
      <c r="S852" s="52" t="s">
        <v>6335</v>
      </c>
      <c r="T852" s="22" t="s">
        <v>6336</v>
      </c>
    </row>
    <row r="853">
      <c r="A853" s="23" t="s">
        <v>6596</v>
      </c>
      <c r="B853" s="58" t="s">
        <v>43</v>
      </c>
      <c r="C853" s="41">
        <v>45355.0</v>
      </c>
      <c r="D853" s="40" t="s">
        <v>6597</v>
      </c>
      <c r="E853" s="41" t="s">
        <v>6598</v>
      </c>
      <c r="F853" s="43" t="s">
        <v>6599</v>
      </c>
      <c r="G853" s="43" t="s">
        <v>6600</v>
      </c>
      <c r="H853" s="59" t="s">
        <v>148</v>
      </c>
      <c r="I853" s="25" t="str">
        <f>IFERROR(__xludf.DUMMYFUNCTION("GOOGLETRANSLATE(H853,""EN"",""ES"")"),"Gastronomía")</f>
        <v>Gastronomía</v>
      </c>
      <c r="J853" s="26" t="s">
        <v>27</v>
      </c>
      <c r="K853" s="17">
        <v>0.0</v>
      </c>
      <c r="L853" s="54"/>
      <c r="M853" s="31"/>
      <c r="N853" s="47"/>
      <c r="O853" s="47"/>
      <c r="P853" s="20">
        <v>0.0</v>
      </c>
      <c r="Q853" s="31"/>
      <c r="R853" s="31"/>
      <c r="S853" s="53"/>
      <c r="T853" s="32"/>
    </row>
    <row r="854">
      <c r="A854" s="33" t="s">
        <v>6601</v>
      </c>
      <c r="B854" s="60" t="s">
        <v>6602</v>
      </c>
      <c r="C854" s="41">
        <v>45355.0</v>
      </c>
      <c r="D854" s="40" t="s">
        <v>6603</v>
      </c>
      <c r="E854" s="41" t="s">
        <v>6604</v>
      </c>
      <c r="F854" s="43" t="s">
        <v>6605</v>
      </c>
      <c r="G854" s="43" t="s">
        <v>6606</v>
      </c>
      <c r="H854" s="61" t="s">
        <v>148</v>
      </c>
      <c r="I854" s="15" t="str">
        <f>IFERROR(__xludf.DUMMYFUNCTION("GOOGLETRANSLATE(H854,""EN"",""ES"")"),"Gastronomía")</f>
        <v>Gastronomía</v>
      </c>
      <c r="J854" s="16" t="s">
        <v>27</v>
      </c>
      <c r="K854" s="17">
        <v>0.0</v>
      </c>
      <c r="L854" s="45"/>
      <c r="M854" s="18"/>
      <c r="N854" s="44"/>
      <c r="O854" s="44"/>
      <c r="P854" s="20">
        <v>0.0</v>
      </c>
      <c r="Q854" s="18"/>
      <c r="R854" s="18"/>
      <c r="S854" s="52"/>
      <c r="T854" s="22"/>
    </row>
    <row r="855">
      <c r="A855" s="23" t="s">
        <v>6607</v>
      </c>
      <c r="B855" s="58" t="s">
        <v>6608</v>
      </c>
      <c r="C855" s="41">
        <v>45355.0</v>
      </c>
      <c r="D855" s="40" t="s">
        <v>6609</v>
      </c>
      <c r="E855" s="41" t="s">
        <v>6610</v>
      </c>
      <c r="F855" s="43" t="s">
        <v>6611</v>
      </c>
      <c r="G855" s="43" t="s">
        <v>6612</v>
      </c>
      <c r="H855" s="59" t="s">
        <v>148</v>
      </c>
      <c r="I855" s="25" t="str">
        <f>IFERROR(__xludf.DUMMYFUNCTION("GOOGLETRANSLATE(H855,""EN"",""ES"")"),"Gastronomía")</f>
        <v>Gastronomía</v>
      </c>
      <c r="J855" s="26" t="s">
        <v>27</v>
      </c>
      <c r="K855" s="17">
        <v>0.0</v>
      </c>
      <c r="L855" s="54"/>
      <c r="M855" s="31"/>
      <c r="N855" s="47"/>
      <c r="O855" s="47"/>
      <c r="P855" s="20">
        <v>0.0</v>
      </c>
      <c r="Q855" s="31"/>
      <c r="R855" s="31"/>
      <c r="S855" s="53"/>
      <c r="T855" s="32"/>
    </row>
    <row r="856">
      <c r="A856" s="33" t="s">
        <v>6613</v>
      </c>
      <c r="B856" s="60" t="s">
        <v>6614</v>
      </c>
      <c r="C856" s="41">
        <v>45355.0</v>
      </c>
      <c r="D856" s="40" t="s">
        <v>6615</v>
      </c>
      <c r="E856" s="41" t="s">
        <v>6616</v>
      </c>
      <c r="F856" s="43" t="s">
        <v>6617</v>
      </c>
      <c r="G856" s="43" t="s">
        <v>6618</v>
      </c>
      <c r="H856" s="51" t="s">
        <v>148</v>
      </c>
      <c r="I856" s="15" t="str">
        <f>IFERROR(__xludf.DUMMYFUNCTION("GOOGLETRANSLATE(H856,""EN"",""ES"")"),"Gastronomía")</f>
        <v>Gastronomía</v>
      </c>
      <c r="J856" s="16" t="s">
        <v>27</v>
      </c>
      <c r="K856" s="17">
        <v>0.0</v>
      </c>
      <c r="L856" s="51"/>
      <c r="M856" s="18"/>
      <c r="N856" s="65"/>
      <c r="O856" s="65"/>
      <c r="P856" s="20">
        <v>0.0</v>
      </c>
      <c r="Q856" s="18"/>
      <c r="R856" s="18"/>
      <c r="S856" s="52"/>
      <c r="T856" s="22"/>
    </row>
    <row r="857">
      <c r="A857" s="23" t="s">
        <v>6619</v>
      </c>
      <c r="B857" s="58" t="s">
        <v>6620</v>
      </c>
      <c r="C857" s="41">
        <v>45355.0</v>
      </c>
      <c r="D857" s="40" t="s">
        <v>6621</v>
      </c>
      <c r="E857" s="41" t="s">
        <v>6622</v>
      </c>
      <c r="F857" s="43" t="s">
        <v>6623</v>
      </c>
      <c r="G857" s="43" t="s">
        <v>6624</v>
      </c>
      <c r="H857" s="59" t="s">
        <v>148</v>
      </c>
      <c r="I857" s="25" t="str">
        <f>IFERROR(__xludf.DUMMYFUNCTION("GOOGLETRANSLATE(H857,""EN"",""ES"")"),"Gastronomía")</f>
        <v>Gastronomía</v>
      </c>
      <c r="J857" s="26" t="s">
        <v>27</v>
      </c>
      <c r="K857" s="17">
        <v>0.0</v>
      </c>
      <c r="L857" s="54"/>
      <c r="M857" s="31"/>
      <c r="N857" s="47"/>
      <c r="O857" s="47"/>
      <c r="P857" s="20">
        <v>0.0</v>
      </c>
      <c r="Q857" s="31"/>
      <c r="R857" s="31"/>
      <c r="S857" s="53"/>
      <c r="T857" s="32"/>
    </row>
    <row r="858">
      <c r="A858" s="33" t="s">
        <v>6625</v>
      </c>
      <c r="B858" s="60" t="s">
        <v>431</v>
      </c>
      <c r="C858" s="41">
        <v>45355.0</v>
      </c>
      <c r="D858" s="40" t="s">
        <v>6626</v>
      </c>
      <c r="E858" s="41" t="s">
        <v>6627</v>
      </c>
      <c r="F858" s="43" t="s">
        <v>6628</v>
      </c>
      <c r="G858" s="43" t="s">
        <v>6629</v>
      </c>
      <c r="H858" s="61" t="s">
        <v>148</v>
      </c>
      <c r="I858" s="15" t="str">
        <f>IFERROR(__xludf.DUMMYFUNCTION("GOOGLETRANSLATE(H858,""EN"",""ES"")"),"Gastronomía")</f>
        <v>Gastronomía</v>
      </c>
      <c r="J858" s="16" t="s">
        <v>27</v>
      </c>
      <c r="K858" s="17">
        <v>0.0</v>
      </c>
      <c r="L858" s="45"/>
      <c r="M858" s="18"/>
      <c r="N858" s="44"/>
      <c r="O858" s="44"/>
      <c r="P858" s="20">
        <v>0.0</v>
      </c>
      <c r="Q858" s="18"/>
      <c r="R858" s="18"/>
      <c r="S858" s="52"/>
      <c r="T858" s="22"/>
    </row>
    <row r="859">
      <c r="A859" s="23" t="s">
        <v>6630</v>
      </c>
      <c r="B859" s="58" t="s">
        <v>6631</v>
      </c>
      <c r="C859" s="41">
        <v>45355.0</v>
      </c>
      <c r="D859" s="40" t="s">
        <v>6632</v>
      </c>
      <c r="E859" s="41" t="s">
        <v>6633</v>
      </c>
      <c r="F859" s="43" t="s">
        <v>6634</v>
      </c>
      <c r="G859" s="43" t="s">
        <v>6635</v>
      </c>
      <c r="H859" s="59" t="s">
        <v>148</v>
      </c>
      <c r="I859" s="25" t="str">
        <f>IFERROR(__xludf.DUMMYFUNCTION("GOOGLETRANSLATE(H859,""EN"",""ES"")"),"Gastronomía")</f>
        <v>Gastronomía</v>
      </c>
      <c r="J859" s="26" t="s">
        <v>27</v>
      </c>
      <c r="K859" s="17">
        <v>0.0</v>
      </c>
      <c r="L859" s="54"/>
      <c r="M859" s="31"/>
      <c r="N859" s="47"/>
      <c r="O859" s="47"/>
      <c r="P859" s="20">
        <v>0.0</v>
      </c>
      <c r="Q859" s="31"/>
      <c r="R859" s="31"/>
      <c r="S859" s="53"/>
      <c r="T859" s="32"/>
    </row>
    <row r="860">
      <c r="A860" s="33" t="s">
        <v>6636</v>
      </c>
      <c r="B860" s="60" t="s">
        <v>6458</v>
      </c>
      <c r="C860" s="41">
        <v>45355.0</v>
      </c>
      <c r="D860" s="40" t="s">
        <v>6637</v>
      </c>
      <c r="E860" s="41" t="s">
        <v>6638</v>
      </c>
      <c r="F860" s="43" t="s">
        <v>6639</v>
      </c>
      <c r="G860" s="43" t="s">
        <v>6640</v>
      </c>
      <c r="H860" s="61" t="s">
        <v>148</v>
      </c>
      <c r="I860" s="15" t="str">
        <f>IFERROR(__xludf.DUMMYFUNCTION("GOOGLETRANSLATE(H860,""EN"",""ES"")"),"Gastronomía")</f>
        <v>Gastronomía</v>
      </c>
      <c r="J860" s="16" t="s">
        <v>27</v>
      </c>
      <c r="K860" s="17">
        <v>0.0</v>
      </c>
      <c r="L860" s="45"/>
      <c r="M860" s="18"/>
      <c r="N860" s="44"/>
      <c r="O860" s="44"/>
      <c r="P860" s="20">
        <v>0.0</v>
      </c>
      <c r="Q860" s="18"/>
      <c r="R860" s="18"/>
      <c r="S860" s="52"/>
      <c r="T860" s="22"/>
    </row>
    <row r="861">
      <c r="A861" s="23" t="s">
        <v>6641</v>
      </c>
      <c r="B861" s="58" t="s">
        <v>6642</v>
      </c>
      <c r="C861" s="41">
        <v>45355.0</v>
      </c>
      <c r="D861" s="40" t="s">
        <v>6643</v>
      </c>
      <c r="E861" s="41" t="s">
        <v>6644</v>
      </c>
      <c r="F861" s="43" t="s">
        <v>6645</v>
      </c>
      <c r="G861" s="43" t="s">
        <v>6646</v>
      </c>
      <c r="H861" s="59" t="s">
        <v>148</v>
      </c>
      <c r="I861" s="25" t="str">
        <f>IFERROR(__xludf.DUMMYFUNCTION("GOOGLETRANSLATE(H861,""EN"",""ES"")"),"Gastronomía")</f>
        <v>Gastronomía</v>
      </c>
      <c r="J861" s="26" t="s">
        <v>27</v>
      </c>
      <c r="K861" s="17">
        <v>0.0</v>
      </c>
      <c r="L861" s="54"/>
      <c r="M861" s="31"/>
      <c r="N861" s="47"/>
      <c r="O861" s="47"/>
      <c r="P861" s="20">
        <v>0.0</v>
      </c>
      <c r="Q861" s="31"/>
      <c r="R861" s="31"/>
      <c r="S861" s="53"/>
      <c r="T861" s="32"/>
    </row>
    <row r="862">
      <c r="A862" s="33" t="s">
        <v>6647</v>
      </c>
      <c r="B862" s="60" t="s">
        <v>6648</v>
      </c>
      <c r="C862" s="41">
        <v>45355.0</v>
      </c>
      <c r="D862" s="40" t="s">
        <v>6649</v>
      </c>
      <c r="E862" s="41" t="s">
        <v>6650</v>
      </c>
      <c r="F862" s="43" t="s">
        <v>6651</v>
      </c>
      <c r="G862" s="43" t="s">
        <v>6652</v>
      </c>
      <c r="H862" s="61" t="s">
        <v>148</v>
      </c>
      <c r="I862" s="15" t="str">
        <f>IFERROR(__xludf.DUMMYFUNCTION("GOOGLETRANSLATE(H862,""EN"",""ES"")"),"Gastronomía")</f>
        <v>Gastronomía</v>
      </c>
      <c r="J862" s="16" t="s">
        <v>27</v>
      </c>
      <c r="K862" s="17">
        <v>0.0</v>
      </c>
      <c r="L862" s="45"/>
      <c r="M862" s="18"/>
      <c r="N862" s="44"/>
      <c r="O862" s="44"/>
      <c r="P862" s="20">
        <v>0.0</v>
      </c>
      <c r="Q862" s="18"/>
      <c r="R862" s="18"/>
      <c r="S862" s="52"/>
      <c r="T862" s="22"/>
    </row>
    <row r="863">
      <c r="A863" s="23" t="s">
        <v>6653</v>
      </c>
      <c r="B863" s="58" t="s">
        <v>2952</v>
      </c>
      <c r="C863" s="41">
        <v>45355.0</v>
      </c>
      <c r="D863" s="40" t="s">
        <v>6654</v>
      </c>
      <c r="E863" s="41" t="s">
        <v>6655</v>
      </c>
      <c r="F863" s="43" t="s">
        <v>6656</v>
      </c>
      <c r="G863" s="43" t="s">
        <v>6657</v>
      </c>
      <c r="H863" s="59" t="s">
        <v>148</v>
      </c>
      <c r="I863" s="25" t="str">
        <f>IFERROR(__xludf.DUMMYFUNCTION("GOOGLETRANSLATE(H863,""EN"",""ES"")"),"Gastronomía")</f>
        <v>Gastronomía</v>
      </c>
      <c r="J863" s="26" t="s">
        <v>27</v>
      </c>
      <c r="K863" s="17">
        <v>0.0</v>
      </c>
      <c r="L863" s="54"/>
      <c r="M863" s="31"/>
      <c r="N863" s="47"/>
      <c r="O863" s="47"/>
      <c r="P863" s="20">
        <v>0.0</v>
      </c>
      <c r="Q863" s="31"/>
      <c r="R863" s="31"/>
      <c r="S863" s="53"/>
      <c r="T863" s="32"/>
    </row>
    <row r="864">
      <c r="A864" s="33" t="s">
        <v>6658</v>
      </c>
      <c r="B864" s="60" t="s">
        <v>5483</v>
      </c>
      <c r="C864" s="41">
        <v>45355.0</v>
      </c>
      <c r="D864" s="40" t="s">
        <v>6659</v>
      </c>
      <c r="E864" s="41" t="s">
        <v>6660</v>
      </c>
      <c r="F864" s="43" t="s">
        <v>6661</v>
      </c>
      <c r="G864" s="43" t="s">
        <v>6662</v>
      </c>
      <c r="H864" s="61" t="s">
        <v>148</v>
      </c>
      <c r="I864" s="15" t="str">
        <f>IFERROR(__xludf.DUMMYFUNCTION("GOOGLETRANSLATE(H864,""EN"",""ES"")"),"Gastronomía")</f>
        <v>Gastronomía</v>
      </c>
      <c r="J864" s="16" t="s">
        <v>27</v>
      </c>
      <c r="K864" s="17">
        <v>0.0</v>
      </c>
      <c r="L864" s="45"/>
      <c r="M864" s="18"/>
      <c r="N864" s="44"/>
      <c r="O864" s="44"/>
      <c r="P864" s="20">
        <v>0.0</v>
      </c>
      <c r="Q864" s="18"/>
      <c r="R864" s="18"/>
      <c r="S864" s="52"/>
      <c r="T864" s="22"/>
    </row>
    <row r="865">
      <c r="A865" s="23" t="s">
        <v>6663</v>
      </c>
      <c r="B865" s="58" t="s">
        <v>6664</v>
      </c>
      <c r="C865" s="41">
        <v>45355.0</v>
      </c>
      <c r="D865" s="40" t="s">
        <v>6665</v>
      </c>
      <c r="E865" s="41" t="s">
        <v>6666</v>
      </c>
      <c r="F865" s="43" t="s">
        <v>6667</v>
      </c>
      <c r="G865" s="43" t="s">
        <v>6668</v>
      </c>
      <c r="H865" s="59" t="s">
        <v>148</v>
      </c>
      <c r="I865" s="25" t="str">
        <f>IFERROR(__xludf.DUMMYFUNCTION("GOOGLETRANSLATE(H865,""EN"",""ES"")"),"Gastronomía")</f>
        <v>Gastronomía</v>
      </c>
      <c r="J865" s="26" t="s">
        <v>27</v>
      </c>
      <c r="K865" s="17">
        <v>0.0</v>
      </c>
      <c r="L865" s="54"/>
      <c r="M865" s="31"/>
      <c r="N865" s="47"/>
      <c r="O865" s="47"/>
      <c r="P865" s="20">
        <v>0.0</v>
      </c>
      <c r="Q865" s="31"/>
      <c r="R865" s="31"/>
      <c r="S865" s="53"/>
      <c r="T865" s="32"/>
    </row>
    <row r="866">
      <c r="A866" s="33" t="s">
        <v>6669</v>
      </c>
      <c r="B866" s="60" t="s">
        <v>4750</v>
      </c>
      <c r="C866" s="41">
        <v>45355.0</v>
      </c>
      <c r="D866" s="40" t="s">
        <v>6670</v>
      </c>
      <c r="E866" s="41" t="s">
        <v>6671</v>
      </c>
      <c r="F866" s="43" t="s">
        <v>6672</v>
      </c>
      <c r="G866" s="43" t="s">
        <v>6673</v>
      </c>
      <c r="H866" s="61" t="s">
        <v>148</v>
      </c>
      <c r="I866" s="15" t="str">
        <f>IFERROR(__xludf.DUMMYFUNCTION("GOOGLETRANSLATE(H866,""EN"",""ES"")"),"Gastronomía")</f>
        <v>Gastronomía</v>
      </c>
      <c r="J866" s="16" t="s">
        <v>27</v>
      </c>
      <c r="K866" s="17">
        <v>0.0</v>
      </c>
      <c r="L866" s="45"/>
      <c r="M866" s="18"/>
      <c r="N866" s="44"/>
      <c r="O866" s="44"/>
      <c r="P866" s="20">
        <v>0.0</v>
      </c>
      <c r="Q866" s="18"/>
      <c r="R866" s="18"/>
      <c r="S866" s="52"/>
      <c r="T866" s="22"/>
    </row>
    <row r="867">
      <c r="A867" s="23" t="s">
        <v>6674</v>
      </c>
      <c r="B867" s="58" t="s">
        <v>1081</v>
      </c>
      <c r="C867" s="41">
        <v>45355.0</v>
      </c>
      <c r="D867" s="40" t="s">
        <v>6675</v>
      </c>
      <c r="E867" s="41" t="s">
        <v>6676</v>
      </c>
      <c r="F867" s="43" t="s">
        <v>6677</v>
      </c>
      <c r="G867" s="43" t="s">
        <v>6678</v>
      </c>
      <c r="H867" s="59" t="s">
        <v>148</v>
      </c>
      <c r="I867" s="25" t="str">
        <f>IFERROR(__xludf.DUMMYFUNCTION("GOOGLETRANSLATE(H867,""EN"",""ES"")"),"Gastronomía")</f>
        <v>Gastronomía</v>
      </c>
      <c r="J867" s="26" t="s">
        <v>27</v>
      </c>
      <c r="K867" s="17">
        <v>0.0</v>
      </c>
      <c r="L867" s="54"/>
      <c r="M867" s="31"/>
      <c r="N867" s="47"/>
      <c r="O867" s="47"/>
      <c r="P867" s="20">
        <v>0.0</v>
      </c>
      <c r="Q867" s="31"/>
      <c r="R867" s="31"/>
      <c r="S867" s="53"/>
      <c r="T867" s="32"/>
    </row>
    <row r="868">
      <c r="A868" s="33" t="s">
        <v>6679</v>
      </c>
      <c r="B868" s="60" t="s">
        <v>1081</v>
      </c>
      <c r="C868" s="41">
        <v>45355.0</v>
      </c>
      <c r="D868" s="40" t="s">
        <v>6680</v>
      </c>
      <c r="E868" s="41" t="s">
        <v>6681</v>
      </c>
      <c r="F868" s="43" t="s">
        <v>6682</v>
      </c>
      <c r="G868" s="43" t="s">
        <v>6683</v>
      </c>
      <c r="H868" s="61" t="s">
        <v>148</v>
      </c>
      <c r="I868" s="15" t="str">
        <f>IFERROR(__xludf.DUMMYFUNCTION("GOOGLETRANSLATE(H868,""EN"",""ES"")"),"Gastronomía")</f>
        <v>Gastronomía</v>
      </c>
      <c r="J868" s="16" t="s">
        <v>27</v>
      </c>
      <c r="K868" s="17">
        <v>0.0</v>
      </c>
      <c r="L868" s="45"/>
      <c r="M868" s="18"/>
      <c r="N868" s="44"/>
      <c r="O868" s="44"/>
      <c r="P868" s="20">
        <v>0.0</v>
      </c>
      <c r="Q868" s="18"/>
      <c r="R868" s="18"/>
      <c r="S868" s="52"/>
      <c r="T868" s="22"/>
    </row>
    <row r="869">
      <c r="A869" s="23" t="s">
        <v>6684</v>
      </c>
      <c r="B869" s="58" t="s">
        <v>6685</v>
      </c>
      <c r="C869" s="41">
        <v>45355.0</v>
      </c>
      <c r="D869" s="40" t="s">
        <v>6686</v>
      </c>
      <c r="E869" s="41" t="s">
        <v>6687</v>
      </c>
      <c r="F869" s="43" t="s">
        <v>6688</v>
      </c>
      <c r="G869" s="43" t="s">
        <v>6689</v>
      </c>
      <c r="H869" s="59" t="s">
        <v>148</v>
      </c>
      <c r="I869" s="25" t="str">
        <f>IFERROR(__xludf.DUMMYFUNCTION("GOOGLETRANSLATE(H869,""EN"",""ES"")"),"Gastronomía")</f>
        <v>Gastronomía</v>
      </c>
      <c r="J869" s="26" t="s">
        <v>27</v>
      </c>
      <c r="K869" s="17">
        <v>0.0</v>
      </c>
      <c r="L869" s="54"/>
      <c r="M869" s="31"/>
      <c r="N869" s="47"/>
      <c r="O869" s="47"/>
      <c r="P869" s="20">
        <v>0.0</v>
      </c>
      <c r="Q869" s="31"/>
      <c r="R869" s="31"/>
      <c r="S869" s="53"/>
      <c r="T869" s="32"/>
    </row>
    <row r="870">
      <c r="A870" s="33" t="s">
        <v>6690</v>
      </c>
      <c r="B870" s="60" t="s">
        <v>1768</v>
      </c>
      <c r="C870" s="41">
        <v>45355.0</v>
      </c>
      <c r="D870" s="40" t="s">
        <v>6691</v>
      </c>
      <c r="E870" s="41" t="s">
        <v>6692</v>
      </c>
      <c r="F870" s="43" t="s">
        <v>6693</v>
      </c>
      <c r="G870" s="43" t="s">
        <v>6694</v>
      </c>
      <c r="H870" s="61" t="s">
        <v>148</v>
      </c>
      <c r="I870" s="15" t="str">
        <f>IFERROR(__xludf.DUMMYFUNCTION("GOOGLETRANSLATE(H870,""EN"",""ES"")"),"Gastronomía")</f>
        <v>Gastronomía</v>
      </c>
      <c r="J870" s="16" t="s">
        <v>27</v>
      </c>
      <c r="K870" s="17">
        <v>0.0</v>
      </c>
      <c r="L870" s="45"/>
      <c r="M870" s="18"/>
      <c r="N870" s="44"/>
      <c r="O870" s="44"/>
      <c r="P870" s="20">
        <v>0.0</v>
      </c>
      <c r="Q870" s="18"/>
      <c r="R870" s="18"/>
      <c r="S870" s="52"/>
      <c r="T870" s="22"/>
    </row>
    <row r="871">
      <c r="A871" s="23" t="s">
        <v>6695</v>
      </c>
      <c r="B871" s="58" t="s">
        <v>431</v>
      </c>
      <c r="C871" s="41">
        <v>45355.0</v>
      </c>
      <c r="D871" s="40" t="s">
        <v>6696</v>
      </c>
      <c r="E871" s="41" t="s">
        <v>6697</v>
      </c>
      <c r="F871" s="43" t="s">
        <v>6698</v>
      </c>
      <c r="G871" s="43" t="s">
        <v>6699</v>
      </c>
      <c r="H871" s="51" t="s">
        <v>148</v>
      </c>
      <c r="I871" s="25" t="str">
        <f>IFERROR(__xludf.DUMMYFUNCTION("GOOGLETRANSLATE(H871,""EN"",""ES"")"),"Gastronomía")</f>
        <v>Gastronomía</v>
      </c>
      <c r="J871" s="26" t="s">
        <v>27</v>
      </c>
      <c r="K871" s="17">
        <v>0.0</v>
      </c>
      <c r="L871" s="54"/>
      <c r="M871" s="31"/>
      <c r="N871" s="66"/>
      <c r="O871" s="66"/>
      <c r="P871" s="20">
        <v>0.0</v>
      </c>
      <c r="Q871" s="31"/>
      <c r="R871" s="31"/>
      <c r="S871" s="53"/>
      <c r="T871" s="32"/>
    </row>
    <row r="872">
      <c r="A872" s="33" t="s">
        <v>6700</v>
      </c>
      <c r="B872" s="60" t="s">
        <v>4634</v>
      </c>
      <c r="C872" s="41">
        <v>45355.0</v>
      </c>
      <c r="D872" s="40" t="s">
        <v>6701</v>
      </c>
      <c r="E872" s="41" t="s">
        <v>6702</v>
      </c>
      <c r="F872" s="43" t="s">
        <v>6703</v>
      </c>
      <c r="G872" s="43" t="s">
        <v>6704</v>
      </c>
      <c r="H872" s="51" t="s">
        <v>148</v>
      </c>
      <c r="I872" s="15" t="str">
        <f>IFERROR(__xludf.DUMMYFUNCTION("GOOGLETRANSLATE(H872,""EN"",""ES"")"),"Gastronomía")</f>
        <v>Gastronomía</v>
      </c>
      <c r="J872" s="16" t="s">
        <v>27</v>
      </c>
      <c r="K872" s="17">
        <v>0.0</v>
      </c>
      <c r="L872" s="45"/>
      <c r="M872" s="18"/>
      <c r="N872" s="65"/>
      <c r="O872" s="65"/>
      <c r="P872" s="20">
        <v>0.0</v>
      </c>
      <c r="Q872" s="18"/>
      <c r="R872" s="18"/>
      <c r="S872" s="52"/>
      <c r="T872" s="22"/>
    </row>
    <row r="873">
      <c r="A873" s="23" t="s">
        <v>6705</v>
      </c>
      <c r="B873" s="58" t="s">
        <v>85</v>
      </c>
      <c r="C873" s="41">
        <v>45355.0</v>
      </c>
      <c r="D873" s="40" t="s">
        <v>6706</v>
      </c>
      <c r="E873" s="41" t="s">
        <v>6707</v>
      </c>
      <c r="F873" s="43" t="s">
        <v>6708</v>
      </c>
      <c r="G873" s="43" t="s">
        <v>6709</v>
      </c>
      <c r="H873" s="51" t="s">
        <v>148</v>
      </c>
      <c r="I873" s="25" t="str">
        <f>IFERROR(__xludf.DUMMYFUNCTION("GOOGLETRANSLATE(H873,""EN"",""ES"")"),"Gastronomía")</f>
        <v>Gastronomía</v>
      </c>
      <c r="J873" s="26" t="s">
        <v>27</v>
      </c>
      <c r="K873" s="17">
        <v>0.0</v>
      </c>
      <c r="L873" s="54"/>
      <c r="M873" s="31"/>
      <c r="N873" s="66"/>
      <c r="O873" s="66"/>
      <c r="P873" s="20">
        <v>0.0</v>
      </c>
      <c r="Q873" s="31"/>
      <c r="R873" s="31"/>
      <c r="S873" s="53"/>
      <c r="T873" s="32"/>
    </row>
    <row r="874">
      <c r="A874" s="33" t="s">
        <v>6710</v>
      </c>
      <c r="B874" s="60" t="s">
        <v>1168</v>
      </c>
      <c r="C874" s="57">
        <v>45355.0</v>
      </c>
      <c r="D874" s="40" t="s">
        <v>6711</v>
      </c>
      <c r="E874" s="41" t="s">
        <v>6712</v>
      </c>
      <c r="F874" s="43" t="s">
        <v>6713</v>
      </c>
      <c r="G874" s="43" t="s">
        <v>6714</v>
      </c>
      <c r="H874" s="51" t="s">
        <v>148</v>
      </c>
      <c r="I874" s="15" t="str">
        <f>IFERROR(__xludf.DUMMYFUNCTION("GOOGLETRANSLATE(H874,""EN"",""ES"")"),"Gastronomía")</f>
        <v>Gastronomía</v>
      </c>
      <c r="J874" s="16" t="s">
        <v>27</v>
      </c>
      <c r="K874" s="17">
        <v>0.0</v>
      </c>
      <c r="L874" s="45"/>
      <c r="M874" s="18"/>
      <c r="N874" s="65"/>
      <c r="O874" s="65"/>
      <c r="P874" s="20">
        <v>0.0</v>
      </c>
      <c r="Q874" s="18"/>
      <c r="R874" s="18"/>
      <c r="S874" s="52"/>
      <c r="T874" s="22"/>
    </row>
    <row r="875">
      <c r="A875" s="23" t="s">
        <v>6715</v>
      </c>
      <c r="B875" s="58" t="s">
        <v>6716</v>
      </c>
      <c r="C875" s="41">
        <v>45355.0</v>
      </c>
      <c r="D875" s="40" t="s">
        <v>6717</v>
      </c>
      <c r="E875" s="41" t="s">
        <v>6718</v>
      </c>
      <c r="F875" s="43" t="s">
        <v>6719</v>
      </c>
      <c r="G875" s="43" t="s">
        <v>6720</v>
      </c>
      <c r="H875" s="51" t="s">
        <v>148</v>
      </c>
      <c r="I875" s="25" t="str">
        <f>IFERROR(__xludf.DUMMYFUNCTION("GOOGLETRANSLATE(H875,""EN"",""ES"")"),"Gastronomía")</f>
        <v>Gastronomía</v>
      </c>
      <c r="J875" s="26" t="s">
        <v>27</v>
      </c>
      <c r="K875" s="17">
        <v>0.0</v>
      </c>
      <c r="L875" s="54"/>
      <c r="M875" s="31"/>
      <c r="N875" s="66"/>
      <c r="O875" s="66"/>
      <c r="P875" s="20">
        <v>0.0</v>
      </c>
      <c r="Q875" s="31"/>
      <c r="R875" s="31"/>
      <c r="S875" s="53"/>
      <c r="T875" s="32"/>
    </row>
    <row r="876">
      <c r="A876" s="33" t="s">
        <v>6721</v>
      </c>
      <c r="B876" s="60" t="s">
        <v>1128</v>
      </c>
      <c r="C876" s="41">
        <v>45355.0</v>
      </c>
      <c r="D876" s="40" t="s">
        <v>6722</v>
      </c>
      <c r="E876" s="41" t="s">
        <v>6723</v>
      </c>
      <c r="F876" s="43" t="s">
        <v>6724</v>
      </c>
      <c r="G876" s="43" t="s">
        <v>6725</v>
      </c>
      <c r="H876" s="51" t="s">
        <v>148</v>
      </c>
      <c r="I876" s="15" t="str">
        <f>IFERROR(__xludf.DUMMYFUNCTION("GOOGLETRANSLATE(H876,""EN"",""ES"")"),"Gastronomía")</f>
        <v>Gastronomía</v>
      </c>
      <c r="J876" s="16" t="s">
        <v>27</v>
      </c>
      <c r="K876" s="17">
        <v>0.0</v>
      </c>
      <c r="L876" s="45"/>
      <c r="M876" s="18"/>
      <c r="N876" s="65"/>
      <c r="O876" s="65"/>
      <c r="P876" s="20">
        <v>0.0</v>
      </c>
      <c r="Q876" s="18"/>
      <c r="R876" s="18"/>
      <c r="S876" s="52"/>
      <c r="T876" s="22"/>
    </row>
    <row r="877">
      <c r="A877" s="23" t="s">
        <v>6726</v>
      </c>
      <c r="B877" s="58" t="s">
        <v>85</v>
      </c>
      <c r="C877" s="41">
        <v>45355.0</v>
      </c>
      <c r="D877" s="40" t="s">
        <v>6727</v>
      </c>
      <c r="E877" s="41" t="s">
        <v>6728</v>
      </c>
      <c r="F877" s="43" t="s">
        <v>6729</v>
      </c>
      <c r="G877" s="43" t="s">
        <v>6730</v>
      </c>
      <c r="H877" s="51" t="s">
        <v>148</v>
      </c>
      <c r="I877" s="25" t="str">
        <f>IFERROR(__xludf.DUMMYFUNCTION("GOOGLETRANSLATE(H877,""EN"",""ES"")"),"Gastronomía")</f>
        <v>Gastronomía</v>
      </c>
      <c r="J877" s="26" t="s">
        <v>27</v>
      </c>
      <c r="K877" s="17">
        <v>0.0</v>
      </c>
      <c r="L877" s="54"/>
      <c r="M877" s="31"/>
      <c r="N877" s="66"/>
      <c r="O877" s="66"/>
      <c r="P877" s="20">
        <v>0.0</v>
      </c>
      <c r="Q877" s="31"/>
      <c r="R877" s="31"/>
      <c r="S877" s="53"/>
      <c r="T877" s="32"/>
    </row>
    <row r="878">
      <c r="A878" s="33" t="s">
        <v>6731</v>
      </c>
      <c r="B878" s="60" t="s">
        <v>1005</v>
      </c>
      <c r="C878" s="41">
        <v>45355.0</v>
      </c>
      <c r="D878" s="40" t="s">
        <v>6732</v>
      </c>
      <c r="E878" s="41" t="s">
        <v>6733</v>
      </c>
      <c r="F878" s="43" t="s">
        <v>6734</v>
      </c>
      <c r="G878" s="43" t="s">
        <v>6735</v>
      </c>
      <c r="H878" s="51" t="s">
        <v>148</v>
      </c>
      <c r="I878" s="15" t="str">
        <f>IFERROR(__xludf.DUMMYFUNCTION("GOOGLETRANSLATE(H878,""EN"",""ES"")"),"Gastronomía")</f>
        <v>Gastronomía</v>
      </c>
      <c r="J878" s="16" t="s">
        <v>27</v>
      </c>
      <c r="K878" s="17">
        <v>0.0</v>
      </c>
      <c r="L878" s="45"/>
      <c r="M878" s="18"/>
      <c r="N878" s="65"/>
      <c r="O878" s="65"/>
      <c r="P878" s="20">
        <v>0.0</v>
      </c>
      <c r="Q878" s="18"/>
      <c r="R878" s="18"/>
      <c r="S878" s="52"/>
      <c r="T878" s="22"/>
    </row>
    <row r="879">
      <c r="A879" s="23" t="s">
        <v>6736</v>
      </c>
      <c r="B879" s="58" t="s">
        <v>2199</v>
      </c>
      <c r="C879" s="41">
        <v>45355.0</v>
      </c>
      <c r="D879" s="40" t="s">
        <v>6737</v>
      </c>
      <c r="E879" s="41" t="s">
        <v>6738</v>
      </c>
      <c r="F879" s="43" t="s">
        <v>6739</v>
      </c>
      <c r="G879" s="43" t="s">
        <v>6740</v>
      </c>
      <c r="H879" s="51" t="s">
        <v>148</v>
      </c>
      <c r="I879" s="25" t="str">
        <f>IFERROR(__xludf.DUMMYFUNCTION("GOOGLETRANSLATE(H879,""EN"",""ES"")"),"Gastronomía")</f>
        <v>Gastronomía</v>
      </c>
      <c r="J879" s="26" t="s">
        <v>27</v>
      </c>
      <c r="K879" s="17">
        <v>0.0</v>
      </c>
      <c r="L879" s="54"/>
      <c r="M879" s="31"/>
      <c r="N879" s="66"/>
      <c r="O879" s="66"/>
      <c r="P879" s="20">
        <v>0.0</v>
      </c>
      <c r="Q879" s="31"/>
      <c r="R879" s="31"/>
      <c r="S879" s="53"/>
      <c r="T879" s="32"/>
    </row>
    <row r="880">
      <c r="A880" s="33" t="s">
        <v>6741</v>
      </c>
      <c r="B880" s="60" t="s">
        <v>2713</v>
      </c>
      <c r="C880" s="41">
        <v>45355.0</v>
      </c>
      <c r="D880" s="40" t="s">
        <v>6742</v>
      </c>
      <c r="E880" s="41" t="s">
        <v>6743</v>
      </c>
      <c r="F880" s="43" t="s">
        <v>6744</v>
      </c>
      <c r="G880" s="43" t="s">
        <v>6745</v>
      </c>
      <c r="H880" s="51" t="s">
        <v>148</v>
      </c>
      <c r="I880" s="15" t="str">
        <f>IFERROR(__xludf.DUMMYFUNCTION("GOOGLETRANSLATE(H880,""EN"",""ES"")"),"Gastronomía")</f>
        <v>Gastronomía</v>
      </c>
      <c r="J880" s="16" t="s">
        <v>27</v>
      </c>
      <c r="K880" s="17">
        <v>0.0</v>
      </c>
      <c r="L880" s="45"/>
      <c r="M880" s="18"/>
      <c r="N880" s="65"/>
      <c r="O880" s="65"/>
      <c r="P880" s="20">
        <v>0.0</v>
      </c>
      <c r="Q880" s="18"/>
      <c r="R880" s="18"/>
      <c r="S880" s="52"/>
      <c r="T880" s="22"/>
    </row>
    <row r="881">
      <c r="A881" s="23" t="s">
        <v>6746</v>
      </c>
      <c r="B881" s="58" t="s">
        <v>6747</v>
      </c>
      <c r="C881" s="41">
        <v>45355.0</v>
      </c>
      <c r="D881" s="40" t="s">
        <v>6748</v>
      </c>
      <c r="E881" s="41" t="s">
        <v>6749</v>
      </c>
      <c r="F881" s="43" t="s">
        <v>6750</v>
      </c>
      <c r="G881" s="43" t="s">
        <v>6751</v>
      </c>
      <c r="H881" s="51" t="s">
        <v>148</v>
      </c>
      <c r="I881" s="25" t="str">
        <f>IFERROR(__xludf.DUMMYFUNCTION("GOOGLETRANSLATE(H881,""EN"",""ES"")"),"Gastronomía")</f>
        <v>Gastronomía</v>
      </c>
      <c r="J881" s="26" t="s">
        <v>27</v>
      </c>
      <c r="K881" s="17">
        <v>0.0</v>
      </c>
      <c r="L881" s="54"/>
      <c r="M881" s="31"/>
      <c r="N881" s="66"/>
      <c r="O881" s="66"/>
      <c r="P881" s="20">
        <v>0.0</v>
      </c>
      <c r="Q881" s="31"/>
      <c r="R881" s="31"/>
      <c r="S881" s="53"/>
      <c r="T881" s="32"/>
    </row>
    <row r="882">
      <c r="A882" s="33" t="s">
        <v>6752</v>
      </c>
      <c r="B882" s="60" t="s">
        <v>6753</v>
      </c>
      <c r="C882" s="41">
        <v>45355.0</v>
      </c>
      <c r="D882" s="40" t="s">
        <v>6754</v>
      </c>
      <c r="E882" s="41" t="s">
        <v>6755</v>
      </c>
      <c r="F882" s="43" t="s">
        <v>6756</v>
      </c>
      <c r="G882" s="43" t="s">
        <v>6757</v>
      </c>
      <c r="H882" s="51" t="s">
        <v>148</v>
      </c>
      <c r="I882" s="15" t="str">
        <f>IFERROR(__xludf.DUMMYFUNCTION("GOOGLETRANSLATE(H882,""EN"",""ES"")"),"Gastronomía")</f>
        <v>Gastronomía</v>
      </c>
      <c r="J882" s="16" t="s">
        <v>27</v>
      </c>
      <c r="K882" s="17">
        <v>0.0</v>
      </c>
      <c r="L882" s="45"/>
      <c r="M882" s="18"/>
      <c r="N882" s="65"/>
      <c r="O882" s="65"/>
      <c r="P882" s="20">
        <v>0.0</v>
      </c>
      <c r="Q882" s="18"/>
      <c r="R882" s="18"/>
      <c r="S882" s="52"/>
      <c r="T882" s="22"/>
    </row>
    <row r="883">
      <c r="A883" s="23" t="s">
        <v>6758</v>
      </c>
      <c r="B883" s="58" t="s">
        <v>6759</v>
      </c>
      <c r="C883" s="41">
        <v>45355.0</v>
      </c>
      <c r="D883" s="40" t="s">
        <v>6760</v>
      </c>
      <c r="E883" s="41" t="s">
        <v>6761</v>
      </c>
      <c r="F883" s="43" t="s">
        <v>6762</v>
      </c>
      <c r="G883" s="43" t="s">
        <v>6763</v>
      </c>
      <c r="H883" s="51" t="s">
        <v>148</v>
      </c>
      <c r="I883" s="25" t="str">
        <f>IFERROR(__xludf.DUMMYFUNCTION("GOOGLETRANSLATE(H883,""EN"",""ES"")"),"Gastronomía")</f>
        <v>Gastronomía</v>
      </c>
      <c r="J883" s="26" t="s">
        <v>27</v>
      </c>
      <c r="K883" s="17">
        <v>0.0</v>
      </c>
      <c r="L883" s="54"/>
      <c r="M883" s="31"/>
      <c r="N883" s="66"/>
      <c r="O883" s="66"/>
      <c r="P883" s="20">
        <v>0.0</v>
      </c>
      <c r="Q883" s="31"/>
      <c r="R883" s="31"/>
      <c r="S883" s="53"/>
      <c r="T883" s="32"/>
    </row>
    <row r="884">
      <c r="A884" s="33" t="s">
        <v>6764</v>
      </c>
      <c r="B884" s="60" t="s">
        <v>1005</v>
      </c>
      <c r="C884" s="41">
        <v>45355.0</v>
      </c>
      <c r="D884" s="40" t="s">
        <v>6765</v>
      </c>
      <c r="E884" s="41" t="s">
        <v>6766</v>
      </c>
      <c r="F884" s="43" t="s">
        <v>6767</v>
      </c>
      <c r="G884" s="43" t="s">
        <v>6768</v>
      </c>
      <c r="H884" s="51" t="s">
        <v>148</v>
      </c>
      <c r="I884" s="15" t="str">
        <f>IFERROR(__xludf.DUMMYFUNCTION("GOOGLETRANSLATE(H884,""EN"",""ES"")"),"Gastronomía")</f>
        <v>Gastronomía</v>
      </c>
      <c r="J884" s="16" t="s">
        <v>27</v>
      </c>
      <c r="K884" s="17">
        <v>0.0</v>
      </c>
      <c r="L884" s="45"/>
      <c r="M884" s="18"/>
      <c r="N884" s="65"/>
      <c r="O884" s="65"/>
      <c r="P884" s="20">
        <v>0.0</v>
      </c>
      <c r="Q884" s="18"/>
      <c r="R884" s="18"/>
      <c r="S884" s="52"/>
      <c r="T884" s="22"/>
    </row>
    <row r="885">
      <c r="A885" s="23" t="s">
        <v>6769</v>
      </c>
      <c r="B885" s="58" t="s">
        <v>6770</v>
      </c>
      <c r="C885" s="41">
        <v>45355.0</v>
      </c>
      <c r="D885" s="40" t="s">
        <v>6771</v>
      </c>
      <c r="E885" s="41" t="s">
        <v>6772</v>
      </c>
      <c r="F885" s="43" t="s">
        <v>6773</v>
      </c>
      <c r="G885" s="43" t="s">
        <v>6774</v>
      </c>
      <c r="H885" s="51" t="s">
        <v>148</v>
      </c>
      <c r="I885" s="25" t="str">
        <f>IFERROR(__xludf.DUMMYFUNCTION("GOOGLETRANSLATE(H885,""EN"",""ES"")"),"Gastronomía")</f>
        <v>Gastronomía</v>
      </c>
      <c r="J885" s="26" t="s">
        <v>27</v>
      </c>
      <c r="K885" s="17">
        <v>0.0</v>
      </c>
      <c r="L885" s="54"/>
      <c r="M885" s="31"/>
      <c r="N885" s="66"/>
      <c r="O885" s="66"/>
      <c r="P885" s="20">
        <v>0.0</v>
      </c>
      <c r="Q885" s="31"/>
      <c r="R885" s="31"/>
      <c r="S885" s="53"/>
      <c r="T885" s="32"/>
    </row>
    <row r="886">
      <c r="A886" s="33" t="s">
        <v>6775</v>
      </c>
      <c r="B886" s="60" t="s">
        <v>6776</v>
      </c>
      <c r="C886" s="41">
        <v>45355.0</v>
      </c>
      <c r="D886" s="40" t="s">
        <v>6777</v>
      </c>
      <c r="E886" s="41" t="s">
        <v>6778</v>
      </c>
      <c r="F886" s="43" t="s">
        <v>6779</v>
      </c>
      <c r="G886" s="43" t="s">
        <v>6780</v>
      </c>
      <c r="H886" s="51" t="s">
        <v>148</v>
      </c>
      <c r="I886" s="15" t="str">
        <f>IFERROR(__xludf.DUMMYFUNCTION("GOOGLETRANSLATE(H886,""EN"",""ES"")"),"Gastronomía")</f>
        <v>Gastronomía</v>
      </c>
      <c r="J886" s="16" t="s">
        <v>27</v>
      </c>
      <c r="K886" s="17">
        <v>0.0</v>
      </c>
      <c r="L886" s="45"/>
      <c r="M886" s="18"/>
      <c r="N886" s="65"/>
      <c r="O886" s="65"/>
      <c r="P886" s="20">
        <v>0.0</v>
      </c>
      <c r="Q886" s="18"/>
      <c r="R886" s="18"/>
      <c r="S886" s="52"/>
      <c r="T886" s="22"/>
    </row>
    <row r="887">
      <c r="A887" s="23" t="s">
        <v>6781</v>
      </c>
      <c r="B887" s="58" t="s">
        <v>125</v>
      </c>
      <c r="C887" s="41">
        <v>45355.0</v>
      </c>
      <c r="D887" s="40" t="s">
        <v>6782</v>
      </c>
      <c r="E887" s="41" t="s">
        <v>6783</v>
      </c>
      <c r="F887" s="43" t="s">
        <v>6784</v>
      </c>
      <c r="G887" s="43" t="s">
        <v>6785</v>
      </c>
      <c r="H887" s="51" t="s">
        <v>148</v>
      </c>
      <c r="I887" s="25" t="str">
        <f>IFERROR(__xludf.DUMMYFUNCTION("GOOGLETRANSLATE(H887,""EN"",""ES"")"),"Gastronomía")</f>
        <v>Gastronomía</v>
      </c>
      <c r="J887" s="26" t="s">
        <v>27</v>
      </c>
      <c r="K887" s="17">
        <v>0.0</v>
      </c>
      <c r="L887" s="54"/>
      <c r="M887" s="31"/>
      <c r="N887" s="66"/>
      <c r="O887" s="66"/>
      <c r="P887" s="20">
        <v>0.0</v>
      </c>
      <c r="Q887" s="31"/>
      <c r="R887" s="31"/>
      <c r="S887" s="53"/>
      <c r="T887" s="32"/>
    </row>
    <row r="888">
      <c r="A888" s="33" t="s">
        <v>6786</v>
      </c>
      <c r="B888" s="60" t="s">
        <v>6787</v>
      </c>
      <c r="C888" s="41">
        <v>45355.0</v>
      </c>
      <c r="D888" s="40" t="s">
        <v>6788</v>
      </c>
      <c r="E888" s="41" t="s">
        <v>6789</v>
      </c>
      <c r="F888" s="43" t="s">
        <v>6790</v>
      </c>
      <c r="G888" s="43" t="s">
        <v>6791</v>
      </c>
      <c r="H888" s="51" t="s">
        <v>148</v>
      </c>
      <c r="I888" s="15" t="str">
        <f>IFERROR(__xludf.DUMMYFUNCTION("GOOGLETRANSLATE(H888,""EN"",""ES"")"),"Gastronomía")</f>
        <v>Gastronomía</v>
      </c>
      <c r="J888" s="16" t="s">
        <v>27</v>
      </c>
      <c r="K888" s="17">
        <v>0.0</v>
      </c>
      <c r="L888" s="45"/>
      <c r="M888" s="18"/>
      <c r="N888" s="65"/>
      <c r="O888" s="65"/>
      <c r="P888" s="20">
        <v>0.0</v>
      </c>
      <c r="Q888" s="18"/>
      <c r="R888" s="18"/>
      <c r="S888" s="52"/>
      <c r="T888" s="22"/>
    </row>
    <row r="889">
      <c r="A889" s="23" t="s">
        <v>6792</v>
      </c>
      <c r="B889" s="58" t="s">
        <v>6793</v>
      </c>
      <c r="C889" s="41">
        <v>45355.0</v>
      </c>
      <c r="D889" s="40" t="s">
        <v>6794</v>
      </c>
      <c r="E889" s="41" t="s">
        <v>6795</v>
      </c>
      <c r="F889" s="43" t="s">
        <v>6796</v>
      </c>
      <c r="G889" s="43" t="s">
        <v>6797</v>
      </c>
      <c r="H889" s="51" t="s">
        <v>148</v>
      </c>
      <c r="I889" s="25" t="str">
        <f>IFERROR(__xludf.DUMMYFUNCTION("GOOGLETRANSLATE(H889,""EN"",""ES"")"),"Gastronomía")</f>
        <v>Gastronomía</v>
      </c>
      <c r="J889" s="26" t="s">
        <v>27</v>
      </c>
      <c r="K889" s="17">
        <v>0.0</v>
      </c>
      <c r="L889" s="54"/>
      <c r="M889" s="31"/>
      <c r="N889" s="66"/>
      <c r="O889" s="66"/>
      <c r="P889" s="20">
        <v>0.0</v>
      </c>
      <c r="Q889" s="31"/>
      <c r="R889" s="31"/>
      <c r="S889" s="53"/>
      <c r="T889" s="32"/>
    </row>
    <row r="890">
      <c r="A890" s="33" t="s">
        <v>6798</v>
      </c>
      <c r="B890" s="60" t="s">
        <v>1081</v>
      </c>
      <c r="C890" s="41">
        <v>45355.0</v>
      </c>
      <c r="D890" s="40" t="s">
        <v>6799</v>
      </c>
      <c r="E890" s="41" t="s">
        <v>6800</v>
      </c>
      <c r="F890" s="43" t="s">
        <v>6801</v>
      </c>
      <c r="G890" s="43" t="s">
        <v>6802</v>
      </c>
      <c r="H890" s="51" t="s">
        <v>148</v>
      </c>
      <c r="I890" s="15" t="str">
        <f>IFERROR(__xludf.DUMMYFUNCTION("GOOGLETRANSLATE(H890,""EN"",""ES"")"),"Gastronomía")</f>
        <v>Gastronomía</v>
      </c>
      <c r="J890" s="16" t="s">
        <v>27</v>
      </c>
      <c r="K890" s="17">
        <v>0.0</v>
      </c>
      <c r="L890" s="45"/>
      <c r="M890" s="18"/>
      <c r="N890" s="65"/>
      <c r="O890" s="65"/>
      <c r="P890" s="20">
        <v>0.0</v>
      </c>
      <c r="Q890" s="18"/>
      <c r="R890" s="18"/>
      <c r="S890" s="52"/>
      <c r="T890" s="22"/>
    </row>
    <row r="891">
      <c r="A891" s="23" t="s">
        <v>6803</v>
      </c>
      <c r="B891" s="58" t="s">
        <v>6804</v>
      </c>
      <c r="C891" s="41">
        <v>45355.0</v>
      </c>
      <c r="D891" s="40" t="s">
        <v>6805</v>
      </c>
      <c r="E891" s="41" t="s">
        <v>6805</v>
      </c>
      <c r="F891" s="43" t="s">
        <v>6806</v>
      </c>
      <c r="G891" s="43" t="s">
        <v>6806</v>
      </c>
      <c r="H891" s="51" t="s">
        <v>148</v>
      </c>
      <c r="I891" s="25" t="str">
        <f>IFERROR(__xludf.DUMMYFUNCTION("GOOGLETRANSLATE(H891,""EN"",""ES"")"),"Gastronomía")</f>
        <v>Gastronomía</v>
      </c>
      <c r="J891" s="26" t="s">
        <v>27</v>
      </c>
      <c r="K891" s="17">
        <v>0.0</v>
      </c>
      <c r="L891" s="54"/>
      <c r="M891" s="31"/>
      <c r="N891" s="66"/>
      <c r="O891" s="66"/>
      <c r="P891" s="20">
        <v>0.0</v>
      </c>
      <c r="Q891" s="31"/>
      <c r="R891" s="31"/>
      <c r="S891" s="53"/>
      <c r="T891" s="32"/>
    </row>
    <row r="892">
      <c r="A892" s="33" t="s">
        <v>6807</v>
      </c>
      <c r="B892" s="60" t="s">
        <v>6808</v>
      </c>
      <c r="C892" s="41">
        <v>45355.0</v>
      </c>
      <c r="D892" s="40" t="s">
        <v>6809</v>
      </c>
      <c r="E892" s="41" t="s">
        <v>6810</v>
      </c>
      <c r="F892" s="43" t="s">
        <v>6811</v>
      </c>
      <c r="G892" s="43" t="s">
        <v>6812</v>
      </c>
      <c r="H892" s="51" t="s">
        <v>148</v>
      </c>
      <c r="I892" s="15" t="str">
        <f>IFERROR(__xludf.DUMMYFUNCTION("GOOGLETRANSLATE(H892,""EN"",""ES"")"),"Gastronomía")</f>
        <v>Gastronomía</v>
      </c>
      <c r="J892" s="16" t="s">
        <v>27</v>
      </c>
      <c r="K892" s="17">
        <v>0.0</v>
      </c>
      <c r="L892" s="45"/>
      <c r="M892" s="18"/>
      <c r="N892" s="65"/>
      <c r="O892" s="65"/>
      <c r="P892" s="20">
        <v>0.0</v>
      </c>
      <c r="Q892" s="18"/>
      <c r="R892" s="18"/>
      <c r="S892" s="52"/>
      <c r="T892" s="22"/>
    </row>
    <row r="893">
      <c r="A893" s="23" t="s">
        <v>6813</v>
      </c>
      <c r="B893" s="58" t="s">
        <v>977</v>
      </c>
      <c r="C893" s="41">
        <v>45355.0</v>
      </c>
      <c r="D893" s="40" t="s">
        <v>6814</v>
      </c>
      <c r="E893" s="41" t="s">
        <v>6815</v>
      </c>
      <c r="F893" s="43" t="s">
        <v>6816</v>
      </c>
      <c r="G893" s="43" t="s">
        <v>6817</v>
      </c>
      <c r="H893" s="51" t="s">
        <v>148</v>
      </c>
      <c r="I893" s="25" t="str">
        <f>IFERROR(__xludf.DUMMYFUNCTION("GOOGLETRANSLATE(H893,""EN"",""ES"")"),"Gastronomía")</f>
        <v>Gastronomía</v>
      </c>
      <c r="J893" s="26" t="s">
        <v>27</v>
      </c>
      <c r="K893" s="17">
        <v>0.0</v>
      </c>
      <c r="L893" s="54"/>
      <c r="M893" s="31"/>
      <c r="N893" s="66"/>
      <c r="O893" s="66"/>
      <c r="P893" s="20">
        <v>0.0</v>
      </c>
      <c r="Q893" s="31"/>
      <c r="R893" s="31"/>
      <c r="S893" s="53"/>
      <c r="T893" s="32"/>
    </row>
    <row r="894">
      <c r="A894" s="33" t="s">
        <v>6818</v>
      </c>
      <c r="B894" s="60" t="s">
        <v>85</v>
      </c>
      <c r="C894" s="41">
        <v>45355.0</v>
      </c>
      <c r="D894" s="40" t="s">
        <v>6819</v>
      </c>
      <c r="E894" s="41" t="s">
        <v>6820</v>
      </c>
      <c r="F894" s="43" t="s">
        <v>6821</v>
      </c>
      <c r="G894" s="43" t="s">
        <v>6822</v>
      </c>
      <c r="H894" s="51" t="s">
        <v>148</v>
      </c>
      <c r="I894" s="15" t="str">
        <f>IFERROR(__xludf.DUMMYFUNCTION("GOOGLETRANSLATE(H894,""EN"",""ES"")"),"Gastronomía")</f>
        <v>Gastronomía</v>
      </c>
      <c r="J894" s="16" t="s">
        <v>27</v>
      </c>
      <c r="K894" s="17">
        <v>0.0</v>
      </c>
      <c r="L894" s="45"/>
      <c r="M894" s="18"/>
      <c r="N894" s="65"/>
      <c r="O894" s="65"/>
      <c r="P894" s="20">
        <v>0.0</v>
      </c>
      <c r="Q894" s="18"/>
      <c r="R894" s="18"/>
      <c r="S894" s="52"/>
      <c r="T894" s="22"/>
    </row>
    <row r="895">
      <c r="A895" s="23" t="s">
        <v>6823</v>
      </c>
      <c r="B895" s="58" t="s">
        <v>6824</v>
      </c>
      <c r="C895" s="41">
        <v>45355.0</v>
      </c>
      <c r="D895" s="40" t="s">
        <v>6825</v>
      </c>
      <c r="E895" s="41" t="s">
        <v>6826</v>
      </c>
      <c r="F895" s="43" t="s">
        <v>6827</v>
      </c>
      <c r="G895" s="43" t="s">
        <v>6828</v>
      </c>
      <c r="H895" s="51" t="s">
        <v>148</v>
      </c>
      <c r="I895" s="25" t="str">
        <f>IFERROR(__xludf.DUMMYFUNCTION("GOOGLETRANSLATE(H895,""EN"",""ES"")"),"Gastronomía")</f>
        <v>Gastronomía</v>
      </c>
      <c r="J895" s="26" t="s">
        <v>27</v>
      </c>
      <c r="K895" s="17">
        <v>0.0</v>
      </c>
      <c r="L895" s="54"/>
      <c r="M895" s="31"/>
      <c r="N895" s="66"/>
      <c r="O895" s="66"/>
      <c r="P895" s="20">
        <v>0.0</v>
      </c>
      <c r="Q895" s="31"/>
      <c r="R895" s="31"/>
      <c r="S895" s="53"/>
      <c r="T895" s="32"/>
    </row>
    <row r="896">
      <c r="A896" s="33" t="s">
        <v>6829</v>
      </c>
      <c r="B896" s="60" t="s">
        <v>431</v>
      </c>
      <c r="C896" s="41">
        <v>45355.0</v>
      </c>
      <c r="D896" s="40" t="s">
        <v>6830</v>
      </c>
      <c r="E896" s="41" t="s">
        <v>6831</v>
      </c>
      <c r="F896" s="43" t="s">
        <v>6832</v>
      </c>
      <c r="G896" s="43" t="s">
        <v>6833</v>
      </c>
      <c r="H896" s="51" t="s">
        <v>148</v>
      </c>
      <c r="I896" s="15" t="str">
        <f>IFERROR(__xludf.DUMMYFUNCTION("GOOGLETRANSLATE(H896,""EN"",""ES"")"),"Gastronomía")</f>
        <v>Gastronomía</v>
      </c>
      <c r="J896" s="16" t="s">
        <v>27</v>
      </c>
      <c r="K896" s="17">
        <v>0.0</v>
      </c>
      <c r="L896" s="45"/>
      <c r="M896" s="18"/>
      <c r="N896" s="65"/>
      <c r="O896" s="65"/>
      <c r="P896" s="20">
        <v>0.0</v>
      </c>
      <c r="Q896" s="18"/>
      <c r="R896" s="18"/>
      <c r="S896" s="52"/>
      <c r="T896" s="22"/>
    </row>
    <row r="897">
      <c r="A897" s="23" t="s">
        <v>6834</v>
      </c>
      <c r="B897" s="58" t="s">
        <v>6835</v>
      </c>
      <c r="C897" s="41">
        <v>45355.0</v>
      </c>
      <c r="D897" s="40" t="s">
        <v>6836</v>
      </c>
      <c r="E897" s="41" t="s">
        <v>6837</v>
      </c>
      <c r="F897" s="43" t="s">
        <v>6838</v>
      </c>
      <c r="G897" s="43" t="s">
        <v>6839</v>
      </c>
      <c r="H897" s="51" t="s">
        <v>148</v>
      </c>
      <c r="I897" s="25" t="str">
        <f>IFERROR(__xludf.DUMMYFUNCTION("GOOGLETRANSLATE(H897,""EN"",""ES"")"),"Gastronomía")</f>
        <v>Gastronomía</v>
      </c>
      <c r="J897" s="26" t="s">
        <v>27</v>
      </c>
      <c r="K897" s="17">
        <v>0.0</v>
      </c>
      <c r="L897" s="54"/>
      <c r="M897" s="31"/>
      <c r="N897" s="66"/>
      <c r="O897" s="66"/>
      <c r="P897" s="20">
        <v>0.0</v>
      </c>
      <c r="Q897" s="31"/>
      <c r="R897" s="31"/>
      <c r="S897" s="53"/>
      <c r="T897" s="32"/>
    </row>
    <row r="898">
      <c r="A898" s="33" t="s">
        <v>6840</v>
      </c>
      <c r="B898" s="60" t="s">
        <v>3151</v>
      </c>
      <c r="C898" s="41">
        <v>45355.0</v>
      </c>
      <c r="D898" s="40" t="s">
        <v>6841</v>
      </c>
      <c r="E898" s="41" t="s">
        <v>6842</v>
      </c>
      <c r="F898" s="43" t="s">
        <v>6843</v>
      </c>
      <c r="G898" s="43" t="s">
        <v>6844</v>
      </c>
      <c r="H898" s="51" t="s">
        <v>148</v>
      </c>
      <c r="I898" s="15" t="str">
        <f>IFERROR(__xludf.DUMMYFUNCTION("GOOGLETRANSLATE(H898,""EN"",""ES"")"),"Gastronomía")</f>
        <v>Gastronomía</v>
      </c>
      <c r="J898" s="16" t="s">
        <v>27</v>
      </c>
      <c r="K898" s="17">
        <v>0.0</v>
      </c>
      <c r="L898" s="45"/>
      <c r="M898" s="18"/>
      <c r="N898" s="65"/>
      <c r="O898" s="65"/>
      <c r="P898" s="20">
        <v>0.0</v>
      </c>
      <c r="Q898" s="18"/>
      <c r="R898" s="18"/>
      <c r="S898" s="52"/>
      <c r="T898" s="22"/>
    </row>
    <row r="899">
      <c r="A899" s="23" t="s">
        <v>6845</v>
      </c>
      <c r="B899" s="58" t="s">
        <v>1005</v>
      </c>
      <c r="C899" s="41">
        <v>45355.0</v>
      </c>
      <c r="D899" s="40" t="s">
        <v>6846</v>
      </c>
      <c r="E899" s="41" t="s">
        <v>6847</v>
      </c>
      <c r="F899" s="43" t="s">
        <v>6848</v>
      </c>
      <c r="G899" s="43" t="s">
        <v>6849</v>
      </c>
      <c r="H899" s="51" t="s">
        <v>148</v>
      </c>
      <c r="I899" s="25" t="str">
        <f>IFERROR(__xludf.DUMMYFUNCTION("GOOGLETRANSLATE(H899,""EN"",""ES"")"),"Gastronomía")</f>
        <v>Gastronomía</v>
      </c>
      <c r="J899" s="26" t="s">
        <v>27</v>
      </c>
      <c r="K899" s="17">
        <v>0.0</v>
      </c>
      <c r="L899" s="54"/>
      <c r="M899" s="31"/>
      <c r="N899" s="66"/>
      <c r="O899" s="66"/>
      <c r="P899" s="20">
        <v>0.0</v>
      </c>
      <c r="Q899" s="31"/>
      <c r="R899" s="31"/>
      <c r="S899" s="53"/>
      <c r="T899" s="32"/>
    </row>
    <row r="900">
      <c r="A900" s="33" t="s">
        <v>6850</v>
      </c>
      <c r="B900" s="60" t="s">
        <v>4151</v>
      </c>
      <c r="C900" s="41">
        <v>45355.0</v>
      </c>
      <c r="D900" s="40" t="s">
        <v>6851</v>
      </c>
      <c r="E900" s="41" t="s">
        <v>6852</v>
      </c>
      <c r="F900" s="43" t="s">
        <v>6853</v>
      </c>
      <c r="G900" s="43" t="s">
        <v>6854</v>
      </c>
      <c r="H900" s="51" t="s">
        <v>148</v>
      </c>
      <c r="I900" s="15" t="str">
        <f>IFERROR(__xludf.DUMMYFUNCTION("GOOGLETRANSLATE(H900,""EN"",""ES"")"),"Gastronomía")</f>
        <v>Gastronomía</v>
      </c>
      <c r="J900" s="16" t="s">
        <v>27</v>
      </c>
      <c r="K900" s="17">
        <v>0.0</v>
      </c>
      <c r="L900" s="45"/>
      <c r="M900" s="18"/>
      <c r="N900" s="65"/>
      <c r="O900" s="65"/>
      <c r="P900" s="20">
        <v>0.0</v>
      </c>
      <c r="Q900" s="18"/>
      <c r="R900" s="18"/>
      <c r="S900" s="52"/>
      <c r="T900" s="22"/>
    </row>
    <row r="901">
      <c r="A901" s="23" t="s">
        <v>6855</v>
      </c>
      <c r="B901" s="58" t="s">
        <v>6856</v>
      </c>
      <c r="C901" s="41">
        <v>45355.0</v>
      </c>
      <c r="D901" s="40" t="s">
        <v>6857</v>
      </c>
      <c r="E901" s="41" t="s">
        <v>6858</v>
      </c>
      <c r="F901" s="43" t="s">
        <v>6859</v>
      </c>
      <c r="G901" s="43" t="s">
        <v>6860</v>
      </c>
      <c r="H901" s="51" t="s">
        <v>148</v>
      </c>
      <c r="I901" s="25" t="str">
        <f>IFERROR(__xludf.DUMMYFUNCTION("GOOGLETRANSLATE(H901,""EN"",""ES"")"),"Gastronomía")</f>
        <v>Gastronomía</v>
      </c>
      <c r="J901" s="26" t="s">
        <v>27</v>
      </c>
      <c r="K901" s="17">
        <v>0.0</v>
      </c>
      <c r="L901" s="54"/>
      <c r="M901" s="31"/>
      <c r="N901" s="66"/>
      <c r="O901" s="66"/>
      <c r="P901" s="20">
        <v>0.0</v>
      </c>
      <c r="Q901" s="31"/>
      <c r="R901" s="31"/>
      <c r="S901" s="53"/>
      <c r="T901" s="32"/>
    </row>
    <row r="902">
      <c r="A902" s="33" t="s">
        <v>6861</v>
      </c>
      <c r="B902" s="60" t="s">
        <v>4450</v>
      </c>
      <c r="C902" s="41">
        <v>45355.0</v>
      </c>
      <c r="D902" s="40" t="s">
        <v>6862</v>
      </c>
      <c r="E902" s="41" t="s">
        <v>6863</v>
      </c>
      <c r="F902" s="43" t="s">
        <v>6864</v>
      </c>
      <c r="G902" s="43" t="s">
        <v>6865</v>
      </c>
      <c r="H902" s="51" t="s">
        <v>130</v>
      </c>
      <c r="I902" s="15" t="str">
        <f>IFERROR(__xludf.DUMMYFUNCTION("GOOGLETRANSLATE(H902,""EN"",""ES"")"),"Sostenibilidad")</f>
        <v>Sostenibilidad</v>
      </c>
      <c r="J902" s="16" t="s">
        <v>27</v>
      </c>
      <c r="K902" s="17">
        <v>0.0</v>
      </c>
      <c r="L902" s="45"/>
      <c r="M902" s="18"/>
      <c r="N902" s="65"/>
      <c r="O902" s="65"/>
      <c r="P902" s="20">
        <v>0.0</v>
      </c>
      <c r="Q902" s="18"/>
      <c r="R902" s="18"/>
      <c r="S902" s="52"/>
      <c r="T902" s="22"/>
    </row>
    <row r="903">
      <c r="A903" s="23" t="s">
        <v>6866</v>
      </c>
      <c r="B903" s="58" t="s">
        <v>1993</v>
      </c>
      <c r="C903" s="41">
        <v>45355.0</v>
      </c>
      <c r="D903" s="40" t="s">
        <v>6867</v>
      </c>
      <c r="E903" s="41" t="s">
        <v>6362</v>
      </c>
      <c r="F903" s="43" t="s">
        <v>6868</v>
      </c>
      <c r="G903" s="43" t="s">
        <v>6364</v>
      </c>
      <c r="H903" s="51" t="s">
        <v>148</v>
      </c>
      <c r="I903" s="25" t="str">
        <f>IFERROR(__xludf.DUMMYFUNCTION("GOOGLETRANSLATE(H903,""EN"",""ES"")"),"Gastronomía")</f>
        <v>Gastronomía</v>
      </c>
      <c r="J903" s="26" t="s">
        <v>27</v>
      </c>
      <c r="K903" s="17">
        <v>0.0</v>
      </c>
      <c r="L903" s="54"/>
      <c r="M903" s="31"/>
      <c r="N903" s="66"/>
      <c r="O903" s="66"/>
      <c r="P903" s="20">
        <v>0.0</v>
      </c>
      <c r="Q903" s="31"/>
      <c r="R903" s="31"/>
      <c r="S903" s="53"/>
      <c r="T903" s="32"/>
    </row>
    <row r="904">
      <c r="A904" s="33" t="s">
        <v>6869</v>
      </c>
      <c r="B904" s="60" t="s">
        <v>6770</v>
      </c>
      <c r="C904" s="41">
        <v>45355.0</v>
      </c>
      <c r="D904" s="40" t="s">
        <v>6870</v>
      </c>
      <c r="E904" s="41" t="s">
        <v>6871</v>
      </c>
      <c r="F904" s="43" t="s">
        <v>6872</v>
      </c>
      <c r="G904" s="43" t="s">
        <v>6873</v>
      </c>
      <c r="H904" s="51" t="s">
        <v>148</v>
      </c>
      <c r="I904" s="15" t="str">
        <f>IFERROR(__xludf.DUMMYFUNCTION("GOOGLETRANSLATE(H904,""EN"",""ES"")"),"Gastronomía")</f>
        <v>Gastronomía</v>
      </c>
      <c r="J904" s="16" t="s">
        <v>27</v>
      </c>
      <c r="K904" s="17">
        <v>0.0</v>
      </c>
      <c r="L904" s="45"/>
      <c r="M904" s="18"/>
      <c r="N904" s="65"/>
      <c r="O904" s="65"/>
      <c r="P904" s="20">
        <v>0.0</v>
      </c>
      <c r="Q904" s="18"/>
      <c r="R904" s="18"/>
      <c r="S904" s="52"/>
      <c r="T904" s="22"/>
    </row>
    <row r="905">
      <c r="A905" s="23" t="s">
        <v>6874</v>
      </c>
      <c r="B905" s="58" t="s">
        <v>6168</v>
      </c>
      <c r="C905" s="41">
        <v>45355.0</v>
      </c>
      <c r="D905" s="40" t="s">
        <v>6875</v>
      </c>
      <c r="E905" s="41" t="s">
        <v>6876</v>
      </c>
      <c r="F905" s="43" t="s">
        <v>6877</v>
      </c>
      <c r="G905" s="43" t="s">
        <v>6878</v>
      </c>
      <c r="H905" s="51" t="s">
        <v>148</v>
      </c>
      <c r="I905" s="25" t="str">
        <f>IFERROR(__xludf.DUMMYFUNCTION("GOOGLETRANSLATE(H905,""EN"",""ES"")"),"Gastronomía")</f>
        <v>Gastronomía</v>
      </c>
      <c r="J905" s="26" t="s">
        <v>27</v>
      </c>
      <c r="K905" s="17">
        <v>0.0</v>
      </c>
      <c r="L905" s="54"/>
      <c r="M905" s="31"/>
      <c r="N905" s="66"/>
      <c r="O905" s="66"/>
      <c r="P905" s="20">
        <v>0.0</v>
      </c>
      <c r="Q905" s="31"/>
      <c r="R905" s="31"/>
      <c r="S905" s="53"/>
      <c r="T905" s="32"/>
    </row>
    <row r="906">
      <c r="A906" s="33" t="s">
        <v>6879</v>
      </c>
      <c r="B906" s="60" t="s">
        <v>4948</v>
      </c>
      <c r="C906" s="41">
        <v>45355.0</v>
      </c>
      <c r="D906" s="40" t="s">
        <v>6880</v>
      </c>
      <c r="E906" s="41" t="s">
        <v>6881</v>
      </c>
      <c r="F906" s="43" t="s">
        <v>6882</v>
      </c>
      <c r="G906" s="43" t="s">
        <v>6883</v>
      </c>
      <c r="H906" s="51" t="s">
        <v>148</v>
      </c>
      <c r="I906" s="15" t="str">
        <f>IFERROR(__xludf.DUMMYFUNCTION("GOOGLETRANSLATE(H906,""EN"",""ES"")"),"Gastronomía")</f>
        <v>Gastronomía</v>
      </c>
      <c r="J906" s="16" t="s">
        <v>27</v>
      </c>
      <c r="K906" s="17">
        <v>0.0</v>
      </c>
      <c r="L906" s="45"/>
      <c r="M906" s="18"/>
      <c r="N906" s="65"/>
      <c r="O906" s="65"/>
      <c r="P906" s="20">
        <v>0.0</v>
      </c>
      <c r="Q906" s="18"/>
      <c r="R906" s="18"/>
      <c r="S906" s="52"/>
      <c r="T906" s="22"/>
    </row>
    <row r="907">
      <c r="A907" s="23" t="s">
        <v>6884</v>
      </c>
      <c r="B907" s="58" t="s">
        <v>6885</v>
      </c>
      <c r="C907" s="41">
        <v>45355.0</v>
      </c>
      <c r="D907" s="40" t="s">
        <v>6886</v>
      </c>
      <c r="E907" s="41" t="s">
        <v>6887</v>
      </c>
      <c r="F907" s="43" t="s">
        <v>6888</v>
      </c>
      <c r="G907" s="43" t="s">
        <v>6889</v>
      </c>
      <c r="H907" s="51" t="s">
        <v>148</v>
      </c>
      <c r="I907" s="25" t="str">
        <f>IFERROR(__xludf.DUMMYFUNCTION("GOOGLETRANSLATE(H907,""EN"",""ES"")"),"Gastronomía")</f>
        <v>Gastronomía</v>
      </c>
      <c r="J907" s="26" t="s">
        <v>27</v>
      </c>
      <c r="K907" s="17">
        <v>0.0</v>
      </c>
      <c r="L907" s="54"/>
      <c r="M907" s="31"/>
      <c r="N907" s="66"/>
      <c r="O907" s="66"/>
      <c r="P907" s="20">
        <v>0.0</v>
      </c>
      <c r="Q907" s="31"/>
      <c r="R907" s="31"/>
      <c r="S907" s="53"/>
      <c r="T907" s="32"/>
    </row>
    <row r="908">
      <c r="A908" s="33" t="s">
        <v>6890</v>
      </c>
      <c r="B908" s="60" t="s">
        <v>1005</v>
      </c>
      <c r="C908" s="41">
        <v>45355.0</v>
      </c>
      <c r="D908" s="40" t="s">
        <v>6891</v>
      </c>
      <c r="E908" s="41" t="s">
        <v>6892</v>
      </c>
      <c r="F908" s="43" t="s">
        <v>6893</v>
      </c>
      <c r="G908" s="43" t="s">
        <v>6894</v>
      </c>
      <c r="H908" s="51" t="s">
        <v>148</v>
      </c>
      <c r="I908" s="15" t="str">
        <f>IFERROR(__xludf.DUMMYFUNCTION("GOOGLETRANSLATE(H908,""EN"",""ES"")"),"Gastronomía")</f>
        <v>Gastronomía</v>
      </c>
      <c r="J908" s="16" t="s">
        <v>27</v>
      </c>
      <c r="K908" s="17">
        <v>0.0</v>
      </c>
      <c r="L908" s="45"/>
      <c r="M908" s="18"/>
      <c r="N908" s="65"/>
      <c r="O908" s="65"/>
      <c r="P908" s="20">
        <v>0.0</v>
      </c>
      <c r="Q908" s="18"/>
      <c r="R908" s="18"/>
      <c r="S908" s="52"/>
      <c r="T908" s="22"/>
    </row>
    <row r="909">
      <c r="A909" s="23" t="s">
        <v>6895</v>
      </c>
      <c r="B909" s="58" t="s">
        <v>1105</v>
      </c>
      <c r="C909" s="41">
        <v>45355.0</v>
      </c>
      <c r="D909" s="40" t="s">
        <v>6896</v>
      </c>
      <c r="E909" s="41" t="s">
        <v>6897</v>
      </c>
      <c r="F909" s="43" t="s">
        <v>6898</v>
      </c>
      <c r="G909" s="43" t="s">
        <v>6899</v>
      </c>
      <c r="H909" s="51" t="s">
        <v>148</v>
      </c>
      <c r="I909" s="25" t="str">
        <f>IFERROR(__xludf.DUMMYFUNCTION("GOOGLETRANSLATE(H909,""EN"",""ES"")"),"Gastronomía")</f>
        <v>Gastronomía</v>
      </c>
      <c r="J909" s="26" t="s">
        <v>27</v>
      </c>
      <c r="K909" s="17">
        <v>0.0</v>
      </c>
      <c r="L909" s="54"/>
      <c r="M909" s="31"/>
      <c r="N909" s="66"/>
      <c r="O909" s="66"/>
      <c r="P909" s="20">
        <v>0.0</v>
      </c>
      <c r="Q909" s="31"/>
      <c r="R909" s="31"/>
      <c r="S909" s="53"/>
      <c r="T909" s="32"/>
    </row>
    <row r="910">
      <c r="A910" s="33" t="s">
        <v>6900</v>
      </c>
      <c r="B910" s="60" t="s">
        <v>85</v>
      </c>
      <c r="C910" s="41">
        <v>45355.0</v>
      </c>
      <c r="D910" s="40" t="s">
        <v>6901</v>
      </c>
      <c r="E910" s="41" t="s">
        <v>6902</v>
      </c>
      <c r="F910" s="43" t="s">
        <v>6903</v>
      </c>
      <c r="G910" s="43" t="s">
        <v>6904</v>
      </c>
      <c r="H910" s="51" t="s">
        <v>148</v>
      </c>
      <c r="I910" s="15" t="str">
        <f>IFERROR(__xludf.DUMMYFUNCTION("GOOGLETRANSLATE(H910,""EN"",""ES"")"),"Gastronomía")</f>
        <v>Gastronomía</v>
      </c>
      <c r="J910" s="16" t="s">
        <v>27</v>
      </c>
      <c r="K910" s="17">
        <v>0.0</v>
      </c>
      <c r="L910" s="45"/>
      <c r="M910" s="18"/>
      <c r="N910" s="65"/>
      <c r="O910" s="65"/>
      <c r="P910" s="20">
        <v>0.0</v>
      </c>
      <c r="Q910" s="18"/>
      <c r="R910" s="18"/>
      <c r="S910" s="52"/>
      <c r="T910" s="22"/>
    </row>
    <row r="911">
      <c r="A911" s="23" t="s">
        <v>6905</v>
      </c>
      <c r="B911" s="58" t="s">
        <v>6906</v>
      </c>
      <c r="C911" s="41">
        <v>45355.0</v>
      </c>
      <c r="D911" s="40" t="s">
        <v>6907</v>
      </c>
      <c r="E911" s="41" t="s">
        <v>6908</v>
      </c>
      <c r="F911" s="43" t="s">
        <v>6909</v>
      </c>
      <c r="G911" s="43" t="s">
        <v>6910</v>
      </c>
      <c r="H911" s="51" t="s">
        <v>148</v>
      </c>
      <c r="I911" s="25" t="str">
        <f>IFERROR(__xludf.DUMMYFUNCTION("GOOGLETRANSLATE(H911,""EN"",""ES"")"),"Gastronomía")</f>
        <v>Gastronomía</v>
      </c>
      <c r="J911" s="26" t="s">
        <v>27</v>
      </c>
      <c r="K911" s="17">
        <v>0.0</v>
      </c>
      <c r="L911" s="54"/>
      <c r="M911" s="31"/>
      <c r="N911" s="66"/>
      <c r="O911" s="66"/>
      <c r="P911" s="20">
        <v>0.0</v>
      </c>
      <c r="Q911" s="31"/>
      <c r="R911" s="31"/>
      <c r="S911" s="53"/>
      <c r="T911" s="32"/>
    </row>
    <row r="912">
      <c r="A912" s="33" t="s">
        <v>6911</v>
      </c>
      <c r="B912" s="60" t="s">
        <v>1005</v>
      </c>
      <c r="C912" s="41">
        <v>45355.0</v>
      </c>
      <c r="D912" s="40" t="s">
        <v>6912</v>
      </c>
      <c r="E912" s="41" t="s">
        <v>6913</v>
      </c>
      <c r="F912" s="43" t="s">
        <v>6914</v>
      </c>
      <c r="G912" s="43" t="s">
        <v>6915</v>
      </c>
      <c r="H912" s="51" t="s">
        <v>148</v>
      </c>
      <c r="I912" s="15" t="str">
        <f>IFERROR(__xludf.DUMMYFUNCTION("GOOGLETRANSLATE(H912,""EN"",""ES"")"),"Gastronomía")</f>
        <v>Gastronomía</v>
      </c>
      <c r="J912" s="16" t="s">
        <v>27</v>
      </c>
      <c r="K912" s="17">
        <v>0.0</v>
      </c>
      <c r="L912" s="45"/>
      <c r="M912" s="18"/>
      <c r="N912" s="65"/>
      <c r="O912" s="65"/>
      <c r="P912" s="20">
        <v>0.0</v>
      </c>
      <c r="Q912" s="18"/>
      <c r="R912" s="18"/>
      <c r="S912" s="52"/>
      <c r="T912" s="22"/>
    </row>
    <row r="913">
      <c r="A913" s="23" t="s">
        <v>6916</v>
      </c>
      <c r="B913" s="58" t="s">
        <v>6787</v>
      </c>
      <c r="C913" s="41">
        <v>45355.0</v>
      </c>
      <c r="D913" s="40" t="s">
        <v>6917</v>
      </c>
      <c r="E913" s="41" t="s">
        <v>6465</v>
      </c>
      <c r="F913" s="43" t="s">
        <v>6918</v>
      </c>
      <c r="G913" s="43" t="s">
        <v>6467</v>
      </c>
      <c r="H913" s="51" t="s">
        <v>148</v>
      </c>
      <c r="I913" s="25" t="str">
        <f>IFERROR(__xludf.DUMMYFUNCTION("GOOGLETRANSLATE(H913,""EN"",""ES"")"),"Gastronomía")</f>
        <v>Gastronomía</v>
      </c>
      <c r="J913" s="26" t="s">
        <v>27</v>
      </c>
      <c r="K913" s="17">
        <v>0.0</v>
      </c>
      <c r="L913" s="54"/>
      <c r="M913" s="31"/>
      <c r="N913" s="66"/>
      <c r="O913" s="66"/>
      <c r="P913" s="20">
        <v>0.0</v>
      </c>
      <c r="Q913" s="31"/>
      <c r="R913" s="31"/>
      <c r="S913" s="53"/>
      <c r="T913" s="32"/>
    </row>
    <row r="914">
      <c r="A914" s="33" t="s">
        <v>6919</v>
      </c>
      <c r="B914" s="60" t="s">
        <v>3543</v>
      </c>
      <c r="C914" s="41">
        <v>45355.0</v>
      </c>
      <c r="D914" s="40" t="s">
        <v>6920</v>
      </c>
      <c r="E914" s="41" t="s">
        <v>6921</v>
      </c>
      <c r="F914" s="43" t="s">
        <v>6922</v>
      </c>
      <c r="G914" s="43" t="s">
        <v>6923</v>
      </c>
      <c r="H914" s="51" t="s">
        <v>148</v>
      </c>
      <c r="I914" s="15" t="str">
        <f>IFERROR(__xludf.DUMMYFUNCTION("GOOGLETRANSLATE(H914,""EN"",""ES"")"),"Gastronomía")</f>
        <v>Gastronomía</v>
      </c>
      <c r="J914" s="16" t="s">
        <v>27</v>
      </c>
      <c r="K914" s="17">
        <v>0.0</v>
      </c>
      <c r="L914" s="45"/>
      <c r="M914" s="18"/>
      <c r="N914" s="65"/>
      <c r="O914" s="65"/>
      <c r="P914" s="20">
        <v>0.0</v>
      </c>
      <c r="Q914" s="18"/>
      <c r="R914" s="18"/>
      <c r="S914" s="52"/>
      <c r="T914" s="22"/>
    </row>
    <row r="915">
      <c r="A915" s="23" t="s">
        <v>6924</v>
      </c>
      <c r="B915" s="58" t="s">
        <v>85</v>
      </c>
      <c r="C915" s="41">
        <v>45355.0</v>
      </c>
      <c r="D915" s="40" t="s">
        <v>6925</v>
      </c>
      <c r="E915" s="41" t="s">
        <v>6926</v>
      </c>
      <c r="F915" s="43" t="s">
        <v>6927</v>
      </c>
      <c r="G915" s="43" t="s">
        <v>6928</v>
      </c>
      <c r="H915" s="51" t="s">
        <v>148</v>
      </c>
      <c r="I915" s="25" t="str">
        <f>IFERROR(__xludf.DUMMYFUNCTION("GOOGLETRANSLATE(H915,""EN"",""ES"")"),"Gastronomía")</f>
        <v>Gastronomía</v>
      </c>
      <c r="J915" s="26" t="s">
        <v>27</v>
      </c>
      <c r="K915" s="17">
        <v>0.0</v>
      </c>
      <c r="L915" s="54"/>
      <c r="M915" s="31"/>
      <c r="N915" s="66"/>
      <c r="O915" s="66"/>
      <c r="P915" s="20">
        <v>0.0</v>
      </c>
      <c r="Q915" s="31"/>
      <c r="R915" s="31"/>
      <c r="S915" s="53"/>
      <c r="T915" s="32"/>
    </row>
    <row r="916">
      <c r="A916" s="33" t="s">
        <v>6929</v>
      </c>
      <c r="B916" s="60" t="s">
        <v>5289</v>
      </c>
      <c r="C916" s="41">
        <v>45355.0</v>
      </c>
      <c r="D916" s="40" t="s">
        <v>6930</v>
      </c>
      <c r="E916" s="41" t="s">
        <v>6931</v>
      </c>
      <c r="F916" s="43" t="s">
        <v>6932</v>
      </c>
      <c r="G916" s="43" t="s">
        <v>6933</v>
      </c>
      <c r="H916" s="51" t="s">
        <v>148</v>
      </c>
      <c r="I916" s="15" t="str">
        <f>IFERROR(__xludf.DUMMYFUNCTION("GOOGLETRANSLATE(H916,""EN"",""ES"")"),"Gastronomía")</f>
        <v>Gastronomía</v>
      </c>
      <c r="J916" s="16" t="s">
        <v>27</v>
      </c>
      <c r="K916" s="17">
        <v>0.0</v>
      </c>
      <c r="L916" s="45"/>
      <c r="M916" s="18"/>
      <c r="N916" s="65"/>
      <c r="O916" s="65"/>
      <c r="P916" s="20">
        <v>0.0</v>
      </c>
      <c r="Q916" s="18"/>
      <c r="R916" s="18"/>
      <c r="S916" s="52"/>
      <c r="T916" s="22"/>
    </row>
    <row r="917">
      <c r="A917" s="23" t="s">
        <v>6934</v>
      </c>
      <c r="B917" s="58" t="s">
        <v>3151</v>
      </c>
      <c r="C917" s="41">
        <v>45355.0</v>
      </c>
      <c r="D917" s="40" t="s">
        <v>6935</v>
      </c>
      <c r="E917" s="41" t="s">
        <v>6936</v>
      </c>
      <c r="F917" s="43" t="s">
        <v>6937</v>
      </c>
      <c r="G917" s="43" t="s">
        <v>6938</v>
      </c>
      <c r="H917" s="51" t="s">
        <v>148</v>
      </c>
      <c r="I917" s="25" t="str">
        <f>IFERROR(__xludf.DUMMYFUNCTION("GOOGLETRANSLATE(H917,""EN"",""ES"")"),"Gastronomía")</f>
        <v>Gastronomía</v>
      </c>
      <c r="J917" s="26" t="s">
        <v>27</v>
      </c>
      <c r="K917" s="17">
        <v>0.0</v>
      </c>
      <c r="L917" s="54"/>
      <c r="M917" s="31"/>
      <c r="N917" s="66"/>
      <c r="O917" s="66"/>
      <c r="P917" s="20">
        <v>0.0</v>
      </c>
      <c r="Q917" s="31"/>
      <c r="R917" s="31"/>
      <c r="S917" s="53"/>
      <c r="T917" s="32"/>
    </row>
    <row r="918">
      <c r="A918" s="33" t="s">
        <v>6939</v>
      </c>
      <c r="B918" s="60" t="s">
        <v>6940</v>
      </c>
      <c r="C918" s="41">
        <v>45355.0</v>
      </c>
      <c r="D918" s="40" t="s">
        <v>6941</v>
      </c>
      <c r="E918" s="41" t="s">
        <v>6942</v>
      </c>
      <c r="F918" s="43" t="s">
        <v>6943</v>
      </c>
      <c r="G918" s="43" t="s">
        <v>6944</v>
      </c>
      <c r="H918" s="51" t="s">
        <v>148</v>
      </c>
      <c r="I918" s="15" t="str">
        <f>IFERROR(__xludf.DUMMYFUNCTION("GOOGLETRANSLATE(H918,""EN"",""ES"")"),"Gastronomía")</f>
        <v>Gastronomía</v>
      </c>
      <c r="J918" s="16" t="s">
        <v>27</v>
      </c>
      <c r="K918" s="17">
        <v>0.0</v>
      </c>
      <c r="L918" s="45"/>
      <c r="M918" s="18"/>
      <c r="N918" s="65"/>
      <c r="O918" s="65"/>
      <c r="P918" s="20">
        <v>0.0</v>
      </c>
      <c r="Q918" s="18"/>
      <c r="R918" s="18"/>
      <c r="S918" s="52"/>
      <c r="T918" s="22"/>
    </row>
    <row r="919">
      <c r="A919" s="23" t="s">
        <v>6945</v>
      </c>
      <c r="B919" s="58" t="s">
        <v>4393</v>
      </c>
      <c r="C919" s="41">
        <v>45355.0</v>
      </c>
      <c r="D919" s="40" t="s">
        <v>6946</v>
      </c>
      <c r="E919" s="41" t="s">
        <v>6947</v>
      </c>
      <c r="F919" s="43" t="s">
        <v>6948</v>
      </c>
      <c r="G919" s="43" t="s">
        <v>6949</v>
      </c>
      <c r="H919" s="51" t="s">
        <v>148</v>
      </c>
      <c r="I919" s="25" t="str">
        <f>IFERROR(__xludf.DUMMYFUNCTION("GOOGLETRANSLATE(H919,""EN"",""ES"")"),"Gastronomía")</f>
        <v>Gastronomía</v>
      </c>
      <c r="J919" s="26" t="s">
        <v>27</v>
      </c>
      <c r="K919" s="17">
        <v>0.0</v>
      </c>
      <c r="L919" s="54"/>
      <c r="M919" s="31"/>
      <c r="N919" s="66"/>
      <c r="O919" s="66"/>
      <c r="P919" s="20">
        <v>0.0</v>
      </c>
      <c r="Q919" s="31"/>
      <c r="R919" s="31"/>
      <c r="S919" s="53"/>
      <c r="T919" s="32"/>
    </row>
    <row r="920">
      <c r="A920" s="33" t="s">
        <v>6950</v>
      </c>
      <c r="B920" s="60" t="s">
        <v>425</v>
      </c>
      <c r="C920" s="41">
        <v>45355.0</v>
      </c>
      <c r="D920" s="40" t="s">
        <v>6951</v>
      </c>
      <c r="E920" s="41" t="s">
        <v>6952</v>
      </c>
      <c r="F920" s="43" t="s">
        <v>6953</v>
      </c>
      <c r="G920" s="43" t="s">
        <v>6954</v>
      </c>
      <c r="H920" s="51" t="s">
        <v>55</v>
      </c>
      <c r="I920" s="15" t="str">
        <f>IFERROR(__xludf.DUMMYFUNCTION("GOOGLETRANSLATE(H920,""EN"",""ES"")"),"deportes de motor")</f>
        <v>deportes de motor</v>
      </c>
      <c r="J920" s="16" t="s">
        <v>27</v>
      </c>
      <c r="K920" s="17">
        <v>0.0</v>
      </c>
      <c r="L920" s="45"/>
      <c r="M920" s="18"/>
      <c r="N920" s="65"/>
      <c r="O920" s="65"/>
      <c r="P920" s="20">
        <v>0.0</v>
      </c>
      <c r="Q920" s="18"/>
      <c r="R920" s="18"/>
      <c r="S920" s="52"/>
      <c r="T920" s="22"/>
    </row>
    <row r="921">
      <c r="A921" s="23" t="s">
        <v>6955</v>
      </c>
      <c r="B921" s="58" t="s">
        <v>3606</v>
      </c>
      <c r="C921" s="41">
        <v>45355.0</v>
      </c>
      <c r="D921" s="40" t="s">
        <v>6956</v>
      </c>
      <c r="E921" s="41" t="s">
        <v>6957</v>
      </c>
      <c r="F921" s="43" t="s">
        <v>6958</v>
      </c>
      <c r="G921" s="43" t="s">
        <v>6959</v>
      </c>
      <c r="H921" s="51" t="s">
        <v>148</v>
      </c>
      <c r="I921" s="25" t="str">
        <f>IFERROR(__xludf.DUMMYFUNCTION("GOOGLETRANSLATE(H921,""EN"",""ES"")"),"Gastronomía")</f>
        <v>Gastronomía</v>
      </c>
      <c r="J921" s="26" t="s">
        <v>27</v>
      </c>
      <c r="K921" s="17">
        <v>0.0</v>
      </c>
      <c r="L921" s="54"/>
      <c r="M921" s="31"/>
      <c r="N921" s="66"/>
      <c r="O921" s="66"/>
      <c r="P921" s="20">
        <v>0.0</v>
      </c>
      <c r="Q921" s="31"/>
      <c r="R921" s="31"/>
      <c r="S921" s="53"/>
      <c r="T921" s="32"/>
    </row>
    <row r="922">
      <c r="A922" s="33" t="s">
        <v>6960</v>
      </c>
      <c r="B922" s="60" t="s">
        <v>272</v>
      </c>
      <c r="C922" s="41">
        <v>45356.0</v>
      </c>
      <c r="D922" s="40" t="s">
        <v>6961</v>
      </c>
      <c r="E922" s="41" t="s">
        <v>6962</v>
      </c>
      <c r="F922" s="43" t="s">
        <v>6963</v>
      </c>
      <c r="G922" s="43" t="s">
        <v>6964</v>
      </c>
      <c r="H922" s="51" t="s">
        <v>148</v>
      </c>
      <c r="I922" s="15" t="str">
        <f>IFERROR(__xludf.DUMMYFUNCTION("GOOGLETRANSLATE(H922,""EN"",""ES"")"),"Gastronomía")</f>
        <v>Gastronomía</v>
      </c>
      <c r="J922" s="16" t="s">
        <v>27</v>
      </c>
      <c r="K922" s="17">
        <v>0.0</v>
      </c>
      <c r="L922" s="45"/>
      <c r="M922" s="18"/>
      <c r="N922" s="65"/>
      <c r="O922" s="65"/>
      <c r="P922" s="20">
        <v>0.0</v>
      </c>
      <c r="Q922" s="18"/>
      <c r="R922" s="18"/>
      <c r="S922" s="52"/>
      <c r="T922" s="22"/>
    </row>
    <row r="923">
      <c r="A923" s="23" t="s">
        <v>6965</v>
      </c>
      <c r="B923" s="58" t="s">
        <v>1577</v>
      </c>
      <c r="C923" s="41">
        <v>45356.0</v>
      </c>
      <c r="D923" s="40" t="s">
        <v>6966</v>
      </c>
      <c r="E923" s="41" t="s">
        <v>6967</v>
      </c>
      <c r="F923" s="43" t="s">
        <v>6968</v>
      </c>
      <c r="G923" s="43" t="s">
        <v>6969</v>
      </c>
      <c r="H923" s="51" t="s">
        <v>148</v>
      </c>
      <c r="I923" s="25" t="str">
        <f>IFERROR(__xludf.DUMMYFUNCTION("GOOGLETRANSLATE(H923,""EN"",""ES"")"),"Gastronomía")</f>
        <v>Gastronomía</v>
      </c>
      <c r="J923" s="26" t="s">
        <v>27</v>
      </c>
      <c r="K923" s="17">
        <v>0.0</v>
      </c>
      <c r="L923" s="54"/>
      <c r="M923" s="31"/>
      <c r="N923" s="66"/>
      <c r="O923" s="66"/>
      <c r="P923" s="20">
        <v>0.0</v>
      </c>
      <c r="Q923" s="31"/>
      <c r="R923" s="31"/>
      <c r="S923" s="53"/>
      <c r="T923" s="32"/>
    </row>
    <row r="924">
      <c r="A924" s="33" t="s">
        <v>6970</v>
      </c>
      <c r="B924" s="60" t="s">
        <v>217</v>
      </c>
      <c r="C924" s="41">
        <v>45356.0</v>
      </c>
      <c r="D924" s="40" t="s">
        <v>6971</v>
      </c>
      <c r="E924" s="41" t="s">
        <v>6972</v>
      </c>
      <c r="F924" s="43" t="s">
        <v>6973</v>
      </c>
      <c r="G924" s="43" t="s">
        <v>6974</v>
      </c>
      <c r="H924" s="51" t="s">
        <v>48</v>
      </c>
      <c r="I924" s="15" t="str">
        <f>IFERROR(__xludf.DUMMYFUNCTION("GOOGLETRANSLATE(H924,""EN"",""ES"")"),"Finanzas")</f>
        <v>Finanzas</v>
      </c>
      <c r="J924" s="16" t="s">
        <v>35</v>
      </c>
      <c r="K924" s="48">
        <v>0.7</v>
      </c>
      <c r="L924" s="51" t="s">
        <v>6975</v>
      </c>
      <c r="M924" s="34" t="s">
        <v>6976</v>
      </c>
      <c r="N924" s="65" t="s">
        <v>6977</v>
      </c>
      <c r="O924" s="65" t="str">
        <f>IFERROR(__xludf.DUMMYFUNCTION("GOOGLETRANSLATE(N924,""EN"",""ES"")"),"La buena evolución de las acciones refuerza la confianza de los inversores en Repsol.")</f>
        <v>La buena evolución de las acciones refuerza la confianza de los inversores en Repsol.</v>
      </c>
      <c r="P924" s="30">
        <v>0.7</v>
      </c>
      <c r="Q924" s="18" t="str">
        <f>IFERROR(__xludf.DUMMYFUNCTION("GOOGLETRANSLATE(R924,""ES"",""EN"")"),"best recommendations, rise, oil")</f>
        <v>best recommendations, rise, oil</v>
      </c>
      <c r="R924" s="34" t="s">
        <v>6978</v>
      </c>
      <c r="S924" s="52" t="s">
        <v>6979</v>
      </c>
      <c r="T924" s="22" t="s">
        <v>6980</v>
      </c>
    </row>
    <row r="925">
      <c r="A925" s="23" t="s">
        <v>6981</v>
      </c>
      <c r="B925" s="58" t="s">
        <v>3992</v>
      </c>
      <c r="C925" s="41">
        <v>45356.0</v>
      </c>
      <c r="D925" s="40" t="s">
        <v>6453</v>
      </c>
      <c r="E925" s="41" t="s">
        <v>6982</v>
      </c>
      <c r="F925" s="43" t="s">
        <v>6455</v>
      </c>
      <c r="G925" s="43" t="s">
        <v>6983</v>
      </c>
      <c r="H925" s="51" t="s">
        <v>148</v>
      </c>
      <c r="I925" s="25" t="str">
        <f>IFERROR(__xludf.DUMMYFUNCTION("GOOGLETRANSLATE(H925,""EN"",""ES"")"),"Gastronomía")</f>
        <v>Gastronomía</v>
      </c>
      <c r="J925" s="26" t="s">
        <v>27</v>
      </c>
      <c r="K925" s="17">
        <v>0.0</v>
      </c>
      <c r="L925" s="54"/>
      <c r="M925" s="31"/>
      <c r="N925" s="66"/>
      <c r="O925" s="66"/>
      <c r="P925" s="20">
        <v>0.0</v>
      </c>
      <c r="Q925" s="31"/>
      <c r="R925" s="31"/>
      <c r="S925" s="53"/>
      <c r="T925" s="32"/>
    </row>
    <row r="926">
      <c r="A926" s="33" t="s">
        <v>6984</v>
      </c>
      <c r="B926" s="60" t="s">
        <v>1005</v>
      </c>
      <c r="C926" s="41">
        <v>45356.0</v>
      </c>
      <c r="D926" s="40" t="s">
        <v>6985</v>
      </c>
      <c r="E926" s="41" t="s">
        <v>6986</v>
      </c>
      <c r="F926" s="43" t="s">
        <v>6987</v>
      </c>
      <c r="G926" s="43" t="s">
        <v>6988</v>
      </c>
      <c r="H926" s="51" t="s">
        <v>148</v>
      </c>
      <c r="I926" s="15" t="str">
        <f>IFERROR(__xludf.DUMMYFUNCTION("GOOGLETRANSLATE(H926,""EN"",""ES"")"),"Gastronomía")</f>
        <v>Gastronomía</v>
      </c>
      <c r="J926" s="16" t="s">
        <v>27</v>
      </c>
      <c r="K926" s="17">
        <v>0.0</v>
      </c>
      <c r="L926" s="45"/>
      <c r="M926" s="18"/>
      <c r="N926" s="65"/>
      <c r="O926" s="65"/>
      <c r="P926" s="20">
        <v>0.0</v>
      </c>
      <c r="Q926" s="18"/>
      <c r="R926" s="18"/>
      <c r="S926" s="52"/>
      <c r="T926" s="22"/>
    </row>
    <row r="927">
      <c r="A927" s="23" t="s">
        <v>6989</v>
      </c>
      <c r="B927" s="58" t="s">
        <v>6990</v>
      </c>
      <c r="C927" s="41">
        <v>45356.0</v>
      </c>
      <c r="D927" s="40" t="s">
        <v>6991</v>
      </c>
      <c r="E927" s="41" t="s">
        <v>6992</v>
      </c>
      <c r="F927" s="43" t="s">
        <v>6993</v>
      </c>
      <c r="G927" s="43" t="s">
        <v>6994</v>
      </c>
      <c r="H927" s="51" t="s">
        <v>148</v>
      </c>
      <c r="I927" s="25" t="str">
        <f>IFERROR(__xludf.DUMMYFUNCTION("GOOGLETRANSLATE(H927,""EN"",""ES"")"),"Gastronomía")</f>
        <v>Gastronomía</v>
      </c>
      <c r="J927" s="26" t="s">
        <v>27</v>
      </c>
      <c r="K927" s="17">
        <v>0.0</v>
      </c>
      <c r="L927" s="54"/>
      <c r="M927" s="31"/>
      <c r="N927" s="66"/>
      <c r="O927" s="66"/>
      <c r="P927" s="20">
        <v>0.0</v>
      </c>
      <c r="Q927" s="31"/>
      <c r="R927" s="31"/>
      <c r="S927" s="53"/>
      <c r="T927" s="32"/>
    </row>
    <row r="928">
      <c r="A928" s="33" t="s">
        <v>6995</v>
      </c>
      <c r="B928" s="60" t="s">
        <v>6996</v>
      </c>
      <c r="C928" s="41">
        <v>45356.0</v>
      </c>
      <c r="D928" s="40" t="s">
        <v>6997</v>
      </c>
      <c r="E928" s="41" t="s">
        <v>6998</v>
      </c>
      <c r="F928" s="43" t="s">
        <v>6999</v>
      </c>
      <c r="G928" s="43" t="s">
        <v>7000</v>
      </c>
      <c r="H928" s="51" t="s">
        <v>148</v>
      </c>
      <c r="I928" s="15" t="str">
        <f>IFERROR(__xludf.DUMMYFUNCTION("GOOGLETRANSLATE(H928,""EN"",""ES"")"),"Gastronomía")</f>
        <v>Gastronomía</v>
      </c>
      <c r="J928" s="16" t="s">
        <v>27</v>
      </c>
      <c r="K928" s="17">
        <v>0.0</v>
      </c>
      <c r="L928" s="45"/>
      <c r="M928" s="18"/>
      <c r="N928" s="65"/>
      <c r="O928" s="65"/>
      <c r="P928" s="20">
        <v>0.0</v>
      </c>
      <c r="Q928" s="18"/>
      <c r="R928" s="18"/>
      <c r="S928" s="52"/>
      <c r="T928" s="22"/>
    </row>
    <row r="929">
      <c r="A929" s="23" t="s">
        <v>7001</v>
      </c>
      <c r="B929" s="58" t="s">
        <v>1081</v>
      </c>
      <c r="C929" s="41">
        <v>45356.0</v>
      </c>
      <c r="D929" s="40" t="s">
        <v>7002</v>
      </c>
      <c r="E929" s="41" t="s">
        <v>7003</v>
      </c>
      <c r="F929" s="43" t="s">
        <v>7004</v>
      </c>
      <c r="G929" s="43" t="s">
        <v>7005</v>
      </c>
      <c r="H929" s="51" t="s">
        <v>148</v>
      </c>
      <c r="I929" s="25" t="str">
        <f>IFERROR(__xludf.DUMMYFUNCTION("GOOGLETRANSLATE(H929,""EN"",""ES"")"),"Gastronomía")</f>
        <v>Gastronomía</v>
      </c>
      <c r="J929" s="26" t="s">
        <v>27</v>
      </c>
      <c r="K929" s="17">
        <v>0.0</v>
      </c>
      <c r="L929" s="54"/>
      <c r="M929" s="31"/>
      <c r="N929" s="66"/>
      <c r="O929" s="66"/>
      <c r="P929" s="20">
        <v>0.0</v>
      </c>
      <c r="Q929" s="31"/>
      <c r="R929" s="31"/>
      <c r="S929" s="53"/>
      <c r="T929" s="32"/>
    </row>
    <row r="930">
      <c r="A930" s="33" t="s">
        <v>7006</v>
      </c>
      <c r="B930" s="60" t="s">
        <v>43</v>
      </c>
      <c r="C930" s="41">
        <v>45356.0</v>
      </c>
      <c r="D930" s="40" t="s">
        <v>7007</v>
      </c>
      <c r="E930" s="41" t="s">
        <v>7008</v>
      </c>
      <c r="F930" s="43" t="s">
        <v>7009</v>
      </c>
      <c r="G930" s="43" t="s">
        <v>7010</v>
      </c>
      <c r="H930" s="51" t="s">
        <v>148</v>
      </c>
      <c r="I930" s="15" t="str">
        <f>IFERROR(__xludf.DUMMYFUNCTION("GOOGLETRANSLATE(H930,""EN"",""ES"")"),"Gastronomía")</f>
        <v>Gastronomía</v>
      </c>
      <c r="J930" s="16" t="s">
        <v>27</v>
      </c>
      <c r="K930" s="17">
        <v>0.0</v>
      </c>
      <c r="L930" s="45"/>
      <c r="M930" s="18"/>
      <c r="N930" s="65"/>
      <c r="O930" s="65"/>
      <c r="P930" s="20">
        <v>0.0</v>
      </c>
      <c r="Q930" s="18"/>
      <c r="R930" s="18"/>
      <c r="S930" s="52"/>
      <c r="T930" s="22"/>
    </row>
    <row r="931">
      <c r="A931" s="23" t="s">
        <v>7011</v>
      </c>
      <c r="B931" s="58" t="s">
        <v>7012</v>
      </c>
      <c r="C931" s="41">
        <v>45356.0</v>
      </c>
      <c r="D931" s="40" t="s">
        <v>7013</v>
      </c>
      <c r="E931" s="41" t="s">
        <v>7014</v>
      </c>
      <c r="F931" s="43" t="s">
        <v>7015</v>
      </c>
      <c r="G931" s="43" t="s">
        <v>7016</v>
      </c>
      <c r="H931" s="51" t="s">
        <v>148</v>
      </c>
      <c r="I931" s="25" t="str">
        <f>IFERROR(__xludf.DUMMYFUNCTION("GOOGLETRANSLATE(H931,""EN"",""ES"")"),"Gastronomía")</f>
        <v>Gastronomía</v>
      </c>
      <c r="J931" s="26" t="s">
        <v>27</v>
      </c>
      <c r="K931" s="17">
        <v>0.0</v>
      </c>
      <c r="L931" s="54"/>
      <c r="M931" s="31"/>
      <c r="N931" s="66"/>
      <c r="O931" s="66"/>
      <c r="P931" s="20">
        <v>0.0</v>
      </c>
      <c r="Q931" s="31"/>
      <c r="R931" s="31"/>
      <c r="S931" s="53"/>
      <c r="T931" s="32"/>
    </row>
    <row r="932">
      <c r="A932" s="33" t="s">
        <v>7017</v>
      </c>
      <c r="B932" s="60" t="s">
        <v>2696</v>
      </c>
      <c r="C932" s="41">
        <v>45356.0</v>
      </c>
      <c r="D932" s="40" t="s">
        <v>7018</v>
      </c>
      <c r="E932" s="41" t="s">
        <v>7019</v>
      </c>
      <c r="F932" s="43" t="s">
        <v>7020</v>
      </c>
      <c r="G932" s="43" t="s">
        <v>7021</v>
      </c>
      <c r="H932" s="51" t="s">
        <v>130</v>
      </c>
      <c r="I932" s="15" t="str">
        <f>IFERROR(__xludf.DUMMYFUNCTION("GOOGLETRANSLATE(H932,""EN"",""ES"")"),"Sostenibilidad")</f>
        <v>Sostenibilidad</v>
      </c>
      <c r="J932" s="16" t="s">
        <v>35</v>
      </c>
      <c r="K932" s="48">
        <v>0.7</v>
      </c>
      <c r="L932" s="51" t="s">
        <v>7022</v>
      </c>
      <c r="M932" s="34" t="s">
        <v>7023</v>
      </c>
      <c r="N932" s="65" t="s">
        <v>7024</v>
      </c>
      <c r="O932" s="65" t="str">
        <f>IFERROR(__xludf.DUMMYFUNCTION("GOOGLETRANSLATE(N932,""EN"",""ES"")"),"La ampliación de la infraestructura de vehículos eléctricos se alinea con la transición de Repsol hacia las energías limpias.")</f>
        <v>La ampliación de la infraestructura de vehículos eléctricos se alinea con la transición de Repsol hacia las energías limpias.</v>
      </c>
      <c r="P932" s="30">
        <v>0.7</v>
      </c>
      <c r="Q932" s="18" t="str">
        <f>IFERROR(__xludf.DUMMYFUNCTION("GOOGLETRANSLATE(R932,""ES"",""EN"")"),"charging points, electric cars, installation")</f>
        <v>charging points, electric cars, installation</v>
      </c>
      <c r="R932" s="34" t="s">
        <v>7025</v>
      </c>
      <c r="S932" s="52" t="s">
        <v>6335</v>
      </c>
      <c r="T932" s="22" t="s">
        <v>6336</v>
      </c>
    </row>
    <row r="933">
      <c r="A933" s="23" t="s">
        <v>7026</v>
      </c>
      <c r="B933" s="58" t="s">
        <v>3151</v>
      </c>
      <c r="C933" s="41">
        <v>45356.0</v>
      </c>
      <c r="D933" s="40" t="s">
        <v>7027</v>
      </c>
      <c r="E933" s="41" t="s">
        <v>7028</v>
      </c>
      <c r="F933" s="43" t="s">
        <v>7029</v>
      </c>
      <c r="G933" s="43" t="s">
        <v>7030</v>
      </c>
      <c r="H933" s="51" t="s">
        <v>148</v>
      </c>
      <c r="I933" s="25" t="str">
        <f>IFERROR(__xludf.DUMMYFUNCTION("GOOGLETRANSLATE(H933,""EN"",""ES"")"),"Gastronomía")</f>
        <v>Gastronomía</v>
      </c>
      <c r="J933" s="26" t="s">
        <v>27</v>
      </c>
      <c r="K933" s="17">
        <v>0.0</v>
      </c>
      <c r="L933" s="54"/>
      <c r="M933" s="31"/>
      <c r="N933" s="66"/>
      <c r="O933" s="66"/>
      <c r="P933" s="20">
        <v>0.0</v>
      </c>
      <c r="Q933" s="31"/>
      <c r="R933" s="31"/>
      <c r="S933" s="53"/>
      <c r="T933" s="32"/>
    </row>
    <row r="934">
      <c r="A934" s="33" t="s">
        <v>7031</v>
      </c>
      <c r="B934" s="60" t="s">
        <v>85</v>
      </c>
      <c r="C934" s="41">
        <v>45356.0</v>
      </c>
      <c r="D934" s="40" t="s">
        <v>7032</v>
      </c>
      <c r="E934" s="41" t="s">
        <v>7033</v>
      </c>
      <c r="F934" s="43" t="s">
        <v>7034</v>
      </c>
      <c r="G934" s="43" t="s">
        <v>7035</v>
      </c>
      <c r="H934" s="51" t="s">
        <v>148</v>
      </c>
      <c r="I934" s="15" t="str">
        <f>IFERROR(__xludf.DUMMYFUNCTION("GOOGLETRANSLATE(H934,""EN"",""ES"")"),"Gastronomía")</f>
        <v>Gastronomía</v>
      </c>
      <c r="J934" s="16" t="s">
        <v>27</v>
      </c>
      <c r="K934" s="17">
        <v>0.0</v>
      </c>
      <c r="L934" s="45"/>
      <c r="M934" s="18"/>
      <c r="N934" s="65"/>
      <c r="O934" s="65"/>
      <c r="P934" s="20">
        <v>0.0</v>
      </c>
      <c r="Q934" s="18"/>
      <c r="R934" s="18"/>
      <c r="S934" s="52"/>
      <c r="T934" s="22"/>
    </row>
    <row r="935">
      <c r="A935" s="23" t="s">
        <v>7036</v>
      </c>
      <c r="B935" s="58" t="s">
        <v>7037</v>
      </c>
      <c r="C935" s="41">
        <v>45356.0</v>
      </c>
      <c r="D935" s="40" t="s">
        <v>7038</v>
      </c>
      <c r="E935" s="41" t="s">
        <v>7039</v>
      </c>
      <c r="F935" s="43" t="s">
        <v>7040</v>
      </c>
      <c r="G935" s="43" t="s">
        <v>7041</v>
      </c>
      <c r="H935" s="51" t="s">
        <v>148</v>
      </c>
      <c r="I935" s="25" t="str">
        <f>IFERROR(__xludf.DUMMYFUNCTION("GOOGLETRANSLATE(H935,""EN"",""ES"")"),"Gastronomía")</f>
        <v>Gastronomía</v>
      </c>
      <c r="J935" s="26" t="s">
        <v>27</v>
      </c>
      <c r="K935" s="17">
        <v>0.0</v>
      </c>
      <c r="L935" s="54"/>
      <c r="M935" s="31"/>
      <c r="N935" s="66"/>
      <c r="O935" s="66"/>
      <c r="P935" s="20">
        <v>0.0</v>
      </c>
      <c r="Q935" s="31"/>
      <c r="R935" s="31"/>
      <c r="S935" s="53"/>
      <c r="T935" s="32"/>
    </row>
    <row r="936">
      <c r="A936" s="33" t="s">
        <v>7042</v>
      </c>
      <c r="B936" s="60" t="s">
        <v>6381</v>
      </c>
      <c r="C936" s="41">
        <v>45356.0</v>
      </c>
      <c r="D936" s="40" t="s">
        <v>7043</v>
      </c>
      <c r="E936" s="41" t="s">
        <v>7044</v>
      </c>
      <c r="F936" s="43" t="s">
        <v>7045</v>
      </c>
      <c r="G936" s="43" t="s">
        <v>7046</v>
      </c>
      <c r="H936" s="51" t="s">
        <v>148</v>
      </c>
      <c r="I936" s="15" t="str">
        <f>IFERROR(__xludf.DUMMYFUNCTION("GOOGLETRANSLATE(H936,""EN"",""ES"")"),"Gastronomía")</f>
        <v>Gastronomía</v>
      </c>
      <c r="J936" s="16" t="s">
        <v>27</v>
      </c>
      <c r="K936" s="17">
        <v>0.0</v>
      </c>
      <c r="L936" s="45"/>
      <c r="M936" s="18"/>
      <c r="N936" s="65"/>
      <c r="O936" s="65"/>
      <c r="P936" s="20">
        <v>0.0</v>
      </c>
      <c r="Q936" s="18"/>
      <c r="R936" s="18"/>
      <c r="S936" s="52"/>
      <c r="T936" s="22"/>
    </row>
    <row r="937">
      <c r="A937" s="23" t="s">
        <v>7047</v>
      </c>
      <c r="B937" s="58" t="s">
        <v>7048</v>
      </c>
      <c r="C937" s="41">
        <v>45356.0</v>
      </c>
      <c r="D937" s="40" t="s">
        <v>7049</v>
      </c>
      <c r="E937" s="41" t="s">
        <v>7050</v>
      </c>
      <c r="F937" s="43" t="s">
        <v>7051</v>
      </c>
      <c r="G937" s="43" t="s">
        <v>7052</v>
      </c>
      <c r="H937" s="51" t="s">
        <v>148</v>
      </c>
      <c r="I937" s="25" t="str">
        <f>IFERROR(__xludf.DUMMYFUNCTION("GOOGLETRANSLATE(H937,""EN"",""ES"")"),"Gastronomía")</f>
        <v>Gastronomía</v>
      </c>
      <c r="J937" s="26" t="s">
        <v>27</v>
      </c>
      <c r="K937" s="17">
        <v>0.0</v>
      </c>
      <c r="L937" s="54"/>
      <c r="M937" s="31"/>
      <c r="N937" s="66"/>
      <c r="O937" s="66"/>
      <c r="P937" s="20">
        <v>0.0</v>
      </c>
      <c r="Q937" s="31"/>
      <c r="R937" s="31"/>
      <c r="S937" s="53"/>
      <c r="T937" s="32"/>
    </row>
    <row r="938">
      <c r="A938" s="33" t="s">
        <v>7053</v>
      </c>
      <c r="B938" s="60" t="s">
        <v>1168</v>
      </c>
      <c r="C938" s="41">
        <v>45356.0</v>
      </c>
      <c r="D938" s="40" t="s">
        <v>7054</v>
      </c>
      <c r="E938" s="41" t="s">
        <v>7055</v>
      </c>
      <c r="F938" s="43" t="s">
        <v>7056</v>
      </c>
      <c r="G938" s="43" t="s">
        <v>7057</v>
      </c>
      <c r="H938" s="51" t="s">
        <v>148</v>
      </c>
      <c r="I938" s="15" t="str">
        <f>IFERROR(__xludf.DUMMYFUNCTION("GOOGLETRANSLATE(H938,""EN"",""ES"")"),"Gastronomía")</f>
        <v>Gastronomía</v>
      </c>
      <c r="J938" s="16" t="s">
        <v>27</v>
      </c>
      <c r="K938" s="17">
        <v>0.0</v>
      </c>
      <c r="L938" s="45"/>
      <c r="M938" s="18"/>
      <c r="N938" s="65"/>
      <c r="O938" s="65"/>
      <c r="P938" s="20">
        <v>0.0</v>
      </c>
      <c r="Q938" s="18"/>
      <c r="R938" s="18"/>
      <c r="S938" s="52"/>
      <c r="T938" s="22"/>
    </row>
    <row r="939">
      <c r="A939" s="23" t="s">
        <v>7058</v>
      </c>
      <c r="B939" s="58" t="s">
        <v>192</v>
      </c>
      <c r="C939" s="41">
        <v>45356.0</v>
      </c>
      <c r="D939" s="40" t="s">
        <v>7059</v>
      </c>
      <c r="E939" s="41" t="s">
        <v>7060</v>
      </c>
      <c r="F939" s="43" t="s">
        <v>7061</v>
      </c>
      <c r="G939" s="43" t="s">
        <v>7062</v>
      </c>
      <c r="H939" s="51" t="s">
        <v>148</v>
      </c>
      <c r="I939" s="25" t="str">
        <f>IFERROR(__xludf.DUMMYFUNCTION("GOOGLETRANSLATE(H939,""EN"",""ES"")"),"Gastronomía")</f>
        <v>Gastronomía</v>
      </c>
      <c r="J939" s="26" t="s">
        <v>27</v>
      </c>
      <c r="K939" s="17">
        <v>0.0</v>
      </c>
      <c r="L939" s="54"/>
      <c r="M939" s="31"/>
      <c r="N939" s="66"/>
      <c r="O939" s="66"/>
      <c r="P939" s="20">
        <v>0.0</v>
      </c>
      <c r="Q939" s="31"/>
      <c r="R939" s="31"/>
      <c r="S939" s="53"/>
      <c r="T939" s="32"/>
    </row>
    <row r="940">
      <c r="A940" s="33" t="s">
        <v>7063</v>
      </c>
      <c r="B940" s="60" t="s">
        <v>21</v>
      </c>
      <c r="C940" s="41">
        <v>45356.0</v>
      </c>
      <c r="D940" s="40" t="s">
        <v>7064</v>
      </c>
      <c r="E940" s="41" t="s">
        <v>7065</v>
      </c>
      <c r="F940" s="43" t="s">
        <v>7066</v>
      </c>
      <c r="G940" s="43" t="s">
        <v>7067</v>
      </c>
      <c r="H940" s="51" t="s">
        <v>148</v>
      </c>
      <c r="I940" s="15" t="str">
        <f>IFERROR(__xludf.DUMMYFUNCTION("GOOGLETRANSLATE(H940,""EN"",""ES"")"),"Gastronomía")</f>
        <v>Gastronomía</v>
      </c>
      <c r="J940" s="16" t="s">
        <v>27</v>
      </c>
      <c r="K940" s="17">
        <v>0.0</v>
      </c>
      <c r="L940" s="45"/>
      <c r="M940" s="18"/>
      <c r="N940" s="65"/>
      <c r="O940" s="65"/>
      <c r="P940" s="20">
        <v>0.0</v>
      </c>
      <c r="Q940" s="18"/>
      <c r="R940" s="18"/>
      <c r="S940" s="52"/>
      <c r="T940" s="22"/>
    </row>
    <row r="941">
      <c r="A941" s="23" t="s">
        <v>7068</v>
      </c>
      <c r="B941" s="58" t="s">
        <v>21</v>
      </c>
      <c r="C941" s="41">
        <v>45356.0</v>
      </c>
      <c r="D941" s="40" t="s">
        <v>7069</v>
      </c>
      <c r="E941" s="41" t="s">
        <v>7070</v>
      </c>
      <c r="F941" s="43" t="s">
        <v>7071</v>
      </c>
      <c r="G941" s="43" t="s">
        <v>7072</v>
      </c>
      <c r="H941" s="51" t="s">
        <v>148</v>
      </c>
      <c r="I941" s="25" t="str">
        <f>IFERROR(__xludf.DUMMYFUNCTION("GOOGLETRANSLATE(H941,""EN"",""ES"")"),"Gastronomía")</f>
        <v>Gastronomía</v>
      </c>
      <c r="J941" s="26" t="s">
        <v>27</v>
      </c>
      <c r="K941" s="17">
        <v>0.0</v>
      </c>
      <c r="L941" s="54"/>
      <c r="M941" s="31"/>
      <c r="N941" s="66"/>
      <c r="O941" s="66"/>
      <c r="P941" s="20">
        <v>0.0</v>
      </c>
      <c r="Q941" s="31"/>
      <c r="R941" s="31"/>
      <c r="S941" s="53"/>
      <c r="T941" s="32"/>
    </row>
    <row r="942">
      <c r="A942" s="33" t="s">
        <v>7073</v>
      </c>
      <c r="B942" s="60" t="s">
        <v>7074</v>
      </c>
      <c r="C942" s="41">
        <v>45356.0</v>
      </c>
      <c r="D942" s="40" t="s">
        <v>7075</v>
      </c>
      <c r="E942" s="41" t="s">
        <v>7076</v>
      </c>
      <c r="F942" s="43" t="s">
        <v>7077</v>
      </c>
      <c r="G942" s="43" t="s">
        <v>7078</v>
      </c>
      <c r="H942" s="51" t="s">
        <v>148</v>
      </c>
      <c r="I942" s="15" t="str">
        <f>IFERROR(__xludf.DUMMYFUNCTION("GOOGLETRANSLATE(H942,""EN"",""ES"")"),"Gastronomía")</f>
        <v>Gastronomía</v>
      </c>
      <c r="J942" s="16" t="s">
        <v>27</v>
      </c>
      <c r="K942" s="17">
        <v>0.0</v>
      </c>
      <c r="L942" s="45"/>
      <c r="M942" s="18"/>
      <c r="N942" s="65"/>
      <c r="O942" s="65"/>
      <c r="P942" s="20">
        <v>0.0</v>
      </c>
      <c r="Q942" s="18"/>
      <c r="R942" s="18"/>
      <c r="S942" s="52"/>
      <c r="T942" s="22"/>
    </row>
    <row r="943">
      <c r="A943" s="23" t="s">
        <v>7079</v>
      </c>
      <c r="B943" s="58" t="s">
        <v>702</v>
      </c>
      <c r="C943" s="41">
        <v>45356.0</v>
      </c>
      <c r="D943" s="40" t="s">
        <v>7080</v>
      </c>
      <c r="E943" s="41" t="s">
        <v>7081</v>
      </c>
      <c r="F943" s="43" t="s">
        <v>7082</v>
      </c>
      <c r="G943" s="43" t="s">
        <v>7083</v>
      </c>
      <c r="H943" s="51" t="s">
        <v>148</v>
      </c>
      <c r="I943" s="25" t="str">
        <f>IFERROR(__xludf.DUMMYFUNCTION("GOOGLETRANSLATE(H943,""EN"",""ES"")"),"Gastronomía")</f>
        <v>Gastronomía</v>
      </c>
      <c r="J943" s="26" t="s">
        <v>27</v>
      </c>
      <c r="K943" s="17">
        <v>0.0</v>
      </c>
      <c r="L943" s="54"/>
      <c r="M943" s="31"/>
      <c r="N943" s="66"/>
      <c r="O943" s="66"/>
      <c r="P943" s="20">
        <v>0.0</v>
      </c>
      <c r="Q943" s="31"/>
      <c r="R943" s="31"/>
      <c r="S943" s="53"/>
      <c r="T943" s="32"/>
    </row>
    <row r="944">
      <c r="A944" s="33" t="s">
        <v>7084</v>
      </c>
      <c r="B944" s="60" t="s">
        <v>3151</v>
      </c>
      <c r="C944" s="41">
        <v>45356.0</v>
      </c>
      <c r="D944" s="40" t="s">
        <v>7085</v>
      </c>
      <c r="E944" s="41" t="s">
        <v>7086</v>
      </c>
      <c r="F944" s="43" t="s">
        <v>7087</v>
      </c>
      <c r="G944" s="43" t="s">
        <v>7088</v>
      </c>
      <c r="H944" s="51" t="s">
        <v>148</v>
      </c>
      <c r="I944" s="15" t="str">
        <f>IFERROR(__xludf.DUMMYFUNCTION("GOOGLETRANSLATE(H944,""EN"",""ES"")"),"Gastronomía")</f>
        <v>Gastronomía</v>
      </c>
      <c r="J944" s="16" t="s">
        <v>27</v>
      </c>
      <c r="K944" s="17">
        <v>0.0</v>
      </c>
      <c r="L944" s="45"/>
      <c r="M944" s="18"/>
      <c r="N944" s="65"/>
      <c r="O944" s="65"/>
      <c r="P944" s="20">
        <v>0.0</v>
      </c>
      <c r="Q944" s="18"/>
      <c r="R944" s="18"/>
      <c r="S944" s="52"/>
      <c r="T944" s="22"/>
    </row>
    <row r="945">
      <c r="A945" s="23" t="s">
        <v>7089</v>
      </c>
      <c r="B945" s="58" t="s">
        <v>85</v>
      </c>
      <c r="C945" s="41">
        <v>45356.0</v>
      </c>
      <c r="D945" s="40" t="s">
        <v>7090</v>
      </c>
      <c r="E945" s="41" t="s">
        <v>7091</v>
      </c>
      <c r="F945" s="43" t="s">
        <v>7092</v>
      </c>
      <c r="G945" s="43" t="s">
        <v>7093</v>
      </c>
      <c r="H945" s="51" t="s">
        <v>148</v>
      </c>
      <c r="I945" s="25" t="str">
        <f>IFERROR(__xludf.DUMMYFUNCTION("GOOGLETRANSLATE(H945,""EN"",""ES"")"),"Gastronomía")</f>
        <v>Gastronomía</v>
      </c>
      <c r="J945" s="26" t="s">
        <v>27</v>
      </c>
      <c r="K945" s="17">
        <v>0.0</v>
      </c>
      <c r="L945" s="54"/>
      <c r="M945" s="31"/>
      <c r="N945" s="66"/>
      <c r="O945" s="66"/>
      <c r="P945" s="20">
        <v>0.0</v>
      </c>
      <c r="Q945" s="31"/>
      <c r="R945" s="31"/>
      <c r="S945" s="53"/>
      <c r="T945" s="32"/>
    </row>
    <row r="946">
      <c r="A946" s="33" t="s">
        <v>7094</v>
      </c>
      <c r="B946" s="60" t="s">
        <v>7095</v>
      </c>
      <c r="C946" s="41">
        <v>45356.0</v>
      </c>
      <c r="D946" s="40" t="s">
        <v>7096</v>
      </c>
      <c r="E946" s="41" t="s">
        <v>7097</v>
      </c>
      <c r="F946" s="43" t="s">
        <v>7098</v>
      </c>
      <c r="G946" s="43" t="s">
        <v>7099</v>
      </c>
      <c r="H946" s="51" t="s">
        <v>148</v>
      </c>
      <c r="I946" s="15" t="str">
        <f>IFERROR(__xludf.DUMMYFUNCTION("GOOGLETRANSLATE(H946,""EN"",""ES"")"),"Gastronomía")</f>
        <v>Gastronomía</v>
      </c>
      <c r="J946" s="16" t="s">
        <v>27</v>
      </c>
      <c r="K946" s="17">
        <v>0.0</v>
      </c>
      <c r="L946" s="45"/>
      <c r="M946" s="18"/>
      <c r="N946" s="65"/>
      <c r="O946" s="65"/>
      <c r="P946" s="20">
        <v>0.0</v>
      </c>
      <c r="Q946" s="18"/>
      <c r="R946" s="18"/>
      <c r="S946" s="52"/>
      <c r="T946" s="22"/>
    </row>
    <row r="947">
      <c r="A947" s="23" t="s">
        <v>7100</v>
      </c>
      <c r="B947" s="58" t="s">
        <v>21</v>
      </c>
      <c r="C947" s="41">
        <v>45356.0</v>
      </c>
      <c r="D947" s="40" t="s">
        <v>7101</v>
      </c>
      <c r="E947" s="41" t="s">
        <v>7102</v>
      </c>
      <c r="F947" s="43" t="s">
        <v>7103</v>
      </c>
      <c r="G947" s="43" t="s">
        <v>7104</v>
      </c>
      <c r="H947" s="51" t="s">
        <v>148</v>
      </c>
      <c r="I947" s="25" t="str">
        <f>IFERROR(__xludf.DUMMYFUNCTION("GOOGLETRANSLATE(H947,""EN"",""ES"")"),"Gastronomía")</f>
        <v>Gastronomía</v>
      </c>
      <c r="J947" s="26" t="s">
        <v>27</v>
      </c>
      <c r="K947" s="17">
        <v>0.0</v>
      </c>
      <c r="L947" s="54"/>
      <c r="M947" s="31"/>
      <c r="N947" s="66"/>
      <c r="O947" s="66"/>
      <c r="P947" s="20">
        <v>0.0</v>
      </c>
      <c r="Q947" s="31"/>
      <c r="R947" s="31"/>
      <c r="S947" s="53"/>
      <c r="T947" s="32"/>
    </row>
    <row r="948">
      <c r="A948" s="33" t="s">
        <v>7105</v>
      </c>
      <c r="B948" s="60" t="s">
        <v>21</v>
      </c>
      <c r="C948" s="41">
        <v>45356.0</v>
      </c>
      <c r="D948" s="40" t="s">
        <v>7106</v>
      </c>
      <c r="E948" s="41" t="s">
        <v>7107</v>
      </c>
      <c r="F948" s="43" t="s">
        <v>7108</v>
      </c>
      <c r="G948" s="43" t="s">
        <v>7109</v>
      </c>
      <c r="H948" s="51" t="s">
        <v>148</v>
      </c>
      <c r="I948" s="15" t="str">
        <f>IFERROR(__xludf.DUMMYFUNCTION("GOOGLETRANSLATE(H948,""EN"",""ES"")"),"Gastronomía")</f>
        <v>Gastronomía</v>
      </c>
      <c r="J948" s="16" t="s">
        <v>27</v>
      </c>
      <c r="K948" s="17">
        <v>0.0</v>
      </c>
      <c r="L948" s="45"/>
      <c r="M948" s="18"/>
      <c r="N948" s="65"/>
      <c r="O948" s="65"/>
      <c r="P948" s="20">
        <v>0.0</v>
      </c>
      <c r="Q948" s="18"/>
      <c r="R948" s="18"/>
      <c r="S948" s="52"/>
      <c r="T948" s="22"/>
    </row>
    <row r="949">
      <c r="A949" s="23" t="s">
        <v>7110</v>
      </c>
      <c r="B949" s="58" t="s">
        <v>21</v>
      </c>
      <c r="C949" s="41">
        <v>45356.0</v>
      </c>
      <c r="D949" s="40" t="s">
        <v>7111</v>
      </c>
      <c r="E949" s="41" t="s">
        <v>7112</v>
      </c>
      <c r="F949" s="43" t="s">
        <v>7113</v>
      </c>
      <c r="G949" s="43" t="s">
        <v>7114</v>
      </c>
      <c r="H949" s="51" t="s">
        <v>148</v>
      </c>
      <c r="I949" s="25" t="str">
        <f>IFERROR(__xludf.DUMMYFUNCTION("GOOGLETRANSLATE(H949,""EN"",""ES"")"),"Gastronomía")</f>
        <v>Gastronomía</v>
      </c>
      <c r="J949" s="26" t="s">
        <v>27</v>
      </c>
      <c r="K949" s="17">
        <v>0.0</v>
      </c>
      <c r="L949" s="54"/>
      <c r="M949" s="31"/>
      <c r="N949" s="66"/>
      <c r="O949" s="66"/>
      <c r="P949" s="20">
        <v>0.0</v>
      </c>
      <c r="Q949" s="31"/>
      <c r="R949" s="31"/>
      <c r="S949" s="53"/>
      <c r="T949" s="32"/>
    </row>
    <row r="950">
      <c r="A950" s="33" t="s">
        <v>7115</v>
      </c>
      <c r="B950" s="60" t="s">
        <v>7116</v>
      </c>
      <c r="C950" s="41">
        <v>45356.0</v>
      </c>
      <c r="D950" s="40" t="s">
        <v>7117</v>
      </c>
      <c r="E950" s="41" t="s">
        <v>7118</v>
      </c>
      <c r="F950" s="43" t="s">
        <v>7119</v>
      </c>
      <c r="G950" s="43" t="s">
        <v>7120</v>
      </c>
      <c r="H950" s="51" t="s">
        <v>148</v>
      </c>
      <c r="I950" s="15" t="str">
        <f>IFERROR(__xludf.DUMMYFUNCTION("GOOGLETRANSLATE(H950,""EN"",""ES"")"),"Gastronomía")</f>
        <v>Gastronomía</v>
      </c>
      <c r="J950" s="16" t="s">
        <v>27</v>
      </c>
      <c r="K950" s="17">
        <v>0.0</v>
      </c>
      <c r="L950" s="45"/>
      <c r="M950" s="18"/>
      <c r="N950" s="65"/>
      <c r="O950" s="65"/>
      <c r="P950" s="20">
        <v>0.0</v>
      </c>
      <c r="Q950" s="18"/>
      <c r="R950" s="18"/>
      <c r="S950" s="52"/>
      <c r="T950" s="22"/>
    </row>
    <row r="951">
      <c r="A951" s="23" t="s">
        <v>7121</v>
      </c>
      <c r="B951" s="58" t="s">
        <v>1768</v>
      </c>
      <c r="C951" s="41">
        <v>45356.0</v>
      </c>
      <c r="D951" s="40" t="s">
        <v>7122</v>
      </c>
      <c r="E951" s="41" t="s">
        <v>7123</v>
      </c>
      <c r="F951" s="43" t="s">
        <v>7124</v>
      </c>
      <c r="G951" s="43" t="s">
        <v>7125</v>
      </c>
      <c r="H951" s="51" t="s">
        <v>148</v>
      </c>
      <c r="I951" s="25" t="str">
        <f>IFERROR(__xludf.DUMMYFUNCTION("GOOGLETRANSLATE(H951,""EN"",""ES"")"),"Gastronomía")</f>
        <v>Gastronomía</v>
      </c>
      <c r="J951" s="26" t="s">
        <v>27</v>
      </c>
      <c r="K951" s="17">
        <v>0.0</v>
      </c>
      <c r="L951" s="54"/>
      <c r="M951" s="31"/>
      <c r="N951" s="66"/>
      <c r="O951" s="66"/>
      <c r="P951" s="20">
        <v>0.0</v>
      </c>
      <c r="Q951" s="31"/>
      <c r="R951" s="31"/>
      <c r="S951" s="53"/>
      <c r="T951" s="32"/>
    </row>
    <row r="952">
      <c r="A952" s="33" t="s">
        <v>7126</v>
      </c>
      <c r="B952" s="60" t="s">
        <v>614</v>
      </c>
      <c r="C952" s="41">
        <v>45356.0</v>
      </c>
      <c r="D952" s="40" t="s">
        <v>7127</v>
      </c>
      <c r="E952" s="41" t="s">
        <v>7128</v>
      </c>
      <c r="F952" s="43" t="s">
        <v>7129</v>
      </c>
      <c r="G952" s="43" t="s">
        <v>7130</v>
      </c>
      <c r="H952" s="51" t="s">
        <v>148</v>
      </c>
      <c r="I952" s="15" t="str">
        <f>IFERROR(__xludf.DUMMYFUNCTION("GOOGLETRANSLATE(H952,""EN"",""ES"")"),"Gastronomía")</f>
        <v>Gastronomía</v>
      </c>
      <c r="J952" s="16" t="s">
        <v>27</v>
      </c>
      <c r="K952" s="17">
        <v>0.0</v>
      </c>
      <c r="L952" s="45"/>
      <c r="M952" s="18"/>
      <c r="N952" s="65"/>
      <c r="O952" s="65"/>
      <c r="P952" s="20">
        <v>0.0</v>
      </c>
      <c r="Q952" s="18"/>
      <c r="R952" s="18"/>
      <c r="S952" s="52"/>
      <c r="T952" s="22"/>
    </row>
    <row r="953">
      <c r="A953" s="23" t="s">
        <v>7131</v>
      </c>
      <c r="B953" s="58" t="s">
        <v>85</v>
      </c>
      <c r="C953" s="41">
        <v>45356.0</v>
      </c>
      <c r="D953" s="40" t="s">
        <v>7132</v>
      </c>
      <c r="E953" s="41" t="s">
        <v>7133</v>
      </c>
      <c r="F953" s="43" t="s">
        <v>7134</v>
      </c>
      <c r="G953" s="43" t="s">
        <v>7135</v>
      </c>
      <c r="H953" s="51" t="s">
        <v>148</v>
      </c>
      <c r="I953" s="25" t="str">
        <f>IFERROR(__xludf.DUMMYFUNCTION("GOOGLETRANSLATE(H953,""EN"",""ES"")"),"Gastronomía")</f>
        <v>Gastronomía</v>
      </c>
      <c r="J953" s="26" t="s">
        <v>27</v>
      </c>
      <c r="K953" s="17">
        <v>0.0</v>
      </c>
      <c r="L953" s="54"/>
      <c r="M953" s="31"/>
      <c r="N953" s="66"/>
      <c r="O953" s="66"/>
      <c r="P953" s="20">
        <v>0.0</v>
      </c>
      <c r="Q953" s="31"/>
      <c r="R953" s="31"/>
      <c r="S953" s="53"/>
      <c r="T953" s="32"/>
    </row>
    <row r="954">
      <c r="A954" s="33" t="s">
        <v>7136</v>
      </c>
      <c r="B954" s="60" t="s">
        <v>3067</v>
      </c>
      <c r="C954" s="41">
        <v>45356.0</v>
      </c>
      <c r="D954" s="40" t="s">
        <v>7137</v>
      </c>
      <c r="E954" s="41" t="s">
        <v>7138</v>
      </c>
      <c r="F954" s="43" t="s">
        <v>7139</v>
      </c>
      <c r="G954" s="43" t="s">
        <v>7140</v>
      </c>
      <c r="H954" s="51" t="s">
        <v>148</v>
      </c>
      <c r="I954" s="15" t="str">
        <f>IFERROR(__xludf.DUMMYFUNCTION("GOOGLETRANSLATE(H954,""EN"",""ES"")"),"Gastronomía")</f>
        <v>Gastronomía</v>
      </c>
      <c r="J954" s="16" t="s">
        <v>27</v>
      </c>
      <c r="K954" s="17">
        <v>0.0</v>
      </c>
      <c r="L954" s="45"/>
      <c r="M954" s="18"/>
      <c r="N954" s="65"/>
      <c r="O954" s="65"/>
      <c r="P954" s="20">
        <v>0.0</v>
      </c>
      <c r="Q954" s="18"/>
      <c r="R954" s="18"/>
      <c r="S954" s="52"/>
      <c r="T954" s="22"/>
    </row>
    <row r="955">
      <c r="A955" s="23" t="s">
        <v>7141</v>
      </c>
      <c r="B955" s="58" t="s">
        <v>3151</v>
      </c>
      <c r="C955" s="41">
        <v>45356.0</v>
      </c>
      <c r="D955" s="40" t="s">
        <v>7142</v>
      </c>
      <c r="E955" s="41" t="s">
        <v>7143</v>
      </c>
      <c r="F955" s="43" t="s">
        <v>7144</v>
      </c>
      <c r="G955" s="43" t="s">
        <v>7145</v>
      </c>
      <c r="H955" s="51" t="s">
        <v>148</v>
      </c>
      <c r="I955" s="25" t="str">
        <f>IFERROR(__xludf.DUMMYFUNCTION("GOOGLETRANSLATE(H955,""EN"",""ES"")"),"Gastronomía")</f>
        <v>Gastronomía</v>
      </c>
      <c r="J955" s="26" t="s">
        <v>27</v>
      </c>
      <c r="K955" s="17">
        <v>0.0</v>
      </c>
      <c r="L955" s="54"/>
      <c r="M955" s="31"/>
      <c r="N955" s="66"/>
      <c r="O955" s="66"/>
      <c r="P955" s="20">
        <v>0.0</v>
      </c>
      <c r="Q955" s="31"/>
      <c r="R955" s="31"/>
      <c r="S955" s="53"/>
      <c r="T955" s="32"/>
    </row>
    <row r="956">
      <c r="A956" s="33" t="s">
        <v>7146</v>
      </c>
      <c r="B956" s="60" t="s">
        <v>7147</v>
      </c>
      <c r="C956" s="41">
        <v>45356.0</v>
      </c>
      <c r="D956" s="40" t="s">
        <v>7148</v>
      </c>
      <c r="E956" s="41" t="s">
        <v>7149</v>
      </c>
      <c r="F956" s="43" t="s">
        <v>7150</v>
      </c>
      <c r="G956" s="43" t="s">
        <v>7151</v>
      </c>
      <c r="H956" s="51" t="s">
        <v>148</v>
      </c>
      <c r="I956" s="15" t="str">
        <f>IFERROR(__xludf.DUMMYFUNCTION("GOOGLETRANSLATE(H956,""EN"",""ES"")"),"Gastronomía")</f>
        <v>Gastronomía</v>
      </c>
      <c r="J956" s="16" t="s">
        <v>27</v>
      </c>
      <c r="K956" s="17">
        <v>0.0</v>
      </c>
      <c r="L956" s="45"/>
      <c r="M956" s="18"/>
      <c r="N956" s="65"/>
      <c r="O956" s="65"/>
      <c r="P956" s="20">
        <v>0.0</v>
      </c>
      <c r="Q956" s="18"/>
      <c r="R956" s="18"/>
      <c r="S956" s="52"/>
      <c r="T956" s="22"/>
    </row>
    <row r="957">
      <c r="A957" s="23" t="s">
        <v>7152</v>
      </c>
      <c r="B957" s="58" t="s">
        <v>7153</v>
      </c>
      <c r="C957" s="41">
        <v>45356.0</v>
      </c>
      <c r="D957" s="40" t="s">
        <v>7154</v>
      </c>
      <c r="E957" s="41" t="s">
        <v>7155</v>
      </c>
      <c r="F957" s="43" t="s">
        <v>7156</v>
      </c>
      <c r="G957" s="43" t="s">
        <v>7157</v>
      </c>
      <c r="H957" s="51" t="s">
        <v>148</v>
      </c>
      <c r="I957" s="25" t="str">
        <f>IFERROR(__xludf.DUMMYFUNCTION("GOOGLETRANSLATE(H957,""EN"",""ES"")"),"Gastronomía")</f>
        <v>Gastronomía</v>
      </c>
      <c r="J957" s="26" t="s">
        <v>27</v>
      </c>
      <c r="K957" s="17">
        <v>0.0</v>
      </c>
      <c r="L957" s="54"/>
      <c r="M957" s="31"/>
      <c r="N957" s="66"/>
      <c r="O957" s="66"/>
      <c r="P957" s="20">
        <v>0.0</v>
      </c>
      <c r="Q957" s="31"/>
      <c r="R957" s="31"/>
      <c r="S957" s="53"/>
      <c r="T957" s="32"/>
    </row>
    <row r="958">
      <c r="A958" s="33" t="s">
        <v>7158</v>
      </c>
      <c r="B958" s="60" t="s">
        <v>7159</v>
      </c>
      <c r="C958" s="41">
        <v>45356.0</v>
      </c>
      <c r="D958" s="40" t="s">
        <v>7160</v>
      </c>
      <c r="E958" s="41" t="s">
        <v>7161</v>
      </c>
      <c r="F958" s="43" t="s">
        <v>7162</v>
      </c>
      <c r="G958" s="43" t="s">
        <v>7163</v>
      </c>
      <c r="H958" s="51" t="s">
        <v>148</v>
      </c>
      <c r="I958" s="15" t="str">
        <f>IFERROR(__xludf.DUMMYFUNCTION("GOOGLETRANSLATE(H958,""EN"",""ES"")"),"Gastronomía")</f>
        <v>Gastronomía</v>
      </c>
      <c r="J958" s="16" t="s">
        <v>27</v>
      </c>
      <c r="K958" s="17">
        <v>0.0</v>
      </c>
      <c r="L958" s="45"/>
      <c r="M958" s="18"/>
      <c r="N958" s="65"/>
      <c r="O958" s="65"/>
      <c r="P958" s="20">
        <v>0.0</v>
      </c>
      <c r="Q958" s="18"/>
      <c r="R958" s="18"/>
      <c r="S958" s="52"/>
      <c r="T958" s="22"/>
    </row>
    <row r="959">
      <c r="A959" s="23" t="s">
        <v>7164</v>
      </c>
      <c r="B959" s="58" t="s">
        <v>7165</v>
      </c>
      <c r="C959" s="41">
        <v>45356.0</v>
      </c>
      <c r="D959" s="40" t="s">
        <v>7166</v>
      </c>
      <c r="E959" s="41" t="s">
        <v>7167</v>
      </c>
      <c r="F959" s="43" t="s">
        <v>7168</v>
      </c>
      <c r="G959" s="43" t="s">
        <v>7169</v>
      </c>
      <c r="H959" s="51" t="s">
        <v>148</v>
      </c>
      <c r="I959" s="25" t="str">
        <f>IFERROR(__xludf.DUMMYFUNCTION("GOOGLETRANSLATE(H959,""EN"",""ES"")"),"Gastronomía")</f>
        <v>Gastronomía</v>
      </c>
      <c r="J959" s="26" t="s">
        <v>27</v>
      </c>
      <c r="K959" s="17">
        <v>0.0</v>
      </c>
      <c r="L959" s="54"/>
      <c r="M959" s="31"/>
      <c r="N959" s="66"/>
      <c r="O959" s="66"/>
      <c r="P959" s="20">
        <v>0.0</v>
      </c>
      <c r="Q959" s="31"/>
      <c r="R959" s="31"/>
      <c r="S959" s="53"/>
      <c r="T959" s="32"/>
    </row>
    <row r="960">
      <c r="A960" s="33" t="s">
        <v>7170</v>
      </c>
      <c r="B960" s="60" t="s">
        <v>7171</v>
      </c>
      <c r="C960" s="41">
        <v>45356.0</v>
      </c>
      <c r="D960" s="40" t="s">
        <v>7172</v>
      </c>
      <c r="E960" s="41" t="s">
        <v>7173</v>
      </c>
      <c r="F960" s="43" t="s">
        <v>7174</v>
      </c>
      <c r="G960" s="43" t="s">
        <v>7175</v>
      </c>
      <c r="H960" s="51" t="s">
        <v>148</v>
      </c>
      <c r="I960" s="15" t="str">
        <f>IFERROR(__xludf.DUMMYFUNCTION("GOOGLETRANSLATE(H960,""EN"",""ES"")"),"Gastronomía")</f>
        <v>Gastronomía</v>
      </c>
      <c r="J960" s="16" t="s">
        <v>27</v>
      </c>
      <c r="K960" s="17">
        <v>0.0</v>
      </c>
      <c r="L960" s="45"/>
      <c r="M960" s="18"/>
      <c r="N960" s="65"/>
      <c r="O960" s="65"/>
      <c r="P960" s="20">
        <v>0.0</v>
      </c>
      <c r="Q960" s="18"/>
      <c r="R960" s="18"/>
      <c r="S960" s="52"/>
      <c r="T960" s="22"/>
    </row>
    <row r="961">
      <c r="A961" s="23" t="s">
        <v>7176</v>
      </c>
      <c r="B961" s="58" t="s">
        <v>1105</v>
      </c>
      <c r="C961" s="41">
        <v>45356.0</v>
      </c>
      <c r="D961" s="40" t="s">
        <v>7177</v>
      </c>
      <c r="E961" s="41" t="s">
        <v>7178</v>
      </c>
      <c r="F961" s="43" t="s">
        <v>7179</v>
      </c>
      <c r="G961" s="43" t="s">
        <v>7180</v>
      </c>
      <c r="H961" s="51" t="s">
        <v>148</v>
      </c>
      <c r="I961" s="25" t="str">
        <f>IFERROR(__xludf.DUMMYFUNCTION("GOOGLETRANSLATE(H961,""EN"",""ES"")"),"Gastronomía")</f>
        <v>Gastronomía</v>
      </c>
      <c r="J961" s="26" t="s">
        <v>27</v>
      </c>
      <c r="K961" s="17">
        <v>0.0</v>
      </c>
      <c r="L961" s="54"/>
      <c r="M961" s="31"/>
      <c r="N961" s="66"/>
      <c r="O961" s="66"/>
      <c r="P961" s="20">
        <v>0.0</v>
      </c>
      <c r="Q961" s="31"/>
      <c r="R961" s="31"/>
      <c r="S961" s="53"/>
      <c r="T961" s="32"/>
    </row>
    <row r="962">
      <c r="A962" s="33" t="s">
        <v>7181</v>
      </c>
      <c r="B962" s="60" t="s">
        <v>6642</v>
      </c>
      <c r="C962" s="41">
        <v>45356.0</v>
      </c>
      <c r="D962" s="40" t="s">
        <v>7182</v>
      </c>
      <c r="E962" s="41" t="s">
        <v>7183</v>
      </c>
      <c r="F962" s="43" t="s">
        <v>7184</v>
      </c>
      <c r="G962" s="43" t="s">
        <v>7185</v>
      </c>
      <c r="H962" s="51" t="s">
        <v>148</v>
      </c>
      <c r="I962" s="15" t="str">
        <f>IFERROR(__xludf.DUMMYFUNCTION("GOOGLETRANSLATE(H962,""EN"",""ES"")"),"Gastronomía")</f>
        <v>Gastronomía</v>
      </c>
      <c r="J962" s="16" t="s">
        <v>27</v>
      </c>
      <c r="K962" s="17">
        <v>0.0</v>
      </c>
      <c r="L962" s="45"/>
      <c r="M962" s="18"/>
      <c r="N962" s="65"/>
      <c r="O962" s="65"/>
      <c r="P962" s="20">
        <v>0.0</v>
      </c>
      <c r="Q962" s="18"/>
      <c r="R962" s="18"/>
      <c r="S962" s="52"/>
      <c r="T962" s="22"/>
    </row>
    <row r="963">
      <c r="A963" s="23" t="s">
        <v>7186</v>
      </c>
      <c r="B963" s="58" t="s">
        <v>7187</v>
      </c>
      <c r="C963" s="41">
        <v>45356.0</v>
      </c>
      <c r="D963" s="40" t="s">
        <v>7188</v>
      </c>
      <c r="E963" s="41" t="s">
        <v>7189</v>
      </c>
      <c r="F963" s="43" t="s">
        <v>7190</v>
      </c>
      <c r="G963" s="43" t="s">
        <v>7191</v>
      </c>
      <c r="H963" s="51" t="s">
        <v>148</v>
      </c>
      <c r="I963" s="25" t="str">
        <f>IFERROR(__xludf.DUMMYFUNCTION("GOOGLETRANSLATE(H963,""EN"",""ES"")"),"Gastronomía")</f>
        <v>Gastronomía</v>
      </c>
      <c r="J963" s="26" t="s">
        <v>27</v>
      </c>
      <c r="K963" s="17">
        <v>0.0</v>
      </c>
      <c r="L963" s="54"/>
      <c r="M963" s="31"/>
      <c r="N963" s="66"/>
      <c r="O963" s="66"/>
      <c r="P963" s="20">
        <v>0.0</v>
      </c>
      <c r="Q963" s="31"/>
      <c r="R963" s="31"/>
      <c r="S963" s="53"/>
      <c r="T963" s="32"/>
    </row>
    <row r="964">
      <c r="A964" s="33" t="s">
        <v>7192</v>
      </c>
      <c r="B964" s="60" t="s">
        <v>2952</v>
      </c>
      <c r="C964" s="41">
        <v>45356.0</v>
      </c>
      <c r="D964" s="40" t="s">
        <v>7193</v>
      </c>
      <c r="E964" s="41" t="s">
        <v>7194</v>
      </c>
      <c r="F964" s="43" t="s">
        <v>7195</v>
      </c>
      <c r="G964" s="43" t="s">
        <v>7196</v>
      </c>
      <c r="H964" s="51" t="s">
        <v>148</v>
      </c>
      <c r="I964" s="15" t="str">
        <f>IFERROR(__xludf.DUMMYFUNCTION("GOOGLETRANSLATE(H964,""EN"",""ES"")"),"Gastronomía")</f>
        <v>Gastronomía</v>
      </c>
      <c r="J964" s="16" t="s">
        <v>27</v>
      </c>
      <c r="K964" s="17">
        <v>0.0</v>
      </c>
      <c r="L964" s="45"/>
      <c r="M964" s="18"/>
      <c r="N964" s="65"/>
      <c r="O964" s="65"/>
      <c r="P964" s="20">
        <v>0.0</v>
      </c>
      <c r="Q964" s="18"/>
      <c r="R964" s="18"/>
      <c r="S964" s="52"/>
      <c r="T964" s="22"/>
    </row>
    <row r="965">
      <c r="A965" s="23" t="s">
        <v>7197</v>
      </c>
      <c r="B965" s="58" t="s">
        <v>85</v>
      </c>
      <c r="C965" s="41">
        <v>45356.0</v>
      </c>
      <c r="D965" s="40" t="s">
        <v>7198</v>
      </c>
      <c r="E965" s="41" t="s">
        <v>7199</v>
      </c>
      <c r="F965" s="43" t="s">
        <v>7200</v>
      </c>
      <c r="G965" s="43" t="s">
        <v>7201</v>
      </c>
      <c r="H965" s="51" t="s">
        <v>148</v>
      </c>
      <c r="I965" s="25" t="str">
        <f>IFERROR(__xludf.DUMMYFUNCTION("GOOGLETRANSLATE(H965,""EN"",""ES"")"),"Gastronomía")</f>
        <v>Gastronomía</v>
      </c>
      <c r="J965" s="26" t="s">
        <v>27</v>
      </c>
      <c r="K965" s="17">
        <v>0.0</v>
      </c>
      <c r="L965" s="54"/>
      <c r="M965" s="31"/>
      <c r="N965" s="66"/>
      <c r="O965" s="66"/>
      <c r="P965" s="20">
        <v>0.0</v>
      </c>
      <c r="Q965" s="31"/>
      <c r="R965" s="31"/>
      <c r="S965" s="53"/>
      <c r="T965" s="32"/>
    </row>
    <row r="966">
      <c r="A966" s="33" t="s">
        <v>7202</v>
      </c>
      <c r="B966" s="67" t="s">
        <v>1768</v>
      </c>
      <c r="C966" s="41">
        <v>45356.0</v>
      </c>
      <c r="D966" s="40" t="s">
        <v>7203</v>
      </c>
      <c r="E966" s="41" t="s">
        <v>7204</v>
      </c>
      <c r="F966" s="43" t="s">
        <v>7205</v>
      </c>
      <c r="G966" s="43" t="s">
        <v>7206</v>
      </c>
      <c r="H966" s="51" t="s">
        <v>148</v>
      </c>
      <c r="I966" s="15" t="str">
        <f>IFERROR(__xludf.DUMMYFUNCTION("GOOGLETRANSLATE(H966,""EN"",""ES"")"),"Gastronomía")</f>
        <v>Gastronomía</v>
      </c>
      <c r="J966" s="16" t="s">
        <v>27</v>
      </c>
      <c r="K966" s="17">
        <v>0.0</v>
      </c>
      <c r="L966" s="45"/>
      <c r="M966" s="18"/>
      <c r="N966" s="65"/>
      <c r="O966" s="65"/>
      <c r="P966" s="20">
        <v>0.0</v>
      </c>
      <c r="Q966" s="18"/>
      <c r="R966" s="18"/>
      <c r="S966" s="52"/>
      <c r="T966" s="22"/>
    </row>
    <row r="967">
      <c r="A967" s="23" t="s">
        <v>7207</v>
      </c>
      <c r="B967" s="58" t="s">
        <v>7208</v>
      </c>
      <c r="C967" s="41">
        <v>45356.0</v>
      </c>
      <c r="D967" s="40" t="s">
        <v>7209</v>
      </c>
      <c r="E967" s="41" t="s">
        <v>7210</v>
      </c>
      <c r="F967" s="43" t="s">
        <v>7211</v>
      </c>
      <c r="G967" s="43" t="s">
        <v>7212</v>
      </c>
      <c r="H967" s="51" t="s">
        <v>148</v>
      </c>
      <c r="I967" s="25" t="str">
        <f>IFERROR(__xludf.DUMMYFUNCTION("GOOGLETRANSLATE(H967,""EN"",""ES"")"),"Gastronomía")</f>
        <v>Gastronomía</v>
      </c>
      <c r="J967" s="26" t="s">
        <v>27</v>
      </c>
      <c r="K967" s="17">
        <v>0.0</v>
      </c>
      <c r="L967" s="54"/>
      <c r="M967" s="31"/>
      <c r="N967" s="66"/>
      <c r="O967" s="66"/>
      <c r="P967" s="20">
        <v>0.0</v>
      </c>
      <c r="Q967" s="31"/>
      <c r="R967" s="31"/>
      <c r="S967" s="53"/>
      <c r="T967" s="32"/>
    </row>
    <row r="968">
      <c r="A968" s="33" t="s">
        <v>7213</v>
      </c>
      <c r="B968" s="60" t="s">
        <v>7214</v>
      </c>
      <c r="C968" s="41">
        <v>45356.0</v>
      </c>
      <c r="D968" s="40" t="s">
        <v>7215</v>
      </c>
      <c r="E968" s="41" t="s">
        <v>7216</v>
      </c>
      <c r="F968" s="43" t="s">
        <v>7217</v>
      </c>
      <c r="G968" s="43" t="s">
        <v>7218</v>
      </c>
      <c r="H968" s="51" t="s">
        <v>148</v>
      </c>
      <c r="I968" s="15" t="str">
        <f>IFERROR(__xludf.DUMMYFUNCTION("GOOGLETRANSLATE(H968,""EN"",""ES"")"),"Gastronomía")</f>
        <v>Gastronomía</v>
      </c>
      <c r="J968" s="16" t="s">
        <v>27</v>
      </c>
      <c r="K968" s="17">
        <v>0.0</v>
      </c>
      <c r="L968" s="45"/>
      <c r="M968" s="18"/>
      <c r="N968" s="65"/>
      <c r="O968" s="65"/>
      <c r="P968" s="20">
        <v>0.0</v>
      </c>
      <c r="Q968" s="18"/>
      <c r="R968" s="18"/>
      <c r="S968" s="52"/>
      <c r="T968" s="22"/>
    </row>
    <row r="969">
      <c r="A969" s="23" t="s">
        <v>7219</v>
      </c>
      <c r="B969" s="58" t="s">
        <v>368</v>
      </c>
      <c r="C969" s="41">
        <v>45356.0</v>
      </c>
      <c r="D969" s="40" t="s">
        <v>7220</v>
      </c>
      <c r="E969" s="41" t="s">
        <v>7221</v>
      </c>
      <c r="F969" s="43" t="s">
        <v>7222</v>
      </c>
      <c r="G969" s="43" t="s">
        <v>7223</v>
      </c>
      <c r="H969" s="51" t="s">
        <v>148</v>
      </c>
      <c r="I969" s="25" t="str">
        <f>IFERROR(__xludf.DUMMYFUNCTION("GOOGLETRANSLATE(H969,""EN"",""ES"")"),"Gastronomía")</f>
        <v>Gastronomía</v>
      </c>
      <c r="J969" s="26" t="s">
        <v>27</v>
      </c>
      <c r="K969" s="17">
        <v>0.0</v>
      </c>
      <c r="L969" s="54"/>
      <c r="M969" s="31"/>
      <c r="N969" s="66"/>
      <c r="O969" s="66"/>
      <c r="P969" s="20">
        <v>0.0</v>
      </c>
      <c r="Q969" s="31"/>
      <c r="R969" s="31"/>
      <c r="S969" s="53"/>
      <c r="T969" s="32"/>
    </row>
    <row r="970">
      <c r="A970" s="33" t="s">
        <v>7224</v>
      </c>
      <c r="B970" s="60" t="s">
        <v>2072</v>
      </c>
      <c r="C970" s="41">
        <v>45356.0</v>
      </c>
      <c r="D970" s="40" t="s">
        <v>7225</v>
      </c>
      <c r="E970" s="41" t="s">
        <v>7226</v>
      </c>
      <c r="F970" s="43" t="s">
        <v>7227</v>
      </c>
      <c r="G970" s="43" t="s">
        <v>7228</v>
      </c>
      <c r="H970" s="51" t="s">
        <v>148</v>
      </c>
      <c r="I970" s="15" t="str">
        <f>IFERROR(__xludf.DUMMYFUNCTION("GOOGLETRANSLATE(H970,""EN"",""ES"")"),"Gastronomía")</f>
        <v>Gastronomía</v>
      </c>
      <c r="J970" s="16" t="s">
        <v>27</v>
      </c>
      <c r="K970" s="17">
        <v>0.0</v>
      </c>
      <c r="L970" s="45"/>
      <c r="M970" s="18"/>
      <c r="N970" s="65"/>
      <c r="O970" s="65"/>
      <c r="P970" s="20">
        <v>0.0</v>
      </c>
      <c r="Q970" s="18"/>
      <c r="R970" s="18"/>
      <c r="S970" s="52"/>
      <c r="T970" s="22"/>
    </row>
    <row r="971">
      <c r="A971" s="23" t="s">
        <v>7229</v>
      </c>
      <c r="B971" s="58" t="s">
        <v>4559</v>
      </c>
      <c r="C971" s="41">
        <v>45356.0</v>
      </c>
      <c r="D971" s="40" t="s">
        <v>7230</v>
      </c>
      <c r="E971" s="41" t="s">
        <v>7231</v>
      </c>
      <c r="F971" s="43" t="s">
        <v>7232</v>
      </c>
      <c r="G971" s="43" t="s">
        <v>7233</v>
      </c>
      <c r="H971" s="51" t="s">
        <v>2677</v>
      </c>
      <c r="I971" s="25" t="str">
        <f>IFERROR(__xludf.DUMMYFUNCTION("GOOGLETRANSLATE(H971,""EN"",""ES"")"),"Responsabilidad Social")</f>
        <v>Responsabilidad Social</v>
      </c>
      <c r="J971" s="26" t="s">
        <v>27</v>
      </c>
      <c r="K971" s="17">
        <v>0.0</v>
      </c>
      <c r="L971" s="54"/>
      <c r="M971" s="31"/>
      <c r="N971" s="66"/>
      <c r="O971" s="66"/>
      <c r="P971" s="20">
        <v>0.0</v>
      </c>
      <c r="Q971" s="31"/>
      <c r="R971" s="31"/>
      <c r="S971" s="53"/>
      <c r="T971" s="32"/>
    </row>
    <row r="972">
      <c r="A972" s="33" t="s">
        <v>7234</v>
      </c>
      <c r="B972" s="60" t="s">
        <v>217</v>
      </c>
      <c r="C972" s="41">
        <v>45356.0</v>
      </c>
      <c r="D972" s="40" t="s">
        <v>7235</v>
      </c>
      <c r="E972" s="41" t="s">
        <v>7236</v>
      </c>
      <c r="F972" s="43" t="s">
        <v>7237</v>
      </c>
      <c r="G972" s="43" t="s">
        <v>7238</v>
      </c>
      <c r="H972" s="51" t="s">
        <v>148</v>
      </c>
      <c r="I972" s="15" t="str">
        <f>IFERROR(__xludf.DUMMYFUNCTION("GOOGLETRANSLATE(H972,""EN"",""ES"")"),"Gastronomía")</f>
        <v>Gastronomía</v>
      </c>
      <c r="J972" s="16" t="s">
        <v>27</v>
      </c>
      <c r="K972" s="17">
        <v>0.0</v>
      </c>
      <c r="L972" s="45"/>
      <c r="M972" s="18"/>
      <c r="N972" s="65"/>
      <c r="O972" s="65"/>
      <c r="P972" s="20">
        <v>0.0</v>
      </c>
      <c r="Q972" s="18"/>
      <c r="R972" s="18"/>
      <c r="S972" s="52"/>
      <c r="T972" s="22"/>
    </row>
    <row r="973">
      <c r="A973" s="23" t="s">
        <v>7239</v>
      </c>
      <c r="B973" s="58" t="s">
        <v>7240</v>
      </c>
      <c r="C973" s="41">
        <v>45356.0</v>
      </c>
      <c r="D973" s="40" t="s">
        <v>7241</v>
      </c>
      <c r="E973" s="41" t="s">
        <v>7242</v>
      </c>
      <c r="F973" s="43" t="s">
        <v>7243</v>
      </c>
      <c r="G973" s="43" t="s">
        <v>7244</v>
      </c>
      <c r="H973" s="51" t="s">
        <v>148</v>
      </c>
      <c r="I973" s="25" t="str">
        <f>IFERROR(__xludf.DUMMYFUNCTION("GOOGLETRANSLATE(H973,""EN"",""ES"")"),"Gastronomía")</f>
        <v>Gastronomía</v>
      </c>
      <c r="J973" s="26" t="s">
        <v>27</v>
      </c>
      <c r="K973" s="17">
        <v>0.0</v>
      </c>
      <c r="L973" s="54"/>
      <c r="M973" s="31"/>
      <c r="N973" s="66"/>
      <c r="O973" s="66"/>
      <c r="P973" s="20">
        <v>0.0</v>
      </c>
      <c r="Q973" s="31"/>
      <c r="R973" s="31"/>
      <c r="S973" s="53"/>
      <c r="T973" s="32"/>
    </row>
    <row r="974">
      <c r="A974" s="33" t="s">
        <v>7245</v>
      </c>
      <c r="B974" s="60" t="s">
        <v>7246</v>
      </c>
      <c r="C974" s="41">
        <v>45356.0</v>
      </c>
      <c r="D974" s="40" t="s">
        <v>7247</v>
      </c>
      <c r="E974" s="41" t="s">
        <v>7248</v>
      </c>
      <c r="F974" s="43" t="s">
        <v>7249</v>
      </c>
      <c r="G974" s="43" t="s">
        <v>7250</v>
      </c>
      <c r="H974" s="51" t="s">
        <v>148</v>
      </c>
      <c r="I974" s="15" t="str">
        <f>IFERROR(__xludf.DUMMYFUNCTION("GOOGLETRANSLATE(H974,""EN"",""ES"")"),"Gastronomía")</f>
        <v>Gastronomía</v>
      </c>
      <c r="J974" s="16" t="s">
        <v>27</v>
      </c>
      <c r="K974" s="17">
        <v>0.0</v>
      </c>
      <c r="L974" s="45"/>
      <c r="M974" s="18"/>
      <c r="N974" s="65"/>
      <c r="O974" s="65"/>
      <c r="P974" s="20">
        <v>0.0</v>
      </c>
      <c r="Q974" s="18"/>
      <c r="R974" s="18"/>
      <c r="S974" s="52"/>
      <c r="T974" s="22"/>
    </row>
    <row r="975">
      <c r="A975" s="23" t="s">
        <v>7251</v>
      </c>
      <c r="B975" s="58" t="s">
        <v>7252</v>
      </c>
      <c r="C975" s="41">
        <v>45356.0</v>
      </c>
      <c r="D975" s="40" t="s">
        <v>7253</v>
      </c>
      <c r="E975" s="41" t="s">
        <v>7254</v>
      </c>
      <c r="F975" s="43" t="s">
        <v>7255</v>
      </c>
      <c r="G975" s="43" t="s">
        <v>7256</v>
      </c>
      <c r="H975" s="51" t="s">
        <v>148</v>
      </c>
      <c r="I975" s="25" t="str">
        <f>IFERROR(__xludf.DUMMYFUNCTION("GOOGLETRANSLATE(H975,""EN"",""ES"")"),"Gastronomía")</f>
        <v>Gastronomía</v>
      </c>
      <c r="J975" s="26" t="s">
        <v>27</v>
      </c>
      <c r="K975" s="17">
        <v>0.0</v>
      </c>
      <c r="L975" s="54"/>
      <c r="M975" s="31"/>
      <c r="N975" s="66"/>
      <c r="O975" s="66"/>
      <c r="P975" s="20">
        <v>0.0</v>
      </c>
      <c r="Q975" s="31"/>
      <c r="R975" s="31"/>
      <c r="S975" s="53"/>
      <c r="T975" s="32"/>
    </row>
    <row r="976">
      <c r="A976" s="33" t="s">
        <v>7257</v>
      </c>
      <c r="B976" s="60" t="s">
        <v>91</v>
      </c>
      <c r="C976" s="41">
        <v>45356.0</v>
      </c>
      <c r="D976" s="40" t="s">
        <v>7258</v>
      </c>
      <c r="E976" s="41" t="s">
        <v>7259</v>
      </c>
      <c r="F976" s="43" t="s">
        <v>7260</v>
      </c>
      <c r="G976" s="43" t="s">
        <v>7261</v>
      </c>
      <c r="H976" s="51" t="s">
        <v>148</v>
      </c>
      <c r="I976" s="15" t="str">
        <f>IFERROR(__xludf.DUMMYFUNCTION("GOOGLETRANSLATE(H976,""EN"",""ES"")"),"Gastronomía")</f>
        <v>Gastronomía</v>
      </c>
      <c r="J976" s="16" t="s">
        <v>27</v>
      </c>
      <c r="K976" s="17">
        <v>0.0</v>
      </c>
      <c r="L976" s="45"/>
      <c r="M976" s="18"/>
      <c r="N976" s="65"/>
      <c r="O976" s="65"/>
      <c r="P976" s="20">
        <v>0.0</v>
      </c>
      <c r="Q976" s="18"/>
      <c r="R976" s="18"/>
      <c r="S976" s="52"/>
      <c r="T976" s="22"/>
    </row>
    <row r="977">
      <c r="A977" s="23" t="s">
        <v>7262</v>
      </c>
      <c r="B977" s="58" t="s">
        <v>713</v>
      </c>
      <c r="C977" s="41">
        <v>45356.0</v>
      </c>
      <c r="D977" s="40" t="s">
        <v>7263</v>
      </c>
      <c r="E977" s="41" t="s">
        <v>7264</v>
      </c>
      <c r="F977" s="43" t="s">
        <v>7265</v>
      </c>
      <c r="G977" s="43" t="s">
        <v>7266</v>
      </c>
      <c r="H977" s="51" t="s">
        <v>148</v>
      </c>
      <c r="I977" s="25" t="str">
        <f>IFERROR(__xludf.DUMMYFUNCTION("GOOGLETRANSLATE(H977,""EN"",""ES"")"),"Gastronomía")</f>
        <v>Gastronomía</v>
      </c>
      <c r="J977" s="26" t="s">
        <v>27</v>
      </c>
      <c r="K977" s="17">
        <v>0.0</v>
      </c>
      <c r="L977" s="54"/>
      <c r="M977" s="31"/>
      <c r="N977" s="66"/>
      <c r="O977" s="66"/>
      <c r="P977" s="20">
        <v>0.0</v>
      </c>
      <c r="Q977" s="31"/>
      <c r="R977" s="31"/>
      <c r="S977" s="53"/>
      <c r="T977" s="32"/>
    </row>
    <row r="978">
      <c r="A978" s="33" t="s">
        <v>7267</v>
      </c>
      <c r="B978" s="60" t="s">
        <v>2008</v>
      </c>
      <c r="C978" s="41">
        <v>45356.0</v>
      </c>
      <c r="D978" s="40" t="s">
        <v>7268</v>
      </c>
      <c r="E978" s="41" t="s">
        <v>7269</v>
      </c>
      <c r="F978" s="43" t="s">
        <v>7270</v>
      </c>
      <c r="G978" s="43" t="s">
        <v>7271</v>
      </c>
      <c r="H978" s="51" t="s">
        <v>148</v>
      </c>
      <c r="I978" s="15" t="str">
        <f>IFERROR(__xludf.DUMMYFUNCTION("GOOGLETRANSLATE(H978,""EN"",""ES"")"),"Gastronomía")</f>
        <v>Gastronomía</v>
      </c>
      <c r="J978" s="16" t="s">
        <v>27</v>
      </c>
      <c r="K978" s="17">
        <v>0.0</v>
      </c>
      <c r="L978" s="45"/>
      <c r="M978" s="18"/>
      <c r="N978" s="65"/>
      <c r="O978" s="65"/>
      <c r="P978" s="20">
        <v>0.0</v>
      </c>
      <c r="Q978" s="18"/>
      <c r="R978" s="18"/>
      <c r="S978" s="52"/>
      <c r="T978" s="22"/>
    </row>
    <row r="979">
      <c r="A979" s="23" t="s">
        <v>7272</v>
      </c>
      <c r="B979" s="58" t="s">
        <v>431</v>
      </c>
      <c r="C979" s="41">
        <v>45356.0</v>
      </c>
      <c r="D979" s="40" t="s">
        <v>7273</v>
      </c>
      <c r="E979" s="41" t="s">
        <v>7274</v>
      </c>
      <c r="F979" s="43" t="s">
        <v>7275</v>
      </c>
      <c r="G979" s="43" t="s">
        <v>7276</v>
      </c>
      <c r="H979" s="51" t="s">
        <v>148</v>
      </c>
      <c r="I979" s="25" t="str">
        <f>IFERROR(__xludf.DUMMYFUNCTION("GOOGLETRANSLATE(H979,""EN"",""ES"")"),"Gastronomía")</f>
        <v>Gastronomía</v>
      </c>
      <c r="J979" s="26" t="s">
        <v>27</v>
      </c>
      <c r="K979" s="17">
        <v>0.0</v>
      </c>
      <c r="L979" s="54"/>
      <c r="M979" s="31"/>
      <c r="N979" s="66"/>
      <c r="O979" s="66"/>
      <c r="P979" s="20">
        <v>0.0</v>
      </c>
      <c r="Q979" s="31"/>
      <c r="R979" s="31"/>
      <c r="S979" s="53"/>
      <c r="T979" s="32"/>
    </row>
    <row r="980">
      <c r="A980" s="33" t="s">
        <v>7277</v>
      </c>
      <c r="B980" s="60" t="s">
        <v>7278</v>
      </c>
      <c r="C980" s="41">
        <v>45356.0</v>
      </c>
      <c r="D980" s="40" t="s">
        <v>7279</v>
      </c>
      <c r="E980" s="41" t="s">
        <v>7280</v>
      </c>
      <c r="F980" s="43" t="s">
        <v>7281</v>
      </c>
      <c r="G980" s="43" t="s">
        <v>7282</v>
      </c>
      <c r="H980" s="51" t="s">
        <v>148</v>
      </c>
      <c r="I980" s="15" t="str">
        <f>IFERROR(__xludf.DUMMYFUNCTION("GOOGLETRANSLATE(H980,""EN"",""ES"")"),"Gastronomía")</f>
        <v>Gastronomía</v>
      </c>
      <c r="J980" s="16" t="s">
        <v>27</v>
      </c>
      <c r="K980" s="17">
        <v>0.0</v>
      </c>
      <c r="L980" s="45"/>
      <c r="M980" s="18"/>
      <c r="N980" s="65"/>
      <c r="O980" s="65"/>
      <c r="P980" s="20">
        <v>0.0</v>
      </c>
      <c r="Q980" s="18"/>
      <c r="R980" s="18"/>
      <c r="S980" s="52"/>
      <c r="T980" s="22"/>
    </row>
    <row r="981">
      <c r="A981" s="23" t="s">
        <v>7283</v>
      </c>
      <c r="B981" s="58" t="s">
        <v>85</v>
      </c>
      <c r="C981" s="41">
        <v>45356.0</v>
      </c>
      <c r="D981" s="40" t="s">
        <v>7284</v>
      </c>
      <c r="E981" s="41" t="s">
        <v>7285</v>
      </c>
      <c r="F981" s="43" t="s">
        <v>7286</v>
      </c>
      <c r="G981" s="43" t="s">
        <v>7287</v>
      </c>
      <c r="H981" s="51" t="s">
        <v>148</v>
      </c>
      <c r="I981" s="25" t="str">
        <f>IFERROR(__xludf.DUMMYFUNCTION("GOOGLETRANSLATE(H981,""EN"",""ES"")"),"Gastronomía")</f>
        <v>Gastronomía</v>
      </c>
      <c r="J981" s="26" t="s">
        <v>27</v>
      </c>
      <c r="K981" s="17">
        <v>0.0</v>
      </c>
      <c r="L981" s="54"/>
      <c r="M981" s="31"/>
      <c r="N981" s="66"/>
      <c r="O981" s="66"/>
      <c r="P981" s="20">
        <v>0.0</v>
      </c>
      <c r="Q981" s="31"/>
      <c r="R981" s="31"/>
      <c r="S981" s="53"/>
      <c r="T981" s="32"/>
    </row>
    <row r="982">
      <c r="A982" s="33" t="s">
        <v>7288</v>
      </c>
      <c r="B982" s="60" t="s">
        <v>7289</v>
      </c>
      <c r="C982" s="41">
        <v>45356.0</v>
      </c>
      <c r="D982" s="40" t="s">
        <v>7290</v>
      </c>
      <c r="E982" s="41" t="s">
        <v>7291</v>
      </c>
      <c r="F982" s="43" t="s">
        <v>7292</v>
      </c>
      <c r="G982" s="43" t="s">
        <v>7293</v>
      </c>
      <c r="H982" s="51" t="s">
        <v>148</v>
      </c>
      <c r="I982" s="15" t="str">
        <f>IFERROR(__xludf.DUMMYFUNCTION("GOOGLETRANSLATE(H982,""EN"",""ES"")"),"Gastronomía")</f>
        <v>Gastronomía</v>
      </c>
      <c r="J982" s="16" t="s">
        <v>27</v>
      </c>
      <c r="K982" s="17">
        <v>0.0</v>
      </c>
      <c r="L982" s="45"/>
      <c r="M982" s="18"/>
      <c r="N982" s="65"/>
      <c r="O982" s="65"/>
      <c r="P982" s="20">
        <v>0.0</v>
      </c>
      <c r="Q982" s="18"/>
      <c r="R982" s="18"/>
      <c r="S982" s="52"/>
      <c r="T982" s="22"/>
    </row>
    <row r="983">
      <c r="A983" s="23" t="s">
        <v>7294</v>
      </c>
      <c r="B983" s="58" t="s">
        <v>7295</v>
      </c>
      <c r="C983" s="41">
        <v>45356.0</v>
      </c>
      <c r="D983" s="40" t="s">
        <v>7296</v>
      </c>
      <c r="E983" s="41" t="s">
        <v>7297</v>
      </c>
      <c r="F983" s="43" t="s">
        <v>7298</v>
      </c>
      <c r="G983" s="43" t="s">
        <v>7299</v>
      </c>
      <c r="H983" s="51" t="s">
        <v>148</v>
      </c>
      <c r="I983" s="25" t="str">
        <f>IFERROR(__xludf.DUMMYFUNCTION("GOOGLETRANSLATE(H983,""EN"",""ES"")"),"Gastronomía")</f>
        <v>Gastronomía</v>
      </c>
      <c r="J983" s="26" t="s">
        <v>27</v>
      </c>
      <c r="K983" s="17">
        <v>0.0</v>
      </c>
      <c r="L983" s="54"/>
      <c r="M983" s="31"/>
      <c r="N983" s="66"/>
      <c r="O983" s="66"/>
      <c r="P983" s="20">
        <v>0.0</v>
      </c>
      <c r="Q983" s="31"/>
      <c r="R983" s="31"/>
      <c r="S983" s="53"/>
      <c r="T983" s="32"/>
    </row>
    <row r="984">
      <c r="A984" s="33" t="s">
        <v>7300</v>
      </c>
      <c r="B984" s="60" t="s">
        <v>6642</v>
      </c>
      <c r="C984" s="41">
        <v>45356.0</v>
      </c>
      <c r="D984" s="40" t="s">
        <v>7301</v>
      </c>
      <c r="E984" s="41" t="s">
        <v>7302</v>
      </c>
      <c r="F984" s="43" t="s">
        <v>7303</v>
      </c>
      <c r="G984" s="43" t="s">
        <v>7304</v>
      </c>
      <c r="H984" s="51" t="s">
        <v>148</v>
      </c>
      <c r="I984" s="15" t="str">
        <f>IFERROR(__xludf.DUMMYFUNCTION("GOOGLETRANSLATE(H984,""EN"",""ES"")"),"Gastronomía")</f>
        <v>Gastronomía</v>
      </c>
      <c r="J984" s="16" t="s">
        <v>27</v>
      </c>
      <c r="K984" s="17">
        <v>0.0</v>
      </c>
      <c r="L984" s="45"/>
      <c r="M984" s="18"/>
      <c r="N984" s="65"/>
      <c r="O984" s="65"/>
      <c r="P984" s="20">
        <v>0.0</v>
      </c>
      <c r="Q984" s="18"/>
      <c r="R984" s="18"/>
      <c r="S984" s="52"/>
      <c r="T984" s="22"/>
    </row>
    <row r="985">
      <c r="A985" s="23" t="s">
        <v>7305</v>
      </c>
      <c r="B985" s="58" t="s">
        <v>85</v>
      </c>
      <c r="C985" s="41">
        <v>45356.0</v>
      </c>
      <c r="D985" s="40" t="s">
        <v>7306</v>
      </c>
      <c r="E985" s="41" t="s">
        <v>7307</v>
      </c>
      <c r="F985" s="43" t="s">
        <v>7308</v>
      </c>
      <c r="G985" s="43" t="s">
        <v>7309</v>
      </c>
      <c r="H985" s="51" t="s">
        <v>148</v>
      </c>
      <c r="I985" s="25" t="str">
        <f>IFERROR(__xludf.DUMMYFUNCTION("GOOGLETRANSLATE(H985,""EN"",""ES"")"),"Gastronomía")</f>
        <v>Gastronomía</v>
      </c>
      <c r="J985" s="26" t="s">
        <v>27</v>
      </c>
      <c r="K985" s="17">
        <v>0.0</v>
      </c>
      <c r="L985" s="54"/>
      <c r="M985" s="31"/>
      <c r="N985" s="66"/>
      <c r="O985" s="66"/>
      <c r="P985" s="20">
        <v>0.0</v>
      </c>
      <c r="Q985" s="31"/>
      <c r="R985" s="31"/>
      <c r="S985" s="53"/>
      <c r="T985" s="32"/>
    </row>
    <row r="986">
      <c r="A986" s="33" t="s">
        <v>7310</v>
      </c>
      <c r="B986" s="60" t="s">
        <v>7311</v>
      </c>
      <c r="C986" s="41">
        <v>45356.0</v>
      </c>
      <c r="D986" s="40" t="s">
        <v>7312</v>
      </c>
      <c r="E986" s="41" t="s">
        <v>7313</v>
      </c>
      <c r="F986" s="43" t="s">
        <v>7314</v>
      </c>
      <c r="G986" s="43" t="s">
        <v>7315</v>
      </c>
      <c r="H986" s="51" t="s">
        <v>148</v>
      </c>
      <c r="I986" s="15" t="str">
        <f>IFERROR(__xludf.DUMMYFUNCTION("GOOGLETRANSLATE(H986,""EN"",""ES"")"),"Gastronomía")</f>
        <v>Gastronomía</v>
      </c>
      <c r="J986" s="16" t="s">
        <v>27</v>
      </c>
      <c r="K986" s="17">
        <v>0.0</v>
      </c>
      <c r="L986" s="45"/>
      <c r="M986" s="18"/>
      <c r="N986" s="65"/>
      <c r="O986" s="65"/>
      <c r="P986" s="20">
        <v>0.0</v>
      </c>
      <c r="Q986" s="18"/>
      <c r="R986" s="18"/>
      <c r="S986" s="52"/>
      <c r="T986" s="22"/>
    </row>
    <row r="987">
      <c r="A987" s="23" t="s">
        <v>7316</v>
      </c>
      <c r="B987" s="58" t="s">
        <v>85</v>
      </c>
      <c r="C987" s="41">
        <v>45356.0</v>
      </c>
      <c r="D987" s="40" t="s">
        <v>7317</v>
      </c>
      <c r="E987" s="41" t="s">
        <v>7318</v>
      </c>
      <c r="F987" s="43" t="s">
        <v>7319</v>
      </c>
      <c r="G987" s="43" t="s">
        <v>7320</v>
      </c>
      <c r="H987" s="51" t="s">
        <v>148</v>
      </c>
      <c r="I987" s="25" t="str">
        <f>IFERROR(__xludf.DUMMYFUNCTION("GOOGLETRANSLATE(H987,""EN"",""ES"")"),"Gastronomía")</f>
        <v>Gastronomía</v>
      </c>
      <c r="J987" s="26" t="s">
        <v>27</v>
      </c>
      <c r="K987" s="17">
        <v>0.0</v>
      </c>
      <c r="L987" s="54"/>
      <c r="M987" s="31"/>
      <c r="N987" s="66"/>
      <c r="O987" s="66"/>
      <c r="P987" s="20">
        <v>0.0</v>
      </c>
      <c r="Q987" s="31"/>
      <c r="R987" s="31"/>
      <c r="S987" s="53"/>
      <c r="T987" s="32"/>
    </row>
    <row r="988">
      <c r="A988" s="33" t="s">
        <v>7321</v>
      </c>
      <c r="B988" s="60" t="s">
        <v>7322</v>
      </c>
      <c r="C988" s="41">
        <v>45356.0</v>
      </c>
      <c r="D988" s="40" t="s">
        <v>7323</v>
      </c>
      <c r="E988" s="41" t="s">
        <v>7324</v>
      </c>
      <c r="F988" s="43" t="s">
        <v>7325</v>
      </c>
      <c r="G988" s="43" t="s">
        <v>7326</v>
      </c>
      <c r="H988" s="51" t="s">
        <v>148</v>
      </c>
      <c r="I988" s="15" t="str">
        <f>IFERROR(__xludf.DUMMYFUNCTION("GOOGLETRANSLATE(H988,""EN"",""ES"")"),"Gastronomía")</f>
        <v>Gastronomía</v>
      </c>
      <c r="J988" s="16" t="s">
        <v>27</v>
      </c>
      <c r="K988" s="17">
        <v>0.0</v>
      </c>
      <c r="L988" s="45"/>
      <c r="M988" s="18"/>
      <c r="N988" s="65"/>
      <c r="O988" s="65"/>
      <c r="P988" s="20">
        <v>0.0</v>
      </c>
      <c r="Q988" s="18"/>
      <c r="R988" s="18"/>
      <c r="S988" s="52"/>
      <c r="T988" s="22"/>
    </row>
    <row r="989">
      <c r="A989" s="23" t="s">
        <v>7327</v>
      </c>
      <c r="B989" s="58" t="s">
        <v>7328</v>
      </c>
      <c r="C989" s="41">
        <v>45356.0</v>
      </c>
      <c r="D989" s="40" t="s">
        <v>7329</v>
      </c>
      <c r="E989" s="41" t="s">
        <v>7330</v>
      </c>
      <c r="F989" s="43" t="s">
        <v>7331</v>
      </c>
      <c r="G989" s="43" t="s">
        <v>7332</v>
      </c>
      <c r="H989" s="51" t="s">
        <v>148</v>
      </c>
      <c r="I989" s="25" t="str">
        <f>IFERROR(__xludf.DUMMYFUNCTION("GOOGLETRANSLATE(H989,""EN"",""ES"")"),"Gastronomía")</f>
        <v>Gastronomía</v>
      </c>
      <c r="J989" s="26" t="s">
        <v>27</v>
      </c>
      <c r="K989" s="17">
        <v>0.0</v>
      </c>
      <c r="L989" s="54"/>
      <c r="M989" s="31"/>
      <c r="N989" s="66"/>
      <c r="O989" s="66"/>
      <c r="P989" s="20">
        <v>0.0</v>
      </c>
      <c r="Q989" s="31"/>
      <c r="R989" s="31"/>
      <c r="S989" s="53"/>
      <c r="T989" s="32"/>
    </row>
    <row r="990">
      <c r="A990" s="33" t="s">
        <v>7333</v>
      </c>
      <c r="B990" s="60" t="s">
        <v>7334</v>
      </c>
      <c r="C990" s="41">
        <v>45356.0</v>
      </c>
      <c r="D990" s="40" t="s">
        <v>7335</v>
      </c>
      <c r="E990" s="41" t="s">
        <v>7336</v>
      </c>
      <c r="F990" s="43" t="s">
        <v>7337</v>
      </c>
      <c r="G990" s="43" t="s">
        <v>7338</v>
      </c>
      <c r="H990" s="51" t="s">
        <v>148</v>
      </c>
      <c r="I990" s="15" t="str">
        <f>IFERROR(__xludf.DUMMYFUNCTION("GOOGLETRANSLATE(H990,""EN"",""ES"")"),"Gastronomía")</f>
        <v>Gastronomía</v>
      </c>
      <c r="J990" s="16" t="s">
        <v>27</v>
      </c>
      <c r="K990" s="17">
        <v>0.0</v>
      </c>
      <c r="L990" s="45"/>
      <c r="M990" s="18"/>
      <c r="N990" s="65"/>
      <c r="O990" s="65"/>
      <c r="P990" s="20">
        <v>0.0</v>
      </c>
      <c r="Q990" s="18"/>
      <c r="R990" s="18"/>
      <c r="S990" s="52"/>
      <c r="T990" s="22"/>
    </row>
    <row r="991">
      <c r="A991" s="23" t="s">
        <v>7339</v>
      </c>
      <c r="B991" s="58" t="s">
        <v>7340</v>
      </c>
      <c r="C991" s="41">
        <v>45356.0</v>
      </c>
      <c r="D991" s="40" t="s">
        <v>7341</v>
      </c>
      <c r="E991" s="41" t="s">
        <v>7342</v>
      </c>
      <c r="F991" s="43" t="s">
        <v>7343</v>
      </c>
      <c r="G991" s="43" t="s">
        <v>7344</v>
      </c>
      <c r="H991" s="51" t="s">
        <v>148</v>
      </c>
      <c r="I991" s="25" t="str">
        <f>IFERROR(__xludf.DUMMYFUNCTION("GOOGLETRANSLATE(H991,""EN"",""ES"")"),"Gastronomía")</f>
        <v>Gastronomía</v>
      </c>
      <c r="J991" s="26" t="s">
        <v>27</v>
      </c>
      <c r="K991" s="17">
        <v>0.0</v>
      </c>
      <c r="L991" s="54"/>
      <c r="M991" s="31"/>
      <c r="N991" s="66"/>
      <c r="O991" s="66"/>
      <c r="P991" s="20">
        <v>0.0</v>
      </c>
      <c r="Q991" s="31"/>
      <c r="R991" s="31"/>
      <c r="S991" s="53"/>
      <c r="T991" s="32"/>
    </row>
    <row r="992">
      <c r="A992" s="33" t="s">
        <v>7345</v>
      </c>
      <c r="B992" s="60" t="s">
        <v>6539</v>
      </c>
      <c r="C992" s="41">
        <v>45356.0</v>
      </c>
      <c r="D992" s="40" t="s">
        <v>7346</v>
      </c>
      <c r="E992" s="41" t="s">
        <v>7347</v>
      </c>
      <c r="F992" s="43" t="s">
        <v>7348</v>
      </c>
      <c r="G992" s="43" t="s">
        <v>7349</v>
      </c>
      <c r="H992" s="51" t="s">
        <v>148</v>
      </c>
      <c r="I992" s="15" t="str">
        <f>IFERROR(__xludf.DUMMYFUNCTION("GOOGLETRANSLATE(H992,""EN"",""ES"")"),"Gastronomía")</f>
        <v>Gastronomía</v>
      </c>
      <c r="J992" s="16" t="s">
        <v>27</v>
      </c>
      <c r="K992" s="17">
        <v>0.0</v>
      </c>
      <c r="L992" s="45"/>
      <c r="M992" s="18"/>
      <c r="N992" s="65"/>
      <c r="O992" s="65"/>
      <c r="P992" s="20">
        <v>0.0</v>
      </c>
      <c r="Q992" s="18"/>
      <c r="R992" s="18"/>
      <c r="S992" s="52"/>
      <c r="T992" s="22"/>
    </row>
    <row r="993">
      <c r="A993" s="23" t="s">
        <v>7350</v>
      </c>
      <c r="B993" s="58" t="s">
        <v>7351</v>
      </c>
      <c r="C993" s="41">
        <v>45356.0</v>
      </c>
      <c r="D993" s="40" t="s">
        <v>7352</v>
      </c>
      <c r="E993" s="41" t="s">
        <v>7353</v>
      </c>
      <c r="F993" s="43" t="s">
        <v>7354</v>
      </c>
      <c r="G993" s="43" t="s">
        <v>7355</v>
      </c>
      <c r="H993" s="51" t="s">
        <v>148</v>
      </c>
      <c r="I993" s="25" t="str">
        <f>IFERROR(__xludf.DUMMYFUNCTION("GOOGLETRANSLATE(H993,""EN"",""ES"")"),"Gastronomía")</f>
        <v>Gastronomía</v>
      </c>
      <c r="J993" s="26" t="s">
        <v>27</v>
      </c>
      <c r="K993" s="17">
        <v>0.0</v>
      </c>
      <c r="L993" s="54"/>
      <c r="M993" s="31"/>
      <c r="N993" s="66"/>
      <c r="O993" s="66"/>
      <c r="P993" s="20">
        <v>0.0</v>
      </c>
      <c r="Q993" s="31"/>
      <c r="R993" s="31"/>
      <c r="S993" s="53"/>
      <c r="T993" s="32"/>
    </row>
    <row r="994">
      <c r="A994" s="33" t="s">
        <v>7356</v>
      </c>
      <c r="B994" s="60" t="s">
        <v>85</v>
      </c>
      <c r="C994" s="41">
        <v>45356.0</v>
      </c>
      <c r="D994" s="40" t="s">
        <v>7357</v>
      </c>
      <c r="E994" s="41" t="s">
        <v>7358</v>
      </c>
      <c r="F994" s="43" t="s">
        <v>7359</v>
      </c>
      <c r="G994" s="43" t="s">
        <v>7360</v>
      </c>
      <c r="H994" s="51" t="s">
        <v>148</v>
      </c>
      <c r="I994" s="15" t="str">
        <f>IFERROR(__xludf.DUMMYFUNCTION("GOOGLETRANSLATE(H994,""EN"",""ES"")"),"Gastronomía")</f>
        <v>Gastronomía</v>
      </c>
      <c r="J994" s="16" t="s">
        <v>27</v>
      </c>
      <c r="K994" s="17">
        <v>0.0</v>
      </c>
      <c r="L994" s="45"/>
      <c r="M994" s="18"/>
      <c r="N994" s="65"/>
      <c r="O994" s="65"/>
      <c r="P994" s="20">
        <v>0.0</v>
      </c>
      <c r="Q994" s="18"/>
      <c r="R994" s="18"/>
      <c r="S994" s="52"/>
      <c r="T994" s="22"/>
    </row>
    <row r="995">
      <c r="A995" s="23" t="s">
        <v>7361</v>
      </c>
      <c r="B995" s="58" t="s">
        <v>1128</v>
      </c>
      <c r="C995" s="41">
        <v>45356.0</v>
      </c>
      <c r="D995" s="40" t="s">
        <v>7362</v>
      </c>
      <c r="E995" s="41" t="s">
        <v>7363</v>
      </c>
      <c r="F995" s="43" t="s">
        <v>7364</v>
      </c>
      <c r="G995" s="43" t="s">
        <v>7365</v>
      </c>
      <c r="H995" s="51" t="s">
        <v>148</v>
      </c>
      <c r="I995" s="25" t="str">
        <f>IFERROR(__xludf.DUMMYFUNCTION("GOOGLETRANSLATE(H995,""EN"",""ES"")"),"Gastronomía")</f>
        <v>Gastronomía</v>
      </c>
      <c r="J995" s="26" t="s">
        <v>27</v>
      </c>
      <c r="K995" s="17">
        <v>0.0</v>
      </c>
      <c r="L995" s="54"/>
      <c r="M995" s="31"/>
      <c r="N995" s="66"/>
      <c r="O995" s="66"/>
      <c r="P995" s="20">
        <v>0.0</v>
      </c>
      <c r="Q995" s="31"/>
      <c r="R995" s="31"/>
      <c r="S995" s="53"/>
      <c r="T995" s="32"/>
    </row>
    <row r="996">
      <c r="A996" s="33" t="s">
        <v>7366</v>
      </c>
      <c r="B996" s="60" t="s">
        <v>1005</v>
      </c>
      <c r="C996" s="41">
        <v>45356.0</v>
      </c>
      <c r="D996" s="40" t="s">
        <v>7367</v>
      </c>
      <c r="E996" s="41" t="s">
        <v>7368</v>
      </c>
      <c r="F996" s="43" t="s">
        <v>7369</v>
      </c>
      <c r="G996" s="43" t="s">
        <v>7370</v>
      </c>
      <c r="H996" s="51" t="s">
        <v>148</v>
      </c>
      <c r="I996" s="15" t="str">
        <f>IFERROR(__xludf.DUMMYFUNCTION("GOOGLETRANSLATE(H996,""EN"",""ES"")"),"Gastronomía")</f>
        <v>Gastronomía</v>
      </c>
      <c r="J996" s="16" t="s">
        <v>27</v>
      </c>
      <c r="K996" s="17">
        <v>0.0</v>
      </c>
      <c r="L996" s="45"/>
      <c r="M996" s="18"/>
      <c r="N996" s="65"/>
      <c r="O996" s="65"/>
      <c r="P996" s="20">
        <v>0.0</v>
      </c>
      <c r="Q996" s="18"/>
      <c r="R996" s="18"/>
      <c r="S996" s="52"/>
      <c r="T996" s="22"/>
    </row>
    <row r="997">
      <c r="A997" s="23" t="s">
        <v>7371</v>
      </c>
      <c r="B997" s="58" t="s">
        <v>1005</v>
      </c>
      <c r="C997" s="41">
        <v>45356.0</v>
      </c>
      <c r="D997" s="40" t="s">
        <v>7372</v>
      </c>
      <c r="E997" s="41" t="s">
        <v>7373</v>
      </c>
      <c r="F997" s="43" t="s">
        <v>7374</v>
      </c>
      <c r="G997" s="43" t="s">
        <v>7375</v>
      </c>
      <c r="H997" s="51" t="s">
        <v>148</v>
      </c>
      <c r="I997" s="25" t="str">
        <f>IFERROR(__xludf.DUMMYFUNCTION("GOOGLETRANSLATE(H997,""EN"",""ES"")"),"Gastronomía")</f>
        <v>Gastronomía</v>
      </c>
      <c r="J997" s="26" t="s">
        <v>27</v>
      </c>
      <c r="K997" s="17">
        <v>0.0</v>
      </c>
      <c r="L997" s="54"/>
      <c r="M997" s="31"/>
      <c r="N997" s="66"/>
      <c r="O997" s="66"/>
      <c r="P997" s="20">
        <v>0.0</v>
      </c>
      <c r="Q997" s="31"/>
      <c r="R997" s="31"/>
      <c r="S997" s="53"/>
      <c r="T997" s="32"/>
    </row>
    <row r="998">
      <c r="A998" s="33" t="s">
        <v>7376</v>
      </c>
      <c r="B998" s="60" t="s">
        <v>7377</v>
      </c>
      <c r="C998" s="41">
        <v>45356.0</v>
      </c>
      <c r="D998" s="40" t="s">
        <v>7378</v>
      </c>
      <c r="E998" s="41" t="s">
        <v>7379</v>
      </c>
      <c r="F998" s="43" t="s">
        <v>7380</v>
      </c>
      <c r="G998" s="43" t="s">
        <v>7381</v>
      </c>
      <c r="H998" s="51" t="s">
        <v>148</v>
      </c>
      <c r="I998" s="15" t="str">
        <f>IFERROR(__xludf.DUMMYFUNCTION("GOOGLETRANSLATE(H998,""EN"",""ES"")"),"Gastronomía")</f>
        <v>Gastronomía</v>
      </c>
      <c r="J998" s="16" t="s">
        <v>27</v>
      </c>
      <c r="K998" s="17">
        <v>0.0</v>
      </c>
      <c r="L998" s="45"/>
      <c r="M998" s="18"/>
      <c r="N998" s="65"/>
      <c r="O998" s="65"/>
      <c r="P998" s="20">
        <v>0.0</v>
      </c>
      <c r="Q998" s="18"/>
      <c r="R998" s="18"/>
      <c r="S998" s="52"/>
      <c r="T998" s="22"/>
    </row>
    <row r="999">
      <c r="A999" s="23" t="s">
        <v>7382</v>
      </c>
      <c r="B999" s="58" t="s">
        <v>1005</v>
      </c>
      <c r="C999" s="41">
        <v>45356.0</v>
      </c>
      <c r="D999" s="40" t="s">
        <v>7383</v>
      </c>
      <c r="E999" s="41" t="s">
        <v>7384</v>
      </c>
      <c r="F999" s="43" t="s">
        <v>7385</v>
      </c>
      <c r="G999" s="43" t="s">
        <v>7386</v>
      </c>
      <c r="H999" s="51" t="s">
        <v>148</v>
      </c>
      <c r="I999" s="25" t="str">
        <f>IFERROR(__xludf.DUMMYFUNCTION("GOOGLETRANSLATE(H999,""EN"",""ES"")"),"Gastronomía")</f>
        <v>Gastronomía</v>
      </c>
      <c r="J999" s="26" t="s">
        <v>27</v>
      </c>
      <c r="K999" s="17">
        <v>0.0</v>
      </c>
      <c r="L999" s="54"/>
      <c r="M999" s="31"/>
      <c r="N999" s="66"/>
      <c r="O999" s="66"/>
      <c r="P999" s="20">
        <v>0.0</v>
      </c>
      <c r="Q999" s="31"/>
      <c r="R999" s="31"/>
      <c r="S999" s="53"/>
      <c r="T999" s="32"/>
    </row>
    <row r="1000">
      <c r="A1000" s="33" t="s">
        <v>7387</v>
      </c>
      <c r="B1000" s="60" t="s">
        <v>43</v>
      </c>
      <c r="C1000" s="41">
        <v>45356.0</v>
      </c>
      <c r="D1000" s="40" t="s">
        <v>7388</v>
      </c>
      <c r="E1000" s="41" t="s">
        <v>7389</v>
      </c>
      <c r="F1000" s="43" t="s">
        <v>7390</v>
      </c>
      <c r="G1000" s="43" t="s">
        <v>7391</v>
      </c>
      <c r="H1000" s="51" t="s">
        <v>148</v>
      </c>
      <c r="I1000" s="15" t="str">
        <f>IFERROR(__xludf.DUMMYFUNCTION("GOOGLETRANSLATE(H1000,""EN"",""ES"")"),"Gastronomía")</f>
        <v>Gastronomía</v>
      </c>
      <c r="J1000" s="16" t="s">
        <v>27</v>
      </c>
      <c r="K1000" s="17">
        <v>0.0</v>
      </c>
      <c r="L1000" s="45"/>
      <c r="M1000" s="18"/>
      <c r="N1000" s="65"/>
      <c r="O1000" s="65"/>
      <c r="P1000" s="20">
        <v>0.0</v>
      </c>
      <c r="Q1000" s="18"/>
      <c r="R1000" s="18"/>
      <c r="S1000" s="52"/>
      <c r="T1000" s="22"/>
    </row>
    <row r="1001">
      <c r="A1001" s="23" t="s">
        <v>7392</v>
      </c>
      <c r="B1001" s="58" t="s">
        <v>4984</v>
      </c>
      <c r="C1001" s="41">
        <v>45356.0</v>
      </c>
      <c r="D1001" s="40" t="s">
        <v>7393</v>
      </c>
      <c r="E1001" s="41" t="s">
        <v>7394</v>
      </c>
      <c r="F1001" s="43" t="s">
        <v>7395</v>
      </c>
      <c r="G1001" s="43" t="s">
        <v>7396</v>
      </c>
      <c r="H1001" s="51" t="s">
        <v>148</v>
      </c>
      <c r="I1001" s="25" t="str">
        <f>IFERROR(__xludf.DUMMYFUNCTION("GOOGLETRANSLATE(H1001,""EN"",""ES"")"),"Gastronomía")</f>
        <v>Gastronomía</v>
      </c>
      <c r="J1001" s="26" t="s">
        <v>27</v>
      </c>
      <c r="K1001" s="17">
        <v>0.0</v>
      </c>
      <c r="L1001" s="54"/>
      <c r="M1001" s="31"/>
      <c r="N1001" s="66"/>
      <c r="O1001" s="66"/>
      <c r="P1001" s="20">
        <v>0.0</v>
      </c>
      <c r="Q1001" s="31"/>
      <c r="R1001" s="31"/>
      <c r="S1001" s="53"/>
      <c r="T1001" s="32"/>
    </row>
    <row r="1002">
      <c r="A1002" s="33" t="s">
        <v>7397</v>
      </c>
      <c r="B1002" s="60" t="s">
        <v>7398</v>
      </c>
      <c r="C1002" s="41">
        <v>45356.0</v>
      </c>
      <c r="D1002" s="40" t="s">
        <v>7399</v>
      </c>
      <c r="E1002" s="41" t="s">
        <v>7400</v>
      </c>
      <c r="F1002" s="43" t="s">
        <v>7401</v>
      </c>
      <c r="G1002" s="43" t="s">
        <v>7402</v>
      </c>
      <c r="H1002" s="51" t="s">
        <v>148</v>
      </c>
      <c r="I1002" s="15" t="str">
        <f>IFERROR(__xludf.DUMMYFUNCTION("GOOGLETRANSLATE(H1002,""EN"",""ES"")"),"Gastronomía")</f>
        <v>Gastronomía</v>
      </c>
      <c r="J1002" s="16" t="s">
        <v>27</v>
      </c>
      <c r="K1002" s="17">
        <v>0.0</v>
      </c>
      <c r="L1002" s="45"/>
      <c r="M1002" s="18"/>
      <c r="N1002" s="65"/>
      <c r="O1002" s="65"/>
      <c r="P1002" s="20">
        <v>0.0</v>
      </c>
      <c r="Q1002" s="18"/>
      <c r="R1002" s="18"/>
      <c r="S1002" s="52"/>
      <c r="T1002" s="22"/>
    </row>
    <row r="1003">
      <c r="A1003" s="23" t="s">
        <v>7403</v>
      </c>
      <c r="B1003" s="58" t="s">
        <v>6804</v>
      </c>
      <c r="C1003" s="41">
        <v>45356.0</v>
      </c>
      <c r="D1003" s="40" t="s">
        <v>7404</v>
      </c>
      <c r="E1003" s="41" t="s">
        <v>7405</v>
      </c>
      <c r="F1003" s="43" t="s">
        <v>7406</v>
      </c>
      <c r="G1003" s="43" t="s">
        <v>7407</v>
      </c>
      <c r="H1003" s="51" t="s">
        <v>148</v>
      </c>
      <c r="I1003" s="25" t="str">
        <f>IFERROR(__xludf.DUMMYFUNCTION("GOOGLETRANSLATE(H1003,""EN"",""ES"")"),"Gastronomía")</f>
        <v>Gastronomía</v>
      </c>
      <c r="J1003" s="26" t="s">
        <v>27</v>
      </c>
      <c r="K1003" s="17">
        <v>0.0</v>
      </c>
      <c r="L1003" s="54"/>
      <c r="M1003" s="31"/>
      <c r="N1003" s="66"/>
      <c r="O1003" s="66"/>
      <c r="P1003" s="20">
        <v>0.0</v>
      </c>
      <c r="Q1003" s="31"/>
      <c r="R1003" s="31"/>
      <c r="S1003" s="53"/>
      <c r="T1003" s="32"/>
    </row>
    <row r="1004">
      <c r="A1004" s="33" t="s">
        <v>7408</v>
      </c>
      <c r="B1004" s="60" t="s">
        <v>1005</v>
      </c>
      <c r="C1004" s="41">
        <v>45356.0</v>
      </c>
      <c r="D1004" s="40" t="s">
        <v>7409</v>
      </c>
      <c r="E1004" s="41" t="s">
        <v>7410</v>
      </c>
      <c r="F1004" s="43" t="s">
        <v>7411</v>
      </c>
      <c r="G1004" s="43" t="s">
        <v>7412</v>
      </c>
      <c r="H1004" s="51" t="s">
        <v>148</v>
      </c>
      <c r="I1004" s="15" t="str">
        <f>IFERROR(__xludf.DUMMYFUNCTION("GOOGLETRANSLATE(H1004,""EN"",""ES"")"),"Gastronomía")</f>
        <v>Gastronomía</v>
      </c>
      <c r="J1004" s="16" t="s">
        <v>27</v>
      </c>
      <c r="K1004" s="17">
        <v>0.0</v>
      </c>
      <c r="L1004" s="45"/>
      <c r="M1004" s="18"/>
      <c r="N1004" s="65"/>
      <c r="O1004" s="65"/>
      <c r="P1004" s="20">
        <v>0.0</v>
      </c>
      <c r="Q1004" s="18"/>
      <c r="R1004" s="18"/>
      <c r="S1004" s="52"/>
      <c r="T1004" s="22"/>
    </row>
    <row r="1005">
      <c r="A1005" s="23" t="s">
        <v>7413</v>
      </c>
      <c r="B1005" s="58" t="s">
        <v>7414</v>
      </c>
      <c r="C1005" s="41">
        <v>45356.0</v>
      </c>
      <c r="D1005" s="40" t="s">
        <v>7415</v>
      </c>
      <c r="E1005" s="41" t="s">
        <v>7416</v>
      </c>
      <c r="F1005" s="43" t="s">
        <v>7417</v>
      </c>
      <c r="G1005" s="43" t="s">
        <v>7418</v>
      </c>
      <c r="H1005" s="51" t="s">
        <v>148</v>
      </c>
      <c r="I1005" s="25" t="str">
        <f>IFERROR(__xludf.DUMMYFUNCTION("GOOGLETRANSLATE(H1005,""EN"",""ES"")"),"Gastronomía")</f>
        <v>Gastronomía</v>
      </c>
      <c r="J1005" s="26" t="s">
        <v>27</v>
      </c>
      <c r="K1005" s="17">
        <v>0.0</v>
      </c>
      <c r="L1005" s="54"/>
      <c r="M1005" s="31"/>
      <c r="N1005" s="66"/>
      <c r="O1005" s="66"/>
      <c r="P1005" s="20">
        <v>0.0</v>
      </c>
      <c r="Q1005" s="31"/>
      <c r="R1005" s="31"/>
      <c r="S1005" s="53"/>
      <c r="T1005" s="32"/>
    </row>
    <row r="1006">
      <c r="A1006" s="33" t="s">
        <v>7419</v>
      </c>
      <c r="B1006" s="60" t="s">
        <v>4849</v>
      </c>
      <c r="C1006" s="41">
        <v>45356.0</v>
      </c>
      <c r="D1006" s="40" t="s">
        <v>7420</v>
      </c>
      <c r="E1006" s="41" t="s">
        <v>7421</v>
      </c>
      <c r="F1006" s="43" t="s">
        <v>7422</v>
      </c>
      <c r="G1006" s="43" t="s">
        <v>7423</v>
      </c>
      <c r="H1006" s="51" t="s">
        <v>148</v>
      </c>
      <c r="I1006" s="15" t="str">
        <f>IFERROR(__xludf.DUMMYFUNCTION("GOOGLETRANSLATE(H1006,""EN"",""ES"")"),"Gastronomía")</f>
        <v>Gastronomía</v>
      </c>
      <c r="J1006" s="16" t="s">
        <v>27</v>
      </c>
      <c r="K1006" s="17">
        <v>0.0</v>
      </c>
      <c r="L1006" s="45"/>
      <c r="M1006" s="18"/>
      <c r="N1006" s="65"/>
      <c r="O1006" s="65"/>
      <c r="P1006" s="20">
        <v>0.0</v>
      </c>
      <c r="Q1006" s="18"/>
      <c r="R1006" s="18"/>
      <c r="S1006" s="52"/>
      <c r="T1006" s="22"/>
    </row>
    <row r="1007">
      <c r="A1007" s="23" t="s">
        <v>7424</v>
      </c>
      <c r="B1007" s="58" t="s">
        <v>7425</v>
      </c>
      <c r="C1007" s="41">
        <v>45356.0</v>
      </c>
      <c r="D1007" s="40" t="s">
        <v>7426</v>
      </c>
      <c r="E1007" s="41" t="s">
        <v>7427</v>
      </c>
      <c r="F1007" s="43" t="s">
        <v>7428</v>
      </c>
      <c r="G1007" s="43" t="s">
        <v>7429</v>
      </c>
      <c r="H1007" s="51" t="s">
        <v>148</v>
      </c>
      <c r="I1007" s="25" t="str">
        <f>IFERROR(__xludf.DUMMYFUNCTION("GOOGLETRANSLATE(H1007,""EN"",""ES"")"),"Gastronomía")</f>
        <v>Gastronomía</v>
      </c>
      <c r="J1007" s="26" t="s">
        <v>27</v>
      </c>
      <c r="K1007" s="17">
        <v>0.0</v>
      </c>
      <c r="L1007" s="54"/>
      <c r="M1007" s="31"/>
      <c r="N1007" s="66"/>
      <c r="O1007" s="66"/>
      <c r="P1007" s="20">
        <v>0.0</v>
      </c>
      <c r="Q1007" s="31"/>
      <c r="R1007" s="31"/>
      <c r="S1007" s="53"/>
      <c r="T1007" s="32"/>
    </row>
    <row r="1008">
      <c r="A1008" s="33" t="s">
        <v>7430</v>
      </c>
      <c r="B1008" s="60" t="s">
        <v>43</v>
      </c>
      <c r="C1008" s="41">
        <v>45356.0</v>
      </c>
      <c r="D1008" s="40" t="s">
        <v>7431</v>
      </c>
      <c r="E1008" s="41" t="s">
        <v>7432</v>
      </c>
      <c r="F1008" s="43" t="s">
        <v>7433</v>
      </c>
      <c r="G1008" s="43" t="s">
        <v>7434</v>
      </c>
      <c r="H1008" s="51" t="s">
        <v>148</v>
      </c>
      <c r="I1008" s="15" t="str">
        <f>IFERROR(__xludf.DUMMYFUNCTION("GOOGLETRANSLATE(H1008,""EN"",""ES"")"),"Gastronomía")</f>
        <v>Gastronomía</v>
      </c>
      <c r="J1008" s="16" t="s">
        <v>27</v>
      </c>
      <c r="K1008" s="17">
        <v>0.0</v>
      </c>
      <c r="L1008" s="45"/>
      <c r="M1008" s="18"/>
      <c r="N1008" s="65"/>
      <c r="O1008" s="65"/>
      <c r="P1008" s="20">
        <v>0.0</v>
      </c>
      <c r="Q1008" s="18"/>
      <c r="R1008" s="18"/>
      <c r="S1008" s="52"/>
      <c r="T1008" s="22"/>
    </row>
    <row r="1009">
      <c r="A1009" s="23" t="s">
        <v>7435</v>
      </c>
      <c r="B1009" s="58" t="s">
        <v>7436</v>
      </c>
      <c r="C1009" s="41">
        <v>45356.0</v>
      </c>
      <c r="D1009" s="40" t="s">
        <v>7437</v>
      </c>
      <c r="E1009" s="41" t="s">
        <v>7438</v>
      </c>
      <c r="F1009" s="43" t="s">
        <v>7439</v>
      </c>
      <c r="G1009" s="43" t="s">
        <v>7440</v>
      </c>
      <c r="H1009" s="51" t="s">
        <v>148</v>
      </c>
      <c r="I1009" s="25" t="str">
        <f>IFERROR(__xludf.DUMMYFUNCTION("GOOGLETRANSLATE(H1009,""EN"",""ES"")"),"Gastronomía")</f>
        <v>Gastronomía</v>
      </c>
      <c r="J1009" s="26" t="s">
        <v>27</v>
      </c>
      <c r="K1009" s="17">
        <v>0.0</v>
      </c>
      <c r="L1009" s="54"/>
      <c r="M1009" s="31"/>
      <c r="N1009" s="66"/>
      <c r="O1009" s="66"/>
      <c r="P1009" s="20">
        <v>0.0</v>
      </c>
      <c r="Q1009" s="31"/>
      <c r="R1009" s="31"/>
      <c r="S1009" s="53"/>
      <c r="T1009" s="32"/>
    </row>
    <row r="1010">
      <c r="A1010" s="33" t="s">
        <v>7441</v>
      </c>
      <c r="B1010" s="60" t="s">
        <v>1005</v>
      </c>
      <c r="C1010" s="41">
        <v>45356.0</v>
      </c>
      <c r="D1010" s="40" t="s">
        <v>7442</v>
      </c>
      <c r="E1010" s="41" t="s">
        <v>7443</v>
      </c>
      <c r="F1010" s="43" t="s">
        <v>7444</v>
      </c>
      <c r="G1010" s="43" t="s">
        <v>7445</v>
      </c>
      <c r="H1010" s="51" t="s">
        <v>148</v>
      </c>
      <c r="I1010" s="15" t="str">
        <f>IFERROR(__xludf.DUMMYFUNCTION("GOOGLETRANSLATE(H1010,""EN"",""ES"")"),"Gastronomía")</f>
        <v>Gastronomía</v>
      </c>
      <c r="J1010" s="16" t="s">
        <v>27</v>
      </c>
      <c r="K1010" s="17">
        <v>0.0</v>
      </c>
      <c r="L1010" s="45"/>
      <c r="M1010" s="18"/>
      <c r="N1010" s="65"/>
      <c r="O1010" s="65"/>
      <c r="P1010" s="20">
        <v>0.0</v>
      </c>
      <c r="Q1010" s="18"/>
      <c r="R1010" s="18"/>
      <c r="S1010" s="52"/>
      <c r="T1010" s="22"/>
    </row>
    <row r="1011">
      <c r="A1011" s="23" t="s">
        <v>7446</v>
      </c>
      <c r="B1011" s="58" t="s">
        <v>4673</v>
      </c>
      <c r="C1011" s="41">
        <v>45356.0</v>
      </c>
      <c r="D1011" s="40" t="s">
        <v>7447</v>
      </c>
      <c r="E1011" s="41" t="s">
        <v>7448</v>
      </c>
      <c r="F1011" s="43" t="s">
        <v>7449</v>
      </c>
      <c r="G1011" s="43" t="s">
        <v>7450</v>
      </c>
      <c r="H1011" s="51" t="s">
        <v>148</v>
      </c>
      <c r="I1011" s="25" t="str">
        <f>IFERROR(__xludf.DUMMYFUNCTION("GOOGLETRANSLATE(H1011,""EN"",""ES"")"),"Gastronomía")</f>
        <v>Gastronomía</v>
      </c>
      <c r="J1011" s="26" t="s">
        <v>27</v>
      </c>
      <c r="K1011" s="17">
        <v>0.0</v>
      </c>
      <c r="L1011" s="54"/>
      <c r="M1011" s="31"/>
      <c r="N1011" s="66"/>
      <c r="O1011" s="66"/>
      <c r="P1011" s="20">
        <v>0.0</v>
      </c>
      <c r="Q1011" s="31"/>
      <c r="R1011" s="31"/>
      <c r="S1011" s="53"/>
      <c r="T1011" s="32"/>
    </row>
    <row r="1012">
      <c r="A1012" s="33" t="s">
        <v>7451</v>
      </c>
      <c r="B1012" s="60" t="s">
        <v>7452</v>
      </c>
      <c r="C1012" s="41">
        <v>45356.0</v>
      </c>
      <c r="D1012" s="40" t="s">
        <v>7453</v>
      </c>
      <c r="E1012" s="41" t="s">
        <v>7454</v>
      </c>
      <c r="F1012" s="43" t="s">
        <v>7455</v>
      </c>
      <c r="G1012" s="43" t="s">
        <v>7456</v>
      </c>
      <c r="H1012" s="51" t="s">
        <v>148</v>
      </c>
      <c r="I1012" s="15" t="str">
        <f>IFERROR(__xludf.DUMMYFUNCTION("GOOGLETRANSLATE(H1012,""EN"",""ES"")"),"Gastronomía")</f>
        <v>Gastronomía</v>
      </c>
      <c r="J1012" s="16" t="s">
        <v>27</v>
      </c>
      <c r="K1012" s="17">
        <v>0.0</v>
      </c>
      <c r="L1012" s="45"/>
      <c r="M1012" s="18"/>
      <c r="N1012" s="65"/>
      <c r="O1012" s="65"/>
      <c r="P1012" s="20">
        <v>0.0</v>
      </c>
      <c r="Q1012" s="18"/>
      <c r="R1012" s="18"/>
      <c r="S1012" s="52"/>
      <c r="T1012" s="22"/>
    </row>
    <row r="1013">
      <c r="A1013" s="23" t="s">
        <v>7457</v>
      </c>
      <c r="B1013" s="58" t="s">
        <v>2008</v>
      </c>
      <c r="C1013" s="41">
        <v>45356.0</v>
      </c>
      <c r="D1013" s="40" t="s">
        <v>7458</v>
      </c>
      <c r="E1013" s="41" t="s">
        <v>7459</v>
      </c>
      <c r="F1013" s="43" t="s">
        <v>7460</v>
      </c>
      <c r="G1013" s="43" t="s">
        <v>7461</v>
      </c>
      <c r="H1013" s="51" t="s">
        <v>148</v>
      </c>
      <c r="I1013" s="25" t="str">
        <f>IFERROR(__xludf.DUMMYFUNCTION("GOOGLETRANSLATE(H1013,""EN"",""ES"")"),"Gastronomía")</f>
        <v>Gastronomía</v>
      </c>
      <c r="J1013" s="26" t="s">
        <v>27</v>
      </c>
      <c r="K1013" s="17">
        <v>0.0</v>
      </c>
      <c r="L1013" s="54"/>
      <c r="M1013" s="31"/>
      <c r="N1013" s="66"/>
      <c r="O1013" s="66"/>
      <c r="P1013" s="20">
        <v>0.0</v>
      </c>
      <c r="Q1013" s="31"/>
      <c r="R1013" s="31"/>
      <c r="S1013" s="53"/>
      <c r="T1013" s="32"/>
    </row>
    <row r="1014">
      <c r="A1014" s="33" t="s">
        <v>7462</v>
      </c>
      <c r="B1014" s="60" t="s">
        <v>7463</v>
      </c>
      <c r="C1014" s="41">
        <v>45356.0</v>
      </c>
      <c r="D1014" s="40" t="s">
        <v>7464</v>
      </c>
      <c r="E1014" s="41" t="s">
        <v>7465</v>
      </c>
      <c r="F1014" s="43" t="s">
        <v>7466</v>
      </c>
      <c r="G1014" s="43" t="s">
        <v>7467</v>
      </c>
      <c r="H1014" s="51" t="s">
        <v>148</v>
      </c>
      <c r="I1014" s="15" t="str">
        <f>IFERROR(__xludf.DUMMYFUNCTION("GOOGLETRANSLATE(H1014,""EN"",""ES"")"),"Gastronomía")</f>
        <v>Gastronomía</v>
      </c>
      <c r="J1014" s="16" t="s">
        <v>27</v>
      </c>
      <c r="K1014" s="17">
        <v>0.0</v>
      </c>
      <c r="L1014" s="45"/>
      <c r="M1014" s="18"/>
      <c r="N1014" s="65"/>
      <c r="O1014" s="65"/>
      <c r="P1014" s="20">
        <v>0.0</v>
      </c>
      <c r="Q1014" s="18"/>
      <c r="R1014" s="18"/>
      <c r="S1014" s="52"/>
      <c r="T1014" s="22"/>
    </row>
    <row r="1015">
      <c r="A1015" s="23" t="s">
        <v>7468</v>
      </c>
      <c r="B1015" s="58" t="s">
        <v>7469</v>
      </c>
      <c r="C1015" s="41">
        <v>45356.0</v>
      </c>
      <c r="D1015" s="40" t="s">
        <v>7470</v>
      </c>
      <c r="E1015" s="41" t="s">
        <v>7471</v>
      </c>
      <c r="F1015" s="43" t="s">
        <v>7472</v>
      </c>
      <c r="G1015" s="43" t="s">
        <v>7473</v>
      </c>
      <c r="H1015" s="51" t="s">
        <v>148</v>
      </c>
      <c r="I1015" s="25" t="str">
        <f>IFERROR(__xludf.DUMMYFUNCTION("GOOGLETRANSLATE(H1015,""EN"",""ES"")"),"Gastronomía")</f>
        <v>Gastronomía</v>
      </c>
      <c r="J1015" s="26" t="s">
        <v>27</v>
      </c>
      <c r="K1015" s="17">
        <v>0.0</v>
      </c>
      <c r="L1015" s="54"/>
      <c r="M1015" s="31"/>
      <c r="N1015" s="66"/>
      <c r="O1015" s="66"/>
      <c r="P1015" s="20">
        <v>0.0</v>
      </c>
      <c r="Q1015" s="31"/>
      <c r="R1015" s="31"/>
      <c r="S1015" s="53"/>
      <c r="T1015" s="32"/>
    </row>
    <row r="1016">
      <c r="A1016" s="33" t="s">
        <v>7474</v>
      </c>
      <c r="B1016" s="60" t="s">
        <v>85</v>
      </c>
      <c r="C1016" s="41">
        <v>45356.0</v>
      </c>
      <c r="D1016" s="40" t="s">
        <v>7475</v>
      </c>
      <c r="E1016" s="41" t="s">
        <v>7476</v>
      </c>
      <c r="F1016" s="43" t="s">
        <v>7477</v>
      </c>
      <c r="G1016" s="43" t="s">
        <v>7478</v>
      </c>
      <c r="H1016" s="51" t="s">
        <v>148</v>
      </c>
      <c r="I1016" s="15" t="str">
        <f>IFERROR(__xludf.DUMMYFUNCTION("GOOGLETRANSLATE(H1016,""EN"",""ES"")"),"Gastronomía")</f>
        <v>Gastronomía</v>
      </c>
      <c r="J1016" s="16" t="s">
        <v>27</v>
      </c>
      <c r="K1016" s="17">
        <v>0.0</v>
      </c>
      <c r="L1016" s="45"/>
      <c r="M1016" s="18"/>
      <c r="N1016" s="65"/>
      <c r="O1016" s="65"/>
      <c r="P1016" s="20">
        <v>0.0</v>
      </c>
      <c r="Q1016" s="18"/>
      <c r="R1016" s="18"/>
      <c r="S1016" s="52"/>
      <c r="T1016" s="22"/>
    </row>
    <row r="1017">
      <c r="A1017" s="23" t="s">
        <v>7479</v>
      </c>
      <c r="B1017" s="58" t="s">
        <v>7480</v>
      </c>
      <c r="C1017" s="41">
        <v>45356.0</v>
      </c>
      <c r="D1017" s="40" t="s">
        <v>7481</v>
      </c>
      <c r="E1017" s="41" t="s">
        <v>7482</v>
      </c>
      <c r="F1017" s="43" t="s">
        <v>7483</v>
      </c>
      <c r="G1017" s="43" t="s">
        <v>7484</v>
      </c>
      <c r="H1017" s="51" t="s">
        <v>148</v>
      </c>
      <c r="I1017" s="25" t="str">
        <f>IFERROR(__xludf.DUMMYFUNCTION("GOOGLETRANSLATE(H1017,""EN"",""ES"")"),"Gastronomía")</f>
        <v>Gastronomía</v>
      </c>
      <c r="J1017" s="26" t="s">
        <v>27</v>
      </c>
      <c r="K1017" s="17">
        <v>0.0</v>
      </c>
      <c r="L1017" s="54"/>
      <c r="M1017" s="31"/>
      <c r="N1017" s="66"/>
      <c r="O1017" s="66"/>
      <c r="P1017" s="20">
        <v>0.0</v>
      </c>
      <c r="Q1017" s="31"/>
      <c r="R1017" s="31"/>
      <c r="S1017" s="53"/>
      <c r="T1017" s="32"/>
    </row>
    <row r="1018">
      <c r="A1018" s="33" t="s">
        <v>7485</v>
      </c>
      <c r="B1018" s="60" t="s">
        <v>1005</v>
      </c>
      <c r="C1018" s="41">
        <v>45356.0</v>
      </c>
      <c r="D1018" s="40" t="s">
        <v>7486</v>
      </c>
      <c r="E1018" s="41" t="s">
        <v>7487</v>
      </c>
      <c r="F1018" s="43" t="s">
        <v>7488</v>
      </c>
      <c r="G1018" s="43" t="s">
        <v>7489</v>
      </c>
      <c r="H1018" s="51" t="s">
        <v>148</v>
      </c>
      <c r="I1018" s="15" t="str">
        <f>IFERROR(__xludf.DUMMYFUNCTION("GOOGLETRANSLATE(H1018,""EN"",""ES"")"),"Gastronomía")</f>
        <v>Gastronomía</v>
      </c>
      <c r="J1018" s="16" t="s">
        <v>27</v>
      </c>
      <c r="K1018" s="17">
        <v>0.0</v>
      </c>
      <c r="L1018" s="45"/>
      <c r="M1018" s="18"/>
      <c r="N1018" s="65"/>
      <c r="O1018" s="65"/>
      <c r="P1018" s="20">
        <v>0.0</v>
      </c>
      <c r="Q1018" s="18"/>
      <c r="R1018" s="18"/>
      <c r="S1018" s="52"/>
      <c r="T1018" s="22"/>
    </row>
    <row r="1019">
      <c r="A1019" s="23" t="s">
        <v>7490</v>
      </c>
      <c r="B1019" s="58" t="s">
        <v>7491</v>
      </c>
      <c r="C1019" s="41">
        <v>45356.0</v>
      </c>
      <c r="D1019" s="40" t="s">
        <v>7492</v>
      </c>
      <c r="E1019" s="41" t="s">
        <v>7493</v>
      </c>
      <c r="F1019" s="43" t="s">
        <v>7494</v>
      </c>
      <c r="G1019" s="43" t="s">
        <v>7495</v>
      </c>
      <c r="H1019" s="51" t="s">
        <v>148</v>
      </c>
      <c r="I1019" s="25" t="str">
        <f>IFERROR(__xludf.DUMMYFUNCTION("GOOGLETRANSLATE(H1019,""EN"",""ES"")"),"Gastronomía")</f>
        <v>Gastronomía</v>
      </c>
      <c r="J1019" s="26" t="s">
        <v>27</v>
      </c>
      <c r="K1019" s="17">
        <v>0.0</v>
      </c>
      <c r="L1019" s="54"/>
      <c r="M1019" s="31"/>
      <c r="N1019" s="66"/>
      <c r="O1019" s="66"/>
      <c r="P1019" s="20">
        <v>0.0</v>
      </c>
      <c r="Q1019" s="31"/>
      <c r="R1019" s="31"/>
      <c r="S1019" s="53"/>
      <c r="T1019" s="32"/>
    </row>
    <row r="1020">
      <c r="A1020" s="33" t="s">
        <v>7496</v>
      </c>
      <c r="B1020" s="60" t="s">
        <v>3612</v>
      </c>
      <c r="C1020" s="41">
        <v>45356.0</v>
      </c>
      <c r="D1020" s="40" t="s">
        <v>7497</v>
      </c>
      <c r="E1020" s="41" t="s">
        <v>7498</v>
      </c>
      <c r="F1020" s="43" t="s">
        <v>7499</v>
      </c>
      <c r="G1020" s="43" t="s">
        <v>7500</v>
      </c>
      <c r="H1020" s="51" t="s">
        <v>148</v>
      </c>
      <c r="I1020" s="15" t="str">
        <f>IFERROR(__xludf.DUMMYFUNCTION("GOOGLETRANSLATE(H1020,""EN"",""ES"")"),"Gastronomía")</f>
        <v>Gastronomía</v>
      </c>
      <c r="J1020" s="16" t="s">
        <v>27</v>
      </c>
      <c r="K1020" s="17">
        <v>0.0</v>
      </c>
      <c r="L1020" s="45"/>
      <c r="M1020" s="18"/>
      <c r="N1020" s="65"/>
      <c r="O1020" s="65"/>
      <c r="P1020" s="20">
        <v>0.0</v>
      </c>
      <c r="Q1020" s="18"/>
      <c r="R1020" s="18"/>
      <c r="S1020" s="52"/>
      <c r="T1020" s="22"/>
    </row>
    <row r="1021">
      <c r="A1021" s="23" t="s">
        <v>7501</v>
      </c>
      <c r="B1021" s="58" t="s">
        <v>1005</v>
      </c>
      <c r="C1021" s="41">
        <v>45356.0</v>
      </c>
      <c r="D1021" s="40" t="s">
        <v>7502</v>
      </c>
      <c r="E1021" s="41" t="s">
        <v>7503</v>
      </c>
      <c r="F1021" s="43" t="s">
        <v>7504</v>
      </c>
      <c r="G1021" s="43" t="s">
        <v>7505</v>
      </c>
      <c r="H1021" s="51" t="s">
        <v>148</v>
      </c>
      <c r="I1021" s="25" t="str">
        <f>IFERROR(__xludf.DUMMYFUNCTION("GOOGLETRANSLATE(H1021,""EN"",""ES"")"),"Gastronomía")</f>
        <v>Gastronomía</v>
      </c>
      <c r="J1021" s="26" t="s">
        <v>27</v>
      </c>
      <c r="K1021" s="17">
        <v>0.0</v>
      </c>
      <c r="L1021" s="54"/>
      <c r="M1021" s="31"/>
      <c r="N1021" s="66"/>
      <c r="O1021" s="66"/>
      <c r="P1021" s="20">
        <v>0.0</v>
      </c>
      <c r="Q1021" s="31"/>
      <c r="R1021" s="31"/>
      <c r="S1021" s="53"/>
      <c r="T1021" s="32"/>
    </row>
    <row r="1022">
      <c r="A1022" s="33" t="s">
        <v>7506</v>
      </c>
      <c r="B1022" s="60" t="s">
        <v>1081</v>
      </c>
      <c r="C1022" s="41">
        <v>45356.0</v>
      </c>
      <c r="D1022" s="40" t="s">
        <v>7507</v>
      </c>
      <c r="E1022" s="41" t="s">
        <v>7508</v>
      </c>
      <c r="F1022" s="43" t="s">
        <v>7509</v>
      </c>
      <c r="G1022" s="43" t="s">
        <v>7510</v>
      </c>
      <c r="H1022" s="51" t="s">
        <v>148</v>
      </c>
      <c r="I1022" s="15" t="str">
        <f>IFERROR(__xludf.DUMMYFUNCTION("GOOGLETRANSLATE(H1022,""EN"",""ES"")"),"Gastronomía")</f>
        <v>Gastronomía</v>
      </c>
      <c r="J1022" s="16" t="s">
        <v>27</v>
      </c>
      <c r="K1022" s="17">
        <v>0.0</v>
      </c>
      <c r="L1022" s="45"/>
      <c r="M1022" s="18"/>
      <c r="N1022" s="65"/>
      <c r="O1022" s="65"/>
      <c r="P1022" s="20">
        <v>0.0</v>
      </c>
      <c r="Q1022" s="18"/>
      <c r="R1022" s="18"/>
      <c r="S1022" s="52"/>
      <c r="T1022" s="22"/>
    </row>
    <row r="1023">
      <c r="A1023" s="23" t="s">
        <v>7511</v>
      </c>
      <c r="B1023" s="58" t="s">
        <v>1005</v>
      </c>
      <c r="C1023" s="41">
        <v>45356.0</v>
      </c>
      <c r="D1023" s="40" t="s">
        <v>7512</v>
      </c>
      <c r="E1023" s="41" t="s">
        <v>7513</v>
      </c>
      <c r="F1023" s="43" t="s">
        <v>7514</v>
      </c>
      <c r="G1023" s="43" t="s">
        <v>7515</v>
      </c>
      <c r="H1023" s="51" t="s">
        <v>148</v>
      </c>
      <c r="I1023" s="25" t="str">
        <f>IFERROR(__xludf.DUMMYFUNCTION("GOOGLETRANSLATE(H1023,""EN"",""ES"")"),"Gastronomía")</f>
        <v>Gastronomía</v>
      </c>
      <c r="J1023" s="26" t="s">
        <v>27</v>
      </c>
      <c r="K1023" s="17">
        <v>0.0</v>
      </c>
      <c r="L1023" s="54"/>
      <c r="M1023" s="31"/>
      <c r="N1023" s="66"/>
      <c r="O1023" s="66"/>
      <c r="P1023" s="20">
        <v>0.0</v>
      </c>
      <c r="Q1023" s="31"/>
      <c r="R1023" s="31"/>
      <c r="S1023" s="53"/>
      <c r="T1023" s="32"/>
    </row>
    <row r="1024">
      <c r="A1024" s="33" t="s">
        <v>7516</v>
      </c>
      <c r="B1024" s="60" t="s">
        <v>7517</v>
      </c>
      <c r="C1024" s="41">
        <v>45356.0</v>
      </c>
      <c r="D1024" s="40" t="s">
        <v>7518</v>
      </c>
      <c r="E1024" s="41" t="s">
        <v>7519</v>
      </c>
      <c r="F1024" s="43" t="s">
        <v>7520</v>
      </c>
      <c r="G1024" s="43" t="s">
        <v>7521</v>
      </c>
      <c r="H1024" s="51" t="s">
        <v>148</v>
      </c>
      <c r="I1024" s="15" t="str">
        <f>IFERROR(__xludf.DUMMYFUNCTION("GOOGLETRANSLATE(H1024,""EN"",""ES"")"),"Gastronomía")</f>
        <v>Gastronomía</v>
      </c>
      <c r="J1024" s="16" t="s">
        <v>27</v>
      </c>
      <c r="K1024" s="17">
        <v>0.0</v>
      </c>
      <c r="L1024" s="45"/>
      <c r="M1024" s="18"/>
      <c r="N1024" s="65"/>
      <c r="O1024" s="65"/>
      <c r="P1024" s="20">
        <v>0.0</v>
      </c>
      <c r="Q1024" s="18"/>
      <c r="R1024" s="18"/>
      <c r="S1024" s="52"/>
      <c r="T1024" s="22"/>
    </row>
    <row r="1025">
      <c r="A1025" s="23" t="s">
        <v>7522</v>
      </c>
      <c r="B1025" s="58" t="s">
        <v>1005</v>
      </c>
      <c r="C1025" s="41">
        <v>45356.0</v>
      </c>
      <c r="D1025" s="40" t="s">
        <v>7523</v>
      </c>
      <c r="E1025" s="41" t="s">
        <v>7524</v>
      </c>
      <c r="F1025" s="43" t="s">
        <v>7525</v>
      </c>
      <c r="G1025" s="43" t="s">
        <v>7526</v>
      </c>
      <c r="H1025" s="51" t="s">
        <v>148</v>
      </c>
      <c r="I1025" s="25" t="str">
        <f>IFERROR(__xludf.DUMMYFUNCTION("GOOGLETRANSLATE(H1025,""EN"",""ES"")"),"Gastronomía")</f>
        <v>Gastronomía</v>
      </c>
      <c r="J1025" s="26" t="s">
        <v>27</v>
      </c>
      <c r="K1025" s="17">
        <v>0.0</v>
      </c>
      <c r="L1025" s="54"/>
      <c r="M1025" s="31"/>
      <c r="N1025" s="66"/>
      <c r="O1025" s="66"/>
      <c r="P1025" s="20">
        <v>0.0</v>
      </c>
      <c r="Q1025" s="31"/>
      <c r="R1025" s="31"/>
      <c r="S1025" s="53"/>
      <c r="T1025" s="32"/>
    </row>
    <row r="1026">
      <c r="A1026" s="33" t="s">
        <v>7527</v>
      </c>
      <c r="B1026" s="60" t="s">
        <v>2008</v>
      </c>
      <c r="C1026" s="41">
        <v>45356.0</v>
      </c>
      <c r="D1026" s="40" t="s">
        <v>7528</v>
      </c>
      <c r="E1026" s="41" t="s">
        <v>7529</v>
      </c>
      <c r="F1026" s="43" t="s">
        <v>7530</v>
      </c>
      <c r="G1026" s="43" t="s">
        <v>7531</v>
      </c>
      <c r="H1026" s="51" t="s">
        <v>148</v>
      </c>
      <c r="I1026" s="15" t="str">
        <f>IFERROR(__xludf.DUMMYFUNCTION("GOOGLETRANSLATE(H1026,""EN"",""ES"")"),"Gastronomía")</f>
        <v>Gastronomía</v>
      </c>
      <c r="J1026" s="16" t="s">
        <v>27</v>
      </c>
      <c r="K1026" s="17">
        <v>0.0</v>
      </c>
      <c r="L1026" s="45"/>
      <c r="M1026" s="18"/>
      <c r="N1026" s="65"/>
      <c r="O1026" s="65"/>
      <c r="P1026" s="20">
        <v>0.0</v>
      </c>
      <c r="Q1026" s="18"/>
      <c r="R1026" s="18"/>
      <c r="S1026" s="52"/>
      <c r="T1026" s="22"/>
    </row>
    <row r="1027">
      <c r="A1027" s="23" t="s">
        <v>7532</v>
      </c>
      <c r="B1027" s="58" t="s">
        <v>7533</v>
      </c>
      <c r="C1027" s="41">
        <v>45356.0</v>
      </c>
      <c r="D1027" s="40" t="s">
        <v>7534</v>
      </c>
      <c r="E1027" s="41" t="s">
        <v>7535</v>
      </c>
      <c r="F1027" s="43" t="s">
        <v>7536</v>
      </c>
      <c r="G1027" s="43" t="s">
        <v>7537</v>
      </c>
      <c r="H1027" s="51" t="s">
        <v>148</v>
      </c>
      <c r="I1027" s="25" t="str">
        <f>IFERROR(__xludf.DUMMYFUNCTION("GOOGLETRANSLATE(H1027,""EN"",""ES"")"),"Gastronomía")</f>
        <v>Gastronomía</v>
      </c>
      <c r="J1027" s="26" t="s">
        <v>27</v>
      </c>
      <c r="K1027" s="17">
        <v>0.0</v>
      </c>
      <c r="L1027" s="54"/>
      <c r="M1027" s="31"/>
      <c r="N1027" s="66"/>
      <c r="O1027" s="66"/>
      <c r="P1027" s="20">
        <v>0.0</v>
      </c>
      <c r="Q1027" s="31"/>
      <c r="R1027" s="31"/>
      <c r="S1027" s="53"/>
      <c r="T1027" s="32"/>
    </row>
    <row r="1028">
      <c r="A1028" s="33" t="s">
        <v>7538</v>
      </c>
      <c r="B1028" s="60" t="s">
        <v>4038</v>
      </c>
      <c r="C1028" s="41">
        <v>45356.0</v>
      </c>
      <c r="D1028" s="40" t="s">
        <v>7539</v>
      </c>
      <c r="E1028" s="41" t="s">
        <v>7540</v>
      </c>
      <c r="F1028" s="43" t="s">
        <v>7541</v>
      </c>
      <c r="G1028" s="43" t="s">
        <v>7542</v>
      </c>
      <c r="H1028" s="51" t="s">
        <v>148</v>
      </c>
      <c r="I1028" s="15" t="str">
        <f>IFERROR(__xludf.DUMMYFUNCTION("GOOGLETRANSLATE(H1028,""EN"",""ES"")"),"Gastronomía")</f>
        <v>Gastronomía</v>
      </c>
      <c r="J1028" s="16" t="s">
        <v>27</v>
      </c>
      <c r="K1028" s="17">
        <v>0.0</v>
      </c>
      <c r="L1028" s="45"/>
      <c r="M1028" s="18"/>
      <c r="N1028" s="65"/>
      <c r="O1028" s="65"/>
      <c r="P1028" s="20">
        <v>0.0</v>
      </c>
      <c r="Q1028" s="18"/>
      <c r="R1028" s="18"/>
      <c r="S1028" s="52"/>
      <c r="T1028" s="22"/>
    </row>
    <row r="1029">
      <c r="A1029" s="23" t="s">
        <v>7543</v>
      </c>
      <c r="B1029" s="58" t="s">
        <v>7544</v>
      </c>
      <c r="C1029" s="41">
        <v>45356.0</v>
      </c>
      <c r="D1029" s="40" t="s">
        <v>7545</v>
      </c>
      <c r="E1029" s="41" t="s">
        <v>7546</v>
      </c>
      <c r="F1029" s="43" t="s">
        <v>7547</v>
      </c>
      <c r="G1029" s="43" t="s">
        <v>7548</v>
      </c>
      <c r="H1029" s="51" t="s">
        <v>148</v>
      </c>
      <c r="I1029" s="25" t="str">
        <f>IFERROR(__xludf.DUMMYFUNCTION("GOOGLETRANSLATE(H1029,""EN"",""ES"")"),"Gastronomía")</f>
        <v>Gastronomía</v>
      </c>
      <c r="J1029" s="26" t="s">
        <v>27</v>
      </c>
      <c r="K1029" s="17">
        <v>0.0</v>
      </c>
      <c r="L1029" s="54"/>
      <c r="M1029" s="31"/>
      <c r="N1029" s="66"/>
      <c r="O1029" s="66"/>
      <c r="P1029" s="20">
        <v>0.0</v>
      </c>
      <c r="Q1029" s="31"/>
      <c r="R1029" s="31"/>
      <c r="S1029" s="53"/>
      <c r="T1029" s="32"/>
    </row>
    <row r="1030">
      <c r="A1030" s="33" t="s">
        <v>7549</v>
      </c>
      <c r="B1030" s="60" t="s">
        <v>2696</v>
      </c>
      <c r="C1030" s="41">
        <v>45356.0</v>
      </c>
      <c r="D1030" s="40" t="s">
        <v>7550</v>
      </c>
      <c r="E1030" s="41" t="s">
        <v>7551</v>
      </c>
      <c r="F1030" s="43" t="s">
        <v>7552</v>
      </c>
      <c r="G1030" s="43" t="s">
        <v>7553</v>
      </c>
      <c r="H1030" s="51" t="s">
        <v>148</v>
      </c>
      <c r="I1030" s="15" t="str">
        <f>IFERROR(__xludf.DUMMYFUNCTION("GOOGLETRANSLATE(H1030,""EN"",""ES"")"),"Gastronomía")</f>
        <v>Gastronomía</v>
      </c>
      <c r="J1030" s="16" t="s">
        <v>27</v>
      </c>
      <c r="K1030" s="17">
        <v>0.0</v>
      </c>
      <c r="L1030" s="45"/>
      <c r="M1030" s="18"/>
      <c r="N1030" s="65"/>
      <c r="O1030" s="65"/>
      <c r="P1030" s="20">
        <v>0.0</v>
      </c>
      <c r="Q1030" s="18"/>
      <c r="R1030" s="18"/>
      <c r="S1030" s="52"/>
      <c r="T1030" s="22"/>
    </row>
    <row r="1031">
      <c r="A1031" s="23" t="s">
        <v>7554</v>
      </c>
      <c r="B1031" s="58" t="s">
        <v>7555</v>
      </c>
      <c r="C1031" s="41">
        <v>45356.0</v>
      </c>
      <c r="D1031" s="68" t="s">
        <v>7556</v>
      </c>
      <c r="E1031" s="69" t="s">
        <v>7557</v>
      </c>
      <c r="F1031" s="43" t="s">
        <v>7558</v>
      </c>
      <c r="G1031" s="43" t="s">
        <v>7559</v>
      </c>
      <c r="H1031" s="65" t="s">
        <v>148</v>
      </c>
      <c r="I1031" s="25" t="str">
        <f>IFERROR(__xludf.DUMMYFUNCTION("GOOGLETRANSLATE(H1031,""EN"",""ES"")"),"Gastronomía")</f>
        <v>Gastronomía</v>
      </c>
      <c r="J1031" s="26" t="s">
        <v>27</v>
      </c>
      <c r="K1031" s="17">
        <v>0.0</v>
      </c>
      <c r="L1031" s="54"/>
      <c r="M1031" s="31"/>
      <c r="N1031" s="66"/>
      <c r="O1031" s="66"/>
      <c r="P1031" s="20">
        <v>0.0</v>
      </c>
      <c r="Q1031" s="31"/>
      <c r="R1031" s="31"/>
      <c r="S1031" s="53"/>
      <c r="T1031" s="32"/>
    </row>
    <row r="1032">
      <c r="A1032" s="33" t="s">
        <v>7560</v>
      </c>
      <c r="B1032" s="60" t="s">
        <v>7561</v>
      </c>
      <c r="C1032" s="41">
        <v>45356.0</v>
      </c>
      <c r="D1032" s="40" t="s">
        <v>7562</v>
      </c>
      <c r="E1032" s="41" t="s">
        <v>7563</v>
      </c>
      <c r="F1032" s="43" t="s">
        <v>7564</v>
      </c>
      <c r="G1032" s="43" t="s">
        <v>7565</v>
      </c>
      <c r="H1032" s="51" t="s">
        <v>148</v>
      </c>
      <c r="I1032" s="15" t="str">
        <f>IFERROR(__xludf.DUMMYFUNCTION("GOOGLETRANSLATE(H1032,""EN"",""ES"")"),"Gastronomía")</f>
        <v>Gastronomía</v>
      </c>
      <c r="J1032" s="16" t="s">
        <v>27</v>
      </c>
      <c r="K1032" s="17">
        <v>0.0</v>
      </c>
      <c r="L1032" s="45"/>
      <c r="M1032" s="18"/>
      <c r="N1032" s="65"/>
      <c r="O1032" s="65"/>
      <c r="P1032" s="20">
        <v>0.0</v>
      </c>
      <c r="Q1032" s="18"/>
      <c r="R1032" s="18"/>
      <c r="S1032" s="52"/>
      <c r="T1032" s="22"/>
    </row>
    <row r="1033">
      <c r="A1033" s="23" t="s">
        <v>7566</v>
      </c>
      <c r="B1033" s="58" t="s">
        <v>2008</v>
      </c>
      <c r="C1033" s="41">
        <v>45356.0</v>
      </c>
      <c r="D1033" s="40" t="s">
        <v>7567</v>
      </c>
      <c r="E1033" s="41" t="s">
        <v>7568</v>
      </c>
      <c r="F1033" s="43" t="s">
        <v>7569</v>
      </c>
      <c r="G1033" s="43" t="s">
        <v>7570</v>
      </c>
      <c r="H1033" s="51" t="s">
        <v>148</v>
      </c>
      <c r="I1033" s="25" t="str">
        <f>IFERROR(__xludf.DUMMYFUNCTION("GOOGLETRANSLATE(H1033,""EN"",""ES"")"),"Gastronomía")</f>
        <v>Gastronomía</v>
      </c>
      <c r="J1033" s="26" t="s">
        <v>27</v>
      </c>
      <c r="K1033" s="17">
        <v>0.0</v>
      </c>
      <c r="L1033" s="54"/>
      <c r="M1033" s="31"/>
      <c r="N1033" s="66"/>
      <c r="O1033" s="66"/>
      <c r="P1033" s="20">
        <v>0.0</v>
      </c>
      <c r="Q1033" s="31"/>
      <c r="R1033" s="31"/>
      <c r="S1033" s="53"/>
      <c r="T1033" s="32"/>
    </row>
    <row r="1034">
      <c r="A1034" s="33" t="s">
        <v>7571</v>
      </c>
      <c r="B1034" s="60" t="s">
        <v>85</v>
      </c>
      <c r="C1034" s="41">
        <v>45356.0</v>
      </c>
      <c r="D1034" s="40" t="s">
        <v>7572</v>
      </c>
      <c r="E1034" s="41" t="s">
        <v>7573</v>
      </c>
      <c r="F1034" s="43" t="s">
        <v>7574</v>
      </c>
      <c r="G1034" s="43" t="s">
        <v>7575</v>
      </c>
      <c r="H1034" s="51" t="s">
        <v>148</v>
      </c>
      <c r="I1034" s="15" t="str">
        <f>IFERROR(__xludf.DUMMYFUNCTION("GOOGLETRANSLATE(H1034,""EN"",""ES"")"),"Gastronomía")</f>
        <v>Gastronomía</v>
      </c>
      <c r="J1034" s="16" t="s">
        <v>27</v>
      </c>
      <c r="K1034" s="17">
        <v>0.0</v>
      </c>
      <c r="L1034" s="45"/>
      <c r="M1034" s="18"/>
      <c r="N1034" s="65"/>
      <c r="O1034" s="65"/>
      <c r="P1034" s="20">
        <v>0.0</v>
      </c>
      <c r="Q1034" s="18"/>
      <c r="R1034" s="18"/>
      <c r="S1034" s="52"/>
      <c r="T1034" s="22"/>
    </row>
    <row r="1035">
      <c r="A1035" s="23" t="s">
        <v>7576</v>
      </c>
      <c r="B1035" s="58" t="s">
        <v>7577</v>
      </c>
      <c r="C1035" s="41">
        <v>45356.0</v>
      </c>
      <c r="D1035" s="40" t="s">
        <v>7578</v>
      </c>
      <c r="E1035" s="41" t="s">
        <v>7579</v>
      </c>
      <c r="F1035" s="43" t="s">
        <v>7580</v>
      </c>
      <c r="G1035" s="43" t="s">
        <v>7581</v>
      </c>
      <c r="H1035" s="51" t="s">
        <v>148</v>
      </c>
      <c r="I1035" s="25" t="str">
        <f>IFERROR(__xludf.DUMMYFUNCTION("GOOGLETRANSLATE(H1035,""EN"",""ES"")"),"Gastronomía")</f>
        <v>Gastronomía</v>
      </c>
      <c r="J1035" s="26" t="s">
        <v>27</v>
      </c>
      <c r="K1035" s="17">
        <v>0.0</v>
      </c>
      <c r="L1035" s="54"/>
      <c r="M1035" s="31"/>
      <c r="N1035" s="66"/>
      <c r="O1035" s="66"/>
      <c r="P1035" s="20">
        <v>0.0</v>
      </c>
      <c r="Q1035" s="31"/>
      <c r="R1035" s="31"/>
      <c r="S1035" s="53"/>
      <c r="T1035" s="32"/>
    </row>
    <row r="1036">
      <c r="A1036" s="33" t="s">
        <v>7582</v>
      </c>
      <c r="B1036" s="60" t="s">
        <v>192</v>
      </c>
      <c r="C1036" s="41">
        <v>45356.0</v>
      </c>
      <c r="D1036" s="40" t="s">
        <v>7583</v>
      </c>
      <c r="E1036" s="41" t="s">
        <v>7584</v>
      </c>
      <c r="F1036" s="43" t="s">
        <v>7585</v>
      </c>
      <c r="G1036" s="43" t="s">
        <v>7586</v>
      </c>
      <c r="H1036" s="51" t="s">
        <v>148</v>
      </c>
      <c r="I1036" s="15" t="str">
        <f>IFERROR(__xludf.DUMMYFUNCTION("GOOGLETRANSLATE(H1036,""EN"",""ES"")"),"Gastronomía")</f>
        <v>Gastronomía</v>
      </c>
      <c r="J1036" s="16" t="s">
        <v>27</v>
      </c>
      <c r="K1036" s="17">
        <v>0.0</v>
      </c>
      <c r="L1036" s="45"/>
      <c r="M1036" s="18"/>
      <c r="N1036" s="65"/>
      <c r="O1036" s="65"/>
      <c r="P1036" s="20">
        <v>0.0</v>
      </c>
      <c r="Q1036" s="18"/>
      <c r="R1036" s="18"/>
      <c r="S1036" s="52"/>
      <c r="T1036" s="22"/>
    </row>
    <row r="1037">
      <c r="A1037" s="23" t="s">
        <v>7587</v>
      </c>
      <c r="B1037" s="58" t="s">
        <v>1768</v>
      </c>
      <c r="C1037" s="41">
        <v>45356.0</v>
      </c>
      <c r="D1037" s="40" t="s">
        <v>7588</v>
      </c>
      <c r="E1037" s="41" t="s">
        <v>7589</v>
      </c>
      <c r="F1037" s="43" t="s">
        <v>7590</v>
      </c>
      <c r="G1037" s="43" t="s">
        <v>7591</v>
      </c>
      <c r="H1037" s="51" t="s">
        <v>148</v>
      </c>
      <c r="I1037" s="25" t="str">
        <f>IFERROR(__xludf.DUMMYFUNCTION("GOOGLETRANSLATE(H1037,""EN"",""ES"")"),"Gastronomía")</f>
        <v>Gastronomía</v>
      </c>
      <c r="J1037" s="26" t="s">
        <v>27</v>
      </c>
      <c r="K1037" s="17">
        <v>0.0</v>
      </c>
      <c r="L1037" s="54"/>
      <c r="M1037" s="31"/>
      <c r="N1037" s="66"/>
      <c r="O1037" s="66"/>
      <c r="P1037" s="20">
        <v>0.0</v>
      </c>
      <c r="Q1037" s="31"/>
      <c r="R1037" s="31"/>
      <c r="S1037" s="53"/>
      <c r="T1037" s="32"/>
    </row>
    <row r="1038">
      <c r="A1038" s="33" t="s">
        <v>7592</v>
      </c>
      <c r="B1038" s="60" t="s">
        <v>7593</v>
      </c>
      <c r="C1038" s="41">
        <v>45356.0</v>
      </c>
      <c r="D1038" s="40" t="s">
        <v>7594</v>
      </c>
      <c r="E1038" s="41" t="s">
        <v>7595</v>
      </c>
      <c r="F1038" s="43" t="s">
        <v>7596</v>
      </c>
      <c r="G1038" s="43" t="s">
        <v>7597</v>
      </c>
      <c r="H1038" s="51" t="s">
        <v>148</v>
      </c>
      <c r="I1038" s="15" t="str">
        <f>IFERROR(__xludf.DUMMYFUNCTION("GOOGLETRANSLATE(H1038,""EN"",""ES"")"),"Gastronomía")</f>
        <v>Gastronomía</v>
      </c>
      <c r="J1038" s="16" t="s">
        <v>27</v>
      </c>
      <c r="K1038" s="17">
        <v>0.0</v>
      </c>
      <c r="L1038" s="45"/>
      <c r="M1038" s="18"/>
      <c r="N1038" s="65"/>
      <c r="O1038" s="65"/>
      <c r="P1038" s="20">
        <v>0.0</v>
      </c>
      <c r="Q1038" s="18"/>
      <c r="R1038" s="18"/>
      <c r="S1038" s="52"/>
      <c r="T1038" s="22"/>
    </row>
    <row r="1039">
      <c r="A1039" s="23" t="s">
        <v>7598</v>
      </c>
      <c r="B1039" s="58" t="s">
        <v>85</v>
      </c>
      <c r="C1039" s="41">
        <v>45356.0</v>
      </c>
      <c r="D1039" s="40" t="s">
        <v>7599</v>
      </c>
      <c r="E1039" s="41" t="s">
        <v>7600</v>
      </c>
      <c r="F1039" s="43" t="s">
        <v>7601</v>
      </c>
      <c r="G1039" s="43" t="s">
        <v>7602</v>
      </c>
      <c r="H1039" s="51" t="s">
        <v>148</v>
      </c>
      <c r="I1039" s="25" t="str">
        <f>IFERROR(__xludf.DUMMYFUNCTION("GOOGLETRANSLATE(H1039,""EN"",""ES"")"),"Gastronomía")</f>
        <v>Gastronomía</v>
      </c>
      <c r="J1039" s="26" t="s">
        <v>27</v>
      </c>
      <c r="K1039" s="17">
        <v>0.0</v>
      </c>
      <c r="L1039" s="54"/>
      <c r="M1039" s="31"/>
      <c r="N1039" s="66"/>
      <c r="O1039" s="66"/>
      <c r="P1039" s="20">
        <v>0.0</v>
      </c>
      <c r="Q1039" s="31"/>
      <c r="R1039" s="31"/>
      <c r="S1039" s="53"/>
      <c r="T1039" s="32"/>
    </row>
    <row r="1040">
      <c r="A1040" s="33" t="s">
        <v>7603</v>
      </c>
      <c r="B1040" s="60" t="s">
        <v>437</v>
      </c>
      <c r="C1040" s="41">
        <v>45356.0</v>
      </c>
      <c r="D1040" s="40" t="s">
        <v>7604</v>
      </c>
      <c r="E1040" s="41" t="s">
        <v>7605</v>
      </c>
      <c r="F1040" s="43" t="s">
        <v>7606</v>
      </c>
      <c r="G1040" s="43" t="s">
        <v>7607</v>
      </c>
      <c r="H1040" s="51" t="s">
        <v>148</v>
      </c>
      <c r="I1040" s="15" t="str">
        <f>IFERROR(__xludf.DUMMYFUNCTION("GOOGLETRANSLATE(H1040,""EN"",""ES"")"),"Gastronomía")</f>
        <v>Gastronomía</v>
      </c>
      <c r="J1040" s="16" t="s">
        <v>27</v>
      </c>
      <c r="K1040" s="17">
        <v>0.0</v>
      </c>
      <c r="L1040" s="45"/>
      <c r="M1040" s="18"/>
      <c r="N1040" s="65"/>
      <c r="O1040" s="65"/>
      <c r="P1040" s="20">
        <v>0.0</v>
      </c>
      <c r="Q1040" s="18"/>
      <c r="R1040" s="18"/>
      <c r="S1040" s="52"/>
      <c r="T1040" s="22"/>
    </row>
    <row r="1041">
      <c r="A1041" s="23" t="s">
        <v>7608</v>
      </c>
      <c r="B1041" s="58" t="s">
        <v>1005</v>
      </c>
      <c r="C1041" s="41">
        <v>45356.0</v>
      </c>
      <c r="D1041" s="40" t="s">
        <v>7609</v>
      </c>
      <c r="E1041" s="41" t="s">
        <v>7610</v>
      </c>
      <c r="F1041" s="43" t="s">
        <v>7611</v>
      </c>
      <c r="G1041" s="43" t="s">
        <v>7612</v>
      </c>
      <c r="H1041" s="51" t="s">
        <v>148</v>
      </c>
      <c r="I1041" s="25" t="str">
        <f>IFERROR(__xludf.DUMMYFUNCTION("GOOGLETRANSLATE(H1041,""EN"",""ES"")"),"Gastronomía")</f>
        <v>Gastronomía</v>
      </c>
      <c r="J1041" s="26" t="s">
        <v>27</v>
      </c>
      <c r="K1041" s="17">
        <v>0.0</v>
      </c>
      <c r="L1041" s="54"/>
      <c r="M1041" s="31"/>
      <c r="N1041" s="66"/>
      <c r="O1041" s="66"/>
      <c r="P1041" s="20">
        <v>0.0</v>
      </c>
      <c r="Q1041" s="31"/>
      <c r="R1041" s="31"/>
      <c r="S1041" s="53"/>
      <c r="T1041" s="32"/>
    </row>
    <row r="1042">
      <c r="A1042" s="33" t="s">
        <v>7613</v>
      </c>
      <c r="B1042" s="60" t="s">
        <v>2008</v>
      </c>
      <c r="C1042" s="41">
        <v>45356.0</v>
      </c>
      <c r="D1042" s="40" t="s">
        <v>7614</v>
      </c>
      <c r="E1042" s="41" t="s">
        <v>7615</v>
      </c>
      <c r="F1042" s="43" t="s">
        <v>7616</v>
      </c>
      <c r="G1042" s="43" t="s">
        <v>7617</v>
      </c>
      <c r="H1042" s="51" t="s">
        <v>148</v>
      </c>
      <c r="I1042" s="15" t="str">
        <f>IFERROR(__xludf.DUMMYFUNCTION("GOOGLETRANSLATE(H1042,""EN"",""ES"")"),"Gastronomía")</f>
        <v>Gastronomía</v>
      </c>
      <c r="J1042" s="16" t="s">
        <v>27</v>
      </c>
      <c r="K1042" s="17">
        <v>0.0</v>
      </c>
      <c r="L1042" s="45"/>
      <c r="M1042" s="18"/>
      <c r="N1042" s="65"/>
      <c r="O1042" s="65"/>
      <c r="P1042" s="20">
        <v>0.0</v>
      </c>
      <c r="Q1042" s="18"/>
      <c r="R1042" s="18"/>
      <c r="S1042" s="52"/>
      <c r="T1042" s="22"/>
    </row>
    <row r="1043">
      <c r="A1043" s="23" t="s">
        <v>7618</v>
      </c>
      <c r="B1043" s="58" t="s">
        <v>1993</v>
      </c>
      <c r="C1043" s="41">
        <v>45356.0</v>
      </c>
      <c r="D1043" s="40" t="s">
        <v>7619</v>
      </c>
      <c r="E1043" s="41" t="s">
        <v>6942</v>
      </c>
      <c r="F1043" s="43" t="s">
        <v>7620</v>
      </c>
      <c r="G1043" s="43" t="s">
        <v>6944</v>
      </c>
      <c r="H1043" s="51" t="s">
        <v>148</v>
      </c>
      <c r="I1043" s="25" t="str">
        <f>IFERROR(__xludf.DUMMYFUNCTION("GOOGLETRANSLATE(H1043,""EN"",""ES"")"),"Gastronomía")</f>
        <v>Gastronomía</v>
      </c>
      <c r="J1043" s="26" t="s">
        <v>27</v>
      </c>
      <c r="K1043" s="17">
        <v>0.0</v>
      </c>
      <c r="L1043" s="54"/>
      <c r="M1043" s="31"/>
      <c r="N1043" s="66"/>
      <c r="O1043" s="66"/>
      <c r="P1043" s="20">
        <v>0.0</v>
      </c>
      <c r="Q1043" s="31"/>
      <c r="R1043" s="31"/>
      <c r="S1043" s="53"/>
      <c r="T1043" s="32"/>
    </row>
    <row r="1044">
      <c r="A1044" s="33" t="s">
        <v>7621</v>
      </c>
      <c r="B1044" s="60" t="s">
        <v>85</v>
      </c>
      <c r="C1044" s="41">
        <v>45356.0</v>
      </c>
      <c r="D1044" s="40" t="s">
        <v>7622</v>
      </c>
      <c r="E1044" s="41" t="s">
        <v>7623</v>
      </c>
      <c r="F1044" s="43" t="s">
        <v>7624</v>
      </c>
      <c r="G1044" s="43" t="s">
        <v>7625</v>
      </c>
      <c r="H1044" s="51" t="s">
        <v>148</v>
      </c>
      <c r="I1044" s="15" t="str">
        <f>IFERROR(__xludf.DUMMYFUNCTION("GOOGLETRANSLATE(H1044,""EN"",""ES"")"),"Gastronomía")</f>
        <v>Gastronomía</v>
      </c>
      <c r="J1044" s="16" t="s">
        <v>27</v>
      </c>
      <c r="K1044" s="17">
        <v>0.0</v>
      </c>
      <c r="L1044" s="45"/>
      <c r="M1044" s="18"/>
      <c r="N1044" s="65"/>
      <c r="O1044" s="65"/>
      <c r="P1044" s="20">
        <v>0.0</v>
      </c>
      <c r="Q1044" s="18"/>
      <c r="R1044" s="18"/>
      <c r="S1044" s="52"/>
      <c r="T1044" s="22"/>
    </row>
    <row r="1045">
      <c r="A1045" s="23" t="s">
        <v>7626</v>
      </c>
      <c r="B1045" s="58" t="s">
        <v>6642</v>
      </c>
      <c r="C1045" s="41">
        <v>45356.0</v>
      </c>
      <c r="D1045" s="40" t="s">
        <v>7627</v>
      </c>
      <c r="E1045" s="41" t="s">
        <v>7628</v>
      </c>
      <c r="F1045" s="43" t="s">
        <v>7629</v>
      </c>
      <c r="G1045" s="43" t="s">
        <v>7630</v>
      </c>
      <c r="H1045" s="51" t="s">
        <v>148</v>
      </c>
      <c r="I1045" s="25" t="str">
        <f>IFERROR(__xludf.DUMMYFUNCTION("GOOGLETRANSLATE(H1045,""EN"",""ES"")"),"Gastronomía")</f>
        <v>Gastronomía</v>
      </c>
      <c r="J1045" s="26" t="s">
        <v>27</v>
      </c>
      <c r="K1045" s="17">
        <v>0.0</v>
      </c>
      <c r="L1045" s="54"/>
      <c r="M1045" s="31"/>
      <c r="N1045" s="66"/>
      <c r="O1045" s="66"/>
      <c r="P1045" s="20">
        <v>0.0</v>
      </c>
      <c r="Q1045" s="31"/>
      <c r="R1045" s="31"/>
      <c r="S1045" s="53"/>
      <c r="T1045" s="32"/>
    </row>
    <row r="1046">
      <c r="A1046" s="33" t="s">
        <v>7631</v>
      </c>
      <c r="B1046" s="60" t="s">
        <v>43</v>
      </c>
      <c r="C1046" s="41">
        <v>45356.0</v>
      </c>
      <c r="D1046" s="40" t="s">
        <v>7632</v>
      </c>
      <c r="E1046" s="70" t="s">
        <v>7633</v>
      </c>
      <c r="F1046" s="43" t="s">
        <v>7634</v>
      </c>
      <c r="G1046" s="43" t="s">
        <v>7635</v>
      </c>
      <c r="H1046" s="65" t="s">
        <v>130</v>
      </c>
      <c r="I1046" s="15" t="str">
        <f>IFERROR(__xludf.DUMMYFUNCTION("GOOGLETRANSLATE(H1046,""EN"",""ES"")"),"Sostenibilidad")</f>
        <v>Sostenibilidad</v>
      </c>
      <c r="J1046" s="16" t="s">
        <v>35</v>
      </c>
      <c r="K1046" s="48">
        <v>0.7</v>
      </c>
      <c r="L1046" s="51" t="s">
        <v>7636</v>
      </c>
      <c r="M1046" s="34" t="s">
        <v>7637</v>
      </c>
      <c r="N1046" s="65" t="s">
        <v>7638</v>
      </c>
      <c r="O1046" s="65" t="str">
        <f>IFERROR(__xludf.DUMMYFUNCTION("GOOGLETRANSLATE(N1046,""EN"",""ES"")"),"La inversión de Repsol en biocombustibles respalda su transición hacia soluciones energéticas más limpias.")</f>
        <v>La inversión de Repsol en biocombustibles respalda su transición hacia soluciones energéticas más limpias.</v>
      </c>
      <c r="P1046" s="30">
        <v>0.0</v>
      </c>
      <c r="Q1046" s="18"/>
      <c r="R1046" s="18"/>
      <c r="S1046" s="52" t="s">
        <v>7639</v>
      </c>
      <c r="T1046" s="22" t="s">
        <v>7640</v>
      </c>
    </row>
    <row r="1047">
      <c r="A1047" s="23" t="s">
        <v>7641</v>
      </c>
      <c r="B1047" s="58" t="s">
        <v>103</v>
      </c>
      <c r="C1047" s="41">
        <v>45356.0</v>
      </c>
      <c r="D1047" s="40" t="s">
        <v>7642</v>
      </c>
      <c r="E1047" s="41" t="s">
        <v>7643</v>
      </c>
      <c r="F1047" s="43" t="s">
        <v>7644</v>
      </c>
      <c r="G1047" s="43" t="s">
        <v>7645</v>
      </c>
      <c r="H1047" s="51" t="s">
        <v>408</v>
      </c>
      <c r="I1047" s="25" t="str">
        <f>IFERROR(__xludf.DUMMYFUNCTION("GOOGLETRANSLATE(H1047,""EN"",""ES"")"),"Legal")</f>
        <v>Legal</v>
      </c>
      <c r="J1047" s="26" t="s">
        <v>27</v>
      </c>
      <c r="K1047" s="17">
        <v>0.0</v>
      </c>
      <c r="L1047" s="54"/>
      <c r="M1047" s="31"/>
      <c r="N1047" s="66"/>
      <c r="O1047" s="66"/>
      <c r="P1047" s="20">
        <v>0.0</v>
      </c>
      <c r="Q1047" s="31"/>
      <c r="R1047" s="31"/>
      <c r="S1047" s="53"/>
      <c r="T1047" s="32"/>
    </row>
    <row r="1048">
      <c r="A1048" s="33" t="s">
        <v>7646</v>
      </c>
      <c r="B1048" s="60" t="s">
        <v>43</v>
      </c>
      <c r="C1048" s="41">
        <v>45356.0</v>
      </c>
      <c r="D1048" s="40" t="s">
        <v>7647</v>
      </c>
      <c r="E1048" s="41" t="s">
        <v>7648</v>
      </c>
      <c r="F1048" s="43" t="s">
        <v>7649</v>
      </c>
      <c r="G1048" s="43" t="s">
        <v>7650</v>
      </c>
      <c r="H1048" s="51" t="s">
        <v>148</v>
      </c>
      <c r="I1048" s="15" t="str">
        <f>IFERROR(__xludf.DUMMYFUNCTION("GOOGLETRANSLATE(H1048,""EN"",""ES"")"),"Gastronomía")</f>
        <v>Gastronomía</v>
      </c>
      <c r="J1048" s="16" t="s">
        <v>27</v>
      </c>
      <c r="K1048" s="17">
        <v>0.0</v>
      </c>
      <c r="L1048" s="45"/>
      <c r="M1048" s="18"/>
      <c r="N1048" s="65"/>
      <c r="O1048" s="65"/>
      <c r="P1048" s="20">
        <v>0.0</v>
      </c>
      <c r="Q1048" s="18"/>
      <c r="R1048" s="18"/>
      <c r="S1048" s="52"/>
      <c r="T1048" s="22"/>
    </row>
    <row r="1049">
      <c r="A1049" s="23" t="s">
        <v>7651</v>
      </c>
      <c r="B1049" s="58" t="s">
        <v>85</v>
      </c>
      <c r="C1049" s="41">
        <v>45356.0</v>
      </c>
      <c r="D1049" s="40" t="s">
        <v>7652</v>
      </c>
      <c r="E1049" s="41" t="s">
        <v>7653</v>
      </c>
      <c r="F1049" s="43" t="s">
        <v>7654</v>
      </c>
      <c r="G1049" s="43" t="s">
        <v>7655</v>
      </c>
      <c r="H1049" s="51" t="s">
        <v>148</v>
      </c>
      <c r="I1049" s="25" t="str">
        <f>IFERROR(__xludf.DUMMYFUNCTION("GOOGLETRANSLATE(H1049,""EN"",""ES"")"),"Gastronomía")</f>
        <v>Gastronomía</v>
      </c>
      <c r="J1049" s="26" t="s">
        <v>27</v>
      </c>
      <c r="K1049" s="17">
        <v>0.0</v>
      </c>
      <c r="L1049" s="54"/>
      <c r="M1049" s="31"/>
      <c r="N1049" s="66"/>
      <c r="O1049" s="66"/>
      <c r="P1049" s="20">
        <v>0.0</v>
      </c>
      <c r="Q1049" s="31"/>
      <c r="R1049" s="31"/>
      <c r="S1049" s="53"/>
      <c r="T1049" s="32"/>
    </row>
    <row r="1050">
      <c r="A1050" s="33" t="s">
        <v>7656</v>
      </c>
      <c r="B1050" s="60" t="s">
        <v>977</v>
      </c>
      <c r="C1050" s="41">
        <v>45356.0</v>
      </c>
      <c r="D1050" s="40" t="s">
        <v>7657</v>
      </c>
      <c r="E1050" s="41" t="s">
        <v>7658</v>
      </c>
      <c r="F1050" s="43" t="s">
        <v>7659</v>
      </c>
      <c r="G1050" s="43" t="s">
        <v>7660</v>
      </c>
      <c r="H1050" s="51" t="s">
        <v>148</v>
      </c>
      <c r="I1050" s="15" t="str">
        <f>IFERROR(__xludf.DUMMYFUNCTION("GOOGLETRANSLATE(H1050,""EN"",""ES"")"),"Gastronomía")</f>
        <v>Gastronomía</v>
      </c>
      <c r="J1050" s="16" t="s">
        <v>27</v>
      </c>
      <c r="K1050" s="17">
        <v>0.0</v>
      </c>
      <c r="L1050" s="45"/>
      <c r="M1050" s="18"/>
      <c r="N1050" s="65"/>
      <c r="O1050" s="65"/>
      <c r="P1050" s="20">
        <v>0.0</v>
      </c>
      <c r="Q1050" s="18"/>
      <c r="R1050" s="18"/>
      <c r="S1050" s="52"/>
      <c r="T1050" s="22"/>
    </row>
    <row r="1051">
      <c r="A1051" s="23" t="s">
        <v>7661</v>
      </c>
      <c r="B1051" s="58" t="s">
        <v>7662</v>
      </c>
      <c r="C1051" s="41">
        <v>45356.0</v>
      </c>
      <c r="D1051" s="40" t="s">
        <v>7663</v>
      </c>
      <c r="E1051" s="41" t="s">
        <v>7664</v>
      </c>
      <c r="F1051" s="43" t="s">
        <v>7665</v>
      </c>
      <c r="G1051" s="43" t="s">
        <v>7666</v>
      </c>
      <c r="H1051" s="51" t="s">
        <v>661</v>
      </c>
      <c r="I1051" s="25" t="str">
        <f>IFERROR(__xludf.DUMMYFUNCTION("GOOGLETRANSLATE(H1051,""EN"",""ES"")"),"Estrategia empresarial")</f>
        <v>Estrategia empresarial</v>
      </c>
      <c r="J1051" s="26" t="s">
        <v>27</v>
      </c>
      <c r="K1051" s="17">
        <v>0.0</v>
      </c>
      <c r="L1051" s="54"/>
      <c r="M1051" s="31"/>
      <c r="N1051" s="66"/>
      <c r="O1051" s="66"/>
      <c r="P1051" s="20">
        <v>0.0</v>
      </c>
      <c r="Q1051" s="31"/>
      <c r="R1051" s="31"/>
      <c r="S1051" s="53"/>
      <c r="T1051" s="32"/>
    </row>
    <row r="1052">
      <c r="A1052" s="33" t="s">
        <v>7667</v>
      </c>
      <c r="B1052" s="60" t="s">
        <v>1093</v>
      </c>
      <c r="C1052" s="41">
        <v>45356.0</v>
      </c>
      <c r="D1052" s="40" t="s">
        <v>7668</v>
      </c>
      <c r="E1052" s="41" t="s">
        <v>7669</v>
      </c>
      <c r="F1052" s="43" t="s">
        <v>7670</v>
      </c>
      <c r="G1052" s="43" t="s">
        <v>7671</v>
      </c>
      <c r="H1052" s="51" t="s">
        <v>148</v>
      </c>
      <c r="I1052" s="15" t="str">
        <f>IFERROR(__xludf.DUMMYFUNCTION("GOOGLETRANSLATE(H1052,""EN"",""ES"")"),"Gastronomía")</f>
        <v>Gastronomía</v>
      </c>
      <c r="J1052" s="16" t="s">
        <v>27</v>
      </c>
      <c r="K1052" s="17">
        <v>0.0</v>
      </c>
      <c r="L1052" s="45"/>
      <c r="M1052" s="18"/>
      <c r="N1052" s="65"/>
      <c r="O1052" s="65"/>
      <c r="P1052" s="20">
        <v>0.0</v>
      </c>
      <c r="Q1052" s="18"/>
      <c r="R1052" s="18"/>
      <c r="S1052" s="52"/>
      <c r="T1052" s="22"/>
    </row>
    <row r="1053">
      <c r="A1053" s="23" t="s">
        <v>7672</v>
      </c>
      <c r="B1053" s="58" t="s">
        <v>7463</v>
      </c>
      <c r="C1053" s="41">
        <v>45356.0</v>
      </c>
      <c r="D1053" s="40" t="s">
        <v>7673</v>
      </c>
      <c r="E1053" s="41" t="s">
        <v>7674</v>
      </c>
      <c r="F1053" s="43" t="s">
        <v>7675</v>
      </c>
      <c r="G1053" s="43" t="s">
        <v>7676</v>
      </c>
      <c r="H1053" s="51" t="s">
        <v>148</v>
      </c>
      <c r="I1053" s="25" t="str">
        <f>IFERROR(__xludf.DUMMYFUNCTION("GOOGLETRANSLATE(H1053,""EN"",""ES"")"),"Gastronomía")</f>
        <v>Gastronomía</v>
      </c>
      <c r="J1053" s="26" t="s">
        <v>27</v>
      </c>
      <c r="K1053" s="17">
        <v>0.0</v>
      </c>
      <c r="L1053" s="54"/>
      <c r="M1053" s="31"/>
      <c r="N1053" s="66"/>
      <c r="O1053" s="66"/>
      <c r="P1053" s="20">
        <v>0.0</v>
      </c>
      <c r="Q1053" s="31"/>
      <c r="R1053" s="31"/>
      <c r="S1053" s="53"/>
      <c r="T1053" s="32"/>
    </row>
    <row r="1054">
      <c r="A1054" s="33" t="s">
        <v>7677</v>
      </c>
      <c r="B1054" s="60" t="s">
        <v>7678</v>
      </c>
      <c r="C1054" s="41">
        <v>45356.0</v>
      </c>
      <c r="D1054" s="40" t="s">
        <v>7679</v>
      </c>
      <c r="E1054" s="41" t="s">
        <v>7680</v>
      </c>
      <c r="F1054" s="43" t="s">
        <v>7681</v>
      </c>
      <c r="G1054" s="43" t="s">
        <v>7682</v>
      </c>
      <c r="H1054" s="51" t="s">
        <v>148</v>
      </c>
      <c r="I1054" s="15" t="str">
        <f>IFERROR(__xludf.DUMMYFUNCTION("GOOGLETRANSLATE(H1054,""EN"",""ES"")"),"Gastronomía")</f>
        <v>Gastronomía</v>
      </c>
      <c r="J1054" s="16" t="s">
        <v>27</v>
      </c>
      <c r="K1054" s="17">
        <v>0.0</v>
      </c>
      <c r="L1054" s="45"/>
      <c r="M1054" s="18"/>
      <c r="N1054" s="65"/>
      <c r="O1054" s="65"/>
      <c r="P1054" s="20">
        <v>0.0</v>
      </c>
      <c r="Q1054" s="18"/>
      <c r="R1054" s="18"/>
      <c r="S1054" s="52"/>
      <c r="T1054" s="22"/>
    </row>
    <row r="1055">
      <c r="A1055" s="23" t="s">
        <v>7683</v>
      </c>
      <c r="B1055" s="58" t="s">
        <v>7684</v>
      </c>
      <c r="C1055" s="41">
        <v>45356.0</v>
      </c>
      <c r="D1055" s="40" t="s">
        <v>7685</v>
      </c>
      <c r="E1055" s="41" t="s">
        <v>7686</v>
      </c>
      <c r="F1055" s="43" t="s">
        <v>7687</v>
      </c>
      <c r="G1055" s="43" t="s">
        <v>7688</v>
      </c>
      <c r="H1055" s="51" t="s">
        <v>148</v>
      </c>
      <c r="I1055" s="25" t="str">
        <f>IFERROR(__xludf.DUMMYFUNCTION("GOOGLETRANSLATE(H1055,""EN"",""ES"")"),"Gastronomía")</f>
        <v>Gastronomía</v>
      </c>
      <c r="J1055" s="26" t="s">
        <v>27</v>
      </c>
      <c r="K1055" s="17">
        <v>0.0</v>
      </c>
      <c r="L1055" s="54"/>
      <c r="M1055" s="31"/>
      <c r="N1055" s="66"/>
      <c r="O1055" s="66"/>
      <c r="P1055" s="20">
        <v>0.0</v>
      </c>
      <c r="Q1055" s="31"/>
      <c r="R1055" s="31"/>
      <c r="S1055" s="53"/>
      <c r="T1055" s="32"/>
    </row>
    <row r="1056">
      <c r="A1056" s="33" t="s">
        <v>7689</v>
      </c>
      <c r="B1056" s="60" t="s">
        <v>1005</v>
      </c>
      <c r="C1056" s="41">
        <v>45356.0</v>
      </c>
      <c r="D1056" s="40" t="s">
        <v>7690</v>
      </c>
      <c r="E1056" s="41" t="s">
        <v>7691</v>
      </c>
      <c r="F1056" s="43" t="s">
        <v>7692</v>
      </c>
      <c r="G1056" s="43" t="s">
        <v>7693</v>
      </c>
      <c r="H1056" s="51" t="s">
        <v>148</v>
      </c>
      <c r="I1056" s="15" t="str">
        <f>IFERROR(__xludf.DUMMYFUNCTION("GOOGLETRANSLATE(H1056,""EN"",""ES"")"),"Gastronomía")</f>
        <v>Gastronomía</v>
      </c>
      <c r="J1056" s="16" t="s">
        <v>27</v>
      </c>
      <c r="K1056" s="17">
        <v>0.0</v>
      </c>
      <c r="L1056" s="45"/>
      <c r="M1056" s="18"/>
      <c r="N1056" s="65"/>
      <c r="O1056" s="65"/>
      <c r="P1056" s="20">
        <v>0.0</v>
      </c>
      <c r="Q1056" s="18"/>
      <c r="R1056" s="18"/>
      <c r="S1056" s="52"/>
      <c r="T1056" s="22"/>
    </row>
    <row r="1057">
      <c r="A1057" s="23" t="s">
        <v>7694</v>
      </c>
      <c r="B1057" s="58" t="s">
        <v>7695</v>
      </c>
      <c r="C1057" s="41">
        <v>45356.0</v>
      </c>
      <c r="D1057" s="40" t="s">
        <v>7696</v>
      </c>
      <c r="E1057" s="41" t="s">
        <v>7697</v>
      </c>
      <c r="F1057" s="43" t="s">
        <v>7698</v>
      </c>
      <c r="G1057" s="43" t="s">
        <v>7699</v>
      </c>
      <c r="H1057" s="51" t="s">
        <v>148</v>
      </c>
      <c r="I1057" s="25" t="str">
        <f>IFERROR(__xludf.DUMMYFUNCTION("GOOGLETRANSLATE(H1057,""EN"",""ES"")"),"Gastronomía")</f>
        <v>Gastronomía</v>
      </c>
      <c r="J1057" s="26" t="s">
        <v>27</v>
      </c>
      <c r="K1057" s="17">
        <v>0.0</v>
      </c>
      <c r="L1057" s="54"/>
      <c r="M1057" s="31"/>
      <c r="N1057" s="66"/>
      <c r="O1057" s="66"/>
      <c r="P1057" s="20">
        <v>0.0</v>
      </c>
      <c r="Q1057" s="31"/>
      <c r="R1057" s="31"/>
      <c r="S1057" s="53"/>
      <c r="T1057" s="32"/>
    </row>
    <row r="1058">
      <c r="A1058" s="33" t="s">
        <v>7700</v>
      </c>
      <c r="B1058" s="60" t="s">
        <v>7701</v>
      </c>
      <c r="C1058" s="41">
        <v>45356.0</v>
      </c>
      <c r="D1058" s="40" t="s">
        <v>7702</v>
      </c>
      <c r="E1058" s="41" t="s">
        <v>7703</v>
      </c>
      <c r="F1058" s="43" t="s">
        <v>7704</v>
      </c>
      <c r="G1058" s="43" t="s">
        <v>7705</v>
      </c>
      <c r="H1058" s="51" t="s">
        <v>130</v>
      </c>
      <c r="I1058" s="15" t="str">
        <f>IFERROR(__xludf.DUMMYFUNCTION("GOOGLETRANSLATE(H1058,""EN"",""ES"")"),"Sostenibilidad")</f>
        <v>Sostenibilidad</v>
      </c>
      <c r="J1058" s="16" t="s">
        <v>35</v>
      </c>
      <c r="K1058" s="48">
        <v>0.8</v>
      </c>
      <c r="L1058" s="51" t="s">
        <v>7706</v>
      </c>
      <c r="M1058" s="34" t="s">
        <v>7707</v>
      </c>
      <c r="N1058" s="65" t="s">
        <v>7708</v>
      </c>
      <c r="O1058" s="65" t="str">
        <f>IFERROR(__xludf.DUMMYFUNCTION("GOOGLETRANSLATE(N1058,""EN"",""ES"")"),"Impulsar el uso sostenible de combustibles de aviación refuerza el liderazgo de Repsol en energías verdes.")</f>
        <v>Impulsar el uso sostenible de combustibles de aviación refuerza el liderazgo de Repsol en energías verdes.</v>
      </c>
      <c r="P1058" s="30">
        <v>0.7</v>
      </c>
      <c r="Q1058" s="18" t="str">
        <f>IFERROR(__xludf.DUMMYFUNCTION("GOOGLETRANSLATE(R1058,""ES"",""EN"")"),"first flight, sustainable fuel, Repsol")</f>
        <v>first flight, sustainable fuel, Repsol</v>
      </c>
      <c r="R1058" s="34" t="s">
        <v>7709</v>
      </c>
      <c r="S1058" s="52" t="s">
        <v>7710</v>
      </c>
      <c r="T1058" s="22" t="s">
        <v>7711</v>
      </c>
    </row>
    <row r="1059">
      <c r="A1059" s="23" t="s">
        <v>7712</v>
      </c>
      <c r="B1059" s="58" t="s">
        <v>7713</v>
      </c>
      <c r="C1059" s="41">
        <v>45356.0</v>
      </c>
      <c r="D1059" s="40" t="s">
        <v>7714</v>
      </c>
      <c r="E1059" s="41" t="s">
        <v>7715</v>
      </c>
      <c r="F1059" s="43" t="s">
        <v>7716</v>
      </c>
      <c r="G1059" s="43" t="s">
        <v>7717</v>
      </c>
      <c r="H1059" s="51" t="s">
        <v>148</v>
      </c>
      <c r="I1059" s="25" t="str">
        <f>IFERROR(__xludf.DUMMYFUNCTION("GOOGLETRANSLATE(H1059,""EN"",""ES"")"),"Gastronomía")</f>
        <v>Gastronomía</v>
      </c>
      <c r="J1059" s="26" t="s">
        <v>27</v>
      </c>
      <c r="K1059" s="17">
        <v>0.0</v>
      </c>
      <c r="L1059" s="54"/>
      <c r="M1059" s="31"/>
      <c r="N1059" s="66"/>
      <c r="O1059" s="66"/>
      <c r="P1059" s="20">
        <v>0.0</v>
      </c>
      <c r="Q1059" s="31"/>
      <c r="R1059" s="31"/>
      <c r="S1059" s="53"/>
      <c r="T1059" s="32"/>
    </row>
    <row r="1060">
      <c r="A1060" s="33" t="s">
        <v>7718</v>
      </c>
      <c r="B1060" s="60" t="s">
        <v>1005</v>
      </c>
      <c r="C1060" s="41">
        <v>45356.0</v>
      </c>
      <c r="D1060" s="40" t="s">
        <v>7719</v>
      </c>
      <c r="E1060" s="41" t="s">
        <v>7720</v>
      </c>
      <c r="F1060" s="43" t="s">
        <v>7721</v>
      </c>
      <c r="G1060" s="43" t="s">
        <v>7722</v>
      </c>
      <c r="H1060" s="51" t="s">
        <v>148</v>
      </c>
      <c r="I1060" s="15" t="str">
        <f>IFERROR(__xludf.DUMMYFUNCTION("GOOGLETRANSLATE(H1060,""EN"",""ES"")"),"Gastronomía")</f>
        <v>Gastronomía</v>
      </c>
      <c r="J1060" s="16" t="s">
        <v>27</v>
      </c>
      <c r="K1060" s="17">
        <v>0.0</v>
      </c>
      <c r="L1060" s="45"/>
      <c r="M1060" s="18"/>
      <c r="N1060" s="65"/>
      <c r="O1060" s="65"/>
      <c r="P1060" s="20">
        <v>0.0</v>
      </c>
      <c r="Q1060" s="18"/>
      <c r="R1060" s="18"/>
      <c r="S1060" s="52"/>
      <c r="T1060" s="22"/>
    </row>
    <row r="1061">
      <c r="A1061" s="23" t="s">
        <v>7723</v>
      </c>
      <c r="B1061" s="58" t="s">
        <v>7295</v>
      </c>
      <c r="C1061" s="41">
        <v>45356.0</v>
      </c>
      <c r="D1061" s="40" t="s">
        <v>7724</v>
      </c>
      <c r="E1061" s="41" t="s">
        <v>7725</v>
      </c>
      <c r="F1061" s="43" t="s">
        <v>7726</v>
      </c>
      <c r="G1061" s="43" t="s">
        <v>7727</v>
      </c>
      <c r="H1061" s="51" t="s">
        <v>148</v>
      </c>
      <c r="I1061" s="25" t="str">
        <f>IFERROR(__xludf.DUMMYFUNCTION("GOOGLETRANSLATE(H1061,""EN"",""ES"")"),"Gastronomía")</f>
        <v>Gastronomía</v>
      </c>
      <c r="J1061" s="26" t="s">
        <v>27</v>
      </c>
      <c r="K1061" s="17">
        <v>0.0</v>
      </c>
      <c r="L1061" s="54"/>
      <c r="M1061" s="31"/>
      <c r="N1061" s="66"/>
      <c r="O1061" s="66"/>
      <c r="P1061" s="20">
        <v>0.0</v>
      </c>
      <c r="Q1061" s="31"/>
      <c r="R1061" s="31"/>
      <c r="S1061" s="53"/>
      <c r="T1061" s="32"/>
    </row>
    <row r="1062">
      <c r="A1062" s="33" t="s">
        <v>7728</v>
      </c>
      <c r="B1062" s="60" t="s">
        <v>85</v>
      </c>
      <c r="C1062" s="41">
        <v>45356.0</v>
      </c>
      <c r="D1062" s="40" t="s">
        <v>7729</v>
      </c>
      <c r="E1062" s="41" t="s">
        <v>7730</v>
      </c>
      <c r="F1062" s="43" t="s">
        <v>7731</v>
      </c>
      <c r="G1062" s="43" t="s">
        <v>7732</v>
      </c>
      <c r="H1062" s="51" t="s">
        <v>148</v>
      </c>
      <c r="I1062" s="15" t="str">
        <f>IFERROR(__xludf.DUMMYFUNCTION("GOOGLETRANSLATE(H1062,""EN"",""ES"")"),"Gastronomía")</f>
        <v>Gastronomía</v>
      </c>
      <c r="J1062" s="16" t="s">
        <v>27</v>
      </c>
      <c r="K1062" s="17">
        <v>0.0</v>
      </c>
      <c r="L1062" s="45"/>
      <c r="M1062" s="18"/>
      <c r="N1062" s="65"/>
      <c r="O1062" s="65"/>
      <c r="P1062" s="20">
        <v>0.0</v>
      </c>
      <c r="Q1062" s="18"/>
      <c r="R1062" s="18"/>
      <c r="S1062" s="52"/>
      <c r="T1062" s="22"/>
    </row>
    <row r="1063">
      <c r="A1063" s="23" t="s">
        <v>7733</v>
      </c>
      <c r="B1063" s="58" t="s">
        <v>7734</v>
      </c>
      <c r="C1063" s="41">
        <v>45356.0</v>
      </c>
      <c r="D1063" s="40" t="s">
        <v>7735</v>
      </c>
      <c r="E1063" s="41" t="s">
        <v>7736</v>
      </c>
      <c r="F1063" s="43" t="s">
        <v>7737</v>
      </c>
      <c r="G1063" s="43" t="s">
        <v>7738</v>
      </c>
      <c r="H1063" s="51" t="s">
        <v>148</v>
      </c>
      <c r="I1063" s="25" t="str">
        <f>IFERROR(__xludf.DUMMYFUNCTION("GOOGLETRANSLATE(H1063,""EN"",""ES"")"),"Gastronomía")</f>
        <v>Gastronomía</v>
      </c>
      <c r="J1063" s="26" t="s">
        <v>27</v>
      </c>
      <c r="K1063" s="17">
        <v>0.0</v>
      </c>
      <c r="L1063" s="54"/>
      <c r="M1063" s="31"/>
      <c r="N1063" s="66"/>
      <c r="O1063" s="66"/>
      <c r="P1063" s="20">
        <v>0.0</v>
      </c>
      <c r="Q1063" s="31"/>
      <c r="R1063" s="31"/>
      <c r="S1063" s="53"/>
      <c r="T1063" s="32"/>
    </row>
    <row r="1064">
      <c r="A1064" s="33" t="s">
        <v>7739</v>
      </c>
      <c r="B1064" s="60" t="s">
        <v>217</v>
      </c>
      <c r="C1064" s="41">
        <v>45357.0</v>
      </c>
      <c r="D1064" s="40" t="s">
        <v>7740</v>
      </c>
      <c r="E1064" s="41" t="s">
        <v>7741</v>
      </c>
      <c r="F1064" s="43" t="s">
        <v>7742</v>
      </c>
      <c r="G1064" s="43" t="s">
        <v>7743</v>
      </c>
      <c r="H1064" s="51" t="s">
        <v>130</v>
      </c>
      <c r="I1064" s="15" t="str">
        <f>IFERROR(__xludf.DUMMYFUNCTION("GOOGLETRANSLATE(H1064,""EN"",""ES"")"),"Sostenibilidad")</f>
        <v>Sostenibilidad</v>
      </c>
      <c r="J1064" s="16" t="s">
        <v>35</v>
      </c>
      <c r="K1064" s="48">
        <v>0.7</v>
      </c>
      <c r="L1064" s="51" t="s">
        <v>7744</v>
      </c>
      <c r="M1064" s="34" t="s">
        <v>7745</v>
      </c>
      <c r="N1064" s="65" t="s">
        <v>7746</v>
      </c>
      <c r="O1064" s="65" t="str">
        <f>IFERROR(__xludf.DUMMYFUNCTION("GOOGLETRANSLATE(N1064,""EN"",""ES"")"),"La ampliación de la oferta de combustibles renovables refuerza el compromiso medioambiental de Repsol.")</f>
        <v>La ampliación de la oferta de combustibles renovables refuerza el compromiso medioambiental de Repsol.</v>
      </c>
      <c r="P1064" s="30">
        <v>0.7</v>
      </c>
      <c r="Q1064" s="18" t="str">
        <f>IFERROR(__xludf.DUMMYFUNCTION("GOOGLETRANSLATE(R1064,""ES"",""EN"")"),"green fuel, renewable, jump")</f>
        <v>green fuel, renewable, jump</v>
      </c>
      <c r="R1064" s="34" t="s">
        <v>7747</v>
      </c>
      <c r="S1064" s="52" t="s">
        <v>7748</v>
      </c>
      <c r="T1064" s="22" t="s">
        <v>7749</v>
      </c>
    </row>
    <row r="1065">
      <c r="A1065" s="23" t="s">
        <v>7750</v>
      </c>
      <c r="B1065" s="58" t="s">
        <v>6804</v>
      </c>
      <c r="C1065" s="41">
        <v>45357.0</v>
      </c>
      <c r="D1065" s="40" t="s">
        <v>7751</v>
      </c>
      <c r="E1065" s="41" t="s">
        <v>7752</v>
      </c>
      <c r="F1065" s="43" t="s">
        <v>7753</v>
      </c>
      <c r="G1065" s="43" t="s">
        <v>7754</v>
      </c>
      <c r="H1065" s="51" t="s">
        <v>148</v>
      </c>
      <c r="I1065" s="25" t="str">
        <f>IFERROR(__xludf.DUMMYFUNCTION("GOOGLETRANSLATE(H1065,""EN"",""ES"")"),"Gastronomía")</f>
        <v>Gastronomía</v>
      </c>
      <c r="J1065" s="26" t="s">
        <v>27</v>
      </c>
      <c r="K1065" s="17">
        <v>0.0</v>
      </c>
      <c r="L1065" s="54"/>
      <c r="M1065" s="31"/>
      <c r="N1065" s="66"/>
      <c r="O1065" s="66"/>
      <c r="P1065" s="20">
        <v>0.0</v>
      </c>
      <c r="Q1065" s="31"/>
      <c r="R1065" s="31"/>
      <c r="S1065" s="53"/>
      <c r="T1065" s="32"/>
    </row>
    <row r="1066">
      <c r="A1066" s="33" t="s">
        <v>7755</v>
      </c>
      <c r="B1066" s="60" t="s">
        <v>558</v>
      </c>
      <c r="C1066" s="41">
        <v>45357.0</v>
      </c>
      <c r="D1066" s="40" t="s">
        <v>7756</v>
      </c>
      <c r="E1066" s="41" t="s">
        <v>7757</v>
      </c>
      <c r="F1066" s="43" t="s">
        <v>7758</v>
      </c>
      <c r="G1066" s="43" t="s">
        <v>7759</v>
      </c>
      <c r="H1066" s="51" t="s">
        <v>48</v>
      </c>
      <c r="I1066" s="15" t="str">
        <f>IFERROR(__xludf.DUMMYFUNCTION("GOOGLETRANSLATE(H1066,""EN"",""ES"")"),"Finanzas")</f>
        <v>Finanzas</v>
      </c>
      <c r="J1066" s="16" t="s">
        <v>27</v>
      </c>
      <c r="K1066" s="17">
        <v>0.0</v>
      </c>
      <c r="L1066" s="45"/>
      <c r="M1066" s="18"/>
      <c r="N1066" s="65"/>
      <c r="O1066" s="65"/>
      <c r="P1066" s="20">
        <v>0.0</v>
      </c>
      <c r="Q1066" s="18"/>
      <c r="R1066" s="18"/>
      <c r="S1066" s="52"/>
      <c r="T1066" s="22"/>
    </row>
    <row r="1067">
      <c r="A1067" s="23" t="s">
        <v>7760</v>
      </c>
      <c r="B1067" s="58" t="s">
        <v>85</v>
      </c>
      <c r="C1067" s="41">
        <v>45357.0</v>
      </c>
      <c r="D1067" s="40" t="s">
        <v>7761</v>
      </c>
      <c r="E1067" s="41" t="s">
        <v>7762</v>
      </c>
      <c r="F1067" s="43" t="s">
        <v>7763</v>
      </c>
      <c r="G1067" s="43" t="s">
        <v>7764</v>
      </c>
      <c r="H1067" s="51" t="s">
        <v>148</v>
      </c>
      <c r="I1067" s="25" t="str">
        <f>IFERROR(__xludf.DUMMYFUNCTION("GOOGLETRANSLATE(H1067,""EN"",""ES"")"),"Gastronomía")</f>
        <v>Gastronomía</v>
      </c>
      <c r="J1067" s="26" t="s">
        <v>27</v>
      </c>
      <c r="K1067" s="17">
        <v>0.0</v>
      </c>
      <c r="L1067" s="54"/>
      <c r="M1067" s="31"/>
      <c r="N1067" s="66"/>
      <c r="O1067" s="66"/>
      <c r="P1067" s="20">
        <v>0.0</v>
      </c>
      <c r="Q1067" s="31"/>
      <c r="R1067" s="31"/>
      <c r="S1067" s="53"/>
      <c r="T1067" s="32"/>
    </row>
    <row r="1068">
      <c r="A1068" s="33" t="s">
        <v>7765</v>
      </c>
      <c r="B1068" s="60" t="s">
        <v>7766</v>
      </c>
      <c r="C1068" s="41">
        <v>45357.0</v>
      </c>
      <c r="D1068" s="40" t="s">
        <v>7767</v>
      </c>
      <c r="E1068" s="41" t="s">
        <v>7768</v>
      </c>
      <c r="F1068" s="43" t="s">
        <v>7769</v>
      </c>
      <c r="G1068" s="43" t="s">
        <v>7770</v>
      </c>
      <c r="H1068" s="51" t="s">
        <v>148</v>
      </c>
      <c r="I1068" s="15" t="str">
        <f>IFERROR(__xludf.DUMMYFUNCTION("GOOGLETRANSLATE(H1068,""EN"",""ES"")"),"Gastronomía")</f>
        <v>Gastronomía</v>
      </c>
      <c r="J1068" s="16" t="s">
        <v>27</v>
      </c>
      <c r="K1068" s="17">
        <v>0.0</v>
      </c>
      <c r="L1068" s="45"/>
      <c r="M1068" s="18"/>
      <c r="N1068" s="65"/>
      <c r="O1068" s="65"/>
      <c r="P1068" s="20">
        <v>0.0</v>
      </c>
      <c r="Q1068" s="18"/>
      <c r="R1068" s="18"/>
      <c r="S1068" s="52"/>
      <c r="T1068" s="22"/>
    </row>
    <row r="1069">
      <c r="A1069" s="23" t="s">
        <v>7771</v>
      </c>
      <c r="B1069" s="58" t="s">
        <v>7772</v>
      </c>
      <c r="C1069" s="41">
        <v>45357.0</v>
      </c>
      <c r="D1069" s="40" t="s">
        <v>7773</v>
      </c>
      <c r="E1069" s="41" t="s">
        <v>7774</v>
      </c>
      <c r="F1069" s="43" t="s">
        <v>7775</v>
      </c>
      <c r="G1069" s="43" t="s">
        <v>7776</v>
      </c>
      <c r="H1069" s="51" t="s">
        <v>148</v>
      </c>
      <c r="I1069" s="25" t="str">
        <f>IFERROR(__xludf.DUMMYFUNCTION("GOOGLETRANSLATE(H1069,""EN"",""ES"")"),"Gastronomía")</f>
        <v>Gastronomía</v>
      </c>
      <c r="J1069" s="26" t="s">
        <v>27</v>
      </c>
      <c r="K1069" s="17">
        <v>0.0</v>
      </c>
      <c r="L1069" s="54"/>
      <c r="M1069" s="31"/>
      <c r="N1069" s="66"/>
      <c r="O1069" s="66"/>
      <c r="P1069" s="20">
        <v>0.0</v>
      </c>
      <c r="Q1069" s="31"/>
      <c r="R1069" s="31"/>
      <c r="S1069" s="53"/>
      <c r="T1069" s="32"/>
    </row>
    <row r="1070">
      <c r="A1070" s="33" t="s">
        <v>7777</v>
      </c>
      <c r="B1070" s="60" t="s">
        <v>2944</v>
      </c>
      <c r="C1070" s="41">
        <v>45357.0</v>
      </c>
      <c r="D1070" s="40" t="s">
        <v>7778</v>
      </c>
      <c r="E1070" s="41" t="s">
        <v>7779</v>
      </c>
      <c r="F1070" s="43" t="s">
        <v>7780</v>
      </c>
      <c r="G1070" s="43" t="s">
        <v>7781</v>
      </c>
      <c r="H1070" s="51" t="s">
        <v>148</v>
      </c>
      <c r="I1070" s="15" t="str">
        <f>IFERROR(__xludf.DUMMYFUNCTION("GOOGLETRANSLATE(H1070,""EN"",""ES"")"),"Gastronomía")</f>
        <v>Gastronomía</v>
      </c>
      <c r="J1070" s="16" t="s">
        <v>27</v>
      </c>
      <c r="K1070" s="17">
        <v>0.0</v>
      </c>
      <c r="L1070" s="45"/>
      <c r="M1070" s="18"/>
      <c r="N1070" s="65"/>
      <c r="O1070" s="65"/>
      <c r="P1070" s="20">
        <v>0.0</v>
      </c>
      <c r="Q1070" s="18"/>
      <c r="R1070" s="18"/>
      <c r="S1070" s="52"/>
      <c r="T1070" s="22"/>
    </row>
    <row r="1071">
      <c r="A1071" s="23" t="s">
        <v>7782</v>
      </c>
      <c r="B1071" s="58" t="s">
        <v>7783</v>
      </c>
      <c r="C1071" s="41">
        <v>45357.0</v>
      </c>
      <c r="D1071" s="40" t="s">
        <v>7784</v>
      </c>
      <c r="E1071" s="41" t="s">
        <v>7785</v>
      </c>
      <c r="F1071" s="43" t="s">
        <v>7786</v>
      </c>
      <c r="G1071" s="43" t="s">
        <v>7787</v>
      </c>
      <c r="H1071" s="51" t="s">
        <v>148</v>
      </c>
      <c r="I1071" s="25" t="str">
        <f>IFERROR(__xludf.DUMMYFUNCTION("GOOGLETRANSLATE(H1071,""EN"",""ES"")"),"Gastronomía")</f>
        <v>Gastronomía</v>
      </c>
      <c r="J1071" s="26" t="s">
        <v>27</v>
      </c>
      <c r="K1071" s="17">
        <v>0.0</v>
      </c>
      <c r="L1071" s="54"/>
      <c r="M1071" s="31"/>
      <c r="N1071" s="66"/>
      <c r="O1071" s="66"/>
      <c r="P1071" s="20">
        <v>0.0</v>
      </c>
      <c r="Q1071" s="31"/>
      <c r="R1071" s="31"/>
      <c r="S1071" s="53"/>
      <c r="T1071" s="32"/>
    </row>
    <row r="1072">
      <c r="A1072" s="33" t="s">
        <v>7788</v>
      </c>
      <c r="B1072" s="60" t="s">
        <v>7789</v>
      </c>
      <c r="C1072" s="41">
        <v>45357.0</v>
      </c>
      <c r="D1072" s="40" t="s">
        <v>7790</v>
      </c>
      <c r="E1072" s="41" t="s">
        <v>7791</v>
      </c>
      <c r="F1072" s="43" t="s">
        <v>7792</v>
      </c>
      <c r="G1072" s="43" t="s">
        <v>7793</v>
      </c>
      <c r="H1072" s="51" t="s">
        <v>148</v>
      </c>
      <c r="I1072" s="15" t="str">
        <f>IFERROR(__xludf.DUMMYFUNCTION("GOOGLETRANSLATE(H1072,""EN"",""ES"")"),"Gastronomía")</f>
        <v>Gastronomía</v>
      </c>
      <c r="J1072" s="16" t="s">
        <v>27</v>
      </c>
      <c r="K1072" s="17">
        <v>0.0</v>
      </c>
      <c r="L1072" s="45"/>
      <c r="M1072" s="18"/>
      <c r="N1072" s="65"/>
      <c r="O1072" s="65"/>
      <c r="P1072" s="20">
        <v>0.0</v>
      </c>
      <c r="Q1072" s="18"/>
      <c r="R1072" s="18"/>
      <c r="S1072" s="52"/>
      <c r="T1072" s="22"/>
    </row>
    <row r="1073">
      <c r="A1073" s="23" t="s">
        <v>7794</v>
      </c>
      <c r="B1073" s="58" t="s">
        <v>21</v>
      </c>
      <c r="C1073" s="41">
        <v>45357.0</v>
      </c>
      <c r="D1073" s="40" t="s">
        <v>7795</v>
      </c>
      <c r="E1073" s="41" t="s">
        <v>7796</v>
      </c>
      <c r="F1073" s="43" t="s">
        <v>7795</v>
      </c>
      <c r="G1073" s="43" t="s">
        <v>7796</v>
      </c>
      <c r="H1073" s="51" t="s">
        <v>148</v>
      </c>
      <c r="I1073" s="25" t="str">
        <f>IFERROR(__xludf.DUMMYFUNCTION("GOOGLETRANSLATE(H1073,""EN"",""ES"")"),"Gastronomía")</f>
        <v>Gastronomía</v>
      </c>
      <c r="J1073" s="26" t="s">
        <v>27</v>
      </c>
      <c r="K1073" s="17">
        <v>0.0</v>
      </c>
      <c r="L1073" s="54"/>
      <c r="M1073" s="31"/>
      <c r="N1073" s="66"/>
      <c r="O1073" s="66"/>
      <c r="P1073" s="20">
        <v>0.0</v>
      </c>
      <c r="Q1073" s="31"/>
      <c r="R1073" s="31"/>
      <c r="S1073" s="53"/>
      <c r="T1073" s="32"/>
    </row>
    <row r="1074">
      <c r="A1074" s="33" t="s">
        <v>7797</v>
      </c>
      <c r="B1074" s="60" t="s">
        <v>2283</v>
      </c>
      <c r="C1074" s="41">
        <v>45357.0</v>
      </c>
      <c r="D1074" s="40" t="s">
        <v>7798</v>
      </c>
      <c r="E1074" s="41" t="s">
        <v>7799</v>
      </c>
      <c r="F1074" s="43" t="s">
        <v>7800</v>
      </c>
      <c r="G1074" s="43" t="s">
        <v>7801</v>
      </c>
      <c r="H1074" s="51" t="s">
        <v>55</v>
      </c>
      <c r="I1074" s="15" t="str">
        <f>IFERROR(__xludf.DUMMYFUNCTION("GOOGLETRANSLATE(H1074,""EN"",""ES"")"),"deportes de motor")</f>
        <v>deportes de motor</v>
      </c>
      <c r="J1074" s="16" t="s">
        <v>27</v>
      </c>
      <c r="K1074" s="17">
        <v>0.0</v>
      </c>
      <c r="L1074" s="45"/>
      <c r="M1074" s="18"/>
      <c r="N1074" s="65"/>
      <c r="O1074" s="65"/>
      <c r="P1074" s="20">
        <v>0.0</v>
      </c>
      <c r="Q1074" s="18"/>
      <c r="R1074" s="18"/>
      <c r="S1074" s="52"/>
      <c r="T1074" s="22"/>
    </row>
    <row r="1075">
      <c r="A1075" s="23" t="s">
        <v>7802</v>
      </c>
      <c r="B1075" s="58" t="s">
        <v>1993</v>
      </c>
      <c r="C1075" s="41">
        <v>45357.0</v>
      </c>
      <c r="D1075" s="40" t="s">
        <v>7803</v>
      </c>
      <c r="E1075" s="41" t="s">
        <v>7804</v>
      </c>
      <c r="F1075" s="43" t="s">
        <v>7805</v>
      </c>
      <c r="G1075" s="43" t="s">
        <v>7806</v>
      </c>
      <c r="H1075" s="51" t="s">
        <v>148</v>
      </c>
      <c r="I1075" s="25" t="str">
        <f>IFERROR(__xludf.DUMMYFUNCTION("GOOGLETRANSLATE(H1075,""EN"",""ES"")"),"Gastronomía")</f>
        <v>Gastronomía</v>
      </c>
      <c r="J1075" s="26" t="s">
        <v>27</v>
      </c>
      <c r="K1075" s="17">
        <v>0.0</v>
      </c>
      <c r="L1075" s="54"/>
      <c r="M1075" s="31"/>
      <c r="N1075" s="66"/>
      <c r="O1075" s="66"/>
      <c r="P1075" s="20">
        <v>0.0</v>
      </c>
      <c r="Q1075" s="31"/>
      <c r="R1075" s="31"/>
      <c r="S1075" s="53"/>
      <c r="T1075" s="32"/>
    </row>
    <row r="1076">
      <c r="A1076" s="33" t="s">
        <v>7807</v>
      </c>
      <c r="B1076" s="60" t="s">
        <v>5508</v>
      </c>
      <c r="C1076" s="41">
        <v>45357.0</v>
      </c>
      <c r="D1076" s="40" t="s">
        <v>7808</v>
      </c>
      <c r="E1076" s="41" t="s">
        <v>7809</v>
      </c>
      <c r="F1076" s="43" t="s">
        <v>7810</v>
      </c>
      <c r="G1076" s="43" t="s">
        <v>7811</v>
      </c>
      <c r="H1076" s="51" t="s">
        <v>148</v>
      </c>
      <c r="I1076" s="15" t="str">
        <f>IFERROR(__xludf.DUMMYFUNCTION("GOOGLETRANSLATE(H1076,""EN"",""ES"")"),"Gastronomía")</f>
        <v>Gastronomía</v>
      </c>
      <c r="J1076" s="16" t="s">
        <v>27</v>
      </c>
      <c r="K1076" s="17">
        <v>0.0</v>
      </c>
      <c r="L1076" s="45"/>
      <c r="M1076" s="18"/>
      <c r="N1076" s="65"/>
      <c r="O1076" s="65"/>
      <c r="P1076" s="20">
        <v>0.0</v>
      </c>
      <c r="Q1076" s="18"/>
      <c r="R1076" s="18"/>
      <c r="S1076" s="52"/>
      <c r="T1076" s="22"/>
    </row>
    <row r="1077">
      <c r="A1077" s="23" t="s">
        <v>7812</v>
      </c>
      <c r="B1077" s="58" t="s">
        <v>7295</v>
      </c>
      <c r="C1077" s="41">
        <v>45357.0</v>
      </c>
      <c r="D1077" s="40" t="s">
        <v>7813</v>
      </c>
      <c r="E1077" s="41" t="s">
        <v>7814</v>
      </c>
      <c r="F1077" s="43" t="s">
        <v>7815</v>
      </c>
      <c r="G1077" s="43" t="s">
        <v>7816</v>
      </c>
      <c r="H1077" s="51" t="s">
        <v>148</v>
      </c>
      <c r="I1077" s="25" t="str">
        <f>IFERROR(__xludf.DUMMYFUNCTION("GOOGLETRANSLATE(H1077,""EN"",""ES"")"),"Gastronomía")</f>
        <v>Gastronomía</v>
      </c>
      <c r="J1077" s="26" t="s">
        <v>27</v>
      </c>
      <c r="K1077" s="17">
        <v>0.0</v>
      </c>
      <c r="L1077" s="54"/>
      <c r="M1077" s="31"/>
      <c r="N1077" s="66"/>
      <c r="O1077" s="66"/>
      <c r="P1077" s="20">
        <v>0.0</v>
      </c>
      <c r="Q1077" s="31"/>
      <c r="R1077" s="31"/>
      <c r="S1077" s="53"/>
      <c r="T1077" s="32"/>
    </row>
    <row r="1078">
      <c r="A1078" s="33" t="s">
        <v>7817</v>
      </c>
      <c r="B1078" s="60" t="s">
        <v>21</v>
      </c>
      <c r="C1078" s="41">
        <v>45357.0</v>
      </c>
      <c r="D1078" s="40" t="s">
        <v>7818</v>
      </c>
      <c r="E1078" s="41" t="s">
        <v>7819</v>
      </c>
      <c r="F1078" s="43" t="s">
        <v>7820</v>
      </c>
      <c r="G1078" s="43" t="s">
        <v>7821</v>
      </c>
      <c r="H1078" s="51" t="s">
        <v>148</v>
      </c>
      <c r="I1078" s="15" t="str">
        <f>IFERROR(__xludf.DUMMYFUNCTION("GOOGLETRANSLATE(H1078,""EN"",""ES"")"),"Gastronomía")</f>
        <v>Gastronomía</v>
      </c>
      <c r="J1078" s="16" t="s">
        <v>27</v>
      </c>
      <c r="K1078" s="17">
        <v>0.0</v>
      </c>
      <c r="L1078" s="45"/>
      <c r="M1078" s="18"/>
      <c r="N1078" s="65"/>
      <c r="O1078" s="65"/>
      <c r="P1078" s="20">
        <v>0.0</v>
      </c>
      <c r="Q1078" s="18"/>
      <c r="R1078" s="18"/>
      <c r="S1078" s="52"/>
      <c r="T1078" s="22"/>
    </row>
    <row r="1079">
      <c r="A1079" s="23" t="s">
        <v>7822</v>
      </c>
      <c r="B1079" s="58" t="s">
        <v>6620</v>
      </c>
      <c r="C1079" s="41">
        <v>45357.0</v>
      </c>
      <c r="D1079" s="40" t="s">
        <v>7823</v>
      </c>
      <c r="E1079" s="41" t="s">
        <v>7824</v>
      </c>
      <c r="F1079" s="43" t="s">
        <v>7825</v>
      </c>
      <c r="G1079" s="43" t="s">
        <v>7826</v>
      </c>
      <c r="H1079" s="51" t="s">
        <v>148</v>
      </c>
      <c r="I1079" s="25" t="str">
        <f>IFERROR(__xludf.DUMMYFUNCTION("GOOGLETRANSLATE(H1079,""EN"",""ES"")"),"Gastronomía")</f>
        <v>Gastronomía</v>
      </c>
      <c r="J1079" s="26" t="s">
        <v>27</v>
      </c>
      <c r="K1079" s="17">
        <v>0.0</v>
      </c>
      <c r="L1079" s="54"/>
      <c r="M1079" s="31"/>
      <c r="N1079" s="66"/>
      <c r="O1079" s="66"/>
      <c r="P1079" s="20">
        <v>0.0</v>
      </c>
      <c r="Q1079" s="31"/>
      <c r="R1079" s="31"/>
      <c r="S1079" s="53"/>
      <c r="T1079" s="32"/>
    </row>
    <row r="1080">
      <c r="A1080" s="33" t="s">
        <v>7827</v>
      </c>
      <c r="B1080" s="60" t="s">
        <v>1577</v>
      </c>
      <c r="C1080" s="41">
        <v>45357.0</v>
      </c>
      <c r="D1080" s="40" t="s">
        <v>7828</v>
      </c>
      <c r="E1080" s="41" t="s">
        <v>7829</v>
      </c>
      <c r="F1080" s="43" t="s">
        <v>7830</v>
      </c>
      <c r="G1080" s="43" t="s">
        <v>7831</v>
      </c>
      <c r="H1080" s="51" t="s">
        <v>148</v>
      </c>
      <c r="I1080" s="15" t="str">
        <f>IFERROR(__xludf.DUMMYFUNCTION("GOOGLETRANSLATE(H1080,""EN"",""ES"")"),"Gastronomía")</f>
        <v>Gastronomía</v>
      </c>
      <c r="J1080" s="16" t="s">
        <v>27</v>
      </c>
      <c r="K1080" s="17">
        <v>0.0</v>
      </c>
      <c r="L1080" s="45"/>
      <c r="M1080" s="18"/>
      <c r="N1080" s="65"/>
      <c r="O1080" s="65"/>
      <c r="P1080" s="20">
        <v>0.0</v>
      </c>
      <c r="Q1080" s="18"/>
      <c r="R1080" s="18"/>
      <c r="S1080" s="52"/>
      <c r="T1080" s="22"/>
    </row>
    <row r="1081">
      <c r="A1081" s="23" t="s">
        <v>7832</v>
      </c>
      <c r="B1081" s="58" t="s">
        <v>85</v>
      </c>
      <c r="C1081" s="41">
        <v>45357.0</v>
      </c>
      <c r="D1081" s="40" t="s">
        <v>7833</v>
      </c>
      <c r="E1081" s="41" t="s">
        <v>7834</v>
      </c>
      <c r="F1081" s="43" t="s">
        <v>7835</v>
      </c>
      <c r="G1081" s="43" t="s">
        <v>7836</v>
      </c>
      <c r="H1081" s="51" t="s">
        <v>148</v>
      </c>
      <c r="I1081" s="25" t="str">
        <f>IFERROR(__xludf.DUMMYFUNCTION("GOOGLETRANSLATE(H1081,""EN"",""ES"")"),"Gastronomía")</f>
        <v>Gastronomía</v>
      </c>
      <c r="J1081" s="26" t="s">
        <v>27</v>
      </c>
      <c r="K1081" s="17">
        <v>0.0</v>
      </c>
      <c r="L1081" s="54"/>
      <c r="M1081" s="31"/>
      <c r="N1081" s="66"/>
      <c r="O1081" s="66"/>
      <c r="P1081" s="20">
        <v>0.0</v>
      </c>
      <c r="Q1081" s="31"/>
      <c r="R1081" s="31"/>
      <c r="S1081" s="53"/>
      <c r="T1081" s="32"/>
    </row>
    <row r="1082">
      <c r="A1082" s="33" t="s">
        <v>7837</v>
      </c>
      <c r="B1082" s="60" t="s">
        <v>85</v>
      </c>
      <c r="C1082" s="41">
        <v>45357.0</v>
      </c>
      <c r="D1082" s="40" t="s">
        <v>7838</v>
      </c>
      <c r="E1082" s="41" t="s">
        <v>7839</v>
      </c>
      <c r="F1082" s="43" t="s">
        <v>7840</v>
      </c>
      <c r="G1082" s="43" t="s">
        <v>7841</v>
      </c>
      <c r="H1082" s="51" t="s">
        <v>148</v>
      </c>
      <c r="I1082" s="15" t="str">
        <f>IFERROR(__xludf.DUMMYFUNCTION("GOOGLETRANSLATE(H1082,""EN"",""ES"")"),"Gastronomía")</f>
        <v>Gastronomía</v>
      </c>
      <c r="J1082" s="16" t="s">
        <v>27</v>
      </c>
      <c r="K1082" s="17">
        <v>0.0</v>
      </c>
      <c r="L1082" s="45"/>
      <c r="M1082" s="18"/>
      <c r="N1082" s="65"/>
      <c r="O1082" s="65"/>
      <c r="P1082" s="20">
        <v>0.0</v>
      </c>
      <c r="Q1082" s="18"/>
      <c r="R1082" s="18"/>
      <c r="S1082" s="52"/>
      <c r="T1082" s="22"/>
    </row>
    <row r="1083">
      <c r="A1083" s="23" t="s">
        <v>7842</v>
      </c>
      <c r="B1083" s="58" t="s">
        <v>85</v>
      </c>
      <c r="C1083" s="41">
        <v>45357.0</v>
      </c>
      <c r="D1083" s="40" t="s">
        <v>7843</v>
      </c>
      <c r="E1083" s="41" t="s">
        <v>7844</v>
      </c>
      <c r="F1083" s="43" t="s">
        <v>7845</v>
      </c>
      <c r="G1083" s="43" t="s">
        <v>7846</v>
      </c>
      <c r="H1083" s="51" t="s">
        <v>148</v>
      </c>
      <c r="I1083" s="25" t="str">
        <f>IFERROR(__xludf.DUMMYFUNCTION("GOOGLETRANSLATE(H1083,""EN"",""ES"")"),"Gastronomía")</f>
        <v>Gastronomía</v>
      </c>
      <c r="J1083" s="26" t="s">
        <v>27</v>
      </c>
      <c r="K1083" s="17">
        <v>0.0</v>
      </c>
      <c r="L1083" s="54"/>
      <c r="M1083" s="31"/>
      <c r="N1083" s="66"/>
      <c r="O1083" s="66"/>
      <c r="P1083" s="20">
        <v>0.0</v>
      </c>
      <c r="Q1083" s="31"/>
      <c r="R1083" s="31"/>
      <c r="S1083" s="53"/>
      <c r="T1083" s="32"/>
    </row>
    <row r="1084">
      <c r="A1084" s="33" t="s">
        <v>7847</v>
      </c>
      <c r="B1084" s="60" t="s">
        <v>85</v>
      </c>
      <c r="C1084" s="41">
        <v>45357.0</v>
      </c>
      <c r="D1084" s="40" t="s">
        <v>7848</v>
      </c>
      <c r="E1084" s="41" t="s">
        <v>7849</v>
      </c>
      <c r="F1084" s="43" t="s">
        <v>7850</v>
      </c>
      <c r="G1084" s="43" t="s">
        <v>7851</v>
      </c>
      <c r="H1084" s="51" t="s">
        <v>148</v>
      </c>
      <c r="I1084" s="15" t="str">
        <f>IFERROR(__xludf.DUMMYFUNCTION("GOOGLETRANSLATE(H1084,""EN"",""ES"")"),"Gastronomía")</f>
        <v>Gastronomía</v>
      </c>
      <c r="J1084" s="16" t="s">
        <v>27</v>
      </c>
      <c r="K1084" s="17">
        <v>0.0</v>
      </c>
      <c r="L1084" s="45"/>
      <c r="M1084" s="18"/>
      <c r="N1084" s="65"/>
      <c r="O1084" s="65"/>
      <c r="P1084" s="20">
        <v>0.0</v>
      </c>
      <c r="Q1084" s="18"/>
      <c r="R1084" s="18"/>
      <c r="S1084" s="52"/>
      <c r="T1084" s="22"/>
    </row>
    <row r="1085">
      <c r="A1085" s="23" t="s">
        <v>7852</v>
      </c>
      <c r="B1085" s="58" t="s">
        <v>1081</v>
      </c>
      <c r="C1085" s="41">
        <v>45357.0</v>
      </c>
      <c r="D1085" s="40" t="s">
        <v>7853</v>
      </c>
      <c r="E1085" s="41" t="s">
        <v>7854</v>
      </c>
      <c r="F1085" s="43" t="s">
        <v>7855</v>
      </c>
      <c r="G1085" s="43" t="s">
        <v>7856</v>
      </c>
      <c r="H1085" s="51" t="s">
        <v>148</v>
      </c>
      <c r="I1085" s="25" t="str">
        <f>IFERROR(__xludf.DUMMYFUNCTION("GOOGLETRANSLATE(H1085,""EN"",""ES"")"),"Gastronomía")</f>
        <v>Gastronomía</v>
      </c>
      <c r="J1085" s="26" t="s">
        <v>27</v>
      </c>
      <c r="K1085" s="17">
        <v>0.0</v>
      </c>
      <c r="L1085" s="54"/>
      <c r="M1085" s="31"/>
      <c r="N1085" s="66"/>
      <c r="O1085" s="66"/>
      <c r="P1085" s="20">
        <v>0.0</v>
      </c>
      <c r="Q1085" s="31"/>
      <c r="R1085" s="31"/>
      <c r="S1085" s="53"/>
      <c r="T1085" s="32"/>
    </row>
    <row r="1086">
      <c r="A1086" s="33" t="s">
        <v>7857</v>
      </c>
      <c r="B1086" s="60" t="s">
        <v>2210</v>
      </c>
      <c r="C1086" s="41">
        <v>45357.0</v>
      </c>
      <c r="D1086" s="40" t="s">
        <v>7858</v>
      </c>
      <c r="E1086" s="41" t="s">
        <v>7859</v>
      </c>
      <c r="F1086" s="43" t="s">
        <v>7860</v>
      </c>
      <c r="G1086" s="43" t="s">
        <v>7861</v>
      </c>
      <c r="H1086" s="51" t="s">
        <v>148</v>
      </c>
      <c r="I1086" s="15" t="str">
        <f>IFERROR(__xludf.DUMMYFUNCTION("GOOGLETRANSLATE(H1086,""EN"",""ES"")"),"Gastronomía")</f>
        <v>Gastronomía</v>
      </c>
      <c r="J1086" s="16" t="s">
        <v>27</v>
      </c>
      <c r="K1086" s="17">
        <v>0.0</v>
      </c>
      <c r="L1086" s="45"/>
      <c r="M1086" s="18"/>
      <c r="N1086" s="65"/>
      <c r="O1086" s="65"/>
      <c r="P1086" s="20">
        <v>0.0</v>
      </c>
      <c r="Q1086" s="18"/>
      <c r="R1086" s="18"/>
      <c r="S1086" s="52"/>
      <c r="T1086" s="22"/>
    </row>
    <row r="1087">
      <c r="A1087" s="23" t="s">
        <v>7862</v>
      </c>
      <c r="B1087" s="58" t="s">
        <v>21</v>
      </c>
      <c r="C1087" s="41">
        <v>45357.0</v>
      </c>
      <c r="D1087" s="40" t="s">
        <v>7863</v>
      </c>
      <c r="E1087" s="41" t="s">
        <v>7864</v>
      </c>
      <c r="F1087" s="43" t="s">
        <v>7865</v>
      </c>
      <c r="G1087" s="43" t="s">
        <v>7866</v>
      </c>
      <c r="H1087" s="51" t="s">
        <v>148</v>
      </c>
      <c r="I1087" s="25" t="str">
        <f>IFERROR(__xludf.DUMMYFUNCTION("GOOGLETRANSLATE(H1087,""EN"",""ES"")"),"Gastronomía")</f>
        <v>Gastronomía</v>
      </c>
      <c r="J1087" s="26" t="s">
        <v>27</v>
      </c>
      <c r="K1087" s="17">
        <v>0.0</v>
      </c>
      <c r="L1087" s="54"/>
      <c r="M1087" s="31"/>
      <c r="N1087" s="66"/>
      <c r="O1087" s="66"/>
      <c r="P1087" s="20">
        <v>0.0</v>
      </c>
      <c r="Q1087" s="31"/>
      <c r="R1087" s="31"/>
      <c r="S1087" s="53"/>
      <c r="T1087" s="32"/>
    </row>
    <row r="1088">
      <c r="A1088" s="33" t="s">
        <v>7867</v>
      </c>
      <c r="B1088" s="60" t="s">
        <v>7868</v>
      </c>
      <c r="C1088" s="41">
        <v>45357.0</v>
      </c>
      <c r="D1088" s="40" t="s">
        <v>7869</v>
      </c>
      <c r="E1088" s="41" t="s">
        <v>7870</v>
      </c>
      <c r="F1088" s="43" t="s">
        <v>7871</v>
      </c>
      <c r="G1088" s="43" t="s">
        <v>7872</v>
      </c>
      <c r="H1088" s="51" t="s">
        <v>148</v>
      </c>
      <c r="I1088" s="15" t="str">
        <f>IFERROR(__xludf.DUMMYFUNCTION("GOOGLETRANSLATE(H1088,""EN"",""ES"")"),"Gastronomía")</f>
        <v>Gastronomía</v>
      </c>
      <c r="J1088" s="16" t="s">
        <v>27</v>
      </c>
      <c r="K1088" s="17">
        <v>0.0</v>
      </c>
      <c r="L1088" s="45"/>
      <c r="M1088" s="18"/>
      <c r="N1088" s="65"/>
      <c r="O1088" s="65"/>
      <c r="P1088" s="20">
        <v>0.0</v>
      </c>
      <c r="Q1088" s="18"/>
      <c r="R1088" s="18"/>
      <c r="S1088" s="52"/>
      <c r="T1088" s="22"/>
    </row>
    <row r="1089">
      <c r="A1089" s="23" t="s">
        <v>7873</v>
      </c>
      <c r="B1089" s="58" t="s">
        <v>977</v>
      </c>
      <c r="C1089" s="41">
        <v>45357.0</v>
      </c>
      <c r="D1089" s="40" t="s">
        <v>7874</v>
      </c>
      <c r="E1089" s="41" t="s">
        <v>7875</v>
      </c>
      <c r="F1089" s="43" t="s">
        <v>7876</v>
      </c>
      <c r="G1089" s="43" t="s">
        <v>7877</v>
      </c>
      <c r="H1089" s="51" t="s">
        <v>148</v>
      </c>
      <c r="I1089" s="25" t="str">
        <f>IFERROR(__xludf.DUMMYFUNCTION("GOOGLETRANSLATE(H1089,""EN"",""ES"")"),"Gastronomía")</f>
        <v>Gastronomía</v>
      </c>
      <c r="J1089" s="26" t="s">
        <v>27</v>
      </c>
      <c r="K1089" s="17">
        <v>0.0</v>
      </c>
      <c r="L1089" s="54"/>
      <c r="M1089" s="31"/>
      <c r="N1089" s="66"/>
      <c r="O1089" s="66"/>
      <c r="P1089" s="20">
        <v>0.0</v>
      </c>
      <c r="Q1089" s="31"/>
      <c r="R1089" s="31"/>
      <c r="S1089" s="53"/>
      <c r="T1089" s="32"/>
    </row>
    <row r="1090">
      <c r="A1090" s="33" t="s">
        <v>7878</v>
      </c>
      <c r="B1090" s="60" t="s">
        <v>2283</v>
      </c>
      <c r="C1090" s="41">
        <v>45357.0</v>
      </c>
      <c r="D1090" s="40" t="s">
        <v>7879</v>
      </c>
      <c r="E1090" s="41" t="s">
        <v>7880</v>
      </c>
      <c r="F1090" s="43" t="s">
        <v>7881</v>
      </c>
      <c r="G1090" s="43" t="s">
        <v>7882</v>
      </c>
      <c r="H1090" s="51" t="s">
        <v>55</v>
      </c>
      <c r="I1090" s="15" t="str">
        <f>IFERROR(__xludf.DUMMYFUNCTION("GOOGLETRANSLATE(H1090,""EN"",""ES"")"),"deportes de motor")</f>
        <v>deportes de motor</v>
      </c>
      <c r="J1090" s="16" t="s">
        <v>27</v>
      </c>
      <c r="K1090" s="17">
        <v>0.0</v>
      </c>
      <c r="L1090" s="45"/>
      <c r="M1090" s="18"/>
      <c r="N1090" s="65"/>
      <c r="O1090" s="65"/>
      <c r="P1090" s="20">
        <v>0.0</v>
      </c>
      <c r="Q1090" s="18"/>
      <c r="R1090" s="18"/>
      <c r="S1090" s="52"/>
      <c r="T1090" s="22"/>
    </row>
    <row r="1091">
      <c r="A1091" s="23" t="s">
        <v>7883</v>
      </c>
      <c r="B1091" s="58" t="s">
        <v>2283</v>
      </c>
      <c r="C1091" s="41">
        <v>45357.0</v>
      </c>
      <c r="D1091" s="40" t="s">
        <v>7884</v>
      </c>
      <c r="E1091" s="41" t="s">
        <v>2285</v>
      </c>
      <c r="F1091" s="43" t="s">
        <v>7885</v>
      </c>
      <c r="G1091" s="43" t="s">
        <v>2287</v>
      </c>
      <c r="H1091" s="51" t="s">
        <v>55</v>
      </c>
      <c r="I1091" s="25" t="str">
        <f>IFERROR(__xludf.DUMMYFUNCTION("GOOGLETRANSLATE(H1091,""EN"",""ES"")"),"deportes de motor")</f>
        <v>deportes de motor</v>
      </c>
      <c r="J1091" s="26" t="s">
        <v>27</v>
      </c>
      <c r="K1091" s="17">
        <v>0.0</v>
      </c>
      <c r="L1091" s="54"/>
      <c r="M1091" s="31"/>
      <c r="N1091" s="66"/>
      <c r="O1091" s="66"/>
      <c r="P1091" s="20">
        <v>0.0</v>
      </c>
      <c r="Q1091" s="31"/>
      <c r="R1091" s="31"/>
      <c r="S1091" s="53"/>
      <c r="T1091" s="32"/>
    </row>
    <row r="1092">
      <c r="A1092" s="33" t="s">
        <v>7886</v>
      </c>
      <c r="B1092" s="60" t="s">
        <v>85</v>
      </c>
      <c r="C1092" s="41">
        <v>45357.0</v>
      </c>
      <c r="D1092" s="40" t="s">
        <v>7887</v>
      </c>
      <c r="E1092" s="41" t="s">
        <v>7888</v>
      </c>
      <c r="F1092" s="43" t="s">
        <v>7889</v>
      </c>
      <c r="G1092" s="43" t="s">
        <v>7890</v>
      </c>
      <c r="H1092" s="51" t="s">
        <v>148</v>
      </c>
      <c r="I1092" s="15" t="str">
        <f>IFERROR(__xludf.DUMMYFUNCTION("GOOGLETRANSLATE(H1092,""EN"",""ES"")"),"Gastronomía")</f>
        <v>Gastronomía</v>
      </c>
      <c r="J1092" s="16" t="s">
        <v>27</v>
      </c>
      <c r="K1092" s="17">
        <v>0.0</v>
      </c>
      <c r="L1092" s="45"/>
      <c r="M1092" s="18"/>
      <c r="N1092" s="65"/>
      <c r="O1092" s="65"/>
      <c r="P1092" s="20">
        <v>0.0</v>
      </c>
      <c r="Q1092" s="18"/>
      <c r="R1092" s="18"/>
      <c r="S1092" s="52"/>
      <c r="T1092" s="22"/>
    </row>
    <row r="1093">
      <c r="A1093" s="23" t="s">
        <v>7891</v>
      </c>
      <c r="B1093" s="58" t="s">
        <v>7892</v>
      </c>
      <c r="C1093" s="41">
        <v>45357.0</v>
      </c>
      <c r="D1093" s="40" t="s">
        <v>7893</v>
      </c>
      <c r="E1093" s="41" t="s">
        <v>7894</v>
      </c>
      <c r="F1093" s="43" t="s">
        <v>7895</v>
      </c>
      <c r="G1093" s="43" t="s">
        <v>7896</v>
      </c>
      <c r="H1093" s="51" t="s">
        <v>148</v>
      </c>
      <c r="I1093" s="25" t="str">
        <f>IFERROR(__xludf.DUMMYFUNCTION("GOOGLETRANSLATE(H1093,""EN"",""ES"")"),"Gastronomía")</f>
        <v>Gastronomía</v>
      </c>
      <c r="J1093" s="26" t="s">
        <v>27</v>
      </c>
      <c r="K1093" s="17">
        <v>0.0</v>
      </c>
      <c r="L1093" s="54"/>
      <c r="M1093" s="31"/>
      <c r="N1093" s="66"/>
      <c r="O1093" s="66"/>
      <c r="P1093" s="20">
        <v>0.0</v>
      </c>
      <c r="Q1093" s="31"/>
      <c r="R1093" s="31"/>
      <c r="S1093" s="53"/>
      <c r="T1093" s="32"/>
    </row>
    <row r="1094">
      <c r="A1094" s="33" t="s">
        <v>7897</v>
      </c>
      <c r="B1094" s="60" t="s">
        <v>7452</v>
      </c>
      <c r="C1094" s="41">
        <v>45357.0</v>
      </c>
      <c r="D1094" s="40" t="s">
        <v>7898</v>
      </c>
      <c r="E1094" s="41" t="s">
        <v>7899</v>
      </c>
      <c r="F1094" s="43" t="s">
        <v>7900</v>
      </c>
      <c r="G1094" s="43" t="s">
        <v>7901</v>
      </c>
      <c r="H1094" s="51" t="s">
        <v>148</v>
      </c>
      <c r="I1094" s="15" t="str">
        <f>IFERROR(__xludf.DUMMYFUNCTION("GOOGLETRANSLATE(H1094,""EN"",""ES"")"),"Gastronomía")</f>
        <v>Gastronomía</v>
      </c>
      <c r="J1094" s="16" t="s">
        <v>27</v>
      </c>
      <c r="K1094" s="17">
        <v>0.0</v>
      </c>
      <c r="L1094" s="45"/>
      <c r="M1094" s="18"/>
      <c r="N1094" s="65"/>
      <c r="O1094" s="65"/>
      <c r="P1094" s="20">
        <v>0.0</v>
      </c>
      <c r="Q1094" s="18"/>
      <c r="R1094" s="18"/>
      <c r="S1094" s="52"/>
      <c r="T1094" s="22"/>
    </row>
    <row r="1095">
      <c r="A1095" s="23" t="s">
        <v>7902</v>
      </c>
      <c r="B1095" s="58" t="s">
        <v>2283</v>
      </c>
      <c r="C1095" s="41">
        <v>45357.0</v>
      </c>
      <c r="D1095" s="40" t="s">
        <v>7903</v>
      </c>
      <c r="E1095" s="41" t="s">
        <v>7904</v>
      </c>
      <c r="F1095" s="43" t="s">
        <v>7905</v>
      </c>
      <c r="G1095" s="43" t="s">
        <v>7906</v>
      </c>
      <c r="H1095" s="51" t="s">
        <v>55</v>
      </c>
      <c r="I1095" s="25" t="str">
        <f>IFERROR(__xludf.DUMMYFUNCTION("GOOGLETRANSLATE(H1095,""EN"",""ES"")"),"deportes de motor")</f>
        <v>deportes de motor</v>
      </c>
      <c r="J1095" s="26" t="s">
        <v>27</v>
      </c>
      <c r="K1095" s="17">
        <v>0.0</v>
      </c>
      <c r="L1095" s="54"/>
      <c r="M1095" s="31"/>
      <c r="N1095" s="66"/>
      <c r="O1095" s="66"/>
      <c r="P1095" s="20">
        <v>0.0</v>
      </c>
      <c r="Q1095" s="31"/>
      <c r="R1095" s="31"/>
      <c r="S1095" s="53"/>
      <c r="T1095" s="32"/>
    </row>
    <row r="1096">
      <c r="A1096" s="33" t="s">
        <v>7907</v>
      </c>
      <c r="B1096" s="60" t="s">
        <v>1081</v>
      </c>
      <c r="C1096" s="41">
        <v>45357.0</v>
      </c>
      <c r="D1096" s="40" t="s">
        <v>7908</v>
      </c>
      <c r="E1096" s="41" t="s">
        <v>7909</v>
      </c>
      <c r="F1096" s="43" t="s">
        <v>7910</v>
      </c>
      <c r="G1096" s="43" t="s">
        <v>7911</v>
      </c>
      <c r="H1096" s="51" t="s">
        <v>148</v>
      </c>
      <c r="I1096" s="15" t="str">
        <f>IFERROR(__xludf.DUMMYFUNCTION("GOOGLETRANSLATE(H1096,""EN"",""ES"")"),"Gastronomía")</f>
        <v>Gastronomía</v>
      </c>
      <c r="J1096" s="16" t="s">
        <v>27</v>
      </c>
      <c r="K1096" s="17">
        <v>0.0</v>
      </c>
      <c r="L1096" s="51"/>
      <c r="M1096" s="18"/>
      <c r="N1096" s="65"/>
      <c r="O1096" s="65"/>
      <c r="P1096" s="20">
        <v>0.0</v>
      </c>
      <c r="Q1096" s="18"/>
      <c r="R1096" s="18"/>
      <c r="S1096" s="52"/>
      <c r="T1096" s="22"/>
    </row>
    <row r="1097">
      <c r="A1097" s="23" t="s">
        <v>7912</v>
      </c>
      <c r="B1097" s="58" t="s">
        <v>7913</v>
      </c>
      <c r="C1097" s="41">
        <v>45357.0</v>
      </c>
      <c r="D1097" s="40" t="s">
        <v>7914</v>
      </c>
      <c r="E1097" s="41" t="s">
        <v>7915</v>
      </c>
      <c r="F1097" s="43" t="s">
        <v>7916</v>
      </c>
      <c r="G1097" s="43" t="s">
        <v>7917</v>
      </c>
      <c r="H1097" s="51" t="s">
        <v>148</v>
      </c>
      <c r="I1097" s="25" t="str">
        <f>IFERROR(__xludf.DUMMYFUNCTION("GOOGLETRANSLATE(H1097,""EN"",""ES"")"),"Gastronomía")</f>
        <v>Gastronomía</v>
      </c>
      <c r="J1097" s="26" t="s">
        <v>27</v>
      </c>
      <c r="K1097" s="17">
        <v>0.0</v>
      </c>
      <c r="L1097" s="54"/>
      <c r="M1097" s="31"/>
      <c r="N1097" s="66"/>
      <c r="O1097" s="66"/>
      <c r="P1097" s="20">
        <v>0.0</v>
      </c>
      <c r="Q1097" s="31"/>
      <c r="R1097" s="31"/>
      <c r="S1097" s="53"/>
      <c r="T1097" s="32"/>
    </row>
    <row r="1098">
      <c r="A1098" s="33" t="s">
        <v>7918</v>
      </c>
      <c r="B1098" s="60" t="s">
        <v>7919</v>
      </c>
      <c r="C1098" s="41">
        <v>45357.0</v>
      </c>
      <c r="D1098" s="40" t="s">
        <v>7920</v>
      </c>
      <c r="E1098" s="41" t="s">
        <v>7921</v>
      </c>
      <c r="F1098" s="43" t="s">
        <v>7922</v>
      </c>
      <c r="G1098" s="43" t="s">
        <v>7923</v>
      </c>
      <c r="H1098" s="51" t="s">
        <v>148</v>
      </c>
      <c r="I1098" s="15" t="str">
        <f>IFERROR(__xludf.DUMMYFUNCTION("GOOGLETRANSLATE(H1098,""EN"",""ES"")"),"Gastronomía")</f>
        <v>Gastronomía</v>
      </c>
      <c r="J1098" s="16" t="s">
        <v>27</v>
      </c>
      <c r="K1098" s="17">
        <v>0.0</v>
      </c>
      <c r="L1098" s="45"/>
      <c r="M1098" s="18"/>
      <c r="N1098" s="65"/>
      <c r="O1098" s="65"/>
      <c r="P1098" s="20">
        <v>0.0</v>
      </c>
      <c r="Q1098" s="18"/>
      <c r="R1098" s="18"/>
      <c r="S1098" s="52"/>
      <c r="T1098" s="22"/>
    </row>
    <row r="1099">
      <c r="A1099" s="23" t="s">
        <v>7924</v>
      </c>
      <c r="B1099" s="58" t="s">
        <v>43</v>
      </c>
      <c r="C1099" s="41">
        <v>45358.0</v>
      </c>
      <c r="D1099" s="40" t="s">
        <v>7925</v>
      </c>
      <c r="E1099" s="41" t="s">
        <v>7926</v>
      </c>
      <c r="F1099" s="43" t="s">
        <v>7927</v>
      </c>
      <c r="G1099" s="43" t="s">
        <v>7928</v>
      </c>
      <c r="H1099" s="51" t="s">
        <v>130</v>
      </c>
      <c r="I1099" s="25" t="str">
        <f>IFERROR(__xludf.DUMMYFUNCTION("GOOGLETRANSLATE(H1099,""EN"",""ES"")"),"Sostenibilidad")</f>
        <v>Sostenibilidad</v>
      </c>
      <c r="J1099" s="26" t="s">
        <v>35</v>
      </c>
      <c r="K1099" s="48">
        <v>0.7</v>
      </c>
      <c r="L1099" s="49" t="s">
        <v>7929</v>
      </c>
      <c r="M1099" s="28" t="s">
        <v>7930</v>
      </c>
      <c r="N1099" s="66" t="s">
        <v>7931</v>
      </c>
      <c r="O1099" s="66" t="str">
        <f>IFERROR(__xludf.DUMMYFUNCTION("GOOGLETRANSLATE(N1099,""EN"",""ES"")"),"La ampliación de la infraestructura de carga de vehículos eléctricos se alinea con la transición a energías limpias de Repsol.")</f>
        <v>La ampliación de la infraestructura de carga de vehículos eléctricos se alinea con la transición a energías limpias de Repsol.</v>
      </c>
      <c r="P1099" s="30">
        <v>0.7</v>
      </c>
      <c r="Q1099" s="31" t="str">
        <f>IFERROR(__xludf.DUMMYFUNCTION("GOOGLETRANSLATE(R1099,""ES"",""EN"")"),"allocates, charging points, green")</f>
        <v>allocates, charging points, green</v>
      </c>
      <c r="R1099" s="28" t="s">
        <v>7932</v>
      </c>
      <c r="S1099" s="53" t="s">
        <v>6335</v>
      </c>
      <c r="T1099" s="32" t="s">
        <v>6336</v>
      </c>
    </row>
    <row r="1100">
      <c r="A1100" s="33" t="s">
        <v>7933</v>
      </c>
      <c r="B1100" s="60" t="s">
        <v>2498</v>
      </c>
      <c r="C1100" s="41">
        <v>45358.0</v>
      </c>
      <c r="D1100" s="40" t="s">
        <v>7934</v>
      </c>
      <c r="E1100" s="41" t="s">
        <v>7935</v>
      </c>
      <c r="F1100" s="43" t="s">
        <v>7936</v>
      </c>
      <c r="G1100" s="43" t="s">
        <v>7937</v>
      </c>
      <c r="H1100" s="51" t="s">
        <v>148</v>
      </c>
      <c r="I1100" s="15" t="str">
        <f>IFERROR(__xludf.DUMMYFUNCTION("GOOGLETRANSLATE(H1100,""EN"",""ES"")"),"Gastronomía")</f>
        <v>Gastronomía</v>
      </c>
      <c r="J1100" s="16" t="s">
        <v>27</v>
      </c>
      <c r="K1100" s="17">
        <v>0.0</v>
      </c>
      <c r="L1100" s="45"/>
      <c r="M1100" s="18"/>
      <c r="N1100" s="65"/>
      <c r="O1100" s="65"/>
      <c r="P1100" s="20">
        <v>0.0</v>
      </c>
      <c r="Q1100" s="18"/>
      <c r="R1100" s="18"/>
      <c r="S1100" s="52"/>
      <c r="T1100" s="22"/>
    </row>
    <row r="1101">
      <c r="A1101" s="23" t="s">
        <v>7938</v>
      </c>
      <c r="B1101" s="58" t="s">
        <v>21</v>
      </c>
      <c r="C1101" s="41">
        <v>45358.0</v>
      </c>
      <c r="D1101" s="40" t="s">
        <v>7939</v>
      </c>
      <c r="E1101" s="41" t="s">
        <v>7940</v>
      </c>
      <c r="F1101" s="43" t="s">
        <v>7941</v>
      </c>
      <c r="G1101" s="43" t="s">
        <v>7942</v>
      </c>
      <c r="H1101" s="51" t="s">
        <v>148</v>
      </c>
      <c r="I1101" s="25" t="str">
        <f>IFERROR(__xludf.DUMMYFUNCTION("GOOGLETRANSLATE(H1101,""EN"",""ES"")"),"Gastronomía")</f>
        <v>Gastronomía</v>
      </c>
      <c r="J1101" s="26" t="s">
        <v>27</v>
      </c>
      <c r="K1101" s="17">
        <v>0.0</v>
      </c>
      <c r="L1101" s="54"/>
      <c r="M1101" s="31"/>
      <c r="N1101" s="66"/>
      <c r="O1101" s="66"/>
      <c r="P1101" s="20">
        <v>0.0</v>
      </c>
      <c r="Q1101" s="31"/>
      <c r="R1101" s="31"/>
      <c r="S1101" s="53"/>
      <c r="T1101" s="32"/>
    </row>
    <row r="1102">
      <c r="A1102" s="33" t="s">
        <v>7943</v>
      </c>
      <c r="B1102" s="60" t="s">
        <v>6685</v>
      </c>
      <c r="C1102" s="41">
        <v>45358.0</v>
      </c>
      <c r="D1102" s="40" t="s">
        <v>7944</v>
      </c>
      <c r="E1102" s="41" t="s">
        <v>7945</v>
      </c>
      <c r="F1102" s="43" t="s">
        <v>7946</v>
      </c>
      <c r="G1102" s="43" t="s">
        <v>7947</v>
      </c>
      <c r="H1102" s="51" t="s">
        <v>148</v>
      </c>
      <c r="I1102" s="15" t="str">
        <f>IFERROR(__xludf.DUMMYFUNCTION("GOOGLETRANSLATE(H1102,""EN"",""ES"")"),"Gastronomía")</f>
        <v>Gastronomía</v>
      </c>
      <c r="J1102" s="16" t="s">
        <v>27</v>
      </c>
      <c r="K1102" s="17">
        <v>0.0</v>
      </c>
      <c r="L1102" s="45"/>
      <c r="M1102" s="18"/>
      <c r="N1102" s="65"/>
      <c r="O1102" s="65"/>
      <c r="P1102" s="20">
        <v>0.0</v>
      </c>
      <c r="Q1102" s="18"/>
      <c r="R1102" s="18"/>
      <c r="S1102" s="52"/>
      <c r="T1102" s="22"/>
    </row>
    <row r="1103">
      <c r="A1103" s="23" t="s">
        <v>7948</v>
      </c>
      <c r="B1103" s="58" t="s">
        <v>4937</v>
      </c>
      <c r="C1103" s="41">
        <v>45358.0</v>
      </c>
      <c r="D1103" s="40" t="s">
        <v>7949</v>
      </c>
      <c r="E1103" s="41" t="s">
        <v>7950</v>
      </c>
      <c r="F1103" s="43" t="s">
        <v>7951</v>
      </c>
      <c r="G1103" s="43" t="s">
        <v>7952</v>
      </c>
      <c r="H1103" s="51" t="s">
        <v>148</v>
      </c>
      <c r="I1103" s="25" t="str">
        <f>IFERROR(__xludf.DUMMYFUNCTION("GOOGLETRANSLATE(H1103,""EN"",""ES"")"),"Gastronomía")</f>
        <v>Gastronomía</v>
      </c>
      <c r="J1103" s="26" t="s">
        <v>27</v>
      </c>
      <c r="K1103" s="17">
        <v>0.0</v>
      </c>
      <c r="L1103" s="54"/>
      <c r="M1103" s="31"/>
      <c r="N1103" s="66"/>
      <c r="O1103" s="66"/>
      <c r="P1103" s="20">
        <v>0.0</v>
      </c>
      <c r="Q1103" s="31"/>
      <c r="R1103" s="31"/>
      <c r="S1103" s="53"/>
      <c r="T1103" s="32"/>
    </row>
    <row r="1104">
      <c r="A1104" s="33" t="s">
        <v>7953</v>
      </c>
      <c r="B1104" s="60" t="s">
        <v>7954</v>
      </c>
      <c r="C1104" s="41">
        <v>45358.0</v>
      </c>
      <c r="D1104" s="40" t="s">
        <v>7955</v>
      </c>
      <c r="E1104" s="41" t="s">
        <v>7956</v>
      </c>
      <c r="F1104" s="43" t="s">
        <v>7957</v>
      </c>
      <c r="G1104" s="43" t="s">
        <v>7958</v>
      </c>
      <c r="H1104" s="51" t="s">
        <v>148</v>
      </c>
      <c r="I1104" s="15" t="str">
        <f>IFERROR(__xludf.DUMMYFUNCTION("GOOGLETRANSLATE(H1104,""EN"",""ES"")"),"Gastronomía")</f>
        <v>Gastronomía</v>
      </c>
      <c r="J1104" s="16" t="s">
        <v>27</v>
      </c>
      <c r="K1104" s="17">
        <v>0.0</v>
      </c>
      <c r="L1104" s="45"/>
      <c r="M1104" s="18"/>
      <c r="N1104" s="65"/>
      <c r="O1104" s="65"/>
      <c r="P1104" s="20">
        <v>0.0</v>
      </c>
      <c r="Q1104" s="18"/>
      <c r="R1104" s="18"/>
      <c r="S1104" s="52"/>
      <c r="T1104" s="22"/>
    </row>
    <row r="1105">
      <c r="A1105" s="23" t="s">
        <v>7959</v>
      </c>
      <c r="B1105" s="58" t="s">
        <v>7469</v>
      </c>
      <c r="C1105" s="41">
        <v>45358.0</v>
      </c>
      <c r="D1105" s="40" t="s">
        <v>7960</v>
      </c>
      <c r="E1105" s="41" t="s">
        <v>7961</v>
      </c>
      <c r="F1105" s="43" t="s">
        <v>7962</v>
      </c>
      <c r="G1105" s="43" t="s">
        <v>7963</v>
      </c>
      <c r="H1105" s="51" t="s">
        <v>148</v>
      </c>
      <c r="I1105" s="25" t="str">
        <f>IFERROR(__xludf.DUMMYFUNCTION("GOOGLETRANSLATE(H1105,""EN"",""ES"")"),"Gastronomía")</f>
        <v>Gastronomía</v>
      </c>
      <c r="J1105" s="26" t="s">
        <v>27</v>
      </c>
      <c r="K1105" s="17">
        <v>0.0</v>
      </c>
      <c r="L1105" s="54"/>
      <c r="M1105" s="31"/>
      <c r="N1105" s="66"/>
      <c r="O1105" s="66"/>
      <c r="P1105" s="20">
        <v>0.0</v>
      </c>
      <c r="Q1105" s="31"/>
      <c r="R1105" s="31"/>
      <c r="S1105" s="53"/>
      <c r="T1105" s="32"/>
    </row>
    <row r="1106">
      <c r="A1106" s="33" t="s">
        <v>7964</v>
      </c>
      <c r="B1106" s="60" t="s">
        <v>2952</v>
      </c>
      <c r="C1106" s="41">
        <v>45358.0</v>
      </c>
      <c r="D1106" s="40" t="s">
        <v>7965</v>
      </c>
      <c r="E1106" s="41" t="s">
        <v>7966</v>
      </c>
      <c r="F1106" s="43" t="s">
        <v>7967</v>
      </c>
      <c r="G1106" s="43" t="s">
        <v>7968</v>
      </c>
      <c r="H1106" s="51" t="s">
        <v>148</v>
      </c>
      <c r="I1106" s="15" t="str">
        <f>IFERROR(__xludf.DUMMYFUNCTION("GOOGLETRANSLATE(H1106,""EN"",""ES"")"),"Gastronomía")</f>
        <v>Gastronomía</v>
      </c>
      <c r="J1106" s="16" t="s">
        <v>27</v>
      </c>
      <c r="K1106" s="17">
        <v>0.0</v>
      </c>
      <c r="L1106" s="45"/>
      <c r="M1106" s="18"/>
      <c r="N1106" s="65"/>
      <c r="O1106" s="65"/>
      <c r="P1106" s="20">
        <v>0.0</v>
      </c>
      <c r="Q1106" s="18"/>
      <c r="R1106" s="18"/>
      <c r="S1106" s="52"/>
      <c r="T1106" s="22"/>
    </row>
    <row r="1107">
      <c r="A1107" s="23" t="s">
        <v>7969</v>
      </c>
      <c r="B1107" s="58" t="s">
        <v>7970</v>
      </c>
      <c r="C1107" s="41">
        <v>45358.0</v>
      </c>
      <c r="D1107" s="40" t="s">
        <v>7971</v>
      </c>
      <c r="E1107" s="41" t="s">
        <v>7972</v>
      </c>
      <c r="F1107" s="43" t="s">
        <v>7973</v>
      </c>
      <c r="G1107" s="43" t="s">
        <v>7974</v>
      </c>
      <c r="H1107" s="51" t="s">
        <v>148</v>
      </c>
      <c r="I1107" s="25" t="str">
        <f>IFERROR(__xludf.DUMMYFUNCTION("GOOGLETRANSLATE(H1107,""EN"",""ES"")"),"Gastronomía")</f>
        <v>Gastronomía</v>
      </c>
      <c r="J1107" s="26" t="s">
        <v>27</v>
      </c>
      <c r="K1107" s="17">
        <v>0.0</v>
      </c>
      <c r="L1107" s="54"/>
      <c r="M1107" s="31"/>
      <c r="N1107" s="66"/>
      <c r="O1107" s="66"/>
      <c r="P1107" s="20">
        <v>0.0</v>
      </c>
      <c r="Q1107" s="31"/>
      <c r="R1107" s="31"/>
      <c r="S1107" s="53"/>
      <c r="T1107" s="32"/>
    </row>
    <row r="1108">
      <c r="A1108" s="33" t="s">
        <v>7975</v>
      </c>
      <c r="B1108" s="60" t="s">
        <v>85</v>
      </c>
      <c r="C1108" s="41">
        <v>45358.0</v>
      </c>
      <c r="D1108" s="40" t="s">
        <v>7976</v>
      </c>
      <c r="E1108" s="41" t="s">
        <v>7977</v>
      </c>
      <c r="F1108" s="43" t="s">
        <v>7978</v>
      </c>
      <c r="G1108" s="43" t="s">
        <v>7979</v>
      </c>
      <c r="H1108" s="51" t="s">
        <v>148</v>
      </c>
      <c r="I1108" s="15" t="str">
        <f>IFERROR(__xludf.DUMMYFUNCTION("GOOGLETRANSLATE(H1108,""EN"",""ES"")"),"Gastronomía")</f>
        <v>Gastronomía</v>
      </c>
      <c r="J1108" s="16" t="s">
        <v>27</v>
      </c>
      <c r="K1108" s="17">
        <v>0.0</v>
      </c>
      <c r="L1108" s="45"/>
      <c r="M1108" s="18"/>
      <c r="N1108" s="65"/>
      <c r="O1108" s="65"/>
      <c r="P1108" s="20">
        <v>0.0</v>
      </c>
      <c r="Q1108" s="18"/>
      <c r="R1108" s="18"/>
      <c r="S1108" s="52"/>
      <c r="T1108" s="22"/>
    </row>
    <row r="1109">
      <c r="A1109" s="23" t="s">
        <v>7980</v>
      </c>
      <c r="B1109" s="58" t="s">
        <v>7981</v>
      </c>
      <c r="C1109" s="41">
        <v>45358.0</v>
      </c>
      <c r="D1109" s="40" t="s">
        <v>7982</v>
      </c>
      <c r="E1109" s="41" t="s">
        <v>7983</v>
      </c>
      <c r="F1109" s="43" t="s">
        <v>7984</v>
      </c>
      <c r="G1109" s="43" t="s">
        <v>7985</v>
      </c>
      <c r="H1109" s="51" t="s">
        <v>55</v>
      </c>
      <c r="I1109" s="25" t="str">
        <f>IFERROR(__xludf.DUMMYFUNCTION("GOOGLETRANSLATE(H1109,""EN"",""ES"")"),"deportes de motor")</f>
        <v>deportes de motor</v>
      </c>
      <c r="J1109" s="26" t="s">
        <v>27</v>
      </c>
      <c r="K1109" s="17">
        <v>0.0</v>
      </c>
      <c r="L1109" s="54"/>
      <c r="M1109" s="31"/>
      <c r="N1109" s="66"/>
      <c r="O1109" s="66"/>
      <c r="P1109" s="20">
        <v>0.0</v>
      </c>
      <c r="Q1109" s="31"/>
      <c r="R1109" s="31"/>
      <c r="S1109" s="53"/>
      <c r="T1109" s="32"/>
    </row>
    <row r="1110">
      <c r="A1110" s="33" t="s">
        <v>7986</v>
      </c>
      <c r="B1110" s="60" t="s">
        <v>3402</v>
      </c>
      <c r="C1110" s="41">
        <v>45358.0</v>
      </c>
      <c r="D1110" s="40" t="s">
        <v>7987</v>
      </c>
      <c r="E1110" s="41" t="s">
        <v>7988</v>
      </c>
      <c r="F1110" s="43" t="s">
        <v>7989</v>
      </c>
      <c r="G1110" s="43" t="s">
        <v>7990</v>
      </c>
      <c r="H1110" s="51" t="s">
        <v>62</v>
      </c>
      <c r="I1110" s="15" t="str">
        <f>IFERROR(__xludf.DUMMYFUNCTION("GOOGLETRANSLATE(H1110,""EN"",""ES"")"),"Energía")</f>
        <v>Energía</v>
      </c>
      <c r="J1110" s="16" t="s">
        <v>35</v>
      </c>
      <c r="K1110" s="48">
        <v>0.0</v>
      </c>
      <c r="L1110" s="45"/>
      <c r="M1110" s="18"/>
      <c r="N1110" s="65" t="s">
        <v>7991</v>
      </c>
      <c r="O1110" s="65" t="str">
        <f>IFERROR(__xludf.DUMMYFUNCTION("GOOGLETRANSLATE(N1110,""EN"",""ES"")"),"La evolución energética general no impacta directamente en Repsol.")</f>
        <v>La evolución energética general no impacta directamente en Repsol.</v>
      </c>
      <c r="P1110" s="30">
        <v>0.5</v>
      </c>
      <c r="Q1110" s="18" t="str">
        <f>IFERROR(__xludf.DUMMYFUNCTION("GOOGLETRANSLATE(R1110,""ES"",""EN"")"),"fuel of the future")</f>
        <v>fuel of the future</v>
      </c>
      <c r="R1110" s="34" t="s">
        <v>7992</v>
      </c>
      <c r="S1110" s="52" t="s">
        <v>7993</v>
      </c>
      <c r="T1110" s="22" t="s">
        <v>7994</v>
      </c>
    </row>
    <row r="1111">
      <c r="A1111" s="23" t="s">
        <v>7995</v>
      </c>
      <c r="B1111" s="58" t="s">
        <v>3151</v>
      </c>
      <c r="C1111" s="41">
        <v>45359.0</v>
      </c>
      <c r="D1111" s="40" t="s">
        <v>7996</v>
      </c>
      <c r="E1111" s="41" t="s">
        <v>7997</v>
      </c>
      <c r="F1111" s="43" t="s">
        <v>7998</v>
      </c>
      <c r="G1111" s="43" t="s">
        <v>7999</v>
      </c>
      <c r="H1111" s="51" t="s">
        <v>148</v>
      </c>
      <c r="I1111" s="25" t="str">
        <f>IFERROR(__xludf.DUMMYFUNCTION("GOOGLETRANSLATE(H1111,""EN"",""ES"")"),"Gastronomía")</f>
        <v>Gastronomía</v>
      </c>
      <c r="J1111" s="26" t="s">
        <v>27</v>
      </c>
      <c r="K1111" s="17">
        <v>0.0</v>
      </c>
      <c r="L1111" s="54"/>
      <c r="M1111" s="31"/>
      <c r="N1111" s="66"/>
      <c r="O1111" s="66"/>
      <c r="P1111" s="20">
        <v>0.0</v>
      </c>
      <c r="Q1111" s="31"/>
      <c r="R1111" s="31"/>
      <c r="S1111" s="53"/>
      <c r="T1111" s="32"/>
    </row>
    <row r="1112">
      <c r="A1112" s="33" t="s">
        <v>8000</v>
      </c>
      <c r="B1112" s="60" t="s">
        <v>1081</v>
      </c>
      <c r="C1112" s="41">
        <v>45359.0</v>
      </c>
      <c r="D1112" s="40" t="s">
        <v>8001</v>
      </c>
      <c r="E1112" s="41" t="s">
        <v>8002</v>
      </c>
      <c r="F1112" s="43" t="s">
        <v>8003</v>
      </c>
      <c r="G1112" s="43" t="s">
        <v>8004</v>
      </c>
      <c r="H1112" s="51" t="s">
        <v>148</v>
      </c>
      <c r="I1112" s="15" t="str">
        <f>IFERROR(__xludf.DUMMYFUNCTION("GOOGLETRANSLATE(H1112,""EN"",""ES"")"),"Gastronomía")</f>
        <v>Gastronomía</v>
      </c>
      <c r="J1112" s="16" t="s">
        <v>27</v>
      </c>
      <c r="K1112" s="17">
        <v>0.0</v>
      </c>
      <c r="L1112" s="45"/>
      <c r="M1112" s="18"/>
      <c r="N1112" s="65"/>
      <c r="O1112" s="65"/>
      <c r="P1112" s="20">
        <v>0.0</v>
      </c>
      <c r="Q1112" s="18"/>
      <c r="R1112" s="18"/>
      <c r="S1112" s="52"/>
      <c r="T1112" s="22"/>
    </row>
    <row r="1113">
      <c r="A1113" s="23" t="s">
        <v>8005</v>
      </c>
      <c r="B1113" s="58" t="s">
        <v>8006</v>
      </c>
      <c r="C1113" s="41">
        <v>45359.0</v>
      </c>
      <c r="D1113" s="40" t="s">
        <v>8007</v>
      </c>
      <c r="E1113" s="41" t="s">
        <v>8008</v>
      </c>
      <c r="F1113" s="43" t="s">
        <v>8009</v>
      </c>
      <c r="G1113" s="43" t="s">
        <v>8010</v>
      </c>
      <c r="H1113" s="51" t="s">
        <v>148</v>
      </c>
      <c r="I1113" s="25" t="str">
        <f>IFERROR(__xludf.DUMMYFUNCTION("GOOGLETRANSLATE(H1113,""EN"",""ES"")"),"Gastronomía")</f>
        <v>Gastronomía</v>
      </c>
      <c r="J1113" s="26" t="s">
        <v>27</v>
      </c>
      <c r="K1113" s="17">
        <v>0.0</v>
      </c>
      <c r="L1113" s="54"/>
      <c r="M1113" s="31"/>
      <c r="N1113" s="66"/>
      <c r="O1113" s="66"/>
      <c r="P1113" s="20">
        <v>0.0</v>
      </c>
      <c r="Q1113" s="31"/>
      <c r="R1113" s="31"/>
      <c r="S1113" s="53"/>
      <c r="T1113" s="32"/>
    </row>
    <row r="1114">
      <c r="A1114" s="33" t="s">
        <v>8011</v>
      </c>
      <c r="B1114" s="60" t="s">
        <v>8012</v>
      </c>
      <c r="C1114" s="41">
        <v>45359.0</v>
      </c>
      <c r="D1114" s="40" t="s">
        <v>8013</v>
      </c>
      <c r="E1114" s="41" t="s">
        <v>8014</v>
      </c>
      <c r="F1114" s="43" t="s">
        <v>8015</v>
      </c>
      <c r="G1114" s="43" t="s">
        <v>8016</v>
      </c>
      <c r="H1114" s="51" t="s">
        <v>148</v>
      </c>
      <c r="I1114" s="15" t="str">
        <f>IFERROR(__xludf.DUMMYFUNCTION("GOOGLETRANSLATE(H1114,""EN"",""ES"")"),"Gastronomía")</f>
        <v>Gastronomía</v>
      </c>
      <c r="J1114" s="16" t="s">
        <v>27</v>
      </c>
      <c r="K1114" s="17">
        <v>0.0</v>
      </c>
      <c r="L1114" s="45"/>
      <c r="M1114" s="18"/>
      <c r="N1114" s="65"/>
      <c r="O1114" s="65"/>
      <c r="P1114" s="20">
        <v>0.0</v>
      </c>
      <c r="Q1114" s="18"/>
      <c r="R1114" s="18"/>
      <c r="S1114" s="52"/>
      <c r="T1114" s="22"/>
    </row>
    <row r="1115">
      <c r="A1115" s="23" t="s">
        <v>8017</v>
      </c>
      <c r="B1115" s="58" t="s">
        <v>1635</v>
      </c>
      <c r="C1115" s="41">
        <v>45359.0</v>
      </c>
      <c r="D1115" s="40" t="s">
        <v>8018</v>
      </c>
      <c r="E1115" s="41" t="s">
        <v>8019</v>
      </c>
      <c r="F1115" s="43" t="s">
        <v>8020</v>
      </c>
      <c r="G1115" s="43" t="s">
        <v>8021</v>
      </c>
      <c r="H1115" s="51" t="s">
        <v>34</v>
      </c>
      <c r="I1115" s="25" t="str">
        <f>IFERROR(__xludf.DUMMYFUNCTION("GOOGLETRANSLATE(H1115,""EN"",""ES"")"),"Responsabilidad Social Corporativa")</f>
        <v>Responsabilidad Social Corporativa</v>
      </c>
      <c r="J1115" s="26" t="s">
        <v>35</v>
      </c>
      <c r="K1115" s="48">
        <v>0.6</v>
      </c>
      <c r="L1115" s="49" t="s">
        <v>8022</v>
      </c>
      <c r="M1115" s="28" t="s">
        <v>8023</v>
      </c>
      <c r="N1115" s="66" t="s">
        <v>8024</v>
      </c>
      <c r="O1115" s="66" t="str">
        <f>IFERROR(__xludf.DUMMYFUNCTION("GOOGLETRANSLATE(N1115,""EN"",""ES"")"),"El apoyo a iniciativas de liderazgo femenino potencia la imagen corporativa de Repsol.")</f>
        <v>El apoyo a iniciativas de liderazgo femenino potencia la imagen corporativa de Repsol.</v>
      </c>
      <c r="P1115" s="30">
        <v>0.7</v>
      </c>
      <c r="Q1115" s="31" t="str">
        <f>IFERROR(__xludf.DUMMYFUNCTION("GOOGLETRANSLATE(R1115,""ES"",""EN"")"),"female leadership, bet")</f>
        <v>female leadership, bet</v>
      </c>
      <c r="R1115" s="28" t="s">
        <v>8025</v>
      </c>
      <c r="S1115" s="53" t="s">
        <v>8026</v>
      </c>
      <c r="T1115" s="32" t="s">
        <v>8027</v>
      </c>
    </row>
    <row r="1116">
      <c r="A1116" s="33" t="s">
        <v>8028</v>
      </c>
      <c r="B1116" s="60" t="s">
        <v>8029</v>
      </c>
      <c r="C1116" s="41">
        <v>45359.0</v>
      </c>
      <c r="D1116" s="40" t="s">
        <v>8030</v>
      </c>
      <c r="E1116" s="41" t="s">
        <v>8031</v>
      </c>
      <c r="F1116" s="43" t="s">
        <v>8032</v>
      </c>
      <c r="G1116" s="43" t="s">
        <v>8033</v>
      </c>
      <c r="H1116" s="51" t="s">
        <v>661</v>
      </c>
      <c r="I1116" s="15" t="str">
        <f>IFERROR(__xludf.DUMMYFUNCTION("GOOGLETRANSLATE(H1116,""EN"",""ES"")"),"Estrategia empresarial")</f>
        <v>Estrategia empresarial</v>
      </c>
      <c r="J1116" s="16" t="s">
        <v>35</v>
      </c>
      <c r="K1116" s="48">
        <v>0.0</v>
      </c>
      <c r="L1116" s="45"/>
      <c r="M1116" s="18"/>
      <c r="N1116" s="65" t="s">
        <v>8034</v>
      </c>
      <c r="O1116" s="65" t="str">
        <f>IFERROR(__xludf.DUMMYFUNCTION("GOOGLETRANSLATE(N1116,""EN"",""ES"")"),"Las decisiones de contratación de Repsol no impactan directamente en su reputación.")</f>
        <v>Las decisiones de contratación de Repsol no impactan directamente en su reputación.</v>
      </c>
      <c r="P1116" s="30">
        <v>0.6</v>
      </c>
      <c r="Q1116" s="18" t="str">
        <f>IFERROR(__xludf.DUMMYFUNCTION("GOOGLETRANSLATE(R1116,""ES"",""EN"")"),"search for staff, salaries, benefits")</f>
        <v>search for staff, salaries, benefits</v>
      </c>
      <c r="R1116" s="34" t="s">
        <v>8035</v>
      </c>
      <c r="S1116" s="52" t="s">
        <v>8036</v>
      </c>
      <c r="T1116" s="22" t="s">
        <v>8037</v>
      </c>
    </row>
    <row r="1117">
      <c r="A1117" s="23" t="s">
        <v>8038</v>
      </c>
      <c r="B1117" s="58" t="s">
        <v>6496</v>
      </c>
      <c r="C1117" s="41">
        <v>45359.0</v>
      </c>
      <c r="D1117" s="40" t="s">
        <v>8039</v>
      </c>
      <c r="E1117" s="41" t="s">
        <v>8040</v>
      </c>
      <c r="F1117" s="43" t="s">
        <v>8041</v>
      </c>
      <c r="G1117" s="43" t="s">
        <v>8042</v>
      </c>
      <c r="H1117" s="51" t="s">
        <v>148</v>
      </c>
      <c r="I1117" s="25" t="str">
        <f>IFERROR(__xludf.DUMMYFUNCTION("GOOGLETRANSLATE(H1117,""EN"",""ES"")"),"Gastronomía")</f>
        <v>Gastronomía</v>
      </c>
      <c r="J1117" s="26" t="s">
        <v>27</v>
      </c>
      <c r="K1117" s="17">
        <v>0.0</v>
      </c>
      <c r="L1117" s="54"/>
      <c r="M1117" s="31"/>
      <c r="N1117" s="66"/>
      <c r="O1117" s="66"/>
      <c r="P1117" s="20">
        <v>0.0</v>
      </c>
      <c r="Q1117" s="31"/>
      <c r="R1117" s="31"/>
      <c r="S1117" s="53"/>
      <c r="T1117" s="32"/>
    </row>
    <row r="1118">
      <c r="A1118" s="33" t="s">
        <v>8043</v>
      </c>
      <c r="B1118" s="60" t="s">
        <v>85</v>
      </c>
      <c r="C1118" s="41">
        <v>45359.0</v>
      </c>
      <c r="D1118" s="40" t="s">
        <v>8044</v>
      </c>
      <c r="E1118" s="41" t="s">
        <v>8045</v>
      </c>
      <c r="F1118" s="43" t="s">
        <v>8046</v>
      </c>
      <c r="G1118" s="43" t="s">
        <v>8047</v>
      </c>
      <c r="H1118" s="51" t="s">
        <v>148</v>
      </c>
      <c r="I1118" s="15" t="str">
        <f>IFERROR(__xludf.DUMMYFUNCTION("GOOGLETRANSLATE(H1118,""EN"",""ES"")"),"Gastronomía")</f>
        <v>Gastronomía</v>
      </c>
      <c r="J1118" s="16" t="s">
        <v>27</v>
      </c>
      <c r="K1118" s="17">
        <v>0.0</v>
      </c>
      <c r="L1118" s="45"/>
      <c r="M1118" s="18"/>
      <c r="N1118" s="65"/>
      <c r="O1118" s="65"/>
      <c r="P1118" s="20">
        <v>0.0</v>
      </c>
      <c r="Q1118" s="18"/>
      <c r="R1118" s="18"/>
      <c r="S1118" s="52"/>
      <c r="T1118" s="22"/>
    </row>
    <row r="1119">
      <c r="A1119" s="23" t="s">
        <v>8048</v>
      </c>
      <c r="B1119" s="58" t="s">
        <v>8049</v>
      </c>
      <c r="C1119" s="41">
        <v>45359.0</v>
      </c>
      <c r="D1119" s="40" t="s">
        <v>8050</v>
      </c>
      <c r="E1119" s="41" t="s">
        <v>8051</v>
      </c>
      <c r="F1119" s="43" t="s">
        <v>8052</v>
      </c>
      <c r="G1119" s="43" t="s">
        <v>8053</v>
      </c>
      <c r="H1119" s="51" t="s">
        <v>148</v>
      </c>
      <c r="I1119" s="25" t="str">
        <f>IFERROR(__xludf.DUMMYFUNCTION("GOOGLETRANSLATE(H1119,""EN"",""ES"")"),"Gastronomía")</f>
        <v>Gastronomía</v>
      </c>
      <c r="J1119" s="26" t="s">
        <v>27</v>
      </c>
      <c r="K1119" s="17">
        <v>0.0</v>
      </c>
      <c r="L1119" s="54"/>
      <c r="M1119" s="31"/>
      <c r="N1119" s="66"/>
      <c r="O1119" s="66"/>
      <c r="P1119" s="20">
        <v>0.0</v>
      </c>
      <c r="Q1119" s="31"/>
      <c r="R1119" s="31"/>
      <c r="S1119" s="53"/>
      <c r="T1119" s="32"/>
    </row>
    <row r="1120">
      <c r="A1120" s="33" t="s">
        <v>8054</v>
      </c>
      <c r="B1120" s="60" t="s">
        <v>499</v>
      </c>
      <c r="C1120" s="41">
        <v>45359.0</v>
      </c>
      <c r="D1120" s="40" t="s">
        <v>8055</v>
      </c>
      <c r="E1120" s="41" t="s">
        <v>8056</v>
      </c>
      <c r="F1120" s="43" t="s">
        <v>8057</v>
      </c>
      <c r="G1120" s="43" t="s">
        <v>8058</v>
      </c>
      <c r="H1120" s="51" t="s">
        <v>48</v>
      </c>
      <c r="I1120" s="15" t="str">
        <f>IFERROR(__xludf.DUMMYFUNCTION("GOOGLETRANSLATE(H1120,""EN"",""ES"")"),"Finanzas")</f>
        <v>Finanzas</v>
      </c>
      <c r="J1120" s="16" t="s">
        <v>35</v>
      </c>
      <c r="K1120" s="48">
        <v>0.5</v>
      </c>
      <c r="L1120" s="51" t="s">
        <v>8059</v>
      </c>
      <c r="M1120" s="34" t="s">
        <v>8060</v>
      </c>
      <c r="N1120" s="65" t="s">
        <v>8061</v>
      </c>
      <c r="O1120" s="65" t="str">
        <f>IFERROR(__xludf.DUMMYFUNCTION("GOOGLETRANSLATE(N1120,""EN"",""ES"")"),"Los elevados resultados refuerzan la posición de mercado de Repsol y la confianza de los inversores.")</f>
        <v>Los elevados resultados refuerzan la posición de mercado de Repsol y la confianza de los inversores.</v>
      </c>
      <c r="P1120" s="30">
        <v>-0.2</v>
      </c>
      <c r="Q1120" s="18" t="str">
        <f>IFERROR(__xludf.DUMMYFUNCTION("GOOGLETRANSLATE(R1120,""ES"",""EN"")"),"they win, less than the record")</f>
        <v>they win, less than the record</v>
      </c>
      <c r="R1120" s="34" t="s">
        <v>8062</v>
      </c>
      <c r="S1120" s="52" t="s">
        <v>8063</v>
      </c>
      <c r="T1120" s="22" t="s">
        <v>8064</v>
      </c>
    </row>
    <row r="1121">
      <c r="A1121" s="23" t="s">
        <v>8065</v>
      </c>
      <c r="B1121" s="58" t="s">
        <v>8066</v>
      </c>
      <c r="C1121" s="41">
        <v>45360.0</v>
      </c>
      <c r="D1121" s="40" t="s">
        <v>8067</v>
      </c>
      <c r="E1121" s="41" t="s">
        <v>8068</v>
      </c>
      <c r="F1121" s="43" t="s">
        <v>8069</v>
      </c>
      <c r="G1121" s="43" t="s">
        <v>8070</v>
      </c>
      <c r="H1121" s="51" t="s">
        <v>148</v>
      </c>
      <c r="I1121" s="25" t="str">
        <f>IFERROR(__xludf.DUMMYFUNCTION("GOOGLETRANSLATE(H1121,""EN"",""ES"")"),"Gastronomía")</f>
        <v>Gastronomía</v>
      </c>
      <c r="J1121" s="26" t="s">
        <v>27</v>
      </c>
      <c r="K1121" s="17">
        <v>0.0</v>
      </c>
      <c r="L1121" s="54"/>
      <c r="M1121" s="31"/>
      <c r="N1121" s="66"/>
      <c r="O1121" s="66"/>
      <c r="P1121" s="20">
        <v>0.0</v>
      </c>
      <c r="Q1121" s="31"/>
      <c r="R1121" s="31"/>
      <c r="S1121" s="53"/>
      <c r="T1121" s="32"/>
    </row>
    <row r="1122">
      <c r="A1122" s="33" t="s">
        <v>8071</v>
      </c>
      <c r="B1122" s="60" t="s">
        <v>8072</v>
      </c>
      <c r="C1122" s="41">
        <v>45360.0</v>
      </c>
      <c r="D1122" s="40" t="s">
        <v>8073</v>
      </c>
      <c r="E1122" s="41" t="s">
        <v>8074</v>
      </c>
      <c r="F1122" s="43" t="s">
        <v>8075</v>
      </c>
      <c r="G1122" s="43" t="s">
        <v>8076</v>
      </c>
      <c r="H1122" s="51" t="s">
        <v>148</v>
      </c>
      <c r="I1122" s="15" t="str">
        <f>IFERROR(__xludf.DUMMYFUNCTION("GOOGLETRANSLATE(H1122,""EN"",""ES"")"),"Gastronomía")</f>
        <v>Gastronomía</v>
      </c>
      <c r="J1122" s="16" t="s">
        <v>27</v>
      </c>
      <c r="K1122" s="17">
        <v>0.0</v>
      </c>
      <c r="L1122" s="45"/>
      <c r="M1122" s="18"/>
      <c r="N1122" s="65"/>
      <c r="O1122" s="65"/>
      <c r="P1122" s="20">
        <v>0.0</v>
      </c>
      <c r="Q1122" s="18"/>
      <c r="R1122" s="18"/>
      <c r="S1122" s="52"/>
      <c r="T1122" s="22"/>
    </row>
    <row r="1123">
      <c r="A1123" s="23" t="s">
        <v>8077</v>
      </c>
      <c r="B1123" s="58" t="s">
        <v>8078</v>
      </c>
      <c r="C1123" s="41">
        <v>45360.0</v>
      </c>
      <c r="D1123" s="40" t="s">
        <v>8079</v>
      </c>
      <c r="E1123" s="41" t="s">
        <v>8080</v>
      </c>
      <c r="F1123" s="43" t="s">
        <v>8081</v>
      </c>
      <c r="G1123" s="43" t="s">
        <v>8082</v>
      </c>
      <c r="H1123" s="51" t="s">
        <v>148</v>
      </c>
      <c r="I1123" s="25" t="str">
        <f>IFERROR(__xludf.DUMMYFUNCTION("GOOGLETRANSLATE(H1123,""EN"",""ES"")"),"Gastronomía")</f>
        <v>Gastronomía</v>
      </c>
      <c r="J1123" s="26" t="s">
        <v>27</v>
      </c>
      <c r="K1123" s="17">
        <v>0.0</v>
      </c>
      <c r="L1123" s="54"/>
      <c r="M1123" s="31"/>
      <c r="N1123" s="66"/>
      <c r="O1123" s="66"/>
      <c r="P1123" s="20">
        <v>0.0</v>
      </c>
      <c r="Q1123" s="31"/>
      <c r="R1123" s="31"/>
      <c r="S1123" s="53"/>
      <c r="T1123" s="32"/>
    </row>
    <row r="1124">
      <c r="A1124" s="33" t="s">
        <v>8083</v>
      </c>
      <c r="B1124" s="60" t="s">
        <v>4948</v>
      </c>
      <c r="C1124" s="41">
        <v>45360.0</v>
      </c>
      <c r="D1124" s="40" t="s">
        <v>8084</v>
      </c>
      <c r="E1124" s="41" t="s">
        <v>8085</v>
      </c>
      <c r="F1124" s="43" t="s">
        <v>8086</v>
      </c>
      <c r="G1124" s="43" t="s">
        <v>8087</v>
      </c>
      <c r="H1124" s="51" t="s">
        <v>130</v>
      </c>
      <c r="I1124" s="15" t="str">
        <f>IFERROR(__xludf.DUMMYFUNCTION("GOOGLETRANSLATE(H1124,""EN"",""ES"")"),"Sostenibilidad")</f>
        <v>Sostenibilidad</v>
      </c>
      <c r="J1124" s="16" t="s">
        <v>35</v>
      </c>
      <c r="K1124" s="48">
        <v>0.8</v>
      </c>
      <c r="L1124" s="51" t="s">
        <v>8088</v>
      </c>
      <c r="M1124" s="34" t="s">
        <v>8089</v>
      </c>
      <c r="N1124" s="65" t="s">
        <v>8090</v>
      </c>
      <c r="O1124" s="65" t="str">
        <f>IFERROR(__xludf.DUMMYFUNCTION("GOOGLETRANSLATE(N1124,""EN"",""ES"")"),"La transformación de las refinerías de Repsol refleja su estrategia hacia la energía sostenible.")</f>
        <v>La transformación de las refinerías de Repsol refleja su estrategia hacia la energía sostenible.</v>
      </c>
      <c r="P1124" s="30">
        <v>0.6</v>
      </c>
      <c r="Q1124" s="18" t="str">
        <f>IFERROR(__xludf.DUMMYFUNCTION("GOOGLETRANSLATE(R1124,""ES"",""EN"")"),"transformation, project")</f>
        <v>transformation, project</v>
      </c>
      <c r="R1124" s="34" t="s">
        <v>8091</v>
      </c>
      <c r="S1124" s="52" t="s">
        <v>8092</v>
      </c>
      <c r="T1124" s="22" t="s">
        <v>8093</v>
      </c>
    </row>
    <row r="1125">
      <c r="A1125" s="23" t="s">
        <v>8094</v>
      </c>
      <c r="B1125" s="58" t="s">
        <v>6642</v>
      </c>
      <c r="C1125" s="41">
        <v>45360.0</v>
      </c>
      <c r="D1125" s="40" t="s">
        <v>8095</v>
      </c>
      <c r="E1125" s="41" t="s">
        <v>8096</v>
      </c>
      <c r="F1125" s="43" t="s">
        <v>8097</v>
      </c>
      <c r="G1125" s="43" t="s">
        <v>8098</v>
      </c>
      <c r="H1125" s="51" t="s">
        <v>1975</v>
      </c>
      <c r="I1125" s="25" t="str">
        <f>IFERROR(__xludf.DUMMYFUNCTION("GOOGLETRANSLATE(H1125,""EN"",""ES"")"),"Política")</f>
        <v>Política</v>
      </c>
      <c r="J1125" s="26" t="s">
        <v>27</v>
      </c>
      <c r="K1125" s="17">
        <v>0.0</v>
      </c>
      <c r="L1125" s="54"/>
      <c r="M1125" s="31"/>
      <c r="N1125" s="66"/>
      <c r="O1125" s="66"/>
      <c r="P1125" s="20">
        <v>0.0</v>
      </c>
      <c r="Q1125" s="31"/>
      <c r="R1125" s="31"/>
      <c r="S1125" s="53"/>
      <c r="T1125" s="32"/>
    </row>
    <row r="1126">
      <c r="A1126" s="33" t="s">
        <v>8099</v>
      </c>
      <c r="B1126" s="60" t="s">
        <v>8100</v>
      </c>
      <c r="C1126" s="41">
        <v>45360.0</v>
      </c>
      <c r="D1126" s="40" t="s">
        <v>8101</v>
      </c>
      <c r="E1126" s="41" t="s">
        <v>8102</v>
      </c>
      <c r="F1126" s="43" t="s">
        <v>8103</v>
      </c>
      <c r="G1126" s="43" t="s">
        <v>8104</v>
      </c>
      <c r="H1126" s="51" t="s">
        <v>148</v>
      </c>
      <c r="I1126" s="15" t="str">
        <f>IFERROR(__xludf.DUMMYFUNCTION("GOOGLETRANSLATE(H1126,""EN"",""ES"")"),"Gastronomía")</f>
        <v>Gastronomía</v>
      </c>
      <c r="J1126" s="16" t="s">
        <v>27</v>
      </c>
      <c r="K1126" s="17">
        <v>0.0</v>
      </c>
      <c r="L1126" s="45"/>
      <c r="M1126" s="18"/>
      <c r="N1126" s="65"/>
      <c r="O1126" s="65"/>
      <c r="P1126" s="20">
        <v>0.0</v>
      </c>
      <c r="Q1126" s="18"/>
      <c r="R1126" s="18"/>
      <c r="S1126" s="52"/>
      <c r="T1126" s="22"/>
    </row>
    <row r="1127">
      <c r="A1127" s="23" t="s">
        <v>8105</v>
      </c>
      <c r="B1127" s="58" t="s">
        <v>85</v>
      </c>
      <c r="C1127" s="41">
        <v>45360.0</v>
      </c>
      <c r="D1127" s="40" t="s">
        <v>8106</v>
      </c>
      <c r="E1127" s="41" t="s">
        <v>8107</v>
      </c>
      <c r="F1127" s="43" t="s">
        <v>8108</v>
      </c>
      <c r="G1127" s="43" t="s">
        <v>8109</v>
      </c>
      <c r="H1127" s="51" t="s">
        <v>148</v>
      </c>
      <c r="I1127" s="25" t="str">
        <f>IFERROR(__xludf.DUMMYFUNCTION("GOOGLETRANSLATE(H1127,""EN"",""ES"")"),"Gastronomía")</f>
        <v>Gastronomía</v>
      </c>
      <c r="J1127" s="26" t="s">
        <v>27</v>
      </c>
      <c r="K1127" s="17">
        <v>0.0</v>
      </c>
      <c r="L1127" s="54"/>
      <c r="M1127" s="31"/>
      <c r="N1127" s="66"/>
      <c r="O1127" s="66"/>
      <c r="P1127" s="20">
        <v>0.0</v>
      </c>
      <c r="Q1127" s="31"/>
      <c r="R1127" s="31"/>
      <c r="S1127" s="53"/>
      <c r="T1127" s="32"/>
    </row>
    <row r="1128">
      <c r="A1128" s="33" t="s">
        <v>8110</v>
      </c>
      <c r="B1128" s="60" t="s">
        <v>425</v>
      </c>
      <c r="C1128" s="41">
        <v>45360.0</v>
      </c>
      <c r="D1128" s="40" t="s">
        <v>8111</v>
      </c>
      <c r="E1128" s="41" t="s">
        <v>8112</v>
      </c>
      <c r="F1128" s="43" t="s">
        <v>8113</v>
      </c>
      <c r="G1128" s="43" t="s">
        <v>8114</v>
      </c>
      <c r="H1128" s="51" t="s">
        <v>55</v>
      </c>
      <c r="I1128" s="15" t="str">
        <f>IFERROR(__xludf.DUMMYFUNCTION("GOOGLETRANSLATE(H1128,""EN"",""ES"")"),"deportes de motor")</f>
        <v>deportes de motor</v>
      </c>
      <c r="J1128" s="16" t="s">
        <v>27</v>
      </c>
      <c r="K1128" s="17">
        <v>0.0</v>
      </c>
      <c r="L1128" s="45"/>
      <c r="M1128" s="18"/>
      <c r="N1128" s="65"/>
      <c r="O1128" s="65"/>
      <c r="P1128" s="20">
        <v>0.0</v>
      </c>
      <c r="Q1128" s="18"/>
      <c r="R1128" s="18"/>
      <c r="S1128" s="52"/>
      <c r="T1128" s="22"/>
    </row>
    <row r="1129">
      <c r="A1129" s="23" t="s">
        <v>8115</v>
      </c>
      <c r="B1129" s="58" t="s">
        <v>2726</v>
      </c>
      <c r="C1129" s="41">
        <v>45360.0</v>
      </c>
      <c r="D1129" s="40" t="s">
        <v>8116</v>
      </c>
      <c r="E1129" s="41" t="s">
        <v>8117</v>
      </c>
      <c r="F1129" s="43" t="s">
        <v>8118</v>
      </c>
      <c r="G1129" s="43" t="s">
        <v>8119</v>
      </c>
      <c r="H1129" s="51" t="s">
        <v>148</v>
      </c>
      <c r="I1129" s="25" t="str">
        <f>IFERROR(__xludf.DUMMYFUNCTION("GOOGLETRANSLATE(H1129,""EN"",""ES"")"),"Gastronomía")</f>
        <v>Gastronomía</v>
      </c>
      <c r="J1129" s="26" t="s">
        <v>27</v>
      </c>
      <c r="K1129" s="17">
        <v>0.0</v>
      </c>
      <c r="L1129" s="54"/>
      <c r="M1129" s="31"/>
      <c r="N1129" s="66"/>
      <c r="O1129" s="66"/>
      <c r="P1129" s="20">
        <v>0.0</v>
      </c>
      <c r="Q1129" s="31"/>
      <c r="R1129" s="31"/>
      <c r="S1129" s="53"/>
      <c r="T1129" s="32"/>
    </row>
    <row r="1130">
      <c r="A1130" s="33" t="s">
        <v>8120</v>
      </c>
      <c r="B1130" s="60" t="s">
        <v>8121</v>
      </c>
      <c r="C1130" s="41">
        <v>45361.0</v>
      </c>
      <c r="D1130" s="40" t="s">
        <v>8122</v>
      </c>
      <c r="E1130" s="41" t="s">
        <v>8123</v>
      </c>
      <c r="F1130" s="43" t="s">
        <v>8124</v>
      </c>
      <c r="G1130" s="43" t="s">
        <v>8125</v>
      </c>
      <c r="H1130" s="51" t="s">
        <v>148</v>
      </c>
      <c r="I1130" s="15" t="str">
        <f>IFERROR(__xludf.DUMMYFUNCTION("GOOGLETRANSLATE(H1130,""EN"",""ES"")"),"Gastronomía")</f>
        <v>Gastronomía</v>
      </c>
      <c r="J1130" s="16" t="s">
        <v>27</v>
      </c>
      <c r="K1130" s="17">
        <v>0.0</v>
      </c>
      <c r="L1130" s="45"/>
      <c r="M1130" s="18"/>
      <c r="N1130" s="65"/>
      <c r="O1130" s="65"/>
      <c r="P1130" s="20">
        <v>0.0</v>
      </c>
      <c r="Q1130" s="18"/>
      <c r="R1130" s="18"/>
      <c r="S1130" s="52"/>
      <c r="T1130" s="22"/>
    </row>
    <row r="1131">
      <c r="A1131" s="23" t="s">
        <v>8126</v>
      </c>
      <c r="B1131" s="58" t="s">
        <v>8127</v>
      </c>
      <c r="C1131" s="41">
        <v>45361.0</v>
      </c>
      <c r="D1131" s="40" t="s">
        <v>8128</v>
      </c>
      <c r="E1131" s="41" t="s">
        <v>8129</v>
      </c>
      <c r="F1131" s="43" t="s">
        <v>8130</v>
      </c>
      <c r="G1131" s="43" t="s">
        <v>8131</v>
      </c>
      <c r="H1131" s="51" t="s">
        <v>148</v>
      </c>
      <c r="I1131" s="25" t="str">
        <f>IFERROR(__xludf.DUMMYFUNCTION("GOOGLETRANSLATE(H1131,""EN"",""ES"")"),"Gastronomía")</f>
        <v>Gastronomía</v>
      </c>
      <c r="J1131" s="26" t="s">
        <v>27</v>
      </c>
      <c r="K1131" s="17">
        <v>0.0</v>
      </c>
      <c r="L1131" s="54"/>
      <c r="M1131" s="31"/>
      <c r="N1131" s="66"/>
      <c r="O1131" s="66"/>
      <c r="P1131" s="20">
        <v>0.0</v>
      </c>
      <c r="Q1131" s="31"/>
      <c r="R1131" s="31"/>
      <c r="S1131" s="53"/>
      <c r="T1131" s="32"/>
    </row>
    <row r="1132">
      <c r="A1132" s="33" t="s">
        <v>8132</v>
      </c>
      <c r="B1132" s="60" t="s">
        <v>85</v>
      </c>
      <c r="C1132" s="41">
        <v>45361.0</v>
      </c>
      <c r="D1132" s="40" t="s">
        <v>8133</v>
      </c>
      <c r="E1132" s="41" t="s">
        <v>8134</v>
      </c>
      <c r="F1132" s="43" t="s">
        <v>8135</v>
      </c>
      <c r="G1132" s="43" t="s">
        <v>8136</v>
      </c>
      <c r="H1132" s="51" t="s">
        <v>148</v>
      </c>
      <c r="I1132" s="15" t="str">
        <f>IFERROR(__xludf.DUMMYFUNCTION("GOOGLETRANSLATE(H1132,""EN"",""ES"")"),"Gastronomía")</f>
        <v>Gastronomía</v>
      </c>
      <c r="J1132" s="16" t="s">
        <v>27</v>
      </c>
      <c r="K1132" s="17">
        <v>0.0</v>
      </c>
      <c r="L1132" s="45"/>
      <c r="M1132" s="18"/>
      <c r="N1132" s="65"/>
      <c r="O1132" s="65"/>
      <c r="P1132" s="20">
        <v>0.0</v>
      </c>
      <c r="Q1132" s="18"/>
      <c r="R1132" s="18"/>
      <c r="S1132" s="52"/>
      <c r="T1132" s="22"/>
    </row>
    <row r="1133">
      <c r="A1133" s="23" t="s">
        <v>8137</v>
      </c>
      <c r="B1133" s="58" t="s">
        <v>614</v>
      </c>
      <c r="C1133" s="41">
        <v>45361.0</v>
      </c>
      <c r="D1133" s="40" t="s">
        <v>8138</v>
      </c>
      <c r="E1133" s="41" t="s">
        <v>8139</v>
      </c>
      <c r="F1133" s="43" t="s">
        <v>8140</v>
      </c>
      <c r="G1133" s="43" t="s">
        <v>8141</v>
      </c>
      <c r="H1133" s="51" t="s">
        <v>148</v>
      </c>
      <c r="I1133" s="25" t="str">
        <f>IFERROR(__xludf.DUMMYFUNCTION("GOOGLETRANSLATE(H1133,""EN"",""ES"")"),"Gastronomía")</f>
        <v>Gastronomía</v>
      </c>
      <c r="J1133" s="26" t="s">
        <v>27</v>
      </c>
      <c r="K1133" s="17">
        <v>0.0</v>
      </c>
      <c r="L1133" s="54"/>
      <c r="M1133" s="31"/>
      <c r="N1133" s="66"/>
      <c r="O1133" s="66"/>
      <c r="P1133" s="20">
        <v>0.0</v>
      </c>
      <c r="Q1133" s="31"/>
      <c r="R1133" s="31"/>
      <c r="S1133" s="53"/>
      <c r="T1133" s="32"/>
    </row>
    <row r="1134">
      <c r="A1134" s="33" t="s">
        <v>8142</v>
      </c>
      <c r="B1134" s="60" t="s">
        <v>8143</v>
      </c>
      <c r="C1134" s="57">
        <v>45361.0</v>
      </c>
      <c r="D1134" s="40" t="s">
        <v>8144</v>
      </c>
      <c r="E1134" s="41" t="s">
        <v>8145</v>
      </c>
      <c r="F1134" s="43" t="s">
        <v>8146</v>
      </c>
      <c r="G1134" s="43" t="s">
        <v>8147</v>
      </c>
      <c r="H1134" s="51" t="s">
        <v>5878</v>
      </c>
      <c r="I1134" s="15" t="str">
        <f>IFERROR(__xludf.DUMMYFUNCTION("GOOGLETRANSLATE(H1134,""EN"",""ES"")"),"Entretenimiento")</f>
        <v>Entretenimiento</v>
      </c>
      <c r="J1134" s="16" t="s">
        <v>35</v>
      </c>
      <c r="K1134" s="48">
        <v>0.0</v>
      </c>
      <c r="L1134" s="45"/>
      <c r="M1134" s="18"/>
      <c r="N1134" s="65" t="s">
        <v>8148</v>
      </c>
      <c r="O1134" s="65" t="str">
        <f>IFERROR(__xludf.DUMMYFUNCTION("GOOGLETRANSLATE(N1134,""EN"",""ES"")"),"Los festivales de cine no impactan en la percepción corporativa de Repsol.")</f>
        <v>Los festivales de cine no impactan en la percepción corporativa de Repsol.</v>
      </c>
      <c r="P1134" s="30">
        <v>0.6</v>
      </c>
      <c r="Q1134" s="18" t="str">
        <f>IFERROR(__xludf.DUMMYFUNCTION("GOOGLETRANSLATE(R1134,""ES"",""EN"")"),"zero emissions, partner")</f>
        <v>zero emissions, partner</v>
      </c>
      <c r="R1134" s="34" t="s">
        <v>8149</v>
      </c>
      <c r="S1134" s="52" t="s">
        <v>8092</v>
      </c>
      <c r="T1134" s="22" t="s">
        <v>8093</v>
      </c>
    </row>
    <row r="1135">
      <c r="A1135" s="23" t="s">
        <v>8150</v>
      </c>
      <c r="B1135" s="58" t="s">
        <v>614</v>
      </c>
      <c r="C1135" s="41">
        <v>45361.0</v>
      </c>
      <c r="D1135" s="40" t="s">
        <v>8151</v>
      </c>
      <c r="E1135" s="41" t="s">
        <v>8152</v>
      </c>
      <c r="F1135" s="43" t="s">
        <v>8153</v>
      </c>
      <c r="G1135" s="43" t="s">
        <v>8154</v>
      </c>
      <c r="H1135" s="51" t="s">
        <v>148</v>
      </c>
      <c r="I1135" s="25" t="str">
        <f>IFERROR(__xludf.DUMMYFUNCTION("GOOGLETRANSLATE(H1135,""EN"",""ES"")"),"Gastronomía")</f>
        <v>Gastronomía</v>
      </c>
      <c r="J1135" s="26" t="s">
        <v>27</v>
      </c>
      <c r="K1135" s="17">
        <v>0.0</v>
      </c>
      <c r="L1135" s="54"/>
      <c r="M1135" s="31"/>
      <c r="N1135" s="66"/>
      <c r="O1135" s="66"/>
      <c r="P1135" s="20">
        <v>0.0</v>
      </c>
      <c r="Q1135" s="31"/>
      <c r="R1135" s="31"/>
      <c r="S1135" s="53"/>
      <c r="T1135" s="32"/>
    </row>
    <row r="1136">
      <c r="A1136" s="33" t="s">
        <v>8155</v>
      </c>
      <c r="B1136" s="60" t="s">
        <v>374</v>
      </c>
      <c r="C1136" s="41">
        <v>45361.0</v>
      </c>
      <c r="D1136" s="40" t="s">
        <v>8156</v>
      </c>
      <c r="E1136" s="41" t="s">
        <v>8157</v>
      </c>
      <c r="F1136" s="43" t="s">
        <v>8158</v>
      </c>
      <c r="G1136" s="43" t="s">
        <v>8159</v>
      </c>
      <c r="H1136" s="51" t="s">
        <v>55</v>
      </c>
      <c r="I1136" s="15" t="str">
        <f>IFERROR(__xludf.DUMMYFUNCTION("GOOGLETRANSLATE(H1136,""EN"",""ES"")"),"deportes de motor")</f>
        <v>deportes de motor</v>
      </c>
      <c r="J1136" s="16" t="s">
        <v>27</v>
      </c>
      <c r="K1136" s="17">
        <v>0.0</v>
      </c>
      <c r="L1136" s="45"/>
      <c r="M1136" s="18"/>
      <c r="N1136" s="65"/>
      <c r="O1136" s="65"/>
      <c r="P1136" s="20">
        <v>0.0</v>
      </c>
      <c r="Q1136" s="18"/>
      <c r="R1136" s="18"/>
      <c r="S1136" s="52"/>
      <c r="T1136" s="22"/>
    </row>
    <row r="1137">
      <c r="A1137" s="23" t="s">
        <v>8160</v>
      </c>
      <c r="B1137" s="58" t="s">
        <v>8161</v>
      </c>
      <c r="C1137" s="41">
        <v>45361.0</v>
      </c>
      <c r="D1137" s="40" t="s">
        <v>8162</v>
      </c>
      <c r="E1137" s="41" t="s">
        <v>8163</v>
      </c>
      <c r="F1137" s="43" t="s">
        <v>8164</v>
      </c>
      <c r="G1137" s="43" t="s">
        <v>8165</v>
      </c>
      <c r="H1137" s="51" t="s">
        <v>8166</v>
      </c>
      <c r="I1137" s="25" t="str">
        <f>IFERROR(__xludf.DUMMYFUNCTION("GOOGLETRANSLATE(H1137,""EN"",""ES"")"),"Economía")</f>
        <v>Economía</v>
      </c>
      <c r="J1137" s="26" t="s">
        <v>35</v>
      </c>
      <c r="K1137" s="48">
        <v>0.0</v>
      </c>
      <c r="L1137" s="54"/>
      <c r="M1137" s="31"/>
      <c r="N1137" s="66" t="s">
        <v>8167</v>
      </c>
      <c r="O1137" s="66" t="str">
        <f>IFERROR(__xludf.DUMMYFUNCTION("GOOGLETRANSLATE(N1137,""EN"",""ES"")"),"Las estadísticas económicas generales no impactan en la percepción corporativa de Repsol.")</f>
        <v>Las estadísticas económicas generales no impactan en la percepción corporativa de Repsol.</v>
      </c>
      <c r="P1137" s="30">
        <v>0.0</v>
      </c>
      <c r="Q1137" s="31"/>
      <c r="R1137" s="31"/>
      <c r="S1137" s="53" t="s">
        <v>8168</v>
      </c>
      <c r="T1137" s="32" t="s">
        <v>8169</v>
      </c>
    </row>
    <row r="1138">
      <c r="A1138" s="33" t="s">
        <v>8170</v>
      </c>
      <c r="B1138" s="60" t="s">
        <v>6642</v>
      </c>
      <c r="C1138" s="41">
        <v>45361.0</v>
      </c>
      <c r="D1138" s="40" t="s">
        <v>8171</v>
      </c>
      <c r="E1138" s="41" t="s">
        <v>8172</v>
      </c>
      <c r="F1138" s="43" t="s">
        <v>8173</v>
      </c>
      <c r="G1138" s="43" t="s">
        <v>8174</v>
      </c>
      <c r="H1138" s="51" t="s">
        <v>5878</v>
      </c>
      <c r="I1138" s="15" t="str">
        <f>IFERROR(__xludf.DUMMYFUNCTION("GOOGLETRANSLATE(H1138,""EN"",""ES"")"),"Entretenimiento")</f>
        <v>Entretenimiento</v>
      </c>
      <c r="J1138" s="16" t="s">
        <v>27</v>
      </c>
      <c r="K1138" s="17">
        <v>0.0</v>
      </c>
      <c r="L1138" s="45"/>
      <c r="M1138" s="18"/>
      <c r="N1138" s="65"/>
      <c r="O1138" s="65"/>
      <c r="P1138" s="20">
        <v>0.0</v>
      </c>
      <c r="Q1138" s="18"/>
      <c r="R1138" s="18"/>
      <c r="S1138" s="52"/>
      <c r="T1138" s="22"/>
    </row>
    <row r="1139">
      <c r="A1139" s="23" t="s">
        <v>8175</v>
      </c>
      <c r="B1139" s="58" t="s">
        <v>8176</v>
      </c>
      <c r="C1139" s="41">
        <v>45361.0</v>
      </c>
      <c r="D1139" s="40" t="s">
        <v>8177</v>
      </c>
      <c r="E1139" s="41" t="s">
        <v>8178</v>
      </c>
      <c r="F1139" s="43" t="s">
        <v>8179</v>
      </c>
      <c r="G1139" s="43" t="s">
        <v>8180</v>
      </c>
      <c r="H1139" s="51" t="s">
        <v>55</v>
      </c>
      <c r="I1139" s="25" t="str">
        <f>IFERROR(__xludf.DUMMYFUNCTION("GOOGLETRANSLATE(H1139,""EN"",""ES"")"),"deportes de motor")</f>
        <v>deportes de motor</v>
      </c>
      <c r="J1139" s="26" t="s">
        <v>27</v>
      </c>
      <c r="K1139" s="17">
        <v>0.0</v>
      </c>
      <c r="L1139" s="54"/>
      <c r="M1139" s="31"/>
      <c r="N1139" s="66"/>
      <c r="O1139" s="66"/>
      <c r="P1139" s="20">
        <v>0.0</v>
      </c>
      <c r="Q1139" s="31"/>
      <c r="R1139" s="31"/>
      <c r="S1139" s="53"/>
      <c r="T1139" s="32"/>
    </row>
    <row r="1140">
      <c r="A1140" s="33" t="s">
        <v>8181</v>
      </c>
      <c r="B1140" s="60" t="s">
        <v>3320</v>
      </c>
      <c r="C1140" s="41">
        <v>45362.0</v>
      </c>
      <c r="D1140" s="40" t="s">
        <v>8182</v>
      </c>
      <c r="E1140" s="41" t="s">
        <v>8183</v>
      </c>
      <c r="F1140" s="43" t="s">
        <v>8184</v>
      </c>
      <c r="G1140" s="43" t="s">
        <v>8185</v>
      </c>
      <c r="H1140" s="51" t="s">
        <v>34</v>
      </c>
      <c r="I1140" s="15" t="str">
        <f>IFERROR(__xludf.DUMMYFUNCTION("GOOGLETRANSLATE(H1140,""EN"",""ES"")"),"Responsabilidad Social Corporativa")</f>
        <v>Responsabilidad Social Corporativa</v>
      </c>
      <c r="J1140" s="16" t="s">
        <v>35</v>
      </c>
      <c r="K1140" s="48">
        <v>0.7</v>
      </c>
      <c r="L1140" s="51" t="s">
        <v>8186</v>
      </c>
      <c r="M1140" s="34" t="s">
        <v>8187</v>
      </c>
      <c r="N1140" s="65" t="s">
        <v>8188</v>
      </c>
      <c r="O1140" s="65" t="str">
        <f>IFERROR(__xludf.DUMMYFUNCTION("GOOGLETRANSLATE(N1140,""EN"",""ES"")"),"El apoyo a concursos universitarios potencia la imagen corporativa de Repsol.")</f>
        <v>El apoyo a concursos universitarios potencia la imagen corporativa de Repsol.</v>
      </c>
      <c r="P1140" s="30">
        <v>0.7</v>
      </c>
      <c r="Q1140" s="18" t="str">
        <f>IFERROR(__xludf.DUMMYFUNCTION("GOOGLETRANSLATE(R1140,""ES"",""EN"")"),"University Challenge, Repsol Foundation")</f>
        <v>University Challenge, Repsol Foundation</v>
      </c>
      <c r="R1140" s="34" t="s">
        <v>8189</v>
      </c>
      <c r="S1140" s="52" t="s">
        <v>8190</v>
      </c>
      <c r="T1140" s="22" t="s">
        <v>8191</v>
      </c>
    </row>
    <row r="1141">
      <c r="A1141" s="23" t="s">
        <v>8192</v>
      </c>
      <c r="B1141" s="58" t="s">
        <v>499</v>
      </c>
      <c r="C1141" s="41">
        <v>45362.0</v>
      </c>
      <c r="D1141" s="40" t="s">
        <v>8193</v>
      </c>
      <c r="E1141" s="41" t="s">
        <v>8194</v>
      </c>
      <c r="F1141" s="43" t="s">
        <v>8195</v>
      </c>
      <c r="G1141" s="43" t="s">
        <v>8196</v>
      </c>
      <c r="H1141" s="51" t="s">
        <v>62</v>
      </c>
      <c r="I1141" s="25" t="str">
        <f>IFERROR(__xludf.DUMMYFUNCTION("GOOGLETRANSLATE(H1141,""EN"",""ES"")"),"Energía")</f>
        <v>Energía</v>
      </c>
      <c r="J1141" s="26" t="s">
        <v>35</v>
      </c>
      <c r="K1141" s="48">
        <v>0.0</v>
      </c>
      <c r="L1141" s="54"/>
      <c r="M1141" s="31"/>
      <c r="N1141" s="66" t="s">
        <v>8197</v>
      </c>
      <c r="O1141" s="66" t="str">
        <f>IFERROR(__xludf.DUMMYFUNCTION("GOOGLETRANSLATE(N1141,""EN"",""ES"")"),"Las políticas energéticas generales no impactan en la percepción corporativa de Repsol.")</f>
        <v>Las políticas energéticas generales no impactan en la percepción corporativa de Repsol.</v>
      </c>
      <c r="P1141" s="30">
        <v>0.6</v>
      </c>
      <c r="Q1141" s="31" t="str">
        <f>IFERROR(__xludf.DUMMYFUNCTION("GOOGLETRANSLATE(R1141,""ES"",""EN"")"),"Portuguese aid, diversify")</f>
        <v>Portuguese aid, diversify</v>
      </c>
      <c r="R1141" s="28" t="s">
        <v>8198</v>
      </c>
      <c r="S1141" s="53" t="s">
        <v>8199</v>
      </c>
      <c r="T1141" s="32" t="s">
        <v>8200</v>
      </c>
    </row>
    <row r="1142">
      <c r="A1142" s="33" t="s">
        <v>8201</v>
      </c>
      <c r="B1142" s="60" t="s">
        <v>8202</v>
      </c>
      <c r="C1142" s="41">
        <v>45362.0</v>
      </c>
      <c r="D1142" s="40" t="s">
        <v>8203</v>
      </c>
      <c r="E1142" s="41" t="s">
        <v>8204</v>
      </c>
      <c r="F1142" s="43" t="s">
        <v>8205</v>
      </c>
      <c r="G1142" s="43" t="s">
        <v>8206</v>
      </c>
      <c r="H1142" s="51" t="s">
        <v>3985</v>
      </c>
      <c r="I1142" s="15" t="str">
        <f>IFERROR(__xludf.DUMMYFUNCTION("GOOGLETRANSLATE(H1142,""EN"",""ES"")"),"Deportes")</f>
        <v>Deportes</v>
      </c>
      <c r="J1142" s="16" t="s">
        <v>27</v>
      </c>
      <c r="K1142" s="17">
        <v>0.0</v>
      </c>
      <c r="L1142" s="45"/>
      <c r="M1142" s="18"/>
      <c r="N1142" s="65"/>
      <c r="O1142" s="65"/>
      <c r="P1142" s="20">
        <v>0.0</v>
      </c>
      <c r="Q1142" s="18"/>
      <c r="R1142" s="18"/>
      <c r="S1142" s="52"/>
      <c r="T1142" s="22"/>
    </row>
    <row r="1143">
      <c r="A1143" s="23" t="s">
        <v>8207</v>
      </c>
      <c r="B1143" s="58" t="s">
        <v>1970</v>
      </c>
      <c r="C1143" s="41">
        <v>45362.0</v>
      </c>
      <c r="D1143" s="40" t="s">
        <v>8208</v>
      </c>
      <c r="E1143" s="41" t="s">
        <v>8209</v>
      </c>
      <c r="F1143" s="43" t="s">
        <v>8210</v>
      </c>
      <c r="G1143" s="43" t="s">
        <v>8211</v>
      </c>
      <c r="H1143" s="51" t="s">
        <v>62</v>
      </c>
      <c r="I1143" s="25" t="str">
        <f>IFERROR(__xludf.DUMMYFUNCTION("GOOGLETRANSLATE(H1143,""EN"",""ES"")"),"Energía")</f>
        <v>Energía</v>
      </c>
      <c r="J1143" s="26" t="s">
        <v>35</v>
      </c>
      <c r="K1143" s="48">
        <v>0.0</v>
      </c>
      <c r="L1143" s="54"/>
      <c r="M1143" s="31"/>
      <c r="N1143" s="66" t="s">
        <v>8212</v>
      </c>
      <c r="O1143" s="66" t="str">
        <f>IFERROR(__xludf.DUMMYFUNCTION("GOOGLETRANSLATE(N1143,""EN"",""ES"")"),"Las discusiones generales sobre combustibles no impactan el negocio de Repsol.")</f>
        <v>Las discusiones generales sobre combustibles no impactan el negocio de Repsol.</v>
      </c>
      <c r="P1143" s="30">
        <v>0.0</v>
      </c>
      <c r="Q1143" s="31"/>
      <c r="R1143" s="31"/>
      <c r="S1143" s="53" t="s">
        <v>8168</v>
      </c>
      <c r="T1143" s="32" t="s">
        <v>8169</v>
      </c>
    </row>
    <row r="1144">
      <c r="A1144" s="33" t="s">
        <v>8213</v>
      </c>
      <c r="B1144" s="60" t="s">
        <v>8214</v>
      </c>
      <c r="C1144" s="41">
        <v>45366.0</v>
      </c>
      <c r="D1144" s="40" t="s">
        <v>8215</v>
      </c>
      <c r="E1144" s="41" t="s">
        <v>8216</v>
      </c>
      <c r="F1144" s="43" t="s">
        <v>8217</v>
      </c>
      <c r="G1144" s="43" t="s">
        <v>8218</v>
      </c>
      <c r="H1144" s="51" t="s">
        <v>148</v>
      </c>
      <c r="I1144" s="15" t="str">
        <f>IFERROR(__xludf.DUMMYFUNCTION("GOOGLETRANSLATE(H1144,""EN"",""ES"")"),"Gastronomía")</f>
        <v>Gastronomía</v>
      </c>
      <c r="J1144" s="16" t="s">
        <v>27</v>
      </c>
      <c r="K1144" s="17">
        <v>0.0</v>
      </c>
      <c r="L1144" s="45"/>
      <c r="M1144" s="18"/>
      <c r="N1144" s="65"/>
      <c r="O1144" s="65"/>
      <c r="P1144" s="20">
        <v>0.0</v>
      </c>
      <c r="Q1144" s="18"/>
      <c r="R1144" s="18"/>
      <c r="S1144" s="52"/>
      <c r="T1144" s="22"/>
    </row>
    <row r="1145">
      <c r="A1145" s="23" t="s">
        <v>8219</v>
      </c>
      <c r="B1145" s="58" t="s">
        <v>8220</v>
      </c>
      <c r="C1145" s="41">
        <v>45362.0</v>
      </c>
      <c r="D1145" s="40" t="s">
        <v>8221</v>
      </c>
      <c r="E1145" s="41" t="s">
        <v>8222</v>
      </c>
      <c r="F1145" s="43" t="s">
        <v>8223</v>
      </c>
      <c r="G1145" s="43" t="s">
        <v>8224</v>
      </c>
      <c r="H1145" s="51" t="s">
        <v>148</v>
      </c>
      <c r="I1145" s="25" t="str">
        <f>IFERROR(__xludf.DUMMYFUNCTION("GOOGLETRANSLATE(H1145,""EN"",""ES"")"),"Gastronomía")</f>
        <v>Gastronomía</v>
      </c>
      <c r="J1145" s="26" t="s">
        <v>27</v>
      </c>
      <c r="K1145" s="17">
        <v>0.0</v>
      </c>
      <c r="L1145" s="54"/>
      <c r="M1145" s="31"/>
      <c r="N1145" s="66"/>
      <c r="O1145" s="66"/>
      <c r="P1145" s="20">
        <v>0.0</v>
      </c>
      <c r="Q1145" s="31"/>
      <c r="R1145" s="31"/>
      <c r="S1145" s="53"/>
      <c r="T1145" s="32"/>
    </row>
    <row r="1146">
      <c r="A1146" s="33" t="s">
        <v>8225</v>
      </c>
      <c r="B1146" s="60" t="s">
        <v>1568</v>
      </c>
      <c r="C1146" s="41">
        <v>45362.0</v>
      </c>
      <c r="D1146" s="40" t="s">
        <v>8226</v>
      </c>
      <c r="E1146" s="41" t="s">
        <v>8227</v>
      </c>
      <c r="F1146" s="43" t="s">
        <v>8228</v>
      </c>
      <c r="G1146" s="43" t="s">
        <v>8229</v>
      </c>
      <c r="H1146" s="51" t="s">
        <v>148</v>
      </c>
      <c r="I1146" s="15" t="str">
        <f>IFERROR(__xludf.DUMMYFUNCTION("GOOGLETRANSLATE(H1146,""EN"",""ES"")"),"Gastronomía")</f>
        <v>Gastronomía</v>
      </c>
      <c r="J1146" s="16" t="s">
        <v>27</v>
      </c>
      <c r="K1146" s="17">
        <v>0.0</v>
      </c>
      <c r="L1146" s="45"/>
      <c r="M1146" s="18"/>
      <c r="N1146" s="65"/>
      <c r="O1146" s="65"/>
      <c r="P1146" s="20">
        <v>0.0</v>
      </c>
      <c r="Q1146" s="18"/>
      <c r="R1146" s="18"/>
      <c r="S1146" s="52"/>
      <c r="T1146" s="22"/>
    </row>
    <row r="1147">
      <c r="A1147" s="23" t="s">
        <v>8230</v>
      </c>
      <c r="B1147" s="58" t="s">
        <v>8231</v>
      </c>
      <c r="C1147" s="41">
        <v>45362.0</v>
      </c>
      <c r="D1147" s="40" t="s">
        <v>8232</v>
      </c>
      <c r="E1147" s="41" t="s">
        <v>8233</v>
      </c>
      <c r="F1147" s="43" t="s">
        <v>8234</v>
      </c>
      <c r="G1147" s="43" t="s">
        <v>8235</v>
      </c>
      <c r="H1147" s="51" t="s">
        <v>148</v>
      </c>
      <c r="I1147" s="25" t="str">
        <f>IFERROR(__xludf.DUMMYFUNCTION("GOOGLETRANSLATE(H1147,""EN"",""ES"")"),"Gastronomía")</f>
        <v>Gastronomía</v>
      </c>
      <c r="J1147" s="26" t="s">
        <v>27</v>
      </c>
      <c r="K1147" s="17">
        <v>0.0</v>
      </c>
      <c r="L1147" s="54"/>
      <c r="M1147" s="31"/>
      <c r="N1147" s="66"/>
      <c r="O1147" s="66"/>
      <c r="P1147" s="20">
        <v>0.0</v>
      </c>
      <c r="Q1147" s="31"/>
      <c r="R1147" s="31"/>
      <c r="S1147" s="53"/>
      <c r="T1147" s="32"/>
    </row>
    <row r="1148">
      <c r="A1148" s="33" t="s">
        <v>8236</v>
      </c>
      <c r="B1148" s="60" t="s">
        <v>6642</v>
      </c>
      <c r="C1148" s="41">
        <v>45362.0</v>
      </c>
      <c r="D1148" s="40" t="s">
        <v>8237</v>
      </c>
      <c r="E1148" s="41" t="s">
        <v>8238</v>
      </c>
      <c r="F1148" s="43" t="s">
        <v>8239</v>
      </c>
      <c r="G1148" s="43" t="s">
        <v>8240</v>
      </c>
      <c r="H1148" s="51" t="s">
        <v>148</v>
      </c>
      <c r="I1148" s="15" t="str">
        <f>IFERROR(__xludf.DUMMYFUNCTION("GOOGLETRANSLATE(H1148,""EN"",""ES"")"),"Gastronomía")</f>
        <v>Gastronomía</v>
      </c>
      <c r="J1148" s="16" t="s">
        <v>27</v>
      </c>
      <c r="K1148" s="17">
        <v>0.0</v>
      </c>
      <c r="L1148" s="45"/>
      <c r="M1148" s="18"/>
      <c r="N1148" s="65"/>
      <c r="O1148" s="65"/>
      <c r="P1148" s="20">
        <v>0.0</v>
      </c>
      <c r="Q1148" s="18"/>
      <c r="R1148" s="18"/>
      <c r="S1148" s="52"/>
      <c r="T1148" s="22"/>
    </row>
    <row r="1149">
      <c r="A1149" s="23" t="s">
        <v>8241</v>
      </c>
      <c r="B1149" s="58" t="s">
        <v>85</v>
      </c>
      <c r="C1149" s="41">
        <v>45362.0</v>
      </c>
      <c r="D1149" s="40" t="s">
        <v>8242</v>
      </c>
      <c r="E1149" s="41" t="s">
        <v>8243</v>
      </c>
      <c r="F1149" s="43" t="s">
        <v>8244</v>
      </c>
      <c r="G1149" s="43" t="s">
        <v>8245</v>
      </c>
      <c r="H1149" s="51" t="s">
        <v>148</v>
      </c>
      <c r="I1149" s="25" t="str">
        <f>IFERROR(__xludf.DUMMYFUNCTION("GOOGLETRANSLATE(H1149,""EN"",""ES"")"),"Gastronomía")</f>
        <v>Gastronomía</v>
      </c>
      <c r="J1149" s="26" t="s">
        <v>27</v>
      </c>
      <c r="K1149" s="17">
        <v>0.0</v>
      </c>
      <c r="L1149" s="54"/>
      <c r="M1149" s="31"/>
      <c r="N1149" s="66"/>
      <c r="O1149" s="66"/>
      <c r="P1149" s="20">
        <v>0.0</v>
      </c>
      <c r="Q1149" s="31"/>
      <c r="R1149" s="31"/>
      <c r="S1149" s="53"/>
      <c r="T1149" s="32"/>
    </row>
    <row r="1150">
      <c r="A1150" s="33" t="s">
        <v>8246</v>
      </c>
      <c r="B1150" s="60" t="s">
        <v>85</v>
      </c>
      <c r="C1150" s="41">
        <v>45363.0</v>
      </c>
      <c r="D1150" s="40" t="s">
        <v>8247</v>
      </c>
      <c r="E1150" s="41" t="s">
        <v>8248</v>
      </c>
      <c r="F1150" s="43" t="s">
        <v>8249</v>
      </c>
      <c r="G1150" s="43" t="s">
        <v>8250</v>
      </c>
      <c r="H1150" s="51" t="s">
        <v>130</v>
      </c>
      <c r="I1150" s="15" t="str">
        <f>IFERROR(__xludf.DUMMYFUNCTION("GOOGLETRANSLATE(H1150,""EN"",""ES"")"),"Sostenibilidad")</f>
        <v>Sostenibilidad</v>
      </c>
      <c r="J1150" s="16" t="s">
        <v>35</v>
      </c>
      <c r="K1150" s="48">
        <v>0.8</v>
      </c>
      <c r="L1150" s="51" t="s">
        <v>8251</v>
      </c>
      <c r="M1150" s="34" t="s">
        <v>8252</v>
      </c>
      <c r="N1150" s="65" t="s">
        <v>8253</v>
      </c>
      <c r="O1150" s="65" t="str">
        <f>IFERROR(__xludf.DUMMYFUNCTION("GOOGLETRANSLATE(N1150,""EN"",""ES"")"),"La ampliación de las estaciones de combustible renovables se alinea con los objetivos de sostenibilidad de Repsol.")</f>
        <v>La ampliación de las estaciones de combustible renovables se alinea con los objetivos de sostenibilidad de Repsol.</v>
      </c>
      <c r="P1150" s="30">
        <v>0.7</v>
      </c>
      <c r="Q1150" s="18" t="str">
        <f>IFERROR(__xludf.DUMMYFUNCTION("GOOGLETRANSLATE(R1150,""ES"",""EN"")"),"renewable fuel, gas stations")</f>
        <v>renewable fuel, gas stations</v>
      </c>
      <c r="R1150" s="34" t="s">
        <v>8254</v>
      </c>
      <c r="S1150" s="52" t="s">
        <v>8255</v>
      </c>
      <c r="T1150" s="22" t="s">
        <v>8256</v>
      </c>
    </row>
    <row r="1151">
      <c r="A1151" s="23" t="s">
        <v>8257</v>
      </c>
      <c r="B1151" s="58" t="s">
        <v>163</v>
      </c>
      <c r="C1151" s="41">
        <v>45363.0</v>
      </c>
      <c r="D1151" s="40" t="s">
        <v>8258</v>
      </c>
      <c r="E1151" s="41" t="s">
        <v>8259</v>
      </c>
      <c r="F1151" s="43" t="s">
        <v>8260</v>
      </c>
      <c r="G1151" s="43" t="s">
        <v>8261</v>
      </c>
      <c r="H1151" s="51" t="s">
        <v>130</v>
      </c>
      <c r="I1151" s="25" t="str">
        <f>IFERROR(__xludf.DUMMYFUNCTION("GOOGLETRANSLATE(H1151,""EN"",""ES"")"),"Sostenibilidad")</f>
        <v>Sostenibilidad</v>
      </c>
      <c r="J1151" s="26" t="s">
        <v>35</v>
      </c>
      <c r="K1151" s="48">
        <v>0.7</v>
      </c>
      <c r="L1151" s="49" t="s">
        <v>8262</v>
      </c>
      <c r="M1151" s="28" t="s">
        <v>8263</v>
      </c>
      <c r="N1151" s="66" t="s">
        <v>8264</v>
      </c>
      <c r="O1151" s="66" t="str">
        <f>IFERROR(__xludf.DUMMYFUNCTION("GOOGLETRANSLATE(N1151,""EN"",""ES"")"),"El uso de materiales reciclados potencia el compromiso medioambiental de Repsol.")</f>
        <v>El uso de materiales reciclados potencia el compromiso medioambiental de Repsol.</v>
      </c>
      <c r="P1151" s="30">
        <v>0.7</v>
      </c>
      <c r="Q1151" s="31" t="str">
        <f>IFERROR(__xludf.DUMMYFUNCTION("GOOGLETRANSLATE(R1151,""ES"",""EN"")"),"recycled plastic, lubricants")</f>
        <v>recycled plastic, lubricants</v>
      </c>
      <c r="R1151" s="28" t="s">
        <v>8265</v>
      </c>
      <c r="S1151" s="53" t="s">
        <v>8255</v>
      </c>
      <c r="T1151" s="32" t="s">
        <v>8256</v>
      </c>
    </row>
    <row r="1152">
      <c r="A1152" s="33" t="s">
        <v>8266</v>
      </c>
      <c r="B1152" s="60" t="s">
        <v>1577</v>
      </c>
      <c r="C1152" s="41">
        <v>45363.0</v>
      </c>
      <c r="D1152" s="40" t="s">
        <v>8267</v>
      </c>
      <c r="E1152" s="41" t="s">
        <v>8268</v>
      </c>
      <c r="F1152" s="43" t="s">
        <v>8269</v>
      </c>
      <c r="G1152" s="43" t="s">
        <v>8270</v>
      </c>
      <c r="H1152" s="51" t="s">
        <v>148</v>
      </c>
      <c r="I1152" s="15" t="str">
        <f>IFERROR(__xludf.DUMMYFUNCTION("GOOGLETRANSLATE(H1152,""EN"",""ES"")"),"Gastronomía")</f>
        <v>Gastronomía</v>
      </c>
      <c r="J1152" s="16" t="s">
        <v>27</v>
      </c>
      <c r="K1152" s="17">
        <v>0.0</v>
      </c>
      <c r="L1152" s="45"/>
      <c r="M1152" s="18"/>
      <c r="N1152" s="65"/>
      <c r="O1152" s="65"/>
      <c r="P1152" s="20">
        <v>0.0</v>
      </c>
      <c r="Q1152" s="18"/>
      <c r="R1152" s="18"/>
      <c r="S1152" s="52"/>
      <c r="T1152" s="22"/>
    </row>
    <row r="1153">
      <c r="A1153" s="23" t="s">
        <v>8271</v>
      </c>
      <c r="B1153" s="58" t="s">
        <v>339</v>
      </c>
      <c r="C1153" s="41">
        <v>45363.0</v>
      </c>
      <c r="D1153" s="40" t="s">
        <v>8272</v>
      </c>
      <c r="E1153" s="41" t="s">
        <v>8273</v>
      </c>
      <c r="F1153" s="43" t="s">
        <v>8274</v>
      </c>
      <c r="G1153" s="43" t="s">
        <v>8275</v>
      </c>
      <c r="H1153" s="51" t="s">
        <v>130</v>
      </c>
      <c r="I1153" s="25" t="str">
        <f>IFERROR(__xludf.DUMMYFUNCTION("GOOGLETRANSLATE(H1153,""EN"",""ES"")"),"Sostenibilidad")</f>
        <v>Sostenibilidad</v>
      </c>
      <c r="J1153" s="26" t="s">
        <v>35</v>
      </c>
      <c r="K1153" s="48">
        <v>0.8</v>
      </c>
      <c r="L1153" s="49" t="s">
        <v>8276</v>
      </c>
      <c r="M1153" s="28" t="s">
        <v>8277</v>
      </c>
      <c r="N1153" s="66" t="s">
        <v>8278</v>
      </c>
      <c r="O1153" s="66" t="str">
        <f>IFERROR(__xludf.DUMMYFUNCTION("GOOGLETRANSLATE(N1153,""EN"",""ES"")"),"La ampliación de la oferta de combustibles renovables se alinea con las iniciativas de energía verde de Repsol.")</f>
        <v>La ampliación de la oferta de combustibles renovables se alinea con las iniciativas de energía verde de Repsol.</v>
      </c>
      <c r="P1153" s="30">
        <v>0.7</v>
      </c>
      <c r="Q1153" s="31" t="str">
        <f>IFERROR(__xludf.DUMMYFUNCTION("GOOGLETRANSLATE(R1153,""ES"",""EN"")"),"renewable fuels, service stations")</f>
        <v>renewable fuels, service stations</v>
      </c>
      <c r="R1153" s="28" t="s">
        <v>1600</v>
      </c>
      <c r="S1153" s="53" t="s">
        <v>8255</v>
      </c>
      <c r="T1153" s="32" t="s">
        <v>8256</v>
      </c>
    </row>
    <row r="1154">
      <c r="A1154" s="33" t="s">
        <v>8279</v>
      </c>
      <c r="B1154" s="60" t="s">
        <v>91</v>
      </c>
      <c r="C1154" s="41">
        <v>45363.0</v>
      </c>
      <c r="D1154" s="40" t="s">
        <v>8280</v>
      </c>
      <c r="E1154" s="41" t="s">
        <v>8281</v>
      </c>
      <c r="F1154" s="43" t="s">
        <v>8282</v>
      </c>
      <c r="G1154" s="43" t="s">
        <v>8283</v>
      </c>
      <c r="H1154" s="51" t="s">
        <v>130</v>
      </c>
      <c r="I1154" s="15" t="str">
        <f>IFERROR(__xludf.DUMMYFUNCTION("GOOGLETRANSLATE(H1154,""EN"",""ES"")"),"Sostenibilidad")</f>
        <v>Sostenibilidad</v>
      </c>
      <c r="J1154" s="16" t="s">
        <v>35</v>
      </c>
      <c r="K1154" s="48">
        <v>0.8</v>
      </c>
      <c r="L1154" s="51" t="s">
        <v>8276</v>
      </c>
      <c r="M1154" s="34" t="s">
        <v>8277</v>
      </c>
      <c r="N1154" s="65" t="s">
        <v>8284</v>
      </c>
      <c r="O1154" s="65" t="str">
        <f>IFERROR(__xludf.DUMMYFUNCTION("GOOGLETRANSLATE(N1154,""EN"",""ES"")"),"Aumentar el acceso a los biocombustibles fortalece el posicionamiento ambiental de Repsol.")</f>
        <v>Aumentar el acceso a los biocombustibles fortalece el posicionamiento ambiental de Repsol.</v>
      </c>
      <c r="P1154" s="30">
        <v>0.7</v>
      </c>
      <c r="Q1154" s="18" t="str">
        <f>IFERROR(__xludf.DUMMYFUNCTION("GOOGLETRANSLATE(R1154,""ES"",""EN"")"),"renewable fuel, sustainability")</f>
        <v>renewable fuel, sustainability</v>
      </c>
      <c r="R1154" s="34" t="s">
        <v>8285</v>
      </c>
      <c r="S1154" s="52" t="s">
        <v>8255</v>
      </c>
      <c r="T1154" s="22" t="s">
        <v>8256</v>
      </c>
    </row>
    <row r="1155">
      <c r="A1155" s="23" t="s">
        <v>8286</v>
      </c>
      <c r="B1155" s="58" t="s">
        <v>8287</v>
      </c>
      <c r="C1155" s="41">
        <v>45363.0</v>
      </c>
      <c r="D1155" s="40" t="s">
        <v>8288</v>
      </c>
      <c r="E1155" s="41" t="s">
        <v>8289</v>
      </c>
      <c r="F1155" s="43" t="s">
        <v>8290</v>
      </c>
      <c r="G1155" s="43" t="s">
        <v>8291</v>
      </c>
      <c r="H1155" s="51" t="s">
        <v>661</v>
      </c>
      <c r="I1155" s="25" t="str">
        <f>IFERROR(__xludf.DUMMYFUNCTION("GOOGLETRANSLATE(H1155,""EN"",""ES"")"),"Estrategia empresarial")</f>
        <v>Estrategia empresarial</v>
      </c>
      <c r="J1155" s="26" t="s">
        <v>35</v>
      </c>
      <c r="K1155" s="48">
        <v>0.0</v>
      </c>
      <c r="L1155" s="54"/>
      <c r="M1155" s="31"/>
      <c r="N1155" s="66" t="s">
        <v>8292</v>
      </c>
      <c r="O1155" s="66" t="str">
        <f>IFERROR(__xludf.DUMMYFUNCTION("GOOGLETRANSLATE(N1155,""EN"",""ES"")"),"Los testimonios de los empleados no impactan en el negocio de Repsol.")</f>
        <v>Los testimonios de los empleados no impactan en el negocio de Repsol.</v>
      </c>
      <c r="P1155" s="30">
        <v>-0.5</v>
      </c>
      <c r="Q1155" s="31" t="str">
        <f>IFERROR(__xludf.DUMMYFUNCTION("GOOGLETRANSLATE(R1155,""ES"",""EN"")"),"fired, lawsuit")</f>
        <v>fired, lawsuit</v>
      </c>
      <c r="R1155" s="28" t="s">
        <v>8293</v>
      </c>
      <c r="S1155" s="53" t="s">
        <v>8294</v>
      </c>
      <c r="T1155" s="32" t="s">
        <v>8295</v>
      </c>
    </row>
    <row r="1156">
      <c r="A1156" s="33" t="s">
        <v>8296</v>
      </c>
      <c r="B1156" s="60" t="s">
        <v>7491</v>
      </c>
      <c r="C1156" s="41">
        <v>45363.0</v>
      </c>
      <c r="D1156" s="40" t="s">
        <v>8297</v>
      </c>
      <c r="E1156" s="41" t="s">
        <v>8298</v>
      </c>
      <c r="F1156" s="43" t="s">
        <v>8299</v>
      </c>
      <c r="G1156" s="43" t="s">
        <v>8300</v>
      </c>
      <c r="H1156" s="51" t="s">
        <v>148</v>
      </c>
      <c r="I1156" s="15" t="str">
        <f>IFERROR(__xludf.DUMMYFUNCTION("GOOGLETRANSLATE(H1156,""EN"",""ES"")"),"Gastronomía")</f>
        <v>Gastronomía</v>
      </c>
      <c r="J1156" s="16" t="s">
        <v>27</v>
      </c>
      <c r="K1156" s="17">
        <v>0.0</v>
      </c>
      <c r="L1156" s="45"/>
      <c r="M1156" s="18"/>
      <c r="N1156" s="65"/>
      <c r="O1156" s="65"/>
      <c r="P1156" s="20">
        <v>0.0</v>
      </c>
      <c r="Q1156" s="18"/>
      <c r="R1156" s="18"/>
      <c r="S1156" s="52"/>
      <c r="T1156" s="22"/>
    </row>
    <row r="1157">
      <c r="A1157" s="23" t="s">
        <v>8301</v>
      </c>
      <c r="B1157" s="58" t="s">
        <v>8302</v>
      </c>
      <c r="C1157" s="41">
        <v>45363.0</v>
      </c>
      <c r="D1157" s="40" t="s">
        <v>8303</v>
      </c>
      <c r="E1157" s="41" t="s">
        <v>8304</v>
      </c>
      <c r="F1157" s="43" t="s">
        <v>8305</v>
      </c>
      <c r="G1157" s="43" t="s">
        <v>8306</v>
      </c>
      <c r="H1157" s="51" t="s">
        <v>130</v>
      </c>
      <c r="I1157" s="25" t="str">
        <f>IFERROR(__xludf.DUMMYFUNCTION("GOOGLETRANSLATE(H1157,""EN"",""ES"")"),"Sostenibilidad")</f>
        <v>Sostenibilidad</v>
      </c>
      <c r="J1157" s="26" t="s">
        <v>35</v>
      </c>
      <c r="K1157" s="48">
        <v>0.9</v>
      </c>
      <c r="L1157" s="49" t="s">
        <v>8307</v>
      </c>
      <c r="M1157" s="28" t="s">
        <v>8308</v>
      </c>
      <c r="N1157" s="66" t="s">
        <v>8309</v>
      </c>
      <c r="O1157" s="66" t="str">
        <f>IFERROR(__xludf.DUMMYFUNCTION("GOOGLETRANSLATE(N1157,""EN"",""ES"")"),"La producción de hidrógeno renovable refuerza el liderazgo de Repsol en energías verdes.")</f>
        <v>La producción de hidrógeno renovable refuerza el liderazgo de Repsol en energías verdes.</v>
      </c>
      <c r="P1157" s="30">
        <v>0.7</v>
      </c>
      <c r="Q1157" s="31" t="str">
        <f>IFERROR(__xludf.DUMMYFUNCTION("GOOGLETRANSLATE(R1157,""ES"",""EN"")"),"renewable hydrogen, electrolyzer")</f>
        <v>renewable hydrogen, electrolyzer</v>
      </c>
      <c r="R1157" s="28" t="s">
        <v>8310</v>
      </c>
      <c r="S1157" s="53" t="s">
        <v>8255</v>
      </c>
      <c r="T1157" s="32" t="s">
        <v>8256</v>
      </c>
    </row>
    <row r="1158">
      <c r="A1158" s="33" t="s">
        <v>8311</v>
      </c>
      <c r="B1158" s="60" t="s">
        <v>91</v>
      </c>
      <c r="C1158" s="41">
        <v>45363.0</v>
      </c>
      <c r="D1158" s="40" t="s">
        <v>8312</v>
      </c>
      <c r="E1158" s="41" t="s">
        <v>8313</v>
      </c>
      <c r="F1158" s="43" t="s">
        <v>8314</v>
      </c>
      <c r="G1158" s="43" t="s">
        <v>8315</v>
      </c>
      <c r="H1158" s="51" t="s">
        <v>34</v>
      </c>
      <c r="I1158" s="15" t="str">
        <f>IFERROR(__xludf.DUMMYFUNCTION("GOOGLETRANSLATE(H1158,""EN"",""ES"")"),"Responsabilidad Social Corporativa")</f>
        <v>Responsabilidad Social Corporativa</v>
      </c>
      <c r="J1158" s="16" t="s">
        <v>35</v>
      </c>
      <c r="K1158" s="48">
        <v>0.7</v>
      </c>
      <c r="L1158" s="51" t="s">
        <v>8316</v>
      </c>
      <c r="M1158" s="34" t="s">
        <v>8317</v>
      </c>
      <c r="N1158" s="65" t="s">
        <v>8318</v>
      </c>
      <c r="O1158" s="65" t="str">
        <f>IFERROR(__xludf.DUMMYFUNCTION("GOOGLETRANSLATE(N1158,""EN"",""ES"")"),"Apoyar la reforestación potencia los esfuerzos de sostenibilidad de Repsol.")</f>
        <v>Apoyar la reforestación potencia los esfuerzos de sostenibilidad de Repsol.</v>
      </c>
      <c r="P1158" s="30">
        <v>0.7</v>
      </c>
      <c r="Q1158" s="18" t="str">
        <f>IFERROR(__xludf.DUMMYFUNCTION("GOOGLETRANSLATE(R1158,""ES"",""EN"")"),"trees, sustainable")</f>
        <v>trees, sustainable</v>
      </c>
      <c r="R1158" s="34" t="s">
        <v>8319</v>
      </c>
      <c r="S1158" s="52" t="s">
        <v>8255</v>
      </c>
      <c r="T1158" s="22" t="s">
        <v>8256</v>
      </c>
    </row>
    <row r="1159">
      <c r="A1159" s="23" t="s">
        <v>8320</v>
      </c>
      <c r="B1159" s="58" t="s">
        <v>7295</v>
      </c>
      <c r="C1159" s="41">
        <v>45363.0</v>
      </c>
      <c r="D1159" s="40" t="s">
        <v>8321</v>
      </c>
      <c r="E1159" s="41" t="s">
        <v>8322</v>
      </c>
      <c r="F1159" s="43" t="s">
        <v>8323</v>
      </c>
      <c r="G1159" s="43" t="s">
        <v>8324</v>
      </c>
      <c r="H1159" s="51" t="s">
        <v>5878</v>
      </c>
      <c r="I1159" s="25" t="str">
        <f>IFERROR(__xludf.DUMMYFUNCTION("GOOGLETRANSLATE(H1159,""EN"",""ES"")"),"Entretenimiento")</f>
        <v>Entretenimiento</v>
      </c>
      <c r="J1159" s="26" t="s">
        <v>27</v>
      </c>
      <c r="K1159" s="17">
        <v>0.0</v>
      </c>
      <c r="L1159" s="54"/>
      <c r="M1159" s="31"/>
      <c r="N1159" s="66"/>
      <c r="O1159" s="66"/>
      <c r="P1159" s="20">
        <v>0.0</v>
      </c>
      <c r="Q1159" s="31"/>
      <c r="R1159" s="31"/>
      <c r="S1159" s="53"/>
      <c r="T1159" s="32"/>
    </row>
    <row r="1160">
      <c r="A1160" s="33" t="s">
        <v>8325</v>
      </c>
      <c r="B1160" s="60" t="s">
        <v>403</v>
      </c>
      <c r="C1160" s="41">
        <v>45364.0</v>
      </c>
      <c r="D1160" s="40" t="s">
        <v>8326</v>
      </c>
      <c r="E1160" s="41" t="s">
        <v>8327</v>
      </c>
      <c r="F1160" s="43" t="s">
        <v>8328</v>
      </c>
      <c r="G1160" s="43" t="s">
        <v>8329</v>
      </c>
      <c r="H1160" s="51" t="s">
        <v>661</v>
      </c>
      <c r="I1160" s="15" t="str">
        <f>IFERROR(__xludf.DUMMYFUNCTION("GOOGLETRANSLATE(H1160,""EN"",""ES"")"),"Estrategia empresarial")</f>
        <v>Estrategia empresarial</v>
      </c>
      <c r="J1160" s="16" t="s">
        <v>35</v>
      </c>
      <c r="K1160" s="48">
        <v>0.0</v>
      </c>
      <c r="L1160" s="45"/>
      <c r="M1160" s="18"/>
      <c r="N1160" s="65" t="s">
        <v>8330</v>
      </c>
      <c r="O1160" s="65" t="str">
        <f>IFERROR(__xludf.DUMMYFUNCTION("GOOGLETRANSLATE(N1160,""EN"",""ES"")"),"Los acuerdos corporativos generales no impactan significativamente en la percepción de Repsol.")</f>
        <v>Los acuerdos corporativos generales no impactan significativamente en la percepción de Repsol.</v>
      </c>
      <c r="P1160" s="30">
        <v>0.6</v>
      </c>
      <c r="Q1160" s="18" t="str">
        <f>IFERROR(__xludf.DUMMYFUNCTION("GOOGLETRANSLATE(R1160,""ES"",""EN"")"),"power supply, chargers")</f>
        <v>power supply, chargers</v>
      </c>
      <c r="R1160" s="34" t="s">
        <v>8331</v>
      </c>
      <c r="S1160" s="52" t="s">
        <v>8332</v>
      </c>
      <c r="T1160" s="22" t="s">
        <v>8333</v>
      </c>
    </row>
    <row r="1161">
      <c r="A1161" s="23" t="s">
        <v>8334</v>
      </c>
      <c r="B1161" s="58" t="s">
        <v>85</v>
      </c>
      <c r="C1161" s="41">
        <v>45364.0</v>
      </c>
      <c r="D1161" s="40" t="s">
        <v>8335</v>
      </c>
      <c r="E1161" s="41" t="s">
        <v>8336</v>
      </c>
      <c r="F1161" s="43" t="s">
        <v>8337</v>
      </c>
      <c r="G1161" s="43" t="s">
        <v>8338</v>
      </c>
      <c r="H1161" s="51" t="s">
        <v>8339</v>
      </c>
      <c r="I1161" s="25" t="str">
        <f>IFERROR(__xludf.DUMMYFUNCTION("GOOGLETRANSLATE(H1161,""EN"",""ES"")"),"Incidente")</f>
        <v>Incidente</v>
      </c>
      <c r="J1161" s="26" t="s">
        <v>35</v>
      </c>
      <c r="K1161" s="48">
        <v>-0.6</v>
      </c>
      <c r="L1161" s="49" t="s">
        <v>8340</v>
      </c>
      <c r="M1161" s="28" t="s">
        <v>8341</v>
      </c>
      <c r="N1161" s="66" t="s">
        <v>8342</v>
      </c>
      <c r="O1161" s="66" t="str">
        <f>IFERROR(__xludf.DUMMYFUNCTION("GOOGLETRANSLATE(N1161,""EN"",""ES"")"),"Los accidentes que afectan a vehículos Repsol pueden afectar negativamente a su reputación.")</f>
        <v>Los accidentes que afectan a vehículos Repsol pueden afectar negativamente a su reputación.</v>
      </c>
      <c r="P1161" s="30">
        <v>-0.4</v>
      </c>
      <c r="Q1161" s="31" t="str">
        <f>IFERROR(__xludf.DUMMYFUNCTION("GOOGLETRANSLATE(R1161,""ES"",""EN"")"),"overturns truck")</f>
        <v>overturns truck</v>
      </c>
      <c r="R1161" s="28" t="s">
        <v>8343</v>
      </c>
      <c r="S1161" s="53" t="s">
        <v>8344</v>
      </c>
      <c r="T1161" s="32" t="s">
        <v>8345</v>
      </c>
    </row>
    <row r="1162">
      <c r="A1162" s="33" t="s">
        <v>8346</v>
      </c>
      <c r="B1162" s="60" t="s">
        <v>21</v>
      </c>
      <c r="C1162" s="41">
        <v>45364.0</v>
      </c>
      <c r="D1162" s="40" t="s">
        <v>8347</v>
      </c>
      <c r="E1162" s="41" t="s">
        <v>8348</v>
      </c>
      <c r="F1162" s="43" t="s">
        <v>8349</v>
      </c>
      <c r="G1162" s="43" t="s">
        <v>8350</v>
      </c>
      <c r="H1162" s="51" t="s">
        <v>148</v>
      </c>
      <c r="I1162" s="15" t="str">
        <f>IFERROR(__xludf.DUMMYFUNCTION("GOOGLETRANSLATE(H1162,""EN"",""ES"")"),"Gastronomía")</f>
        <v>Gastronomía</v>
      </c>
      <c r="J1162" s="16" t="s">
        <v>27</v>
      </c>
      <c r="K1162" s="17">
        <v>0.0</v>
      </c>
      <c r="L1162" s="45"/>
      <c r="M1162" s="18"/>
      <c r="N1162" s="65"/>
      <c r="O1162" s="65"/>
      <c r="P1162" s="20">
        <v>0.0</v>
      </c>
      <c r="Q1162" s="18"/>
      <c r="R1162" s="18"/>
      <c r="S1162" s="52"/>
      <c r="T1162" s="22"/>
    </row>
    <row r="1163">
      <c r="A1163" s="23" t="s">
        <v>8351</v>
      </c>
      <c r="B1163" s="58" t="s">
        <v>3543</v>
      </c>
      <c r="C1163" s="41">
        <v>45364.0</v>
      </c>
      <c r="D1163" s="40" t="s">
        <v>8352</v>
      </c>
      <c r="E1163" s="41" t="s">
        <v>8353</v>
      </c>
      <c r="F1163" s="43" t="s">
        <v>8354</v>
      </c>
      <c r="G1163" s="43" t="s">
        <v>8355</v>
      </c>
      <c r="H1163" s="51" t="s">
        <v>148</v>
      </c>
      <c r="I1163" s="25" t="str">
        <f>IFERROR(__xludf.DUMMYFUNCTION("GOOGLETRANSLATE(H1163,""EN"",""ES"")"),"Gastronomía")</f>
        <v>Gastronomía</v>
      </c>
      <c r="J1163" s="26" t="s">
        <v>27</v>
      </c>
      <c r="K1163" s="17">
        <v>0.0</v>
      </c>
      <c r="L1163" s="54"/>
      <c r="M1163" s="31"/>
      <c r="N1163" s="66"/>
      <c r="O1163" s="66"/>
      <c r="P1163" s="20">
        <v>0.0</v>
      </c>
      <c r="Q1163" s="31"/>
      <c r="R1163" s="31"/>
      <c r="S1163" s="53"/>
      <c r="T1163" s="32"/>
    </row>
    <row r="1164">
      <c r="A1164" s="33" t="s">
        <v>8356</v>
      </c>
      <c r="B1164" s="60" t="s">
        <v>8357</v>
      </c>
      <c r="C1164" s="41">
        <v>45364.0</v>
      </c>
      <c r="D1164" s="40" t="s">
        <v>8358</v>
      </c>
      <c r="E1164" s="41" t="s">
        <v>8359</v>
      </c>
      <c r="F1164" s="43" t="s">
        <v>8360</v>
      </c>
      <c r="G1164" s="43" t="s">
        <v>8361</v>
      </c>
      <c r="H1164" s="51" t="s">
        <v>8362</v>
      </c>
      <c r="I1164" s="15" t="str">
        <f>IFERROR(__xludf.DUMMYFUNCTION("GOOGLETRANSLATE(H1164,""EN"",""ES"")"),"Salud y tecnología")</f>
        <v>Salud y tecnología</v>
      </c>
      <c r="J1164" s="16" t="s">
        <v>35</v>
      </c>
      <c r="K1164" s="48">
        <v>0.0</v>
      </c>
      <c r="L1164" s="45"/>
      <c r="M1164" s="18"/>
      <c r="N1164" s="65" t="s">
        <v>8363</v>
      </c>
      <c r="O1164" s="65" t="str">
        <f>IFERROR(__xludf.DUMMYFUNCTION("GOOGLETRANSLATE(N1164,""EN"",""ES"")"),"La integración de la IA en salud no impacta en la percepción corporativa de Repsol.")</f>
        <v>La integración de la IA en salud no impacta en la percepción corporativa de Repsol.</v>
      </c>
      <c r="P1164" s="30">
        <v>0.0</v>
      </c>
      <c r="Q1164" s="18"/>
      <c r="R1164" s="18"/>
      <c r="S1164" s="52" t="s">
        <v>8168</v>
      </c>
      <c r="T1164" s="22" t="s">
        <v>8169</v>
      </c>
    </row>
    <row r="1165">
      <c r="A1165" s="23" t="s">
        <v>8364</v>
      </c>
      <c r="B1165" s="58" t="s">
        <v>1970</v>
      </c>
      <c r="C1165" s="41">
        <v>45364.0</v>
      </c>
      <c r="D1165" s="40" t="s">
        <v>8365</v>
      </c>
      <c r="E1165" s="41" t="s">
        <v>8366</v>
      </c>
      <c r="F1165" s="43" t="s">
        <v>8367</v>
      </c>
      <c r="G1165" s="43" t="s">
        <v>8368</v>
      </c>
      <c r="H1165" s="51" t="s">
        <v>8369</v>
      </c>
      <c r="I1165" s="25" t="str">
        <f>IFERROR(__xludf.DUMMYFUNCTION("GOOGLETRANSLATE(H1165,""EN"",""ES"")"),"Medios de comunicación")</f>
        <v>Medios de comunicación</v>
      </c>
      <c r="J1165" s="26" t="s">
        <v>27</v>
      </c>
      <c r="K1165" s="17">
        <v>0.0</v>
      </c>
      <c r="L1165" s="54"/>
      <c r="M1165" s="31"/>
      <c r="N1165" s="66"/>
      <c r="O1165" s="66"/>
      <c r="P1165" s="20">
        <v>0.0</v>
      </c>
      <c r="Q1165" s="31"/>
      <c r="R1165" s="31"/>
      <c r="S1165" s="53"/>
      <c r="T1165" s="32"/>
    </row>
    <row r="1166">
      <c r="A1166" s="33" t="s">
        <v>8370</v>
      </c>
      <c r="B1166" s="60" t="s">
        <v>499</v>
      </c>
      <c r="C1166" s="41">
        <v>45364.0</v>
      </c>
      <c r="D1166" s="40" t="s">
        <v>8371</v>
      </c>
      <c r="E1166" s="41" t="s">
        <v>8371</v>
      </c>
      <c r="F1166" s="43" t="s">
        <v>8372</v>
      </c>
      <c r="G1166" s="43" t="s">
        <v>8372</v>
      </c>
      <c r="H1166" s="51" t="s">
        <v>48</v>
      </c>
      <c r="I1166" s="15" t="str">
        <f>IFERROR(__xludf.DUMMYFUNCTION("GOOGLETRANSLATE(H1166,""EN"",""ES"")"),"Finanzas")</f>
        <v>Finanzas</v>
      </c>
      <c r="J1166" s="16" t="s">
        <v>27</v>
      </c>
      <c r="K1166" s="17">
        <v>0.0</v>
      </c>
      <c r="L1166" s="45"/>
      <c r="M1166" s="18"/>
      <c r="N1166" s="65"/>
      <c r="O1166" s="65"/>
      <c r="P1166" s="20">
        <v>0.0</v>
      </c>
      <c r="Q1166" s="18"/>
      <c r="R1166" s="18"/>
      <c r="S1166" s="52"/>
      <c r="T1166" s="22"/>
    </row>
    <row r="1167">
      <c r="A1167" s="23" t="s">
        <v>8373</v>
      </c>
      <c r="B1167" s="58" t="s">
        <v>977</v>
      </c>
      <c r="C1167" s="41">
        <v>45364.0</v>
      </c>
      <c r="D1167" s="40" t="s">
        <v>8374</v>
      </c>
      <c r="E1167" s="41" t="s">
        <v>8375</v>
      </c>
      <c r="F1167" s="43" t="s">
        <v>8376</v>
      </c>
      <c r="G1167" s="43" t="s">
        <v>8377</v>
      </c>
      <c r="H1167" s="51" t="s">
        <v>148</v>
      </c>
      <c r="I1167" s="25" t="str">
        <f>IFERROR(__xludf.DUMMYFUNCTION("GOOGLETRANSLATE(H1167,""EN"",""ES"")"),"Gastronomía")</f>
        <v>Gastronomía</v>
      </c>
      <c r="J1167" s="26" t="s">
        <v>27</v>
      </c>
      <c r="K1167" s="17">
        <v>0.0</v>
      </c>
      <c r="L1167" s="54"/>
      <c r="M1167" s="31"/>
      <c r="N1167" s="66"/>
      <c r="O1167" s="66"/>
      <c r="P1167" s="20">
        <v>0.0</v>
      </c>
      <c r="Q1167" s="31"/>
      <c r="R1167" s="31"/>
      <c r="S1167" s="53"/>
      <c r="T1167" s="32"/>
    </row>
    <row r="1168">
      <c r="A1168" s="33" t="s">
        <v>8378</v>
      </c>
      <c r="B1168" s="60" t="s">
        <v>4038</v>
      </c>
      <c r="C1168" s="41">
        <v>45364.0</v>
      </c>
      <c r="D1168" s="40" t="s">
        <v>8379</v>
      </c>
      <c r="E1168" s="41" t="s">
        <v>8380</v>
      </c>
      <c r="F1168" s="43" t="s">
        <v>8381</v>
      </c>
      <c r="G1168" s="43" t="s">
        <v>8382</v>
      </c>
      <c r="H1168" s="51" t="s">
        <v>148</v>
      </c>
      <c r="I1168" s="15" t="str">
        <f>IFERROR(__xludf.DUMMYFUNCTION("GOOGLETRANSLATE(H1168,""EN"",""ES"")"),"Gastronomía")</f>
        <v>Gastronomía</v>
      </c>
      <c r="J1168" s="16" t="s">
        <v>27</v>
      </c>
      <c r="K1168" s="17">
        <v>0.0</v>
      </c>
      <c r="L1168" s="45"/>
      <c r="M1168" s="18"/>
      <c r="N1168" s="65"/>
      <c r="O1168" s="65"/>
      <c r="P1168" s="20">
        <v>0.0</v>
      </c>
      <c r="Q1168" s="18"/>
      <c r="R1168" s="18"/>
      <c r="S1168" s="52"/>
      <c r="T1168" s="22"/>
    </row>
    <row r="1169">
      <c r="A1169" s="23" t="s">
        <v>8383</v>
      </c>
      <c r="B1169" s="58" t="s">
        <v>8384</v>
      </c>
      <c r="C1169" s="41">
        <v>45364.0</v>
      </c>
      <c r="D1169" s="40" t="s">
        <v>8385</v>
      </c>
      <c r="E1169" s="41" t="s">
        <v>8386</v>
      </c>
      <c r="F1169" s="43" t="s">
        <v>8387</v>
      </c>
      <c r="G1169" s="43" t="s">
        <v>8388</v>
      </c>
      <c r="H1169" s="51" t="s">
        <v>5878</v>
      </c>
      <c r="I1169" s="25" t="str">
        <f>IFERROR(__xludf.DUMMYFUNCTION("GOOGLETRANSLATE(H1169,""EN"",""ES"")"),"Entretenimiento")</f>
        <v>Entretenimiento</v>
      </c>
      <c r="J1169" s="26" t="s">
        <v>27</v>
      </c>
      <c r="K1169" s="17">
        <v>0.0</v>
      </c>
      <c r="L1169" s="54"/>
      <c r="M1169" s="31"/>
      <c r="N1169" s="66"/>
      <c r="O1169" s="66"/>
      <c r="P1169" s="20">
        <v>0.0</v>
      </c>
      <c r="Q1169" s="31"/>
      <c r="R1169" s="31"/>
      <c r="S1169" s="53"/>
      <c r="T1169" s="32"/>
    </row>
    <row r="1170">
      <c r="A1170" s="33" t="s">
        <v>8389</v>
      </c>
      <c r="B1170" s="60" t="s">
        <v>8390</v>
      </c>
      <c r="C1170" s="41">
        <v>45365.0</v>
      </c>
      <c r="D1170" s="40" t="s">
        <v>8391</v>
      </c>
      <c r="E1170" s="41" t="s">
        <v>8392</v>
      </c>
      <c r="F1170" s="43" t="s">
        <v>8393</v>
      </c>
      <c r="G1170" s="43" t="s">
        <v>8394</v>
      </c>
      <c r="H1170" s="51" t="s">
        <v>130</v>
      </c>
      <c r="I1170" s="15" t="str">
        <f>IFERROR(__xludf.DUMMYFUNCTION("GOOGLETRANSLATE(H1170,""EN"",""ES"")"),"Sostenibilidad")</f>
        <v>Sostenibilidad</v>
      </c>
      <c r="J1170" s="16" t="s">
        <v>35</v>
      </c>
      <c r="K1170" s="48">
        <v>0.8</v>
      </c>
      <c r="L1170" s="51" t="s">
        <v>8395</v>
      </c>
      <c r="M1170" s="34" t="s">
        <v>8396</v>
      </c>
      <c r="N1170" s="65" t="s">
        <v>8397</v>
      </c>
      <c r="O1170" s="65" t="str">
        <f>IFERROR(__xludf.DUMMYFUNCTION("GOOGLETRANSLATE(N1170,""EN"",""ES"")"),"El avance en la producción de combustibles sintéticos refuerza el posicionamiento medioambiental de Repsol.")</f>
        <v>El avance en la producción de combustibles sintéticos refuerza el posicionamiento medioambiental de Repsol.</v>
      </c>
      <c r="P1170" s="30">
        <v>0.7</v>
      </c>
      <c r="Q1170" s="18" t="str">
        <f>IFERROR(__xludf.DUMMYFUNCTION("GOOGLETRANSLATE(R1170,""ES"",""EN"")"),"synthetic fuel, good results")</f>
        <v>synthetic fuel, good results</v>
      </c>
      <c r="R1170" s="34" t="s">
        <v>8398</v>
      </c>
      <c r="S1170" s="52" t="s">
        <v>8399</v>
      </c>
      <c r="T1170" s="22" t="s">
        <v>8400</v>
      </c>
    </row>
    <row r="1171">
      <c r="A1171" s="23" t="s">
        <v>8401</v>
      </c>
      <c r="B1171" s="58" t="s">
        <v>1005</v>
      </c>
      <c r="C1171" s="41">
        <v>45365.0</v>
      </c>
      <c r="D1171" s="40" t="s">
        <v>8402</v>
      </c>
      <c r="E1171" s="41" t="s">
        <v>8403</v>
      </c>
      <c r="F1171" s="43" t="s">
        <v>8404</v>
      </c>
      <c r="G1171" s="43" t="s">
        <v>8405</v>
      </c>
      <c r="H1171" s="51" t="s">
        <v>55</v>
      </c>
      <c r="I1171" s="25" t="str">
        <f>IFERROR(__xludf.DUMMYFUNCTION("GOOGLETRANSLATE(H1171,""EN"",""ES"")"),"deportes de motor")</f>
        <v>deportes de motor</v>
      </c>
      <c r="J1171" s="26" t="s">
        <v>35</v>
      </c>
      <c r="K1171" s="48">
        <v>0.6</v>
      </c>
      <c r="L1171" s="49" t="s">
        <v>8406</v>
      </c>
      <c r="M1171" s="28" t="s">
        <v>8406</v>
      </c>
      <c r="N1171" s="66" t="s">
        <v>8407</v>
      </c>
      <c r="O1171" s="66" t="str">
        <f>IFERROR(__xludf.DUMMYFUNCTION("GOOGLETRANSLATE(N1171,""EN"",""ES"")"),"Mostrar la implicación de Repsol en el deporte del motor refuerza la presencia de la marca.")</f>
        <v>Mostrar la implicación de Repsol en el deporte del motor refuerza la presencia de la marca.</v>
      </c>
      <c r="P1171" s="30">
        <v>0.6</v>
      </c>
      <c r="Q1171" s="31" t="str">
        <f>IFERROR(__xludf.DUMMYFUNCTION("GOOGLETRANSLATE(R1171,""ES"",""EN"")"),"Honda Repsol, Moto GP")</f>
        <v>Honda Repsol, Moto GP</v>
      </c>
      <c r="R1171" s="28" t="s">
        <v>8408</v>
      </c>
      <c r="S1171" s="53" t="s">
        <v>8409</v>
      </c>
      <c r="T1171" s="32" t="s">
        <v>8410</v>
      </c>
    </row>
    <row r="1172">
      <c r="A1172" s="33" t="s">
        <v>8411</v>
      </c>
      <c r="B1172" s="60" t="s">
        <v>5508</v>
      </c>
      <c r="C1172" s="41">
        <v>45365.0</v>
      </c>
      <c r="D1172" s="40" t="s">
        <v>8412</v>
      </c>
      <c r="E1172" s="41" t="s">
        <v>8413</v>
      </c>
      <c r="F1172" s="43" t="s">
        <v>8414</v>
      </c>
      <c r="G1172" s="43" t="s">
        <v>8415</v>
      </c>
      <c r="H1172" s="51" t="s">
        <v>130</v>
      </c>
      <c r="I1172" s="15" t="str">
        <f>IFERROR(__xludf.DUMMYFUNCTION("GOOGLETRANSLATE(H1172,""EN"",""ES"")"),"Sostenibilidad")</f>
        <v>Sostenibilidad</v>
      </c>
      <c r="J1172" s="16" t="s">
        <v>35</v>
      </c>
      <c r="K1172" s="48">
        <v>0.8</v>
      </c>
      <c r="L1172" s="51" t="s">
        <v>8416</v>
      </c>
      <c r="M1172" s="34" t="s">
        <v>8417</v>
      </c>
      <c r="N1172" s="65" t="s">
        <v>8418</v>
      </c>
      <c r="O1172" s="65" t="str">
        <f>IFERROR(__xludf.DUMMYFUNCTION("GOOGLETRANSLATE(N1172,""EN"",""ES"")"),"Probar combustibles sintéticos refuerza el compromiso de Repsol con la energía sostenible.")</f>
        <v>Probar combustibles sintéticos refuerza el compromiso de Repsol con la energía sostenible.</v>
      </c>
      <c r="P1172" s="30">
        <v>0.7</v>
      </c>
      <c r="Q1172" s="18" t="str">
        <f>IFERROR(__xludf.DUMMYFUNCTION("GOOGLETRANSLATE(R1172,""ES"",""EN"")"),"synthetic fuel, renewable energy")</f>
        <v>synthetic fuel, renewable energy</v>
      </c>
      <c r="R1172" s="34" t="s">
        <v>8419</v>
      </c>
      <c r="S1172" s="52" t="s">
        <v>8399</v>
      </c>
      <c r="T1172" s="22" t="s">
        <v>8400</v>
      </c>
    </row>
    <row r="1173">
      <c r="A1173" s="23" t="s">
        <v>8420</v>
      </c>
      <c r="B1173" s="58" t="s">
        <v>163</v>
      </c>
      <c r="C1173" s="41">
        <v>45365.0</v>
      </c>
      <c r="D1173" s="40" t="s">
        <v>8421</v>
      </c>
      <c r="E1173" s="41" t="s">
        <v>8422</v>
      </c>
      <c r="F1173" s="43" t="s">
        <v>8423</v>
      </c>
      <c r="G1173" s="43" t="s">
        <v>8424</v>
      </c>
      <c r="H1173" s="51" t="s">
        <v>55</v>
      </c>
      <c r="I1173" s="25" t="str">
        <f>IFERROR(__xludf.DUMMYFUNCTION("GOOGLETRANSLATE(H1173,""EN"",""ES"")"),"deportes de motor")</f>
        <v>deportes de motor</v>
      </c>
      <c r="J1173" s="26" t="s">
        <v>27</v>
      </c>
      <c r="K1173" s="17">
        <v>0.0</v>
      </c>
      <c r="L1173" s="54"/>
      <c r="M1173" s="31"/>
      <c r="N1173" s="66"/>
      <c r="O1173" s="66"/>
      <c r="P1173" s="20">
        <v>0.0</v>
      </c>
      <c r="Q1173" s="31"/>
      <c r="R1173" s="31"/>
      <c r="S1173" s="53"/>
      <c r="T1173" s="32"/>
    </row>
    <row r="1174">
      <c r="A1174" s="33" t="s">
        <v>8425</v>
      </c>
      <c r="B1174" s="60" t="s">
        <v>21</v>
      </c>
      <c r="C1174" s="41">
        <v>45365.0</v>
      </c>
      <c r="D1174" s="40" t="s">
        <v>8426</v>
      </c>
      <c r="E1174" s="41" t="s">
        <v>8427</v>
      </c>
      <c r="F1174" s="43" t="s">
        <v>8428</v>
      </c>
      <c r="G1174" s="43" t="s">
        <v>8429</v>
      </c>
      <c r="H1174" s="51" t="s">
        <v>148</v>
      </c>
      <c r="I1174" s="15" t="str">
        <f>IFERROR(__xludf.DUMMYFUNCTION("GOOGLETRANSLATE(H1174,""EN"",""ES"")"),"Gastronomía")</f>
        <v>Gastronomía</v>
      </c>
      <c r="J1174" s="16" t="s">
        <v>27</v>
      </c>
      <c r="K1174" s="17">
        <v>0.0</v>
      </c>
      <c r="L1174" s="45"/>
      <c r="M1174" s="18"/>
      <c r="N1174" s="65"/>
      <c r="O1174" s="65"/>
      <c r="P1174" s="20">
        <v>0.0</v>
      </c>
      <c r="Q1174" s="18"/>
      <c r="R1174" s="18"/>
      <c r="S1174" s="52"/>
      <c r="T1174" s="22"/>
    </row>
    <row r="1175">
      <c r="A1175" s="23" t="s">
        <v>8430</v>
      </c>
      <c r="B1175" s="58" t="s">
        <v>977</v>
      </c>
      <c r="C1175" s="41">
        <v>45365.0</v>
      </c>
      <c r="D1175" s="40" t="s">
        <v>8431</v>
      </c>
      <c r="E1175" s="41" t="s">
        <v>8432</v>
      </c>
      <c r="F1175" s="43" t="s">
        <v>8433</v>
      </c>
      <c r="G1175" s="43" t="s">
        <v>8434</v>
      </c>
      <c r="H1175" s="51" t="s">
        <v>8339</v>
      </c>
      <c r="I1175" s="25" t="str">
        <f>IFERROR(__xludf.DUMMYFUNCTION("GOOGLETRANSLATE(H1175,""EN"",""ES"")"),"Incidente")</f>
        <v>Incidente</v>
      </c>
      <c r="J1175" s="26" t="s">
        <v>35</v>
      </c>
      <c r="K1175" s="48">
        <v>-0.8</v>
      </c>
      <c r="L1175" s="49" t="s">
        <v>8435</v>
      </c>
      <c r="M1175" s="28" t="s">
        <v>8436</v>
      </c>
      <c r="N1175" s="66" t="s">
        <v>8437</v>
      </c>
      <c r="O1175" s="66" t="str">
        <f>IFERROR(__xludf.DUMMYFUNCTION("GOOGLETRANSLATE(N1175,""EN"",""ES"")"),"Los vertidos de petróleo pueden dañar significativamente la reputación medioambiental de Repsol.")</f>
        <v>Los vertidos de petróleo pueden dañar significativamente la reputación medioambiental de Repsol.</v>
      </c>
      <c r="P1175" s="30">
        <v>-0.8</v>
      </c>
      <c r="Q1175" s="31" t="str">
        <f>IFERROR(__xludf.DUMMYFUNCTION("GOOGLETRANSLATE(R1175,""ES"",""EN"")"),"oil spill, protest")</f>
        <v>oil spill, protest</v>
      </c>
      <c r="R1175" s="28" t="s">
        <v>8438</v>
      </c>
      <c r="S1175" s="53" t="s">
        <v>8439</v>
      </c>
      <c r="T1175" s="32" t="s">
        <v>8440</v>
      </c>
    </row>
    <row r="1176">
      <c r="A1176" s="33" t="s">
        <v>8441</v>
      </c>
      <c r="B1176" s="60" t="s">
        <v>8442</v>
      </c>
      <c r="C1176" s="41">
        <v>45365.0</v>
      </c>
      <c r="D1176" s="40" t="s">
        <v>8443</v>
      </c>
      <c r="E1176" s="41" t="s">
        <v>8444</v>
      </c>
      <c r="F1176" s="43" t="s">
        <v>8445</v>
      </c>
      <c r="G1176" s="43" t="s">
        <v>8446</v>
      </c>
      <c r="H1176" s="51" t="s">
        <v>130</v>
      </c>
      <c r="I1176" s="15" t="str">
        <f>IFERROR(__xludf.DUMMYFUNCTION("GOOGLETRANSLATE(H1176,""EN"",""ES"")"),"Sostenibilidad")</f>
        <v>Sostenibilidad</v>
      </c>
      <c r="J1176" s="16" t="s">
        <v>35</v>
      </c>
      <c r="K1176" s="48">
        <v>0.8</v>
      </c>
      <c r="L1176" s="51" t="s">
        <v>8416</v>
      </c>
      <c r="M1176" s="34" t="s">
        <v>8417</v>
      </c>
      <c r="N1176" s="65" t="s">
        <v>8447</v>
      </c>
      <c r="O1176" s="65" t="str">
        <f>IFERROR(__xludf.DUMMYFUNCTION("GOOGLETRANSLATE(N1176,""EN"",""ES"")"),"El desarrollo de combustibles sintéticos refuerza la innovación de Repsol en energías limpias.")</f>
        <v>El desarrollo de combustibles sintéticos refuerza la innovación de Repsol en energías limpias.</v>
      </c>
      <c r="P1176" s="30">
        <v>0.7</v>
      </c>
      <c r="Q1176" s="18" t="str">
        <f>IFERROR(__xludf.DUMMYFUNCTION("GOOGLETRANSLATE(R1176,""ES"",""EN"")"),"synthetic fuel, renewable hydrogen")</f>
        <v>synthetic fuel, renewable hydrogen</v>
      </c>
      <c r="R1176" s="34" t="s">
        <v>8448</v>
      </c>
      <c r="S1176" s="52" t="s">
        <v>8399</v>
      </c>
      <c r="T1176" s="22" t="s">
        <v>8400</v>
      </c>
    </row>
    <row r="1177">
      <c r="A1177" s="23" t="s">
        <v>8449</v>
      </c>
      <c r="B1177" s="58" t="s">
        <v>8450</v>
      </c>
      <c r="C1177" s="41">
        <v>45365.0</v>
      </c>
      <c r="D1177" s="40" t="s">
        <v>8451</v>
      </c>
      <c r="E1177" s="41" t="s">
        <v>8452</v>
      </c>
      <c r="F1177" s="43" t="s">
        <v>8453</v>
      </c>
      <c r="G1177" s="43" t="s">
        <v>8454</v>
      </c>
      <c r="H1177" s="51" t="s">
        <v>148</v>
      </c>
      <c r="I1177" s="25" t="str">
        <f>IFERROR(__xludf.DUMMYFUNCTION("GOOGLETRANSLATE(H1177,""EN"",""ES"")"),"Gastronomía")</f>
        <v>Gastronomía</v>
      </c>
      <c r="J1177" s="26" t="s">
        <v>27</v>
      </c>
      <c r="K1177" s="17">
        <v>0.0</v>
      </c>
      <c r="L1177" s="54"/>
      <c r="M1177" s="31"/>
      <c r="N1177" s="66"/>
      <c r="O1177" s="66"/>
      <c r="P1177" s="20">
        <v>0.0</v>
      </c>
      <c r="Q1177" s="31"/>
      <c r="R1177" s="31"/>
      <c r="S1177" s="53"/>
      <c r="T1177" s="32"/>
    </row>
    <row r="1178">
      <c r="A1178" s="33" t="s">
        <v>8455</v>
      </c>
      <c r="B1178" s="60" t="s">
        <v>4673</v>
      </c>
      <c r="C1178" s="41">
        <v>45365.0</v>
      </c>
      <c r="D1178" s="40" t="s">
        <v>8456</v>
      </c>
      <c r="E1178" s="41" t="s">
        <v>8457</v>
      </c>
      <c r="F1178" s="43" t="s">
        <v>8458</v>
      </c>
      <c r="G1178" s="43" t="s">
        <v>8459</v>
      </c>
      <c r="H1178" s="51" t="s">
        <v>34</v>
      </c>
      <c r="I1178" s="15" t="str">
        <f>IFERROR(__xludf.DUMMYFUNCTION("GOOGLETRANSLATE(H1178,""EN"",""ES"")"),"Responsabilidad Social Corporativa")</f>
        <v>Responsabilidad Social Corporativa</v>
      </c>
      <c r="J1178" s="16" t="s">
        <v>35</v>
      </c>
      <c r="K1178" s="48">
        <v>0.7</v>
      </c>
      <c r="L1178" s="51" t="s">
        <v>8460</v>
      </c>
      <c r="M1178" s="34" t="s">
        <v>8461</v>
      </c>
      <c r="N1178" s="65" t="s">
        <v>8462</v>
      </c>
      <c r="O1178" s="65" t="str">
        <f>IFERROR(__xludf.DUMMYFUNCTION("GOOGLETRANSLATE(N1178,""EN"",""ES"")"),"El apoyo a proyectos sostenibles potencia la imagen corporativa de Repsol.")</f>
        <v>El apoyo a proyectos sostenibles potencia la imagen corporativa de Repsol.</v>
      </c>
      <c r="P1178" s="30">
        <v>0.7</v>
      </c>
      <c r="Q1178" s="18" t="str">
        <f>IFERROR(__xludf.DUMMYFUNCTION("GOOGLETRANSLATE(R1178,""ES"",""EN"")"),"revolutionary projects, Repsol Foundation")</f>
        <v>revolutionary projects, Repsol Foundation</v>
      </c>
      <c r="R1178" s="34" t="s">
        <v>8463</v>
      </c>
      <c r="S1178" s="52" t="s">
        <v>8464</v>
      </c>
      <c r="T1178" s="22" t="s">
        <v>8465</v>
      </c>
    </row>
    <row r="1179">
      <c r="A1179" s="23" t="s">
        <v>8466</v>
      </c>
      <c r="B1179" s="58" t="s">
        <v>8467</v>
      </c>
      <c r="C1179" s="41">
        <v>45365.0</v>
      </c>
      <c r="D1179" s="40" t="s">
        <v>8468</v>
      </c>
      <c r="E1179" s="41" t="s">
        <v>8469</v>
      </c>
      <c r="F1179" s="43" t="s">
        <v>8470</v>
      </c>
      <c r="G1179" s="43" t="s">
        <v>8471</v>
      </c>
      <c r="H1179" s="51" t="s">
        <v>4671</v>
      </c>
      <c r="I1179" s="25" t="str">
        <f>IFERROR(__xludf.DUMMYFUNCTION("GOOGLETRANSLATE(H1179,""EN"",""ES"")"),"Delito")</f>
        <v>Delito</v>
      </c>
      <c r="J1179" s="26" t="s">
        <v>27</v>
      </c>
      <c r="K1179" s="17">
        <v>0.0</v>
      </c>
      <c r="L1179" s="54"/>
      <c r="M1179" s="31"/>
      <c r="N1179" s="66"/>
      <c r="O1179" s="66"/>
      <c r="P1179" s="20">
        <v>0.0</v>
      </c>
      <c r="Q1179" s="31"/>
      <c r="R1179" s="31"/>
      <c r="S1179" s="53"/>
      <c r="T1179" s="32"/>
    </row>
    <row r="1180">
      <c r="A1180" s="33" t="s">
        <v>8472</v>
      </c>
      <c r="B1180" s="60" t="s">
        <v>217</v>
      </c>
      <c r="C1180" s="41">
        <v>45366.0</v>
      </c>
      <c r="D1180" s="40" t="s">
        <v>8473</v>
      </c>
      <c r="E1180" s="41" t="s">
        <v>8473</v>
      </c>
      <c r="F1180" s="43" t="s">
        <v>8474</v>
      </c>
      <c r="G1180" s="43" t="s">
        <v>8474</v>
      </c>
      <c r="H1180" s="51" t="s">
        <v>661</v>
      </c>
      <c r="I1180" s="15" t="str">
        <f>IFERROR(__xludf.DUMMYFUNCTION("GOOGLETRANSLATE(H1180,""EN"",""ES"")"),"Estrategia empresarial")</f>
        <v>Estrategia empresarial</v>
      </c>
      <c r="J1180" s="16" t="s">
        <v>35</v>
      </c>
      <c r="K1180" s="48">
        <v>0.6</v>
      </c>
      <c r="L1180" s="51" t="s">
        <v>8475</v>
      </c>
      <c r="M1180" s="34" t="s">
        <v>8476</v>
      </c>
      <c r="N1180" s="65" t="s">
        <v>8477</v>
      </c>
      <c r="O1180" s="65" t="str">
        <f>IFERROR(__xludf.DUMMYFUNCTION("GOOGLETRANSLATE(N1180,""EN"",""ES"")"),"Poner énfasis en la tecnología del futuro fortalece el posicionamiento innovador de Repsol.")</f>
        <v>Poner énfasis en la tecnología del futuro fortalece el posicionamiento innovador de Repsol.</v>
      </c>
      <c r="P1180" s="30">
        <v>0.0</v>
      </c>
      <c r="Q1180" s="18"/>
      <c r="R1180" s="18"/>
      <c r="S1180" s="52" t="s">
        <v>8168</v>
      </c>
      <c r="T1180" s="22" t="s">
        <v>8169</v>
      </c>
    </row>
    <row r="1181">
      <c r="A1181" s="23" t="s">
        <v>8478</v>
      </c>
      <c r="B1181" s="58" t="s">
        <v>952</v>
      </c>
      <c r="C1181" s="41">
        <v>45366.0</v>
      </c>
      <c r="D1181" s="40" t="s">
        <v>8479</v>
      </c>
      <c r="E1181" s="41" t="s">
        <v>8480</v>
      </c>
      <c r="F1181" s="43" t="s">
        <v>8481</v>
      </c>
      <c r="G1181" s="43" t="s">
        <v>8482</v>
      </c>
      <c r="H1181" s="51" t="s">
        <v>2677</v>
      </c>
      <c r="I1181" s="25" t="str">
        <f>IFERROR(__xludf.DUMMYFUNCTION("GOOGLETRANSLATE(H1181,""EN"",""ES"")"),"Responsabilidad Social")</f>
        <v>Responsabilidad Social</v>
      </c>
      <c r="J1181" s="26" t="s">
        <v>35</v>
      </c>
      <c r="K1181" s="48">
        <v>0.0</v>
      </c>
      <c r="L1181" s="54"/>
      <c r="M1181" s="31"/>
      <c r="N1181" s="66" t="s">
        <v>8483</v>
      </c>
      <c r="O1181" s="66" t="str">
        <f>IFERROR(__xludf.DUMMYFUNCTION("GOOGLETRANSLATE(N1181,""EN"",""ES"")"),"La inclusividad de los festivales no impacta en la percepción corporativa de Repsol.")</f>
        <v>La inclusividad de los festivales no impacta en la percepción corporativa de Repsol.</v>
      </c>
      <c r="P1181" s="30">
        <v>0.6</v>
      </c>
      <c r="Q1181" s="31" t="str">
        <f>IFERROR(__xludf.DUMMYFUNCTION("GOOGLETRANSLATE(R1181,""ES"",""EN"")"),"diversity, inclusion")</f>
        <v>diversity, inclusion</v>
      </c>
      <c r="R1181" s="28" t="s">
        <v>8484</v>
      </c>
      <c r="S1181" s="53" t="s">
        <v>8485</v>
      </c>
      <c r="T1181" s="32" t="s">
        <v>8486</v>
      </c>
    </row>
    <row r="1182">
      <c r="A1182" s="33" t="s">
        <v>8487</v>
      </c>
      <c r="B1182" s="60" t="s">
        <v>2713</v>
      </c>
      <c r="C1182" s="41">
        <v>45366.0</v>
      </c>
      <c r="D1182" s="40" t="s">
        <v>8488</v>
      </c>
      <c r="E1182" s="41" t="s">
        <v>8489</v>
      </c>
      <c r="F1182" s="43" t="s">
        <v>8490</v>
      </c>
      <c r="G1182" s="43" t="s">
        <v>8491</v>
      </c>
      <c r="H1182" s="51" t="s">
        <v>661</v>
      </c>
      <c r="I1182" s="15" t="str">
        <f>IFERROR(__xludf.DUMMYFUNCTION("GOOGLETRANSLATE(H1182,""EN"",""ES"")"),"Estrategia empresarial")</f>
        <v>Estrategia empresarial</v>
      </c>
      <c r="J1182" s="16" t="s">
        <v>35</v>
      </c>
      <c r="K1182" s="48">
        <v>0.7</v>
      </c>
      <c r="L1182" s="51" t="s">
        <v>8492</v>
      </c>
      <c r="M1182" s="34" t="s">
        <v>8493</v>
      </c>
      <c r="N1182" s="65" t="s">
        <v>8494</v>
      </c>
      <c r="O1182" s="65" t="str">
        <f>IFERROR(__xludf.DUMMYFUNCTION("GOOGLETRANSLATE(N1182,""EN"",""ES"")"),"El reconocimiento como empleador de primer nivel potencia la reputación de Repsol.")</f>
        <v>El reconocimiento como empleador de primer nivel potencia la reputación de Repsol.</v>
      </c>
      <c r="P1182" s="30">
        <v>0.7</v>
      </c>
      <c r="Q1182" s="18" t="str">
        <f>IFERROR(__xludf.DUMMYFUNCTION("GOOGLETRANSLATE(R1182,""ES"",""EN"")"),"attract talent, build loyalty")</f>
        <v>attract talent, build loyalty</v>
      </c>
      <c r="R1182" s="34" t="s">
        <v>8495</v>
      </c>
      <c r="S1182" s="52" t="s">
        <v>8496</v>
      </c>
      <c r="T1182" s="22" t="s">
        <v>8497</v>
      </c>
    </row>
    <row r="1183">
      <c r="A1183" s="23" t="s">
        <v>8498</v>
      </c>
      <c r="B1183" s="58" t="s">
        <v>977</v>
      </c>
      <c r="C1183" s="41">
        <v>45366.0</v>
      </c>
      <c r="D1183" s="40" t="s">
        <v>8499</v>
      </c>
      <c r="E1183" s="41" t="s">
        <v>8500</v>
      </c>
      <c r="F1183" s="43" t="s">
        <v>8501</v>
      </c>
      <c r="G1183" s="43" t="s">
        <v>8502</v>
      </c>
      <c r="H1183" s="51" t="s">
        <v>148</v>
      </c>
      <c r="I1183" s="25" t="str">
        <f>IFERROR(__xludf.DUMMYFUNCTION("GOOGLETRANSLATE(H1183,""EN"",""ES"")"),"Gastronomía")</f>
        <v>Gastronomía</v>
      </c>
      <c r="J1183" s="26" t="s">
        <v>27</v>
      </c>
      <c r="K1183" s="17">
        <v>0.0</v>
      </c>
      <c r="L1183" s="54"/>
      <c r="M1183" s="31"/>
      <c r="N1183" s="66"/>
      <c r="O1183" s="66"/>
      <c r="P1183" s="20">
        <v>0.0</v>
      </c>
      <c r="Q1183" s="31"/>
      <c r="R1183" s="31"/>
      <c r="S1183" s="53"/>
      <c r="T1183" s="32"/>
    </row>
    <row r="1184">
      <c r="A1184" s="33" t="s">
        <v>8503</v>
      </c>
      <c r="B1184" s="60" t="s">
        <v>2696</v>
      </c>
      <c r="C1184" s="41">
        <v>45366.0</v>
      </c>
      <c r="D1184" s="40" t="s">
        <v>8504</v>
      </c>
      <c r="E1184" s="41" t="s">
        <v>8505</v>
      </c>
      <c r="F1184" s="43" t="s">
        <v>8506</v>
      </c>
      <c r="G1184" s="43" t="s">
        <v>8507</v>
      </c>
      <c r="H1184" s="51" t="s">
        <v>34</v>
      </c>
      <c r="I1184" s="15" t="str">
        <f>IFERROR(__xludf.DUMMYFUNCTION("GOOGLETRANSLATE(H1184,""EN"",""ES"")"),"Responsabilidad Social Corporativa")</f>
        <v>Responsabilidad Social Corporativa</v>
      </c>
      <c r="J1184" s="16" t="s">
        <v>35</v>
      </c>
      <c r="K1184" s="48">
        <v>0.7</v>
      </c>
      <c r="L1184" s="51" t="s">
        <v>8508</v>
      </c>
      <c r="M1184" s="34" t="s">
        <v>8509</v>
      </c>
      <c r="N1184" s="65" t="s">
        <v>8510</v>
      </c>
      <c r="O1184" s="65" t="str">
        <f>IFERROR(__xludf.DUMMYFUNCTION("GOOGLETRANSLATE(N1184,""EN"",""ES"")"),"Fomentar la sostenibilidad entre los estudiantes fortalece la imagen pública de Repsol.")</f>
        <v>Fomentar la sostenibilidad entre los estudiantes fortalece la imagen pública de Repsol.</v>
      </c>
      <c r="P1184" s="30">
        <v>0.7</v>
      </c>
      <c r="Q1184" s="18" t="str">
        <f>IFERROR(__xludf.DUMMYFUNCTION("GOOGLETRANSLATE(R1184,""ES"",""EN"")"),"energy transition, Repsol Foundation")</f>
        <v>energy transition, Repsol Foundation</v>
      </c>
      <c r="R1184" s="34" t="s">
        <v>8511</v>
      </c>
      <c r="S1184" s="52" t="s">
        <v>8464</v>
      </c>
      <c r="T1184" s="22" t="s">
        <v>8465</v>
      </c>
    </row>
    <row r="1185">
      <c r="A1185" s="23" t="s">
        <v>8512</v>
      </c>
      <c r="B1185" s="58" t="s">
        <v>21</v>
      </c>
      <c r="C1185" s="41">
        <v>45366.0</v>
      </c>
      <c r="D1185" s="40" t="s">
        <v>8513</v>
      </c>
      <c r="E1185" s="41" t="s">
        <v>8514</v>
      </c>
      <c r="F1185" s="43" t="s">
        <v>8515</v>
      </c>
      <c r="G1185" s="43" t="s">
        <v>8516</v>
      </c>
      <c r="H1185" s="51" t="s">
        <v>148</v>
      </c>
      <c r="I1185" s="25" t="str">
        <f>IFERROR(__xludf.DUMMYFUNCTION("GOOGLETRANSLATE(H1185,""EN"",""ES"")"),"Gastronomía")</f>
        <v>Gastronomía</v>
      </c>
      <c r="J1185" s="26" t="s">
        <v>27</v>
      </c>
      <c r="K1185" s="17">
        <v>0.0</v>
      </c>
      <c r="L1185" s="54"/>
      <c r="M1185" s="31"/>
      <c r="N1185" s="66"/>
      <c r="O1185" s="66"/>
      <c r="P1185" s="20">
        <v>0.0</v>
      </c>
      <c r="Q1185" s="31"/>
      <c r="R1185" s="31"/>
      <c r="S1185" s="53"/>
      <c r="T1185" s="32"/>
    </row>
    <row r="1186">
      <c r="A1186" s="33" t="s">
        <v>8517</v>
      </c>
      <c r="B1186" s="60" t="s">
        <v>21</v>
      </c>
      <c r="C1186" s="41">
        <v>45366.0</v>
      </c>
      <c r="D1186" s="40" t="s">
        <v>8518</v>
      </c>
      <c r="E1186" s="41" t="s">
        <v>8519</v>
      </c>
      <c r="F1186" s="43" t="s">
        <v>8520</v>
      </c>
      <c r="G1186" s="43" t="s">
        <v>8521</v>
      </c>
      <c r="H1186" s="51" t="s">
        <v>5878</v>
      </c>
      <c r="I1186" s="15" t="str">
        <f>IFERROR(__xludf.DUMMYFUNCTION("GOOGLETRANSLATE(H1186,""EN"",""ES"")"),"Entretenimiento")</f>
        <v>Entretenimiento</v>
      </c>
      <c r="J1186" s="16" t="s">
        <v>27</v>
      </c>
      <c r="K1186" s="17">
        <v>0.0</v>
      </c>
      <c r="L1186" s="45"/>
      <c r="M1186" s="18"/>
      <c r="N1186" s="65"/>
      <c r="O1186" s="65"/>
      <c r="P1186" s="20">
        <v>0.0</v>
      </c>
      <c r="Q1186" s="18"/>
      <c r="R1186" s="18"/>
      <c r="S1186" s="52"/>
      <c r="T1186" s="22"/>
    </row>
    <row r="1187">
      <c r="A1187" s="23" t="s">
        <v>8522</v>
      </c>
      <c r="B1187" s="58" t="s">
        <v>3606</v>
      </c>
      <c r="C1187" s="41">
        <v>45366.0</v>
      </c>
      <c r="D1187" s="40" t="s">
        <v>8523</v>
      </c>
      <c r="E1187" s="41" t="s">
        <v>8524</v>
      </c>
      <c r="F1187" s="43" t="s">
        <v>8525</v>
      </c>
      <c r="G1187" s="43" t="s">
        <v>8526</v>
      </c>
      <c r="H1187" s="51" t="s">
        <v>148</v>
      </c>
      <c r="I1187" s="25" t="str">
        <f>IFERROR(__xludf.DUMMYFUNCTION("GOOGLETRANSLATE(H1187,""EN"",""ES"")"),"Gastronomía")</f>
        <v>Gastronomía</v>
      </c>
      <c r="J1187" s="26" t="s">
        <v>27</v>
      </c>
      <c r="K1187" s="17">
        <v>0.0</v>
      </c>
      <c r="L1187" s="54"/>
      <c r="M1187" s="31"/>
      <c r="N1187" s="66"/>
      <c r="O1187" s="66"/>
      <c r="P1187" s="20">
        <v>0.0</v>
      </c>
      <c r="Q1187" s="31"/>
      <c r="R1187" s="31"/>
      <c r="S1187" s="53"/>
      <c r="T1187" s="32"/>
    </row>
    <row r="1188">
      <c r="A1188" s="33" t="s">
        <v>8527</v>
      </c>
      <c r="B1188" s="60" t="s">
        <v>8528</v>
      </c>
      <c r="C1188" s="41">
        <v>45366.0</v>
      </c>
      <c r="D1188" s="40" t="s">
        <v>8529</v>
      </c>
      <c r="E1188" s="41" t="s">
        <v>8530</v>
      </c>
      <c r="F1188" s="43" t="s">
        <v>8531</v>
      </c>
      <c r="G1188" s="43" t="s">
        <v>8532</v>
      </c>
      <c r="H1188" s="51" t="s">
        <v>661</v>
      </c>
      <c r="I1188" s="15" t="str">
        <f>IFERROR(__xludf.DUMMYFUNCTION("GOOGLETRANSLATE(H1188,""EN"",""ES"")"),"Estrategia empresarial")</f>
        <v>Estrategia empresarial</v>
      </c>
      <c r="J1188" s="16" t="s">
        <v>27</v>
      </c>
      <c r="K1188" s="17">
        <v>0.0</v>
      </c>
      <c r="L1188" s="45"/>
      <c r="M1188" s="18"/>
      <c r="N1188" s="65"/>
      <c r="O1188" s="65"/>
      <c r="P1188" s="20">
        <v>0.0</v>
      </c>
      <c r="Q1188" s="18"/>
      <c r="R1188" s="18"/>
      <c r="S1188" s="52"/>
      <c r="T1188" s="22"/>
    </row>
    <row r="1189">
      <c r="A1189" s="23" t="s">
        <v>8533</v>
      </c>
      <c r="B1189" s="58" t="s">
        <v>368</v>
      </c>
      <c r="C1189" s="41">
        <v>45366.0</v>
      </c>
      <c r="D1189" s="40" t="s">
        <v>8534</v>
      </c>
      <c r="E1189" s="41" t="s">
        <v>8535</v>
      </c>
      <c r="F1189" s="43" t="s">
        <v>8536</v>
      </c>
      <c r="G1189" s="43" t="s">
        <v>8537</v>
      </c>
      <c r="H1189" s="51" t="s">
        <v>148</v>
      </c>
      <c r="I1189" s="25" t="str">
        <f>IFERROR(__xludf.DUMMYFUNCTION("GOOGLETRANSLATE(H1189,""EN"",""ES"")"),"Gastronomía")</f>
        <v>Gastronomía</v>
      </c>
      <c r="J1189" s="26" t="s">
        <v>27</v>
      </c>
      <c r="K1189" s="17">
        <v>0.0</v>
      </c>
      <c r="L1189" s="54"/>
      <c r="M1189" s="31"/>
      <c r="N1189" s="66"/>
      <c r="O1189" s="66"/>
      <c r="P1189" s="20">
        <v>0.0</v>
      </c>
      <c r="Q1189" s="31"/>
      <c r="R1189" s="31"/>
      <c r="S1189" s="53"/>
      <c r="T1189" s="32"/>
    </row>
    <row r="1190">
      <c r="A1190" s="33" t="s">
        <v>8538</v>
      </c>
      <c r="B1190" s="60" t="s">
        <v>3045</v>
      </c>
      <c r="C1190" s="41">
        <v>45367.0</v>
      </c>
      <c r="D1190" s="40" t="s">
        <v>8539</v>
      </c>
      <c r="E1190" s="41" t="s">
        <v>8540</v>
      </c>
      <c r="F1190" s="43" t="s">
        <v>8541</v>
      </c>
      <c r="G1190" s="43" t="s">
        <v>8542</v>
      </c>
      <c r="H1190" s="51" t="s">
        <v>148</v>
      </c>
      <c r="I1190" s="15" t="str">
        <f>IFERROR(__xludf.DUMMYFUNCTION("GOOGLETRANSLATE(H1190,""EN"",""ES"")"),"Gastronomía")</f>
        <v>Gastronomía</v>
      </c>
      <c r="J1190" s="16" t="s">
        <v>27</v>
      </c>
      <c r="K1190" s="17">
        <v>0.0</v>
      </c>
      <c r="L1190" s="45"/>
      <c r="M1190" s="18"/>
      <c r="N1190" s="65"/>
      <c r="O1190" s="65"/>
      <c r="P1190" s="20">
        <v>0.0</v>
      </c>
      <c r="Q1190" s="18"/>
      <c r="R1190" s="18"/>
      <c r="S1190" s="52"/>
      <c r="T1190" s="22"/>
    </row>
    <row r="1191">
      <c r="A1191" s="23" t="s">
        <v>8543</v>
      </c>
      <c r="B1191" s="58" t="s">
        <v>2384</v>
      </c>
      <c r="C1191" s="41">
        <v>45367.0</v>
      </c>
      <c r="D1191" s="40" t="s">
        <v>8544</v>
      </c>
      <c r="E1191" s="41" t="s">
        <v>8545</v>
      </c>
      <c r="F1191" s="43" t="s">
        <v>8546</v>
      </c>
      <c r="G1191" s="43" t="s">
        <v>8547</v>
      </c>
      <c r="H1191" s="51" t="s">
        <v>62</v>
      </c>
      <c r="I1191" s="25" t="str">
        <f>IFERROR(__xludf.DUMMYFUNCTION("GOOGLETRANSLATE(H1191,""EN"",""ES"")"),"Energía")</f>
        <v>Energía</v>
      </c>
      <c r="J1191" s="26" t="s">
        <v>35</v>
      </c>
      <c r="K1191" s="48">
        <v>0.0</v>
      </c>
      <c r="L1191" s="54"/>
      <c r="M1191" s="31"/>
      <c r="N1191" s="66" t="s">
        <v>8548</v>
      </c>
      <c r="O1191" s="66" t="str">
        <f>IFERROR(__xludf.DUMMYFUNCTION("GOOGLETRANSLATE(N1191,""EN"",""ES"")"),"Las inversiones de famosos no impactan en la percepción corporativa de Repsol.")</f>
        <v>Las inversiones de famosos no impactan en la percepción corporativa de Repsol.</v>
      </c>
      <c r="P1191" s="30">
        <v>0.0</v>
      </c>
      <c r="Q1191" s="31"/>
      <c r="R1191" s="31"/>
      <c r="S1191" s="53" t="s">
        <v>8168</v>
      </c>
      <c r="T1191" s="32" t="s">
        <v>8169</v>
      </c>
    </row>
    <row r="1192">
      <c r="A1192" s="33" t="s">
        <v>8549</v>
      </c>
      <c r="B1192" s="60" t="s">
        <v>374</v>
      </c>
      <c r="C1192" s="41">
        <v>45367.0</v>
      </c>
      <c r="D1192" s="40" t="s">
        <v>8550</v>
      </c>
      <c r="E1192" s="41" t="s">
        <v>8551</v>
      </c>
      <c r="F1192" s="43" t="s">
        <v>8552</v>
      </c>
      <c r="G1192" s="43" t="s">
        <v>8553</v>
      </c>
      <c r="H1192" s="51" t="s">
        <v>55</v>
      </c>
      <c r="I1192" s="15" t="str">
        <f>IFERROR(__xludf.DUMMYFUNCTION("GOOGLETRANSLATE(H1192,""EN"",""ES"")"),"deportes de motor")</f>
        <v>deportes de motor</v>
      </c>
      <c r="J1192" s="16" t="s">
        <v>27</v>
      </c>
      <c r="K1192" s="17">
        <v>0.0</v>
      </c>
      <c r="L1192" s="45"/>
      <c r="M1192" s="18"/>
      <c r="N1192" s="65"/>
      <c r="O1192" s="65"/>
      <c r="P1192" s="20">
        <v>0.0</v>
      </c>
      <c r="Q1192" s="18"/>
      <c r="R1192" s="18"/>
      <c r="S1192" s="52"/>
      <c r="T1192" s="22"/>
    </row>
    <row r="1193">
      <c r="A1193" s="23" t="s">
        <v>8554</v>
      </c>
      <c r="B1193" s="58" t="s">
        <v>8555</v>
      </c>
      <c r="C1193" s="41">
        <v>45367.0</v>
      </c>
      <c r="D1193" s="40" t="s">
        <v>8556</v>
      </c>
      <c r="E1193" s="41" t="s">
        <v>8557</v>
      </c>
      <c r="F1193" s="43" t="s">
        <v>8558</v>
      </c>
      <c r="G1193" s="43" t="s">
        <v>8559</v>
      </c>
      <c r="H1193" s="51" t="s">
        <v>5878</v>
      </c>
      <c r="I1193" s="25" t="str">
        <f>IFERROR(__xludf.DUMMYFUNCTION("GOOGLETRANSLATE(H1193,""EN"",""ES"")"),"Entretenimiento")</f>
        <v>Entretenimiento</v>
      </c>
      <c r="J1193" s="26" t="s">
        <v>27</v>
      </c>
      <c r="K1193" s="17">
        <v>0.0</v>
      </c>
      <c r="L1193" s="54"/>
      <c r="M1193" s="31"/>
      <c r="N1193" s="66"/>
      <c r="O1193" s="66"/>
      <c r="P1193" s="20">
        <v>0.0</v>
      </c>
      <c r="Q1193" s="31"/>
      <c r="R1193" s="31"/>
      <c r="S1193" s="53"/>
      <c r="T1193" s="32"/>
    </row>
    <row r="1194">
      <c r="A1194" s="33" t="s">
        <v>8560</v>
      </c>
      <c r="B1194" s="60" t="s">
        <v>43</v>
      </c>
      <c r="C1194" s="41">
        <v>45367.0</v>
      </c>
      <c r="D1194" s="40" t="s">
        <v>8561</v>
      </c>
      <c r="E1194" s="41" t="s">
        <v>8562</v>
      </c>
      <c r="F1194" s="43" t="s">
        <v>8563</v>
      </c>
      <c r="G1194" s="43" t="s">
        <v>8564</v>
      </c>
      <c r="H1194" s="51" t="s">
        <v>148</v>
      </c>
      <c r="I1194" s="15" t="str">
        <f>IFERROR(__xludf.DUMMYFUNCTION("GOOGLETRANSLATE(H1194,""EN"",""ES"")"),"Gastronomía")</f>
        <v>Gastronomía</v>
      </c>
      <c r="J1194" s="16" t="s">
        <v>27</v>
      </c>
      <c r="K1194" s="17">
        <v>0.0</v>
      </c>
      <c r="L1194" s="45"/>
      <c r="M1194" s="18"/>
      <c r="N1194" s="65"/>
      <c r="O1194" s="65"/>
      <c r="P1194" s="20">
        <v>0.0</v>
      </c>
      <c r="Q1194" s="18"/>
      <c r="R1194" s="18"/>
      <c r="S1194" s="52"/>
      <c r="T1194" s="22"/>
    </row>
    <row r="1195">
      <c r="A1195" s="23" t="s">
        <v>8565</v>
      </c>
      <c r="B1195" s="58" t="s">
        <v>7772</v>
      </c>
      <c r="C1195" s="41">
        <v>45367.0</v>
      </c>
      <c r="D1195" s="40" t="s">
        <v>8566</v>
      </c>
      <c r="E1195" s="41" t="s">
        <v>8567</v>
      </c>
      <c r="F1195" s="43" t="s">
        <v>8568</v>
      </c>
      <c r="G1195" s="43" t="s">
        <v>8569</v>
      </c>
      <c r="H1195" s="51" t="s">
        <v>148</v>
      </c>
      <c r="I1195" s="25" t="str">
        <f>IFERROR(__xludf.DUMMYFUNCTION("GOOGLETRANSLATE(H1195,""EN"",""ES"")"),"Gastronomía")</f>
        <v>Gastronomía</v>
      </c>
      <c r="J1195" s="26" t="s">
        <v>27</v>
      </c>
      <c r="K1195" s="17">
        <v>0.0</v>
      </c>
      <c r="L1195" s="54"/>
      <c r="M1195" s="31"/>
      <c r="N1195" s="66"/>
      <c r="O1195" s="66"/>
      <c r="P1195" s="20">
        <v>0.0</v>
      </c>
      <c r="Q1195" s="31"/>
      <c r="R1195" s="31"/>
      <c r="S1195" s="53"/>
      <c r="T1195" s="32"/>
    </row>
    <row r="1196">
      <c r="A1196" s="33" t="s">
        <v>8570</v>
      </c>
      <c r="B1196" s="60" t="s">
        <v>260</v>
      </c>
      <c r="C1196" s="41">
        <v>45367.0</v>
      </c>
      <c r="D1196" s="40" t="s">
        <v>8571</v>
      </c>
      <c r="E1196" s="41" t="s">
        <v>8572</v>
      </c>
      <c r="F1196" s="43" t="s">
        <v>8573</v>
      </c>
      <c r="G1196" s="43" t="s">
        <v>8574</v>
      </c>
      <c r="H1196" s="51" t="s">
        <v>3985</v>
      </c>
      <c r="I1196" s="15" t="str">
        <f>IFERROR(__xludf.DUMMYFUNCTION("GOOGLETRANSLATE(H1196,""EN"",""ES"")"),"Deportes")</f>
        <v>Deportes</v>
      </c>
      <c r="J1196" s="16" t="s">
        <v>27</v>
      </c>
      <c r="K1196" s="17">
        <v>0.0</v>
      </c>
      <c r="L1196" s="45"/>
      <c r="M1196" s="18"/>
      <c r="N1196" s="65"/>
      <c r="O1196" s="65"/>
      <c r="P1196" s="20">
        <v>0.0</v>
      </c>
      <c r="Q1196" s="18"/>
      <c r="R1196" s="18"/>
      <c r="S1196" s="52"/>
      <c r="T1196" s="22"/>
    </row>
    <row r="1197">
      <c r="A1197" s="23" t="s">
        <v>8575</v>
      </c>
      <c r="B1197" s="58" t="s">
        <v>7701</v>
      </c>
      <c r="C1197" s="41">
        <v>45367.0</v>
      </c>
      <c r="D1197" s="40" t="s">
        <v>8576</v>
      </c>
      <c r="E1197" s="41" t="s">
        <v>8577</v>
      </c>
      <c r="F1197" s="43" t="s">
        <v>8578</v>
      </c>
      <c r="G1197" s="43" t="s">
        <v>8579</v>
      </c>
      <c r="H1197" s="51" t="s">
        <v>661</v>
      </c>
      <c r="I1197" s="25" t="str">
        <f>IFERROR(__xludf.DUMMYFUNCTION("GOOGLETRANSLATE(H1197,""EN"",""ES"")"),"Estrategia empresarial")</f>
        <v>Estrategia empresarial</v>
      </c>
      <c r="J1197" s="26" t="s">
        <v>27</v>
      </c>
      <c r="K1197" s="17">
        <v>0.0</v>
      </c>
      <c r="L1197" s="54"/>
      <c r="M1197" s="31"/>
      <c r="N1197" s="66"/>
      <c r="O1197" s="66"/>
      <c r="P1197" s="20">
        <v>0.0</v>
      </c>
      <c r="Q1197" s="31"/>
      <c r="R1197" s="31"/>
      <c r="S1197" s="53"/>
      <c r="T1197" s="32"/>
    </row>
    <row r="1198">
      <c r="A1198" s="33" t="s">
        <v>8580</v>
      </c>
      <c r="B1198" s="60" t="s">
        <v>260</v>
      </c>
      <c r="C1198" s="41">
        <v>45367.0</v>
      </c>
      <c r="D1198" s="40" t="s">
        <v>8581</v>
      </c>
      <c r="E1198" s="41" t="s">
        <v>8582</v>
      </c>
      <c r="F1198" s="43" t="s">
        <v>8583</v>
      </c>
      <c r="G1198" s="43" t="s">
        <v>8584</v>
      </c>
      <c r="H1198" s="51" t="s">
        <v>3985</v>
      </c>
      <c r="I1198" s="15" t="str">
        <f>IFERROR(__xludf.DUMMYFUNCTION("GOOGLETRANSLATE(H1198,""EN"",""ES"")"),"Deportes")</f>
        <v>Deportes</v>
      </c>
      <c r="J1198" s="16" t="s">
        <v>27</v>
      </c>
      <c r="K1198" s="17">
        <v>0.0</v>
      </c>
      <c r="L1198" s="45"/>
      <c r="M1198" s="18"/>
      <c r="N1198" s="65"/>
      <c r="O1198" s="65"/>
      <c r="P1198" s="20">
        <v>0.0</v>
      </c>
      <c r="Q1198" s="18"/>
      <c r="R1198" s="18"/>
      <c r="S1198" s="52"/>
      <c r="T1198" s="22"/>
    </row>
    <row r="1199">
      <c r="A1199" s="23" t="s">
        <v>8585</v>
      </c>
      <c r="B1199" s="58" t="s">
        <v>43</v>
      </c>
      <c r="C1199" s="41">
        <v>45367.0</v>
      </c>
      <c r="D1199" s="40" t="s">
        <v>8586</v>
      </c>
      <c r="E1199" s="41" t="s">
        <v>8587</v>
      </c>
      <c r="F1199" s="43" t="s">
        <v>8588</v>
      </c>
      <c r="G1199" s="43" t="s">
        <v>8589</v>
      </c>
      <c r="H1199" s="51" t="s">
        <v>148</v>
      </c>
      <c r="I1199" s="25" t="str">
        <f>IFERROR(__xludf.DUMMYFUNCTION("GOOGLETRANSLATE(H1199,""EN"",""ES"")"),"Gastronomía")</f>
        <v>Gastronomía</v>
      </c>
      <c r="J1199" s="26" t="s">
        <v>27</v>
      </c>
      <c r="K1199" s="17">
        <v>0.0</v>
      </c>
      <c r="L1199" s="54"/>
      <c r="M1199" s="31"/>
      <c r="N1199" s="66"/>
      <c r="O1199" s="66"/>
      <c r="P1199" s="20">
        <v>0.0</v>
      </c>
      <c r="Q1199" s="31"/>
      <c r="R1199" s="31"/>
      <c r="S1199" s="53"/>
      <c r="T1199" s="32"/>
    </row>
    <row r="1200">
      <c r="A1200" s="33" t="s">
        <v>8590</v>
      </c>
      <c r="B1200" s="60" t="s">
        <v>1168</v>
      </c>
      <c r="C1200" s="41">
        <v>45368.0</v>
      </c>
      <c r="D1200" s="40" t="s">
        <v>8591</v>
      </c>
      <c r="E1200" s="41" t="s">
        <v>8592</v>
      </c>
      <c r="F1200" s="43" t="s">
        <v>8593</v>
      </c>
      <c r="G1200" s="43" t="s">
        <v>8594</v>
      </c>
      <c r="H1200" s="51" t="s">
        <v>62</v>
      </c>
      <c r="I1200" s="15" t="str">
        <f>IFERROR(__xludf.DUMMYFUNCTION("GOOGLETRANSLATE(H1200,""EN"",""ES"")"),"Energía")</f>
        <v>Energía</v>
      </c>
      <c r="J1200" s="16" t="s">
        <v>35</v>
      </c>
      <c r="K1200" s="48">
        <v>0.7</v>
      </c>
      <c r="L1200" s="51" t="s">
        <v>8595</v>
      </c>
      <c r="M1200" s="34" t="s">
        <v>8596</v>
      </c>
      <c r="N1200" s="65" t="s">
        <v>8597</v>
      </c>
      <c r="O1200" s="65" t="str">
        <f>IFERROR(__xludf.DUMMYFUNCTION("GOOGLETRANSLATE(N1200,""EN"",""ES"")"),"La ampliación de las operaciones refuerza la posición de Repsol en el mercado.")</f>
        <v>La ampliación de las operaciones refuerza la posición de Repsol en el mercado.</v>
      </c>
      <c r="P1200" s="30">
        <v>0.8</v>
      </c>
      <c r="Q1200" s="18" t="str">
        <f>IFERROR(__xludf.DUMMYFUNCTION("GOOGLETRANSLATE(R1200,""ES"",""EN"")"),"new plant, biofuels, used oil")</f>
        <v>new plant, biofuels, used oil</v>
      </c>
      <c r="R1200" s="34" t="s">
        <v>8598</v>
      </c>
      <c r="S1200" s="52" t="s">
        <v>8599</v>
      </c>
      <c r="T1200" s="22" t="s">
        <v>8600</v>
      </c>
    </row>
    <row r="1201">
      <c r="A1201" s="23" t="s">
        <v>8601</v>
      </c>
      <c r="B1201" s="58" t="s">
        <v>6906</v>
      </c>
      <c r="C1201" s="41">
        <v>45368.0</v>
      </c>
      <c r="D1201" s="40" t="s">
        <v>8602</v>
      </c>
      <c r="E1201" s="41" t="s">
        <v>8603</v>
      </c>
      <c r="F1201" s="43" t="s">
        <v>8604</v>
      </c>
      <c r="G1201" s="43" t="s">
        <v>8605</v>
      </c>
      <c r="H1201" s="51" t="s">
        <v>148</v>
      </c>
      <c r="I1201" s="25" t="str">
        <f>IFERROR(__xludf.DUMMYFUNCTION("GOOGLETRANSLATE(H1201,""EN"",""ES"")"),"Gastronomía")</f>
        <v>Gastronomía</v>
      </c>
      <c r="J1201" s="26" t="s">
        <v>27</v>
      </c>
      <c r="K1201" s="17">
        <v>0.0</v>
      </c>
      <c r="L1201" s="54"/>
      <c r="M1201" s="31"/>
      <c r="N1201" s="66"/>
      <c r="O1201" s="66"/>
      <c r="P1201" s="20">
        <v>0.0</v>
      </c>
      <c r="Q1201" s="31"/>
      <c r="R1201" s="31"/>
      <c r="S1201" s="53"/>
      <c r="T1201" s="32"/>
    </row>
    <row r="1202">
      <c r="A1202" s="33" t="s">
        <v>8606</v>
      </c>
      <c r="B1202" s="60" t="s">
        <v>1093</v>
      </c>
      <c r="C1202" s="41">
        <v>45368.0</v>
      </c>
      <c r="D1202" s="40" t="s">
        <v>8607</v>
      </c>
      <c r="E1202" s="41" t="s">
        <v>8608</v>
      </c>
      <c r="F1202" s="43" t="s">
        <v>8609</v>
      </c>
      <c r="G1202" s="43" t="s">
        <v>8610</v>
      </c>
      <c r="H1202" s="51" t="s">
        <v>130</v>
      </c>
      <c r="I1202" s="15" t="str">
        <f>IFERROR(__xludf.DUMMYFUNCTION("GOOGLETRANSLATE(H1202,""EN"",""ES"")"),"Sostenibilidad")</f>
        <v>Sostenibilidad</v>
      </c>
      <c r="J1202" s="16" t="s">
        <v>35</v>
      </c>
      <c r="K1202" s="48">
        <v>0.8</v>
      </c>
      <c r="L1202" s="51" t="s">
        <v>8251</v>
      </c>
      <c r="M1202" s="34" t="s">
        <v>8252</v>
      </c>
      <c r="N1202" s="65" t="s">
        <v>8611</v>
      </c>
      <c r="O1202" s="65" t="str">
        <f>IFERROR(__xludf.DUMMYFUNCTION("GOOGLETRANSLATE(N1202,""EN"",""ES"")"),"La ampliación de las estaciones de combustibles renovables respalda el compromiso medioambiental de Repsol.")</f>
        <v>La ampliación de las estaciones de combustibles renovables respalda el compromiso medioambiental de Repsol.</v>
      </c>
      <c r="P1202" s="30">
        <v>0.7</v>
      </c>
      <c r="Q1202" s="18" t="str">
        <f>IFERROR(__xludf.DUMMYFUNCTION("GOOGLETRANSLATE(R1202,""ES"",""EN"")"),"renewable diesel, agricultural waste")</f>
        <v>renewable diesel, agricultural waste</v>
      </c>
      <c r="R1202" s="34" t="s">
        <v>8612</v>
      </c>
      <c r="S1202" s="52" t="s">
        <v>8255</v>
      </c>
      <c r="T1202" s="22" t="s">
        <v>8256</v>
      </c>
    </row>
    <row r="1203">
      <c r="A1203" s="23" t="s">
        <v>8613</v>
      </c>
      <c r="B1203" s="58" t="s">
        <v>1568</v>
      </c>
      <c r="C1203" s="41">
        <v>45368.0</v>
      </c>
      <c r="D1203" s="40" t="s">
        <v>8614</v>
      </c>
      <c r="E1203" s="41" t="s">
        <v>8615</v>
      </c>
      <c r="F1203" s="43" t="s">
        <v>8616</v>
      </c>
      <c r="G1203" s="43" t="s">
        <v>8617</v>
      </c>
      <c r="H1203" s="51" t="s">
        <v>62</v>
      </c>
      <c r="I1203" s="25" t="str">
        <f>IFERROR(__xludf.DUMMYFUNCTION("GOOGLETRANSLATE(H1203,""EN"",""ES"")"),"Energía")</f>
        <v>Energía</v>
      </c>
      <c r="J1203" s="26" t="s">
        <v>35</v>
      </c>
      <c r="K1203" s="48">
        <v>0.0</v>
      </c>
      <c r="L1203" s="54"/>
      <c r="M1203" s="31"/>
      <c r="N1203" s="66" t="s">
        <v>8618</v>
      </c>
      <c r="O1203" s="66" t="str">
        <f>IFERROR(__xludf.DUMMYFUNCTION("GOOGLETRANSLATE(N1203,""EN"",""ES"")"),"Las discusiones generales sobre energía no impactan el negocio de Repsol.")</f>
        <v>Las discusiones generales sobre energía no impactan el negocio de Repsol.</v>
      </c>
      <c r="P1203" s="30">
        <v>0.5</v>
      </c>
      <c r="Q1203" s="31" t="str">
        <f>IFERROR(__xludf.DUMMYFUNCTION("GOOGLETRANSLATE(R1203,""ES"",""EN"")"),"transform Repsol, optimism")</f>
        <v>transform Repsol, optimism</v>
      </c>
      <c r="R1203" s="28" t="s">
        <v>8619</v>
      </c>
      <c r="S1203" s="53" t="s">
        <v>8620</v>
      </c>
      <c r="T1203" s="32" t="s">
        <v>8621</v>
      </c>
    </row>
    <row r="1204">
      <c r="A1204" s="33" t="s">
        <v>8622</v>
      </c>
      <c r="B1204" s="60" t="s">
        <v>2952</v>
      </c>
      <c r="C1204" s="41">
        <v>45368.0</v>
      </c>
      <c r="D1204" s="40" t="s">
        <v>8623</v>
      </c>
      <c r="E1204" s="41" t="s">
        <v>8624</v>
      </c>
      <c r="F1204" s="43" t="s">
        <v>8625</v>
      </c>
      <c r="G1204" s="43" t="s">
        <v>8626</v>
      </c>
      <c r="H1204" s="51" t="s">
        <v>148</v>
      </c>
      <c r="I1204" s="15" t="str">
        <f>IFERROR(__xludf.DUMMYFUNCTION("GOOGLETRANSLATE(H1204,""EN"",""ES"")"),"Gastronomía")</f>
        <v>Gastronomía</v>
      </c>
      <c r="J1204" s="16" t="s">
        <v>27</v>
      </c>
      <c r="K1204" s="17">
        <v>0.0</v>
      </c>
      <c r="L1204" s="45"/>
      <c r="M1204" s="18"/>
      <c r="N1204" s="65"/>
      <c r="O1204" s="65"/>
      <c r="P1204" s="20">
        <v>0.0</v>
      </c>
      <c r="Q1204" s="18"/>
      <c r="R1204" s="18"/>
      <c r="S1204" s="52"/>
      <c r="T1204" s="22"/>
    </row>
    <row r="1205">
      <c r="A1205" s="23" t="s">
        <v>8627</v>
      </c>
      <c r="B1205" s="58" t="s">
        <v>2242</v>
      </c>
      <c r="C1205" s="41">
        <v>45368.0</v>
      </c>
      <c r="D1205" s="40" t="s">
        <v>8628</v>
      </c>
      <c r="E1205" s="41" t="s">
        <v>8629</v>
      </c>
      <c r="F1205" s="43" t="s">
        <v>8630</v>
      </c>
      <c r="G1205" s="43" t="s">
        <v>8631</v>
      </c>
      <c r="H1205" s="51" t="s">
        <v>148</v>
      </c>
      <c r="I1205" s="25" t="str">
        <f>IFERROR(__xludf.DUMMYFUNCTION("GOOGLETRANSLATE(H1205,""EN"",""ES"")"),"Gastronomía")</f>
        <v>Gastronomía</v>
      </c>
      <c r="J1205" s="26" t="s">
        <v>27</v>
      </c>
      <c r="K1205" s="17">
        <v>0.0</v>
      </c>
      <c r="L1205" s="54"/>
      <c r="M1205" s="31"/>
      <c r="N1205" s="66"/>
      <c r="O1205" s="66"/>
      <c r="P1205" s="20">
        <v>0.0</v>
      </c>
      <c r="Q1205" s="31"/>
      <c r="R1205" s="31"/>
      <c r="S1205" s="53"/>
      <c r="T1205" s="32"/>
    </row>
    <row r="1206">
      <c r="A1206" s="33" t="s">
        <v>8632</v>
      </c>
      <c r="B1206" s="60" t="s">
        <v>8633</v>
      </c>
      <c r="C1206" s="41">
        <v>45368.0</v>
      </c>
      <c r="D1206" s="40" t="s">
        <v>8634</v>
      </c>
      <c r="E1206" s="41" t="s">
        <v>8635</v>
      </c>
      <c r="F1206" s="43" t="s">
        <v>8636</v>
      </c>
      <c r="G1206" s="43" t="s">
        <v>8637</v>
      </c>
      <c r="H1206" s="51" t="s">
        <v>148</v>
      </c>
      <c r="I1206" s="15" t="str">
        <f>IFERROR(__xludf.DUMMYFUNCTION("GOOGLETRANSLATE(H1206,""EN"",""ES"")"),"Gastronomía")</f>
        <v>Gastronomía</v>
      </c>
      <c r="J1206" s="16" t="s">
        <v>27</v>
      </c>
      <c r="K1206" s="17">
        <v>0.0</v>
      </c>
      <c r="L1206" s="45"/>
      <c r="M1206" s="18"/>
      <c r="N1206" s="65"/>
      <c r="O1206" s="65"/>
      <c r="P1206" s="20">
        <v>0.0</v>
      </c>
      <c r="Q1206" s="18"/>
      <c r="R1206" s="18"/>
      <c r="S1206" s="52"/>
      <c r="T1206" s="22"/>
    </row>
    <row r="1207">
      <c r="A1207" s="23" t="s">
        <v>8638</v>
      </c>
      <c r="B1207" s="58" t="s">
        <v>43</v>
      </c>
      <c r="C1207" s="41">
        <v>45368.0</v>
      </c>
      <c r="D1207" s="40" t="s">
        <v>8639</v>
      </c>
      <c r="E1207" s="41" t="s">
        <v>8640</v>
      </c>
      <c r="F1207" s="43" t="s">
        <v>8641</v>
      </c>
      <c r="G1207" s="43" t="s">
        <v>8642</v>
      </c>
      <c r="H1207" s="51" t="s">
        <v>148</v>
      </c>
      <c r="I1207" s="25" t="str">
        <f>IFERROR(__xludf.DUMMYFUNCTION("GOOGLETRANSLATE(H1207,""EN"",""ES"")"),"Gastronomía")</f>
        <v>Gastronomía</v>
      </c>
      <c r="J1207" s="26" t="s">
        <v>27</v>
      </c>
      <c r="K1207" s="17">
        <v>0.0</v>
      </c>
      <c r="L1207" s="54"/>
      <c r="M1207" s="31"/>
      <c r="N1207" s="66"/>
      <c r="O1207" s="66"/>
      <c r="P1207" s="20">
        <v>0.0</v>
      </c>
      <c r="Q1207" s="31"/>
      <c r="R1207" s="31"/>
      <c r="S1207" s="53"/>
      <c r="T1207" s="32"/>
    </row>
    <row r="1208">
      <c r="A1208" s="33" t="s">
        <v>8643</v>
      </c>
      <c r="B1208" s="60" t="s">
        <v>8555</v>
      </c>
      <c r="C1208" s="41">
        <v>45368.0</v>
      </c>
      <c r="D1208" s="40" t="s">
        <v>8644</v>
      </c>
      <c r="E1208" s="41" t="s">
        <v>8645</v>
      </c>
      <c r="F1208" s="43" t="s">
        <v>8646</v>
      </c>
      <c r="G1208" s="43" t="s">
        <v>8647</v>
      </c>
      <c r="H1208" s="51" t="s">
        <v>55</v>
      </c>
      <c r="I1208" s="15" t="str">
        <f>IFERROR(__xludf.DUMMYFUNCTION("GOOGLETRANSLATE(H1208,""EN"",""ES"")"),"deportes de motor")</f>
        <v>deportes de motor</v>
      </c>
      <c r="J1208" s="16" t="s">
        <v>27</v>
      </c>
      <c r="K1208" s="17">
        <v>0.0</v>
      </c>
      <c r="L1208" s="45"/>
      <c r="M1208" s="18"/>
      <c r="N1208" s="65"/>
      <c r="O1208" s="65"/>
      <c r="P1208" s="20">
        <v>0.0</v>
      </c>
      <c r="Q1208" s="18"/>
      <c r="R1208" s="18"/>
      <c r="S1208" s="52"/>
      <c r="T1208" s="22"/>
    </row>
    <row r="1209">
      <c r="A1209" s="23" t="s">
        <v>8648</v>
      </c>
      <c r="B1209" s="58" t="s">
        <v>6776</v>
      </c>
      <c r="C1209" s="41">
        <v>45368.0</v>
      </c>
      <c r="D1209" s="40" t="s">
        <v>8649</v>
      </c>
      <c r="E1209" s="41" t="s">
        <v>8650</v>
      </c>
      <c r="F1209" s="43" t="s">
        <v>8651</v>
      </c>
      <c r="G1209" s="43" t="s">
        <v>8652</v>
      </c>
      <c r="H1209" s="51" t="s">
        <v>148</v>
      </c>
      <c r="I1209" s="25" t="str">
        <f>IFERROR(__xludf.DUMMYFUNCTION("GOOGLETRANSLATE(H1209,""EN"",""ES"")"),"Gastronomía")</f>
        <v>Gastronomía</v>
      </c>
      <c r="J1209" s="26" t="s">
        <v>27</v>
      </c>
      <c r="K1209" s="17">
        <v>0.0</v>
      </c>
      <c r="L1209" s="54"/>
      <c r="M1209" s="31"/>
      <c r="N1209" s="66"/>
      <c r="O1209" s="66"/>
      <c r="P1209" s="20">
        <v>0.0</v>
      </c>
      <c r="Q1209" s="31"/>
      <c r="R1209" s="31"/>
      <c r="S1209" s="53"/>
      <c r="T1209" s="32"/>
    </row>
    <row r="1210">
      <c r="A1210" s="33" t="s">
        <v>8653</v>
      </c>
      <c r="B1210" s="60" t="s">
        <v>74</v>
      </c>
      <c r="C1210" s="41">
        <v>45369.0</v>
      </c>
      <c r="D1210" s="40" t="s">
        <v>8654</v>
      </c>
      <c r="E1210" s="41" t="s">
        <v>8655</v>
      </c>
      <c r="F1210" s="43" t="s">
        <v>8656</v>
      </c>
      <c r="G1210" s="43" t="s">
        <v>8657</v>
      </c>
      <c r="H1210" s="51" t="s">
        <v>408</v>
      </c>
      <c r="I1210" s="15" t="str">
        <f>IFERROR(__xludf.DUMMYFUNCTION("GOOGLETRANSLATE(H1210,""EN"",""ES"")"),"Legal")</f>
        <v>Legal</v>
      </c>
      <c r="J1210" s="16" t="s">
        <v>35</v>
      </c>
      <c r="K1210" s="48">
        <v>-0.7</v>
      </c>
      <c r="L1210" s="51" t="s">
        <v>8658</v>
      </c>
      <c r="M1210" s="18" t="s">
        <v>8659</v>
      </c>
      <c r="N1210" s="65" t="s">
        <v>8660</v>
      </c>
      <c r="O1210" s="65" t="str">
        <f>IFERROR(__xludf.DUMMYFUNCTION("GOOGLETRANSLATE(N1210,""EN"",""ES"")"),"Los conflictos legales pueden impactar negativamente en la reputación de Repsol.")</f>
        <v>Los conflictos legales pueden impactar negativamente en la reputación de Repsol.</v>
      </c>
      <c r="P1210" s="30">
        <v>-0.8</v>
      </c>
      <c r="Q1210" s="18" t="str">
        <f>IFERROR(__xludf.DUMMYFUNCTION("GOOGLETRANSLATE(R1210,""ES"",""EN"")"),"unfair competition, greenwashing")</f>
        <v>unfair competition, greenwashing</v>
      </c>
      <c r="R1210" s="34" t="s">
        <v>8661</v>
      </c>
      <c r="S1210" s="52" t="s">
        <v>8662</v>
      </c>
      <c r="T1210" s="22" t="s">
        <v>8663</v>
      </c>
    </row>
    <row r="1211">
      <c r="A1211" s="23" t="s">
        <v>8664</v>
      </c>
      <c r="B1211" s="58" t="s">
        <v>3992</v>
      </c>
      <c r="C1211" s="41">
        <v>45369.0</v>
      </c>
      <c r="D1211" s="40" t="s">
        <v>8665</v>
      </c>
      <c r="E1211" s="41" t="s">
        <v>8666</v>
      </c>
      <c r="F1211" s="43" t="s">
        <v>8667</v>
      </c>
      <c r="G1211" s="43" t="s">
        <v>8668</v>
      </c>
      <c r="H1211" s="51" t="s">
        <v>408</v>
      </c>
      <c r="I1211" s="25" t="str">
        <f>IFERROR(__xludf.DUMMYFUNCTION("GOOGLETRANSLATE(H1211,""EN"",""ES"")"),"Legal")</f>
        <v>Legal</v>
      </c>
      <c r="J1211" s="26" t="s">
        <v>35</v>
      </c>
      <c r="K1211" s="48">
        <v>-0.8</v>
      </c>
      <c r="L1211" s="49" t="s">
        <v>8669</v>
      </c>
      <c r="M1211" s="28" t="s">
        <v>8670</v>
      </c>
      <c r="N1211" s="66" t="s">
        <v>8671</v>
      </c>
      <c r="O1211" s="66" t="str">
        <f>IFERROR(__xludf.DUMMYFUNCTION("GOOGLETRANSLATE(N1211,""EN"",""ES"")"),"Las acusaciones de afirmaciones medioambientales engañosas pueden dañar la credibilidad de Repsol.")</f>
        <v>Las acusaciones de afirmaciones medioambientales engañosas pueden dañar la credibilidad de Repsol.</v>
      </c>
      <c r="P1211" s="30">
        <v>-0.8</v>
      </c>
      <c r="Q1211" s="31" t="str">
        <f>IFERROR(__xludf.DUMMYFUNCTION("GOOGLETRANSLATE(R1211,""ES"",""EN"")"),"greenwashing, false advertising")</f>
        <v>greenwashing, false advertising</v>
      </c>
      <c r="R1211" s="28" t="s">
        <v>8672</v>
      </c>
      <c r="S1211" s="53" t="s">
        <v>8662</v>
      </c>
      <c r="T1211" s="32" t="s">
        <v>8663</v>
      </c>
    </row>
    <row r="1212">
      <c r="A1212" s="33" t="s">
        <v>8673</v>
      </c>
      <c r="B1212" s="60" t="s">
        <v>1142</v>
      </c>
      <c r="C1212" s="41">
        <v>45369.0</v>
      </c>
      <c r="D1212" s="40" t="s">
        <v>8674</v>
      </c>
      <c r="E1212" s="41" t="s">
        <v>8675</v>
      </c>
      <c r="F1212" s="43" t="s">
        <v>8676</v>
      </c>
      <c r="G1212" s="43" t="s">
        <v>8677</v>
      </c>
      <c r="H1212" s="51" t="s">
        <v>408</v>
      </c>
      <c r="I1212" s="15" t="str">
        <f>IFERROR(__xludf.DUMMYFUNCTION("GOOGLETRANSLATE(H1212,""EN"",""ES"")"),"Legal")</f>
        <v>Legal</v>
      </c>
      <c r="J1212" s="16" t="s">
        <v>35</v>
      </c>
      <c r="K1212" s="48">
        <v>-0.7</v>
      </c>
      <c r="L1212" s="51" t="s">
        <v>8678</v>
      </c>
      <c r="M1212" s="34" t="s">
        <v>8679</v>
      </c>
      <c r="N1212" s="65" t="s">
        <v>8680</v>
      </c>
      <c r="O1212" s="65" t="str">
        <f>IFERROR(__xludf.DUMMYFUNCTION("GOOGLETRANSLATE(N1212,""EN"",""ES"")"),"Los conflictos legales por publicidad pueden dañar la imagen pública de Repsol.")</f>
        <v>Los conflictos legales por publicidad pueden dañar la imagen pública de Repsol.</v>
      </c>
      <c r="P1212" s="30">
        <v>-0.8</v>
      </c>
      <c r="Q1212" s="18" t="str">
        <f>IFERROR(__xludf.DUMMYFUNCTION("GOOGLETRANSLATE(R1212,""ES"",""EN"")"),"unfair competition, greenwashing")</f>
        <v>unfair competition, greenwashing</v>
      </c>
      <c r="R1212" s="34" t="s">
        <v>8661</v>
      </c>
      <c r="S1212" s="52" t="s">
        <v>8662</v>
      </c>
      <c r="T1212" s="22" t="s">
        <v>8663</v>
      </c>
    </row>
    <row r="1213">
      <c r="A1213" s="23" t="s">
        <v>8681</v>
      </c>
      <c r="B1213" s="58" t="s">
        <v>2527</v>
      </c>
      <c r="C1213" s="41">
        <v>45369.0</v>
      </c>
      <c r="D1213" s="40" t="s">
        <v>8682</v>
      </c>
      <c r="E1213" s="41" t="s">
        <v>8683</v>
      </c>
      <c r="F1213" s="43" t="s">
        <v>8684</v>
      </c>
      <c r="G1213" s="43" t="s">
        <v>8685</v>
      </c>
      <c r="H1213" s="51" t="s">
        <v>130</v>
      </c>
      <c r="I1213" s="25" t="str">
        <f>IFERROR(__xludf.DUMMYFUNCTION("GOOGLETRANSLATE(H1213,""EN"",""ES"")"),"Sostenibilidad")</f>
        <v>Sostenibilidad</v>
      </c>
      <c r="J1213" s="26" t="s">
        <v>35</v>
      </c>
      <c r="K1213" s="48">
        <v>0.8</v>
      </c>
      <c r="L1213" s="49" t="s">
        <v>8686</v>
      </c>
      <c r="M1213" s="28" t="s">
        <v>8687</v>
      </c>
      <c r="N1213" s="66" t="s">
        <v>8688</v>
      </c>
      <c r="O1213" s="66" t="str">
        <f>IFERROR(__xludf.DUMMYFUNCTION("GOOGLETRANSLATE(N1213,""EN"",""ES"")"),"La ampliación de las estaciones de combustibles renovables refuerza el esfuerzo medioambiental de Repsol.")</f>
        <v>La ampliación de las estaciones de combustibles renovables refuerza el esfuerzo medioambiental de Repsol.</v>
      </c>
      <c r="P1213" s="30">
        <v>0.7</v>
      </c>
      <c r="Q1213" s="31" t="str">
        <f>IFERROR(__xludf.DUMMYFUNCTION("GOOGLETRANSLATE(R1213,""ES"",""EN"")"),"renewable fuel, gas stations")</f>
        <v>renewable fuel, gas stations</v>
      </c>
      <c r="R1213" s="28" t="s">
        <v>8254</v>
      </c>
      <c r="S1213" s="53" t="s">
        <v>8255</v>
      </c>
      <c r="T1213" s="32" t="s">
        <v>8256</v>
      </c>
    </row>
    <row r="1214">
      <c r="A1214" s="33" t="s">
        <v>8689</v>
      </c>
      <c r="B1214" s="60" t="s">
        <v>8690</v>
      </c>
      <c r="C1214" s="41">
        <v>45369.0</v>
      </c>
      <c r="D1214" s="40" t="s">
        <v>8691</v>
      </c>
      <c r="E1214" s="41" t="s">
        <v>8692</v>
      </c>
      <c r="F1214" s="43" t="s">
        <v>8693</v>
      </c>
      <c r="G1214" s="43" t="s">
        <v>8694</v>
      </c>
      <c r="H1214" s="51" t="s">
        <v>661</v>
      </c>
      <c r="I1214" s="15" t="str">
        <f>IFERROR(__xludf.DUMMYFUNCTION("GOOGLETRANSLATE(H1214,""EN"",""ES"")"),"Estrategia empresarial")</f>
        <v>Estrategia empresarial</v>
      </c>
      <c r="J1214" s="16" t="s">
        <v>35</v>
      </c>
      <c r="K1214" s="48">
        <v>0.7</v>
      </c>
      <c r="L1214" s="51" t="s">
        <v>8492</v>
      </c>
      <c r="M1214" s="34" t="s">
        <v>8493</v>
      </c>
      <c r="N1214" s="65" t="s">
        <v>8695</v>
      </c>
      <c r="O1214" s="65" t="str">
        <f>IFERROR(__xludf.DUMMYFUNCTION("GOOGLETRANSLATE(N1214,""EN"",""ES"")"),"El reconocimiento como empleador de primer nivel mejora la reputación corporativa de Repsol.")</f>
        <v>El reconocimiento como empleador de primer nivel mejora la reputación corporativa de Repsol.</v>
      </c>
      <c r="P1214" s="30">
        <v>0.7</v>
      </c>
      <c r="Q1214" s="18" t="str">
        <f>IFERROR(__xludf.DUMMYFUNCTION("GOOGLETRANSLATE(R1214,""ES"",""EN"")"),"best company, work")</f>
        <v>best company, work</v>
      </c>
      <c r="R1214" s="34" t="s">
        <v>8696</v>
      </c>
      <c r="S1214" s="52" t="s">
        <v>8496</v>
      </c>
      <c r="T1214" s="22" t="s">
        <v>8497</v>
      </c>
    </row>
    <row r="1215">
      <c r="A1215" s="23" t="s">
        <v>8697</v>
      </c>
      <c r="B1215" s="58" t="s">
        <v>21</v>
      </c>
      <c r="C1215" s="41">
        <v>45369.0</v>
      </c>
      <c r="D1215" s="40" t="s">
        <v>8698</v>
      </c>
      <c r="E1215" s="41" t="s">
        <v>8699</v>
      </c>
      <c r="F1215" s="43" t="s">
        <v>8700</v>
      </c>
      <c r="G1215" s="43" t="s">
        <v>8701</v>
      </c>
      <c r="H1215" s="51" t="s">
        <v>148</v>
      </c>
      <c r="I1215" s="25" t="str">
        <f>IFERROR(__xludf.DUMMYFUNCTION("GOOGLETRANSLATE(H1215,""EN"",""ES"")"),"Gastronomía")</f>
        <v>Gastronomía</v>
      </c>
      <c r="J1215" s="26" t="s">
        <v>27</v>
      </c>
      <c r="K1215" s="17">
        <v>0.0</v>
      </c>
      <c r="L1215" s="54"/>
      <c r="M1215" s="31"/>
      <c r="N1215" s="66"/>
      <c r="O1215" s="66"/>
      <c r="P1215" s="20">
        <v>0.0</v>
      </c>
      <c r="Q1215" s="31"/>
      <c r="R1215" s="31"/>
      <c r="S1215" s="53"/>
      <c r="T1215" s="32"/>
    </row>
    <row r="1216">
      <c r="A1216" s="33" t="s">
        <v>8702</v>
      </c>
      <c r="B1216" s="60" t="s">
        <v>163</v>
      </c>
      <c r="C1216" s="41">
        <v>45369.0</v>
      </c>
      <c r="D1216" s="40" t="s">
        <v>8703</v>
      </c>
      <c r="E1216" s="41" t="s">
        <v>8704</v>
      </c>
      <c r="F1216" s="43" t="s">
        <v>8705</v>
      </c>
      <c r="G1216" s="43" t="s">
        <v>8706</v>
      </c>
      <c r="H1216" s="51" t="s">
        <v>661</v>
      </c>
      <c r="I1216" s="15" t="str">
        <f>IFERROR(__xludf.DUMMYFUNCTION("GOOGLETRANSLATE(H1216,""EN"",""ES"")"),"Estrategia empresarial")</f>
        <v>Estrategia empresarial</v>
      </c>
      <c r="J1216" s="16" t="s">
        <v>27</v>
      </c>
      <c r="K1216" s="17">
        <v>0.0</v>
      </c>
      <c r="L1216" s="45"/>
      <c r="M1216" s="18"/>
      <c r="N1216" s="65"/>
      <c r="O1216" s="65"/>
      <c r="P1216" s="20">
        <v>0.0</v>
      </c>
      <c r="Q1216" s="18"/>
      <c r="R1216" s="18"/>
      <c r="S1216" s="52"/>
      <c r="T1216" s="22"/>
    </row>
    <row r="1217">
      <c r="A1217" s="23" t="s">
        <v>8707</v>
      </c>
      <c r="B1217" s="58" t="s">
        <v>2696</v>
      </c>
      <c r="C1217" s="41">
        <v>45369.0</v>
      </c>
      <c r="D1217" s="40" t="s">
        <v>8708</v>
      </c>
      <c r="E1217" s="41" t="s">
        <v>8709</v>
      </c>
      <c r="F1217" s="43" t="s">
        <v>8710</v>
      </c>
      <c r="G1217" s="43" t="s">
        <v>8711</v>
      </c>
      <c r="H1217" s="51" t="s">
        <v>408</v>
      </c>
      <c r="I1217" s="25" t="str">
        <f>IFERROR(__xludf.DUMMYFUNCTION("GOOGLETRANSLATE(H1217,""EN"",""ES"")"),"Legal")</f>
        <v>Legal</v>
      </c>
      <c r="J1217" s="26" t="s">
        <v>35</v>
      </c>
      <c r="K1217" s="48">
        <v>-0.8</v>
      </c>
      <c r="L1217" s="49" t="s">
        <v>8712</v>
      </c>
      <c r="M1217" s="28" t="s">
        <v>8713</v>
      </c>
      <c r="N1217" s="66" t="s">
        <v>8714</v>
      </c>
      <c r="O1217" s="66" t="str">
        <f>IFERROR(__xludf.DUMMYFUNCTION("GOOGLETRANSLATE(N1217,""EN"",""ES"")"),"Los conflictos legales con competidores pueden dañar la reputación corporativa de Repsol.")</f>
        <v>Los conflictos legales con competidores pueden dañar la reputación corporativa de Repsol.</v>
      </c>
      <c r="P1217" s="30">
        <v>-0.8</v>
      </c>
      <c r="Q1217" s="31" t="str">
        <f>IFERROR(__xludf.DUMMYFUNCTION("GOOGLETRANSLATE(R1217,""ES"",""EN"")"),"unfair competition, false advertising")</f>
        <v>unfair competition, false advertising</v>
      </c>
      <c r="R1217" s="28" t="s">
        <v>8715</v>
      </c>
      <c r="S1217" s="53" t="s">
        <v>8662</v>
      </c>
      <c r="T1217" s="32" t="s">
        <v>8663</v>
      </c>
    </row>
    <row r="1218">
      <c r="A1218" s="33" t="s">
        <v>8716</v>
      </c>
      <c r="B1218" s="60" t="s">
        <v>8717</v>
      </c>
      <c r="C1218" s="41">
        <v>45369.0</v>
      </c>
      <c r="D1218" s="40" t="s">
        <v>8718</v>
      </c>
      <c r="E1218" s="41" t="s">
        <v>8719</v>
      </c>
      <c r="F1218" s="43" t="s">
        <v>8720</v>
      </c>
      <c r="G1218" s="43" t="s">
        <v>8721</v>
      </c>
      <c r="H1218" s="51" t="s">
        <v>661</v>
      </c>
      <c r="I1218" s="15" t="str">
        <f>IFERROR(__xludf.DUMMYFUNCTION("GOOGLETRANSLATE(H1218,""EN"",""ES"")"),"Estrategia empresarial")</f>
        <v>Estrategia empresarial</v>
      </c>
      <c r="J1218" s="16" t="s">
        <v>35</v>
      </c>
      <c r="K1218" s="48">
        <v>0.7</v>
      </c>
      <c r="L1218" s="51" t="s">
        <v>8492</v>
      </c>
      <c r="M1218" s="34" t="s">
        <v>8493</v>
      </c>
      <c r="N1218" s="65" t="s">
        <v>8722</v>
      </c>
      <c r="O1218" s="65" t="str">
        <f>IFERROR(__xludf.DUMMYFUNCTION("GOOGLETRANSLATE(N1218,""EN"",""ES"")"),"Los altos rankings en reputación empresarial mejoran la percepción corporativa de Repsol.")</f>
        <v>Los altos rankings en reputación empresarial mejoran la percepción corporativa de Repsol.</v>
      </c>
      <c r="P1218" s="30">
        <v>0.7</v>
      </c>
      <c r="Q1218" s="18" t="str">
        <f>IFERROR(__xludf.DUMMYFUNCTION("GOOGLETRANSLATE(R1218,""ES"",""EN"")"),"attract talent, retain")</f>
        <v>attract talent, retain</v>
      </c>
      <c r="R1218" s="34" t="s">
        <v>8723</v>
      </c>
      <c r="S1218" s="52" t="s">
        <v>8496</v>
      </c>
      <c r="T1218" s="22" t="s">
        <v>8497</v>
      </c>
    </row>
    <row r="1219">
      <c r="A1219" s="23" t="s">
        <v>8724</v>
      </c>
      <c r="B1219" s="58" t="s">
        <v>163</v>
      </c>
      <c r="C1219" s="41">
        <v>45369.0</v>
      </c>
      <c r="D1219" s="40" t="s">
        <v>8725</v>
      </c>
      <c r="E1219" s="41" t="s">
        <v>8726</v>
      </c>
      <c r="F1219" s="43" t="s">
        <v>8727</v>
      </c>
      <c r="G1219" s="43" t="s">
        <v>8728</v>
      </c>
      <c r="H1219" s="51" t="s">
        <v>55</v>
      </c>
      <c r="I1219" s="25" t="str">
        <f>IFERROR(__xludf.DUMMYFUNCTION("GOOGLETRANSLATE(H1219,""EN"",""ES"")"),"deportes de motor")</f>
        <v>deportes de motor</v>
      </c>
      <c r="J1219" s="26" t="s">
        <v>27</v>
      </c>
      <c r="K1219" s="17">
        <v>0.0</v>
      </c>
      <c r="L1219" s="54"/>
      <c r="M1219" s="31"/>
      <c r="N1219" s="66"/>
      <c r="O1219" s="66"/>
      <c r="P1219" s="20">
        <v>0.0</v>
      </c>
      <c r="Q1219" s="31"/>
      <c r="R1219" s="31"/>
      <c r="S1219" s="53"/>
      <c r="T1219" s="32"/>
    </row>
    <row r="1220">
      <c r="A1220" s="33" t="s">
        <v>8729</v>
      </c>
      <c r="B1220" s="60" t="s">
        <v>21</v>
      </c>
      <c r="C1220" s="41">
        <v>45369.0</v>
      </c>
      <c r="D1220" s="40" t="s">
        <v>8730</v>
      </c>
      <c r="E1220" s="41" t="s">
        <v>8731</v>
      </c>
      <c r="F1220" s="43" t="s">
        <v>8732</v>
      </c>
      <c r="G1220" s="43" t="s">
        <v>8733</v>
      </c>
      <c r="H1220" s="51" t="s">
        <v>969</v>
      </c>
      <c r="I1220" s="15" t="str">
        <f>IFERROR(__xludf.DUMMYFUNCTION("GOOGLETRANSLATE(H1220,""EN"",""ES"")"),"Turismo")</f>
        <v>Turismo</v>
      </c>
      <c r="J1220" s="16" t="s">
        <v>27</v>
      </c>
      <c r="K1220" s="17">
        <v>0.0</v>
      </c>
      <c r="L1220" s="45"/>
      <c r="M1220" s="18"/>
      <c r="N1220" s="65"/>
      <c r="O1220" s="65"/>
      <c r="P1220" s="20">
        <v>0.0</v>
      </c>
      <c r="Q1220" s="18"/>
      <c r="R1220" s="18"/>
      <c r="S1220" s="52"/>
      <c r="T1220" s="22"/>
    </row>
    <row r="1221">
      <c r="A1221" s="23" t="s">
        <v>8734</v>
      </c>
      <c r="B1221" s="58" t="s">
        <v>85</v>
      </c>
      <c r="C1221" s="41">
        <v>45369.0</v>
      </c>
      <c r="D1221" s="40" t="s">
        <v>8735</v>
      </c>
      <c r="E1221" s="41" t="s">
        <v>8736</v>
      </c>
      <c r="F1221" s="43" t="s">
        <v>8737</v>
      </c>
      <c r="G1221" s="43" t="s">
        <v>8738</v>
      </c>
      <c r="H1221" s="51" t="s">
        <v>148</v>
      </c>
      <c r="I1221" s="25" t="str">
        <f>IFERROR(__xludf.DUMMYFUNCTION("GOOGLETRANSLATE(H1221,""EN"",""ES"")"),"Gastronomía")</f>
        <v>Gastronomía</v>
      </c>
      <c r="J1221" s="26" t="s">
        <v>27</v>
      </c>
      <c r="K1221" s="17">
        <v>0.0</v>
      </c>
      <c r="L1221" s="54"/>
      <c r="M1221" s="31"/>
      <c r="N1221" s="66"/>
      <c r="O1221" s="66"/>
      <c r="P1221" s="20">
        <v>0.0</v>
      </c>
      <c r="Q1221" s="31"/>
      <c r="R1221" s="31"/>
      <c r="S1221" s="53"/>
      <c r="T1221" s="32"/>
    </row>
    <row r="1222">
      <c r="A1222" s="33" t="s">
        <v>8739</v>
      </c>
      <c r="B1222" s="60" t="s">
        <v>8740</v>
      </c>
      <c r="C1222" s="41">
        <v>45369.0</v>
      </c>
      <c r="D1222" s="40" t="s">
        <v>8741</v>
      </c>
      <c r="E1222" s="41" t="s">
        <v>8742</v>
      </c>
      <c r="F1222" s="43" t="s">
        <v>8743</v>
      </c>
      <c r="G1222" s="43" t="s">
        <v>8744</v>
      </c>
      <c r="H1222" s="51" t="s">
        <v>48</v>
      </c>
      <c r="I1222" s="15" t="str">
        <f>IFERROR(__xludf.DUMMYFUNCTION("GOOGLETRANSLATE(H1222,""EN"",""ES"")"),"Finanzas")</f>
        <v>Finanzas</v>
      </c>
      <c r="J1222" s="16" t="s">
        <v>35</v>
      </c>
      <c r="K1222" s="48">
        <v>-0.5</v>
      </c>
      <c r="L1222" s="51" t="s">
        <v>8745</v>
      </c>
      <c r="M1222" s="34" t="s">
        <v>8746</v>
      </c>
      <c r="N1222" s="65" t="s">
        <v>8747</v>
      </c>
      <c r="O1222" s="65" t="str">
        <f>IFERROR(__xludf.DUMMYFUNCTION("GOOGLETRANSLATE(N1222,""EN"",""ES"")"),"Ser superado por un competidor podría afectar negativamente a la percepción que los inversores tienen de Repsol.")</f>
        <v>Ser superado por un competidor podría afectar negativamente a la percepción que los inversores tienen de Repsol.</v>
      </c>
      <c r="P1222" s="30">
        <v>-0.3</v>
      </c>
      <c r="Q1222" s="18" t="str">
        <f>IFERROR(__xludf.DUMMYFUNCTION("GOOGLETRANSLATE(R1222,""ES"",""EN"")"),"Pemex, profitable")</f>
        <v>Pemex, profitable</v>
      </c>
      <c r="R1222" s="34" t="s">
        <v>8748</v>
      </c>
      <c r="S1222" s="52" t="s">
        <v>8749</v>
      </c>
      <c r="T1222" s="22" t="s">
        <v>8750</v>
      </c>
    </row>
    <row r="1223">
      <c r="A1223" s="23" t="s">
        <v>8751</v>
      </c>
      <c r="B1223" s="58" t="s">
        <v>163</v>
      </c>
      <c r="C1223" s="41">
        <v>45369.0</v>
      </c>
      <c r="D1223" s="40" t="s">
        <v>8752</v>
      </c>
      <c r="E1223" s="41" t="s">
        <v>8753</v>
      </c>
      <c r="F1223" s="43" t="s">
        <v>8754</v>
      </c>
      <c r="G1223" s="43" t="s">
        <v>8755</v>
      </c>
      <c r="H1223" s="51" t="s">
        <v>8756</v>
      </c>
      <c r="I1223" s="25" t="str">
        <f>IFERROR(__xludf.DUMMYFUNCTION("GOOGLETRANSLATE(H1223,""EN"",""ES"")"),"Automotor")</f>
        <v>Automotor</v>
      </c>
      <c r="J1223" s="26" t="s">
        <v>27</v>
      </c>
      <c r="K1223" s="17">
        <v>0.0</v>
      </c>
      <c r="L1223" s="54"/>
      <c r="M1223" s="31"/>
      <c r="N1223" s="66"/>
      <c r="O1223" s="66"/>
      <c r="P1223" s="20">
        <v>0.0</v>
      </c>
      <c r="Q1223" s="31"/>
      <c r="R1223" s="31"/>
      <c r="S1223" s="53"/>
      <c r="T1223" s="32"/>
    </row>
    <row r="1224">
      <c r="A1224" s="33" t="s">
        <v>8757</v>
      </c>
      <c r="B1224" s="60" t="s">
        <v>21</v>
      </c>
      <c r="C1224" s="41">
        <v>45369.0</v>
      </c>
      <c r="D1224" s="40" t="s">
        <v>8758</v>
      </c>
      <c r="E1224" s="41" t="s">
        <v>8759</v>
      </c>
      <c r="F1224" s="43" t="s">
        <v>8760</v>
      </c>
      <c r="G1224" s="43" t="s">
        <v>8761</v>
      </c>
      <c r="H1224" s="51" t="s">
        <v>8762</v>
      </c>
      <c r="I1224" s="15" t="str">
        <f>IFERROR(__xludf.DUMMYFUNCTION("GOOGLETRANSLATE(H1224,""EN"",""ES"")"),"Viajar")</f>
        <v>Viajar</v>
      </c>
      <c r="J1224" s="16" t="s">
        <v>27</v>
      </c>
      <c r="K1224" s="17">
        <v>0.0</v>
      </c>
      <c r="L1224" s="45"/>
      <c r="M1224" s="18"/>
      <c r="N1224" s="65"/>
      <c r="O1224" s="65"/>
      <c r="P1224" s="20">
        <v>0.0</v>
      </c>
      <c r="Q1224" s="18"/>
      <c r="R1224" s="18"/>
      <c r="S1224" s="52"/>
      <c r="T1224" s="22"/>
    </row>
    <row r="1225">
      <c r="A1225" s="23" t="s">
        <v>8763</v>
      </c>
      <c r="B1225" s="58" t="s">
        <v>8764</v>
      </c>
      <c r="C1225" s="41">
        <v>45369.0</v>
      </c>
      <c r="D1225" s="40" t="s">
        <v>8765</v>
      </c>
      <c r="E1225" s="41" t="s">
        <v>8766</v>
      </c>
      <c r="F1225" s="43" t="s">
        <v>8767</v>
      </c>
      <c r="G1225" s="43" t="s">
        <v>8768</v>
      </c>
      <c r="H1225" s="51" t="s">
        <v>62</v>
      </c>
      <c r="I1225" s="25" t="str">
        <f>IFERROR(__xludf.DUMMYFUNCTION("GOOGLETRANSLATE(H1225,""EN"",""ES"")"),"Energía")</f>
        <v>Energía</v>
      </c>
      <c r="J1225" s="26" t="s">
        <v>35</v>
      </c>
      <c r="K1225" s="48">
        <v>-0.4</v>
      </c>
      <c r="L1225" s="49" t="s">
        <v>8769</v>
      </c>
      <c r="M1225" s="28" t="s">
        <v>8770</v>
      </c>
      <c r="N1225" s="66" t="s">
        <v>8771</v>
      </c>
      <c r="O1225" s="66" t="str">
        <f>IFERROR(__xludf.DUMMYFUNCTION("GOOGLETRANSLATE(N1225,""EN"",""ES"")"),"Las comparaciones en el precio de los combustibles podrían afectar a la percepción que los consumidores tienen de Repsol.")</f>
        <v>Las comparaciones en el precio de los combustibles podrían afectar a la percepción que los consumidores tienen de Repsol.</v>
      </c>
      <c r="P1225" s="30">
        <v>0.0</v>
      </c>
      <c r="Q1225" s="31"/>
      <c r="R1225" s="31"/>
      <c r="S1225" s="53" t="s">
        <v>8168</v>
      </c>
      <c r="T1225" s="32" t="s">
        <v>8169</v>
      </c>
    </row>
    <row r="1226">
      <c r="A1226" s="33" t="s">
        <v>8772</v>
      </c>
      <c r="B1226" s="60" t="s">
        <v>21</v>
      </c>
      <c r="C1226" s="41">
        <v>45369.0</v>
      </c>
      <c r="D1226" s="40" t="s">
        <v>8773</v>
      </c>
      <c r="E1226" s="41" t="s">
        <v>8774</v>
      </c>
      <c r="F1226" s="43" t="s">
        <v>8775</v>
      </c>
      <c r="G1226" s="43" t="s">
        <v>8776</v>
      </c>
      <c r="H1226" s="51" t="s">
        <v>8777</v>
      </c>
      <c r="I1226" s="15" t="str">
        <f>IFERROR(__xludf.DUMMYFUNCTION("GOOGLETRANSLATE(H1226,""EN"",""ES"")"),"Cultura")</f>
        <v>Cultura</v>
      </c>
      <c r="J1226" s="16" t="s">
        <v>27</v>
      </c>
      <c r="K1226" s="17">
        <v>0.0</v>
      </c>
      <c r="L1226" s="45"/>
      <c r="M1226" s="18"/>
      <c r="N1226" s="65"/>
      <c r="O1226" s="65"/>
      <c r="P1226" s="20">
        <v>0.0</v>
      </c>
      <c r="Q1226" s="18"/>
      <c r="R1226" s="18"/>
      <c r="S1226" s="52"/>
      <c r="T1226" s="22"/>
    </row>
    <row r="1227">
      <c r="A1227" s="23" t="s">
        <v>8778</v>
      </c>
      <c r="B1227" s="58" t="s">
        <v>8779</v>
      </c>
      <c r="C1227" s="41">
        <v>45370.0</v>
      </c>
      <c r="D1227" s="40" t="s">
        <v>8780</v>
      </c>
      <c r="E1227" s="41" t="s">
        <v>8781</v>
      </c>
      <c r="F1227" s="43" t="s">
        <v>8782</v>
      </c>
      <c r="G1227" s="43" t="s">
        <v>8783</v>
      </c>
      <c r="H1227" s="51" t="s">
        <v>408</v>
      </c>
      <c r="I1227" s="25" t="str">
        <f>IFERROR(__xludf.DUMMYFUNCTION("GOOGLETRANSLATE(H1227,""EN"",""ES"")"),"Legal")</f>
        <v>Legal</v>
      </c>
      <c r="J1227" s="26" t="s">
        <v>35</v>
      </c>
      <c r="K1227" s="48">
        <v>-0.8</v>
      </c>
      <c r="L1227" s="49" t="s">
        <v>8784</v>
      </c>
      <c r="M1227" s="28" t="s">
        <v>8785</v>
      </c>
      <c r="N1227" s="66" t="s">
        <v>8786</v>
      </c>
      <c r="O1227" s="66" t="str">
        <f>IFERROR(__xludf.DUMMYFUNCTION("GOOGLETRANSLATE(N1227,""EN"",""ES"")"),"Los conflictos legales por prácticas publicitarias pueden dañar la reputación pública de Repsol.")</f>
        <v>Los conflictos legales por prácticas publicitarias pueden dañar la reputación pública de Repsol.</v>
      </c>
      <c r="P1227" s="30">
        <v>-0.8</v>
      </c>
      <c r="Q1227" s="31" t="str">
        <f>IFERROR(__xludf.DUMMYFUNCTION("GOOGLETRANSLATE(R1227,""ES"",""EN"")"),"unfair competition, false advertising")</f>
        <v>unfair competition, false advertising</v>
      </c>
      <c r="R1227" s="28" t="s">
        <v>8715</v>
      </c>
      <c r="S1227" s="53" t="s">
        <v>8662</v>
      </c>
      <c r="T1227" s="32" t="s">
        <v>8663</v>
      </c>
    </row>
    <row r="1228">
      <c r="A1228" s="33" t="s">
        <v>8787</v>
      </c>
      <c r="B1228" s="60" t="s">
        <v>448</v>
      </c>
      <c r="C1228" s="41">
        <v>45370.0</v>
      </c>
      <c r="D1228" s="40" t="s">
        <v>8788</v>
      </c>
      <c r="E1228" s="41" t="s">
        <v>8789</v>
      </c>
      <c r="F1228" s="43" t="s">
        <v>8790</v>
      </c>
      <c r="G1228" s="43" t="s">
        <v>8791</v>
      </c>
      <c r="H1228" s="51" t="s">
        <v>661</v>
      </c>
      <c r="I1228" s="15" t="str">
        <f>IFERROR(__xludf.DUMMYFUNCTION("GOOGLETRANSLATE(H1228,""EN"",""ES"")"),"Estrategia empresarial")</f>
        <v>Estrategia empresarial</v>
      </c>
      <c r="J1228" s="16" t="s">
        <v>35</v>
      </c>
      <c r="K1228" s="48">
        <v>0.6</v>
      </c>
      <c r="L1228" s="51" t="s">
        <v>8792</v>
      </c>
      <c r="M1228" s="34" t="s">
        <v>8793</v>
      </c>
      <c r="N1228" s="65" t="s">
        <v>8794</v>
      </c>
      <c r="O1228" s="65" t="str">
        <f>IFERROR(__xludf.DUMMYFUNCTION("GOOGLETRANSLATE(N1228,""EN"",""ES"")"),"La expansión a los servicios eléctricos podría mejorar el posicionamiento competitivo de Repsol.")</f>
        <v>La expansión a los servicios eléctricos podría mejorar el posicionamiento competitivo de Repsol.</v>
      </c>
      <c r="P1228" s="30">
        <v>-0.5</v>
      </c>
      <c r="Q1228" s="18" t="str">
        <f>IFERROR(__xludf.DUMMYFUNCTION("GOOGLETRANSLATE(R1228,""ES"",""EN"")"),"steal customers, electricity market")</f>
        <v>steal customers, electricity market</v>
      </c>
      <c r="R1228" s="34" t="s">
        <v>8795</v>
      </c>
      <c r="S1228" s="52" t="s">
        <v>8796</v>
      </c>
      <c r="T1228" s="22" t="s">
        <v>8797</v>
      </c>
    </row>
    <row r="1229">
      <c r="A1229" s="23" t="s">
        <v>8798</v>
      </c>
      <c r="B1229" s="58" t="s">
        <v>499</v>
      </c>
      <c r="C1229" s="41">
        <v>45370.0</v>
      </c>
      <c r="D1229" s="40" t="s">
        <v>8799</v>
      </c>
      <c r="E1229" s="41" t="s">
        <v>8800</v>
      </c>
      <c r="F1229" s="43" t="s">
        <v>8801</v>
      </c>
      <c r="G1229" s="43" t="s">
        <v>8802</v>
      </c>
      <c r="H1229" s="51" t="s">
        <v>62</v>
      </c>
      <c r="I1229" s="25" t="str">
        <f>IFERROR(__xludf.DUMMYFUNCTION("GOOGLETRANSLATE(H1229,""EN"",""ES"")"),"Energía")</f>
        <v>Energía</v>
      </c>
      <c r="J1229" s="26" t="s">
        <v>35</v>
      </c>
      <c r="K1229" s="48">
        <v>0.5</v>
      </c>
      <c r="L1229" s="49" t="s">
        <v>8803</v>
      </c>
      <c r="M1229" s="28" t="s">
        <v>8804</v>
      </c>
      <c r="N1229" s="66" t="s">
        <v>8805</v>
      </c>
      <c r="O1229" s="66" t="str">
        <f>IFERROR(__xludf.DUMMYFUNCTION("GOOGLETRANSLATE(N1229,""EN"",""ES"")"),"Las tendencias que afectan a toda la industria pueden reforzar la estrategia de sostenibilidad a largo plazo de Repsol.")</f>
        <v>Las tendencias que afectan a toda la industria pueden reforzar la estrategia de sostenibilidad a largo plazo de Repsol.</v>
      </c>
      <c r="P1229" s="30">
        <v>-0.6</v>
      </c>
      <c r="Q1229" s="31" t="str">
        <f>IFERROR(__xludf.DUMMYFUNCTION("GOOGLETRANSLATE(R1229,""ES"",""EN"")"),"fossil fuels, Paris Agreement")</f>
        <v>fossil fuels, Paris Agreement</v>
      </c>
      <c r="R1229" s="28" t="s">
        <v>8806</v>
      </c>
      <c r="S1229" s="53" t="s">
        <v>8807</v>
      </c>
      <c r="T1229" s="32" t="s">
        <v>8808</v>
      </c>
    </row>
    <row r="1230">
      <c r="A1230" s="33" t="s">
        <v>8809</v>
      </c>
      <c r="B1230" s="60" t="s">
        <v>8810</v>
      </c>
      <c r="C1230" s="41">
        <v>45370.0</v>
      </c>
      <c r="D1230" s="40" t="s">
        <v>8811</v>
      </c>
      <c r="E1230" s="41" t="s">
        <v>8692</v>
      </c>
      <c r="F1230" s="43" t="s">
        <v>8812</v>
      </c>
      <c r="G1230" s="43" t="s">
        <v>8694</v>
      </c>
      <c r="H1230" s="51" t="s">
        <v>661</v>
      </c>
      <c r="I1230" s="15" t="str">
        <f>IFERROR(__xludf.DUMMYFUNCTION("GOOGLETRANSLATE(H1230,""EN"",""ES"")"),"Estrategia empresarial")</f>
        <v>Estrategia empresarial</v>
      </c>
      <c r="J1230" s="16" t="s">
        <v>35</v>
      </c>
      <c r="K1230" s="48">
        <v>0.7</v>
      </c>
      <c r="L1230" s="51" t="s">
        <v>8492</v>
      </c>
      <c r="M1230" s="34" t="s">
        <v>8493</v>
      </c>
      <c r="N1230" s="65" t="s">
        <v>8813</v>
      </c>
      <c r="O1230" s="65" t="str">
        <f>IFERROR(__xludf.DUMMYFUNCTION("GOOGLETRANSLATE(N1230,""EN"",""ES"")"),"El reconocimiento como empleador de primer nivel potencia la imagen corporativa de Repsol.")</f>
        <v>El reconocimiento como empleador de primer nivel potencia la imagen corporativa de Repsol.</v>
      </c>
      <c r="P1230" s="30">
        <v>0.7</v>
      </c>
      <c r="Q1230" s="18" t="str">
        <f>IFERROR(__xludf.DUMMYFUNCTION("GOOGLETRANSLATE(R1230,""ES"",""EN"")"),"best company, work")</f>
        <v>best company, work</v>
      </c>
      <c r="R1230" s="34" t="s">
        <v>8696</v>
      </c>
      <c r="S1230" s="52" t="s">
        <v>8496</v>
      </c>
      <c r="T1230" s="22" t="s">
        <v>8497</v>
      </c>
    </row>
    <row r="1231">
      <c r="A1231" s="23" t="s">
        <v>8814</v>
      </c>
      <c r="B1231" s="58" t="s">
        <v>8815</v>
      </c>
      <c r="C1231" s="41">
        <v>45370.0</v>
      </c>
      <c r="D1231" s="40" t="s">
        <v>8816</v>
      </c>
      <c r="E1231" s="41" t="s">
        <v>8817</v>
      </c>
      <c r="F1231" s="43" t="s">
        <v>8818</v>
      </c>
      <c r="G1231" s="43" t="s">
        <v>8819</v>
      </c>
      <c r="H1231" s="51" t="s">
        <v>408</v>
      </c>
      <c r="I1231" s="25" t="str">
        <f>IFERROR(__xludf.DUMMYFUNCTION("GOOGLETRANSLATE(H1231,""EN"",""ES"")"),"Legal")</f>
        <v>Legal</v>
      </c>
      <c r="J1231" s="26" t="s">
        <v>35</v>
      </c>
      <c r="K1231" s="48">
        <v>-0.8</v>
      </c>
      <c r="L1231" s="49" t="s">
        <v>8784</v>
      </c>
      <c r="M1231" s="28" t="s">
        <v>8785</v>
      </c>
      <c r="N1231" s="66" t="s">
        <v>8820</v>
      </c>
      <c r="O1231" s="66" t="str">
        <f>IFERROR(__xludf.DUMMYFUNCTION("GOOGLETRANSLATE(N1231,""EN"",""ES"")"),"Las disputas legales sobre publicidad pueden dañar la credibilidad de Repsol.")</f>
        <v>Las disputas legales sobre publicidad pueden dañar la credibilidad de Repsol.</v>
      </c>
      <c r="P1231" s="30">
        <v>-0.8</v>
      </c>
      <c r="Q1231" s="31" t="str">
        <f>IFERROR(__xludf.DUMMYFUNCTION("GOOGLETRANSLATE(R1231,""ES"",""EN"")"),"false advertising, echo posturing")</f>
        <v>false advertising, echo posturing</v>
      </c>
      <c r="R1231" s="28" t="s">
        <v>8821</v>
      </c>
      <c r="S1231" s="53" t="s">
        <v>8662</v>
      </c>
      <c r="T1231" s="32" t="s">
        <v>8663</v>
      </c>
    </row>
    <row r="1232">
      <c r="A1232" s="33" t="s">
        <v>8822</v>
      </c>
      <c r="B1232" s="60" t="s">
        <v>3992</v>
      </c>
      <c r="C1232" s="41">
        <v>45370.0</v>
      </c>
      <c r="D1232" s="40" t="s">
        <v>8823</v>
      </c>
      <c r="E1232" s="41" t="s">
        <v>8824</v>
      </c>
      <c r="F1232" s="43" t="s">
        <v>8825</v>
      </c>
      <c r="G1232" s="43" t="s">
        <v>8826</v>
      </c>
      <c r="H1232" s="51" t="s">
        <v>408</v>
      </c>
      <c r="I1232" s="15" t="str">
        <f>IFERROR(__xludf.DUMMYFUNCTION("GOOGLETRANSLATE(H1232,""EN"",""ES"")"),"Legal")</f>
        <v>Legal</v>
      </c>
      <c r="J1232" s="16" t="s">
        <v>35</v>
      </c>
      <c r="K1232" s="48">
        <v>-0.7</v>
      </c>
      <c r="L1232" s="51" t="s">
        <v>8784</v>
      </c>
      <c r="M1232" s="34" t="s">
        <v>8785</v>
      </c>
      <c r="N1232" s="65" t="s">
        <v>8827</v>
      </c>
      <c r="O1232" s="65" t="str">
        <f>IFERROR(__xludf.DUMMYFUNCTION("GOOGLETRANSLATE(N1232,""EN"",""ES"")"),"Las acusaciones de afirmaciones medioambientales engañosas podrían dañar la reputación de Repsol.")</f>
        <v>Las acusaciones de afirmaciones medioambientales engañosas podrían dañar la reputación de Repsol.</v>
      </c>
      <c r="P1232" s="30">
        <v>-0.8</v>
      </c>
      <c r="Q1232" s="18" t="str">
        <f>IFERROR(__xludf.DUMMYFUNCTION("GOOGLETRANSLATE(R1232,""ES"",""EN"")"),"battle, greenwashing")</f>
        <v>battle, greenwashing</v>
      </c>
      <c r="R1232" s="34" t="s">
        <v>8828</v>
      </c>
      <c r="S1232" s="52" t="s">
        <v>8662</v>
      </c>
      <c r="T1232" s="22" t="s">
        <v>8663</v>
      </c>
    </row>
    <row r="1233">
      <c r="A1233" s="23" t="s">
        <v>8829</v>
      </c>
      <c r="B1233" s="58" t="s">
        <v>881</v>
      </c>
      <c r="C1233" s="41">
        <v>45370.0</v>
      </c>
      <c r="D1233" s="40" t="s">
        <v>8830</v>
      </c>
      <c r="E1233" s="41" t="s">
        <v>8831</v>
      </c>
      <c r="F1233" s="43" t="s">
        <v>8832</v>
      </c>
      <c r="G1233" s="43" t="s">
        <v>8833</v>
      </c>
      <c r="H1233" s="51" t="s">
        <v>62</v>
      </c>
      <c r="I1233" s="25" t="str">
        <f>IFERROR(__xludf.DUMMYFUNCTION("GOOGLETRANSLATE(H1233,""EN"",""ES"")"),"Energía")</f>
        <v>Energía</v>
      </c>
      <c r="J1233" s="26" t="s">
        <v>35</v>
      </c>
      <c r="K1233" s="48">
        <v>0.5</v>
      </c>
      <c r="L1233" s="49" t="s">
        <v>8595</v>
      </c>
      <c r="M1233" s="28" t="s">
        <v>8596</v>
      </c>
      <c r="N1233" s="66" t="s">
        <v>8834</v>
      </c>
      <c r="O1233" s="66" t="str">
        <f>IFERROR(__xludf.DUMMYFUNCTION("GOOGLETRANSLATE(N1233,""EN"",""ES"")"),"El mantenimiento de rutina no tiene un impacto importante pero garantiza la estabilidad operativa.")</f>
        <v>El mantenimiento de rutina no tiene un impacto importante pero garantiza la estabilidad operativa.</v>
      </c>
      <c r="P1233" s="30">
        <v>0.6</v>
      </c>
      <c r="Q1233" s="31" t="str">
        <f>IFERROR(__xludf.DUMMYFUNCTION("GOOGLETRANSLATE(R1233,""ES"",""EN"")"),"investment, maintenance")</f>
        <v>investment, maintenance</v>
      </c>
      <c r="R1233" s="28" t="s">
        <v>8835</v>
      </c>
      <c r="S1233" s="53" t="s">
        <v>8836</v>
      </c>
      <c r="T1233" s="32" t="s">
        <v>8837</v>
      </c>
    </row>
    <row r="1234">
      <c r="A1234" s="33" t="s">
        <v>8838</v>
      </c>
      <c r="B1234" s="60" t="s">
        <v>21</v>
      </c>
      <c r="C1234" s="41">
        <v>45370.0</v>
      </c>
      <c r="D1234" s="40" t="s">
        <v>8839</v>
      </c>
      <c r="E1234" s="41" t="s">
        <v>8840</v>
      </c>
      <c r="F1234" s="43" t="s">
        <v>8841</v>
      </c>
      <c r="G1234" s="43" t="s">
        <v>8842</v>
      </c>
      <c r="H1234" s="51" t="s">
        <v>148</v>
      </c>
      <c r="I1234" s="15" t="str">
        <f>IFERROR(__xludf.DUMMYFUNCTION("GOOGLETRANSLATE(H1234,""EN"",""ES"")"),"Gastronomía")</f>
        <v>Gastronomía</v>
      </c>
      <c r="J1234" s="16" t="s">
        <v>27</v>
      </c>
      <c r="K1234" s="17">
        <v>0.0</v>
      </c>
      <c r="L1234" s="45"/>
      <c r="M1234" s="18"/>
      <c r="N1234" s="65"/>
      <c r="O1234" s="65"/>
      <c r="P1234" s="20">
        <v>0.0</v>
      </c>
      <c r="Q1234" s="18"/>
      <c r="R1234" s="18"/>
      <c r="S1234" s="52"/>
      <c r="T1234" s="22"/>
    </row>
    <row r="1235">
      <c r="A1235" s="23" t="s">
        <v>8843</v>
      </c>
      <c r="B1235" s="58" t="s">
        <v>4038</v>
      </c>
      <c r="C1235" s="41">
        <v>45370.0</v>
      </c>
      <c r="D1235" s="40" t="s">
        <v>8844</v>
      </c>
      <c r="E1235" s="41" t="s">
        <v>8845</v>
      </c>
      <c r="F1235" s="43" t="s">
        <v>8846</v>
      </c>
      <c r="G1235" s="43" t="s">
        <v>8847</v>
      </c>
      <c r="H1235" s="51" t="s">
        <v>8848</v>
      </c>
      <c r="I1235" s="25" t="str">
        <f>IFERROR(__xludf.DUMMYFUNCTION("GOOGLETRANSLATE(H1235,""EN"",""ES"")"),"Planificación Urbana")</f>
        <v>Planificación Urbana</v>
      </c>
      <c r="J1235" s="26" t="s">
        <v>35</v>
      </c>
      <c r="K1235" s="48">
        <v>0.0</v>
      </c>
      <c r="L1235" s="54"/>
      <c r="M1235" s="31"/>
      <c r="N1235" s="66" t="s">
        <v>8849</v>
      </c>
      <c r="O1235" s="66" t="str">
        <f>IFERROR(__xludf.DUMMYFUNCTION("GOOGLETRANSLATE(N1235,""EN"",""ES"")"),"Los cambios urbanísticos no impactan en la percepción corporativa de Repsol.")</f>
        <v>Los cambios urbanísticos no impactan en la percepción corporativa de Repsol.</v>
      </c>
      <c r="P1235" s="30">
        <v>0.0</v>
      </c>
      <c r="Q1235" s="31"/>
      <c r="R1235" s="31"/>
      <c r="S1235" s="53" t="s">
        <v>8168</v>
      </c>
      <c r="T1235" s="32" t="s">
        <v>8169</v>
      </c>
    </row>
    <row r="1236">
      <c r="A1236" s="33" t="s">
        <v>8850</v>
      </c>
      <c r="B1236" s="60" t="s">
        <v>21</v>
      </c>
      <c r="C1236" s="41">
        <v>45370.0</v>
      </c>
      <c r="D1236" s="40" t="s">
        <v>8851</v>
      </c>
      <c r="E1236" s="41" t="s">
        <v>8852</v>
      </c>
      <c r="F1236" s="43" t="s">
        <v>8853</v>
      </c>
      <c r="G1236" s="43" t="s">
        <v>8854</v>
      </c>
      <c r="H1236" s="51" t="s">
        <v>148</v>
      </c>
      <c r="I1236" s="15" t="str">
        <f>IFERROR(__xludf.DUMMYFUNCTION("GOOGLETRANSLATE(H1236,""EN"",""ES"")"),"Gastronomía")</f>
        <v>Gastronomía</v>
      </c>
      <c r="J1236" s="16" t="s">
        <v>27</v>
      </c>
      <c r="K1236" s="17">
        <v>0.0</v>
      </c>
      <c r="L1236" s="45"/>
      <c r="M1236" s="18"/>
      <c r="N1236" s="65"/>
      <c r="O1236" s="65"/>
      <c r="P1236" s="20">
        <v>0.0</v>
      </c>
      <c r="Q1236" s="18"/>
      <c r="R1236" s="18"/>
      <c r="S1236" s="52"/>
      <c r="T1236" s="22"/>
    </row>
    <row r="1237">
      <c r="A1237" s="37" t="s">
        <v>8855</v>
      </c>
      <c r="B1237" s="58" t="s">
        <v>8810</v>
      </c>
      <c r="C1237" s="41">
        <v>45370.0</v>
      </c>
      <c r="D1237" s="40" t="s">
        <v>8856</v>
      </c>
      <c r="E1237" s="41" t="s">
        <v>8857</v>
      </c>
      <c r="F1237" s="43" t="s">
        <v>8858</v>
      </c>
      <c r="G1237" s="43" t="s">
        <v>8859</v>
      </c>
      <c r="H1237" s="51" t="s">
        <v>2591</v>
      </c>
      <c r="I1237" s="25" t="str">
        <f>IFERROR(__xludf.DUMMYFUNCTION("GOOGLETRANSLATE(H1237,""EN"",""ES"")"),"Negocio")</f>
        <v>Negocio</v>
      </c>
      <c r="J1237" s="26" t="s">
        <v>27</v>
      </c>
      <c r="K1237" s="17">
        <v>0.0</v>
      </c>
      <c r="L1237" s="54"/>
      <c r="M1237" s="31"/>
      <c r="N1237" s="66"/>
      <c r="O1237" s="66"/>
      <c r="P1237" s="20">
        <v>0.0</v>
      </c>
      <c r="Q1237" s="31"/>
      <c r="R1237" s="31"/>
      <c r="S1237" s="53"/>
      <c r="T1237" s="32"/>
    </row>
    <row r="1238">
      <c r="A1238" s="33" t="s">
        <v>8860</v>
      </c>
      <c r="B1238" s="60" t="s">
        <v>8861</v>
      </c>
      <c r="C1238" s="41">
        <v>45371.0</v>
      </c>
      <c r="D1238" s="40" t="s">
        <v>8862</v>
      </c>
      <c r="E1238" s="41" t="s">
        <v>8863</v>
      </c>
      <c r="F1238" s="43" t="s">
        <v>8864</v>
      </c>
      <c r="G1238" s="43" t="s">
        <v>8865</v>
      </c>
      <c r="H1238" s="51" t="s">
        <v>395</v>
      </c>
      <c r="I1238" s="15" t="str">
        <f>IFERROR(__xludf.DUMMYFUNCTION("GOOGLETRANSLATE(H1238,""EN"",""ES"")"),"Ambiente")</f>
        <v>Ambiente</v>
      </c>
      <c r="J1238" s="16" t="s">
        <v>35</v>
      </c>
      <c r="K1238" s="48">
        <v>-0.7</v>
      </c>
      <c r="L1238" s="51" t="s">
        <v>8866</v>
      </c>
      <c r="M1238" s="34" t="s">
        <v>8867</v>
      </c>
      <c r="N1238" s="65" t="s">
        <v>8868</v>
      </c>
      <c r="O1238" s="65" t="str">
        <f>IFERROR(__xludf.DUMMYFUNCTION("GOOGLETRANSLATE(N1238,""EN"",""ES"")"),"Culpar a Repsol del cambio climático podría dañar su reputación medioambiental.")</f>
        <v>Culpar a Repsol del cambio climático podría dañar su reputación medioambiental.</v>
      </c>
      <c r="P1238" s="30">
        <v>-0.7</v>
      </c>
      <c r="Q1238" s="18" t="str">
        <f>IFERROR(__xludf.DUMMYFUNCTION("GOOGLETRANSLATE(R1238,""ES"",""EN"")"),"climate change, oil")</f>
        <v>climate change, oil</v>
      </c>
      <c r="R1238" s="34" t="s">
        <v>8869</v>
      </c>
      <c r="S1238" s="52" t="s">
        <v>8870</v>
      </c>
      <c r="T1238" s="22" t="s">
        <v>8871</v>
      </c>
    </row>
    <row r="1239">
      <c r="A1239" s="23" t="s">
        <v>8872</v>
      </c>
      <c r="B1239" s="58" t="s">
        <v>1072</v>
      </c>
      <c r="C1239" s="41">
        <v>45371.0</v>
      </c>
      <c r="D1239" s="40" t="s">
        <v>8873</v>
      </c>
      <c r="E1239" s="41" t="s">
        <v>8874</v>
      </c>
      <c r="F1239" s="43" t="s">
        <v>8875</v>
      </c>
      <c r="G1239" s="43" t="s">
        <v>8876</v>
      </c>
      <c r="H1239" s="51" t="s">
        <v>48</v>
      </c>
      <c r="I1239" s="25" t="str">
        <f>IFERROR(__xludf.DUMMYFUNCTION("GOOGLETRANSLATE(H1239,""EN"",""ES"")"),"Finanzas")</f>
        <v>Finanzas</v>
      </c>
      <c r="J1239" s="26" t="s">
        <v>35</v>
      </c>
      <c r="K1239" s="48">
        <v>0.6</v>
      </c>
      <c r="L1239" s="49" t="s">
        <v>8877</v>
      </c>
      <c r="M1239" s="28" t="s">
        <v>8878</v>
      </c>
      <c r="N1239" s="66" t="s">
        <v>8879</v>
      </c>
      <c r="O1239" s="66" t="str">
        <f>IFERROR(__xludf.DUMMYFUNCTION("GOOGLETRANSLATE(N1239,""EN"",""ES"")"),"Ofrecer dividendos refuerza la confianza de los inversores en Repsol.")</f>
        <v>Ofrecer dividendos refuerza la confianza de los inversores en Repsol.</v>
      </c>
      <c r="P1239" s="30">
        <v>0.6</v>
      </c>
      <c r="Q1239" s="31" t="str">
        <f>IFERROR(__xludf.DUMMYFUNCTION("GOOGLETRANSLATE(R1239,""ES"",""EN"")"),"dividend, shareholders")</f>
        <v>dividend, shareholders</v>
      </c>
      <c r="R1239" s="28" t="s">
        <v>8880</v>
      </c>
      <c r="S1239" s="53" t="s">
        <v>8881</v>
      </c>
      <c r="T1239" s="32" t="s">
        <v>8882</v>
      </c>
    </row>
    <row r="1240">
      <c r="A1240" s="33" t="s">
        <v>8883</v>
      </c>
      <c r="B1240" s="60" t="s">
        <v>8884</v>
      </c>
      <c r="C1240" s="41">
        <v>45371.0</v>
      </c>
      <c r="D1240" s="40" t="s">
        <v>8885</v>
      </c>
      <c r="E1240" s="41" t="s">
        <v>8886</v>
      </c>
      <c r="F1240" s="43" t="s">
        <v>8887</v>
      </c>
      <c r="G1240" s="43" t="s">
        <v>8888</v>
      </c>
      <c r="H1240" s="51" t="s">
        <v>48</v>
      </c>
      <c r="I1240" s="15" t="str">
        <f>IFERROR(__xludf.DUMMYFUNCTION("GOOGLETRANSLATE(H1240,""EN"",""ES"")"),"Finanzas")</f>
        <v>Finanzas</v>
      </c>
      <c r="J1240" s="16" t="s">
        <v>35</v>
      </c>
      <c r="K1240" s="48">
        <v>0.6</v>
      </c>
      <c r="L1240" s="51" t="s">
        <v>8889</v>
      </c>
      <c r="M1240" s="34" t="s">
        <v>8890</v>
      </c>
      <c r="N1240" s="65" t="s">
        <v>8891</v>
      </c>
      <c r="O1240" s="65" t="str">
        <f>IFERROR(__xludf.DUMMYFUNCTION("GOOGLETRANSLATE(N1240,""EN"",""ES"")"),"Los pagos de dividendos refuerzan la confianza de los accionistas.")</f>
        <v>Los pagos de dividendos refuerzan la confianza de los accionistas.</v>
      </c>
      <c r="P1240" s="30">
        <v>0.6</v>
      </c>
      <c r="Q1240" s="18" t="str">
        <f>IFERROR(__xludf.DUMMYFUNCTION("GOOGLETRANSLATE(R1240,""ES"",""EN"")"),"dividend, amortization")</f>
        <v>dividend, amortization</v>
      </c>
      <c r="R1240" s="34" t="s">
        <v>8892</v>
      </c>
      <c r="S1240" s="52" t="s">
        <v>8881</v>
      </c>
      <c r="T1240" s="22" t="s">
        <v>8882</v>
      </c>
    </row>
    <row r="1241">
      <c r="A1241" s="23" t="s">
        <v>8893</v>
      </c>
      <c r="B1241" s="58" t="s">
        <v>8894</v>
      </c>
      <c r="C1241" s="41">
        <v>45371.0</v>
      </c>
      <c r="D1241" s="40" t="s">
        <v>8895</v>
      </c>
      <c r="E1241" s="41" t="s">
        <v>8896</v>
      </c>
      <c r="F1241" s="43" t="s">
        <v>8897</v>
      </c>
      <c r="G1241" s="43" t="s">
        <v>8898</v>
      </c>
      <c r="H1241" s="51" t="s">
        <v>48</v>
      </c>
      <c r="I1241" s="25" t="str">
        <f>IFERROR(__xludf.DUMMYFUNCTION("GOOGLETRANSLATE(H1241,""EN"",""ES"")"),"Finanzas")</f>
        <v>Finanzas</v>
      </c>
      <c r="J1241" s="26" t="s">
        <v>35</v>
      </c>
      <c r="K1241" s="48">
        <v>0.7</v>
      </c>
      <c r="L1241" s="49" t="s">
        <v>8899</v>
      </c>
      <c r="M1241" s="28" t="s">
        <v>8900</v>
      </c>
      <c r="N1241" s="66" t="s">
        <v>8901</v>
      </c>
      <c r="O1241" s="66" t="str">
        <f>IFERROR(__xludf.DUMMYFUNCTION("GOOGLETRANSLATE(N1241,""EN"",""ES"")"),"Un dividendo creciente sugiere estabilidad y desempeño financiero sólido.")</f>
        <v>Un dividendo creciente sugiere estabilidad y desempeño financiero sólido.</v>
      </c>
      <c r="P1241" s="30">
        <v>0.6</v>
      </c>
      <c r="Q1241" s="31" t="str">
        <f>IFERROR(__xludf.DUMMYFUNCTION("GOOGLETRANSLATE(R1241,""ES"",""EN"")"),"dividend, growth")</f>
        <v>dividend, growth</v>
      </c>
      <c r="R1241" s="28" t="s">
        <v>8902</v>
      </c>
      <c r="S1241" s="53" t="s">
        <v>8903</v>
      </c>
      <c r="T1241" s="32" t="s">
        <v>8904</v>
      </c>
    </row>
    <row r="1242">
      <c r="A1242" s="33" t="s">
        <v>8905</v>
      </c>
      <c r="B1242" s="60" t="s">
        <v>91</v>
      </c>
      <c r="C1242" s="41">
        <v>45371.0</v>
      </c>
      <c r="D1242" s="40" t="s">
        <v>8906</v>
      </c>
      <c r="E1242" s="41" t="s">
        <v>8907</v>
      </c>
      <c r="F1242" s="43" t="s">
        <v>8908</v>
      </c>
      <c r="G1242" s="43" t="s">
        <v>8909</v>
      </c>
      <c r="H1242" s="51" t="s">
        <v>130</v>
      </c>
      <c r="I1242" s="15" t="str">
        <f>IFERROR(__xludf.DUMMYFUNCTION("GOOGLETRANSLATE(H1242,""EN"",""ES"")"),"Sostenibilidad")</f>
        <v>Sostenibilidad</v>
      </c>
      <c r="J1242" s="16" t="s">
        <v>35</v>
      </c>
      <c r="K1242" s="48">
        <v>0.8</v>
      </c>
      <c r="L1242" s="51" t="s">
        <v>8251</v>
      </c>
      <c r="M1242" s="34" t="s">
        <v>8252</v>
      </c>
      <c r="N1242" s="65" t="s">
        <v>8910</v>
      </c>
      <c r="O1242" s="65" t="str">
        <f>IFERROR(__xludf.DUMMYFUNCTION("GOOGLETRANSLATE(N1242,""EN"",""ES"")"),"La promoción de opciones de combustibles renovables respalda la estrategia medioambiental de Repsol.")</f>
        <v>La promoción de opciones de combustibles renovables respalda la estrategia medioambiental de Repsol.</v>
      </c>
      <c r="P1242" s="30">
        <v>0.7</v>
      </c>
      <c r="Q1242" s="18" t="str">
        <f>IFERROR(__xludf.DUMMYFUNCTION("GOOGLETRANSLATE(R1242,""ES"",""EN"")"),"renewable gasoline, users")</f>
        <v>renewable gasoline, users</v>
      </c>
      <c r="R1242" s="34" t="s">
        <v>8911</v>
      </c>
      <c r="S1242" s="52" t="s">
        <v>8912</v>
      </c>
      <c r="T1242" s="22" t="s">
        <v>8913</v>
      </c>
    </row>
    <row r="1243">
      <c r="A1243" s="23" t="s">
        <v>8914</v>
      </c>
      <c r="B1243" s="58" t="s">
        <v>103</v>
      </c>
      <c r="C1243" s="41">
        <v>45371.0</v>
      </c>
      <c r="D1243" s="40" t="s">
        <v>8915</v>
      </c>
      <c r="E1243" s="41" t="s">
        <v>8916</v>
      </c>
      <c r="F1243" s="43" t="s">
        <v>8917</v>
      </c>
      <c r="G1243" s="43" t="s">
        <v>8918</v>
      </c>
      <c r="H1243" s="51" t="s">
        <v>48</v>
      </c>
      <c r="I1243" s="25" t="str">
        <f>IFERROR(__xludf.DUMMYFUNCTION("GOOGLETRANSLATE(H1243,""EN"",""ES"")"),"Finanzas")</f>
        <v>Finanzas</v>
      </c>
      <c r="J1243" s="26" t="s">
        <v>35</v>
      </c>
      <c r="K1243" s="48">
        <v>0.7</v>
      </c>
      <c r="L1243" s="49" t="s">
        <v>8919</v>
      </c>
      <c r="M1243" s="28" t="s">
        <v>8920</v>
      </c>
      <c r="N1243" s="66" t="s">
        <v>8921</v>
      </c>
      <c r="O1243" s="66" t="str">
        <f>IFERROR(__xludf.DUMMYFUNCTION("GOOGLETRANSLATE(N1243,""EN"",""ES"")"),"Un aumento del precio de las acciones refuerza la estabilidad financiera de Repsol y la confianza del mercado.")</f>
        <v>Un aumento del precio de las acciones refuerza la estabilidad financiera de Repsol y la confianza del mercado.</v>
      </c>
      <c r="P1243" s="30">
        <v>0.6</v>
      </c>
      <c r="Q1243" s="31" t="str">
        <f>IFERROR(__xludf.DUMMYFUNCTION("GOOGLETRANSLATE(R1243,""ES"",""EN"")"),"dividend, bullish momentum")</f>
        <v>dividend, bullish momentum</v>
      </c>
      <c r="R1243" s="28" t="s">
        <v>8922</v>
      </c>
      <c r="S1243" s="53" t="s">
        <v>8923</v>
      </c>
      <c r="T1243" s="32" t="s">
        <v>8924</v>
      </c>
    </row>
    <row r="1244">
      <c r="A1244" s="33" t="s">
        <v>8925</v>
      </c>
      <c r="B1244" s="60" t="s">
        <v>1005</v>
      </c>
      <c r="C1244" s="41">
        <v>45371.0</v>
      </c>
      <c r="D1244" s="40" t="s">
        <v>8926</v>
      </c>
      <c r="E1244" s="41" t="s">
        <v>8927</v>
      </c>
      <c r="F1244" s="43" t="s">
        <v>8928</v>
      </c>
      <c r="G1244" s="43" t="s">
        <v>8929</v>
      </c>
      <c r="H1244" s="51" t="s">
        <v>1975</v>
      </c>
      <c r="I1244" s="15" t="str">
        <f>IFERROR(__xludf.DUMMYFUNCTION("GOOGLETRANSLATE(H1244,""EN"",""ES"")"),"Política")</f>
        <v>Política</v>
      </c>
      <c r="J1244" s="16" t="s">
        <v>35</v>
      </c>
      <c r="K1244" s="48">
        <v>0.5</v>
      </c>
      <c r="L1244" s="51" t="s">
        <v>8930</v>
      </c>
      <c r="M1244" s="34" t="s">
        <v>8931</v>
      </c>
      <c r="N1244" s="65" t="s">
        <v>8932</v>
      </c>
      <c r="O1244" s="65" t="str">
        <f>IFERROR(__xludf.DUMMYFUNCTION("GOOGLETRANSLATE(N1244,""EN"",""ES"")"),"La neutralidad del gobierno en disputas legales puede limitar el impacto en la reputación.")</f>
        <v>La neutralidad del gobierno en disputas legales puede limitar el impacto en la reputación.</v>
      </c>
      <c r="P1244" s="30">
        <v>0.0</v>
      </c>
      <c r="Q1244" s="18"/>
      <c r="R1244" s="18"/>
      <c r="S1244" s="52" t="s">
        <v>8168</v>
      </c>
      <c r="T1244" s="22" t="s">
        <v>8169</v>
      </c>
    </row>
    <row r="1245">
      <c r="A1245" s="23" t="s">
        <v>8933</v>
      </c>
      <c r="B1245" s="58" t="s">
        <v>21</v>
      </c>
      <c r="C1245" s="41">
        <v>45371.0</v>
      </c>
      <c r="D1245" s="40" t="s">
        <v>8934</v>
      </c>
      <c r="E1245" s="41" t="s">
        <v>8935</v>
      </c>
      <c r="F1245" s="43" t="s">
        <v>8936</v>
      </c>
      <c r="G1245" s="43" t="s">
        <v>8937</v>
      </c>
      <c r="H1245" s="51" t="s">
        <v>969</v>
      </c>
      <c r="I1245" s="25" t="str">
        <f>IFERROR(__xludf.DUMMYFUNCTION("GOOGLETRANSLATE(H1245,""EN"",""ES"")"),"Turismo")</f>
        <v>Turismo</v>
      </c>
      <c r="J1245" s="26" t="s">
        <v>27</v>
      </c>
      <c r="K1245" s="17">
        <v>0.0</v>
      </c>
      <c r="L1245" s="54"/>
      <c r="M1245" s="31"/>
      <c r="N1245" s="66"/>
      <c r="O1245" s="66"/>
      <c r="P1245" s="20">
        <v>0.0</v>
      </c>
      <c r="Q1245" s="31"/>
      <c r="R1245" s="31"/>
      <c r="S1245" s="53"/>
      <c r="T1245" s="32"/>
    </row>
    <row r="1246">
      <c r="A1246" s="33" t="s">
        <v>8938</v>
      </c>
      <c r="B1246" s="60" t="s">
        <v>8939</v>
      </c>
      <c r="C1246" s="41">
        <v>45371.0</v>
      </c>
      <c r="D1246" s="40" t="s">
        <v>8940</v>
      </c>
      <c r="E1246" s="41" t="s">
        <v>8941</v>
      </c>
      <c r="F1246" s="43" t="s">
        <v>8942</v>
      </c>
      <c r="G1246" s="43" t="s">
        <v>8943</v>
      </c>
      <c r="H1246" s="51" t="s">
        <v>148</v>
      </c>
      <c r="I1246" s="15" t="str">
        <f>IFERROR(__xludf.DUMMYFUNCTION("GOOGLETRANSLATE(H1246,""EN"",""ES"")"),"Gastronomía")</f>
        <v>Gastronomía</v>
      </c>
      <c r="J1246" s="16" t="s">
        <v>27</v>
      </c>
      <c r="K1246" s="17">
        <v>0.0</v>
      </c>
      <c r="L1246" s="45"/>
      <c r="M1246" s="18"/>
      <c r="N1246" s="65"/>
      <c r="O1246" s="65"/>
      <c r="P1246" s="20">
        <v>0.0</v>
      </c>
      <c r="Q1246" s="18"/>
      <c r="R1246" s="18"/>
      <c r="S1246" s="52"/>
      <c r="T1246" s="22"/>
    </row>
    <row r="1247">
      <c r="A1247" s="23" t="s">
        <v>8944</v>
      </c>
      <c r="B1247" s="58" t="s">
        <v>1577</v>
      </c>
      <c r="C1247" s="41">
        <v>45371.0</v>
      </c>
      <c r="D1247" s="40" t="s">
        <v>8945</v>
      </c>
      <c r="E1247" s="41" t="s">
        <v>8946</v>
      </c>
      <c r="F1247" s="43" t="s">
        <v>8947</v>
      </c>
      <c r="G1247" s="43" t="s">
        <v>8948</v>
      </c>
      <c r="H1247" s="51" t="s">
        <v>8949</v>
      </c>
      <c r="I1247" s="25" t="str">
        <f>IFERROR(__xludf.DUMMYFUNCTION("GOOGLETRANSLATE(H1247,""EN"",""ES"")"),"Reputación Corporativa")</f>
        <v>Reputación Corporativa</v>
      </c>
      <c r="J1247" s="26" t="s">
        <v>35</v>
      </c>
      <c r="K1247" s="48">
        <v>-0.6</v>
      </c>
      <c r="L1247" s="49" t="s">
        <v>8950</v>
      </c>
      <c r="M1247" s="28" t="s">
        <v>8951</v>
      </c>
      <c r="N1247" s="66" t="s">
        <v>8952</v>
      </c>
      <c r="O1247" s="66" t="str">
        <f>IFERROR(__xludf.DUMMYFUNCTION("GOOGLETRANSLATE(N1247,""EN"",""ES"")"),"Las acusaciones de greenwashing percibidas podrían afectar negativamente la credibilidad de la sostenibilidad de Repsol.")</f>
        <v>Las acusaciones de greenwashing percibidas podrían afectar negativamente la credibilidad de la sostenibilidad de Repsol.</v>
      </c>
      <c r="P1247" s="30">
        <v>-0.5</v>
      </c>
      <c r="Q1247" s="31" t="str">
        <f>IFERROR(__xludf.DUMMYFUNCTION("GOOGLETRANSLATE(R1247,""ES"",""EN"")"),"greenwashing, pinkwashing")</f>
        <v>greenwashing, pinkwashing</v>
      </c>
      <c r="R1247" s="28" t="s">
        <v>8953</v>
      </c>
      <c r="S1247" s="53" t="s">
        <v>8954</v>
      </c>
      <c r="T1247" s="32" t="s">
        <v>8955</v>
      </c>
    </row>
    <row r="1248">
      <c r="A1248" s="33" t="s">
        <v>8956</v>
      </c>
      <c r="B1248" s="60" t="s">
        <v>3079</v>
      </c>
      <c r="C1248" s="41">
        <v>45371.0</v>
      </c>
      <c r="D1248" s="40" t="s">
        <v>8957</v>
      </c>
      <c r="E1248" s="41" t="s">
        <v>8958</v>
      </c>
      <c r="F1248" s="43" t="s">
        <v>8959</v>
      </c>
      <c r="G1248" s="43" t="s">
        <v>8960</v>
      </c>
      <c r="H1248" s="51" t="s">
        <v>62</v>
      </c>
      <c r="I1248" s="15" t="str">
        <f>IFERROR(__xludf.DUMMYFUNCTION("GOOGLETRANSLATE(H1248,""EN"",""ES"")"),"Energía")</f>
        <v>Energía</v>
      </c>
      <c r="J1248" s="16" t="s">
        <v>35</v>
      </c>
      <c r="K1248" s="48">
        <v>0.0</v>
      </c>
      <c r="L1248" s="45"/>
      <c r="M1248" s="18"/>
      <c r="N1248" s="65" t="s">
        <v>8961</v>
      </c>
      <c r="O1248" s="65" t="str">
        <f>IFERROR(__xludf.DUMMYFUNCTION("GOOGLETRANSLATE(N1248,""EN"",""ES"")"),"La evolución general de los combustibles no impacta en la percepción corporativa de Repsol.")</f>
        <v>La evolución general de los combustibles no impacta en la percepción corporativa de Repsol.</v>
      </c>
      <c r="P1248" s="30">
        <v>0.0</v>
      </c>
      <c r="Q1248" s="18"/>
      <c r="R1248" s="18"/>
      <c r="S1248" s="52" t="s">
        <v>8168</v>
      </c>
      <c r="T1248" s="22" t="s">
        <v>8169</v>
      </c>
    </row>
    <row r="1249">
      <c r="A1249" s="23" t="s">
        <v>8962</v>
      </c>
      <c r="B1249" s="58" t="s">
        <v>8963</v>
      </c>
      <c r="C1249" s="41">
        <v>45372.0</v>
      </c>
      <c r="D1249" s="40" t="s">
        <v>8964</v>
      </c>
      <c r="E1249" s="41" t="s">
        <v>8965</v>
      </c>
      <c r="F1249" s="43" t="s">
        <v>8966</v>
      </c>
      <c r="G1249" s="43" t="s">
        <v>8967</v>
      </c>
      <c r="H1249" s="51" t="s">
        <v>130</v>
      </c>
      <c r="I1249" s="25" t="str">
        <f>IFERROR(__xludf.DUMMYFUNCTION("GOOGLETRANSLATE(H1249,""EN"",""ES"")"),"Sostenibilidad")</f>
        <v>Sostenibilidad</v>
      </c>
      <c r="J1249" s="26" t="s">
        <v>35</v>
      </c>
      <c r="K1249" s="48">
        <v>0.7</v>
      </c>
      <c r="L1249" s="49" t="s">
        <v>8262</v>
      </c>
      <c r="M1249" s="28" t="s">
        <v>8263</v>
      </c>
      <c r="N1249" s="66" t="s">
        <v>8264</v>
      </c>
      <c r="O1249" s="66" t="str">
        <f>IFERROR(__xludf.DUMMYFUNCTION("GOOGLETRANSLATE(N1249,""EN"",""ES"")"),"El uso de materiales reciclados potencia el compromiso medioambiental de Repsol.")</f>
        <v>El uso de materiales reciclados potencia el compromiso medioambiental de Repsol.</v>
      </c>
      <c r="P1249" s="30">
        <v>0.7</v>
      </c>
      <c r="Q1249" s="31" t="str">
        <f>IFERROR(__xludf.DUMMYFUNCTION("GOOGLETRANSLATE(R1249,""ES"",""EN"")"),"packaging, recycled plastic")</f>
        <v>packaging, recycled plastic</v>
      </c>
      <c r="R1249" s="28" t="s">
        <v>8968</v>
      </c>
      <c r="S1249" s="53" t="s">
        <v>8255</v>
      </c>
      <c r="T1249" s="32" t="s">
        <v>8256</v>
      </c>
    </row>
    <row r="1250">
      <c r="A1250" s="33" t="s">
        <v>8969</v>
      </c>
      <c r="B1250" s="60" t="s">
        <v>558</v>
      </c>
      <c r="C1250" s="41">
        <v>45372.0</v>
      </c>
      <c r="D1250" s="40" t="s">
        <v>8970</v>
      </c>
      <c r="E1250" s="41" t="s">
        <v>8971</v>
      </c>
      <c r="F1250" s="43" t="s">
        <v>8972</v>
      </c>
      <c r="G1250" s="43" t="s">
        <v>8973</v>
      </c>
      <c r="H1250" s="51" t="s">
        <v>48</v>
      </c>
      <c r="I1250" s="15" t="str">
        <f>IFERROR(__xludf.DUMMYFUNCTION("GOOGLETRANSLATE(H1250,""EN"",""ES"")"),"Finanzas")</f>
        <v>Finanzas</v>
      </c>
      <c r="J1250" s="16" t="s">
        <v>35</v>
      </c>
      <c r="K1250" s="48">
        <v>0.6</v>
      </c>
      <c r="L1250" s="51" t="s">
        <v>8974</v>
      </c>
      <c r="M1250" s="34" t="s">
        <v>8975</v>
      </c>
      <c r="N1250" s="65" t="s">
        <v>8879</v>
      </c>
      <c r="O1250" s="65" t="str">
        <f>IFERROR(__xludf.DUMMYFUNCTION("GOOGLETRANSLATE(N1250,""EN"",""ES"")"),"Ofrecer dividendos refuerza la confianza de los inversores en Repsol.")</f>
        <v>Ofrecer dividendos refuerza la confianza de los inversores en Repsol.</v>
      </c>
      <c r="P1250" s="30">
        <v>0.6</v>
      </c>
      <c r="Q1250" s="18" t="str">
        <f>IFERROR(__xludf.DUMMYFUNCTION("GOOGLETRANSLATE(R1250,""ES"",""EN"")"),"dividend, shareholders")</f>
        <v>dividend, shareholders</v>
      </c>
      <c r="R1250" s="34" t="s">
        <v>8880</v>
      </c>
      <c r="S1250" s="52" t="s">
        <v>8881</v>
      </c>
      <c r="T1250" s="22" t="s">
        <v>8882</v>
      </c>
    </row>
    <row r="1251">
      <c r="A1251" s="23" t="s">
        <v>8976</v>
      </c>
      <c r="B1251" s="58" t="s">
        <v>217</v>
      </c>
      <c r="C1251" s="41">
        <v>45372.0</v>
      </c>
      <c r="D1251" s="40" t="s">
        <v>8977</v>
      </c>
      <c r="E1251" s="41" t="s">
        <v>8978</v>
      </c>
      <c r="F1251" s="43" t="s">
        <v>8979</v>
      </c>
      <c r="G1251" s="43" t="s">
        <v>8980</v>
      </c>
      <c r="H1251" s="51" t="s">
        <v>130</v>
      </c>
      <c r="I1251" s="25" t="str">
        <f>IFERROR(__xludf.DUMMYFUNCTION("GOOGLETRANSLATE(H1251,""EN"",""ES"")"),"Sostenibilidad")</f>
        <v>Sostenibilidad</v>
      </c>
      <c r="J1251" s="26" t="s">
        <v>35</v>
      </c>
      <c r="K1251" s="48">
        <v>0.7</v>
      </c>
      <c r="L1251" s="49" t="s">
        <v>8981</v>
      </c>
      <c r="M1251" s="28" t="s">
        <v>8982</v>
      </c>
      <c r="N1251" s="66" t="s">
        <v>8983</v>
      </c>
      <c r="O1251" s="66" t="str">
        <f>IFERROR(__xludf.DUMMYFUNCTION("GOOGLETRANSLATE(N1251,""EN"",""ES"")"),"Explorar inversiones en energías renovables apoya la transición energética verde de Repsol.")</f>
        <v>Explorar inversiones en energías renovables apoya la transición energética verde de Repsol.</v>
      </c>
      <c r="P1251" s="30">
        <v>0.6</v>
      </c>
      <c r="Q1251" s="31" t="str">
        <f>IFERROR(__xludf.DUMMYFUNCTION("GOOGLETRANSLATE(R1251,""ES"",""EN"")"),"green hydrogen, CIP")</f>
        <v>green hydrogen, CIP</v>
      </c>
      <c r="R1251" s="28" t="s">
        <v>8984</v>
      </c>
      <c r="S1251" s="53" t="s">
        <v>8092</v>
      </c>
      <c r="T1251" s="32" t="s">
        <v>8093</v>
      </c>
    </row>
    <row r="1252">
      <c r="A1252" s="33" t="s">
        <v>8985</v>
      </c>
      <c r="B1252" s="60" t="s">
        <v>448</v>
      </c>
      <c r="C1252" s="41">
        <v>45372.0</v>
      </c>
      <c r="D1252" s="40" t="s">
        <v>8986</v>
      </c>
      <c r="E1252" s="41" t="s">
        <v>8987</v>
      </c>
      <c r="F1252" s="43" t="s">
        <v>8988</v>
      </c>
      <c r="G1252" s="43" t="s">
        <v>8989</v>
      </c>
      <c r="H1252" s="51" t="s">
        <v>408</v>
      </c>
      <c r="I1252" s="15" t="str">
        <f>IFERROR(__xludf.DUMMYFUNCTION("GOOGLETRANSLATE(H1252,""EN"",""ES"")"),"Legal")</f>
        <v>Legal</v>
      </c>
      <c r="J1252" s="16" t="s">
        <v>35</v>
      </c>
      <c r="K1252" s="48">
        <v>-0.6</v>
      </c>
      <c r="L1252" s="51" t="s">
        <v>8990</v>
      </c>
      <c r="M1252" s="34" t="s">
        <v>8991</v>
      </c>
      <c r="N1252" s="65" t="s">
        <v>8992</v>
      </c>
      <c r="O1252" s="65" t="str">
        <f>IFERROR(__xludf.DUMMYFUNCTION("GOOGLETRANSLATE(N1252,""EN"",""ES"")"),"Las continuas disputas públicas con competidores pueden dañar la reputación de Repsol.")</f>
        <v>Las continuas disputas públicas con competidores pueden dañar la reputación de Repsol.</v>
      </c>
      <c r="P1252" s="30">
        <v>-0.5</v>
      </c>
      <c r="Q1252" s="18" t="str">
        <f>IFERROR(__xludf.DUMMYFUNCTION("GOOGLETRANSLATE(R1252,""ES"",""EN"")"),"demand, war")</f>
        <v>demand, war</v>
      </c>
      <c r="R1252" s="34" t="s">
        <v>8993</v>
      </c>
      <c r="S1252" s="52" t="s">
        <v>8994</v>
      </c>
      <c r="T1252" s="22" t="s">
        <v>8995</v>
      </c>
    </row>
    <row r="1253">
      <c r="A1253" s="23" t="s">
        <v>8996</v>
      </c>
      <c r="B1253" s="58" t="s">
        <v>103</v>
      </c>
      <c r="C1253" s="41">
        <v>45372.0</v>
      </c>
      <c r="D1253" s="40" t="s">
        <v>8997</v>
      </c>
      <c r="E1253" s="41" t="s">
        <v>8998</v>
      </c>
      <c r="F1253" s="43" t="s">
        <v>8999</v>
      </c>
      <c r="G1253" s="43" t="s">
        <v>9000</v>
      </c>
      <c r="H1253" s="51" t="s">
        <v>1975</v>
      </c>
      <c r="I1253" s="25" t="str">
        <f>IFERROR(__xludf.DUMMYFUNCTION("GOOGLETRANSLATE(H1253,""EN"",""ES"")"),"Política")</f>
        <v>Política</v>
      </c>
      <c r="J1253" s="26" t="s">
        <v>35</v>
      </c>
      <c r="K1253" s="48">
        <v>-0.7</v>
      </c>
      <c r="L1253" s="49" t="s">
        <v>9001</v>
      </c>
      <c r="M1253" s="28" t="s">
        <v>9002</v>
      </c>
      <c r="N1253" s="66" t="s">
        <v>9003</v>
      </c>
      <c r="O1253" s="66" t="str">
        <f>IFERROR(__xludf.DUMMYFUNCTION("GOOGLETRANSLATE(N1253,""EN"",""ES"")"),"El conflicto con funcionarios del gobierno podría afectar las relaciones públicas de Repsol.")</f>
        <v>El conflicto con funcionarios del gobierno podría afectar las relaciones públicas de Repsol.</v>
      </c>
      <c r="P1253" s="30">
        <v>-0.5</v>
      </c>
      <c r="Q1253" s="31" t="str">
        <f>IFERROR(__xludf.DUMMYFUNCTION("GOOGLETRANSLATE(R1253,""ES"",""EN"")"),"demand, greenwashing")</f>
        <v>demand, greenwashing</v>
      </c>
      <c r="R1253" s="28" t="s">
        <v>9004</v>
      </c>
      <c r="S1253" s="53" t="s">
        <v>8994</v>
      </c>
      <c r="T1253" s="32" t="s">
        <v>8995</v>
      </c>
    </row>
    <row r="1254">
      <c r="A1254" s="33" t="s">
        <v>9005</v>
      </c>
      <c r="B1254" s="60" t="s">
        <v>8390</v>
      </c>
      <c r="C1254" s="41">
        <v>45372.0</v>
      </c>
      <c r="D1254" s="40" t="s">
        <v>9006</v>
      </c>
      <c r="E1254" s="41" t="s">
        <v>9007</v>
      </c>
      <c r="F1254" s="43" t="s">
        <v>9008</v>
      </c>
      <c r="G1254" s="43" t="s">
        <v>9009</v>
      </c>
      <c r="H1254" s="51" t="s">
        <v>661</v>
      </c>
      <c r="I1254" s="15" t="str">
        <f>IFERROR(__xludf.DUMMYFUNCTION("GOOGLETRANSLATE(H1254,""EN"",""ES"")"),"Estrategia empresarial")</f>
        <v>Estrategia empresarial</v>
      </c>
      <c r="J1254" s="16" t="s">
        <v>35</v>
      </c>
      <c r="K1254" s="48">
        <v>0.5</v>
      </c>
      <c r="L1254" s="51" t="s">
        <v>8088</v>
      </c>
      <c r="M1254" s="34" t="s">
        <v>8089</v>
      </c>
      <c r="N1254" s="65" t="s">
        <v>9010</v>
      </c>
      <c r="O1254" s="65" t="str">
        <f>IFERROR(__xludf.DUMMYFUNCTION("GOOGLETRANSLATE(N1254,""EN"",""ES"")"),"Defender las operaciones ante la presión regulatoria mantiene la postura de Repsol en política energética.")</f>
        <v>Defender las operaciones ante la presión regulatoria mantiene la postura de Repsol en política energética.</v>
      </c>
      <c r="P1254" s="30">
        <v>-0.5</v>
      </c>
      <c r="Q1254" s="18" t="str">
        <f>IFERROR(__xludf.DUMMYFUNCTION("GOOGLETRANSLATE(R1254,""ES"",""EN"")"),"refineries, minister")</f>
        <v>refineries, minister</v>
      </c>
      <c r="R1254" s="34" t="s">
        <v>9011</v>
      </c>
      <c r="S1254" s="52" t="s">
        <v>9012</v>
      </c>
      <c r="T1254" s="22" t="s">
        <v>9013</v>
      </c>
    </row>
    <row r="1255">
      <c r="A1255" s="23" t="s">
        <v>9014</v>
      </c>
      <c r="B1255" s="58" t="s">
        <v>2175</v>
      </c>
      <c r="C1255" s="41">
        <v>45372.0</v>
      </c>
      <c r="D1255" s="40" t="s">
        <v>9015</v>
      </c>
      <c r="E1255" s="41" t="s">
        <v>9016</v>
      </c>
      <c r="F1255" s="43" t="s">
        <v>9017</v>
      </c>
      <c r="G1255" s="43" t="s">
        <v>9018</v>
      </c>
      <c r="H1255" s="51" t="s">
        <v>1975</v>
      </c>
      <c r="I1255" s="25" t="str">
        <f>IFERROR(__xludf.DUMMYFUNCTION("GOOGLETRANSLATE(H1255,""EN"",""ES"")"),"Política")</f>
        <v>Política</v>
      </c>
      <c r="J1255" s="26" t="s">
        <v>35</v>
      </c>
      <c r="K1255" s="48">
        <v>-0.6</v>
      </c>
      <c r="L1255" s="49" t="s">
        <v>9019</v>
      </c>
      <c r="M1255" s="28" t="s">
        <v>9020</v>
      </c>
      <c r="N1255" s="66" t="s">
        <v>9021</v>
      </c>
      <c r="O1255" s="66" t="str">
        <f>IFERROR(__xludf.DUMMYFUNCTION("GOOGLETRANSLATE(N1255,""EN"",""ES"")"),"Las disputas en curso con los reguladores pueden dañar la posición de Repsol en las negociaciones de políticas.")</f>
        <v>Las disputas en curso con los reguladores pueden dañar la posición de Repsol en las negociaciones de políticas.</v>
      </c>
      <c r="P1255" s="30">
        <v>-0.5</v>
      </c>
      <c r="Q1255" s="31" t="str">
        <f>IFERROR(__xludf.DUMMYFUNCTION("GOOGLETRANSLATE(R1255,""ES"",""EN"")"),"deindustrialize, faces")</f>
        <v>deindustrialize, faces</v>
      </c>
      <c r="R1255" s="28" t="s">
        <v>9022</v>
      </c>
      <c r="S1255" s="53" t="s">
        <v>9012</v>
      </c>
      <c r="T1255" s="32" t="s">
        <v>9013</v>
      </c>
    </row>
    <row r="1256">
      <c r="A1256" s="33" t="s">
        <v>9023</v>
      </c>
      <c r="B1256" s="60" t="s">
        <v>3320</v>
      </c>
      <c r="C1256" s="41">
        <v>45373.0</v>
      </c>
      <c r="D1256" s="40" t="s">
        <v>9024</v>
      </c>
      <c r="E1256" s="41" t="s">
        <v>9025</v>
      </c>
      <c r="F1256" s="43" t="s">
        <v>9026</v>
      </c>
      <c r="G1256" s="43" t="s">
        <v>9027</v>
      </c>
      <c r="H1256" s="51" t="s">
        <v>130</v>
      </c>
      <c r="I1256" s="15" t="str">
        <f>IFERROR(__xludf.DUMMYFUNCTION("GOOGLETRANSLATE(H1256,""EN"",""ES"")"),"Sostenibilidad")</f>
        <v>Sostenibilidad</v>
      </c>
      <c r="J1256" s="16" t="s">
        <v>35</v>
      </c>
      <c r="K1256" s="48">
        <v>0.6</v>
      </c>
      <c r="L1256" s="51" t="s">
        <v>9028</v>
      </c>
      <c r="M1256" s="34" t="s">
        <v>9029</v>
      </c>
      <c r="N1256" s="65" t="s">
        <v>9030</v>
      </c>
      <c r="O1256" s="65" t="str">
        <f>IFERROR(__xludf.DUMMYFUNCTION("GOOGLETRANSLATE(N1256,""EN"",""ES"")"),"Fomentar el diálogo sobre sostenibilidad mejora la imagen de Repsol como líder del sector.")</f>
        <v>Fomentar el diálogo sobre sostenibilidad mejora la imagen de Repsol como líder del sector.</v>
      </c>
      <c r="P1256" s="30">
        <v>0.6</v>
      </c>
      <c r="Q1256" s="18" t="str">
        <f>IFERROR(__xludf.DUMMYFUNCTION("GOOGLETRANSLATE(R1256,""ES"",""EN"")"),"energy, economy")</f>
        <v>energy, economy</v>
      </c>
      <c r="R1256" s="34" t="s">
        <v>9031</v>
      </c>
      <c r="S1256" s="52" t="s">
        <v>9032</v>
      </c>
      <c r="T1256" s="22" t="s">
        <v>9033</v>
      </c>
    </row>
    <row r="1257">
      <c r="A1257" s="23" t="s">
        <v>9034</v>
      </c>
      <c r="B1257" s="58" t="s">
        <v>85</v>
      </c>
      <c r="C1257" s="41">
        <v>45372.0</v>
      </c>
      <c r="D1257" s="40" t="s">
        <v>9035</v>
      </c>
      <c r="E1257" s="41" t="s">
        <v>9036</v>
      </c>
      <c r="F1257" s="43" t="s">
        <v>9037</v>
      </c>
      <c r="G1257" s="43" t="s">
        <v>9038</v>
      </c>
      <c r="H1257" s="51" t="s">
        <v>148</v>
      </c>
      <c r="I1257" s="25" t="str">
        <f>IFERROR(__xludf.DUMMYFUNCTION("GOOGLETRANSLATE(H1257,""EN"",""ES"")"),"Gastronomía")</f>
        <v>Gastronomía</v>
      </c>
      <c r="J1257" s="26" t="s">
        <v>27</v>
      </c>
      <c r="K1257" s="17">
        <v>0.0</v>
      </c>
      <c r="L1257" s="54"/>
      <c r="M1257" s="31"/>
      <c r="N1257" s="66"/>
      <c r="O1257" s="66"/>
      <c r="P1257" s="20">
        <v>0.0</v>
      </c>
      <c r="Q1257" s="31"/>
      <c r="R1257" s="31"/>
      <c r="S1257" s="53"/>
      <c r="T1257" s="32"/>
    </row>
    <row r="1258">
      <c r="A1258" s="33" t="s">
        <v>9039</v>
      </c>
      <c r="B1258" s="60" t="s">
        <v>4750</v>
      </c>
      <c r="C1258" s="41">
        <v>45372.0</v>
      </c>
      <c r="D1258" s="40" t="s">
        <v>9040</v>
      </c>
      <c r="E1258" s="41" t="s">
        <v>9041</v>
      </c>
      <c r="F1258" s="43" t="s">
        <v>9042</v>
      </c>
      <c r="G1258" s="43" t="s">
        <v>9043</v>
      </c>
      <c r="H1258" s="51" t="s">
        <v>148</v>
      </c>
      <c r="I1258" s="15" t="str">
        <f>IFERROR(__xludf.DUMMYFUNCTION("GOOGLETRANSLATE(H1258,""EN"",""ES"")"),"Gastronomía")</f>
        <v>Gastronomía</v>
      </c>
      <c r="J1258" s="16" t="s">
        <v>27</v>
      </c>
      <c r="K1258" s="17">
        <v>0.0</v>
      </c>
      <c r="L1258" s="45"/>
      <c r="M1258" s="18"/>
      <c r="N1258" s="65"/>
      <c r="O1258" s="65"/>
      <c r="P1258" s="20">
        <v>0.0</v>
      </c>
      <c r="Q1258" s="18"/>
      <c r="R1258" s="18"/>
      <c r="S1258" s="52"/>
      <c r="T1258" s="22"/>
    </row>
    <row r="1259">
      <c r="A1259" s="23" t="s">
        <v>9044</v>
      </c>
      <c r="B1259" s="58" t="s">
        <v>6608</v>
      </c>
      <c r="C1259" s="41">
        <v>45372.0</v>
      </c>
      <c r="D1259" s="40" t="s">
        <v>9045</v>
      </c>
      <c r="E1259" s="41" t="s">
        <v>9046</v>
      </c>
      <c r="F1259" s="43" t="s">
        <v>9047</v>
      </c>
      <c r="G1259" s="43" t="s">
        <v>9048</v>
      </c>
      <c r="H1259" s="51" t="s">
        <v>1975</v>
      </c>
      <c r="I1259" s="25" t="str">
        <f>IFERROR(__xludf.DUMMYFUNCTION("GOOGLETRANSLATE(H1259,""EN"",""ES"")"),"Política")</f>
        <v>Política</v>
      </c>
      <c r="J1259" s="26" t="s">
        <v>35</v>
      </c>
      <c r="K1259" s="48">
        <v>-0.6</v>
      </c>
      <c r="L1259" s="49" t="s">
        <v>9049</v>
      </c>
      <c r="M1259" s="28" t="s">
        <v>9050</v>
      </c>
      <c r="N1259" s="66" t="s">
        <v>9051</v>
      </c>
      <c r="O1259" s="66" t="str">
        <f>IFERROR(__xludf.DUMMYFUNCTION("GOOGLETRANSLATE(N1259,""EN"",""ES"")"),"Los enfrentamientos con las autoridades podrían afectar la situación regulatoria de Repsol.")</f>
        <v>Los enfrentamientos con las autoridades podrían afectar la situación regulatoria de Repsol.</v>
      </c>
      <c r="P1259" s="30">
        <v>-0.5</v>
      </c>
      <c r="Q1259" s="31" t="str">
        <f>IFERROR(__xludf.DUMMYFUNCTION("GOOGLETRANSLATE(R1259,""ES"",""EN"")"),"refineries, greenwashing")</f>
        <v>refineries, greenwashing</v>
      </c>
      <c r="R1259" s="28" t="s">
        <v>9052</v>
      </c>
      <c r="S1259" s="53" t="s">
        <v>9012</v>
      </c>
      <c r="T1259" s="32" t="s">
        <v>9013</v>
      </c>
    </row>
    <row r="1260">
      <c r="A1260" s="33" t="s">
        <v>9053</v>
      </c>
      <c r="B1260" s="60" t="s">
        <v>3992</v>
      </c>
      <c r="C1260" s="41">
        <v>45372.0</v>
      </c>
      <c r="D1260" s="40" t="s">
        <v>9054</v>
      </c>
      <c r="E1260" s="41" t="s">
        <v>9055</v>
      </c>
      <c r="F1260" s="43" t="s">
        <v>9056</v>
      </c>
      <c r="G1260" s="43" t="s">
        <v>9057</v>
      </c>
      <c r="H1260" s="51" t="s">
        <v>1975</v>
      </c>
      <c r="I1260" s="15" t="str">
        <f>IFERROR(__xludf.DUMMYFUNCTION("GOOGLETRANSLATE(H1260,""EN"",""ES"")"),"Política")</f>
        <v>Política</v>
      </c>
      <c r="J1260" s="16" t="s">
        <v>35</v>
      </c>
      <c r="K1260" s="48">
        <v>-0.7</v>
      </c>
      <c r="L1260" s="51" t="s">
        <v>9058</v>
      </c>
      <c r="M1260" s="34" t="s">
        <v>9059</v>
      </c>
      <c r="N1260" s="65" t="s">
        <v>9060</v>
      </c>
      <c r="O1260" s="65" t="str">
        <f>IFERROR(__xludf.DUMMYFUNCTION("GOOGLETRANSLATE(N1260,""EN"",""ES"")"),"Los conflictos públicos con el gobierno pueden impactar negativamente la imagen corporativa de Repsol.")</f>
        <v>Los conflictos públicos con el gobierno pueden impactar negativamente la imagen corporativa de Repsol.</v>
      </c>
      <c r="P1260" s="30">
        <v>-0.5</v>
      </c>
      <c r="Q1260" s="18" t="str">
        <f>IFERROR(__xludf.DUMMYFUNCTION("GOOGLETRANSLATE(R1260,""ES"",""EN"")"),"refineries, jobs")</f>
        <v>refineries, jobs</v>
      </c>
      <c r="R1260" s="34" t="s">
        <v>9061</v>
      </c>
      <c r="S1260" s="52" t="s">
        <v>9012</v>
      </c>
      <c r="T1260" s="22" t="s">
        <v>9013</v>
      </c>
    </row>
    <row r="1261">
      <c r="A1261" s="23" t="s">
        <v>9062</v>
      </c>
      <c r="B1261" s="58" t="s">
        <v>163</v>
      </c>
      <c r="C1261" s="41">
        <v>45372.0</v>
      </c>
      <c r="D1261" s="40" t="s">
        <v>9063</v>
      </c>
      <c r="E1261" s="41" t="s">
        <v>9064</v>
      </c>
      <c r="F1261" s="43" t="s">
        <v>9065</v>
      </c>
      <c r="G1261" s="43" t="s">
        <v>9066</v>
      </c>
      <c r="H1261" s="51" t="s">
        <v>1975</v>
      </c>
      <c r="I1261" s="25" t="str">
        <f>IFERROR(__xludf.DUMMYFUNCTION("GOOGLETRANSLATE(H1261,""EN"",""ES"")"),"Política")</f>
        <v>Política</v>
      </c>
      <c r="J1261" s="26" t="s">
        <v>35</v>
      </c>
      <c r="K1261" s="48">
        <v>-0.6</v>
      </c>
      <c r="L1261" s="49" t="s">
        <v>9058</v>
      </c>
      <c r="M1261" s="28" t="s">
        <v>9059</v>
      </c>
      <c r="N1261" s="66" t="s">
        <v>9067</v>
      </c>
      <c r="O1261" s="66" t="str">
        <f>IFERROR(__xludf.DUMMYFUNCTION("GOOGLETRANSLATE(N1261,""EN"",""ES"")"),"Las disputas regulatorias en curso podrían crear desafíos para las operaciones comerciales de Repsol.")</f>
        <v>Las disputas regulatorias en curso podrían crear desafíos para las operaciones comerciales de Repsol.</v>
      </c>
      <c r="P1261" s="30">
        <v>-0.5</v>
      </c>
      <c r="Q1261" s="31" t="str">
        <f>IFERROR(__xludf.DUMMYFUNCTION("GOOGLETRANSLATE(R1261,""ES"",""EN"")"),"refineries, minister")</f>
        <v>refineries, minister</v>
      </c>
      <c r="R1261" s="28" t="s">
        <v>9011</v>
      </c>
      <c r="S1261" s="53" t="s">
        <v>9012</v>
      </c>
      <c r="T1261" s="32" t="s">
        <v>9013</v>
      </c>
    </row>
    <row r="1262">
      <c r="A1262" s="33" t="s">
        <v>9068</v>
      </c>
      <c r="B1262" s="60" t="s">
        <v>8287</v>
      </c>
      <c r="C1262" s="41">
        <v>45372.0</v>
      </c>
      <c r="D1262" s="40" t="s">
        <v>9069</v>
      </c>
      <c r="E1262" s="41" t="s">
        <v>9070</v>
      </c>
      <c r="F1262" s="43" t="s">
        <v>9071</v>
      </c>
      <c r="G1262" s="43" t="s">
        <v>9072</v>
      </c>
      <c r="H1262" s="51" t="s">
        <v>408</v>
      </c>
      <c r="I1262" s="15" t="str">
        <f>IFERROR(__xludf.DUMMYFUNCTION("GOOGLETRANSLATE(H1262,""EN"",""ES"")"),"Legal")</f>
        <v>Legal</v>
      </c>
      <c r="J1262" s="16" t="s">
        <v>35</v>
      </c>
      <c r="K1262" s="48">
        <v>-0.7</v>
      </c>
      <c r="L1262" s="51" t="s">
        <v>9073</v>
      </c>
      <c r="M1262" s="34" t="s">
        <v>9074</v>
      </c>
      <c r="N1262" s="65" t="s">
        <v>9075</v>
      </c>
      <c r="O1262" s="65" t="str">
        <f>IFERROR(__xludf.DUMMYFUNCTION("GOOGLETRANSLATE(N1262,""EN"",""ES"")"),"Los continuos conflictos legales podrían erosionar la confianza en los compromisos de sostenibilidad de Repsol.")</f>
        <v>Los continuos conflictos legales podrían erosionar la confianza en los compromisos de sostenibilidad de Repsol.</v>
      </c>
      <c r="P1262" s="30">
        <v>-0.8</v>
      </c>
      <c r="Q1262" s="18" t="str">
        <f>IFERROR(__xludf.DUMMYFUNCTION("GOOGLETRANSLATE(R1262,""ES"",""EN"")"),"legal battle, greenwashing")</f>
        <v>legal battle, greenwashing</v>
      </c>
      <c r="R1262" s="34" t="s">
        <v>9076</v>
      </c>
      <c r="S1262" s="52" t="s">
        <v>8662</v>
      </c>
      <c r="T1262" s="22" t="s">
        <v>8663</v>
      </c>
    </row>
    <row r="1263">
      <c r="A1263" s="23" t="s">
        <v>9077</v>
      </c>
      <c r="B1263" s="58" t="s">
        <v>163</v>
      </c>
      <c r="C1263" s="41">
        <v>45372.0</v>
      </c>
      <c r="D1263" s="40" t="s">
        <v>9078</v>
      </c>
      <c r="E1263" s="41" t="s">
        <v>9079</v>
      </c>
      <c r="F1263" s="43" t="s">
        <v>9080</v>
      </c>
      <c r="G1263" s="43" t="s">
        <v>9081</v>
      </c>
      <c r="H1263" s="51" t="s">
        <v>408</v>
      </c>
      <c r="I1263" s="25" t="str">
        <f>IFERROR(__xludf.DUMMYFUNCTION("GOOGLETRANSLATE(H1263,""EN"",""ES"")"),"Legal")</f>
        <v>Legal</v>
      </c>
      <c r="J1263" s="26" t="s">
        <v>35</v>
      </c>
      <c r="K1263" s="48">
        <v>-0.6</v>
      </c>
      <c r="L1263" s="49" t="s">
        <v>9073</v>
      </c>
      <c r="M1263" s="28" t="s">
        <v>9074</v>
      </c>
      <c r="N1263" s="66" t="s">
        <v>9082</v>
      </c>
      <c r="O1263" s="66" t="str">
        <f>IFERROR(__xludf.DUMMYFUNCTION("GOOGLETRANSLATE(N1263,""EN"",""ES"")"),"Las disputas entre gigantes energéticos pueden afectar la confianza de los inversores en Repsol.")</f>
        <v>Las disputas entre gigantes energéticos pueden afectar la confianza de los inversores en Repsol.</v>
      </c>
      <c r="P1263" s="30">
        <v>-0.5</v>
      </c>
      <c r="Q1263" s="31" t="str">
        <f>IFERROR(__xludf.DUMMYFUNCTION("GOOGLETRANSLATE(R1263,""ES"",""EN"")"),"demand, BOE")</f>
        <v>demand, BOE</v>
      </c>
      <c r="R1263" s="28" t="s">
        <v>9083</v>
      </c>
      <c r="S1263" s="53" t="s">
        <v>8994</v>
      </c>
      <c r="T1263" s="32" t="s">
        <v>8995</v>
      </c>
    </row>
    <row r="1264">
      <c r="A1264" s="33" t="s">
        <v>9084</v>
      </c>
      <c r="B1264" s="60" t="s">
        <v>229</v>
      </c>
      <c r="C1264" s="41">
        <v>45372.0</v>
      </c>
      <c r="D1264" s="40" t="s">
        <v>9085</v>
      </c>
      <c r="E1264" s="41" t="s">
        <v>9086</v>
      </c>
      <c r="F1264" s="43" t="s">
        <v>9087</v>
      </c>
      <c r="G1264" s="43" t="s">
        <v>9088</v>
      </c>
      <c r="H1264" s="51" t="s">
        <v>661</v>
      </c>
      <c r="I1264" s="15" t="str">
        <f>IFERROR(__xludf.DUMMYFUNCTION("GOOGLETRANSLATE(H1264,""EN"",""ES"")"),"Estrategia empresarial")</f>
        <v>Estrategia empresarial</v>
      </c>
      <c r="J1264" s="16" t="s">
        <v>35</v>
      </c>
      <c r="K1264" s="48">
        <v>-0.5</v>
      </c>
      <c r="L1264" s="51" t="s">
        <v>9089</v>
      </c>
      <c r="M1264" s="34" t="s">
        <v>9090</v>
      </c>
      <c r="N1264" s="65" t="s">
        <v>9091</v>
      </c>
      <c r="O1264" s="65" t="str">
        <f>IFERROR(__xludf.DUMMYFUNCTION("GOOGLETRANSLATE(N1264,""EN"",""ES"")"),"Una mayor competencia en energías renovables podría desafiar la posición de mercado de Repsol.")</f>
        <v>Una mayor competencia en energías renovables podría desafiar la posición de mercado de Repsol.</v>
      </c>
      <c r="P1264" s="30">
        <v>-0.3</v>
      </c>
      <c r="Q1264" s="18" t="str">
        <f>IFERROR(__xludf.DUMMYFUNCTION("GOOGLETRANSLATE(R1264,""ES"",""EN"")"),"Cepsa, gasoline")</f>
        <v>Cepsa, gasoline</v>
      </c>
      <c r="R1264" s="34" t="s">
        <v>9092</v>
      </c>
      <c r="S1264" s="52" t="s">
        <v>9093</v>
      </c>
      <c r="T1264" s="22" t="s">
        <v>9094</v>
      </c>
    </row>
    <row r="1265">
      <c r="A1265" s="23" t="s">
        <v>9095</v>
      </c>
      <c r="B1265" s="58" t="s">
        <v>3273</v>
      </c>
      <c r="C1265" s="41">
        <v>45372.0</v>
      </c>
      <c r="D1265" s="40" t="s">
        <v>9096</v>
      </c>
      <c r="E1265" s="41" t="s">
        <v>9097</v>
      </c>
      <c r="F1265" s="43" t="s">
        <v>9098</v>
      </c>
      <c r="G1265" s="43" t="s">
        <v>9099</v>
      </c>
      <c r="H1265" s="51" t="s">
        <v>55</v>
      </c>
      <c r="I1265" s="25" t="str">
        <f>IFERROR(__xludf.DUMMYFUNCTION("GOOGLETRANSLATE(H1265,""EN"",""ES"")"),"deportes de motor")</f>
        <v>deportes de motor</v>
      </c>
      <c r="J1265" s="26" t="s">
        <v>27</v>
      </c>
      <c r="K1265" s="17">
        <v>0.0</v>
      </c>
      <c r="L1265" s="54"/>
      <c r="M1265" s="31"/>
      <c r="N1265" s="66"/>
      <c r="O1265" s="66"/>
      <c r="P1265" s="20">
        <v>0.0</v>
      </c>
      <c r="Q1265" s="31"/>
      <c r="R1265" s="31"/>
      <c r="S1265" s="53"/>
      <c r="T1265" s="32"/>
    </row>
    <row r="1266">
      <c r="A1266" s="33" t="s">
        <v>9100</v>
      </c>
      <c r="B1266" s="60" t="s">
        <v>85</v>
      </c>
      <c r="C1266" s="41">
        <v>45372.0</v>
      </c>
      <c r="D1266" s="40" t="s">
        <v>9101</v>
      </c>
      <c r="E1266" s="41" t="s">
        <v>9102</v>
      </c>
      <c r="F1266" s="43" t="s">
        <v>9103</v>
      </c>
      <c r="G1266" s="43" t="s">
        <v>9104</v>
      </c>
      <c r="H1266" s="51" t="s">
        <v>1975</v>
      </c>
      <c r="I1266" s="15" t="str">
        <f>IFERROR(__xludf.DUMMYFUNCTION("GOOGLETRANSLATE(H1266,""EN"",""ES"")"),"Política")</f>
        <v>Política</v>
      </c>
      <c r="J1266" s="16" t="s">
        <v>35</v>
      </c>
      <c r="K1266" s="48">
        <v>-0.5</v>
      </c>
      <c r="L1266" s="51" t="s">
        <v>9049</v>
      </c>
      <c r="M1266" s="34" t="s">
        <v>9050</v>
      </c>
      <c r="N1266" s="65" t="s">
        <v>9105</v>
      </c>
      <c r="O1266" s="65" t="str">
        <f>IFERROR(__xludf.DUMMYFUNCTION("GOOGLETRANSLATE(N1266,""EN"",""ES"")"),"Las disputas con el gobierno pueden afectar las negociaciones regulatorias de Repsol.")</f>
        <v>Las disputas con el gobierno pueden afectar las negociaciones regulatorias de Repsol.</v>
      </c>
      <c r="P1266" s="30">
        <v>0.0</v>
      </c>
      <c r="Q1266" s="18"/>
      <c r="R1266" s="18"/>
      <c r="S1266" s="52" t="s">
        <v>8168</v>
      </c>
      <c r="T1266" s="22" t="s">
        <v>8169</v>
      </c>
    </row>
    <row r="1267">
      <c r="A1267" s="23" t="s">
        <v>9106</v>
      </c>
      <c r="B1267" s="58" t="s">
        <v>163</v>
      </c>
      <c r="C1267" s="41">
        <v>45373.0</v>
      </c>
      <c r="D1267" s="40" t="s">
        <v>9107</v>
      </c>
      <c r="E1267" s="41" t="s">
        <v>9108</v>
      </c>
      <c r="F1267" s="43" t="s">
        <v>9109</v>
      </c>
      <c r="G1267" s="43" t="s">
        <v>9110</v>
      </c>
      <c r="H1267" s="51" t="s">
        <v>34</v>
      </c>
      <c r="I1267" s="25" t="str">
        <f>IFERROR(__xludf.DUMMYFUNCTION("GOOGLETRANSLATE(H1267,""EN"",""ES"")"),"Responsabilidad Social Corporativa")</f>
        <v>Responsabilidad Social Corporativa</v>
      </c>
      <c r="J1267" s="26" t="s">
        <v>35</v>
      </c>
      <c r="K1267" s="48">
        <v>0.7</v>
      </c>
      <c r="L1267" s="49" t="s">
        <v>9111</v>
      </c>
      <c r="M1267" s="28" t="s">
        <v>9112</v>
      </c>
      <c r="N1267" s="66" t="s">
        <v>9113</v>
      </c>
      <c r="O1267" s="66" t="str">
        <f>IFERROR(__xludf.DUMMYFUNCTION("GOOGLETRANSLATE(N1267,""EN"",""ES"")"),"Invertir en educación laboral mejora la reputación corporativa de Repsol.")</f>
        <v>Invertir en educación laboral mejora la reputación corporativa de Repsol.</v>
      </c>
      <c r="P1267" s="30">
        <v>0.7</v>
      </c>
      <c r="Q1267" s="31" t="str">
        <f>IFERROR(__xludf.DUMMYFUNCTION("GOOGLETRANSLATE(R1267,""ES"",""EN"")"),"Dual FP, training")</f>
        <v>Dual FP, training</v>
      </c>
      <c r="R1267" s="28" t="s">
        <v>6019</v>
      </c>
      <c r="S1267" s="53" t="s">
        <v>9114</v>
      </c>
      <c r="T1267" s="32" t="s">
        <v>9115</v>
      </c>
    </row>
    <row r="1268">
      <c r="A1268" s="33" t="s">
        <v>9116</v>
      </c>
      <c r="B1268" s="60" t="s">
        <v>125</v>
      </c>
      <c r="C1268" s="41">
        <v>45373.0</v>
      </c>
      <c r="D1268" s="40" t="s">
        <v>9117</v>
      </c>
      <c r="E1268" s="41" t="s">
        <v>9118</v>
      </c>
      <c r="F1268" s="43" t="s">
        <v>9119</v>
      </c>
      <c r="G1268" s="43" t="s">
        <v>9120</v>
      </c>
      <c r="H1268" s="51" t="s">
        <v>661</v>
      </c>
      <c r="I1268" s="15" t="str">
        <f>IFERROR(__xludf.DUMMYFUNCTION("GOOGLETRANSLATE(H1268,""EN"",""ES"")"),"Estrategia empresarial")</f>
        <v>Estrategia empresarial</v>
      </c>
      <c r="J1268" s="16" t="s">
        <v>35</v>
      </c>
      <c r="K1268" s="48">
        <v>0.6</v>
      </c>
      <c r="L1268" s="51" t="s">
        <v>9121</v>
      </c>
      <c r="M1268" s="34" t="s">
        <v>9122</v>
      </c>
      <c r="N1268" s="65" t="s">
        <v>9123</v>
      </c>
      <c r="O1268" s="65" t="str">
        <f>IFERROR(__xludf.DUMMYFUNCTION("GOOGLETRANSLATE(N1268,""EN"",""ES"")"),"Priorizar la seguridad laboral refuerza el compromiso de Repsol con una operación responsable.")</f>
        <v>Priorizar la seguridad laboral refuerza el compromiso de Repsol con una operación responsable.</v>
      </c>
      <c r="P1268" s="30">
        <v>0.6</v>
      </c>
      <c r="Q1268" s="18" t="str">
        <f>IFERROR(__xludf.DUMMYFUNCTION("GOOGLETRANSLATE(R1268,""ES"",""EN"")"),"safety, stop")</f>
        <v>safety, stop</v>
      </c>
      <c r="R1268" s="34" t="s">
        <v>9124</v>
      </c>
      <c r="S1268" s="52" t="s">
        <v>9125</v>
      </c>
      <c r="T1268" s="22" t="s">
        <v>9126</v>
      </c>
    </row>
    <row r="1269">
      <c r="A1269" s="23" t="s">
        <v>9127</v>
      </c>
      <c r="B1269" s="58" t="s">
        <v>431</v>
      </c>
      <c r="C1269" s="41">
        <v>45373.0</v>
      </c>
      <c r="D1269" s="40" t="s">
        <v>9128</v>
      </c>
      <c r="E1269" s="41" t="s">
        <v>9129</v>
      </c>
      <c r="F1269" s="43" t="s">
        <v>9130</v>
      </c>
      <c r="G1269" s="43" t="s">
        <v>9131</v>
      </c>
      <c r="H1269" s="51" t="s">
        <v>34</v>
      </c>
      <c r="I1269" s="25" t="str">
        <f>IFERROR(__xludf.DUMMYFUNCTION("GOOGLETRANSLATE(H1269,""EN"",""ES"")"),"Responsabilidad Social Corporativa")</f>
        <v>Responsabilidad Social Corporativa</v>
      </c>
      <c r="J1269" s="26" t="s">
        <v>35</v>
      </c>
      <c r="K1269" s="48">
        <v>0.7</v>
      </c>
      <c r="L1269" s="49" t="s">
        <v>9132</v>
      </c>
      <c r="M1269" s="28" t="s">
        <v>9133</v>
      </c>
      <c r="N1269" s="66" t="s">
        <v>9134</v>
      </c>
      <c r="O1269" s="66" t="str">
        <f>IFERROR(__xludf.DUMMYFUNCTION("GOOGLETRANSLATE(N1269,""EN"",""ES"")"),"Apoyar la innovación fortalece la imagen de sostenibilidad de Repsol.")</f>
        <v>Apoyar la innovación fortalece la imagen de sostenibilidad de Repsol.</v>
      </c>
      <c r="P1269" s="30">
        <v>0.7</v>
      </c>
      <c r="Q1269" s="31" t="str">
        <f>IFERROR(__xludf.DUMMYFUNCTION("GOOGLETRANSLATE(R1269,""ES"",""EN"")"),"Challenge, Repsol Foundation")</f>
        <v>Challenge, Repsol Foundation</v>
      </c>
      <c r="R1269" s="28" t="s">
        <v>9135</v>
      </c>
      <c r="S1269" s="53" t="s">
        <v>8190</v>
      </c>
      <c r="T1269" s="32" t="s">
        <v>8191</v>
      </c>
    </row>
    <row r="1270">
      <c r="A1270" s="33" t="s">
        <v>9136</v>
      </c>
      <c r="B1270" s="60" t="s">
        <v>9137</v>
      </c>
      <c r="C1270" s="41">
        <v>45373.0</v>
      </c>
      <c r="D1270" s="40" t="s">
        <v>9138</v>
      </c>
      <c r="E1270" s="41" t="s">
        <v>9139</v>
      </c>
      <c r="F1270" s="43" t="s">
        <v>9140</v>
      </c>
      <c r="G1270" s="43" t="s">
        <v>9141</v>
      </c>
      <c r="H1270" s="51" t="s">
        <v>130</v>
      </c>
      <c r="I1270" s="15" t="str">
        <f>IFERROR(__xludf.DUMMYFUNCTION("GOOGLETRANSLATE(H1270,""EN"",""ES"")"),"Sostenibilidad")</f>
        <v>Sostenibilidad</v>
      </c>
      <c r="J1270" s="16" t="s">
        <v>35</v>
      </c>
      <c r="K1270" s="48">
        <v>0.7</v>
      </c>
      <c r="L1270" s="51" t="s">
        <v>8262</v>
      </c>
      <c r="M1270" s="34" t="s">
        <v>8263</v>
      </c>
      <c r="N1270" s="65" t="s">
        <v>9142</v>
      </c>
      <c r="O1270" s="65" t="str">
        <f>IFERROR(__xludf.DUMMYFUNCTION("GOOGLETRANSLATE(N1270,""EN"",""ES"")"),"Impulsar el embalaje sostenible potencia la responsabilidad ambiental de Repsol.")</f>
        <v>Impulsar el embalaje sostenible potencia la responsabilidad ambiental de Repsol.</v>
      </c>
      <c r="P1270" s="30">
        <v>0.7</v>
      </c>
      <c r="Q1270" s="18" t="str">
        <f>IFERROR(__xludf.DUMMYFUNCTION("GOOGLETRANSLATE(R1270,""ES"",""EN"")"),"packaging, recycled plastic")</f>
        <v>packaging, recycled plastic</v>
      </c>
      <c r="R1270" s="34" t="s">
        <v>8968</v>
      </c>
      <c r="S1270" s="52" t="s">
        <v>8255</v>
      </c>
      <c r="T1270" s="22" t="s">
        <v>8256</v>
      </c>
    </row>
    <row r="1271">
      <c r="A1271" s="23" t="s">
        <v>9143</v>
      </c>
      <c r="B1271" s="58" t="s">
        <v>21</v>
      </c>
      <c r="C1271" s="41">
        <v>45373.0</v>
      </c>
      <c r="D1271" s="40" t="s">
        <v>9144</v>
      </c>
      <c r="E1271" s="41" t="s">
        <v>9145</v>
      </c>
      <c r="F1271" s="43" t="s">
        <v>9146</v>
      </c>
      <c r="G1271" s="43" t="s">
        <v>9147</v>
      </c>
      <c r="H1271" s="51" t="s">
        <v>8777</v>
      </c>
      <c r="I1271" s="25" t="str">
        <f>IFERROR(__xludf.DUMMYFUNCTION("GOOGLETRANSLATE(H1271,""EN"",""ES"")"),"Cultura")</f>
        <v>Cultura</v>
      </c>
      <c r="J1271" s="26" t="s">
        <v>27</v>
      </c>
      <c r="K1271" s="17">
        <v>0.0</v>
      </c>
      <c r="L1271" s="54"/>
      <c r="M1271" s="31"/>
      <c r="N1271" s="66"/>
      <c r="O1271" s="66"/>
      <c r="P1271" s="20">
        <v>0.0</v>
      </c>
      <c r="Q1271" s="31"/>
      <c r="R1271" s="31"/>
      <c r="S1271" s="53"/>
      <c r="T1271" s="32"/>
    </row>
    <row r="1272">
      <c r="A1272" s="33" t="s">
        <v>9148</v>
      </c>
      <c r="B1272" s="60" t="s">
        <v>192</v>
      </c>
      <c r="C1272" s="41">
        <v>45373.0</v>
      </c>
      <c r="D1272" s="40" t="s">
        <v>9149</v>
      </c>
      <c r="E1272" s="41" t="s">
        <v>9150</v>
      </c>
      <c r="F1272" s="43" t="s">
        <v>9151</v>
      </c>
      <c r="G1272" s="43" t="s">
        <v>9152</v>
      </c>
      <c r="H1272" s="51" t="s">
        <v>1975</v>
      </c>
      <c r="I1272" s="15" t="str">
        <f>IFERROR(__xludf.DUMMYFUNCTION("GOOGLETRANSLATE(H1272,""EN"",""ES"")"),"Política")</f>
        <v>Política</v>
      </c>
      <c r="J1272" s="16" t="s">
        <v>35</v>
      </c>
      <c r="K1272" s="48">
        <v>-0.6</v>
      </c>
      <c r="L1272" s="51" t="s">
        <v>9153</v>
      </c>
      <c r="M1272" s="34" t="s">
        <v>9154</v>
      </c>
      <c r="N1272" s="65" t="s">
        <v>9155</v>
      </c>
      <c r="O1272" s="65" t="str">
        <f>IFERROR(__xludf.DUMMYFUNCTION("GOOGLETRANSLATE(N1272,""EN"",""ES"")"),"Las tensiones políticas en torno a la batalla legal de Repsol podrían afectar su negocio.")</f>
        <v>Las tensiones políticas en torno a la batalla legal de Repsol podrían afectar su negocio.</v>
      </c>
      <c r="P1272" s="30">
        <v>-0.5</v>
      </c>
      <c r="Q1272" s="18" t="str">
        <f>IFERROR(__xludf.DUMMYFUNCTION("GOOGLETRANSLATE(R1272,""ES"",""EN"")"),"confrontation, Government")</f>
        <v>confrontation, Government</v>
      </c>
      <c r="R1272" s="34" t="s">
        <v>9156</v>
      </c>
      <c r="S1272" s="52" t="s">
        <v>9012</v>
      </c>
      <c r="T1272" s="22" t="s">
        <v>9013</v>
      </c>
    </row>
    <row r="1273">
      <c r="A1273" s="23" t="s">
        <v>9157</v>
      </c>
      <c r="B1273" s="58" t="s">
        <v>448</v>
      </c>
      <c r="C1273" s="41">
        <v>45373.0</v>
      </c>
      <c r="D1273" s="40" t="s">
        <v>9158</v>
      </c>
      <c r="E1273" s="41" t="s">
        <v>9159</v>
      </c>
      <c r="F1273" s="43" t="s">
        <v>9160</v>
      </c>
      <c r="G1273" s="43" t="s">
        <v>9161</v>
      </c>
      <c r="H1273" s="51" t="s">
        <v>1975</v>
      </c>
      <c r="I1273" s="25" t="str">
        <f>IFERROR(__xludf.DUMMYFUNCTION("GOOGLETRANSLATE(H1273,""EN"",""ES"")"),"Política")</f>
        <v>Política</v>
      </c>
      <c r="J1273" s="26" t="s">
        <v>35</v>
      </c>
      <c r="K1273" s="48">
        <v>-0.6</v>
      </c>
      <c r="L1273" s="49" t="s">
        <v>9162</v>
      </c>
      <c r="M1273" s="28" t="s">
        <v>9163</v>
      </c>
      <c r="N1273" s="66" t="s">
        <v>9164</v>
      </c>
      <c r="O1273" s="66" t="str">
        <f>IFERROR(__xludf.DUMMYFUNCTION("GOOGLETRANSLATE(N1273,""EN"",""ES"")"),"El supuesto favoritismo hacia Iberdrola podría perjudicar a Repsol en el mercado energético.")</f>
        <v>El supuesto favoritismo hacia Iberdrola podría perjudicar a Repsol en el mercado energético.</v>
      </c>
      <c r="P1273" s="30">
        <v>-0.5</v>
      </c>
      <c r="Q1273" s="31" t="str">
        <f>IFERROR(__xludf.DUMMYFUNCTION("GOOGLETRANSLATE(R1273,""ES"",""EN"")"),"alliance, nuclear")</f>
        <v>alliance, nuclear</v>
      </c>
      <c r="R1273" s="28" t="s">
        <v>9165</v>
      </c>
      <c r="S1273" s="53" t="s">
        <v>9012</v>
      </c>
      <c r="T1273" s="32" t="s">
        <v>9013</v>
      </c>
    </row>
    <row r="1274">
      <c r="A1274" s="33" t="s">
        <v>9166</v>
      </c>
      <c r="B1274" s="60" t="s">
        <v>403</v>
      </c>
      <c r="C1274" s="41">
        <v>45373.0</v>
      </c>
      <c r="D1274" s="40" t="s">
        <v>9167</v>
      </c>
      <c r="E1274" s="41" t="s">
        <v>9168</v>
      </c>
      <c r="F1274" s="43" t="s">
        <v>9169</v>
      </c>
      <c r="G1274" s="43" t="s">
        <v>9170</v>
      </c>
      <c r="H1274" s="51" t="s">
        <v>130</v>
      </c>
      <c r="I1274" s="15" t="str">
        <f>IFERROR(__xludf.DUMMYFUNCTION("GOOGLETRANSLATE(H1274,""EN"",""ES"")"),"Sostenibilidad")</f>
        <v>Sostenibilidad</v>
      </c>
      <c r="J1274" s="16" t="s">
        <v>35</v>
      </c>
      <c r="K1274" s="48">
        <v>0.8</v>
      </c>
      <c r="L1274" s="51" t="s">
        <v>9171</v>
      </c>
      <c r="M1274" s="34" t="s">
        <v>9172</v>
      </c>
      <c r="N1274" s="65" t="s">
        <v>9173</v>
      </c>
      <c r="O1274" s="65" t="str">
        <f>IFERROR(__xludf.DUMMYFUNCTION("GOOGLETRANSLATE(N1274,""EN"",""ES"")"),"Avanzar en la producción de hidrógeno refuerza la apuesta de Repsol por las energías limpias.")</f>
        <v>Avanzar en la producción de hidrógeno refuerza la apuesta de Repsol por las energías limpias.</v>
      </c>
      <c r="P1274" s="30">
        <v>0.6</v>
      </c>
      <c r="Q1274" s="18" t="str">
        <f>IFERROR(__xludf.DUMMYFUNCTION("GOOGLETRANSLATE(R1274,""ES"",""EN"")"),"green hydrogen, refinery")</f>
        <v>green hydrogen, refinery</v>
      </c>
      <c r="R1274" s="34" t="s">
        <v>9174</v>
      </c>
      <c r="S1274" s="52" t="s">
        <v>8092</v>
      </c>
      <c r="T1274" s="22" t="s">
        <v>8093</v>
      </c>
    </row>
    <row r="1275">
      <c r="A1275" s="23" t="s">
        <v>9175</v>
      </c>
      <c r="B1275" s="58" t="s">
        <v>1831</v>
      </c>
      <c r="C1275" s="41">
        <v>45373.0</v>
      </c>
      <c r="D1275" s="40" t="s">
        <v>9176</v>
      </c>
      <c r="E1275" s="41" t="s">
        <v>9177</v>
      </c>
      <c r="F1275" s="43" t="s">
        <v>9178</v>
      </c>
      <c r="G1275" s="43" t="s">
        <v>9179</v>
      </c>
      <c r="H1275" s="51" t="s">
        <v>130</v>
      </c>
      <c r="I1275" s="25" t="str">
        <f>IFERROR(__xludf.DUMMYFUNCTION("GOOGLETRANSLATE(H1275,""EN"",""ES"")"),"Sostenibilidad")</f>
        <v>Sostenibilidad</v>
      </c>
      <c r="J1275" s="26" t="s">
        <v>35</v>
      </c>
      <c r="K1275" s="48">
        <v>0.8</v>
      </c>
      <c r="L1275" s="49" t="s">
        <v>9180</v>
      </c>
      <c r="M1275" s="28" t="s">
        <v>9181</v>
      </c>
      <c r="N1275" s="66" t="s">
        <v>9182</v>
      </c>
      <c r="O1275" s="66" t="str">
        <f>IFERROR(__xludf.DUMMYFUNCTION("GOOGLETRANSLATE(N1275,""EN"",""ES"")"),"La inversión en producción de hidrógeno refuerza la estrategia de energías renovables de Repsol.")</f>
        <v>La inversión en producción de hidrógeno refuerza la estrategia de energías renovables de Repsol.</v>
      </c>
      <c r="P1275" s="30">
        <v>0.6</v>
      </c>
      <c r="Q1275" s="31" t="str">
        <f>IFERROR(__xludf.DUMMYFUNCTION("GOOGLETRANSLATE(R1275,""ES"",""EN"")"),"hydrogen, refinery")</f>
        <v>hydrogen, refinery</v>
      </c>
      <c r="R1275" s="28" t="s">
        <v>9183</v>
      </c>
      <c r="S1275" s="53" t="s">
        <v>8092</v>
      </c>
      <c r="T1275" s="32" t="s">
        <v>8093</v>
      </c>
    </row>
    <row r="1276">
      <c r="A1276" s="33" t="s">
        <v>9184</v>
      </c>
      <c r="B1276" s="60" t="s">
        <v>6759</v>
      </c>
      <c r="C1276" s="41">
        <v>45373.0</v>
      </c>
      <c r="D1276" s="40" t="s">
        <v>9185</v>
      </c>
      <c r="E1276" s="41" t="s">
        <v>9186</v>
      </c>
      <c r="F1276" s="43" t="s">
        <v>9187</v>
      </c>
      <c r="G1276" s="43" t="s">
        <v>9188</v>
      </c>
      <c r="H1276" s="51" t="s">
        <v>661</v>
      </c>
      <c r="I1276" s="15" t="str">
        <f>IFERROR(__xludf.DUMMYFUNCTION("GOOGLETRANSLATE(H1276,""EN"",""ES"")"),"Estrategia empresarial")</f>
        <v>Estrategia empresarial</v>
      </c>
      <c r="J1276" s="16" t="s">
        <v>35</v>
      </c>
      <c r="K1276" s="48">
        <v>0.6</v>
      </c>
      <c r="L1276" s="51" t="s">
        <v>9189</v>
      </c>
      <c r="M1276" s="34" t="s">
        <v>9190</v>
      </c>
      <c r="N1276" s="65" t="s">
        <v>9191</v>
      </c>
      <c r="O1276" s="65" t="str">
        <f>IFERROR(__xludf.DUMMYFUNCTION("GOOGLETRANSLATE(N1276,""EN"",""ES"")"),"La ampliación de la infraestructura de la cadena de suministro respalda las operaciones de Repsol.")</f>
        <v>La ampliación de la infraestructura de la cadena de suministro respalda las operaciones de Repsol.</v>
      </c>
      <c r="P1276" s="30">
        <v>0.0</v>
      </c>
      <c r="Q1276" s="18"/>
      <c r="R1276" s="18"/>
      <c r="S1276" s="52" t="s">
        <v>8168</v>
      </c>
      <c r="T1276" s="22" t="s">
        <v>8169</v>
      </c>
    </row>
    <row r="1277">
      <c r="A1277" s="23" t="s">
        <v>9192</v>
      </c>
      <c r="B1277" s="58" t="s">
        <v>21</v>
      </c>
      <c r="C1277" s="41">
        <v>45373.0</v>
      </c>
      <c r="D1277" s="40" t="s">
        <v>9193</v>
      </c>
      <c r="E1277" s="41" t="s">
        <v>9194</v>
      </c>
      <c r="F1277" s="43" t="s">
        <v>9195</v>
      </c>
      <c r="G1277" s="43" t="s">
        <v>9196</v>
      </c>
      <c r="H1277" s="51" t="s">
        <v>969</v>
      </c>
      <c r="I1277" s="25" t="str">
        <f>IFERROR(__xludf.DUMMYFUNCTION("GOOGLETRANSLATE(H1277,""EN"",""ES"")"),"Turismo")</f>
        <v>Turismo</v>
      </c>
      <c r="J1277" s="26" t="s">
        <v>27</v>
      </c>
      <c r="K1277" s="17">
        <v>0.0</v>
      </c>
      <c r="L1277" s="54"/>
      <c r="M1277" s="31"/>
      <c r="N1277" s="66"/>
      <c r="O1277" s="66"/>
      <c r="P1277" s="20">
        <v>0.0</v>
      </c>
      <c r="Q1277" s="31"/>
      <c r="R1277" s="31"/>
      <c r="S1277" s="53"/>
      <c r="T1277" s="32"/>
    </row>
    <row r="1278">
      <c r="A1278" s="33" t="s">
        <v>9197</v>
      </c>
      <c r="B1278" s="60" t="s">
        <v>1970</v>
      </c>
      <c r="C1278" s="41">
        <v>45374.0</v>
      </c>
      <c r="D1278" s="40" t="s">
        <v>9198</v>
      </c>
      <c r="E1278" s="41" t="s">
        <v>9199</v>
      </c>
      <c r="F1278" s="43" t="s">
        <v>9200</v>
      </c>
      <c r="G1278" s="43" t="s">
        <v>9201</v>
      </c>
      <c r="H1278" s="51" t="s">
        <v>408</v>
      </c>
      <c r="I1278" s="15" t="str">
        <f>IFERROR(__xludf.DUMMYFUNCTION("GOOGLETRANSLATE(H1278,""EN"",""ES"")"),"Legal")</f>
        <v>Legal</v>
      </c>
      <c r="J1278" s="16" t="s">
        <v>35</v>
      </c>
      <c r="K1278" s="48">
        <v>-0.7</v>
      </c>
      <c r="L1278" s="51" t="s">
        <v>9202</v>
      </c>
      <c r="M1278" s="34" t="s">
        <v>9203</v>
      </c>
      <c r="N1278" s="65" t="s">
        <v>9204</v>
      </c>
      <c r="O1278" s="65" t="str">
        <f>IFERROR(__xludf.DUMMYFUNCTION("GOOGLETRANSLATE(N1278,""EN"",""ES"")"),"El escrutinio público de las afirmaciones de lavado verde puede dañar la credibilidad de sostenibilidad de Repsol.")</f>
        <v>El escrutinio público de las afirmaciones de lavado verde puede dañar la credibilidad de sostenibilidad de Repsol.</v>
      </c>
      <c r="P1278" s="30">
        <v>-0.8</v>
      </c>
      <c r="Q1278" s="18" t="str">
        <f>IFERROR(__xludf.DUMMYFUNCTION("GOOGLETRANSLATE(R1278,""ES"",""EN"")"),"ecopostureo, greenwashing")</f>
        <v>ecopostureo, greenwashing</v>
      </c>
      <c r="R1278" s="34" t="s">
        <v>9205</v>
      </c>
      <c r="S1278" s="52" t="s">
        <v>8662</v>
      </c>
      <c r="T1278" s="22" t="s">
        <v>8663</v>
      </c>
    </row>
    <row r="1279">
      <c r="A1279" s="23" t="s">
        <v>9206</v>
      </c>
      <c r="B1279" s="58" t="s">
        <v>163</v>
      </c>
      <c r="C1279" s="41">
        <v>45374.0</v>
      </c>
      <c r="D1279" s="40" t="s">
        <v>9207</v>
      </c>
      <c r="E1279" s="41" t="s">
        <v>9208</v>
      </c>
      <c r="F1279" s="43" t="s">
        <v>9209</v>
      </c>
      <c r="G1279" s="43" t="s">
        <v>9210</v>
      </c>
      <c r="H1279" s="51" t="s">
        <v>55</v>
      </c>
      <c r="I1279" s="25" t="str">
        <f>IFERROR(__xludf.DUMMYFUNCTION("GOOGLETRANSLATE(H1279,""EN"",""ES"")"),"deportes de motor")</f>
        <v>deportes de motor</v>
      </c>
      <c r="J1279" s="26" t="s">
        <v>27</v>
      </c>
      <c r="K1279" s="17">
        <v>0.0</v>
      </c>
      <c r="L1279" s="54"/>
      <c r="M1279" s="31"/>
      <c r="N1279" s="66"/>
      <c r="O1279" s="66"/>
      <c r="P1279" s="20">
        <v>0.0</v>
      </c>
      <c r="Q1279" s="31"/>
      <c r="R1279" s="31"/>
      <c r="S1279" s="53"/>
      <c r="T1279" s="32"/>
    </row>
    <row r="1280">
      <c r="A1280" s="33" t="s">
        <v>9211</v>
      </c>
      <c r="B1280" s="60" t="s">
        <v>85</v>
      </c>
      <c r="C1280" s="41">
        <v>45374.0</v>
      </c>
      <c r="D1280" s="40" t="s">
        <v>9212</v>
      </c>
      <c r="E1280" s="41" t="s">
        <v>9213</v>
      </c>
      <c r="F1280" s="43" t="s">
        <v>9214</v>
      </c>
      <c r="G1280" s="43" t="s">
        <v>9215</v>
      </c>
      <c r="H1280" s="51" t="s">
        <v>148</v>
      </c>
      <c r="I1280" s="15" t="str">
        <f>IFERROR(__xludf.DUMMYFUNCTION("GOOGLETRANSLATE(H1280,""EN"",""ES"")"),"Gastronomía")</f>
        <v>Gastronomía</v>
      </c>
      <c r="J1280" s="16" t="s">
        <v>27</v>
      </c>
      <c r="K1280" s="17">
        <v>0.0</v>
      </c>
      <c r="L1280" s="45"/>
      <c r="M1280" s="18"/>
      <c r="N1280" s="65"/>
      <c r="O1280" s="65"/>
      <c r="P1280" s="20">
        <v>0.0</v>
      </c>
      <c r="Q1280" s="18"/>
      <c r="R1280" s="18"/>
      <c r="S1280" s="52"/>
      <c r="T1280" s="22"/>
    </row>
    <row r="1281">
      <c r="A1281" s="23" t="s">
        <v>9216</v>
      </c>
      <c r="B1281" s="58" t="s">
        <v>9217</v>
      </c>
      <c r="C1281" s="41">
        <v>45374.0</v>
      </c>
      <c r="D1281" s="40" t="s">
        <v>9218</v>
      </c>
      <c r="E1281" s="41" t="s">
        <v>9219</v>
      </c>
      <c r="F1281" s="43" t="s">
        <v>9220</v>
      </c>
      <c r="G1281" s="43" t="s">
        <v>9221</v>
      </c>
      <c r="H1281" s="51" t="s">
        <v>5878</v>
      </c>
      <c r="I1281" s="25" t="str">
        <f>IFERROR(__xludf.DUMMYFUNCTION("GOOGLETRANSLATE(H1281,""EN"",""ES"")"),"Entretenimiento")</f>
        <v>Entretenimiento</v>
      </c>
      <c r="J1281" s="26" t="s">
        <v>27</v>
      </c>
      <c r="K1281" s="17">
        <v>0.0</v>
      </c>
      <c r="L1281" s="54"/>
      <c r="M1281" s="31"/>
      <c r="N1281" s="66"/>
      <c r="O1281" s="66"/>
      <c r="P1281" s="20">
        <v>0.0</v>
      </c>
      <c r="Q1281" s="31"/>
      <c r="R1281" s="31"/>
      <c r="S1281" s="53"/>
      <c r="T1281" s="32"/>
    </row>
    <row r="1282">
      <c r="A1282" s="33" t="s">
        <v>9222</v>
      </c>
      <c r="B1282" s="60" t="s">
        <v>9223</v>
      </c>
      <c r="C1282" s="41">
        <v>45374.0</v>
      </c>
      <c r="D1282" s="40" t="s">
        <v>9224</v>
      </c>
      <c r="E1282" s="41" t="s">
        <v>9225</v>
      </c>
      <c r="F1282" s="43" t="s">
        <v>9226</v>
      </c>
      <c r="G1282" s="43" t="s">
        <v>9227</v>
      </c>
      <c r="H1282" s="51" t="s">
        <v>148</v>
      </c>
      <c r="I1282" s="15" t="str">
        <f>IFERROR(__xludf.DUMMYFUNCTION("GOOGLETRANSLATE(H1282,""EN"",""ES"")"),"Gastronomía")</f>
        <v>Gastronomía</v>
      </c>
      <c r="J1282" s="16" t="s">
        <v>27</v>
      </c>
      <c r="K1282" s="17">
        <v>0.0</v>
      </c>
      <c r="L1282" s="45"/>
      <c r="M1282" s="18"/>
      <c r="N1282" s="65"/>
      <c r="O1282" s="65"/>
      <c r="P1282" s="20">
        <v>0.0</v>
      </c>
      <c r="Q1282" s="18"/>
      <c r="R1282" s="18"/>
      <c r="S1282" s="52"/>
      <c r="T1282" s="22"/>
    </row>
    <row r="1283">
      <c r="A1283" s="23" t="s">
        <v>9228</v>
      </c>
      <c r="B1283" s="58" t="s">
        <v>6716</v>
      </c>
      <c r="C1283" s="41">
        <v>45374.0</v>
      </c>
      <c r="D1283" s="40" t="s">
        <v>9229</v>
      </c>
      <c r="E1283" s="41" t="s">
        <v>9230</v>
      </c>
      <c r="F1283" s="43" t="s">
        <v>9231</v>
      </c>
      <c r="G1283" s="43" t="s">
        <v>9232</v>
      </c>
      <c r="H1283" s="51" t="s">
        <v>148</v>
      </c>
      <c r="I1283" s="25" t="str">
        <f>IFERROR(__xludf.DUMMYFUNCTION("GOOGLETRANSLATE(H1283,""EN"",""ES"")"),"Gastronomía")</f>
        <v>Gastronomía</v>
      </c>
      <c r="J1283" s="26" t="s">
        <v>27</v>
      </c>
      <c r="K1283" s="17">
        <v>0.0</v>
      </c>
      <c r="L1283" s="54"/>
      <c r="M1283" s="31"/>
      <c r="N1283" s="66"/>
      <c r="O1283" s="66"/>
      <c r="P1283" s="20">
        <v>0.0</v>
      </c>
      <c r="Q1283" s="31"/>
      <c r="R1283" s="31"/>
      <c r="S1283" s="53"/>
      <c r="T1283" s="32"/>
    </row>
    <row r="1284">
      <c r="A1284" s="33" t="s">
        <v>9233</v>
      </c>
      <c r="B1284" s="60" t="s">
        <v>448</v>
      </c>
      <c r="C1284" s="41">
        <v>45374.0</v>
      </c>
      <c r="D1284" s="40" t="s">
        <v>9234</v>
      </c>
      <c r="E1284" s="41" t="s">
        <v>9235</v>
      </c>
      <c r="F1284" s="43" t="s">
        <v>9236</v>
      </c>
      <c r="G1284" s="43" t="s">
        <v>9237</v>
      </c>
      <c r="H1284" s="51" t="s">
        <v>408</v>
      </c>
      <c r="I1284" s="15" t="str">
        <f>IFERROR(__xludf.DUMMYFUNCTION("GOOGLETRANSLATE(H1284,""EN"",""ES"")"),"Legal")</f>
        <v>Legal</v>
      </c>
      <c r="J1284" s="16" t="s">
        <v>27</v>
      </c>
      <c r="K1284" s="17">
        <v>0.0</v>
      </c>
      <c r="L1284" s="45"/>
      <c r="M1284" s="18"/>
      <c r="N1284" s="65"/>
      <c r="O1284" s="65"/>
      <c r="P1284" s="20">
        <v>0.0</v>
      </c>
      <c r="Q1284" s="18"/>
      <c r="R1284" s="18"/>
      <c r="S1284" s="52"/>
      <c r="T1284" s="22"/>
    </row>
    <row r="1285">
      <c r="A1285" s="23" t="s">
        <v>9238</v>
      </c>
      <c r="B1285" s="58" t="s">
        <v>513</v>
      </c>
      <c r="C1285" s="41">
        <v>45374.0</v>
      </c>
      <c r="D1285" s="40" t="s">
        <v>9239</v>
      </c>
      <c r="E1285" s="41" t="s">
        <v>9240</v>
      </c>
      <c r="F1285" s="43" t="s">
        <v>9241</v>
      </c>
      <c r="G1285" s="43" t="s">
        <v>9242</v>
      </c>
      <c r="H1285" s="51" t="s">
        <v>55</v>
      </c>
      <c r="I1285" s="25" t="str">
        <f>IFERROR(__xludf.DUMMYFUNCTION("GOOGLETRANSLATE(H1285,""EN"",""ES"")"),"deportes de motor")</f>
        <v>deportes de motor</v>
      </c>
      <c r="J1285" s="26" t="s">
        <v>27</v>
      </c>
      <c r="K1285" s="17">
        <v>0.0</v>
      </c>
      <c r="L1285" s="54"/>
      <c r="M1285" s="31"/>
      <c r="N1285" s="66"/>
      <c r="O1285" s="66"/>
      <c r="P1285" s="20">
        <v>0.0</v>
      </c>
      <c r="Q1285" s="31"/>
      <c r="R1285" s="31"/>
      <c r="S1285" s="53"/>
      <c r="T1285" s="32"/>
    </row>
    <row r="1286">
      <c r="A1286" s="33" t="s">
        <v>9243</v>
      </c>
      <c r="B1286" s="60" t="s">
        <v>1568</v>
      </c>
      <c r="C1286" s="41">
        <v>45375.0</v>
      </c>
      <c r="D1286" s="40" t="s">
        <v>9244</v>
      </c>
      <c r="E1286" s="41" t="s">
        <v>9245</v>
      </c>
      <c r="F1286" s="43" t="s">
        <v>9246</v>
      </c>
      <c r="G1286" s="43" t="s">
        <v>9247</v>
      </c>
      <c r="H1286" s="51" t="s">
        <v>408</v>
      </c>
      <c r="I1286" s="15" t="str">
        <f>IFERROR(__xludf.DUMMYFUNCTION("GOOGLETRANSLATE(H1286,""EN"",""ES"")"),"Legal")</f>
        <v>Legal</v>
      </c>
      <c r="J1286" s="16" t="s">
        <v>35</v>
      </c>
      <c r="K1286" s="48">
        <v>-0.8</v>
      </c>
      <c r="L1286" s="51" t="s">
        <v>9248</v>
      </c>
      <c r="M1286" s="34" t="s">
        <v>9249</v>
      </c>
      <c r="N1286" s="65" t="s">
        <v>8827</v>
      </c>
      <c r="O1286" s="65" t="str">
        <f>IFERROR(__xludf.DUMMYFUNCTION("GOOGLETRANSLATE(N1286,""EN"",""ES"")"),"Las acusaciones de afirmaciones medioambientales engañosas podrían dañar la reputación de Repsol.")</f>
        <v>Las acusaciones de afirmaciones medioambientales engañosas podrían dañar la reputación de Repsol.</v>
      </c>
      <c r="P1286" s="30">
        <v>-0.8</v>
      </c>
      <c r="Q1286" s="18" t="str">
        <f>IFERROR(__xludf.DUMMYFUNCTION("GOOGLETRANSLATE(R1286,""ES"",""EN"")"),"greenwashing, lawsuit")</f>
        <v>greenwashing, lawsuit</v>
      </c>
      <c r="R1286" s="34" t="s">
        <v>9250</v>
      </c>
      <c r="S1286" s="52" t="s">
        <v>8662</v>
      </c>
      <c r="T1286" s="22" t="s">
        <v>8663</v>
      </c>
    </row>
    <row r="1287">
      <c r="A1287" s="23" t="s">
        <v>9251</v>
      </c>
      <c r="B1287" s="58" t="s">
        <v>448</v>
      </c>
      <c r="C1287" s="41">
        <v>45375.0</v>
      </c>
      <c r="D1287" s="40" t="s">
        <v>9252</v>
      </c>
      <c r="E1287" s="41" t="s">
        <v>9253</v>
      </c>
      <c r="F1287" s="43" t="s">
        <v>9254</v>
      </c>
      <c r="G1287" s="43" t="s">
        <v>9255</v>
      </c>
      <c r="H1287" s="51" t="s">
        <v>1975</v>
      </c>
      <c r="I1287" s="25" t="str">
        <f>IFERROR(__xludf.DUMMYFUNCTION("GOOGLETRANSLATE(H1287,""EN"",""ES"")"),"Política")</f>
        <v>Política</v>
      </c>
      <c r="J1287" s="26" t="s">
        <v>35</v>
      </c>
      <c r="K1287" s="48">
        <v>-0.7</v>
      </c>
      <c r="L1287" s="49" t="s">
        <v>9256</v>
      </c>
      <c r="M1287" s="28" t="s">
        <v>9257</v>
      </c>
      <c r="N1287" s="66" t="s">
        <v>9258</v>
      </c>
      <c r="O1287" s="66" t="str">
        <f>IFERROR(__xludf.DUMMYFUNCTION("GOOGLETRANSLATE(N1287,""EN"",""ES"")"),"El escrutinio gubernamental puede afectar la credibilidad de la sostenibilidad de Repsol.")</f>
        <v>El escrutinio gubernamental puede afectar la credibilidad de la sostenibilidad de Repsol.</v>
      </c>
      <c r="P1287" s="30">
        <v>-0.5</v>
      </c>
      <c r="Q1287" s="31" t="str">
        <f>IFERROR(__xludf.DUMMYFUNCTION("GOOGLETRANSLATE(R1287,""ES"",""EN"")"),"symbolic initiatives, confuse")</f>
        <v>symbolic initiatives, confuse</v>
      </c>
      <c r="R1287" s="28" t="s">
        <v>9259</v>
      </c>
      <c r="S1287" s="53" t="s">
        <v>9012</v>
      </c>
      <c r="T1287" s="32" t="s">
        <v>9013</v>
      </c>
    </row>
    <row r="1288">
      <c r="A1288" s="33" t="s">
        <v>9260</v>
      </c>
      <c r="B1288" s="60" t="s">
        <v>403</v>
      </c>
      <c r="C1288" s="41">
        <v>45375.0</v>
      </c>
      <c r="D1288" s="40" t="s">
        <v>9261</v>
      </c>
      <c r="E1288" s="41" t="s">
        <v>9262</v>
      </c>
      <c r="F1288" s="43" t="s">
        <v>9263</v>
      </c>
      <c r="G1288" s="43" t="s">
        <v>9264</v>
      </c>
      <c r="H1288" s="51" t="s">
        <v>661</v>
      </c>
      <c r="I1288" s="15" t="str">
        <f>IFERROR(__xludf.DUMMYFUNCTION("GOOGLETRANSLATE(H1288,""EN"",""ES"")"),"Estrategia empresarial")</f>
        <v>Estrategia empresarial</v>
      </c>
      <c r="J1288" s="16" t="s">
        <v>35</v>
      </c>
      <c r="K1288" s="48">
        <v>0.5</v>
      </c>
      <c r="L1288" s="51" t="s">
        <v>8792</v>
      </c>
      <c r="M1288" s="34" t="s">
        <v>8793</v>
      </c>
      <c r="N1288" s="65" t="s">
        <v>8794</v>
      </c>
      <c r="O1288" s="65" t="str">
        <f>IFERROR(__xludf.DUMMYFUNCTION("GOOGLETRANSLATE(N1288,""EN"",""ES"")"),"La expansión a los servicios eléctricos podría mejorar el posicionamiento competitivo de Repsol.")</f>
        <v>La expansión a los servicios eléctricos podría mejorar el posicionamiento competitivo de Repsol.</v>
      </c>
      <c r="P1288" s="30">
        <v>-0.5</v>
      </c>
      <c r="Q1288" s="18" t="str">
        <f>IFERROR(__xludf.DUMMYFUNCTION("GOOGLETRANSLATE(R1288,""ES"",""EN"")"),"unfair competition, ecopostureo")</f>
        <v>unfair competition, ecopostureo</v>
      </c>
      <c r="R1288" s="34" t="s">
        <v>9265</v>
      </c>
      <c r="S1288" s="52" t="s">
        <v>8994</v>
      </c>
      <c r="T1288" s="22" t="s">
        <v>8995</v>
      </c>
    </row>
    <row r="1289">
      <c r="A1289" s="23" t="s">
        <v>9266</v>
      </c>
      <c r="B1289" s="58" t="s">
        <v>163</v>
      </c>
      <c r="C1289" s="41">
        <v>45375.0</v>
      </c>
      <c r="D1289" s="40" t="s">
        <v>9267</v>
      </c>
      <c r="E1289" s="41" t="s">
        <v>9268</v>
      </c>
      <c r="F1289" s="43" t="s">
        <v>9269</v>
      </c>
      <c r="G1289" s="43" t="s">
        <v>9270</v>
      </c>
      <c r="H1289" s="51" t="s">
        <v>55</v>
      </c>
      <c r="I1289" s="25" t="str">
        <f>IFERROR(__xludf.DUMMYFUNCTION("GOOGLETRANSLATE(H1289,""EN"",""ES"")"),"deportes de motor")</f>
        <v>deportes de motor</v>
      </c>
      <c r="J1289" s="26" t="s">
        <v>27</v>
      </c>
      <c r="K1289" s="17">
        <v>0.0</v>
      </c>
      <c r="L1289" s="54"/>
      <c r="M1289" s="31"/>
      <c r="N1289" s="66"/>
      <c r="O1289" s="66"/>
      <c r="P1289" s="20">
        <v>0.0</v>
      </c>
      <c r="Q1289" s="31"/>
      <c r="R1289" s="31"/>
      <c r="S1289" s="53"/>
      <c r="T1289" s="32"/>
    </row>
    <row r="1290">
      <c r="A1290" s="33" t="s">
        <v>9271</v>
      </c>
      <c r="B1290" s="60" t="s">
        <v>499</v>
      </c>
      <c r="C1290" s="41">
        <v>45375.0</v>
      </c>
      <c r="D1290" s="40" t="s">
        <v>9272</v>
      </c>
      <c r="E1290" s="41" t="s">
        <v>9273</v>
      </c>
      <c r="F1290" s="43" t="s">
        <v>9274</v>
      </c>
      <c r="G1290" s="43" t="s">
        <v>9275</v>
      </c>
      <c r="H1290" s="51" t="s">
        <v>62</v>
      </c>
      <c r="I1290" s="15" t="str">
        <f>IFERROR(__xludf.DUMMYFUNCTION("GOOGLETRANSLATE(H1290,""EN"",""ES"")"),"Energía")</f>
        <v>Energía</v>
      </c>
      <c r="J1290" s="16" t="s">
        <v>35</v>
      </c>
      <c r="K1290" s="48">
        <v>0.0</v>
      </c>
      <c r="L1290" s="45"/>
      <c r="M1290" s="18"/>
      <c r="N1290" s="65" t="s">
        <v>8197</v>
      </c>
      <c r="O1290" s="65" t="str">
        <f>IFERROR(__xludf.DUMMYFUNCTION("GOOGLETRANSLATE(N1290,""EN"",""ES"")"),"Las políticas energéticas generales no impactan en la percepción corporativa de Repsol.")</f>
        <v>Las políticas energéticas generales no impactan en la percepción corporativa de Repsol.</v>
      </c>
      <c r="P1290" s="30">
        <v>0.0</v>
      </c>
      <c r="Q1290" s="18"/>
      <c r="R1290" s="18"/>
      <c r="S1290" s="52" t="s">
        <v>8168</v>
      </c>
      <c r="T1290" s="22" t="s">
        <v>8169</v>
      </c>
    </row>
    <row r="1291">
      <c r="A1291" s="23" t="s">
        <v>9276</v>
      </c>
      <c r="B1291" s="58" t="s">
        <v>1081</v>
      </c>
      <c r="C1291" s="41">
        <v>45375.0</v>
      </c>
      <c r="D1291" s="40" t="s">
        <v>9277</v>
      </c>
      <c r="E1291" s="41" t="s">
        <v>9278</v>
      </c>
      <c r="F1291" s="43" t="s">
        <v>9279</v>
      </c>
      <c r="G1291" s="43" t="s">
        <v>9280</v>
      </c>
      <c r="H1291" s="51" t="s">
        <v>148</v>
      </c>
      <c r="I1291" s="25" t="str">
        <f>IFERROR(__xludf.DUMMYFUNCTION("GOOGLETRANSLATE(H1291,""EN"",""ES"")"),"Gastronomía")</f>
        <v>Gastronomía</v>
      </c>
      <c r="J1291" s="26" t="s">
        <v>27</v>
      </c>
      <c r="K1291" s="17">
        <v>0.0</v>
      </c>
      <c r="L1291" s="54"/>
      <c r="M1291" s="31"/>
      <c r="N1291" s="66"/>
      <c r="O1291" s="66"/>
      <c r="P1291" s="20">
        <v>0.0</v>
      </c>
      <c r="Q1291" s="31"/>
      <c r="R1291" s="31"/>
      <c r="S1291" s="53"/>
      <c r="T1291" s="32"/>
    </row>
    <row r="1292">
      <c r="A1292" s="33" t="s">
        <v>9281</v>
      </c>
      <c r="B1292" s="60" t="s">
        <v>2696</v>
      </c>
      <c r="C1292" s="41">
        <v>45375.0</v>
      </c>
      <c r="D1292" s="40" t="s">
        <v>9282</v>
      </c>
      <c r="E1292" s="41" t="s">
        <v>9283</v>
      </c>
      <c r="F1292" s="43" t="s">
        <v>9284</v>
      </c>
      <c r="G1292" s="43" t="s">
        <v>9285</v>
      </c>
      <c r="H1292" s="51" t="s">
        <v>148</v>
      </c>
      <c r="I1292" s="15" t="str">
        <f>IFERROR(__xludf.DUMMYFUNCTION("GOOGLETRANSLATE(H1292,""EN"",""ES"")"),"Gastronomía")</f>
        <v>Gastronomía</v>
      </c>
      <c r="J1292" s="16" t="s">
        <v>27</v>
      </c>
      <c r="K1292" s="17">
        <v>0.0</v>
      </c>
      <c r="L1292" s="45"/>
      <c r="M1292" s="18"/>
      <c r="N1292" s="65"/>
      <c r="O1292" s="65"/>
      <c r="P1292" s="20">
        <v>0.0</v>
      </c>
      <c r="Q1292" s="18"/>
      <c r="R1292" s="18"/>
      <c r="S1292" s="52"/>
      <c r="T1292" s="22"/>
    </row>
    <row r="1293">
      <c r="A1293" s="23" t="s">
        <v>9286</v>
      </c>
      <c r="B1293" s="58" t="s">
        <v>1072</v>
      </c>
      <c r="C1293" s="41">
        <v>45375.0</v>
      </c>
      <c r="D1293" s="40" t="s">
        <v>9287</v>
      </c>
      <c r="E1293" s="41" t="s">
        <v>9288</v>
      </c>
      <c r="F1293" s="43" t="s">
        <v>9289</v>
      </c>
      <c r="G1293" s="43" t="s">
        <v>9290</v>
      </c>
      <c r="H1293" s="51" t="s">
        <v>2591</v>
      </c>
      <c r="I1293" s="25" t="str">
        <f>IFERROR(__xludf.DUMMYFUNCTION("GOOGLETRANSLATE(H1293,""EN"",""ES"")"),"Negocio")</f>
        <v>Negocio</v>
      </c>
      <c r="J1293" s="26" t="s">
        <v>27</v>
      </c>
      <c r="K1293" s="17">
        <v>0.0</v>
      </c>
      <c r="L1293" s="54"/>
      <c r="M1293" s="31"/>
      <c r="N1293" s="66"/>
      <c r="O1293" s="66"/>
      <c r="P1293" s="20">
        <v>0.0</v>
      </c>
      <c r="Q1293" s="31"/>
      <c r="R1293" s="31"/>
      <c r="S1293" s="53"/>
      <c r="T1293" s="32"/>
    </row>
    <row r="1294">
      <c r="A1294" s="33" t="s">
        <v>9291</v>
      </c>
      <c r="B1294" s="60" t="s">
        <v>614</v>
      </c>
      <c r="C1294" s="41">
        <v>45375.0</v>
      </c>
      <c r="D1294" s="40" t="s">
        <v>9292</v>
      </c>
      <c r="E1294" s="41" t="s">
        <v>9293</v>
      </c>
      <c r="F1294" s="43" t="s">
        <v>9294</v>
      </c>
      <c r="G1294" s="43" t="s">
        <v>9295</v>
      </c>
      <c r="H1294" s="51" t="s">
        <v>1975</v>
      </c>
      <c r="I1294" s="15" t="str">
        <f>IFERROR(__xludf.DUMMYFUNCTION("GOOGLETRANSLATE(H1294,""EN"",""ES"")"),"Política")</f>
        <v>Política</v>
      </c>
      <c r="J1294" s="16" t="s">
        <v>35</v>
      </c>
      <c r="K1294" s="48">
        <v>-0.7</v>
      </c>
      <c r="L1294" s="51" t="s">
        <v>9256</v>
      </c>
      <c r="M1294" s="34" t="s">
        <v>9257</v>
      </c>
      <c r="N1294" s="65" t="s">
        <v>9296</v>
      </c>
      <c r="O1294" s="65" t="str">
        <f>IFERROR(__xludf.DUMMYFUNCTION("GOOGLETRANSLATE(N1294,""EN"",""ES"")"),"El escrutinio gubernamental puede afectar la credibilidad de la sostenibilidad de Repsol.")</f>
        <v>El escrutinio gubernamental puede afectar la credibilidad de la sostenibilidad de Repsol.</v>
      </c>
      <c r="P1294" s="30">
        <v>-0.5</v>
      </c>
      <c r="Q1294" s="18" t="str">
        <f>IFERROR(__xludf.DUMMYFUNCTION("GOOGLETRANSLATE(R1294,""ES"",""EN"")"),"synthetic fuel, oil")</f>
        <v>synthetic fuel, oil</v>
      </c>
      <c r="R1294" s="34" t="s">
        <v>9297</v>
      </c>
      <c r="S1294" s="52" t="s">
        <v>9012</v>
      </c>
      <c r="T1294" s="22" t="s">
        <v>9013</v>
      </c>
    </row>
    <row r="1295">
      <c r="A1295" s="23" t="s">
        <v>9298</v>
      </c>
      <c r="B1295" s="58" t="s">
        <v>43</v>
      </c>
      <c r="C1295" s="41">
        <v>45375.0</v>
      </c>
      <c r="D1295" s="40" t="s">
        <v>9299</v>
      </c>
      <c r="E1295" s="41" t="s">
        <v>9300</v>
      </c>
      <c r="F1295" s="43" t="s">
        <v>9301</v>
      </c>
      <c r="G1295" s="43" t="s">
        <v>9302</v>
      </c>
      <c r="H1295" s="51" t="s">
        <v>148</v>
      </c>
      <c r="I1295" s="25" t="str">
        <f>IFERROR(__xludf.DUMMYFUNCTION("GOOGLETRANSLATE(H1295,""EN"",""ES"")"),"Gastronomía")</f>
        <v>Gastronomía</v>
      </c>
      <c r="J1295" s="26" t="s">
        <v>27</v>
      </c>
      <c r="K1295" s="17">
        <v>0.0</v>
      </c>
      <c r="L1295" s="54"/>
      <c r="M1295" s="31"/>
      <c r="N1295" s="66"/>
      <c r="O1295" s="66"/>
      <c r="P1295" s="20">
        <v>0.0</v>
      </c>
      <c r="Q1295" s="31"/>
      <c r="R1295" s="31"/>
      <c r="S1295" s="53"/>
      <c r="T1295" s="32"/>
    </row>
    <row r="1296">
      <c r="A1296" s="33" t="s">
        <v>9303</v>
      </c>
      <c r="B1296" s="60" t="s">
        <v>9304</v>
      </c>
      <c r="C1296" s="41">
        <v>45376.0</v>
      </c>
      <c r="D1296" s="40" t="s">
        <v>9305</v>
      </c>
      <c r="E1296" s="41" t="s">
        <v>9306</v>
      </c>
      <c r="F1296" s="43" t="s">
        <v>9307</v>
      </c>
      <c r="G1296" s="43" t="s">
        <v>9308</v>
      </c>
      <c r="H1296" s="51" t="s">
        <v>661</v>
      </c>
      <c r="I1296" s="15" t="str">
        <f>IFERROR(__xludf.DUMMYFUNCTION("GOOGLETRANSLATE(H1296,""EN"",""ES"")"),"Estrategia empresarial")</f>
        <v>Estrategia empresarial</v>
      </c>
      <c r="J1296" s="16" t="s">
        <v>35</v>
      </c>
      <c r="K1296" s="48">
        <v>-0.4</v>
      </c>
      <c r="L1296" s="51" t="s">
        <v>9309</v>
      </c>
      <c r="M1296" s="34" t="s">
        <v>9310</v>
      </c>
      <c r="N1296" s="65" t="s">
        <v>9311</v>
      </c>
      <c r="O1296" s="65" t="str">
        <f>IFERROR(__xludf.DUMMYFUNCTION("GOOGLETRANSLATE(N1296,""EN"",""ES"")"),"La caída de su posición en el mercado podría afectar la percepción corporativa de Repsol.")</f>
        <v>La caída de su posición en el mercado podría afectar la percepción corporativa de Repsol.</v>
      </c>
      <c r="P1296" s="30">
        <v>-0.3</v>
      </c>
      <c r="Q1296" s="18" t="str">
        <f>IFERROR(__xludf.DUMMYFUNCTION("GOOGLETRANSLATE(R1296,""ES"",""EN"")"),"sector positioning, oil")</f>
        <v>sector positioning, oil</v>
      </c>
      <c r="R1296" s="34" t="s">
        <v>9312</v>
      </c>
      <c r="S1296" s="52" t="s">
        <v>9313</v>
      </c>
      <c r="T1296" s="22" t="s">
        <v>9314</v>
      </c>
    </row>
    <row r="1297">
      <c r="A1297" s="23" t="s">
        <v>9315</v>
      </c>
      <c r="B1297" s="58" t="s">
        <v>499</v>
      </c>
      <c r="C1297" s="41">
        <v>45376.0</v>
      </c>
      <c r="D1297" s="40" t="s">
        <v>9316</v>
      </c>
      <c r="E1297" s="41" t="s">
        <v>9317</v>
      </c>
      <c r="F1297" s="43" t="s">
        <v>9318</v>
      </c>
      <c r="G1297" s="43" t="s">
        <v>9319</v>
      </c>
      <c r="H1297" s="51" t="s">
        <v>48</v>
      </c>
      <c r="I1297" s="25" t="str">
        <f>IFERROR(__xludf.DUMMYFUNCTION("GOOGLETRANSLATE(H1297,""EN"",""ES"")"),"Finanzas")</f>
        <v>Finanzas</v>
      </c>
      <c r="J1297" s="26" t="s">
        <v>35</v>
      </c>
      <c r="K1297" s="48">
        <v>0.6</v>
      </c>
      <c r="L1297" s="49" t="s">
        <v>9320</v>
      </c>
      <c r="M1297" s="28" t="s">
        <v>9321</v>
      </c>
      <c r="N1297" s="66" t="s">
        <v>9322</v>
      </c>
      <c r="O1297" s="66" t="str">
        <f>IFERROR(__xludf.DUMMYFUNCTION("GOOGLETRANSLATE(N1297,""EN"",""ES"")"),"Los programas de recompra de acciones suelen indicar confianza en el desempeño financiero.")</f>
        <v>Los programas de recompra de acciones suelen indicar confianza en el desempeño financiero.</v>
      </c>
      <c r="P1297" s="30">
        <v>0.6</v>
      </c>
      <c r="Q1297" s="31" t="str">
        <f>IFERROR(__xludf.DUMMYFUNCTION("GOOGLETRANSLATE(R1297,""ES"",""EN"")"),"share buybacks, millions")</f>
        <v>share buybacks, millions</v>
      </c>
      <c r="R1297" s="28" t="s">
        <v>9323</v>
      </c>
      <c r="S1297" s="53" t="s">
        <v>8881</v>
      </c>
      <c r="T1297" s="32" t="s">
        <v>8882</v>
      </c>
    </row>
    <row r="1298">
      <c r="A1298" s="33" t="s">
        <v>9324</v>
      </c>
      <c r="B1298" s="60" t="s">
        <v>9325</v>
      </c>
      <c r="C1298" s="41">
        <v>45376.0</v>
      </c>
      <c r="D1298" s="40" t="s">
        <v>9326</v>
      </c>
      <c r="E1298" s="41" t="s">
        <v>9327</v>
      </c>
      <c r="F1298" s="43" t="s">
        <v>9328</v>
      </c>
      <c r="G1298" s="43" t="s">
        <v>9329</v>
      </c>
      <c r="H1298" s="51" t="s">
        <v>408</v>
      </c>
      <c r="I1298" s="15" t="str">
        <f>IFERROR(__xludf.DUMMYFUNCTION("GOOGLETRANSLATE(H1298,""EN"",""ES"")"),"Legal")</f>
        <v>Legal</v>
      </c>
      <c r="J1298" s="16" t="s">
        <v>35</v>
      </c>
      <c r="K1298" s="48">
        <v>-0.7</v>
      </c>
      <c r="L1298" s="51" t="s">
        <v>9202</v>
      </c>
      <c r="M1298" s="34" t="s">
        <v>9203</v>
      </c>
      <c r="N1298" s="65" t="s">
        <v>9330</v>
      </c>
      <c r="O1298" s="65" t="str">
        <f>IFERROR(__xludf.DUMMYFUNCTION("GOOGLETRANSLATE(N1298,""EN"",""ES"")"),"Los desafíos legales sobre afirmaciones de sostenibilidad podrían dañar la imagen corporativa de Repsol.")</f>
        <v>Los desafíos legales sobre afirmaciones de sostenibilidad podrían dañar la imagen corporativa de Repsol.</v>
      </c>
      <c r="P1298" s="30">
        <v>-0.8</v>
      </c>
      <c r="Q1298" s="18" t="str">
        <f>IFERROR(__xludf.DUMMYFUNCTION("GOOGLETRANSLATE(R1298,""ES"",""EN"")"),"lawsuits, greenwashing")</f>
        <v>lawsuits, greenwashing</v>
      </c>
      <c r="R1298" s="34" t="s">
        <v>9331</v>
      </c>
      <c r="S1298" s="52" t="s">
        <v>8662</v>
      </c>
      <c r="T1298" s="22" t="s">
        <v>8663</v>
      </c>
    </row>
    <row r="1299">
      <c r="A1299" s="23" t="s">
        <v>9332</v>
      </c>
      <c r="B1299" s="58" t="s">
        <v>339</v>
      </c>
      <c r="C1299" s="41">
        <v>45376.0</v>
      </c>
      <c r="D1299" s="40" t="s">
        <v>9333</v>
      </c>
      <c r="E1299" s="41" t="s">
        <v>9334</v>
      </c>
      <c r="F1299" s="43" t="s">
        <v>9335</v>
      </c>
      <c r="G1299" s="43" t="s">
        <v>9336</v>
      </c>
      <c r="H1299" s="51" t="s">
        <v>661</v>
      </c>
      <c r="I1299" s="25" t="str">
        <f>IFERROR(__xludf.DUMMYFUNCTION("GOOGLETRANSLATE(H1299,""EN"",""ES"")"),"Estrategia empresarial")</f>
        <v>Estrategia empresarial</v>
      </c>
      <c r="J1299" s="26" t="s">
        <v>35</v>
      </c>
      <c r="K1299" s="48">
        <v>0.5</v>
      </c>
      <c r="L1299" s="49" t="s">
        <v>9337</v>
      </c>
      <c r="M1299" s="28" t="s">
        <v>9338</v>
      </c>
      <c r="N1299" s="66" t="s">
        <v>9339</v>
      </c>
      <c r="O1299" s="66" t="str">
        <f>IFERROR(__xludf.DUMMYFUNCTION("GOOGLETRANSLATE(N1299,""EN"",""ES"")"),"La ampliación de las alianzas en eficiencia energética respalda el perfil de innovación de Repsol.")</f>
        <v>La ampliación de las alianzas en eficiencia energética respalda el perfil de innovación de Repsol.</v>
      </c>
      <c r="P1299" s="30">
        <v>0.7</v>
      </c>
      <c r="Q1299" s="31" t="str">
        <f>IFERROR(__xludf.DUMMYFUNCTION("GOOGLETRANSLATE(R1299,""ES"",""EN"")"),"efficiency, sustainability")</f>
        <v>efficiency, sustainability</v>
      </c>
      <c r="R1299" s="28" t="s">
        <v>9340</v>
      </c>
      <c r="S1299" s="53" t="s">
        <v>9341</v>
      </c>
      <c r="T1299" s="32" t="s">
        <v>9342</v>
      </c>
    </row>
    <row r="1300">
      <c r="A1300" s="33" t="s">
        <v>9343</v>
      </c>
      <c r="B1300" s="60" t="s">
        <v>1072</v>
      </c>
      <c r="C1300" s="41">
        <v>45376.0</v>
      </c>
      <c r="D1300" s="40" t="s">
        <v>9344</v>
      </c>
      <c r="E1300" s="41" t="s">
        <v>9345</v>
      </c>
      <c r="F1300" s="43" t="s">
        <v>9346</v>
      </c>
      <c r="G1300" s="43" t="s">
        <v>9347</v>
      </c>
      <c r="H1300" s="51" t="s">
        <v>661</v>
      </c>
      <c r="I1300" s="15" t="str">
        <f>IFERROR(__xludf.DUMMYFUNCTION("GOOGLETRANSLATE(H1300,""EN"",""ES"")"),"Estrategia empresarial")</f>
        <v>Estrategia empresarial</v>
      </c>
      <c r="J1300" s="16" t="s">
        <v>35</v>
      </c>
      <c r="K1300" s="48">
        <v>0.6</v>
      </c>
      <c r="L1300" s="51" t="s">
        <v>9348</v>
      </c>
      <c r="M1300" s="34" t="s">
        <v>9349</v>
      </c>
      <c r="N1300" s="65" t="s">
        <v>9350</v>
      </c>
      <c r="O1300" s="65" t="str">
        <f>IFERROR(__xludf.DUMMYFUNCTION("GOOGLETRANSLATE(N1300,""EN"",""ES"")"),"La ampliación de los servicios eléctricos podría fortalecer la posición competitiva de Repsol.")</f>
        <v>La ampliación de los servicios eléctricos podría fortalecer la posición competitiva de Repsol.</v>
      </c>
      <c r="P1300" s="30">
        <v>0.7</v>
      </c>
      <c r="Q1300" s="18" t="str">
        <f>IFERROR(__xludf.DUMMYFUNCTION("GOOGLETRANSLATE(R1300,""ES"",""EN"")"),"break the power (dominance)")</f>
        <v>break the power (dominance)</v>
      </c>
      <c r="R1300" s="34" t="s">
        <v>9351</v>
      </c>
      <c r="S1300" s="52" t="s">
        <v>9352</v>
      </c>
      <c r="T1300" s="22" t="s">
        <v>9353</v>
      </c>
    </row>
    <row r="1301">
      <c r="A1301" s="23" t="s">
        <v>9354</v>
      </c>
      <c r="B1301" s="58" t="s">
        <v>163</v>
      </c>
      <c r="C1301" s="41">
        <v>45376.0</v>
      </c>
      <c r="D1301" s="40" t="s">
        <v>9355</v>
      </c>
      <c r="E1301" s="41" t="s">
        <v>9355</v>
      </c>
      <c r="F1301" s="43" t="s">
        <v>9356</v>
      </c>
      <c r="G1301" s="43" t="s">
        <v>9356</v>
      </c>
      <c r="H1301" s="51" t="s">
        <v>130</v>
      </c>
      <c r="I1301" s="25" t="str">
        <f>IFERROR(__xludf.DUMMYFUNCTION("GOOGLETRANSLATE(H1301,""EN"",""ES"")"),"Sostenibilidad")</f>
        <v>Sostenibilidad</v>
      </c>
      <c r="J1301" s="26" t="s">
        <v>27</v>
      </c>
      <c r="K1301" s="17">
        <v>0.0</v>
      </c>
      <c r="L1301" s="54"/>
      <c r="M1301" s="31"/>
      <c r="N1301" s="66"/>
      <c r="O1301" s="66"/>
      <c r="P1301" s="20">
        <v>0.0</v>
      </c>
      <c r="Q1301" s="31"/>
      <c r="R1301" s="31"/>
      <c r="S1301" s="53"/>
      <c r="T1301" s="32"/>
    </row>
    <row r="1302">
      <c r="A1302" s="33" t="s">
        <v>9357</v>
      </c>
      <c r="B1302" s="60" t="s">
        <v>3273</v>
      </c>
      <c r="C1302" s="41">
        <v>45376.0</v>
      </c>
      <c r="D1302" s="40" t="s">
        <v>9358</v>
      </c>
      <c r="E1302" s="41" t="s">
        <v>9359</v>
      </c>
      <c r="F1302" s="43" t="s">
        <v>9360</v>
      </c>
      <c r="G1302" s="43" t="s">
        <v>9361</v>
      </c>
      <c r="H1302" s="51" t="s">
        <v>55</v>
      </c>
      <c r="I1302" s="15" t="str">
        <f>IFERROR(__xludf.DUMMYFUNCTION("GOOGLETRANSLATE(H1302,""EN"",""ES"")"),"deportes de motor")</f>
        <v>deportes de motor</v>
      </c>
      <c r="J1302" s="16" t="s">
        <v>27</v>
      </c>
      <c r="K1302" s="17">
        <v>0.0</v>
      </c>
      <c r="L1302" s="45"/>
      <c r="M1302" s="18"/>
      <c r="N1302" s="65"/>
      <c r="O1302" s="65"/>
      <c r="P1302" s="20">
        <v>0.0</v>
      </c>
      <c r="Q1302" s="18"/>
      <c r="R1302" s="18"/>
      <c r="S1302" s="52"/>
      <c r="T1302" s="22"/>
    </row>
    <row r="1303">
      <c r="A1303" s="23" t="s">
        <v>9362</v>
      </c>
      <c r="B1303" s="58" t="s">
        <v>21</v>
      </c>
      <c r="C1303" s="41">
        <v>45376.0</v>
      </c>
      <c r="D1303" s="40" t="s">
        <v>9363</v>
      </c>
      <c r="E1303" s="41" t="s">
        <v>9364</v>
      </c>
      <c r="F1303" s="43" t="s">
        <v>9365</v>
      </c>
      <c r="G1303" s="43" t="s">
        <v>9366</v>
      </c>
      <c r="H1303" s="51" t="s">
        <v>8777</v>
      </c>
      <c r="I1303" s="25" t="str">
        <f>IFERROR(__xludf.DUMMYFUNCTION("GOOGLETRANSLATE(H1303,""EN"",""ES"")"),"Cultura")</f>
        <v>Cultura</v>
      </c>
      <c r="J1303" s="26" t="s">
        <v>27</v>
      </c>
      <c r="K1303" s="17">
        <v>0.0</v>
      </c>
      <c r="L1303" s="54"/>
      <c r="M1303" s="31"/>
      <c r="N1303" s="66"/>
      <c r="O1303" s="66"/>
      <c r="P1303" s="20">
        <v>0.0</v>
      </c>
      <c r="Q1303" s="31"/>
      <c r="R1303" s="31"/>
      <c r="S1303" s="53"/>
      <c r="T1303" s="32"/>
    </row>
    <row r="1304">
      <c r="A1304" s="33" t="s">
        <v>9367</v>
      </c>
      <c r="B1304" s="60" t="s">
        <v>4538</v>
      </c>
      <c r="C1304" s="41">
        <v>45376.0</v>
      </c>
      <c r="D1304" s="40" t="s">
        <v>9368</v>
      </c>
      <c r="E1304" s="41" t="s">
        <v>9369</v>
      </c>
      <c r="F1304" s="43" t="s">
        <v>9370</v>
      </c>
      <c r="G1304" s="43" t="s">
        <v>9371</v>
      </c>
      <c r="H1304" s="51" t="s">
        <v>130</v>
      </c>
      <c r="I1304" s="15" t="str">
        <f>IFERROR(__xludf.DUMMYFUNCTION("GOOGLETRANSLATE(H1304,""EN"",""ES"")"),"Sostenibilidad")</f>
        <v>Sostenibilidad</v>
      </c>
      <c r="J1304" s="16" t="s">
        <v>35</v>
      </c>
      <c r="K1304" s="48">
        <v>0.7</v>
      </c>
      <c r="L1304" s="51" t="s">
        <v>9372</v>
      </c>
      <c r="M1304" s="34" t="s">
        <v>9373</v>
      </c>
      <c r="N1304" s="65" t="s">
        <v>9374</v>
      </c>
      <c r="O1304" s="65" t="str">
        <f>IFERROR(__xludf.DUMMYFUNCTION("GOOGLETRANSLATE(N1304,""EN"",""ES"")"),"El reconocimiento al esfuerzo en sostenibilidad potencia la imagen corporativa de Repsol.")</f>
        <v>El reconocimiento al esfuerzo en sostenibilidad potencia la imagen corporativa de Repsol.</v>
      </c>
      <c r="P1304" s="30">
        <v>1.0</v>
      </c>
      <c r="Q1304" s="18" t="str">
        <f>IFERROR(__xludf.DUMMYFUNCTION("GOOGLETRANSLATE(R1304,""ES"",""EN"")"),"unique Spanish, ""valuable""")</f>
        <v>unique Spanish, "valuable"</v>
      </c>
      <c r="R1304" s="34" t="s">
        <v>9375</v>
      </c>
      <c r="S1304" s="52" t="s">
        <v>9376</v>
      </c>
      <c r="T1304" s="22" t="s">
        <v>9377</v>
      </c>
    </row>
    <row r="1305">
      <c r="A1305" s="23" t="s">
        <v>9378</v>
      </c>
      <c r="B1305" s="58" t="s">
        <v>499</v>
      </c>
      <c r="C1305" s="41">
        <v>45376.0</v>
      </c>
      <c r="D1305" s="40" t="s">
        <v>9379</v>
      </c>
      <c r="E1305" s="41" t="s">
        <v>9380</v>
      </c>
      <c r="F1305" s="43" t="s">
        <v>9381</v>
      </c>
      <c r="G1305" s="43" t="s">
        <v>9382</v>
      </c>
      <c r="H1305" s="51" t="s">
        <v>661</v>
      </c>
      <c r="I1305" s="25" t="str">
        <f>IFERROR(__xludf.DUMMYFUNCTION("GOOGLETRANSLATE(H1305,""EN"",""ES"")"),"Estrategia empresarial")</f>
        <v>Estrategia empresarial</v>
      </c>
      <c r="J1305" s="26" t="s">
        <v>35</v>
      </c>
      <c r="K1305" s="48">
        <v>0.6</v>
      </c>
      <c r="L1305" s="49" t="s">
        <v>9348</v>
      </c>
      <c r="M1305" s="28" t="s">
        <v>9349</v>
      </c>
      <c r="N1305" s="66" t="s">
        <v>9383</v>
      </c>
      <c r="O1305" s="66" t="str">
        <f>IFERROR(__xludf.DUMMYFUNCTION("GOOGLETRANSLATE(N1305,""EN"",""ES"")"),"La ganancia de cuota de mercado en electricidad fortalece el crecimiento del negocio de Repsol.")</f>
        <v>La ganancia de cuota de mercado en electricidad fortalece el crecimiento del negocio de Repsol.</v>
      </c>
      <c r="P1305" s="30">
        <v>0.6</v>
      </c>
      <c r="Q1305" s="31" t="str">
        <f>IFERROR(__xludf.DUMMYFUNCTION("GOOGLETRANSLATE(R1305,""ES"",""EN"")"),"shoots its quota (growth)")</f>
        <v>shoots its quota (growth)</v>
      </c>
      <c r="R1305" s="28" t="s">
        <v>9384</v>
      </c>
      <c r="S1305" s="53" t="s">
        <v>9385</v>
      </c>
      <c r="T1305" s="32" t="s">
        <v>9386</v>
      </c>
    </row>
    <row r="1306">
      <c r="A1306" s="33" t="s">
        <v>9387</v>
      </c>
      <c r="B1306" s="60" t="s">
        <v>1831</v>
      </c>
      <c r="C1306" s="41">
        <v>45376.0</v>
      </c>
      <c r="D1306" s="40" t="s">
        <v>9388</v>
      </c>
      <c r="E1306" s="41" t="s">
        <v>9389</v>
      </c>
      <c r="F1306" s="43" t="s">
        <v>9390</v>
      </c>
      <c r="G1306" s="43" t="s">
        <v>9391</v>
      </c>
      <c r="H1306" s="51" t="s">
        <v>130</v>
      </c>
      <c r="I1306" s="15" t="str">
        <f>IFERROR(__xludf.DUMMYFUNCTION("GOOGLETRANSLATE(H1306,""EN"",""ES"")"),"Sostenibilidad")</f>
        <v>Sostenibilidad</v>
      </c>
      <c r="J1306" s="16" t="s">
        <v>35</v>
      </c>
      <c r="K1306" s="48">
        <v>0.7</v>
      </c>
      <c r="L1306" s="51" t="s">
        <v>9392</v>
      </c>
      <c r="M1306" s="34" t="s">
        <v>9393</v>
      </c>
      <c r="N1306" s="65" t="s">
        <v>9394</v>
      </c>
      <c r="O1306" s="65" t="str">
        <f>IFERROR(__xludf.DUMMYFUNCTION("GOOGLETRANSLATE(N1306,""EN"",""ES"")"),"La creación de empleo verde refuerza el compromiso de Repsol con la sostenibilidad.")</f>
        <v>La creación de empleo verde refuerza el compromiso de Repsol con la sostenibilidad.</v>
      </c>
      <c r="P1306" s="30">
        <v>0.7</v>
      </c>
      <c r="Q1306" s="18" t="str">
        <f>IFERROR(__xludf.DUMMYFUNCTION("GOOGLETRANSLATE(R1306,""ES"",""EN"")"),"jobs, ""new plant""")</f>
        <v>jobs, "new plant"</v>
      </c>
      <c r="R1306" s="34" t="s">
        <v>9395</v>
      </c>
      <c r="S1306" s="52" t="s">
        <v>9396</v>
      </c>
      <c r="T1306" s="22" t="s">
        <v>9397</v>
      </c>
    </row>
    <row r="1307">
      <c r="A1307" s="23" t="s">
        <v>9398</v>
      </c>
      <c r="B1307" s="58" t="s">
        <v>163</v>
      </c>
      <c r="C1307" s="41">
        <v>45376.0</v>
      </c>
      <c r="D1307" s="40" t="s">
        <v>9399</v>
      </c>
      <c r="E1307" s="41" t="s">
        <v>9400</v>
      </c>
      <c r="F1307" s="43" t="s">
        <v>9401</v>
      </c>
      <c r="G1307" s="43" t="s">
        <v>9402</v>
      </c>
      <c r="H1307" s="51" t="s">
        <v>130</v>
      </c>
      <c r="I1307" s="25" t="str">
        <f>IFERROR(__xludf.DUMMYFUNCTION("GOOGLETRANSLATE(H1307,""EN"",""ES"")"),"Sostenibilidad")</f>
        <v>Sostenibilidad</v>
      </c>
      <c r="J1307" s="26" t="s">
        <v>27</v>
      </c>
      <c r="K1307" s="17">
        <v>0.0</v>
      </c>
      <c r="L1307" s="54"/>
      <c r="M1307" s="31"/>
      <c r="N1307" s="66"/>
      <c r="O1307" s="66"/>
      <c r="P1307" s="20">
        <v>0.0</v>
      </c>
      <c r="Q1307" s="31"/>
      <c r="R1307" s="31"/>
      <c r="S1307" s="53"/>
      <c r="T1307" s="32"/>
    </row>
    <row r="1308">
      <c r="A1308" s="33" t="s">
        <v>9403</v>
      </c>
      <c r="B1308" s="60" t="s">
        <v>9404</v>
      </c>
      <c r="C1308" s="41">
        <v>45377.0</v>
      </c>
      <c r="D1308" s="40" t="s">
        <v>9405</v>
      </c>
      <c r="E1308" s="41" t="s">
        <v>9406</v>
      </c>
      <c r="F1308" s="43" t="s">
        <v>9407</v>
      </c>
      <c r="G1308" s="43" t="s">
        <v>9408</v>
      </c>
      <c r="H1308" s="51" t="s">
        <v>130</v>
      </c>
      <c r="I1308" s="15" t="str">
        <f>IFERROR(__xludf.DUMMYFUNCTION("GOOGLETRANSLATE(H1308,""EN"",""ES"")"),"Sostenibilidad")</f>
        <v>Sostenibilidad</v>
      </c>
      <c r="J1308" s="16" t="s">
        <v>35</v>
      </c>
      <c r="K1308" s="48">
        <v>0.7</v>
      </c>
      <c r="L1308" s="51" t="s">
        <v>9409</v>
      </c>
      <c r="M1308" s="34" t="s">
        <v>9410</v>
      </c>
      <c r="N1308" s="65" t="s">
        <v>9411</v>
      </c>
      <c r="O1308" s="65" t="str">
        <f>IFERROR(__xludf.DUMMYFUNCTION("GOOGLETRANSLATE(N1308,""EN"",""ES"")"),"La ampliación de la producción de biocombustibles se alinea con la estrategia de sostenibilidad de Repsol.")</f>
        <v>La ampliación de la producción de biocombustibles se alinea con la estrategia de sostenibilidad de Repsol.</v>
      </c>
      <c r="P1308" s="30">
        <v>0.5</v>
      </c>
      <c r="Q1308" s="18" t="str">
        <f>IFERROR(__xludf.DUMMYFUNCTION("GOOGLETRANSLATE(R1308,""ES"",""EN"")"),"enters as a shareholder (expansion)")</f>
        <v>enters as a shareholder (expansion)</v>
      </c>
      <c r="R1308" s="34" t="s">
        <v>9412</v>
      </c>
      <c r="S1308" s="52" t="s">
        <v>9413</v>
      </c>
      <c r="T1308" s="22" t="s">
        <v>9414</v>
      </c>
    </row>
    <row r="1309">
      <c r="A1309" s="23" t="s">
        <v>9415</v>
      </c>
      <c r="B1309" s="58" t="s">
        <v>163</v>
      </c>
      <c r="C1309" s="41">
        <v>45377.0</v>
      </c>
      <c r="D1309" s="40" t="s">
        <v>9416</v>
      </c>
      <c r="E1309" s="41" t="s">
        <v>9417</v>
      </c>
      <c r="F1309" s="43" t="s">
        <v>9418</v>
      </c>
      <c r="G1309" s="43" t="s">
        <v>9419</v>
      </c>
      <c r="H1309" s="51" t="s">
        <v>130</v>
      </c>
      <c r="I1309" s="25" t="str">
        <f>IFERROR(__xludf.DUMMYFUNCTION("GOOGLETRANSLATE(H1309,""EN"",""ES"")"),"Sostenibilidad")</f>
        <v>Sostenibilidad</v>
      </c>
      <c r="J1309" s="26" t="s">
        <v>35</v>
      </c>
      <c r="K1309" s="48">
        <v>0.7</v>
      </c>
      <c r="L1309" s="49" t="s">
        <v>9420</v>
      </c>
      <c r="M1309" s="28" t="s">
        <v>9421</v>
      </c>
      <c r="N1309" s="66" t="s">
        <v>9422</v>
      </c>
      <c r="O1309" s="66" t="str">
        <f>IFERROR(__xludf.DUMMYFUNCTION("GOOGLETRANSLATE(N1309,""EN"",""ES"")"),"Reforzar el desarrollo de los biocombustibles respalda los objetivos de energías renovables de Repsol.")</f>
        <v>Reforzar el desarrollo de los biocombustibles respalda los objetivos de energías renovables de Repsol.</v>
      </c>
      <c r="P1309" s="30">
        <v>0.6</v>
      </c>
      <c r="Q1309" s="31" t="str">
        <f>IFERROR(__xludf.DUMMYFUNCTION("GOOGLETRANSLATE(R1309,""ES"",""EN"")"),"they ally (collaboration)")</f>
        <v>they ally (collaboration)</v>
      </c>
      <c r="R1309" s="28" t="s">
        <v>9423</v>
      </c>
      <c r="S1309" s="53" t="s">
        <v>9424</v>
      </c>
      <c r="T1309" s="32" t="s">
        <v>9425</v>
      </c>
    </row>
    <row r="1310">
      <c r="A1310" s="33" t="s">
        <v>9426</v>
      </c>
      <c r="B1310" s="60" t="s">
        <v>9427</v>
      </c>
      <c r="C1310" s="41">
        <v>45377.0</v>
      </c>
      <c r="D1310" s="40" t="s">
        <v>9428</v>
      </c>
      <c r="E1310" s="41" t="s">
        <v>9429</v>
      </c>
      <c r="F1310" s="43" t="s">
        <v>9430</v>
      </c>
      <c r="G1310" s="43" t="s">
        <v>9431</v>
      </c>
      <c r="H1310" s="51" t="s">
        <v>408</v>
      </c>
      <c r="I1310" s="15" t="str">
        <f>IFERROR(__xludf.DUMMYFUNCTION("GOOGLETRANSLATE(H1310,""EN"",""ES"")"),"Legal")</f>
        <v>Legal</v>
      </c>
      <c r="J1310" s="16" t="s">
        <v>35</v>
      </c>
      <c r="K1310" s="48">
        <v>-0.7</v>
      </c>
      <c r="L1310" s="51" t="s">
        <v>9432</v>
      </c>
      <c r="M1310" s="34" t="s">
        <v>9433</v>
      </c>
      <c r="N1310" s="65" t="s">
        <v>9434</v>
      </c>
      <c r="O1310" s="65" t="str">
        <f>IFERROR(__xludf.DUMMYFUNCTION("GOOGLETRANSLATE(N1310,""EN"",""ES"")"),"Las disputas legales sobre afirmaciones de sostenibilidad pueden dañar la reputación de Repsol.")</f>
        <v>Las disputas legales sobre afirmaciones de sostenibilidad pueden dañar la reputación de Repsol.</v>
      </c>
      <c r="P1310" s="30">
        <v>-0.5</v>
      </c>
      <c r="Q1310" s="18" t="str">
        <f>IFERROR(__xludf.DUMMYFUNCTION("GOOGLETRANSLATE(R1310,""ES"",""EN"")"),"demand (conflict)")</f>
        <v>demand (conflict)</v>
      </c>
      <c r="R1310" s="34" t="s">
        <v>9435</v>
      </c>
      <c r="S1310" s="52" t="s">
        <v>9436</v>
      </c>
      <c r="T1310" s="22" t="s">
        <v>9437</v>
      </c>
    </row>
    <row r="1311">
      <c r="A1311" s="23" t="s">
        <v>9438</v>
      </c>
      <c r="B1311" s="58" t="s">
        <v>217</v>
      </c>
      <c r="C1311" s="41">
        <v>45377.0</v>
      </c>
      <c r="D1311" s="40" t="s">
        <v>9439</v>
      </c>
      <c r="E1311" s="41" t="s">
        <v>9440</v>
      </c>
      <c r="F1311" s="43" t="s">
        <v>9441</v>
      </c>
      <c r="G1311" s="43" t="s">
        <v>9442</v>
      </c>
      <c r="H1311" s="51" t="s">
        <v>130</v>
      </c>
      <c r="I1311" s="25" t="str">
        <f>IFERROR(__xludf.DUMMYFUNCTION("GOOGLETRANSLATE(H1311,""EN"",""ES"")"),"Sostenibilidad")</f>
        <v>Sostenibilidad</v>
      </c>
      <c r="J1311" s="26" t="s">
        <v>35</v>
      </c>
      <c r="K1311" s="48">
        <v>0.7</v>
      </c>
      <c r="L1311" s="49" t="s">
        <v>9443</v>
      </c>
      <c r="M1311" s="28" t="s">
        <v>9444</v>
      </c>
      <c r="N1311" s="66" t="s">
        <v>9445</v>
      </c>
      <c r="O1311" s="66" t="str">
        <f>IFERROR(__xludf.DUMMYFUNCTION("GOOGLETRANSLATE(N1311,""EN"",""ES"")"),"La inversión en biocombustibles refuerza la transición de Repsol hacia las energías limpias.")</f>
        <v>La inversión en biocombustibles refuerza la transición de Repsol hacia las energías limpias.</v>
      </c>
      <c r="P1311" s="30">
        <v>0.4</v>
      </c>
      <c r="Q1311" s="31" t="str">
        <f>IFERROR(__xludf.DUMMYFUNCTION("GOOGLETRANSLATE(R1311,""ES"",""EN"")"),"allies (positive), ""forgets"" (neutral)")</f>
        <v>allies (positive), "forgets" (neutral)</v>
      </c>
      <c r="R1311" s="28" t="s">
        <v>9446</v>
      </c>
      <c r="S1311" s="53" t="s">
        <v>9447</v>
      </c>
      <c r="T1311" s="32" t="s">
        <v>9448</v>
      </c>
    </row>
    <row r="1312">
      <c r="A1312" s="33" t="s">
        <v>9449</v>
      </c>
      <c r="B1312" s="60" t="s">
        <v>1983</v>
      </c>
      <c r="C1312" s="41">
        <v>45377.0</v>
      </c>
      <c r="D1312" s="40" t="s">
        <v>9450</v>
      </c>
      <c r="E1312" s="41" t="s">
        <v>9451</v>
      </c>
      <c r="F1312" s="43" t="s">
        <v>9452</v>
      </c>
      <c r="G1312" s="43" t="s">
        <v>9453</v>
      </c>
      <c r="H1312" s="51" t="s">
        <v>661</v>
      </c>
      <c r="I1312" s="15" t="str">
        <f>IFERROR(__xludf.DUMMYFUNCTION("GOOGLETRANSLATE(H1312,""EN"",""ES"")"),"Estrategia empresarial")</f>
        <v>Estrategia empresarial</v>
      </c>
      <c r="J1312" s="16" t="s">
        <v>35</v>
      </c>
      <c r="K1312" s="48">
        <v>-0.5</v>
      </c>
      <c r="L1312" s="51" t="s">
        <v>9162</v>
      </c>
      <c r="M1312" s="34" t="s">
        <v>9163</v>
      </c>
      <c r="N1312" s="65" t="s">
        <v>9454</v>
      </c>
      <c r="O1312" s="65" t="str">
        <f>IFERROR(__xludf.DUMMYFUNCTION("GOOGLETRANSLATE(N1312,""EN"",""ES"")"),"Las comparaciones que favorecen a los competidores pueden afectar ligeramente a la percepción de mercado de Repsol.")</f>
        <v>Las comparaciones que favorecen a los competidores pueden afectar ligeramente a la percepción de mercado de Repsol.</v>
      </c>
      <c r="P1312" s="30">
        <v>-0.3</v>
      </c>
      <c r="Q1312" s="18" t="str">
        <f>IFERROR(__xludf.DUMMYFUNCTION("GOOGLETRANSLATE(R1312,""ES"",""EN"")"),"vs. (competition)")</f>
        <v>vs. (competition)</v>
      </c>
      <c r="R1312" s="34" t="s">
        <v>9455</v>
      </c>
      <c r="S1312" s="52" t="s">
        <v>9456</v>
      </c>
      <c r="T1312" s="22" t="s">
        <v>9457</v>
      </c>
    </row>
    <row r="1313">
      <c r="A1313" s="23" t="s">
        <v>9458</v>
      </c>
      <c r="B1313" s="58" t="s">
        <v>666</v>
      </c>
      <c r="C1313" s="41">
        <v>45377.0</v>
      </c>
      <c r="D1313" s="40" t="s">
        <v>9459</v>
      </c>
      <c r="E1313" s="41" t="s">
        <v>9460</v>
      </c>
      <c r="F1313" s="43" t="s">
        <v>9461</v>
      </c>
      <c r="G1313" s="43" t="s">
        <v>9462</v>
      </c>
      <c r="H1313" s="51" t="s">
        <v>130</v>
      </c>
      <c r="I1313" s="25" t="str">
        <f>IFERROR(__xludf.DUMMYFUNCTION("GOOGLETRANSLATE(H1313,""EN"",""ES"")"),"Sostenibilidad")</f>
        <v>Sostenibilidad</v>
      </c>
      <c r="J1313" s="26" t="s">
        <v>35</v>
      </c>
      <c r="K1313" s="48">
        <v>0.7</v>
      </c>
      <c r="L1313" s="49" t="s">
        <v>9463</v>
      </c>
      <c r="M1313" s="28" t="s">
        <v>9464</v>
      </c>
      <c r="N1313" s="66" t="s">
        <v>9465</v>
      </c>
      <c r="O1313" s="66" t="str">
        <f>IFERROR(__xludf.DUMMYFUNCTION("GOOGLETRANSLATE(N1313,""EN"",""ES"")"),"La ampliación de la producción de biocombustibles se alinea con la estrategia medioambiental de Repsol.")</f>
        <v>La ampliación de la producción de biocombustibles se alinea con la estrategia medioambiental de Repsol.</v>
      </c>
      <c r="P1313" s="30">
        <v>0.8</v>
      </c>
      <c r="Q1313" s="31" t="str">
        <f>IFERROR(__xludf.DUMMYFUNCTION("GOOGLETRANSLATE(R1313,""ES"",""EN"")"),"reinforces, ""renewable""")</f>
        <v>reinforces, "renewable"</v>
      </c>
      <c r="R1313" s="28" t="s">
        <v>9466</v>
      </c>
      <c r="S1313" s="53" t="s">
        <v>9467</v>
      </c>
      <c r="T1313" s="32" t="s">
        <v>9468</v>
      </c>
    </row>
    <row r="1314">
      <c r="A1314" s="33" t="s">
        <v>9469</v>
      </c>
      <c r="B1314" s="60" t="s">
        <v>2442</v>
      </c>
      <c r="C1314" s="41">
        <v>45377.0</v>
      </c>
      <c r="D1314" s="40" t="s">
        <v>9470</v>
      </c>
      <c r="E1314" s="41" t="s">
        <v>9471</v>
      </c>
      <c r="F1314" s="43" t="s">
        <v>9472</v>
      </c>
      <c r="G1314" s="43" t="s">
        <v>9473</v>
      </c>
      <c r="H1314" s="51" t="s">
        <v>130</v>
      </c>
      <c r="I1314" s="15" t="str">
        <f>IFERROR(__xludf.DUMMYFUNCTION("GOOGLETRANSLATE(H1314,""EN"",""ES"")"),"Sostenibilidad")</f>
        <v>Sostenibilidad</v>
      </c>
      <c r="J1314" s="16" t="s">
        <v>35</v>
      </c>
      <c r="K1314" s="48">
        <v>0.7</v>
      </c>
      <c r="L1314" s="51" t="s">
        <v>9409</v>
      </c>
      <c r="M1314" s="34" t="s">
        <v>9410</v>
      </c>
      <c r="N1314" s="65" t="s">
        <v>9474</v>
      </c>
      <c r="O1314" s="65" t="str">
        <f>IFERROR(__xludf.DUMMYFUNCTION("GOOGLETRANSLATE(N1314,""EN"",""ES"")"),"La inversión en la producción de biocombustibles respalda las iniciativas de energía verde de Repsol.")</f>
        <v>La inversión en la producción de biocombustibles respalda las iniciativas de energía verde de Repsol.</v>
      </c>
      <c r="P1314" s="30">
        <v>0.7</v>
      </c>
      <c r="Q1314" s="18" t="str">
        <f>IFERROR(__xludf.DUMMYFUNCTION("GOOGLETRANSLATE(R1314,""ES"",""EN"")"),"purchase, ""biofuels""")</f>
        <v>purchase, "biofuels"</v>
      </c>
      <c r="R1314" s="34" t="s">
        <v>9475</v>
      </c>
      <c r="S1314" s="52" t="s">
        <v>9476</v>
      </c>
      <c r="T1314" s="22" t="s">
        <v>9477</v>
      </c>
    </row>
    <row r="1315">
      <c r="A1315" s="23" t="s">
        <v>9478</v>
      </c>
      <c r="B1315" s="58" t="s">
        <v>626</v>
      </c>
      <c r="C1315" s="41">
        <v>45377.0</v>
      </c>
      <c r="D1315" s="40" t="s">
        <v>9316</v>
      </c>
      <c r="E1315" s="41" t="s">
        <v>9479</v>
      </c>
      <c r="F1315" s="43" t="s">
        <v>9318</v>
      </c>
      <c r="G1315" s="43" t="s">
        <v>9480</v>
      </c>
      <c r="H1315" s="51" t="s">
        <v>48</v>
      </c>
      <c r="I1315" s="25" t="str">
        <f>IFERROR(__xludf.DUMMYFUNCTION("GOOGLETRANSLATE(H1315,""EN"",""ES"")"),"Finanzas")</f>
        <v>Finanzas</v>
      </c>
      <c r="J1315" s="26" t="s">
        <v>35</v>
      </c>
      <c r="K1315" s="48">
        <v>0.6</v>
      </c>
      <c r="L1315" s="49" t="s">
        <v>9320</v>
      </c>
      <c r="M1315" s="28" t="s">
        <v>9321</v>
      </c>
      <c r="N1315" s="66" t="s">
        <v>9481</v>
      </c>
      <c r="O1315" s="66" t="str">
        <f>IFERROR(__xludf.DUMMYFUNCTION("GOOGLETRANSLATE(N1315,""EN"",""ES"")"),"Las recompras de acciones suelen indicar confianza en la estabilidad financiera.")</f>
        <v>Las recompras de acciones suelen indicar confianza en la estabilidad financiera.</v>
      </c>
      <c r="P1315" s="30">
        <v>0.4</v>
      </c>
      <c r="Q1315" s="31" t="str">
        <f>IFERROR(__xludf.DUMMYFUNCTION("GOOGLETRANSLATE(R1315,""ES"",""EN"")"),"share buyback")</f>
        <v>share buyback</v>
      </c>
      <c r="R1315" s="28" t="s">
        <v>9482</v>
      </c>
      <c r="S1315" s="53" t="s">
        <v>9483</v>
      </c>
      <c r="T1315" s="32" t="s">
        <v>9484</v>
      </c>
    </row>
    <row r="1316">
      <c r="A1316" s="33" t="s">
        <v>9485</v>
      </c>
      <c r="B1316" s="60" t="s">
        <v>103</v>
      </c>
      <c r="C1316" s="41">
        <v>45377.0</v>
      </c>
      <c r="D1316" s="40" t="s">
        <v>9486</v>
      </c>
      <c r="E1316" s="41" t="s">
        <v>9487</v>
      </c>
      <c r="F1316" s="43" t="s">
        <v>9488</v>
      </c>
      <c r="G1316" s="43" t="s">
        <v>9489</v>
      </c>
      <c r="H1316" s="51" t="s">
        <v>130</v>
      </c>
      <c r="I1316" s="15" t="str">
        <f>IFERROR(__xludf.DUMMYFUNCTION("GOOGLETRANSLATE(H1316,""EN"",""ES"")"),"Sostenibilidad")</f>
        <v>Sostenibilidad</v>
      </c>
      <c r="J1316" s="16" t="s">
        <v>35</v>
      </c>
      <c r="K1316" s="48">
        <v>0.7</v>
      </c>
      <c r="L1316" s="51" t="s">
        <v>9420</v>
      </c>
      <c r="M1316" s="34" t="s">
        <v>9421</v>
      </c>
      <c r="N1316" s="65" t="s">
        <v>9490</v>
      </c>
      <c r="O1316" s="65" t="str">
        <f>IFERROR(__xludf.DUMMYFUNCTION("GOOGLETRANSLATE(N1316,""EN"",""ES"")"),"El fortalecimiento de la infraestructura de biocombustibles apoya la transición energética de Repsol a las energías renovables.")</f>
        <v>El fortalecimiento de la infraestructura de biocombustibles apoya la transición energética de Repsol a las energías renovables.</v>
      </c>
      <c r="P1316" s="30">
        <v>0.6</v>
      </c>
      <c r="Q1316" s="18" t="str">
        <f>IFERROR(__xludf.DUMMYFUNCTION("GOOGLETRANSLATE(R1316,""ES"",""EN"")"),"purchase (expansion)")</f>
        <v>purchase (expansion)</v>
      </c>
      <c r="R1316" s="34" t="s">
        <v>9491</v>
      </c>
      <c r="S1316" s="52" t="s">
        <v>9492</v>
      </c>
      <c r="T1316" s="22" t="s">
        <v>9493</v>
      </c>
    </row>
    <row r="1317">
      <c r="A1317" s="23" t="s">
        <v>9494</v>
      </c>
      <c r="B1317" s="58" t="s">
        <v>3992</v>
      </c>
      <c r="C1317" s="41">
        <v>45377.0</v>
      </c>
      <c r="D1317" s="40" t="s">
        <v>9495</v>
      </c>
      <c r="E1317" s="41" t="s">
        <v>9496</v>
      </c>
      <c r="F1317" s="43" t="s">
        <v>9497</v>
      </c>
      <c r="G1317" s="43" t="s">
        <v>9498</v>
      </c>
      <c r="H1317" s="51" t="s">
        <v>661</v>
      </c>
      <c r="I1317" s="25" t="str">
        <f>IFERROR(__xludf.DUMMYFUNCTION("GOOGLETRANSLATE(H1317,""EN"",""ES"")"),"Estrategia empresarial")</f>
        <v>Estrategia empresarial</v>
      </c>
      <c r="J1317" s="26" t="s">
        <v>35</v>
      </c>
      <c r="K1317" s="48">
        <v>0.5</v>
      </c>
      <c r="L1317" s="49" t="s">
        <v>9499</v>
      </c>
      <c r="M1317" s="28" t="s">
        <v>9500</v>
      </c>
      <c r="N1317" s="66" t="s">
        <v>9501</v>
      </c>
      <c r="O1317" s="66" t="str">
        <f>IFERROR(__xludf.DUMMYFUNCTION("GOOGLETRANSLATE(N1317,""EN"",""ES"")"),"Mantener el foco en las inversiones a pesar de las disputas legales refuerza la resiliencia empresarial.")</f>
        <v>Mantener el foco en las inversiones a pesar de las disputas legales refuerza la resiliencia empresarial.</v>
      </c>
      <c r="P1317" s="30">
        <v>0.3</v>
      </c>
      <c r="Q1317" s="31" t="str">
        <f>IFERROR(__xludf.DUMMYFUNCTION("GOOGLETRANSLATE(R1317,""ES"",""EN"")"),"reaffirms (resilience)")</f>
        <v>reaffirms (resilience)</v>
      </c>
      <c r="R1317" s="28" t="s">
        <v>9502</v>
      </c>
      <c r="S1317" s="53" t="s">
        <v>9503</v>
      </c>
      <c r="T1317" s="32" t="s">
        <v>9504</v>
      </c>
    </row>
    <row r="1318">
      <c r="A1318" s="33" t="s">
        <v>9505</v>
      </c>
      <c r="B1318" s="60" t="s">
        <v>9506</v>
      </c>
      <c r="C1318" s="41">
        <v>45377.0</v>
      </c>
      <c r="D1318" s="40" t="s">
        <v>9507</v>
      </c>
      <c r="E1318" s="41" t="s">
        <v>9508</v>
      </c>
      <c r="F1318" s="43" t="s">
        <v>9509</v>
      </c>
      <c r="G1318" s="43" t="s">
        <v>9510</v>
      </c>
      <c r="H1318" s="51" t="s">
        <v>130</v>
      </c>
      <c r="I1318" s="15" t="str">
        <f>IFERROR(__xludf.DUMMYFUNCTION("GOOGLETRANSLATE(H1318,""EN"",""ES"")"),"Sostenibilidad")</f>
        <v>Sostenibilidad</v>
      </c>
      <c r="J1318" s="16" t="s">
        <v>35</v>
      </c>
      <c r="K1318" s="48">
        <v>0.7</v>
      </c>
      <c r="L1318" s="51" t="s">
        <v>9409</v>
      </c>
      <c r="M1318" s="34" t="s">
        <v>9410</v>
      </c>
      <c r="N1318" s="65" t="s">
        <v>9511</v>
      </c>
      <c r="O1318" s="65" t="str">
        <f>IFERROR(__xludf.DUMMYFUNCTION("GOOGLETRANSLATE(N1318,""EN"",""ES"")"),"La colaboración para la producción de biocombustibles respalda los compromisos medioambientales de Repsol.")</f>
        <v>La colaboración para la producción de biocombustibles respalda los compromisos medioambientales de Repsol.</v>
      </c>
      <c r="P1318" s="30">
        <v>0.6</v>
      </c>
      <c r="Q1318" s="18" t="str">
        <f>IFERROR(__xludf.DUMMYFUNCTION("GOOGLETRANSLATE(R1318,""ES"",""EN"")"),"acquires (growth)")</f>
        <v>acquires (growth)</v>
      </c>
      <c r="R1318" s="34" t="s">
        <v>9512</v>
      </c>
      <c r="S1318" s="52" t="s">
        <v>9513</v>
      </c>
      <c r="T1318" s="22" t="s">
        <v>9514</v>
      </c>
    </row>
    <row r="1319">
      <c r="A1319" s="23" t="s">
        <v>9515</v>
      </c>
      <c r="B1319" s="58" t="s">
        <v>9516</v>
      </c>
      <c r="C1319" s="41">
        <v>45377.0</v>
      </c>
      <c r="D1319" s="40" t="s">
        <v>9517</v>
      </c>
      <c r="E1319" s="41" t="s">
        <v>9518</v>
      </c>
      <c r="F1319" s="43" t="s">
        <v>9519</v>
      </c>
      <c r="G1319" s="43" t="s">
        <v>9520</v>
      </c>
      <c r="H1319" s="51" t="s">
        <v>130</v>
      </c>
      <c r="I1319" s="25" t="str">
        <f>IFERROR(__xludf.DUMMYFUNCTION("GOOGLETRANSLATE(H1319,""EN"",""ES"")"),"Sostenibilidad")</f>
        <v>Sostenibilidad</v>
      </c>
      <c r="J1319" s="26" t="s">
        <v>35</v>
      </c>
      <c r="K1319" s="48">
        <v>0.7</v>
      </c>
      <c r="L1319" s="49" t="s">
        <v>9409</v>
      </c>
      <c r="M1319" s="28" t="s">
        <v>9410</v>
      </c>
      <c r="N1319" s="66" t="s">
        <v>9521</v>
      </c>
      <c r="O1319" s="66" t="str">
        <f>IFERROR(__xludf.DUMMYFUNCTION("GOOGLETRANSLATE(N1319,""EN"",""ES"")"),"La ampliación de la producción de biocombustibles refuerza el liderazgo de Repsol en energía sostenible.")</f>
        <v>La ampliación de la producción de biocombustibles refuerza el liderazgo de Repsol en energía sostenible.</v>
      </c>
      <c r="P1319" s="30">
        <v>0.6</v>
      </c>
      <c r="Q1319" s="31" t="str">
        <f>IFERROR(__xludf.DUMMYFUNCTION("GOOGLETRANSLATE(R1319,""ES"",""EN"")"),"acquires")</f>
        <v>acquires</v>
      </c>
      <c r="R1319" s="28" t="s">
        <v>9522</v>
      </c>
      <c r="S1319" s="53" t="s">
        <v>9523</v>
      </c>
      <c r="T1319" s="32" t="s">
        <v>9524</v>
      </c>
    </row>
    <row r="1320">
      <c r="A1320" s="33" t="s">
        <v>9525</v>
      </c>
      <c r="B1320" s="60" t="s">
        <v>1192</v>
      </c>
      <c r="C1320" s="41">
        <v>45377.0</v>
      </c>
      <c r="D1320" s="40" t="s">
        <v>9526</v>
      </c>
      <c r="E1320" s="41" t="s">
        <v>9527</v>
      </c>
      <c r="F1320" s="43" t="s">
        <v>9528</v>
      </c>
      <c r="G1320" s="43" t="s">
        <v>9529</v>
      </c>
      <c r="H1320" s="51" t="s">
        <v>130</v>
      </c>
      <c r="I1320" s="15" t="str">
        <f>IFERROR(__xludf.DUMMYFUNCTION("GOOGLETRANSLATE(H1320,""EN"",""ES"")"),"Sostenibilidad")</f>
        <v>Sostenibilidad</v>
      </c>
      <c r="J1320" s="16" t="s">
        <v>35</v>
      </c>
      <c r="K1320" s="48">
        <v>0.7</v>
      </c>
      <c r="L1320" s="51" t="s">
        <v>9409</v>
      </c>
      <c r="M1320" s="34" t="s">
        <v>9410</v>
      </c>
      <c r="N1320" s="65" t="s">
        <v>9530</v>
      </c>
      <c r="O1320" s="65" t="str">
        <f>IFERROR(__xludf.DUMMYFUNCTION("GOOGLETRANSLATE(N1320,""EN"",""ES"")"),"La inversión en biocombustibles apoya la transición de Repsol hacia las energías renovables.")</f>
        <v>La inversión en biocombustibles apoya la transición de Repsol hacia las energías renovables.</v>
      </c>
      <c r="P1320" s="30">
        <v>0.6</v>
      </c>
      <c r="Q1320" s="18" t="str">
        <f>IFERROR(__xludf.DUMMYFUNCTION("GOOGLETRANSLATE(R1320,""ES"",""EN"")"),"buys")</f>
        <v>buys</v>
      </c>
      <c r="R1320" s="34" t="s">
        <v>9531</v>
      </c>
      <c r="S1320" s="52" t="s">
        <v>9532</v>
      </c>
      <c r="T1320" s="22" t="s">
        <v>9533</v>
      </c>
    </row>
    <row r="1321">
      <c r="A1321" s="23" t="s">
        <v>9534</v>
      </c>
      <c r="B1321" s="58" t="s">
        <v>21</v>
      </c>
      <c r="C1321" s="41">
        <v>45377.0</v>
      </c>
      <c r="D1321" s="40" t="s">
        <v>9535</v>
      </c>
      <c r="E1321" s="41" t="s">
        <v>9536</v>
      </c>
      <c r="F1321" s="43" t="s">
        <v>9537</v>
      </c>
      <c r="G1321" s="43" t="s">
        <v>9538</v>
      </c>
      <c r="H1321" s="51" t="s">
        <v>8777</v>
      </c>
      <c r="I1321" s="25" t="str">
        <f>IFERROR(__xludf.DUMMYFUNCTION("GOOGLETRANSLATE(H1321,""EN"",""ES"")"),"Cultura")</f>
        <v>Cultura</v>
      </c>
      <c r="J1321" s="26" t="s">
        <v>27</v>
      </c>
      <c r="K1321" s="17">
        <v>0.0</v>
      </c>
      <c r="L1321" s="54"/>
      <c r="M1321" s="31"/>
      <c r="N1321" s="66"/>
      <c r="O1321" s="66"/>
      <c r="P1321" s="20">
        <v>0.0</v>
      </c>
      <c r="Q1321" s="31"/>
      <c r="R1321" s="31"/>
      <c r="S1321" s="53"/>
      <c r="T1321" s="32"/>
    </row>
    <row r="1322">
      <c r="A1322" s="33" t="s">
        <v>9539</v>
      </c>
      <c r="B1322" s="60" t="s">
        <v>85</v>
      </c>
      <c r="C1322" s="41">
        <v>45377.0</v>
      </c>
      <c r="D1322" s="40" t="s">
        <v>9540</v>
      </c>
      <c r="E1322" s="41" t="s">
        <v>9541</v>
      </c>
      <c r="F1322" s="43" t="s">
        <v>9542</v>
      </c>
      <c r="G1322" s="43" t="s">
        <v>9543</v>
      </c>
      <c r="H1322" s="51" t="s">
        <v>148</v>
      </c>
      <c r="I1322" s="15" t="str">
        <f>IFERROR(__xludf.DUMMYFUNCTION("GOOGLETRANSLATE(H1322,""EN"",""ES"")"),"Gastronomía")</f>
        <v>Gastronomía</v>
      </c>
      <c r="J1322" s="16" t="s">
        <v>27</v>
      </c>
      <c r="K1322" s="17">
        <v>0.0</v>
      </c>
      <c r="L1322" s="45"/>
      <c r="M1322" s="18"/>
      <c r="N1322" s="65"/>
      <c r="O1322" s="65"/>
      <c r="P1322" s="20">
        <v>0.0</v>
      </c>
      <c r="Q1322" s="18"/>
      <c r="R1322" s="18"/>
      <c r="S1322" s="52"/>
      <c r="T1322" s="22"/>
    </row>
    <row r="1323">
      <c r="A1323" s="23" t="s">
        <v>9544</v>
      </c>
      <c r="B1323" s="58" t="s">
        <v>499</v>
      </c>
      <c r="C1323" s="41">
        <v>45377.0</v>
      </c>
      <c r="D1323" s="40" t="s">
        <v>9545</v>
      </c>
      <c r="E1323" s="41" t="s">
        <v>9546</v>
      </c>
      <c r="F1323" s="43" t="s">
        <v>9547</v>
      </c>
      <c r="G1323" s="43" t="s">
        <v>9548</v>
      </c>
      <c r="H1323" s="51" t="s">
        <v>62</v>
      </c>
      <c r="I1323" s="25" t="str">
        <f>IFERROR(__xludf.DUMMYFUNCTION("GOOGLETRANSLATE(H1323,""EN"",""ES"")"),"Energía")</f>
        <v>Energía</v>
      </c>
      <c r="J1323" s="26" t="s">
        <v>35</v>
      </c>
      <c r="K1323" s="48">
        <v>0.0</v>
      </c>
      <c r="L1323" s="54"/>
      <c r="M1323" s="31"/>
      <c r="N1323" s="66" t="s">
        <v>9549</v>
      </c>
      <c r="O1323" s="66" t="str">
        <f>IFERROR(__xludf.DUMMYFUNCTION("GOOGLETRANSLATE(N1323,""EN"",""ES"")"),"Las discusiones generales sobre el mercado eléctrico no impactan el negocio de Repsol.")</f>
        <v>Las discusiones generales sobre el mercado eléctrico no impactan el negocio de Repsol.</v>
      </c>
      <c r="P1323" s="30">
        <v>0.0</v>
      </c>
      <c r="Q1323" s="31"/>
      <c r="R1323" s="31"/>
      <c r="S1323" s="53" t="s">
        <v>9550</v>
      </c>
      <c r="T1323" s="32" t="s">
        <v>9551</v>
      </c>
    </row>
    <row r="1324">
      <c r="A1324" s="33" t="s">
        <v>9552</v>
      </c>
      <c r="B1324" s="60" t="s">
        <v>21</v>
      </c>
      <c r="C1324" s="41">
        <v>45377.0</v>
      </c>
      <c r="D1324" s="40" t="s">
        <v>9553</v>
      </c>
      <c r="E1324" s="41" t="s">
        <v>9554</v>
      </c>
      <c r="F1324" s="43" t="s">
        <v>9555</v>
      </c>
      <c r="G1324" s="43" t="s">
        <v>9556</v>
      </c>
      <c r="H1324" s="51" t="s">
        <v>969</v>
      </c>
      <c r="I1324" s="15" t="str">
        <f>IFERROR(__xludf.DUMMYFUNCTION("GOOGLETRANSLATE(H1324,""EN"",""ES"")"),"Turismo")</f>
        <v>Turismo</v>
      </c>
      <c r="J1324" s="16" t="s">
        <v>27</v>
      </c>
      <c r="K1324" s="17">
        <v>0.0</v>
      </c>
      <c r="L1324" s="45"/>
      <c r="M1324" s="18"/>
      <c r="N1324" s="65"/>
      <c r="O1324" s="65"/>
      <c r="P1324" s="20">
        <v>0.0</v>
      </c>
      <c r="Q1324" s="18"/>
      <c r="R1324" s="18"/>
      <c r="S1324" s="52"/>
      <c r="T1324" s="22"/>
    </row>
    <row r="1325">
      <c r="A1325" s="23" t="s">
        <v>9557</v>
      </c>
      <c r="B1325" s="58" t="s">
        <v>356</v>
      </c>
      <c r="C1325" s="41">
        <v>45378.0</v>
      </c>
      <c r="D1325" s="40" t="s">
        <v>9558</v>
      </c>
      <c r="E1325" s="41" t="s">
        <v>9417</v>
      </c>
      <c r="F1325" s="43" t="s">
        <v>9559</v>
      </c>
      <c r="G1325" s="43" t="s">
        <v>9419</v>
      </c>
      <c r="H1325" s="51" t="s">
        <v>130</v>
      </c>
      <c r="I1325" s="25" t="str">
        <f>IFERROR(__xludf.DUMMYFUNCTION("GOOGLETRANSLATE(H1325,""EN"",""ES"")"),"Sostenibilidad")</f>
        <v>Sostenibilidad</v>
      </c>
      <c r="J1325" s="26" t="s">
        <v>35</v>
      </c>
      <c r="K1325" s="48">
        <v>0.7</v>
      </c>
      <c r="L1325" s="49" t="s">
        <v>9443</v>
      </c>
      <c r="M1325" s="28" t="s">
        <v>9444</v>
      </c>
      <c r="N1325" s="66" t="s">
        <v>9422</v>
      </c>
      <c r="O1325" s="66" t="str">
        <f>IFERROR(__xludf.DUMMYFUNCTION("GOOGLETRANSLATE(N1325,""EN"",""ES"")"),"Reforzar el desarrollo de los biocombustibles respalda los objetivos de energías renovables de Repsol.")</f>
        <v>Reforzar el desarrollo de los biocombustibles respalda los objetivos de energías renovables de Repsol.</v>
      </c>
      <c r="P1325" s="30">
        <v>0.6</v>
      </c>
      <c r="Q1325" s="31" t="str">
        <f>IFERROR(__xludf.DUMMYFUNCTION("GOOGLETRANSLATE(R1325,""ES"",""EN"")"),"they ally")</f>
        <v>they ally</v>
      </c>
      <c r="R1325" s="28" t="s">
        <v>9560</v>
      </c>
      <c r="S1325" s="53" t="s">
        <v>9561</v>
      </c>
      <c r="T1325" s="32" t="s">
        <v>9562</v>
      </c>
    </row>
    <row r="1326">
      <c r="A1326" s="33" t="s">
        <v>9563</v>
      </c>
      <c r="B1326" s="60" t="s">
        <v>3511</v>
      </c>
      <c r="C1326" s="41">
        <v>45378.0</v>
      </c>
      <c r="D1326" s="40" t="s">
        <v>9564</v>
      </c>
      <c r="E1326" s="41" t="s">
        <v>9565</v>
      </c>
      <c r="F1326" s="43" t="s">
        <v>9566</v>
      </c>
      <c r="G1326" s="43" t="s">
        <v>9567</v>
      </c>
      <c r="H1326" s="51" t="s">
        <v>130</v>
      </c>
      <c r="I1326" s="15" t="str">
        <f>IFERROR(__xludf.DUMMYFUNCTION("GOOGLETRANSLATE(H1326,""EN"",""ES"")"),"Sostenibilidad")</f>
        <v>Sostenibilidad</v>
      </c>
      <c r="J1326" s="16" t="s">
        <v>27</v>
      </c>
      <c r="K1326" s="17">
        <v>0.0</v>
      </c>
      <c r="L1326" s="45"/>
      <c r="M1326" s="18"/>
      <c r="N1326" s="65"/>
      <c r="O1326" s="65"/>
      <c r="P1326" s="20">
        <v>0.0</v>
      </c>
      <c r="Q1326" s="18"/>
      <c r="R1326" s="18"/>
      <c r="S1326" s="52"/>
      <c r="T1326" s="22"/>
    </row>
    <row r="1327">
      <c r="A1327" s="23" t="s">
        <v>9568</v>
      </c>
      <c r="B1327" s="58" t="s">
        <v>9569</v>
      </c>
      <c r="C1327" s="41">
        <v>45378.0</v>
      </c>
      <c r="D1327" s="40" t="s">
        <v>9570</v>
      </c>
      <c r="E1327" s="41" t="s">
        <v>9571</v>
      </c>
      <c r="F1327" s="43" t="s">
        <v>9572</v>
      </c>
      <c r="G1327" s="43" t="s">
        <v>9573</v>
      </c>
      <c r="H1327" s="51" t="s">
        <v>661</v>
      </c>
      <c r="I1327" s="25" t="str">
        <f>IFERROR(__xludf.DUMMYFUNCTION("GOOGLETRANSLATE(H1327,""EN"",""ES"")"),"Estrategia empresarial")</f>
        <v>Estrategia empresarial</v>
      </c>
      <c r="J1327" s="26" t="s">
        <v>35</v>
      </c>
      <c r="K1327" s="48">
        <v>-0.3</v>
      </c>
      <c r="L1327" s="49" t="s">
        <v>9574</v>
      </c>
      <c r="M1327" s="28" t="s">
        <v>9575</v>
      </c>
      <c r="N1327" s="66" t="s">
        <v>9576</v>
      </c>
      <c r="O1327" s="66" t="str">
        <f>IFERROR(__xludf.DUMMYFUNCTION("GOOGLETRANSLATE(N1327,""EN"",""ES"")"),"Quedarse fuera de las primeras compañías podría afectar ligeramente a la percepción de Repsol.")</f>
        <v>Quedarse fuera de las primeras compañías podría afectar ligeramente a la percepción de Repsol.</v>
      </c>
      <c r="P1327" s="30">
        <v>-0.2</v>
      </c>
      <c r="Q1327" s="31" t="str">
        <f>IFERROR(__xludf.DUMMYFUNCTION("GOOGLETRANSLATE(R1327,""ES"",""EN"")"),"stays (missed opportunity)")</f>
        <v>stays (missed opportunity)</v>
      </c>
      <c r="R1327" s="28" t="s">
        <v>9577</v>
      </c>
      <c r="S1327" s="53" t="s">
        <v>9578</v>
      </c>
      <c r="T1327" s="32" t="s">
        <v>9579</v>
      </c>
    </row>
    <row r="1328">
      <c r="A1328" s="33" t="s">
        <v>9580</v>
      </c>
      <c r="B1328" s="60" t="s">
        <v>7295</v>
      </c>
      <c r="C1328" s="41">
        <v>45378.0</v>
      </c>
      <c r="D1328" s="40" t="s">
        <v>9581</v>
      </c>
      <c r="E1328" s="41" t="s">
        <v>9582</v>
      </c>
      <c r="F1328" s="43" t="s">
        <v>9583</v>
      </c>
      <c r="G1328" s="43" t="s">
        <v>9584</v>
      </c>
      <c r="H1328" s="51" t="s">
        <v>148</v>
      </c>
      <c r="I1328" s="15" t="str">
        <f>IFERROR(__xludf.DUMMYFUNCTION("GOOGLETRANSLATE(H1328,""EN"",""ES"")"),"Gastronomía")</f>
        <v>Gastronomía</v>
      </c>
      <c r="J1328" s="16" t="s">
        <v>27</v>
      </c>
      <c r="K1328" s="17">
        <v>0.0</v>
      </c>
      <c r="L1328" s="45"/>
      <c r="M1328" s="18"/>
      <c r="N1328" s="65"/>
      <c r="O1328" s="65"/>
      <c r="P1328" s="20">
        <v>0.0</v>
      </c>
      <c r="Q1328" s="18"/>
      <c r="R1328" s="18"/>
      <c r="S1328" s="52"/>
      <c r="T1328" s="22"/>
    </row>
    <row r="1329">
      <c r="A1329" s="23" t="s">
        <v>9585</v>
      </c>
      <c r="B1329" s="58" t="s">
        <v>1768</v>
      </c>
      <c r="C1329" s="41">
        <v>45378.0</v>
      </c>
      <c r="D1329" s="40" t="s">
        <v>9586</v>
      </c>
      <c r="E1329" s="41" t="s">
        <v>9587</v>
      </c>
      <c r="F1329" s="43" t="s">
        <v>9588</v>
      </c>
      <c r="G1329" s="43" t="s">
        <v>9589</v>
      </c>
      <c r="H1329" s="51" t="s">
        <v>130</v>
      </c>
      <c r="I1329" s="25" t="str">
        <f>IFERROR(__xludf.DUMMYFUNCTION("GOOGLETRANSLATE(H1329,""EN"",""ES"")"),"Sostenibilidad")</f>
        <v>Sostenibilidad</v>
      </c>
      <c r="J1329" s="26" t="s">
        <v>35</v>
      </c>
      <c r="K1329" s="48">
        <v>0.7</v>
      </c>
      <c r="L1329" s="49" t="s">
        <v>8981</v>
      </c>
      <c r="M1329" s="28" t="s">
        <v>8982</v>
      </c>
      <c r="N1329" s="66" t="s">
        <v>9590</v>
      </c>
      <c r="O1329" s="66" t="str">
        <f>IFERROR(__xludf.DUMMYFUNCTION("GOOGLETRANSLATE(N1329,""EN"",""ES"")"),"El aumento de las inversiones en energías renovables respalda la transición verde de Repsol.")</f>
        <v>El aumento de las inversiones en energías renovables respalda la transición verde de Repsol.</v>
      </c>
      <c r="P1329" s="30">
        <v>0.0</v>
      </c>
      <c r="Q1329" s="31"/>
      <c r="R1329" s="31"/>
      <c r="S1329" s="53" t="s">
        <v>9591</v>
      </c>
      <c r="T1329" s="32" t="s">
        <v>9592</v>
      </c>
    </row>
    <row r="1330">
      <c r="A1330" s="33" t="s">
        <v>9593</v>
      </c>
      <c r="B1330" s="60" t="s">
        <v>1005</v>
      </c>
      <c r="C1330" s="41">
        <v>45378.0</v>
      </c>
      <c r="D1330" s="40" t="s">
        <v>9594</v>
      </c>
      <c r="E1330" s="41" t="s">
        <v>9595</v>
      </c>
      <c r="F1330" s="43" t="s">
        <v>9596</v>
      </c>
      <c r="G1330" s="43" t="s">
        <v>9597</v>
      </c>
      <c r="H1330" s="51" t="s">
        <v>969</v>
      </c>
      <c r="I1330" s="15" t="str">
        <f>IFERROR(__xludf.DUMMYFUNCTION("GOOGLETRANSLATE(H1330,""EN"",""ES"")"),"Turismo")</f>
        <v>Turismo</v>
      </c>
      <c r="J1330" s="16" t="s">
        <v>27</v>
      </c>
      <c r="K1330" s="17">
        <v>0.0</v>
      </c>
      <c r="L1330" s="45"/>
      <c r="M1330" s="18"/>
      <c r="N1330" s="65"/>
      <c r="O1330" s="65"/>
      <c r="P1330" s="20">
        <v>0.0</v>
      </c>
      <c r="Q1330" s="18"/>
      <c r="R1330" s="18"/>
      <c r="S1330" s="52"/>
      <c r="T1330" s="22"/>
    </row>
    <row r="1331">
      <c r="A1331" s="23" t="s">
        <v>9598</v>
      </c>
      <c r="B1331" s="58" t="s">
        <v>977</v>
      </c>
      <c r="C1331" s="41">
        <v>45378.0</v>
      </c>
      <c r="D1331" s="40" t="s">
        <v>9599</v>
      </c>
      <c r="E1331" s="41" t="s">
        <v>9600</v>
      </c>
      <c r="F1331" s="43" t="s">
        <v>9601</v>
      </c>
      <c r="G1331" s="43" t="s">
        <v>9602</v>
      </c>
      <c r="H1331" s="51" t="s">
        <v>9603</v>
      </c>
      <c r="I1331" s="25" t="str">
        <f>IFERROR(__xludf.DUMMYFUNCTION("GOOGLETRANSLATE(H1331,""EN"",""ES"")"),"Redes Sociales")</f>
        <v>Redes Sociales</v>
      </c>
      <c r="J1331" s="26" t="s">
        <v>27</v>
      </c>
      <c r="K1331" s="17">
        <v>0.0</v>
      </c>
      <c r="L1331" s="54"/>
      <c r="M1331" s="31"/>
      <c r="N1331" s="66"/>
      <c r="O1331" s="66"/>
      <c r="P1331" s="20">
        <v>0.0</v>
      </c>
      <c r="Q1331" s="31"/>
      <c r="R1331" s="31"/>
      <c r="S1331" s="53"/>
      <c r="T1331" s="32"/>
    </row>
    <row r="1332">
      <c r="A1332" s="33" t="s">
        <v>9604</v>
      </c>
      <c r="B1332" s="60" t="s">
        <v>1970</v>
      </c>
      <c r="C1332" s="41">
        <v>45378.0</v>
      </c>
      <c r="D1332" s="40" t="s">
        <v>9605</v>
      </c>
      <c r="E1332" s="41" t="s">
        <v>9606</v>
      </c>
      <c r="F1332" s="43" t="s">
        <v>9607</v>
      </c>
      <c r="G1332" s="43" t="s">
        <v>9608</v>
      </c>
      <c r="H1332" s="51" t="s">
        <v>148</v>
      </c>
      <c r="I1332" s="15" t="str">
        <f>IFERROR(__xludf.DUMMYFUNCTION("GOOGLETRANSLATE(H1332,""EN"",""ES"")"),"Gastronomía")</f>
        <v>Gastronomía</v>
      </c>
      <c r="J1332" s="16" t="s">
        <v>27</v>
      </c>
      <c r="K1332" s="17">
        <v>0.0</v>
      </c>
      <c r="L1332" s="45"/>
      <c r="M1332" s="18"/>
      <c r="N1332" s="65"/>
      <c r="O1332" s="65"/>
      <c r="P1332" s="20">
        <v>0.0</v>
      </c>
      <c r="Q1332" s="18"/>
      <c r="R1332" s="18"/>
      <c r="S1332" s="52"/>
      <c r="T1332" s="22"/>
    </row>
    <row r="1333">
      <c r="A1333" s="23" t="s">
        <v>9609</v>
      </c>
      <c r="B1333" s="58" t="s">
        <v>2175</v>
      </c>
      <c r="C1333" s="41">
        <v>45378.0</v>
      </c>
      <c r="D1333" s="40" t="s">
        <v>9610</v>
      </c>
      <c r="E1333" s="41" t="s">
        <v>9611</v>
      </c>
      <c r="F1333" s="43" t="s">
        <v>9612</v>
      </c>
      <c r="G1333" s="43" t="s">
        <v>9613</v>
      </c>
      <c r="H1333" s="51" t="s">
        <v>48</v>
      </c>
      <c r="I1333" s="25" t="str">
        <f>IFERROR(__xludf.DUMMYFUNCTION("GOOGLETRANSLATE(H1333,""EN"",""ES"")"),"Finanzas")</f>
        <v>Finanzas</v>
      </c>
      <c r="J1333" s="26" t="s">
        <v>27</v>
      </c>
      <c r="K1333" s="17">
        <v>0.0</v>
      </c>
      <c r="L1333" s="54"/>
      <c r="M1333" s="31"/>
      <c r="N1333" s="66"/>
      <c r="O1333" s="66"/>
      <c r="P1333" s="20">
        <v>0.0</v>
      </c>
      <c r="Q1333" s="31"/>
      <c r="R1333" s="31"/>
      <c r="S1333" s="53"/>
      <c r="T1333" s="32"/>
    </row>
    <row r="1334">
      <c r="A1334" s="33" t="s">
        <v>9614</v>
      </c>
      <c r="B1334" s="60" t="s">
        <v>9615</v>
      </c>
      <c r="C1334" s="41">
        <v>45378.0</v>
      </c>
      <c r="D1334" s="40" t="s">
        <v>9616</v>
      </c>
      <c r="E1334" s="41" t="s">
        <v>9617</v>
      </c>
      <c r="F1334" s="43" t="s">
        <v>9618</v>
      </c>
      <c r="G1334" s="43" t="s">
        <v>9619</v>
      </c>
      <c r="H1334" s="51" t="s">
        <v>661</v>
      </c>
      <c r="I1334" s="15" t="str">
        <f>IFERROR(__xludf.DUMMYFUNCTION("GOOGLETRANSLATE(H1334,""EN"",""ES"")"),"Estrategia empresarial")</f>
        <v>Estrategia empresarial</v>
      </c>
      <c r="J1334" s="16" t="s">
        <v>27</v>
      </c>
      <c r="K1334" s="17">
        <v>0.0</v>
      </c>
      <c r="L1334" s="45"/>
      <c r="M1334" s="18"/>
      <c r="N1334" s="65"/>
      <c r="O1334" s="65"/>
      <c r="P1334" s="20">
        <v>0.0</v>
      </c>
      <c r="Q1334" s="18"/>
      <c r="R1334" s="18"/>
      <c r="S1334" s="52"/>
      <c r="T1334" s="22"/>
    </row>
    <row r="1335">
      <c r="A1335" s="23" t="s">
        <v>9620</v>
      </c>
      <c r="B1335" s="58" t="s">
        <v>43</v>
      </c>
      <c r="C1335" s="41">
        <v>45379.0</v>
      </c>
      <c r="D1335" s="40" t="s">
        <v>9621</v>
      </c>
      <c r="E1335" s="41" t="s">
        <v>9622</v>
      </c>
      <c r="F1335" s="43" t="s">
        <v>9623</v>
      </c>
      <c r="G1335" s="43" t="s">
        <v>9624</v>
      </c>
      <c r="H1335" s="51" t="s">
        <v>130</v>
      </c>
      <c r="I1335" s="25" t="str">
        <f>IFERROR(__xludf.DUMMYFUNCTION("GOOGLETRANSLATE(H1335,""EN"",""ES"")"),"Sostenibilidad")</f>
        <v>Sostenibilidad</v>
      </c>
      <c r="J1335" s="26" t="s">
        <v>35</v>
      </c>
      <c r="K1335" s="48">
        <v>0.8</v>
      </c>
      <c r="L1335" s="49" t="s">
        <v>9625</v>
      </c>
      <c r="M1335" s="28" t="s">
        <v>9626</v>
      </c>
      <c r="N1335" s="66" t="s">
        <v>9627</v>
      </c>
      <c r="O1335" s="66" t="str">
        <f>IFERROR(__xludf.DUMMYFUNCTION("GOOGLETRANSLATE(N1335,""EN"",""ES"")"),"El avance de la producción de combustibles sintéticos respalda la transición energética limpia de Repsol.")</f>
        <v>El avance de la producción de combustibles sintéticos respalda la transición energética limpia de Repsol.</v>
      </c>
      <c r="P1335" s="30">
        <v>0.8</v>
      </c>
      <c r="Q1335" s="31" t="str">
        <f>IFERROR(__xludf.DUMMYFUNCTION("GOOGLETRANSLATE(R1335,""ES"",""EN"")"),"green light, ""megaproject""")</f>
        <v>green light, "megaproject"</v>
      </c>
      <c r="R1335" s="28" t="s">
        <v>9628</v>
      </c>
      <c r="S1335" s="53" t="s">
        <v>9629</v>
      </c>
      <c r="T1335" s="32" t="s">
        <v>9630</v>
      </c>
    </row>
    <row r="1336">
      <c r="A1336" s="33" t="s">
        <v>9631</v>
      </c>
      <c r="B1336" s="60" t="s">
        <v>85</v>
      </c>
      <c r="C1336" s="41">
        <v>45379.0</v>
      </c>
      <c r="D1336" s="40" t="s">
        <v>9632</v>
      </c>
      <c r="E1336" s="41" t="s">
        <v>9633</v>
      </c>
      <c r="F1336" s="43" t="s">
        <v>9634</v>
      </c>
      <c r="G1336" s="43" t="s">
        <v>9635</v>
      </c>
      <c r="H1336" s="51" t="s">
        <v>130</v>
      </c>
      <c r="I1336" s="15" t="str">
        <f>IFERROR(__xludf.DUMMYFUNCTION("GOOGLETRANSLATE(H1336,""EN"",""ES"")"),"Sostenibilidad")</f>
        <v>Sostenibilidad</v>
      </c>
      <c r="J1336" s="16" t="s">
        <v>35</v>
      </c>
      <c r="K1336" s="48">
        <v>0.7</v>
      </c>
      <c r="L1336" s="51" t="s">
        <v>9636</v>
      </c>
      <c r="M1336" s="34" t="s">
        <v>9637</v>
      </c>
      <c r="N1336" s="65" t="s">
        <v>9638</v>
      </c>
      <c r="O1336" s="65" t="str">
        <f>IFERROR(__xludf.DUMMYFUNCTION("GOOGLETRANSLATE(N1336,""EN"",""ES"")"),"La ampliación de las estaciones de carga de vehículos eléctricos se alinea con la estrategia de sostenibilidad de Repsol.")</f>
        <v>La ampliación de las estaciones de carga de vehículos eléctricos se alinea con la estrategia de sostenibilidad de Repsol.</v>
      </c>
      <c r="P1336" s="30">
        <v>0.0</v>
      </c>
      <c r="Q1336" s="18"/>
      <c r="R1336" s="18"/>
      <c r="S1336" s="52" t="s">
        <v>9639</v>
      </c>
      <c r="T1336" s="22" t="s">
        <v>9640</v>
      </c>
    </row>
    <row r="1337">
      <c r="A1337" s="23" t="s">
        <v>9641</v>
      </c>
      <c r="B1337" s="58" t="s">
        <v>2384</v>
      </c>
      <c r="C1337" s="41">
        <v>45379.0</v>
      </c>
      <c r="D1337" s="40" t="s">
        <v>9642</v>
      </c>
      <c r="E1337" s="41" t="s">
        <v>9643</v>
      </c>
      <c r="F1337" s="43" t="s">
        <v>9644</v>
      </c>
      <c r="G1337" s="43" t="s">
        <v>9645</v>
      </c>
      <c r="H1337" s="51" t="s">
        <v>9646</v>
      </c>
      <c r="I1337" s="25" t="str">
        <f>IFERROR(__xludf.DUMMYFUNCTION("GOOGLETRANSLATE(H1337,""EN"",""ES"")"),"Regulación empresarial")</f>
        <v>Regulación empresarial</v>
      </c>
      <c r="J1337" s="26" t="s">
        <v>27</v>
      </c>
      <c r="K1337" s="17">
        <v>0.0</v>
      </c>
      <c r="L1337" s="45"/>
      <c r="M1337" s="31"/>
      <c r="N1337" s="66"/>
      <c r="O1337" s="66"/>
      <c r="P1337" s="20">
        <v>0.0</v>
      </c>
      <c r="Q1337" s="31"/>
      <c r="R1337" s="31"/>
      <c r="S1337" s="53"/>
      <c r="T1337" s="32"/>
    </row>
    <row r="1338">
      <c r="A1338" s="33" t="s">
        <v>9647</v>
      </c>
      <c r="B1338" s="60" t="s">
        <v>6835</v>
      </c>
      <c r="C1338" s="41">
        <v>45379.0</v>
      </c>
      <c r="D1338" s="40" t="s">
        <v>9648</v>
      </c>
      <c r="E1338" s="41" t="s">
        <v>9649</v>
      </c>
      <c r="F1338" s="43" t="s">
        <v>9650</v>
      </c>
      <c r="G1338" s="43" t="s">
        <v>9651</v>
      </c>
      <c r="H1338" s="51" t="s">
        <v>148</v>
      </c>
      <c r="I1338" s="15" t="str">
        <f>IFERROR(__xludf.DUMMYFUNCTION("GOOGLETRANSLATE(H1338,""EN"",""ES"")"),"Gastronomía")</f>
        <v>Gastronomía</v>
      </c>
      <c r="J1338" s="16" t="s">
        <v>27</v>
      </c>
      <c r="K1338" s="17">
        <v>0.0</v>
      </c>
      <c r="L1338" s="45"/>
      <c r="M1338" s="18"/>
      <c r="N1338" s="65"/>
      <c r="O1338" s="65"/>
      <c r="P1338" s="20">
        <v>0.0</v>
      </c>
      <c r="Q1338" s="18"/>
      <c r="R1338" s="18"/>
      <c r="S1338" s="52"/>
      <c r="T1338" s="22"/>
    </row>
    <row r="1339">
      <c r="A1339" s="23" t="s">
        <v>9652</v>
      </c>
      <c r="B1339" s="58" t="s">
        <v>91</v>
      </c>
      <c r="C1339" s="41">
        <v>45379.0</v>
      </c>
      <c r="D1339" s="40" t="s">
        <v>9653</v>
      </c>
      <c r="E1339" s="41" t="s">
        <v>9654</v>
      </c>
      <c r="F1339" s="43" t="s">
        <v>9655</v>
      </c>
      <c r="G1339" s="43" t="s">
        <v>9656</v>
      </c>
      <c r="H1339" s="51" t="s">
        <v>62</v>
      </c>
      <c r="I1339" s="25" t="str">
        <f>IFERROR(__xludf.DUMMYFUNCTION("GOOGLETRANSLATE(H1339,""EN"",""ES"")"),"Energía")</f>
        <v>Energía</v>
      </c>
      <c r="J1339" s="26" t="s">
        <v>35</v>
      </c>
      <c r="K1339" s="48">
        <v>0.0</v>
      </c>
      <c r="L1339" s="54"/>
      <c r="M1339" s="31"/>
      <c r="N1339" s="66" t="s">
        <v>9657</v>
      </c>
      <c r="O1339" s="66" t="str">
        <f>IFERROR(__xludf.DUMMYFUNCTION("GOOGLETRANSLATE(N1339,""EN"",""ES"")"),"Las fluctuaciones temporales de los precios de la electricidad no impactan significativamente en la percepción de Repsol.")</f>
        <v>Las fluctuaciones temporales de los precios de la electricidad no impactan significativamente en la percepción de Repsol.</v>
      </c>
      <c r="P1339" s="30">
        <v>0.0</v>
      </c>
      <c r="Q1339" s="31"/>
      <c r="R1339" s="31"/>
      <c r="S1339" s="53" t="s">
        <v>9658</v>
      </c>
      <c r="T1339" s="32" t="s">
        <v>9659</v>
      </c>
    </row>
    <row r="1340">
      <c r="A1340" s="33" t="s">
        <v>9660</v>
      </c>
      <c r="B1340" s="60" t="s">
        <v>448</v>
      </c>
      <c r="C1340" s="41">
        <v>45379.0</v>
      </c>
      <c r="D1340" s="40" t="s">
        <v>9661</v>
      </c>
      <c r="E1340" s="41" t="s">
        <v>9662</v>
      </c>
      <c r="F1340" s="43" t="s">
        <v>9663</v>
      </c>
      <c r="G1340" s="43" t="s">
        <v>9664</v>
      </c>
      <c r="H1340" s="51" t="s">
        <v>9665</v>
      </c>
      <c r="I1340" s="15" t="str">
        <f>IFERROR(__xludf.DUMMYFUNCTION("GOOGLETRANSLATE(H1340,""EN"",""ES"")"),"Transporte")</f>
        <v>Transporte</v>
      </c>
      <c r="J1340" s="16" t="s">
        <v>27</v>
      </c>
      <c r="K1340" s="17">
        <v>0.0</v>
      </c>
      <c r="L1340" s="45"/>
      <c r="M1340" s="18"/>
      <c r="N1340" s="65"/>
      <c r="O1340" s="65"/>
      <c r="P1340" s="20">
        <v>0.0</v>
      </c>
      <c r="Q1340" s="18"/>
      <c r="R1340" s="18"/>
      <c r="S1340" s="52"/>
      <c r="T1340" s="22"/>
    </row>
    <row r="1341">
      <c r="A1341" s="23" t="s">
        <v>9666</v>
      </c>
      <c r="B1341" s="58" t="s">
        <v>85</v>
      </c>
      <c r="C1341" s="41">
        <v>45379.0</v>
      </c>
      <c r="D1341" s="40" t="s">
        <v>9667</v>
      </c>
      <c r="E1341" s="41" t="s">
        <v>9668</v>
      </c>
      <c r="F1341" s="43" t="s">
        <v>9669</v>
      </c>
      <c r="G1341" s="43" t="s">
        <v>9670</v>
      </c>
      <c r="H1341" s="51" t="s">
        <v>148</v>
      </c>
      <c r="I1341" s="25" t="str">
        <f>IFERROR(__xludf.DUMMYFUNCTION("GOOGLETRANSLATE(H1341,""EN"",""ES"")"),"Gastronomía")</f>
        <v>Gastronomía</v>
      </c>
      <c r="J1341" s="26" t="s">
        <v>27</v>
      </c>
      <c r="K1341" s="17">
        <v>0.0</v>
      </c>
      <c r="L1341" s="54"/>
      <c r="M1341" s="31"/>
      <c r="N1341" s="66"/>
      <c r="O1341" s="66"/>
      <c r="P1341" s="20">
        <v>0.0</v>
      </c>
      <c r="Q1341" s="31"/>
      <c r="R1341" s="31"/>
      <c r="S1341" s="53"/>
      <c r="T1341" s="32"/>
    </row>
    <row r="1342">
      <c r="A1342" s="33" t="s">
        <v>9671</v>
      </c>
      <c r="B1342" s="60" t="s">
        <v>2384</v>
      </c>
      <c r="C1342" s="41">
        <v>45379.0</v>
      </c>
      <c r="D1342" s="40" t="s">
        <v>9672</v>
      </c>
      <c r="E1342" s="41" t="s">
        <v>9673</v>
      </c>
      <c r="F1342" s="43" t="s">
        <v>9674</v>
      </c>
      <c r="G1342" s="43" t="s">
        <v>9675</v>
      </c>
      <c r="H1342" s="51" t="s">
        <v>9676</v>
      </c>
      <c r="I1342" s="15" t="str">
        <f>IFERROR(__xludf.DUMMYFUNCTION("GOOGLETRANSLATE(H1342,""EN"",""ES"")"),"Infraestructura")</f>
        <v>Infraestructura</v>
      </c>
      <c r="J1342" s="16" t="s">
        <v>27</v>
      </c>
      <c r="K1342" s="17">
        <v>0.0</v>
      </c>
      <c r="L1342" s="45"/>
      <c r="M1342" s="18"/>
      <c r="N1342" s="65"/>
      <c r="O1342" s="65"/>
      <c r="P1342" s="20">
        <v>0.0</v>
      </c>
      <c r="Q1342" s="18"/>
      <c r="R1342" s="18"/>
      <c r="S1342" s="52"/>
      <c r="T1342" s="22"/>
    </row>
    <row r="1343">
      <c r="A1343" s="23" t="s">
        <v>9677</v>
      </c>
      <c r="B1343" s="58" t="s">
        <v>9678</v>
      </c>
      <c r="C1343" s="41">
        <v>45379.0</v>
      </c>
      <c r="D1343" s="40" t="s">
        <v>9679</v>
      </c>
      <c r="E1343" s="41" t="s">
        <v>9680</v>
      </c>
      <c r="F1343" s="43" t="s">
        <v>9681</v>
      </c>
      <c r="G1343" s="43" t="s">
        <v>9682</v>
      </c>
      <c r="H1343" s="51" t="s">
        <v>5878</v>
      </c>
      <c r="I1343" s="25" t="str">
        <f>IFERROR(__xludf.DUMMYFUNCTION("GOOGLETRANSLATE(H1343,""EN"",""ES"")"),"Entretenimiento")</f>
        <v>Entretenimiento</v>
      </c>
      <c r="J1343" s="26" t="s">
        <v>27</v>
      </c>
      <c r="K1343" s="17">
        <v>0.0</v>
      </c>
      <c r="L1343" s="54"/>
      <c r="M1343" s="31"/>
      <c r="N1343" s="66"/>
      <c r="O1343" s="66"/>
      <c r="P1343" s="20">
        <v>0.0</v>
      </c>
      <c r="Q1343" s="31"/>
      <c r="R1343" s="31"/>
      <c r="S1343" s="53"/>
      <c r="T1343" s="32"/>
    </row>
    <row r="1344">
      <c r="A1344" s="33" t="s">
        <v>9683</v>
      </c>
      <c r="B1344" s="60" t="s">
        <v>9684</v>
      </c>
      <c r="C1344" s="41">
        <v>45380.0</v>
      </c>
      <c r="D1344" s="40" t="s">
        <v>9685</v>
      </c>
      <c r="E1344" s="41" t="s">
        <v>9686</v>
      </c>
      <c r="F1344" s="43" t="s">
        <v>9687</v>
      </c>
      <c r="G1344" s="43" t="s">
        <v>9688</v>
      </c>
      <c r="H1344" s="51" t="s">
        <v>661</v>
      </c>
      <c r="I1344" s="15" t="str">
        <f>IFERROR(__xludf.DUMMYFUNCTION("GOOGLETRANSLATE(H1344,""EN"",""ES"")"),"Estrategia empresarial")</f>
        <v>Estrategia empresarial</v>
      </c>
      <c r="J1344" s="16" t="s">
        <v>27</v>
      </c>
      <c r="K1344" s="17">
        <v>0.0</v>
      </c>
      <c r="L1344" s="45"/>
      <c r="M1344" s="18"/>
      <c r="N1344" s="65"/>
      <c r="O1344" s="65"/>
      <c r="P1344" s="20">
        <v>0.0</v>
      </c>
      <c r="Q1344" s="18"/>
      <c r="R1344" s="18"/>
      <c r="S1344" s="52"/>
      <c r="T1344" s="22"/>
    </row>
    <row r="1345">
      <c r="A1345" s="23" t="s">
        <v>9689</v>
      </c>
      <c r="B1345" s="58" t="s">
        <v>3151</v>
      </c>
      <c r="C1345" s="41">
        <v>45380.0</v>
      </c>
      <c r="D1345" s="40" t="s">
        <v>9690</v>
      </c>
      <c r="E1345" s="41" t="s">
        <v>9691</v>
      </c>
      <c r="F1345" s="43" t="s">
        <v>9692</v>
      </c>
      <c r="G1345" s="43" t="s">
        <v>9693</v>
      </c>
      <c r="H1345" s="51" t="s">
        <v>2240</v>
      </c>
      <c r="I1345" s="25" t="str">
        <f>IFERROR(__xludf.DUMMYFUNCTION("GOOGLETRANSLATE(H1345,""EN"",""ES"")"),"Industria")</f>
        <v>Industria</v>
      </c>
      <c r="J1345" s="26" t="s">
        <v>27</v>
      </c>
      <c r="K1345" s="17">
        <v>0.0</v>
      </c>
      <c r="L1345" s="54"/>
      <c r="M1345" s="31"/>
      <c r="N1345" s="66"/>
      <c r="O1345" s="66"/>
      <c r="P1345" s="20">
        <v>0.0</v>
      </c>
      <c r="Q1345" s="31"/>
      <c r="R1345" s="31"/>
      <c r="S1345" s="53"/>
      <c r="T1345" s="32"/>
    </row>
    <row r="1346">
      <c r="A1346" s="33" t="s">
        <v>9694</v>
      </c>
      <c r="B1346" s="60" t="s">
        <v>85</v>
      </c>
      <c r="C1346" s="41">
        <v>45380.0</v>
      </c>
      <c r="D1346" s="40" t="s">
        <v>9695</v>
      </c>
      <c r="E1346" s="41" t="s">
        <v>9696</v>
      </c>
      <c r="F1346" s="43" t="s">
        <v>9697</v>
      </c>
      <c r="G1346" s="43" t="s">
        <v>9698</v>
      </c>
      <c r="H1346" s="51" t="s">
        <v>148</v>
      </c>
      <c r="I1346" s="15" t="str">
        <f>IFERROR(__xludf.DUMMYFUNCTION("GOOGLETRANSLATE(H1346,""EN"",""ES"")"),"Gastronomía")</f>
        <v>Gastronomía</v>
      </c>
      <c r="J1346" s="16" t="s">
        <v>27</v>
      </c>
      <c r="K1346" s="17">
        <v>0.0</v>
      </c>
      <c r="L1346" s="45"/>
      <c r="M1346" s="18"/>
      <c r="N1346" s="65"/>
      <c r="O1346" s="65"/>
      <c r="P1346" s="20">
        <v>0.0</v>
      </c>
      <c r="Q1346" s="18"/>
      <c r="R1346" s="18"/>
      <c r="S1346" s="52"/>
      <c r="T1346" s="22"/>
    </row>
    <row r="1347">
      <c r="A1347" s="23" t="s">
        <v>9699</v>
      </c>
      <c r="B1347" s="58" t="s">
        <v>103</v>
      </c>
      <c r="C1347" s="41">
        <v>45380.0</v>
      </c>
      <c r="D1347" s="40" t="s">
        <v>9700</v>
      </c>
      <c r="E1347" s="41" t="s">
        <v>9701</v>
      </c>
      <c r="F1347" s="43" t="s">
        <v>9702</v>
      </c>
      <c r="G1347" s="43" t="s">
        <v>9703</v>
      </c>
      <c r="H1347" s="51" t="s">
        <v>48</v>
      </c>
      <c r="I1347" s="25" t="str">
        <f>IFERROR(__xludf.DUMMYFUNCTION("GOOGLETRANSLATE(H1347,""EN"",""ES"")"),"Finanzas")</f>
        <v>Finanzas</v>
      </c>
      <c r="J1347" s="26" t="s">
        <v>27</v>
      </c>
      <c r="K1347" s="17">
        <v>0.0</v>
      </c>
      <c r="L1347" s="54"/>
      <c r="M1347" s="31"/>
      <c r="N1347" s="66"/>
      <c r="O1347" s="66"/>
      <c r="P1347" s="20">
        <v>0.0</v>
      </c>
      <c r="Q1347" s="31"/>
      <c r="R1347" s="31"/>
      <c r="S1347" s="53"/>
      <c r="T1347" s="32"/>
    </row>
    <row r="1348">
      <c r="A1348" s="33" t="s">
        <v>9704</v>
      </c>
      <c r="B1348" s="60" t="s">
        <v>43</v>
      </c>
      <c r="C1348" s="41">
        <v>45380.0</v>
      </c>
      <c r="D1348" s="40" t="s">
        <v>9705</v>
      </c>
      <c r="E1348" s="41" t="s">
        <v>9706</v>
      </c>
      <c r="F1348" s="43" t="s">
        <v>9707</v>
      </c>
      <c r="G1348" s="43" t="s">
        <v>9708</v>
      </c>
      <c r="H1348" s="51" t="s">
        <v>148</v>
      </c>
      <c r="I1348" s="15" t="str">
        <f>IFERROR(__xludf.DUMMYFUNCTION("GOOGLETRANSLATE(H1348,""EN"",""ES"")"),"Gastronomía")</f>
        <v>Gastronomía</v>
      </c>
      <c r="J1348" s="16" t="s">
        <v>27</v>
      </c>
      <c r="K1348" s="17">
        <v>0.0</v>
      </c>
      <c r="L1348" s="45"/>
      <c r="M1348" s="18"/>
      <c r="N1348" s="65"/>
      <c r="O1348" s="65"/>
      <c r="P1348" s="20">
        <v>0.0</v>
      </c>
      <c r="Q1348" s="18"/>
      <c r="R1348" s="18"/>
      <c r="S1348" s="52"/>
      <c r="T1348" s="22"/>
    </row>
    <row r="1349">
      <c r="A1349" s="23" t="s">
        <v>9709</v>
      </c>
      <c r="B1349" s="58" t="s">
        <v>4038</v>
      </c>
      <c r="C1349" s="41">
        <v>45380.0</v>
      </c>
      <c r="D1349" s="40" t="s">
        <v>9710</v>
      </c>
      <c r="E1349" s="41" t="s">
        <v>9711</v>
      </c>
      <c r="F1349" s="43" t="s">
        <v>9712</v>
      </c>
      <c r="G1349" s="43" t="s">
        <v>9713</v>
      </c>
      <c r="H1349" s="51" t="s">
        <v>148</v>
      </c>
      <c r="I1349" s="25" t="str">
        <f>IFERROR(__xludf.DUMMYFUNCTION("GOOGLETRANSLATE(H1349,""EN"",""ES"")"),"Gastronomía")</f>
        <v>Gastronomía</v>
      </c>
      <c r="J1349" s="26" t="s">
        <v>27</v>
      </c>
      <c r="K1349" s="17">
        <v>0.0</v>
      </c>
      <c r="L1349" s="54"/>
      <c r="M1349" s="31"/>
      <c r="N1349" s="66"/>
      <c r="O1349" s="66"/>
      <c r="P1349" s="20">
        <v>0.0</v>
      </c>
      <c r="Q1349" s="31"/>
      <c r="R1349" s="31"/>
      <c r="S1349" s="53"/>
      <c r="T1349" s="32"/>
    </row>
    <row r="1350">
      <c r="A1350" s="33" t="s">
        <v>9714</v>
      </c>
      <c r="B1350" s="60" t="s">
        <v>9715</v>
      </c>
      <c r="C1350" s="41">
        <v>45380.0</v>
      </c>
      <c r="D1350" s="40" t="s">
        <v>9716</v>
      </c>
      <c r="E1350" s="41" t="s">
        <v>9717</v>
      </c>
      <c r="F1350" s="43" t="s">
        <v>9718</v>
      </c>
      <c r="G1350" s="43" t="s">
        <v>9719</v>
      </c>
      <c r="H1350" s="51" t="s">
        <v>408</v>
      </c>
      <c r="I1350" s="15" t="str">
        <f>IFERROR(__xludf.DUMMYFUNCTION("GOOGLETRANSLATE(H1350,""EN"",""ES"")"),"Legal")</f>
        <v>Legal</v>
      </c>
      <c r="J1350" s="16" t="s">
        <v>27</v>
      </c>
      <c r="K1350" s="17">
        <v>0.0</v>
      </c>
      <c r="L1350" s="45"/>
      <c r="M1350" s="18"/>
      <c r="N1350" s="65"/>
      <c r="O1350" s="65"/>
      <c r="P1350" s="20">
        <v>0.0</v>
      </c>
      <c r="Q1350" s="18"/>
      <c r="R1350" s="18"/>
      <c r="S1350" s="52"/>
      <c r="T1350" s="22"/>
    </row>
    <row r="1351">
      <c r="A1351" s="23" t="s">
        <v>9720</v>
      </c>
      <c r="B1351" s="58" t="s">
        <v>21</v>
      </c>
      <c r="C1351" s="41">
        <v>45381.0</v>
      </c>
      <c r="D1351" s="40" t="s">
        <v>9721</v>
      </c>
      <c r="E1351" s="41" t="s">
        <v>9722</v>
      </c>
      <c r="F1351" s="43" t="s">
        <v>9723</v>
      </c>
      <c r="G1351" s="43" t="s">
        <v>9724</v>
      </c>
      <c r="H1351" s="51" t="s">
        <v>148</v>
      </c>
      <c r="I1351" s="25" t="str">
        <f>IFERROR(__xludf.DUMMYFUNCTION("GOOGLETRANSLATE(H1351,""EN"",""ES"")"),"Gastronomía")</f>
        <v>Gastronomía</v>
      </c>
      <c r="J1351" s="26" t="s">
        <v>27</v>
      </c>
      <c r="K1351" s="17">
        <v>0.0</v>
      </c>
      <c r="L1351" s="54"/>
      <c r="M1351" s="31"/>
      <c r="N1351" s="66"/>
      <c r="O1351" s="66"/>
      <c r="P1351" s="20">
        <v>0.0</v>
      </c>
      <c r="Q1351" s="31"/>
      <c r="R1351" s="31"/>
      <c r="S1351" s="53"/>
      <c r="T1351" s="32"/>
    </row>
    <row r="1352">
      <c r="A1352" s="33" t="s">
        <v>9725</v>
      </c>
      <c r="B1352" s="60" t="s">
        <v>85</v>
      </c>
      <c r="C1352" s="41">
        <v>45381.0</v>
      </c>
      <c r="D1352" s="40" t="s">
        <v>9726</v>
      </c>
      <c r="E1352" s="41" t="s">
        <v>9727</v>
      </c>
      <c r="F1352" s="43" t="s">
        <v>9728</v>
      </c>
      <c r="G1352" s="43" t="s">
        <v>9729</v>
      </c>
      <c r="H1352" s="51" t="s">
        <v>148</v>
      </c>
      <c r="I1352" s="15" t="str">
        <f>IFERROR(__xludf.DUMMYFUNCTION("GOOGLETRANSLATE(H1352,""EN"",""ES"")"),"Gastronomía")</f>
        <v>Gastronomía</v>
      </c>
      <c r="J1352" s="16" t="s">
        <v>27</v>
      </c>
      <c r="K1352" s="17">
        <v>0.0</v>
      </c>
      <c r="L1352" s="45"/>
      <c r="M1352" s="18"/>
      <c r="N1352" s="65"/>
      <c r="O1352" s="65"/>
      <c r="P1352" s="20">
        <v>0.0</v>
      </c>
      <c r="Q1352" s="18"/>
      <c r="R1352" s="18"/>
      <c r="S1352" s="52"/>
      <c r="T1352" s="22"/>
    </row>
    <row r="1353">
      <c r="A1353" s="23" t="s">
        <v>9730</v>
      </c>
      <c r="B1353" s="58" t="s">
        <v>4673</v>
      </c>
      <c r="C1353" s="41">
        <v>45381.0</v>
      </c>
      <c r="D1353" s="40" t="s">
        <v>9731</v>
      </c>
      <c r="E1353" s="41" t="s">
        <v>9732</v>
      </c>
      <c r="F1353" s="43" t="s">
        <v>9733</v>
      </c>
      <c r="G1353" s="43" t="s">
        <v>9734</v>
      </c>
      <c r="H1353" s="51" t="s">
        <v>148</v>
      </c>
      <c r="I1353" s="25" t="str">
        <f>IFERROR(__xludf.DUMMYFUNCTION("GOOGLETRANSLATE(H1353,""EN"",""ES"")"),"Gastronomía")</f>
        <v>Gastronomía</v>
      </c>
      <c r="J1353" s="26" t="s">
        <v>27</v>
      </c>
      <c r="K1353" s="17">
        <v>0.0</v>
      </c>
      <c r="L1353" s="54"/>
      <c r="M1353" s="31"/>
      <c r="N1353" s="66"/>
      <c r="O1353" s="66"/>
      <c r="P1353" s="20">
        <v>0.0</v>
      </c>
      <c r="Q1353" s="31"/>
      <c r="R1353" s="31"/>
      <c r="S1353" s="53"/>
      <c r="T1353" s="32"/>
    </row>
    <row r="1354">
      <c r="A1354" s="33" t="s">
        <v>9735</v>
      </c>
      <c r="B1354" s="60" t="s">
        <v>5508</v>
      </c>
      <c r="C1354" s="41">
        <v>45381.0</v>
      </c>
      <c r="D1354" s="40" t="s">
        <v>9736</v>
      </c>
      <c r="E1354" s="41" t="s">
        <v>9737</v>
      </c>
      <c r="F1354" s="43" t="s">
        <v>9738</v>
      </c>
      <c r="G1354" s="43" t="s">
        <v>9739</v>
      </c>
      <c r="H1354" s="51" t="s">
        <v>148</v>
      </c>
      <c r="I1354" s="15" t="str">
        <f>IFERROR(__xludf.DUMMYFUNCTION("GOOGLETRANSLATE(H1354,""EN"",""ES"")"),"Gastronomía")</f>
        <v>Gastronomía</v>
      </c>
      <c r="J1354" s="16" t="s">
        <v>27</v>
      </c>
      <c r="K1354" s="17">
        <v>0.0</v>
      </c>
      <c r="L1354" s="45"/>
      <c r="M1354" s="18"/>
      <c r="N1354" s="65"/>
      <c r="O1354" s="65"/>
      <c r="P1354" s="20">
        <v>0.0</v>
      </c>
      <c r="Q1354" s="18"/>
      <c r="R1354" s="18"/>
      <c r="S1354" s="52"/>
      <c r="T1354" s="22"/>
    </row>
    <row r="1355">
      <c r="A1355" s="23" t="s">
        <v>9740</v>
      </c>
      <c r="B1355" s="58" t="s">
        <v>499</v>
      </c>
      <c r="C1355" s="41">
        <v>45382.0</v>
      </c>
      <c r="D1355" s="40" t="s">
        <v>9741</v>
      </c>
      <c r="E1355" s="41" t="s">
        <v>9742</v>
      </c>
      <c r="F1355" s="43" t="s">
        <v>9743</v>
      </c>
      <c r="G1355" s="43" t="s">
        <v>9744</v>
      </c>
      <c r="H1355" s="51" t="s">
        <v>130</v>
      </c>
      <c r="I1355" s="25" t="str">
        <f>IFERROR(__xludf.DUMMYFUNCTION("GOOGLETRANSLATE(H1355,""EN"",""ES"")"),"Sostenibilidad")</f>
        <v>Sostenibilidad</v>
      </c>
      <c r="J1355" s="26" t="s">
        <v>35</v>
      </c>
      <c r="K1355" s="48">
        <v>0.8</v>
      </c>
      <c r="L1355" s="49" t="s">
        <v>9745</v>
      </c>
      <c r="M1355" s="28" t="s">
        <v>9746</v>
      </c>
      <c r="N1355" s="66" t="s">
        <v>9747</v>
      </c>
      <c r="O1355" s="66" t="str">
        <f>IFERROR(__xludf.DUMMYFUNCTION("GOOGLETRANSLATE(N1355,""EN"",""ES"")"),"El avance de la tecnología de combustibles sintéticos respalda los objetivos de energía verde de Repsol.")</f>
        <v>El avance de la tecnología de combustibles sintéticos respalda los objetivos de energía verde de Repsol.</v>
      </c>
      <c r="P1355" s="30">
        <v>0.7</v>
      </c>
      <c r="Q1355" s="31" t="str">
        <f>IFERROR(__xludf.DUMMYFUNCTION("GOOGLETRANSLATE(R1355,""ES"",""EN"")"),"advances, ""synthetic fuels""")</f>
        <v>advances, "synthetic fuels"</v>
      </c>
      <c r="R1355" s="28" t="s">
        <v>9748</v>
      </c>
      <c r="S1355" s="53" t="s">
        <v>9749</v>
      </c>
      <c r="T1355" s="32" t="s">
        <v>9750</v>
      </c>
    </row>
    <row r="1356">
      <c r="A1356" s="33" t="s">
        <v>9751</v>
      </c>
      <c r="B1356" s="60" t="s">
        <v>1768</v>
      </c>
      <c r="C1356" s="41">
        <v>45382.0</v>
      </c>
      <c r="D1356" s="40" t="s">
        <v>9752</v>
      </c>
      <c r="E1356" s="41" t="s">
        <v>9753</v>
      </c>
      <c r="F1356" s="43" t="s">
        <v>9754</v>
      </c>
      <c r="G1356" s="43" t="s">
        <v>9755</v>
      </c>
      <c r="H1356" s="51" t="s">
        <v>1975</v>
      </c>
      <c r="I1356" s="15" t="str">
        <f>IFERROR(__xludf.DUMMYFUNCTION("GOOGLETRANSLATE(H1356,""EN"",""ES"")"),"Política")</f>
        <v>Política</v>
      </c>
      <c r="J1356" s="16" t="s">
        <v>35</v>
      </c>
      <c r="K1356" s="48">
        <v>-0.6</v>
      </c>
      <c r="L1356" s="51" t="s">
        <v>9756</v>
      </c>
      <c r="M1356" s="34" t="s">
        <v>9757</v>
      </c>
      <c r="N1356" s="65" t="s">
        <v>9758</v>
      </c>
      <c r="O1356" s="65" t="str">
        <f>IFERROR(__xludf.DUMMYFUNCTION("GOOGLETRANSLATE(N1356,""EN"",""ES"")"),"Los conflictos en materia de política energética podrían influir en la situación regulatoria de Repsol.")</f>
        <v>Los conflictos en materia de política energética podrían influir en la situación regulatoria de Repsol.</v>
      </c>
      <c r="P1356" s="30">
        <v>-0.6</v>
      </c>
      <c r="Q1356" s="18" t="str">
        <f>IFERROR(__xludf.DUMMYFUNCTION("GOOGLETRANSLATE(R1356,""ES"",""EN"")"),"war, ""unfair competition""")</f>
        <v>war, "unfair competition"</v>
      </c>
      <c r="R1356" s="34" t="s">
        <v>9759</v>
      </c>
      <c r="S1356" s="52" t="s">
        <v>9760</v>
      </c>
      <c r="T1356" s="22" t="s">
        <v>9761</v>
      </c>
    </row>
    <row r="1357">
      <c r="A1357" s="23" t="s">
        <v>9762</v>
      </c>
      <c r="B1357" s="58" t="s">
        <v>21</v>
      </c>
      <c r="C1357" s="41">
        <v>45382.0</v>
      </c>
      <c r="D1357" s="40" t="s">
        <v>9763</v>
      </c>
      <c r="E1357" s="41" t="s">
        <v>9764</v>
      </c>
      <c r="F1357" s="43" t="s">
        <v>9765</v>
      </c>
      <c r="G1357" s="43" t="s">
        <v>9766</v>
      </c>
      <c r="H1357" s="51" t="s">
        <v>148</v>
      </c>
      <c r="I1357" s="25" t="str">
        <f>IFERROR(__xludf.DUMMYFUNCTION("GOOGLETRANSLATE(H1357,""EN"",""ES"")"),"Gastronomía")</f>
        <v>Gastronomía</v>
      </c>
      <c r="J1357" s="26" t="s">
        <v>27</v>
      </c>
      <c r="K1357" s="17">
        <v>0.0</v>
      </c>
      <c r="L1357" s="54"/>
      <c r="M1357" s="31"/>
      <c r="N1357" s="66"/>
      <c r="O1357" s="66"/>
      <c r="P1357" s="20">
        <v>0.0</v>
      </c>
      <c r="Q1357" s="31"/>
      <c r="R1357" s="31"/>
      <c r="S1357" s="53"/>
      <c r="T1357" s="32"/>
    </row>
    <row r="1358">
      <c r="A1358" s="33" t="s">
        <v>9767</v>
      </c>
      <c r="B1358" s="60" t="s">
        <v>217</v>
      </c>
      <c r="C1358" s="41">
        <v>45382.0</v>
      </c>
      <c r="D1358" s="40" t="s">
        <v>9768</v>
      </c>
      <c r="E1358" s="41" t="s">
        <v>9769</v>
      </c>
      <c r="F1358" s="43" t="s">
        <v>9770</v>
      </c>
      <c r="G1358" s="43" t="s">
        <v>9771</v>
      </c>
      <c r="H1358" s="51" t="s">
        <v>661</v>
      </c>
      <c r="I1358" s="15" t="str">
        <f>IFERROR(__xludf.DUMMYFUNCTION("GOOGLETRANSLATE(H1358,""EN"",""ES"")"),"Estrategia empresarial")</f>
        <v>Estrategia empresarial</v>
      </c>
      <c r="J1358" s="16" t="s">
        <v>27</v>
      </c>
      <c r="K1358" s="17">
        <v>0.0</v>
      </c>
      <c r="L1358" s="45"/>
      <c r="M1358" s="18"/>
      <c r="N1358" s="65"/>
      <c r="O1358" s="65"/>
      <c r="P1358" s="20">
        <v>0.0</v>
      </c>
      <c r="Q1358" s="18"/>
      <c r="R1358" s="18"/>
      <c r="S1358" s="52"/>
      <c r="T1358" s="22"/>
    </row>
    <row r="1359">
      <c r="A1359" s="23" t="s">
        <v>9772</v>
      </c>
      <c r="B1359" s="58" t="s">
        <v>9773</v>
      </c>
      <c r="C1359" s="41">
        <v>45382.0</v>
      </c>
      <c r="D1359" s="40" t="s">
        <v>9774</v>
      </c>
      <c r="E1359" s="41" t="s">
        <v>9775</v>
      </c>
      <c r="F1359" s="43" t="s">
        <v>9776</v>
      </c>
      <c r="G1359" s="43" t="s">
        <v>9777</v>
      </c>
      <c r="H1359" s="51" t="s">
        <v>130</v>
      </c>
      <c r="I1359" s="25" t="str">
        <f>IFERROR(__xludf.DUMMYFUNCTION("GOOGLETRANSLATE(H1359,""EN"",""ES"")"),"Sostenibilidad")</f>
        <v>Sostenibilidad</v>
      </c>
      <c r="J1359" s="26" t="s">
        <v>35</v>
      </c>
      <c r="K1359" s="48">
        <v>0.0</v>
      </c>
      <c r="L1359" s="54"/>
      <c r="M1359" s="31"/>
      <c r="N1359" s="66" t="s">
        <v>9778</v>
      </c>
      <c r="O1359" s="66" t="str">
        <f>IFERROR(__xludf.DUMMYFUNCTION("GOOGLETRANSLATE(N1359,""EN"",""ES"")"),"Las iniciativas regionales de sostenibilidad no impactan directamente en el negocio de Repsol.")</f>
        <v>Las iniciativas regionales de sostenibilidad no impactan directamente en el negocio de Repsol.</v>
      </c>
      <c r="P1359" s="30">
        <v>0.0</v>
      </c>
      <c r="Q1359" s="31"/>
      <c r="R1359" s="31"/>
      <c r="S1359" s="53" t="s">
        <v>9779</v>
      </c>
      <c r="T1359" s="32" t="s">
        <v>9780</v>
      </c>
    </row>
    <row r="1360">
      <c r="A1360" s="33" t="s">
        <v>9781</v>
      </c>
      <c r="B1360" s="60" t="s">
        <v>1577</v>
      </c>
      <c r="C1360" s="41">
        <v>45382.0</v>
      </c>
      <c r="D1360" s="40" t="s">
        <v>9782</v>
      </c>
      <c r="E1360" s="41" t="s">
        <v>9783</v>
      </c>
      <c r="F1360" s="43" t="s">
        <v>9784</v>
      </c>
      <c r="G1360" s="43" t="s">
        <v>9785</v>
      </c>
      <c r="H1360" s="51" t="s">
        <v>130</v>
      </c>
      <c r="I1360" s="15" t="str">
        <f>IFERROR(__xludf.DUMMYFUNCTION("GOOGLETRANSLATE(H1360,""EN"",""ES"")"),"Sostenibilidad")</f>
        <v>Sostenibilidad</v>
      </c>
      <c r="J1360" s="16" t="s">
        <v>35</v>
      </c>
      <c r="K1360" s="48">
        <v>0.7</v>
      </c>
      <c r="L1360" s="51" t="s">
        <v>9636</v>
      </c>
      <c r="M1360" s="34" t="s">
        <v>9637</v>
      </c>
      <c r="N1360" s="65" t="s">
        <v>9786</v>
      </c>
      <c r="O1360" s="65" t="str">
        <f>IFERROR(__xludf.DUMMYFUNCTION("GOOGLETRANSLATE(N1360,""EN"",""ES"")"),"Competir en infraestructuras para vehículos eléctricos respalda la transición de Repsol hacia las energías limpias.")</f>
        <v>Competir en infraestructuras para vehículos eléctricos respalda la transición de Repsol hacia las energías limpias.</v>
      </c>
      <c r="P1360" s="30">
        <v>0.0</v>
      </c>
      <c r="Q1360" s="18"/>
      <c r="R1360" s="18"/>
      <c r="S1360" s="52" t="s">
        <v>9787</v>
      </c>
      <c r="T1360" s="22" t="s">
        <v>9788</v>
      </c>
    </row>
    <row r="1361">
      <c r="A1361" s="23" t="s">
        <v>9789</v>
      </c>
      <c r="B1361" s="58" t="s">
        <v>1831</v>
      </c>
      <c r="C1361" s="41">
        <v>45382.0</v>
      </c>
      <c r="D1361" s="40" t="s">
        <v>9790</v>
      </c>
      <c r="E1361" s="41" t="s">
        <v>9791</v>
      </c>
      <c r="F1361" s="43" t="s">
        <v>9792</v>
      </c>
      <c r="G1361" s="43" t="s">
        <v>9793</v>
      </c>
      <c r="H1361" s="51" t="s">
        <v>62</v>
      </c>
      <c r="I1361" s="25" t="str">
        <f>IFERROR(__xludf.DUMMYFUNCTION("GOOGLETRANSLATE(H1361,""EN"",""ES"")"),"Energía")</f>
        <v>Energía</v>
      </c>
      <c r="J1361" s="26" t="s">
        <v>27</v>
      </c>
      <c r="K1361" s="17">
        <v>0.0</v>
      </c>
      <c r="L1361" s="54"/>
      <c r="M1361" s="31"/>
      <c r="N1361" s="66"/>
      <c r="O1361" s="66"/>
      <c r="P1361" s="20">
        <v>0.0</v>
      </c>
      <c r="Q1361" s="31"/>
      <c r="R1361" s="31"/>
      <c r="S1361" s="53"/>
      <c r="T1361" s="32"/>
    </row>
    <row r="1362">
      <c r="A1362" s="33" t="s">
        <v>9794</v>
      </c>
      <c r="B1362" s="60" t="s">
        <v>3606</v>
      </c>
      <c r="C1362" s="41">
        <v>45382.0</v>
      </c>
      <c r="D1362" s="40" t="s">
        <v>9795</v>
      </c>
      <c r="E1362" s="41" t="s">
        <v>9796</v>
      </c>
      <c r="F1362" s="43" t="s">
        <v>9797</v>
      </c>
      <c r="G1362" s="43" t="s">
        <v>9798</v>
      </c>
      <c r="H1362" s="51" t="s">
        <v>55</v>
      </c>
      <c r="I1362" s="15" t="str">
        <f>IFERROR(__xludf.DUMMYFUNCTION("GOOGLETRANSLATE(H1362,""EN"",""ES"")"),"deportes de motor")</f>
        <v>deportes de motor</v>
      </c>
      <c r="J1362" s="16" t="s">
        <v>27</v>
      </c>
      <c r="K1362" s="17">
        <v>0.0</v>
      </c>
      <c r="L1362" s="45"/>
      <c r="M1362" s="18"/>
      <c r="N1362" s="65"/>
      <c r="O1362" s="65"/>
      <c r="P1362" s="20">
        <v>0.0</v>
      </c>
      <c r="Q1362" s="18"/>
      <c r="R1362" s="18"/>
      <c r="S1362" s="52"/>
      <c r="T1362" s="22"/>
    </row>
    <row r="1363">
      <c r="A1363" s="23" t="s">
        <v>9799</v>
      </c>
      <c r="B1363" s="58" t="s">
        <v>499</v>
      </c>
      <c r="C1363" s="41">
        <v>45382.0</v>
      </c>
      <c r="D1363" s="40" t="s">
        <v>9800</v>
      </c>
      <c r="E1363" s="41" t="s">
        <v>9801</v>
      </c>
      <c r="F1363" s="43" t="s">
        <v>9802</v>
      </c>
      <c r="G1363" s="43" t="s">
        <v>9803</v>
      </c>
      <c r="H1363" s="51" t="s">
        <v>62</v>
      </c>
      <c r="I1363" s="25" t="str">
        <f>IFERROR(__xludf.DUMMYFUNCTION("GOOGLETRANSLATE(H1363,""EN"",""ES"")"),"Energía")</f>
        <v>Energía</v>
      </c>
      <c r="J1363" s="26" t="s">
        <v>35</v>
      </c>
      <c r="K1363" s="48">
        <v>0.0</v>
      </c>
      <c r="L1363" s="54"/>
      <c r="M1363" s="31"/>
      <c r="N1363" s="66" t="s">
        <v>9804</v>
      </c>
      <c r="O1363" s="66" t="str">
        <f>IFERROR(__xludf.DUMMYFUNCTION("GOOGLETRANSLATE(N1363,""EN"",""ES"")"),"Las fluctuaciones del mercado global de refino no impactan directamente en la percepción de Repsol.")</f>
        <v>Las fluctuaciones del mercado global de refino no impactan directamente en la percepción de Repsol.</v>
      </c>
      <c r="P1363" s="30">
        <v>0.0</v>
      </c>
      <c r="Q1363" s="31"/>
      <c r="R1363" s="31"/>
      <c r="S1363" s="53" t="s">
        <v>9805</v>
      </c>
      <c r="T1363" s="32" t="s">
        <v>9806</v>
      </c>
    </row>
    <row r="1364">
      <c r="A1364" s="33" t="s">
        <v>9807</v>
      </c>
      <c r="B1364" s="60" t="s">
        <v>9808</v>
      </c>
      <c r="C1364" s="41">
        <v>45382.0</v>
      </c>
      <c r="D1364" s="40" t="s">
        <v>9809</v>
      </c>
      <c r="E1364" s="41" t="s">
        <v>9810</v>
      </c>
      <c r="F1364" s="43" t="s">
        <v>9811</v>
      </c>
      <c r="G1364" s="43" t="s">
        <v>9812</v>
      </c>
      <c r="H1364" s="51" t="s">
        <v>148</v>
      </c>
      <c r="I1364" s="15" t="str">
        <f>IFERROR(__xludf.DUMMYFUNCTION("GOOGLETRANSLATE(H1364,""EN"",""ES"")"),"Gastronomía")</f>
        <v>Gastronomía</v>
      </c>
      <c r="J1364" s="16" t="s">
        <v>27</v>
      </c>
      <c r="K1364" s="17">
        <v>0.0</v>
      </c>
      <c r="L1364" s="45"/>
      <c r="M1364" s="18"/>
      <c r="N1364" s="65"/>
      <c r="O1364" s="65"/>
      <c r="P1364" s="20">
        <v>0.0</v>
      </c>
      <c r="Q1364" s="18"/>
      <c r="R1364" s="18"/>
      <c r="S1364" s="52"/>
      <c r="T1364" s="22"/>
    </row>
    <row r="1365">
      <c r="A1365" s="23" t="s">
        <v>9813</v>
      </c>
      <c r="B1365" s="58" t="s">
        <v>1072</v>
      </c>
      <c r="C1365" s="41">
        <v>45383.0</v>
      </c>
      <c r="D1365" s="40" t="s">
        <v>9814</v>
      </c>
      <c r="E1365" s="41" t="s">
        <v>9815</v>
      </c>
      <c r="F1365" s="43" t="s">
        <v>9816</v>
      </c>
      <c r="G1365" s="43" t="s">
        <v>9817</v>
      </c>
      <c r="H1365" s="51" t="s">
        <v>130</v>
      </c>
      <c r="I1365" s="25" t="str">
        <f>IFERROR(__xludf.DUMMYFUNCTION("GOOGLETRANSLATE(H1365,""EN"",""ES"")"),"Sostenibilidad")</f>
        <v>Sostenibilidad</v>
      </c>
      <c r="J1365" s="26" t="s">
        <v>35</v>
      </c>
      <c r="K1365" s="48">
        <v>0.7</v>
      </c>
      <c r="L1365" s="49" t="s">
        <v>8981</v>
      </c>
      <c r="M1365" s="28" t="s">
        <v>8982</v>
      </c>
      <c r="N1365" s="66" t="s">
        <v>9818</v>
      </c>
      <c r="O1365" s="66" t="str">
        <f>IFERROR(__xludf.DUMMYFUNCTION("GOOGLETRANSLATE(N1365,""EN"",""ES"")"),"La inversión en renovables refuerza la apuesta de Repsol por las energías limpias.")</f>
        <v>La inversión en renovables refuerza la apuesta de Repsol por las energías limpias.</v>
      </c>
      <c r="P1365" s="30">
        <v>0.6</v>
      </c>
      <c r="Q1365" s="31" t="str">
        <f>IFERROR(__xludf.DUMMYFUNCTION("GOOGLETRANSLATE(R1365,""ES"",""EN"")"),"agreement, ""renewable""")</f>
        <v>agreement, "renewable"</v>
      </c>
      <c r="R1365" s="28" t="s">
        <v>9819</v>
      </c>
      <c r="S1365" s="53" t="s">
        <v>9513</v>
      </c>
      <c r="T1365" s="32" t="s">
        <v>9514</v>
      </c>
    </row>
    <row r="1366">
      <c r="A1366" s="33" t="s">
        <v>9820</v>
      </c>
      <c r="B1366" s="60" t="s">
        <v>3216</v>
      </c>
      <c r="C1366" s="41">
        <v>45383.0</v>
      </c>
      <c r="D1366" s="40" t="s">
        <v>9821</v>
      </c>
      <c r="E1366" s="41" t="s">
        <v>9822</v>
      </c>
      <c r="F1366" s="43" t="s">
        <v>9823</v>
      </c>
      <c r="G1366" s="43" t="s">
        <v>9824</v>
      </c>
      <c r="H1366" s="51" t="s">
        <v>408</v>
      </c>
      <c r="I1366" s="15" t="str">
        <f>IFERROR(__xludf.DUMMYFUNCTION("GOOGLETRANSLATE(H1366,""EN"",""ES"")"),"Legal")</f>
        <v>Legal</v>
      </c>
      <c r="J1366" s="16" t="s">
        <v>35</v>
      </c>
      <c r="K1366" s="48">
        <v>-0.7</v>
      </c>
      <c r="L1366" s="51" t="s">
        <v>9825</v>
      </c>
      <c r="M1366" s="34" t="s">
        <v>9826</v>
      </c>
      <c r="N1366" s="65" t="s">
        <v>9827</v>
      </c>
      <c r="O1366" s="65" t="str">
        <f>IFERROR(__xludf.DUMMYFUNCTION("GOOGLETRANSLATE(N1366,""EN"",""ES"")"),"Las acusaciones de greenwashing podrían afectar negativamente a la credibilidad de Repsol.")</f>
        <v>Las acusaciones de greenwashing podrían afectar negativamente a la credibilidad de Repsol.</v>
      </c>
      <c r="P1366" s="30">
        <v>-0.7</v>
      </c>
      <c r="Q1366" s="18" t="str">
        <f>IFERROR(__xludf.DUMMYFUNCTION("GOOGLETRANSLATE(R1366,""ES"",""EN"")"),"complaint, ""greenwashing""")</f>
        <v>complaint, "greenwashing"</v>
      </c>
      <c r="R1366" s="34" t="s">
        <v>9828</v>
      </c>
      <c r="S1366" s="52" t="s">
        <v>9829</v>
      </c>
      <c r="T1366" s="22" t="s">
        <v>9830</v>
      </c>
    </row>
    <row r="1367">
      <c r="A1367" s="23" t="s">
        <v>9831</v>
      </c>
      <c r="B1367" s="58" t="s">
        <v>1970</v>
      </c>
      <c r="C1367" s="41">
        <v>45383.0</v>
      </c>
      <c r="D1367" s="40" t="s">
        <v>9832</v>
      </c>
      <c r="E1367" s="41" t="s">
        <v>9833</v>
      </c>
      <c r="F1367" s="43" t="s">
        <v>9834</v>
      </c>
      <c r="G1367" s="43" t="s">
        <v>9835</v>
      </c>
      <c r="H1367" s="51" t="s">
        <v>130</v>
      </c>
      <c r="I1367" s="25" t="str">
        <f>IFERROR(__xludf.DUMMYFUNCTION("GOOGLETRANSLATE(H1367,""EN"",""ES"")"),"Sostenibilidad")</f>
        <v>Sostenibilidad</v>
      </c>
      <c r="J1367" s="26" t="s">
        <v>35</v>
      </c>
      <c r="K1367" s="48">
        <v>0.8</v>
      </c>
      <c r="L1367" s="49" t="s">
        <v>8251</v>
      </c>
      <c r="M1367" s="28" t="s">
        <v>8252</v>
      </c>
      <c r="N1367" s="66" t="s">
        <v>9836</v>
      </c>
      <c r="O1367" s="66" t="str">
        <f>IFERROR(__xludf.DUMMYFUNCTION("GOOGLETRANSLATE(N1367,""EN"",""ES"")"),"La ampliación de las opciones de combustibles renovables respalda los esfuerzos de sostenibilidad de Repsol.")</f>
        <v>La ampliación de las opciones de combustibles renovables respalda los esfuerzos de sostenibilidad de Repsol.</v>
      </c>
      <c r="P1367" s="30">
        <v>0.0</v>
      </c>
      <c r="Q1367" s="31"/>
      <c r="R1367" s="31"/>
      <c r="S1367" s="53" t="s">
        <v>9837</v>
      </c>
      <c r="T1367" s="32" t="s">
        <v>9838</v>
      </c>
    </row>
    <row r="1368">
      <c r="A1368" s="33" t="s">
        <v>9839</v>
      </c>
      <c r="B1368" s="60" t="s">
        <v>1005</v>
      </c>
      <c r="C1368" s="41">
        <v>45383.0</v>
      </c>
      <c r="D1368" s="40" t="s">
        <v>9840</v>
      </c>
      <c r="E1368" s="41" t="s">
        <v>9841</v>
      </c>
      <c r="F1368" s="43" t="s">
        <v>9842</v>
      </c>
      <c r="G1368" s="43" t="s">
        <v>9843</v>
      </c>
      <c r="H1368" s="51" t="s">
        <v>130</v>
      </c>
      <c r="I1368" s="15" t="str">
        <f>IFERROR(__xludf.DUMMYFUNCTION("GOOGLETRANSLATE(H1368,""EN"",""ES"")"),"Sostenibilidad")</f>
        <v>Sostenibilidad</v>
      </c>
      <c r="J1368" s="16" t="s">
        <v>35</v>
      </c>
      <c r="K1368" s="48">
        <v>0.7</v>
      </c>
      <c r="L1368" s="51" t="s">
        <v>9028</v>
      </c>
      <c r="M1368" s="34" t="s">
        <v>9029</v>
      </c>
      <c r="N1368" s="65" t="s">
        <v>9844</v>
      </c>
      <c r="O1368" s="65" t="str">
        <f>IFERROR(__xludf.DUMMYFUNCTION("GOOGLETRANSLATE(N1368,""EN"",""ES"")"),"La participación en proyectos sostenibles potencia la estrategia ambiental de Repsol.")</f>
        <v>La participación en proyectos sostenibles potencia la estrategia ambiental de Repsol.</v>
      </c>
      <c r="P1368" s="30">
        <v>0.0</v>
      </c>
      <c r="Q1368" s="18"/>
      <c r="R1368" s="18"/>
      <c r="S1368" s="52" t="s">
        <v>9845</v>
      </c>
      <c r="T1368" s="22" t="s">
        <v>9846</v>
      </c>
    </row>
    <row r="1369">
      <c r="A1369" s="23" t="s">
        <v>9847</v>
      </c>
      <c r="B1369" s="58" t="s">
        <v>1011</v>
      </c>
      <c r="C1369" s="41">
        <v>45383.0</v>
      </c>
      <c r="D1369" s="40" t="s">
        <v>9848</v>
      </c>
      <c r="E1369" s="41" t="s">
        <v>9849</v>
      </c>
      <c r="F1369" s="43" t="s">
        <v>9850</v>
      </c>
      <c r="G1369" s="43" t="s">
        <v>9851</v>
      </c>
      <c r="H1369" s="51" t="s">
        <v>8339</v>
      </c>
      <c r="I1369" s="25" t="str">
        <f>IFERROR(__xludf.DUMMYFUNCTION("GOOGLETRANSLATE(H1369,""EN"",""ES"")"),"Incidente")</f>
        <v>Incidente</v>
      </c>
      <c r="J1369" s="26" t="s">
        <v>27</v>
      </c>
      <c r="K1369" s="17">
        <v>0.0</v>
      </c>
      <c r="L1369" s="54"/>
      <c r="M1369" s="31"/>
      <c r="N1369" s="66"/>
      <c r="O1369" s="66"/>
      <c r="P1369" s="20">
        <v>0.0</v>
      </c>
      <c r="Q1369" s="31"/>
      <c r="R1369" s="31"/>
      <c r="S1369" s="53"/>
      <c r="T1369" s="32"/>
    </row>
    <row r="1370">
      <c r="A1370" s="33" t="s">
        <v>9852</v>
      </c>
      <c r="B1370" s="60" t="s">
        <v>9853</v>
      </c>
      <c r="C1370" s="41">
        <v>45383.0</v>
      </c>
      <c r="D1370" s="40" t="s">
        <v>9854</v>
      </c>
      <c r="E1370" s="41" t="s">
        <v>9855</v>
      </c>
      <c r="F1370" s="43" t="s">
        <v>9856</v>
      </c>
      <c r="G1370" s="43" t="s">
        <v>9857</v>
      </c>
      <c r="H1370" s="51" t="s">
        <v>5878</v>
      </c>
      <c r="I1370" s="15" t="str">
        <f>IFERROR(__xludf.DUMMYFUNCTION("GOOGLETRANSLATE(H1370,""EN"",""ES"")"),"Entretenimiento")</f>
        <v>Entretenimiento</v>
      </c>
      <c r="J1370" s="16" t="s">
        <v>27</v>
      </c>
      <c r="K1370" s="17">
        <v>0.0</v>
      </c>
      <c r="L1370" s="45"/>
      <c r="M1370" s="18"/>
      <c r="N1370" s="65"/>
      <c r="O1370" s="65"/>
      <c r="P1370" s="20">
        <v>0.0</v>
      </c>
      <c r="Q1370" s="18"/>
      <c r="R1370" s="18"/>
      <c r="S1370" s="52"/>
      <c r="T1370" s="22"/>
    </row>
    <row r="1371">
      <c r="A1371" s="23" t="s">
        <v>9858</v>
      </c>
      <c r="B1371" s="58" t="s">
        <v>57</v>
      </c>
      <c r="C1371" s="41">
        <v>45383.0</v>
      </c>
      <c r="D1371" s="40" t="s">
        <v>9859</v>
      </c>
      <c r="E1371" s="41" t="s">
        <v>9860</v>
      </c>
      <c r="F1371" s="43" t="s">
        <v>9861</v>
      </c>
      <c r="G1371" s="43" t="s">
        <v>9862</v>
      </c>
      <c r="H1371" s="51" t="s">
        <v>62</v>
      </c>
      <c r="I1371" s="25" t="str">
        <f>IFERROR(__xludf.DUMMYFUNCTION("GOOGLETRANSLATE(H1371,""EN"",""ES"")"),"Energía")</f>
        <v>Energía</v>
      </c>
      <c r="J1371" s="26" t="s">
        <v>27</v>
      </c>
      <c r="K1371" s="17">
        <v>0.0</v>
      </c>
      <c r="L1371" s="54"/>
      <c r="M1371" s="31"/>
      <c r="N1371" s="66"/>
      <c r="O1371" s="66"/>
      <c r="P1371" s="20">
        <v>0.0</v>
      </c>
      <c r="Q1371" s="31"/>
      <c r="R1371" s="31"/>
      <c r="S1371" s="53"/>
      <c r="T1371" s="32"/>
    </row>
    <row r="1372">
      <c r="A1372" s="33" t="s">
        <v>9863</v>
      </c>
      <c r="B1372" s="60" t="s">
        <v>7012</v>
      </c>
      <c r="C1372" s="41">
        <v>45383.0</v>
      </c>
      <c r="D1372" s="40" t="s">
        <v>9864</v>
      </c>
      <c r="E1372" s="41" t="s">
        <v>9865</v>
      </c>
      <c r="F1372" s="43" t="s">
        <v>9866</v>
      </c>
      <c r="G1372" s="43" t="s">
        <v>9867</v>
      </c>
      <c r="H1372" s="51" t="s">
        <v>148</v>
      </c>
      <c r="I1372" s="15" t="str">
        <f>IFERROR(__xludf.DUMMYFUNCTION("GOOGLETRANSLATE(H1372,""EN"",""ES"")"),"Gastronomía")</f>
        <v>Gastronomía</v>
      </c>
      <c r="J1372" s="16" t="s">
        <v>27</v>
      </c>
      <c r="K1372" s="17">
        <v>0.0</v>
      </c>
      <c r="L1372" s="45"/>
      <c r="M1372" s="18"/>
      <c r="N1372" s="65"/>
      <c r="O1372" s="65"/>
      <c r="P1372" s="20">
        <v>0.0</v>
      </c>
      <c r="Q1372" s="18"/>
      <c r="R1372" s="18"/>
      <c r="S1372" s="52"/>
      <c r="T1372" s="22"/>
    </row>
    <row r="1373">
      <c r="A1373" s="23" t="s">
        <v>9868</v>
      </c>
      <c r="B1373" s="58" t="s">
        <v>2384</v>
      </c>
      <c r="C1373" s="41">
        <v>45383.0</v>
      </c>
      <c r="D1373" s="40" t="s">
        <v>9869</v>
      </c>
      <c r="E1373" s="41" t="s">
        <v>9870</v>
      </c>
      <c r="F1373" s="43" t="s">
        <v>9871</v>
      </c>
      <c r="G1373" s="43" t="s">
        <v>9872</v>
      </c>
      <c r="H1373" s="51" t="s">
        <v>782</v>
      </c>
      <c r="I1373" s="25" t="str">
        <f>IFERROR(__xludf.DUMMYFUNCTION("GOOGLETRANSLATE(H1373,""EN"",""ES"")"),"Tecnología")</f>
        <v>Tecnología</v>
      </c>
      <c r="J1373" s="26" t="s">
        <v>27</v>
      </c>
      <c r="K1373" s="17">
        <v>0.0</v>
      </c>
      <c r="L1373" s="54"/>
      <c r="M1373" s="31"/>
      <c r="N1373" s="66"/>
      <c r="O1373" s="66"/>
      <c r="P1373" s="20">
        <v>0.0</v>
      </c>
      <c r="Q1373" s="31"/>
      <c r="R1373" s="31"/>
      <c r="S1373" s="53"/>
      <c r="T1373" s="32"/>
    </row>
    <row r="1374">
      <c r="A1374" s="33" t="s">
        <v>9873</v>
      </c>
      <c r="B1374" s="60" t="s">
        <v>1402</v>
      </c>
      <c r="C1374" s="41">
        <v>45383.0</v>
      </c>
      <c r="D1374" s="40" t="s">
        <v>9874</v>
      </c>
      <c r="E1374" s="41" t="s">
        <v>9875</v>
      </c>
      <c r="F1374" s="43" t="s">
        <v>9876</v>
      </c>
      <c r="G1374" s="43" t="s">
        <v>9877</v>
      </c>
      <c r="H1374" s="51" t="s">
        <v>8339</v>
      </c>
      <c r="I1374" s="15" t="str">
        <f>IFERROR(__xludf.DUMMYFUNCTION("GOOGLETRANSLATE(H1374,""EN"",""ES"")"),"Incidente")</f>
        <v>Incidente</v>
      </c>
      <c r="J1374" s="16" t="s">
        <v>27</v>
      </c>
      <c r="K1374" s="17">
        <v>0.0</v>
      </c>
      <c r="L1374" s="45"/>
      <c r="M1374" s="18"/>
      <c r="N1374" s="65"/>
      <c r="O1374" s="65"/>
      <c r="P1374" s="20">
        <v>0.0</v>
      </c>
      <c r="Q1374" s="18"/>
      <c r="R1374" s="18"/>
      <c r="S1374" s="52"/>
      <c r="T1374" s="22"/>
    </row>
    <row r="1375">
      <c r="A1375" s="23" t="s">
        <v>9878</v>
      </c>
      <c r="B1375" s="58" t="s">
        <v>2527</v>
      </c>
      <c r="C1375" s="41">
        <v>45384.0</v>
      </c>
      <c r="D1375" s="40" t="s">
        <v>9879</v>
      </c>
      <c r="E1375" s="41" t="s">
        <v>9880</v>
      </c>
      <c r="F1375" s="43" t="s">
        <v>9881</v>
      </c>
      <c r="G1375" s="43" t="s">
        <v>9882</v>
      </c>
      <c r="H1375" s="51" t="s">
        <v>661</v>
      </c>
      <c r="I1375" s="25" t="str">
        <f>IFERROR(__xludf.DUMMYFUNCTION("GOOGLETRANSLATE(H1375,""EN"",""ES"")"),"Estrategia empresarial")</f>
        <v>Estrategia empresarial</v>
      </c>
      <c r="J1375" s="26" t="s">
        <v>35</v>
      </c>
      <c r="K1375" s="48">
        <v>-0.6</v>
      </c>
      <c r="L1375" s="49" t="s">
        <v>9883</v>
      </c>
      <c r="M1375" s="28" t="s">
        <v>9884</v>
      </c>
      <c r="N1375" s="66" t="s">
        <v>9885</v>
      </c>
      <c r="O1375" s="66" t="str">
        <f>IFERROR(__xludf.DUMMYFUNCTION("GOOGLETRANSLATE(N1375,""EN"",""ES"")"),"Los conflictos actuales con los competidores podrían afectar el posicionamiento de Repsol en el mercado.")</f>
        <v>Los conflictos actuales con los competidores podrían afectar el posicionamiento de Repsol en el mercado.</v>
      </c>
      <c r="P1375" s="30">
        <v>-0.5</v>
      </c>
      <c r="Q1375" s="31" t="str">
        <f>IFERROR(__xludf.DUMMYFUNCTION("GOOGLETRANSLATE(R1375,""ES"",""EN"")"),"war, ""struggle""")</f>
        <v>war, "struggle"</v>
      </c>
      <c r="R1375" s="28" t="s">
        <v>9886</v>
      </c>
      <c r="S1375" s="53" t="s">
        <v>9887</v>
      </c>
      <c r="T1375" s="32" t="s">
        <v>9888</v>
      </c>
    </row>
    <row r="1376">
      <c r="A1376" s="33" t="s">
        <v>9889</v>
      </c>
      <c r="B1376" s="60" t="s">
        <v>2973</v>
      </c>
      <c r="C1376" s="41">
        <v>45384.0</v>
      </c>
      <c r="D1376" s="40" t="s">
        <v>9890</v>
      </c>
      <c r="E1376" s="41" t="s">
        <v>9891</v>
      </c>
      <c r="F1376" s="43" t="s">
        <v>9892</v>
      </c>
      <c r="G1376" s="43" t="s">
        <v>9893</v>
      </c>
      <c r="H1376" s="51" t="s">
        <v>130</v>
      </c>
      <c r="I1376" s="15" t="str">
        <f>IFERROR(__xludf.DUMMYFUNCTION("GOOGLETRANSLATE(H1376,""EN"",""ES"")"),"Sostenibilidad")</f>
        <v>Sostenibilidad</v>
      </c>
      <c r="J1376" s="16" t="s">
        <v>35</v>
      </c>
      <c r="K1376" s="48">
        <v>0.7</v>
      </c>
      <c r="L1376" s="51" t="s">
        <v>9894</v>
      </c>
      <c r="M1376" s="34" t="s">
        <v>9895</v>
      </c>
      <c r="N1376" s="65" t="s">
        <v>9896</v>
      </c>
      <c r="O1376" s="65" t="str">
        <f>IFERROR(__xludf.DUMMYFUNCTION("GOOGLETRANSLATE(N1376,""EN"",""ES"")"),"Apoyar la descarbonización de la industria se alinea con las iniciativas verdes de Repsol.")</f>
        <v>Apoyar la descarbonización de la industria se alinea con las iniciativas verdes de Repsol.</v>
      </c>
      <c r="P1376" s="30">
        <v>0.0</v>
      </c>
      <c r="Q1376" s="18"/>
      <c r="R1376" s="18"/>
      <c r="S1376" s="52" t="s">
        <v>9837</v>
      </c>
      <c r="T1376" s="22" t="s">
        <v>9838</v>
      </c>
    </row>
    <row r="1377">
      <c r="A1377" s="23" t="s">
        <v>9897</v>
      </c>
      <c r="B1377" s="58" t="s">
        <v>163</v>
      </c>
      <c r="C1377" s="41">
        <v>45384.0</v>
      </c>
      <c r="D1377" s="40" t="s">
        <v>9898</v>
      </c>
      <c r="E1377" s="41" t="s">
        <v>9899</v>
      </c>
      <c r="F1377" s="43" t="s">
        <v>9900</v>
      </c>
      <c r="G1377" s="43" t="s">
        <v>9901</v>
      </c>
      <c r="H1377" s="51" t="s">
        <v>8166</v>
      </c>
      <c r="I1377" s="25" t="str">
        <f>IFERROR(__xludf.DUMMYFUNCTION("GOOGLETRANSLATE(H1377,""EN"",""ES"")"),"Economía")</f>
        <v>Economía</v>
      </c>
      <c r="J1377" s="26" t="s">
        <v>27</v>
      </c>
      <c r="K1377" s="17">
        <v>0.0</v>
      </c>
      <c r="L1377" s="54"/>
      <c r="M1377" s="31"/>
      <c r="N1377" s="66"/>
      <c r="O1377" s="66"/>
      <c r="P1377" s="20">
        <v>0.0</v>
      </c>
      <c r="Q1377" s="31"/>
      <c r="R1377" s="31"/>
      <c r="S1377" s="53"/>
      <c r="T1377" s="32"/>
    </row>
    <row r="1378">
      <c r="A1378" s="33" t="s">
        <v>9902</v>
      </c>
      <c r="B1378" s="60" t="s">
        <v>163</v>
      </c>
      <c r="C1378" s="41">
        <v>45384.0</v>
      </c>
      <c r="D1378" s="40" t="s">
        <v>9903</v>
      </c>
      <c r="E1378" s="41" t="s">
        <v>9904</v>
      </c>
      <c r="F1378" s="43" t="s">
        <v>9905</v>
      </c>
      <c r="G1378" s="43" t="s">
        <v>9906</v>
      </c>
      <c r="H1378" s="51" t="s">
        <v>55</v>
      </c>
      <c r="I1378" s="15" t="str">
        <f>IFERROR(__xludf.DUMMYFUNCTION("GOOGLETRANSLATE(H1378,""EN"",""ES"")"),"deportes de motor")</f>
        <v>deportes de motor</v>
      </c>
      <c r="J1378" s="16" t="s">
        <v>35</v>
      </c>
      <c r="K1378" s="48">
        <v>0.6</v>
      </c>
      <c r="L1378" s="51" t="s">
        <v>9907</v>
      </c>
      <c r="M1378" s="34" t="s">
        <v>9908</v>
      </c>
      <c r="N1378" s="65" t="s">
        <v>9909</v>
      </c>
      <c r="O1378" s="65" t="str">
        <f>IFERROR(__xludf.DUMMYFUNCTION("GOOGLETRANSLATE(N1378,""EN"",""ES"")"),"El patrocinio del deporte del motor con combustibles renovables refuerza los esfuerzos de Repsol en materia de sostenibilidad.")</f>
        <v>El patrocinio del deporte del motor con combustibles renovables refuerza los esfuerzos de Repsol en materia de sostenibilidad.</v>
      </c>
      <c r="P1378" s="30">
        <v>0.0</v>
      </c>
      <c r="Q1378" s="18"/>
      <c r="R1378" s="18"/>
      <c r="S1378" s="52" t="s">
        <v>9910</v>
      </c>
      <c r="T1378" s="22" t="s">
        <v>9911</v>
      </c>
    </row>
    <row r="1379">
      <c r="A1379" s="23" t="s">
        <v>9912</v>
      </c>
      <c r="B1379" s="58" t="s">
        <v>85</v>
      </c>
      <c r="C1379" s="41">
        <v>45384.0</v>
      </c>
      <c r="D1379" s="40" t="s">
        <v>9913</v>
      </c>
      <c r="E1379" s="41" t="s">
        <v>9914</v>
      </c>
      <c r="F1379" s="43" t="s">
        <v>9915</v>
      </c>
      <c r="G1379" s="43" t="s">
        <v>9916</v>
      </c>
      <c r="H1379" s="51" t="s">
        <v>395</v>
      </c>
      <c r="I1379" s="25" t="str">
        <f>IFERROR(__xludf.DUMMYFUNCTION("GOOGLETRANSLATE(H1379,""EN"",""ES"")"),"Ambiente")</f>
        <v>Ambiente</v>
      </c>
      <c r="J1379" s="26" t="s">
        <v>27</v>
      </c>
      <c r="K1379" s="17">
        <v>0.0</v>
      </c>
      <c r="L1379" s="54"/>
      <c r="M1379" s="31"/>
      <c r="N1379" s="66"/>
      <c r="O1379" s="66"/>
      <c r="P1379" s="20">
        <v>0.0</v>
      </c>
      <c r="Q1379" s="31"/>
      <c r="R1379" s="31"/>
      <c r="S1379" s="53"/>
      <c r="T1379" s="32"/>
    </row>
    <row r="1380">
      <c r="A1380" s="33" t="s">
        <v>9917</v>
      </c>
      <c r="B1380" s="60" t="s">
        <v>1384</v>
      </c>
      <c r="C1380" s="41">
        <v>45384.0</v>
      </c>
      <c r="D1380" s="40" t="s">
        <v>9918</v>
      </c>
      <c r="E1380" s="41" t="s">
        <v>9919</v>
      </c>
      <c r="F1380" s="43" t="s">
        <v>9920</v>
      </c>
      <c r="G1380" s="43" t="s">
        <v>9921</v>
      </c>
      <c r="H1380" s="51" t="s">
        <v>8339</v>
      </c>
      <c r="I1380" s="15" t="str">
        <f>IFERROR(__xludf.DUMMYFUNCTION("GOOGLETRANSLATE(H1380,""EN"",""ES"")"),"Incidente")</f>
        <v>Incidente</v>
      </c>
      <c r="J1380" s="16" t="s">
        <v>35</v>
      </c>
      <c r="K1380" s="48">
        <v>-0.8</v>
      </c>
      <c r="L1380" s="51" t="s">
        <v>9922</v>
      </c>
      <c r="M1380" s="34" t="s">
        <v>9923</v>
      </c>
      <c r="N1380" s="65" t="s">
        <v>9924</v>
      </c>
      <c r="O1380" s="65" t="str">
        <f>IFERROR(__xludf.DUMMYFUNCTION("GOOGLETRANSLATE(N1380,""EN"",""ES"")"),"Los escándalos legales y ambientales pueden impactar negativamente en la percepción pública de Repsol.")</f>
        <v>Los escándalos legales y ambientales pueden impactar negativamente en la percepción pública de Repsol.</v>
      </c>
      <c r="P1380" s="30">
        <v>-1.0</v>
      </c>
      <c r="Q1380" s="18" t="str">
        <f>IFERROR(__xludf.DUMMYFUNCTION("GOOGLETRANSLATE(R1380,""ES"",""EN"")"),"spill, ""criminals""")</f>
        <v>spill, "criminals"</v>
      </c>
      <c r="R1380" s="34" t="s">
        <v>9925</v>
      </c>
      <c r="S1380" s="52" t="s">
        <v>9926</v>
      </c>
      <c r="T1380" s="22" t="s">
        <v>9927</v>
      </c>
    </row>
    <row r="1381">
      <c r="A1381" s="23" t="s">
        <v>9928</v>
      </c>
      <c r="B1381" s="58" t="s">
        <v>2188</v>
      </c>
      <c r="C1381" s="41">
        <v>45384.0</v>
      </c>
      <c r="D1381" s="40" t="s">
        <v>9929</v>
      </c>
      <c r="E1381" s="41" t="s">
        <v>9930</v>
      </c>
      <c r="F1381" s="43" t="s">
        <v>9931</v>
      </c>
      <c r="G1381" s="43" t="s">
        <v>9932</v>
      </c>
      <c r="H1381" s="51" t="s">
        <v>55</v>
      </c>
      <c r="I1381" s="25" t="str">
        <f>IFERROR(__xludf.DUMMYFUNCTION("GOOGLETRANSLATE(H1381,""EN"",""ES"")"),"deportes de motor")</f>
        <v>deportes de motor</v>
      </c>
      <c r="J1381" s="26" t="s">
        <v>35</v>
      </c>
      <c r="K1381" s="48">
        <v>0.6</v>
      </c>
      <c r="L1381" s="49" t="s">
        <v>9933</v>
      </c>
      <c r="M1381" s="28" t="s">
        <v>9934</v>
      </c>
      <c r="N1381" s="66" t="s">
        <v>9935</v>
      </c>
      <c r="O1381" s="66" t="str">
        <f>IFERROR(__xludf.DUMMYFUNCTION("GOOGLETRANSLATE(N1381,""EN"",""ES"")"),"El patrocinio de eventos deportivos de alto perfil refuerza la visibilidad de la marca Repsol.")</f>
        <v>El patrocinio de eventos deportivos de alto perfil refuerza la visibilidad de la marca Repsol.</v>
      </c>
      <c r="P1381" s="30">
        <v>0.0</v>
      </c>
      <c r="Q1381" s="31"/>
      <c r="R1381" s="31"/>
      <c r="S1381" s="53" t="s">
        <v>9936</v>
      </c>
      <c r="T1381" s="32" t="s">
        <v>9937</v>
      </c>
    </row>
    <row r="1382">
      <c r="A1382" s="33" t="s">
        <v>9938</v>
      </c>
      <c r="B1382" s="60" t="s">
        <v>499</v>
      </c>
      <c r="C1382" s="41">
        <v>45384.0</v>
      </c>
      <c r="D1382" s="40" t="s">
        <v>9939</v>
      </c>
      <c r="E1382" s="41" t="s">
        <v>9940</v>
      </c>
      <c r="F1382" s="43" t="s">
        <v>9941</v>
      </c>
      <c r="G1382" s="43" t="s">
        <v>9942</v>
      </c>
      <c r="H1382" s="51" t="s">
        <v>130</v>
      </c>
      <c r="I1382" s="15" t="str">
        <f>IFERROR(__xludf.DUMMYFUNCTION("GOOGLETRANSLATE(H1382,""EN"",""ES"")"),"Sostenibilidad")</f>
        <v>Sostenibilidad</v>
      </c>
      <c r="J1382" s="16" t="s">
        <v>27</v>
      </c>
      <c r="K1382" s="17">
        <v>0.0</v>
      </c>
      <c r="L1382" s="45"/>
      <c r="M1382" s="18"/>
      <c r="N1382" s="65"/>
      <c r="O1382" s="65"/>
      <c r="P1382" s="20">
        <v>0.0</v>
      </c>
      <c r="Q1382" s="18"/>
      <c r="R1382" s="18"/>
      <c r="S1382" s="52"/>
      <c r="T1382" s="22"/>
    </row>
    <row r="1383">
      <c r="A1383" s="23" t="s">
        <v>9943</v>
      </c>
      <c r="B1383" s="58" t="s">
        <v>74</v>
      </c>
      <c r="C1383" s="41">
        <v>45384.0</v>
      </c>
      <c r="D1383" s="40" t="s">
        <v>9944</v>
      </c>
      <c r="E1383" s="41" t="s">
        <v>9945</v>
      </c>
      <c r="F1383" s="43" t="s">
        <v>9946</v>
      </c>
      <c r="G1383" s="43" t="s">
        <v>9947</v>
      </c>
      <c r="H1383" s="51" t="s">
        <v>5878</v>
      </c>
      <c r="I1383" s="25" t="str">
        <f>IFERROR(__xludf.DUMMYFUNCTION("GOOGLETRANSLATE(H1383,""EN"",""ES"")"),"Entretenimiento")</f>
        <v>Entretenimiento</v>
      </c>
      <c r="J1383" s="26" t="s">
        <v>27</v>
      </c>
      <c r="K1383" s="17">
        <v>0.0</v>
      </c>
      <c r="L1383" s="54"/>
      <c r="M1383" s="31"/>
      <c r="N1383" s="66"/>
      <c r="O1383" s="66"/>
      <c r="P1383" s="20">
        <v>0.0</v>
      </c>
      <c r="Q1383" s="31"/>
      <c r="R1383" s="31"/>
      <c r="S1383" s="53"/>
      <c r="T1383" s="32"/>
    </row>
    <row r="1384">
      <c r="A1384" s="33" t="s">
        <v>9948</v>
      </c>
      <c r="B1384" s="60" t="s">
        <v>9949</v>
      </c>
      <c r="C1384" s="41">
        <v>45384.0</v>
      </c>
      <c r="D1384" s="40" t="s">
        <v>9950</v>
      </c>
      <c r="E1384" s="41" t="s">
        <v>9951</v>
      </c>
      <c r="F1384" s="43" t="s">
        <v>9952</v>
      </c>
      <c r="G1384" s="43" t="s">
        <v>9953</v>
      </c>
      <c r="H1384" s="51" t="s">
        <v>8339</v>
      </c>
      <c r="I1384" s="15" t="str">
        <f>IFERROR(__xludf.DUMMYFUNCTION("GOOGLETRANSLATE(H1384,""EN"",""ES"")"),"Incidente")</f>
        <v>Incidente</v>
      </c>
      <c r="J1384" s="16" t="s">
        <v>27</v>
      </c>
      <c r="K1384" s="17">
        <v>0.0</v>
      </c>
      <c r="L1384" s="45"/>
      <c r="M1384" s="18"/>
      <c r="N1384" s="65"/>
      <c r="O1384" s="65"/>
      <c r="P1384" s="20">
        <v>0.0</v>
      </c>
      <c r="Q1384" s="18"/>
      <c r="R1384" s="18"/>
      <c r="S1384" s="52"/>
      <c r="T1384" s="22"/>
    </row>
    <row r="1385">
      <c r="A1385" s="23" t="s">
        <v>9954</v>
      </c>
      <c r="B1385" s="58" t="s">
        <v>163</v>
      </c>
      <c r="C1385" s="41">
        <v>45385.0</v>
      </c>
      <c r="D1385" s="40" t="s">
        <v>9955</v>
      </c>
      <c r="E1385" s="41" t="s">
        <v>9956</v>
      </c>
      <c r="F1385" s="43" t="s">
        <v>9957</v>
      </c>
      <c r="G1385" s="43" t="s">
        <v>9958</v>
      </c>
      <c r="H1385" s="51" t="s">
        <v>130</v>
      </c>
      <c r="I1385" s="25" t="str">
        <f>IFERROR(__xludf.DUMMYFUNCTION("GOOGLETRANSLATE(H1385,""EN"",""ES"")"),"Sostenibilidad")</f>
        <v>Sostenibilidad</v>
      </c>
      <c r="J1385" s="26" t="s">
        <v>35</v>
      </c>
      <c r="K1385" s="48">
        <v>0.8</v>
      </c>
      <c r="L1385" s="49" t="s">
        <v>8251</v>
      </c>
      <c r="M1385" s="28" t="s">
        <v>8252</v>
      </c>
      <c r="N1385" s="66" t="s">
        <v>9959</v>
      </c>
      <c r="O1385" s="66" t="str">
        <f>IFERROR(__xludf.DUMMYFUNCTION("GOOGLETRANSLATE(N1385,""EN"",""ES"")"),"La ampliación de la producción de combustibles renovables respalda los compromisos medioambientales de Repsol.")</f>
        <v>La ampliación de la producción de combustibles renovables respalda los compromisos medioambientales de Repsol.</v>
      </c>
      <c r="P1385" s="30">
        <v>0.9</v>
      </c>
      <c r="Q1385" s="31" t="str">
        <f>IFERROR(__xludf.DUMMYFUNCTION("GOOGLETRANSLATE(R1385,""ES"",""EN"")"),"production, ""renewables""")</f>
        <v>production, "renewables"</v>
      </c>
      <c r="R1385" s="28" t="s">
        <v>9960</v>
      </c>
      <c r="S1385" s="53" t="s">
        <v>9961</v>
      </c>
      <c r="T1385" s="32" t="s">
        <v>9962</v>
      </c>
    </row>
    <row r="1386">
      <c r="A1386" s="33" t="s">
        <v>9963</v>
      </c>
      <c r="B1386" s="60" t="s">
        <v>9404</v>
      </c>
      <c r="C1386" s="41">
        <v>45385.0</v>
      </c>
      <c r="D1386" s="40" t="s">
        <v>9964</v>
      </c>
      <c r="E1386" s="41" t="s">
        <v>9965</v>
      </c>
      <c r="F1386" s="43" t="s">
        <v>9966</v>
      </c>
      <c r="G1386" s="43" t="s">
        <v>9967</v>
      </c>
      <c r="H1386" s="51" t="s">
        <v>130</v>
      </c>
      <c r="I1386" s="15" t="str">
        <f>IFERROR(__xludf.DUMMYFUNCTION("GOOGLETRANSLATE(H1386,""EN"",""ES"")"),"Sostenibilidad")</f>
        <v>Sostenibilidad</v>
      </c>
      <c r="J1386" s="16" t="s">
        <v>35</v>
      </c>
      <c r="K1386" s="48">
        <v>0.8</v>
      </c>
      <c r="L1386" s="51" t="s">
        <v>9968</v>
      </c>
      <c r="M1386" s="34" t="s">
        <v>9969</v>
      </c>
      <c r="N1386" s="65" t="s">
        <v>9970</v>
      </c>
      <c r="O1386" s="65" t="str">
        <f>IFERROR(__xludf.DUMMYFUNCTION("GOOGLETRANSLATE(N1386,""EN"",""ES"")"),"La inversión en instalaciones de combustibles renovables refuerza la estrategia de sostenibilidad de Repsol.")</f>
        <v>La inversión en instalaciones de combustibles renovables refuerza la estrategia de sostenibilidad de Repsol.</v>
      </c>
      <c r="P1386" s="30">
        <v>0.8</v>
      </c>
      <c r="Q1386" s="18" t="str">
        <f>IFERROR(__xludf.DUMMYFUNCTION("GOOGLETRANSLATE(R1386,""ES"",""EN"")"),"starts, ""renewable""")</f>
        <v>starts, "renewable"</v>
      </c>
      <c r="R1386" s="34" t="s">
        <v>9971</v>
      </c>
      <c r="S1386" s="52" t="s">
        <v>9972</v>
      </c>
      <c r="T1386" s="22" t="s">
        <v>9973</v>
      </c>
    </row>
    <row r="1387">
      <c r="A1387" s="23" t="s">
        <v>9974</v>
      </c>
      <c r="B1387" s="58" t="s">
        <v>614</v>
      </c>
      <c r="C1387" s="41">
        <v>45385.0</v>
      </c>
      <c r="D1387" s="40" t="s">
        <v>9975</v>
      </c>
      <c r="E1387" s="41" t="s">
        <v>9976</v>
      </c>
      <c r="F1387" s="43" t="s">
        <v>9977</v>
      </c>
      <c r="G1387" s="43" t="s">
        <v>9978</v>
      </c>
      <c r="H1387" s="51" t="s">
        <v>130</v>
      </c>
      <c r="I1387" s="25" t="str">
        <f>IFERROR(__xludf.DUMMYFUNCTION("GOOGLETRANSLATE(H1387,""EN"",""ES"")"),"Sostenibilidad")</f>
        <v>Sostenibilidad</v>
      </c>
      <c r="J1387" s="26" t="s">
        <v>35</v>
      </c>
      <c r="K1387" s="48">
        <v>0.8</v>
      </c>
      <c r="L1387" s="49" t="s">
        <v>8251</v>
      </c>
      <c r="M1387" s="28" t="s">
        <v>8252</v>
      </c>
      <c r="N1387" s="66" t="s">
        <v>9979</v>
      </c>
      <c r="O1387" s="66" t="str">
        <f>IFERROR(__xludf.DUMMYFUNCTION("GOOGLETRANSLATE(N1387,""EN"",""ES"")"),"La producción a gran escala de combustibles renovables se alinea con la transición energética de Repsol.")</f>
        <v>La producción a gran escala de combustibles renovables se alinea con la transición energética de Repsol.</v>
      </c>
      <c r="P1387" s="30">
        <v>0.9</v>
      </c>
      <c r="Q1387" s="31" t="str">
        <f>IFERROR(__xludf.DUMMYFUNCTION("GOOGLETRANSLATE(R1387,""ES"",""EN"")"),"spear, ""renewable""")</f>
        <v>spear, "renewable"</v>
      </c>
      <c r="R1387" s="28" t="s">
        <v>9980</v>
      </c>
      <c r="S1387" s="53" t="s">
        <v>9981</v>
      </c>
      <c r="T1387" s="32" t="s">
        <v>9982</v>
      </c>
    </row>
    <row r="1388">
      <c r="A1388" s="33" t="s">
        <v>9983</v>
      </c>
      <c r="B1388" s="60" t="s">
        <v>217</v>
      </c>
      <c r="C1388" s="41">
        <v>45385.0</v>
      </c>
      <c r="D1388" s="40" t="s">
        <v>9984</v>
      </c>
      <c r="E1388" s="41" t="s">
        <v>9985</v>
      </c>
      <c r="F1388" s="43" t="s">
        <v>9986</v>
      </c>
      <c r="G1388" s="43" t="s">
        <v>9987</v>
      </c>
      <c r="H1388" s="51" t="s">
        <v>130</v>
      </c>
      <c r="I1388" s="15" t="str">
        <f>IFERROR(__xludf.DUMMYFUNCTION("GOOGLETRANSLATE(H1388,""EN"",""ES"")"),"Sostenibilidad")</f>
        <v>Sostenibilidad</v>
      </c>
      <c r="J1388" s="16" t="s">
        <v>35</v>
      </c>
      <c r="K1388" s="48">
        <v>0.8</v>
      </c>
      <c r="L1388" s="51" t="s">
        <v>9988</v>
      </c>
      <c r="M1388" s="34" t="s">
        <v>9989</v>
      </c>
      <c r="N1388" s="65" t="s">
        <v>9990</v>
      </c>
      <c r="O1388" s="65" t="str">
        <f>IFERROR(__xludf.DUMMYFUNCTION("GOOGLETRANSLATE(N1388,""EN"",""ES"")"),"El desarrollo de infraestructuras para biocombustibles fortalece los esfuerzos de Repsol en materia de energía verde.")</f>
        <v>El desarrollo de infraestructuras para biocombustibles fortalece los esfuerzos de Repsol en materia de energía verde.</v>
      </c>
      <c r="P1388" s="30">
        <v>0.8</v>
      </c>
      <c r="Q1388" s="18" t="str">
        <f>IFERROR(__xludf.DUMMYFUNCTION("GOOGLETRANSLATE(R1388,""ES"",""EN"")"),"spear, ""biofuels""")</f>
        <v>spear, "biofuels"</v>
      </c>
      <c r="R1388" s="34" t="s">
        <v>9991</v>
      </c>
      <c r="S1388" s="52" t="s">
        <v>9513</v>
      </c>
      <c r="T1388" s="22" t="s">
        <v>9514</v>
      </c>
    </row>
    <row r="1389">
      <c r="A1389" s="23" t="s">
        <v>9992</v>
      </c>
      <c r="B1389" s="58" t="s">
        <v>85</v>
      </c>
      <c r="C1389" s="41">
        <v>45385.0</v>
      </c>
      <c r="D1389" s="40" t="s">
        <v>9993</v>
      </c>
      <c r="E1389" s="41" t="s">
        <v>9994</v>
      </c>
      <c r="F1389" s="43" t="s">
        <v>9995</v>
      </c>
      <c r="G1389" s="43" t="s">
        <v>9996</v>
      </c>
      <c r="H1389" s="51" t="s">
        <v>130</v>
      </c>
      <c r="I1389" s="25" t="str">
        <f>IFERROR(__xludf.DUMMYFUNCTION("GOOGLETRANSLATE(H1389,""EN"",""ES"")"),"Sostenibilidad")</f>
        <v>Sostenibilidad</v>
      </c>
      <c r="J1389" s="26" t="s">
        <v>35</v>
      </c>
      <c r="K1389" s="48">
        <v>0.8</v>
      </c>
      <c r="L1389" s="49" t="s">
        <v>9997</v>
      </c>
      <c r="M1389" s="28" t="s">
        <v>9998</v>
      </c>
      <c r="N1389" s="66" t="s">
        <v>9999</v>
      </c>
      <c r="O1389" s="66" t="str">
        <f>IFERROR(__xludf.DUMMYFUNCTION("GOOGLETRANSLATE(N1389,""EN"",""ES"")"),"La ampliación de la producción de biocombustibles respalda la estrategia energética sostenible de Repsol.")</f>
        <v>La ampliación de la producción de biocombustibles respalda la estrategia energética sostenible de Repsol.</v>
      </c>
      <c r="P1389" s="30">
        <v>0.9</v>
      </c>
      <c r="Q1389" s="31" t="str">
        <f>IFERROR(__xludf.DUMMYFUNCTION("GOOGLETRANSLATE(R1389,""ES"",""EN"")"),"drives, ""renewables""")</f>
        <v>drives, "renewables"</v>
      </c>
      <c r="R1389" s="28" t="s">
        <v>10000</v>
      </c>
      <c r="S1389" s="53" t="s">
        <v>10001</v>
      </c>
      <c r="T1389" s="32" t="s">
        <v>10002</v>
      </c>
    </row>
    <row r="1390">
      <c r="A1390" s="33" t="s">
        <v>10003</v>
      </c>
      <c r="B1390" s="60" t="s">
        <v>91</v>
      </c>
      <c r="C1390" s="41">
        <v>45385.0</v>
      </c>
      <c r="D1390" s="40" t="s">
        <v>10004</v>
      </c>
      <c r="E1390" s="41" t="s">
        <v>10005</v>
      </c>
      <c r="F1390" s="43" t="s">
        <v>10006</v>
      </c>
      <c r="G1390" s="43" t="s">
        <v>10007</v>
      </c>
      <c r="H1390" s="51" t="s">
        <v>48</v>
      </c>
      <c r="I1390" s="15" t="str">
        <f>IFERROR(__xludf.DUMMYFUNCTION("GOOGLETRANSLATE(H1390,""EN"",""ES"")"),"Finanzas")</f>
        <v>Finanzas</v>
      </c>
      <c r="J1390" s="16" t="s">
        <v>35</v>
      </c>
      <c r="K1390" s="48">
        <v>-0.6</v>
      </c>
      <c r="L1390" s="51" t="s">
        <v>10008</v>
      </c>
      <c r="M1390" s="34" t="s">
        <v>10009</v>
      </c>
      <c r="N1390" s="65" t="s">
        <v>10010</v>
      </c>
      <c r="O1390" s="65" t="str">
        <f>IFERROR(__xludf.DUMMYFUNCTION("GOOGLETRANSLATE(N1390,""EN"",""ES"")"),"Las pérdidas en Venezuela pueden afectar negativamente la situación financiera de Repsol.")</f>
        <v>Las pérdidas en Venezuela pueden afectar negativamente la situación financiera de Repsol.</v>
      </c>
      <c r="P1390" s="30">
        <v>-0.7</v>
      </c>
      <c r="Q1390" s="18" t="str">
        <f>IFERROR(__xludf.DUMMYFUNCTION("GOOGLETRANSLATE(R1390,""ES"",""EN"")"),"lost, ""sanctions""")</f>
        <v>lost, "sanctions"</v>
      </c>
      <c r="R1390" s="34" t="s">
        <v>10011</v>
      </c>
      <c r="S1390" s="52" t="s">
        <v>10012</v>
      </c>
      <c r="T1390" s="22" t="s">
        <v>10013</v>
      </c>
    </row>
    <row r="1391">
      <c r="A1391" s="23" t="s">
        <v>10014</v>
      </c>
      <c r="B1391" s="58" t="s">
        <v>10015</v>
      </c>
      <c r="C1391" s="41">
        <v>45385.0</v>
      </c>
      <c r="D1391" s="40" t="s">
        <v>10016</v>
      </c>
      <c r="E1391" s="41" t="s">
        <v>10017</v>
      </c>
      <c r="F1391" s="43" t="s">
        <v>10018</v>
      </c>
      <c r="G1391" s="43" t="s">
        <v>10019</v>
      </c>
      <c r="H1391" s="51" t="s">
        <v>130</v>
      </c>
      <c r="I1391" s="25" t="str">
        <f>IFERROR(__xludf.DUMMYFUNCTION("GOOGLETRANSLATE(H1391,""EN"",""ES"")"),"Sostenibilidad")</f>
        <v>Sostenibilidad</v>
      </c>
      <c r="J1391" s="26" t="s">
        <v>35</v>
      </c>
      <c r="K1391" s="48">
        <v>0.8</v>
      </c>
      <c r="L1391" s="49" t="s">
        <v>8251</v>
      </c>
      <c r="M1391" s="28" t="s">
        <v>8252</v>
      </c>
      <c r="N1391" s="66" t="s">
        <v>10020</v>
      </c>
      <c r="O1391" s="66" t="str">
        <f>IFERROR(__xludf.DUMMYFUNCTION("GOOGLETRANSLATE(N1391,""EN"",""ES"")"),"La ampliación de la producción de combustibles renovables refuerza la apuesta de Repsol por las energías limpias.")</f>
        <v>La ampliación de la producción de combustibles renovables refuerza la apuesta de Repsol por las energías limpias.</v>
      </c>
      <c r="P1391" s="30">
        <v>0.8</v>
      </c>
      <c r="Q1391" s="31" t="str">
        <f>IFERROR(__xludf.DUMMYFUNCTION("GOOGLETRANSLATE(R1391,""ES"",""EN"")"),"begins, ""renewable""")</f>
        <v>begins, "renewable"</v>
      </c>
      <c r="R1391" s="28" t="s">
        <v>10021</v>
      </c>
      <c r="S1391" s="53" t="s">
        <v>10022</v>
      </c>
      <c r="T1391" s="32" t="s">
        <v>10023</v>
      </c>
    </row>
    <row r="1392">
      <c r="A1392" s="33" t="s">
        <v>10024</v>
      </c>
      <c r="B1392" s="60" t="s">
        <v>10025</v>
      </c>
      <c r="C1392" s="41">
        <v>45385.0</v>
      </c>
      <c r="D1392" s="40" t="s">
        <v>10026</v>
      </c>
      <c r="E1392" s="41" t="s">
        <v>10027</v>
      </c>
      <c r="F1392" s="43" t="s">
        <v>10028</v>
      </c>
      <c r="G1392" s="43" t="s">
        <v>10029</v>
      </c>
      <c r="H1392" s="51" t="s">
        <v>408</v>
      </c>
      <c r="I1392" s="15" t="str">
        <f>IFERROR(__xludf.DUMMYFUNCTION("GOOGLETRANSLATE(H1392,""EN"",""ES"")"),"Legal")</f>
        <v>Legal</v>
      </c>
      <c r="J1392" s="16" t="s">
        <v>35</v>
      </c>
      <c r="K1392" s="48">
        <v>-0.7</v>
      </c>
      <c r="L1392" s="51" t="s">
        <v>10030</v>
      </c>
      <c r="M1392" s="34" t="s">
        <v>10031</v>
      </c>
      <c r="N1392" s="65" t="s">
        <v>10032</v>
      </c>
      <c r="O1392" s="65" t="str">
        <f>IFERROR(__xludf.DUMMYFUNCTION("GOOGLETRANSLATE(N1392,""EN"",""ES"")"),"Las acusaciones de greenwashing pueden dañar la reputación de sostenibilidad de Repsol.")</f>
        <v>Las acusaciones de greenwashing pueden dañar la reputación de sostenibilidad de Repsol.</v>
      </c>
      <c r="P1392" s="30">
        <v>-0.8</v>
      </c>
      <c r="Q1392" s="18" t="str">
        <f>IFERROR(__xludf.DUMMYFUNCTION("GOOGLETRANSLATE(R1392,""ES"",""EN"")"),"green wash")</f>
        <v>green wash</v>
      </c>
      <c r="R1392" s="34" t="s">
        <v>10033</v>
      </c>
      <c r="S1392" s="52" t="s">
        <v>10034</v>
      </c>
      <c r="T1392" s="22" t="s">
        <v>10035</v>
      </c>
    </row>
    <row r="1393">
      <c r="A1393" s="23" t="s">
        <v>10036</v>
      </c>
      <c r="B1393" s="58" t="s">
        <v>7480</v>
      </c>
      <c r="C1393" s="41">
        <v>45385.0</v>
      </c>
      <c r="D1393" s="40" t="s">
        <v>10037</v>
      </c>
      <c r="E1393" s="41" t="s">
        <v>10038</v>
      </c>
      <c r="F1393" s="43" t="s">
        <v>10039</v>
      </c>
      <c r="G1393" s="43" t="s">
        <v>10040</v>
      </c>
      <c r="H1393" s="51" t="s">
        <v>148</v>
      </c>
      <c r="I1393" s="25" t="str">
        <f>IFERROR(__xludf.DUMMYFUNCTION("GOOGLETRANSLATE(H1393,""EN"",""ES"")"),"Gastronomía")</f>
        <v>Gastronomía</v>
      </c>
      <c r="J1393" s="26" t="s">
        <v>27</v>
      </c>
      <c r="K1393" s="17">
        <v>0.0</v>
      </c>
      <c r="L1393" s="54"/>
      <c r="M1393" s="31"/>
      <c r="N1393" s="66"/>
      <c r="O1393" s="66"/>
      <c r="P1393" s="20">
        <v>0.0</v>
      </c>
      <c r="Q1393" s="31"/>
      <c r="R1393" s="31"/>
      <c r="S1393" s="53"/>
      <c r="T1393" s="32"/>
    </row>
    <row r="1394">
      <c r="A1394" s="33" t="s">
        <v>10041</v>
      </c>
      <c r="B1394" s="60" t="s">
        <v>21</v>
      </c>
      <c r="C1394" s="41">
        <v>45385.0</v>
      </c>
      <c r="D1394" s="40" t="s">
        <v>10042</v>
      </c>
      <c r="E1394" s="41" t="s">
        <v>10043</v>
      </c>
      <c r="F1394" s="43" t="s">
        <v>10044</v>
      </c>
      <c r="G1394" s="43" t="s">
        <v>10045</v>
      </c>
      <c r="H1394" s="51" t="s">
        <v>969</v>
      </c>
      <c r="I1394" s="15" t="str">
        <f>IFERROR(__xludf.DUMMYFUNCTION("GOOGLETRANSLATE(H1394,""EN"",""ES"")"),"Turismo")</f>
        <v>Turismo</v>
      </c>
      <c r="J1394" s="16" t="s">
        <v>27</v>
      </c>
      <c r="K1394" s="17">
        <v>0.0</v>
      </c>
      <c r="L1394" s="45"/>
      <c r="M1394" s="18"/>
      <c r="N1394" s="65"/>
      <c r="O1394" s="65"/>
      <c r="P1394" s="20">
        <v>0.0</v>
      </c>
      <c r="Q1394" s="18"/>
      <c r="R1394" s="18"/>
      <c r="S1394" s="52"/>
      <c r="T1394" s="22"/>
    </row>
    <row r="1395">
      <c r="A1395" s="23" t="s">
        <v>10046</v>
      </c>
      <c r="B1395" s="58" t="s">
        <v>260</v>
      </c>
      <c r="C1395" s="41">
        <v>45385.0</v>
      </c>
      <c r="D1395" s="40" t="s">
        <v>10047</v>
      </c>
      <c r="E1395" s="41" t="s">
        <v>10048</v>
      </c>
      <c r="F1395" s="43" t="s">
        <v>10049</v>
      </c>
      <c r="G1395" s="43" t="s">
        <v>10050</v>
      </c>
      <c r="H1395" s="51" t="s">
        <v>130</v>
      </c>
      <c r="I1395" s="25" t="str">
        <f>IFERROR(__xludf.DUMMYFUNCTION("GOOGLETRANSLATE(H1395,""EN"",""ES"")"),"Sostenibilidad")</f>
        <v>Sostenibilidad</v>
      </c>
      <c r="J1395" s="26" t="s">
        <v>35</v>
      </c>
      <c r="K1395" s="48">
        <v>0.8</v>
      </c>
      <c r="L1395" s="49" t="s">
        <v>10051</v>
      </c>
      <c r="M1395" s="28" t="s">
        <v>10052</v>
      </c>
      <c r="N1395" s="66" t="s">
        <v>10053</v>
      </c>
      <c r="O1395" s="66" t="str">
        <f>IFERROR(__xludf.DUMMYFUNCTION("GOOGLETRANSLATE(N1395,""EN"",""ES"")"),"Apoyar la reforestación se alinea con los objetivos de acción climática de Repsol.")</f>
        <v>Apoyar la reforestación se alinea con los objetivos de acción climática de Repsol.</v>
      </c>
      <c r="P1395" s="30">
        <v>0.0</v>
      </c>
      <c r="Q1395" s="31"/>
      <c r="R1395" s="31"/>
      <c r="S1395" s="53" t="s">
        <v>10054</v>
      </c>
      <c r="T1395" s="32" t="s">
        <v>10055</v>
      </c>
    </row>
    <row r="1396">
      <c r="A1396" s="33" t="s">
        <v>10056</v>
      </c>
      <c r="B1396" s="60" t="s">
        <v>977</v>
      </c>
      <c r="C1396" s="41">
        <v>45385.0</v>
      </c>
      <c r="D1396" s="40" t="s">
        <v>10057</v>
      </c>
      <c r="E1396" s="41" t="s">
        <v>10058</v>
      </c>
      <c r="F1396" s="43" t="s">
        <v>10059</v>
      </c>
      <c r="G1396" s="43" t="s">
        <v>10060</v>
      </c>
      <c r="H1396" s="51" t="s">
        <v>395</v>
      </c>
      <c r="I1396" s="15" t="str">
        <f>IFERROR(__xludf.DUMMYFUNCTION("GOOGLETRANSLATE(H1396,""EN"",""ES"")"),"Ambiente")</f>
        <v>Ambiente</v>
      </c>
      <c r="J1396" s="16" t="s">
        <v>35</v>
      </c>
      <c r="K1396" s="48">
        <v>-0.7</v>
      </c>
      <c r="L1396" s="51" t="s">
        <v>10061</v>
      </c>
      <c r="M1396" s="34" t="s">
        <v>10062</v>
      </c>
      <c r="N1396" s="65" t="s">
        <v>10063</v>
      </c>
      <c r="O1396" s="65" t="str">
        <f>IFERROR(__xludf.DUMMYFUNCTION("GOOGLETRANSLATE(N1396,""EN"",""ES"")"),"Ser etiquetado como uno de los principales contaminadores puede dañar la credibilidad medioambiental de Repsol.")</f>
        <v>Ser etiquetado como uno de los principales contaminadores puede dañar la credibilidad medioambiental de Repsol.</v>
      </c>
      <c r="P1396" s="30">
        <v>-0.9</v>
      </c>
      <c r="Q1396" s="18" t="str">
        <f>IFERROR(__xludf.DUMMYFUNCTION("GOOGLETRANSLATE(R1396,""ES"",""EN"")"),"pollutants")</f>
        <v>pollutants</v>
      </c>
      <c r="R1396" s="34" t="s">
        <v>10064</v>
      </c>
      <c r="S1396" s="52" t="s">
        <v>10065</v>
      </c>
      <c r="T1396" s="22" t="s">
        <v>10066</v>
      </c>
    </row>
    <row r="1397">
      <c r="A1397" s="23" t="s">
        <v>10067</v>
      </c>
      <c r="B1397" s="58" t="s">
        <v>2696</v>
      </c>
      <c r="C1397" s="41">
        <v>45386.0</v>
      </c>
      <c r="D1397" s="40" t="s">
        <v>10068</v>
      </c>
      <c r="E1397" s="41" t="s">
        <v>10069</v>
      </c>
      <c r="F1397" s="43" t="s">
        <v>10070</v>
      </c>
      <c r="G1397" s="43" t="s">
        <v>10071</v>
      </c>
      <c r="H1397" s="51" t="s">
        <v>661</v>
      </c>
      <c r="I1397" s="25" t="str">
        <f>IFERROR(__xludf.DUMMYFUNCTION("GOOGLETRANSLATE(H1397,""EN"",""ES"")"),"Estrategia empresarial")</f>
        <v>Estrategia empresarial</v>
      </c>
      <c r="J1397" s="26" t="s">
        <v>35</v>
      </c>
      <c r="K1397" s="48">
        <v>0.7</v>
      </c>
      <c r="L1397" s="49" t="s">
        <v>10072</v>
      </c>
      <c r="M1397" s="28" t="s">
        <v>10073</v>
      </c>
      <c r="N1397" s="66" t="s">
        <v>10074</v>
      </c>
      <c r="O1397" s="66" t="str">
        <f>IFERROR(__xludf.DUMMYFUNCTION("GOOGLETRANSLATE(N1397,""EN"",""ES"")"),"La consecución de las certificaciones de cumplimiento refuerza el compromiso de Repsol con los estándares éticos.")</f>
        <v>La consecución de las certificaciones de cumplimiento refuerza el compromiso de Repsol con los estándares éticos.</v>
      </c>
      <c r="P1397" s="30">
        <v>0.4</v>
      </c>
      <c r="Q1397" s="31" t="str">
        <f>IFERROR(__xludf.DUMMYFUNCTION("GOOGLETRANSLATE(R1397,""ES"",""EN"")"),"AI (innovation)")</f>
        <v>AI (innovation)</v>
      </c>
      <c r="R1397" s="28" t="s">
        <v>10075</v>
      </c>
      <c r="S1397" s="53" t="s">
        <v>10076</v>
      </c>
      <c r="T1397" s="32" t="s">
        <v>10077</v>
      </c>
    </row>
    <row r="1398">
      <c r="A1398" s="33" t="s">
        <v>10078</v>
      </c>
      <c r="B1398" s="60" t="s">
        <v>499</v>
      </c>
      <c r="C1398" s="41">
        <v>45386.0</v>
      </c>
      <c r="D1398" s="40" t="s">
        <v>10079</v>
      </c>
      <c r="E1398" s="41" t="s">
        <v>10080</v>
      </c>
      <c r="F1398" s="43" t="s">
        <v>10081</v>
      </c>
      <c r="G1398" s="43" t="s">
        <v>10082</v>
      </c>
      <c r="H1398" s="51" t="s">
        <v>130</v>
      </c>
      <c r="I1398" s="15" t="str">
        <f>IFERROR(__xludf.DUMMYFUNCTION("GOOGLETRANSLATE(H1398,""EN"",""ES"")"),"Sostenibilidad")</f>
        <v>Sostenibilidad</v>
      </c>
      <c r="J1398" s="16" t="s">
        <v>35</v>
      </c>
      <c r="K1398" s="48">
        <v>0.7</v>
      </c>
      <c r="L1398" s="51" t="s">
        <v>9372</v>
      </c>
      <c r="M1398" s="34" t="s">
        <v>9373</v>
      </c>
      <c r="N1398" s="65" t="s">
        <v>9374</v>
      </c>
      <c r="O1398" s="65" t="str">
        <f>IFERROR(__xludf.DUMMYFUNCTION("GOOGLETRANSLATE(N1398,""EN"",""ES"")"),"El reconocimiento al esfuerzo en sostenibilidad potencia la imagen corporativa de Repsol.")</f>
        <v>El reconocimiento al esfuerzo en sostenibilidad potencia la imagen corporativa de Repsol.</v>
      </c>
      <c r="P1398" s="30">
        <v>-1.0</v>
      </c>
      <c r="Q1398" s="18" t="str">
        <f>IFERROR(__xludf.DUMMYFUNCTION("GOOGLETRANSLATE(R1398,""ES"",""EN"")"),"pollutants")</f>
        <v>pollutants</v>
      </c>
      <c r="R1398" s="34" t="s">
        <v>10064</v>
      </c>
      <c r="S1398" s="52" t="s">
        <v>10083</v>
      </c>
      <c r="T1398" s="22" t="s">
        <v>10084</v>
      </c>
    </row>
    <row r="1399">
      <c r="A1399" s="23" t="s">
        <v>10085</v>
      </c>
      <c r="B1399" s="58" t="s">
        <v>1970</v>
      </c>
      <c r="C1399" s="41">
        <v>45386.0</v>
      </c>
      <c r="D1399" s="40" t="s">
        <v>10086</v>
      </c>
      <c r="E1399" s="41" t="s">
        <v>10087</v>
      </c>
      <c r="F1399" s="43" t="s">
        <v>10088</v>
      </c>
      <c r="G1399" s="43" t="s">
        <v>10089</v>
      </c>
      <c r="H1399" s="51" t="s">
        <v>395</v>
      </c>
      <c r="I1399" s="25" t="str">
        <f>IFERROR(__xludf.DUMMYFUNCTION("GOOGLETRANSLATE(H1399,""EN"",""ES"")"),"Ambiente")</f>
        <v>Ambiente</v>
      </c>
      <c r="J1399" s="26" t="s">
        <v>35</v>
      </c>
      <c r="K1399" s="48">
        <v>-0.7</v>
      </c>
      <c r="L1399" s="49" t="s">
        <v>10061</v>
      </c>
      <c r="M1399" s="28" t="s">
        <v>10062</v>
      </c>
      <c r="N1399" s="66" t="s">
        <v>10090</v>
      </c>
      <c r="O1399" s="66" t="str">
        <f>IFERROR(__xludf.DUMMYFUNCTION("GOOGLETRANSLATE(N1399,""EN"",""ES"")"),"Ser nombrado entre los mayores contaminadores podría dañar la credibilidad medioambiental de Repsol.")</f>
        <v>Ser nombrado entre los mayores contaminadores podría dañar la credibilidad medioambiental de Repsol.</v>
      </c>
      <c r="P1399" s="30">
        <v>-1.0</v>
      </c>
      <c r="Q1399" s="31" t="str">
        <f>IFERROR(__xludf.DUMMYFUNCTION("GOOGLETRANSLATE(R1399,""ES"",""EN"")"),"emitters, ""pollution""")</f>
        <v>emitters, "pollution"</v>
      </c>
      <c r="R1399" s="28" t="s">
        <v>10091</v>
      </c>
      <c r="S1399" s="53" t="s">
        <v>10092</v>
      </c>
      <c r="T1399" s="32" t="s">
        <v>10093</v>
      </c>
    </row>
    <row r="1400">
      <c r="A1400" s="33" t="s">
        <v>10094</v>
      </c>
      <c r="B1400" s="60" t="s">
        <v>10095</v>
      </c>
      <c r="C1400" s="41">
        <v>45386.0</v>
      </c>
      <c r="D1400" s="40" t="s">
        <v>10096</v>
      </c>
      <c r="E1400" s="41" t="s">
        <v>10097</v>
      </c>
      <c r="F1400" s="43" t="s">
        <v>10098</v>
      </c>
      <c r="G1400" s="43" t="s">
        <v>10099</v>
      </c>
      <c r="H1400" s="51" t="s">
        <v>395</v>
      </c>
      <c r="I1400" s="15" t="str">
        <f>IFERROR(__xludf.DUMMYFUNCTION("GOOGLETRANSLATE(H1400,""EN"",""ES"")"),"Ambiente")</f>
        <v>Ambiente</v>
      </c>
      <c r="J1400" s="16" t="s">
        <v>35</v>
      </c>
      <c r="K1400" s="48">
        <v>-0.8</v>
      </c>
      <c r="L1400" s="51" t="s">
        <v>10100</v>
      </c>
      <c r="M1400" s="34" t="s">
        <v>10101</v>
      </c>
      <c r="N1400" s="65" t="s">
        <v>10102</v>
      </c>
      <c r="O1400" s="65" t="str">
        <f>IFERROR(__xludf.DUMMYFUNCTION("GOOGLETRANSLATE(N1400,""EN"",""ES"")"),"Vincular directamente a Repsol con el cambio climático podría dañar su reputación.")</f>
        <v>Vincular directamente a Repsol con el cambio climático podría dañar su reputación.</v>
      </c>
      <c r="P1400" s="30">
        <v>-0.8</v>
      </c>
      <c r="Q1400" s="18" t="str">
        <f>IFERROR(__xludf.DUMMYFUNCTION("GOOGLETRANSLATE(R1400,""ES"",""EN"")"),"pollution, responsible")</f>
        <v>pollution, responsible</v>
      </c>
      <c r="R1400" s="34" t="s">
        <v>10103</v>
      </c>
      <c r="S1400" s="52" t="s">
        <v>10104</v>
      </c>
      <c r="T1400" s="22" t="s">
        <v>10105</v>
      </c>
    </row>
    <row r="1401">
      <c r="A1401" s="23" t="s">
        <v>10106</v>
      </c>
      <c r="B1401" s="58" t="s">
        <v>4559</v>
      </c>
      <c r="C1401" s="41">
        <v>45386.0</v>
      </c>
      <c r="D1401" s="40" t="s">
        <v>10107</v>
      </c>
      <c r="E1401" s="41" t="s">
        <v>10108</v>
      </c>
      <c r="F1401" s="43" t="s">
        <v>10109</v>
      </c>
      <c r="G1401" s="43" t="s">
        <v>10110</v>
      </c>
      <c r="H1401" s="51" t="s">
        <v>661</v>
      </c>
      <c r="I1401" s="25" t="str">
        <f>IFERROR(__xludf.DUMMYFUNCTION("GOOGLETRANSLATE(H1401,""EN"",""ES"")"),"Estrategia empresarial")</f>
        <v>Estrategia empresarial</v>
      </c>
      <c r="J1401" s="26" t="s">
        <v>35</v>
      </c>
      <c r="K1401" s="48">
        <v>0.5</v>
      </c>
      <c r="L1401" s="49" t="s">
        <v>10111</v>
      </c>
      <c r="M1401" s="28" t="s">
        <v>10112</v>
      </c>
      <c r="N1401" s="66" t="s">
        <v>10113</v>
      </c>
      <c r="O1401" s="66" t="str">
        <f>IFERROR(__xludf.DUMMYFUNCTION("GOOGLETRANSLATE(N1401,""EN"",""ES"")"),"El mantenimiento de las refinerías garantiza la eficiencia operativa pero tiene un impacto limitado en la percepción.")</f>
        <v>El mantenimiento de las refinerías garantiza la eficiencia operativa pero tiene un impacto limitado en la percepción.</v>
      </c>
      <c r="P1401" s="30">
        <v>0.2</v>
      </c>
      <c r="Q1401" s="31" t="str">
        <f>IFERROR(__xludf.DUMMYFUNCTION("GOOGLETRANSLATE(R1401,""ES"",""EN"")"),"stop, work")</f>
        <v>stop, work</v>
      </c>
      <c r="R1401" s="28" t="s">
        <v>10114</v>
      </c>
      <c r="S1401" s="53" t="s">
        <v>10115</v>
      </c>
      <c r="T1401" s="32" t="s">
        <v>10116</v>
      </c>
    </row>
    <row r="1402">
      <c r="A1402" s="33" t="s">
        <v>10117</v>
      </c>
      <c r="B1402" s="60" t="s">
        <v>217</v>
      </c>
      <c r="C1402" s="41">
        <v>45386.0</v>
      </c>
      <c r="D1402" s="40" t="s">
        <v>10118</v>
      </c>
      <c r="E1402" s="41" t="s">
        <v>10119</v>
      </c>
      <c r="F1402" s="43" t="s">
        <v>10120</v>
      </c>
      <c r="G1402" s="43" t="s">
        <v>10121</v>
      </c>
      <c r="H1402" s="51" t="s">
        <v>48</v>
      </c>
      <c r="I1402" s="15" t="str">
        <f>IFERROR(__xludf.DUMMYFUNCTION("GOOGLETRANSLATE(H1402,""EN"",""ES"")"),"Finanzas")</f>
        <v>Finanzas</v>
      </c>
      <c r="J1402" s="16" t="s">
        <v>35</v>
      </c>
      <c r="K1402" s="48">
        <v>0.7</v>
      </c>
      <c r="L1402" s="51" t="s">
        <v>10122</v>
      </c>
      <c r="M1402" s="34" t="s">
        <v>10123</v>
      </c>
      <c r="N1402" s="65" t="s">
        <v>8921</v>
      </c>
      <c r="O1402" s="65" t="str">
        <f>IFERROR(__xludf.DUMMYFUNCTION("GOOGLETRANSLATE(N1402,""EN"",""ES"")"),"Un aumento del precio de las acciones refuerza la estabilidad financiera de Repsol y la confianza del mercado.")</f>
        <v>Un aumento del precio de las acciones refuerza la estabilidad financiera de Repsol y la confianza del mercado.</v>
      </c>
      <c r="P1402" s="30">
        <v>0.7</v>
      </c>
      <c r="Q1402" s="18" t="str">
        <f>IFERROR(__xludf.DUMMYFUNCTION("GOOGLETRANSLATE(R1402,""ES"",""EN"")"),"rebound, oil")</f>
        <v>rebound, oil</v>
      </c>
      <c r="R1402" s="34" t="s">
        <v>10124</v>
      </c>
      <c r="S1402" s="52" t="s">
        <v>10125</v>
      </c>
      <c r="T1402" s="22" t="s">
        <v>10126</v>
      </c>
    </row>
    <row r="1403">
      <c r="A1403" s="23" t="s">
        <v>10127</v>
      </c>
      <c r="B1403" s="58" t="s">
        <v>10128</v>
      </c>
      <c r="C1403" s="41">
        <v>45386.0</v>
      </c>
      <c r="D1403" s="40" t="s">
        <v>10129</v>
      </c>
      <c r="E1403" s="41" t="s">
        <v>10130</v>
      </c>
      <c r="F1403" s="43" t="s">
        <v>10131</v>
      </c>
      <c r="G1403" s="43" t="s">
        <v>10132</v>
      </c>
      <c r="H1403" s="51" t="s">
        <v>661</v>
      </c>
      <c r="I1403" s="25" t="str">
        <f>IFERROR(__xludf.DUMMYFUNCTION("GOOGLETRANSLATE(H1403,""EN"",""ES"")"),"Estrategia empresarial")</f>
        <v>Estrategia empresarial</v>
      </c>
      <c r="J1403" s="26" t="s">
        <v>35</v>
      </c>
      <c r="K1403" s="48">
        <v>0.5</v>
      </c>
      <c r="L1403" s="49" t="s">
        <v>10133</v>
      </c>
      <c r="M1403" s="28" t="s">
        <v>10134</v>
      </c>
      <c r="N1403" s="66" t="s">
        <v>10135</v>
      </c>
      <c r="O1403" s="66" t="str">
        <f>IFERROR(__xludf.DUMMYFUNCTION("GOOGLETRANSLATE(N1403,""EN"",""ES"")"),"El mantenimiento regular garantiza una eficiencia de producción continua pero no afecta la percepción pública.")</f>
        <v>El mantenimiento regular garantiza una eficiencia de producción continua pero no afecta la percepción pública.</v>
      </c>
      <c r="P1403" s="30">
        <v>0.0</v>
      </c>
      <c r="Q1403" s="31"/>
      <c r="R1403" s="31"/>
      <c r="S1403" s="53" t="s">
        <v>10136</v>
      </c>
      <c r="T1403" s="32" t="s">
        <v>10137</v>
      </c>
    </row>
    <row r="1404">
      <c r="A1404" s="33" t="s">
        <v>10138</v>
      </c>
      <c r="B1404" s="60" t="s">
        <v>977</v>
      </c>
      <c r="C1404" s="41">
        <v>45386.0</v>
      </c>
      <c r="D1404" s="40" t="s">
        <v>10139</v>
      </c>
      <c r="E1404" s="41" t="s">
        <v>10140</v>
      </c>
      <c r="F1404" s="43" t="s">
        <v>10141</v>
      </c>
      <c r="G1404" s="43" t="s">
        <v>10142</v>
      </c>
      <c r="H1404" s="51" t="s">
        <v>148</v>
      </c>
      <c r="I1404" s="15" t="str">
        <f>IFERROR(__xludf.DUMMYFUNCTION("GOOGLETRANSLATE(H1404,""EN"",""ES"")"),"Gastronomía")</f>
        <v>Gastronomía</v>
      </c>
      <c r="J1404" s="16" t="s">
        <v>27</v>
      </c>
      <c r="K1404" s="17">
        <v>0.0</v>
      </c>
      <c r="L1404" s="45"/>
      <c r="M1404" s="18"/>
      <c r="N1404" s="65"/>
      <c r="O1404" s="65"/>
      <c r="P1404" s="20">
        <v>0.0</v>
      </c>
      <c r="Q1404" s="18"/>
      <c r="R1404" s="18"/>
      <c r="S1404" s="52"/>
      <c r="T1404" s="22"/>
    </row>
    <row r="1405">
      <c r="A1405" s="23" t="s">
        <v>10143</v>
      </c>
      <c r="B1405" s="58" t="s">
        <v>21</v>
      </c>
      <c r="C1405" s="41">
        <v>45386.0</v>
      </c>
      <c r="D1405" s="40" t="s">
        <v>10144</v>
      </c>
      <c r="E1405" s="41" t="s">
        <v>10145</v>
      </c>
      <c r="F1405" s="43" t="s">
        <v>10146</v>
      </c>
      <c r="G1405" s="43" t="s">
        <v>10147</v>
      </c>
      <c r="H1405" s="51" t="s">
        <v>148</v>
      </c>
      <c r="I1405" s="25" t="str">
        <f>IFERROR(__xludf.DUMMYFUNCTION("GOOGLETRANSLATE(H1405,""EN"",""ES"")"),"Gastronomía")</f>
        <v>Gastronomía</v>
      </c>
      <c r="J1405" s="26" t="s">
        <v>27</v>
      </c>
      <c r="K1405" s="17">
        <v>0.0</v>
      </c>
      <c r="L1405" s="54"/>
      <c r="M1405" s="31"/>
      <c r="N1405" s="66"/>
      <c r="O1405" s="66"/>
      <c r="P1405" s="20">
        <v>0.0</v>
      </c>
      <c r="Q1405" s="31"/>
      <c r="R1405" s="31"/>
      <c r="S1405" s="53"/>
      <c r="T1405" s="32"/>
    </row>
    <row r="1406">
      <c r="A1406" s="33" t="s">
        <v>10148</v>
      </c>
      <c r="B1406" s="60" t="s">
        <v>9427</v>
      </c>
      <c r="C1406" s="41">
        <v>45386.0</v>
      </c>
      <c r="D1406" s="40" t="s">
        <v>10149</v>
      </c>
      <c r="E1406" s="41" t="s">
        <v>10150</v>
      </c>
      <c r="F1406" s="43" t="s">
        <v>10151</v>
      </c>
      <c r="G1406" s="43" t="s">
        <v>10152</v>
      </c>
      <c r="H1406" s="51" t="s">
        <v>395</v>
      </c>
      <c r="I1406" s="15" t="str">
        <f>IFERROR(__xludf.DUMMYFUNCTION("GOOGLETRANSLATE(H1406,""EN"",""ES"")"),"Ambiente")</f>
        <v>Ambiente</v>
      </c>
      <c r="J1406" s="16" t="s">
        <v>35</v>
      </c>
      <c r="K1406" s="48">
        <v>-0.7</v>
      </c>
      <c r="L1406" s="51" t="s">
        <v>10061</v>
      </c>
      <c r="M1406" s="34" t="s">
        <v>10062</v>
      </c>
      <c r="N1406" s="65" t="s">
        <v>10153</v>
      </c>
      <c r="O1406" s="65" t="str">
        <f>IFERROR(__xludf.DUMMYFUNCTION("GOOGLETRANSLATE(N1406,""EN"",""ES"")"),"Estar entre los principales contaminadores podría afectar negativamente a los esfuerzos de sostenibilidad de Repsol.")</f>
        <v>Estar entre los principales contaminadores podría afectar negativamente a los esfuerzos de sostenibilidad de Repsol.</v>
      </c>
      <c r="P1406" s="30">
        <v>-0.3</v>
      </c>
      <c r="Q1406" s="18" t="str">
        <f>IFERROR(__xludf.DUMMYFUNCTION("GOOGLETRANSLATE(R1406,""ES"",""EN"")"),"emissions, responsible")</f>
        <v>emissions, responsible</v>
      </c>
      <c r="R1406" s="34" t="s">
        <v>10154</v>
      </c>
      <c r="S1406" s="52" t="s">
        <v>10155</v>
      </c>
      <c r="T1406" s="22" t="s">
        <v>10156</v>
      </c>
    </row>
    <row r="1407">
      <c r="A1407" s="23" t="s">
        <v>10157</v>
      </c>
      <c r="B1407" s="58" t="s">
        <v>10158</v>
      </c>
      <c r="C1407" s="41">
        <v>45386.0</v>
      </c>
      <c r="D1407" s="40" t="s">
        <v>10159</v>
      </c>
      <c r="E1407" s="41" t="s">
        <v>10160</v>
      </c>
      <c r="F1407" s="43" t="s">
        <v>10161</v>
      </c>
      <c r="G1407" s="43" t="s">
        <v>10162</v>
      </c>
      <c r="H1407" s="51" t="s">
        <v>661</v>
      </c>
      <c r="I1407" s="25" t="str">
        <f>IFERROR(__xludf.DUMMYFUNCTION("GOOGLETRANSLATE(H1407,""EN"",""ES"")"),"Estrategia empresarial")</f>
        <v>Estrategia empresarial</v>
      </c>
      <c r="J1407" s="26" t="s">
        <v>35</v>
      </c>
      <c r="K1407" s="48">
        <v>0.0</v>
      </c>
      <c r="L1407" s="54"/>
      <c r="M1407" s="31"/>
      <c r="N1407" s="66" t="s">
        <v>10163</v>
      </c>
      <c r="O1407" s="66" t="str">
        <f>IFERROR(__xludf.DUMMYFUNCTION("GOOGLETRANSLATE(N1407,""EN"",""ES"")"),"La reestructuración empresarial de empresas no vinculadas no afecta a Repsol.")</f>
        <v>La reestructuración empresarial de empresas no vinculadas no afecta a Repsol.</v>
      </c>
      <c r="P1407" s="30">
        <v>0.0</v>
      </c>
      <c r="Q1407" s="31"/>
      <c r="R1407" s="31"/>
      <c r="S1407" s="53" t="s">
        <v>10164</v>
      </c>
      <c r="T1407" s="32" t="s">
        <v>10165</v>
      </c>
    </row>
    <row r="1408">
      <c r="A1408" s="33" t="s">
        <v>10166</v>
      </c>
      <c r="B1408" s="60" t="s">
        <v>1568</v>
      </c>
      <c r="C1408" s="41">
        <v>45386.0</v>
      </c>
      <c r="D1408" s="40" t="s">
        <v>10167</v>
      </c>
      <c r="E1408" s="41" t="s">
        <v>10168</v>
      </c>
      <c r="F1408" s="43" t="s">
        <v>10169</v>
      </c>
      <c r="G1408" s="43" t="s">
        <v>10170</v>
      </c>
      <c r="H1408" s="51" t="s">
        <v>1975</v>
      </c>
      <c r="I1408" s="15" t="str">
        <f>IFERROR(__xludf.DUMMYFUNCTION("GOOGLETRANSLATE(H1408,""EN"",""ES"")"),"Política")</f>
        <v>Política</v>
      </c>
      <c r="J1408" s="16" t="s">
        <v>35</v>
      </c>
      <c r="K1408" s="48">
        <v>0.0</v>
      </c>
      <c r="L1408" s="45"/>
      <c r="M1408" s="18"/>
      <c r="N1408" s="65" t="s">
        <v>10171</v>
      </c>
      <c r="O1408" s="65" t="str">
        <f>IFERROR(__xludf.DUMMYFUNCTION("GOOGLETRANSLATE(N1408,""EN"",""ES"")"),"Las disputas políticas por la transición energética no impactan directamente en el negocio de Repsol.")</f>
        <v>Las disputas políticas por la transición energética no impactan directamente en el negocio de Repsol.</v>
      </c>
      <c r="P1408" s="30">
        <v>-0.4</v>
      </c>
      <c r="Q1408" s="18" t="str">
        <f>IFERROR(__xludf.DUMMYFUNCTION("GOOGLETRANSLATE(R1408,""ES"",""EN"")"),"confrontation")</f>
        <v>confrontation</v>
      </c>
      <c r="R1408" s="34" t="s">
        <v>10172</v>
      </c>
      <c r="S1408" s="52" t="s">
        <v>10173</v>
      </c>
      <c r="T1408" s="22" t="s">
        <v>10174</v>
      </c>
    </row>
    <row r="1409">
      <c r="A1409" s="23" t="s">
        <v>10175</v>
      </c>
      <c r="B1409" s="58" t="s">
        <v>1993</v>
      </c>
      <c r="C1409" s="41">
        <v>45386.0</v>
      </c>
      <c r="D1409" s="40" t="s">
        <v>10176</v>
      </c>
      <c r="E1409" s="41" t="s">
        <v>10177</v>
      </c>
      <c r="F1409" s="43" t="s">
        <v>10178</v>
      </c>
      <c r="G1409" s="43" t="s">
        <v>10179</v>
      </c>
      <c r="H1409" s="51" t="s">
        <v>395</v>
      </c>
      <c r="I1409" s="25" t="str">
        <f>IFERROR(__xludf.DUMMYFUNCTION("GOOGLETRANSLATE(H1409,""EN"",""ES"")"),"Ambiente")</f>
        <v>Ambiente</v>
      </c>
      <c r="J1409" s="26" t="s">
        <v>35</v>
      </c>
      <c r="K1409" s="48">
        <v>-0.7</v>
      </c>
      <c r="L1409" s="49" t="s">
        <v>10061</v>
      </c>
      <c r="M1409" s="28" t="s">
        <v>10062</v>
      </c>
      <c r="N1409" s="66" t="s">
        <v>10180</v>
      </c>
      <c r="O1409" s="66" t="str">
        <f>IFERROR(__xludf.DUMMYFUNCTION("GOOGLETRANSLATE(N1409,""EN"",""ES"")"),"Los informes que vinculan a Repsol con altas emisiones pueden dañar su imagen pública.")</f>
        <v>Los informes que vinculan a Repsol con altas emisiones pueden dañar su imagen pública.</v>
      </c>
      <c r="P1409" s="30">
        <v>-0.6</v>
      </c>
      <c r="Q1409" s="31" t="str">
        <f>IFERROR(__xludf.DUMMYFUNCTION("GOOGLETRANSLATE(R1409,""ES"",""EN"")"),"emissions, oil")</f>
        <v>emissions, oil</v>
      </c>
      <c r="R1409" s="28" t="s">
        <v>10181</v>
      </c>
      <c r="S1409" s="53" t="s">
        <v>10182</v>
      </c>
      <c r="T1409" s="32" t="s">
        <v>10183</v>
      </c>
    </row>
    <row r="1410">
      <c r="A1410" s="33" t="s">
        <v>10184</v>
      </c>
      <c r="B1410" s="60" t="s">
        <v>43</v>
      </c>
      <c r="C1410" s="41">
        <v>45386.0</v>
      </c>
      <c r="D1410" s="40" t="s">
        <v>10185</v>
      </c>
      <c r="E1410" s="41" t="s">
        <v>10186</v>
      </c>
      <c r="F1410" s="43" t="s">
        <v>10187</v>
      </c>
      <c r="G1410" s="43" t="s">
        <v>10188</v>
      </c>
      <c r="H1410" s="51" t="s">
        <v>395</v>
      </c>
      <c r="I1410" s="15" t="str">
        <f>IFERROR(__xludf.DUMMYFUNCTION("GOOGLETRANSLATE(H1410,""EN"",""ES"")"),"Ambiente")</f>
        <v>Ambiente</v>
      </c>
      <c r="J1410" s="16" t="s">
        <v>35</v>
      </c>
      <c r="K1410" s="48">
        <v>0.0</v>
      </c>
      <c r="L1410" s="45"/>
      <c r="M1410" s="18"/>
      <c r="N1410" s="65" t="s">
        <v>10189</v>
      </c>
      <c r="O1410" s="65" t="str">
        <f>IFERROR(__xludf.DUMMYFUNCTION("GOOGLETRANSLATE(N1410,""EN"",""ES"")"),"Los acuerdos climáticos globales no impactan directamente en la percepción corporativa de Repsol.")</f>
        <v>Los acuerdos climáticos globales no impactan directamente en la percepción corporativa de Repsol.</v>
      </c>
      <c r="P1410" s="30">
        <v>-0.7</v>
      </c>
      <c r="Q1410" s="18" t="str">
        <f>IFERROR(__xludf.DUMMYFUNCTION("GOOGLETRANSLATE(R1410,""ES"",""EN"")"),"emissions, energy")</f>
        <v>emissions, energy</v>
      </c>
      <c r="R1410" s="34" t="s">
        <v>10190</v>
      </c>
      <c r="S1410" s="52" t="s">
        <v>10191</v>
      </c>
      <c r="T1410" s="22" t="s">
        <v>10192</v>
      </c>
    </row>
    <row r="1411">
      <c r="A1411" s="23" t="s">
        <v>10193</v>
      </c>
      <c r="B1411" s="58" t="s">
        <v>6747</v>
      </c>
      <c r="C1411" s="41">
        <v>45386.0</v>
      </c>
      <c r="D1411" s="40" t="s">
        <v>10194</v>
      </c>
      <c r="E1411" s="41" t="s">
        <v>10195</v>
      </c>
      <c r="F1411" s="43" t="s">
        <v>10196</v>
      </c>
      <c r="G1411" s="43" t="s">
        <v>10197</v>
      </c>
      <c r="H1411" s="51" t="s">
        <v>395</v>
      </c>
      <c r="I1411" s="25" t="str">
        <f>IFERROR(__xludf.DUMMYFUNCTION("GOOGLETRANSLATE(H1411,""EN"",""ES"")"),"Ambiente")</f>
        <v>Ambiente</v>
      </c>
      <c r="J1411" s="26" t="s">
        <v>35</v>
      </c>
      <c r="K1411" s="48">
        <v>-0.8</v>
      </c>
      <c r="L1411" s="49" t="s">
        <v>10198</v>
      </c>
      <c r="M1411" s="28" t="s">
        <v>10199</v>
      </c>
      <c r="N1411" s="66" t="s">
        <v>10200</v>
      </c>
      <c r="O1411" s="66" t="str">
        <f>IFERROR(__xludf.DUMMYFUNCTION("GOOGLETRANSLATE(N1411,""EN"",""ES"")"),"Ser etiquetado como gran contaminador podría dañar la reputación medioambiental de Repsol.")</f>
        <v>Ser etiquetado como gran contaminador podría dañar la reputación medioambiental de Repsol.</v>
      </c>
      <c r="P1411" s="30">
        <v>-0.8</v>
      </c>
      <c r="Q1411" s="31" t="str">
        <f>IFERROR(__xludf.DUMMYFUNCTION("GOOGLETRANSLATE(R1411,""ES"",""EN"")"),"CO2, emit")</f>
        <v>CO2, emit</v>
      </c>
      <c r="R1411" s="28" t="s">
        <v>10201</v>
      </c>
      <c r="S1411" s="53" t="s">
        <v>10202</v>
      </c>
      <c r="T1411" s="32" t="s">
        <v>10203</v>
      </c>
    </row>
    <row r="1412">
      <c r="A1412" s="33" t="s">
        <v>10204</v>
      </c>
      <c r="B1412" s="60" t="s">
        <v>163</v>
      </c>
      <c r="C1412" s="41">
        <v>45386.0</v>
      </c>
      <c r="D1412" s="40" t="s">
        <v>10205</v>
      </c>
      <c r="E1412" s="41" t="s">
        <v>10206</v>
      </c>
      <c r="F1412" s="43" t="s">
        <v>10207</v>
      </c>
      <c r="G1412" s="43" t="s">
        <v>10208</v>
      </c>
      <c r="H1412" s="51" t="s">
        <v>34</v>
      </c>
      <c r="I1412" s="15" t="str">
        <f>IFERROR(__xludf.DUMMYFUNCTION("GOOGLETRANSLATE(H1412,""EN"",""ES"")"),"Responsabilidad Social Corporativa")</f>
        <v>Responsabilidad Social Corporativa</v>
      </c>
      <c r="J1412" s="16" t="s">
        <v>35</v>
      </c>
      <c r="K1412" s="48">
        <v>0.6</v>
      </c>
      <c r="L1412" s="51" t="s">
        <v>10209</v>
      </c>
      <c r="M1412" s="34" t="s">
        <v>10210</v>
      </c>
      <c r="N1412" s="65" t="s">
        <v>10211</v>
      </c>
      <c r="O1412" s="65" t="str">
        <f>IFERROR(__xludf.DUMMYFUNCTION("GOOGLETRANSLATE(N1412,""EN"",""ES"")"),"El apoyo a iniciativas educativas fortalece la reputación de Repsol.")</f>
        <v>El apoyo a iniciativas educativas fortalece la reputación de Repsol.</v>
      </c>
      <c r="P1412" s="30">
        <v>0.4</v>
      </c>
      <c r="Q1412" s="18" t="str">
        <f>IFERROR(__xludf.DUMMYFUNCTION("GOOGLETRANSLATE(R1412,""ES"",""EN"")"),"donut, didactic")</f>
        <v>donut, didactic</v>
      </c>
      <c r="R1412" s="34" t="s">
        <v>10212</v>
      </c>
      <c r="S1412" s="52" t="s">
        <v>10213</v>
      </c>
      <c r="T1412" s="22" t="s">
        <v>10214</v>
      </c>
    </row>
    <row r="1413">
      <c r="A1413" s="23" t="s">
        <v>10215</v>
      </c>
      <c r="B1413" s="58" t="s">
        <v>977</v>
      </c>
      <c r="C1413" s="41">
        <v>45386.0</v>
      </c>
      <c r="D1413" s="40" t="s">
        <v>10216</v>
      </c>
      <c r="E1413" s="41" t="s">
        <v>10217</v>
      </c>
      <c r="F1413" s="43" t="s">
        <v>10218</v>
      </c>
      <c r="G1413" s="43" t="s">
        <v>10219</v>
      </c>
      <c r="H1413" s="51" t="s">
        <v>148</v>
      </c>
      <c r="I1413" s="25" t="str">
        <f>IFERROR(__xludf.DUMMYFUNCTION("GOOGLETRANSLATE(H1413,""EN"",""ES"")"),"Gastronomía")</f>
        <v>Gastronomía</v>
      </c>
      <c r="J1413" s="26" t="s">
        <v>27</v>
      </c>
      <c r="K1413" s="17">
        <v>0.0</v>
      </c>
      <c r="L1413" s="54"/>
      <c r="M1413" s="31"/>
      <c r="N1413" s="66"/>
      <c r="O1413" s="66"/>
      <c r="P1413" s="20">
        <v>0.0</v>
      </c>
      <c r="Q1413" s="31"/>
      <c r="R1413" s="31"/>
      <c r="S1413" s="53"/>
      <c r="T1413" s="32"/>
    </row>
    <row r="1414">
      <c r="A1414" s="33" t="s">
        <v>10220</v>
      </c>
      <c r="B1414" s="60" t="s">
        <v>163</v>
      </c>
      <c r="C1414" s="41">
        <v>45387.0</v>
      </c>
      <c r="D1414" s="40" t="s">
        <v>10221</v>
      </c>
      <c r="E1414" s="41" t="s">
        <v>10222</v>
      </c>
      <c r="F1414" s="43" t="s">
        <v>10223</v>
      </c>
      <c r="G1414" s="43" t="s">
        <v>10224</v>
      </c>
      <c r="H1414" s="51" t="s">
        <v>661</v>
      </c>
      <c r="I1414" s="15" t="str">
        <f>IFERROR(__xludf.DUMMYFUNCTION("GOOGLETRANSLATE(H1414,""EN"",""ES"")"),"Estrategia empresarial")</f>
        <v>Estrategia empresarial</v>
      </c>
      <c r="J1414" s="16" t="s">
        <v>35</v>
      </c>
      <c r="K1414" s="48">
        <v>0.5</v>
      </c>
      <c r="L1414" s="51" t="s">
        <v>10225</v>
      </c>
      <c r="M1414" s="34" t="s">
        <v>10226</v>
      </c>
      <c r="N1414" s="65" t="s">
        <v>10227</v>
      </c>
      <c r="O1414" s="65" t="str">
        <f>IFERROR(__xludf.DUMMYFUNCTION("GOOGLETRANSLATE(N1414,""EN"",""ES"")"),"Las oportunidades laborales potencian la imagen de Repsol como empleador estable.")</f>
        <v>Las oportunidades laborales potencian la imagen de Repsol como empleador estable.</v>
      </c>
      <c r="P1414" s="30">
        <v>0.1</v>
      </c>
      <c r="Q1414" s="18" t="str">
        <f>IFERROR(__xludf.DUMMYFUNCTION("GOOGLETRANSLATE(R1414,""ES"",""EN"")"),"stations, service")</f>
        <v>stations, service</v>
      </c>
      <c r="R1414" s="34" t="s">
        <v>10228</v>
      </c>
      <c r="S1414" s="52" t="s">
        <v>10229</v>
      </c>
      <c r="T1414" s="22" t="s">
        <v>10230</v>
      </c>
    </row>
    <row r="1415">
      <c r="A1415" s="23" t="s">
        <v>10231</v>
      </c>
      <c r="B1415" s="58" t="s">
        <v>558</v>
      </c>
      <c r="C1415" s="41">
        <v>45387.0</v>
      </c>
      <c r="D1415" s="40" t="s">
        <v>10232</v>
      </c>
      <c r="E1415" s="41" t="s">
        <v>10233</v>
      </c>
      <c r="F1415" s="43" t="s">
        <v>10234</v>
      </c>
      <c r="G1415" s="43" t="s">
        <v>10235</v>
      </c>
      <c r="H1415" s="51" t="s">
        <v>48</v>
      </c>
      <c r="I1415" s="25" t="str">
        <f>IFERROR(__xludf.DUMMYFUNCTION("GOOGLETRANSLATE(H1415,""EN"",""ES"")"),"Finanzas")</f>
        <v>Finanzas</v>
      </c>
      <c r="J1415" s="26" t="s">
        <v>35</v>
      </c>
      <c r="K1415" s="48">
        <v>0.6</v>
      </c>
      <c r="L1415" s="49" t="s">
        <v>10236</v>
      </c>
      <c r="M1415" s="28" t="s">
        <v>10237</v>
      </c>
      <c r="N1415" s="66" t="s">
        <v>10238</v>
      </c>
      <c r="O1415" s="66" t="str">
        <f>IFERROR(__xludf.DUMMYFUNCTION("GOOGLETRANSLATE(N1415,""EN"",""ES"")"),"El desempeño positivo del mercado refuerza la confianza de los inversores.")</f>
        <v>El desempeño positivo del mercado refuerza la confianza de los inversores.</v>
      </c>
      <c r="P1415" s="30">
        <v>0.3</v>
      </c>
      <c r="Q1415" s="31" t="str">
        <f>IFERROR(__xludf.DUMMYFUNCTION("GOOGLETRANSLATE(R1415,""ES"",""EN"")"),"truce, bag")</f>
        <v>truce, bag</v>
      </c>
      <c r="R1415" s="28" t="s">
        <v>10239</v>
      </c>
      <c r="S1415" s="53" t="s">
        <v>10240</v>
      </c>
      <c r="T1415" s="32" t="s">
        <v>10241</v>
      </c>
    </row>
    <row r="1416">
      <c r="A1416" s="33" t="s">
        <v>10242</v>
      </c>
      <c r="B1416" s="60" t="s">
        <v>21</v>
      </c>
      <c r="C1416" s="41">
        <v>45387.0</v>
      </c>
      <c r="D1416" s="40" t="s">
        <v>10243</v>
      </c>
      <c r="E1416" s="41" t="s">
        <v>10244</v>
      </c>
      <c r="F1416" s="43" t="s">
        <v>10245</v>
      </c>
      <c r="G1416" s="43" t="s">
        <v>10246</v>
      </c>
      <c r="H1416" s="51" t="s">
        <v>148</v>
      </c>
      <c r="I1416" s="15" t="str">
        <f>IFERROR(__xludf.DUMMYFUNCTION("GOOGLETRANSLATE(H1416,""EN"",""ES"")"),"Gastronomía")</f>
        <v>Gastronomía</v>
      </c>
      <c r="J1416" s="16" t="s">
        <v>27</v>
      </c>
      <c r="K1416" s="17">
        <v>0.0</v>
      </c>
      <c r="L1416" s="45"/>
      <c r="M1416" s="18"/>
      <c r="N1416" s="65"/>
      <c r="O1416" s="65"/>
      <c r="P1416" s="20">
        <v>0.0</v>
      </c>
      <c r="Q1416" s="18"/>
      <c r="R1416" s="18"/>
      <c r="S1416" s="52"/>
      <c r="T1416" s="22"/>
    </row>
    <row r="1417">
      <c r="A1417" s="23" t="s">
        <v>10247</v>
      </c>
      <c r="B1417" s="58" t="s">
        <v>10248</v>
      </c>
      <c r="C1417" s="41">
        <v>45387.0</v>
      </c>
      <c r="D1417" s="40" t="s">
        <v>10249</v>
      </c>
      <c r="E1417" s="41" t="s">
        <v>10250</v>
      </c>
      <c r="F1417" s="43" t="s">
        <v>10251</v>
      </c>
      <c r="G1417" s="43" t="s">
        <v>10252</v>
      </c>
      <c r="H1417" s="51" t="s">
        <v>130</v>
      </c>
      <c r="I1417" s="25" t="str">
        <f>IFERROR(__xludf.DUMMYFUNCTION("GOOGLETRANSLATE(H1417,""EN"",""ES"")"),"Sostenibilidad")</f>
        <v>Sostenibilidad</v>
      </c>
      <c r="J1417" s="26" t="s">
        <v>35</v>
      </c>
      <c r="K1417" s="48">
        <v>0.7</v>
      </c>
      <c r="L1417" s="49" t="s">
        <v>10253</v>
      </c>
      <c r="M1417" s="28" t="s">
        <v>10254</v>
      </c>
      <c r="N1417" s="66" t="s">
        <v>10255</v>
      </c>
      <c r="O1417" s="66" t="str">
        <f>IFERROR(__xludf.DUMMYFUNCTION("GOOGLETRANSLATE(N1417,""EN"",""ES"")"),"La inversión en investigación fortalece el papel de Repsol en la innovación energética.")</f>
        <v>La inversión en investigación fortalece el papel de Repsol en la innovación energética.</v>
      </c>
      <c r="P1417" s="30">
        <v>0.4</v>
      </c>
      <c r="Q1417" s="31" t="str">
        <f>IFERROR(__xludf.DUMMYFUNCTION("GOOGLETRANSLATE(R1417,""ES"",""EN"")"),"students, challenges")</f>
        <v>students, challenges</v>
      </c>
      <c r="R1417" s="28" t="s">
        <v>10256</v>
      </c>
      <c r="S1417" s="53" t="s">
        <v>10257</v>
      </c>
      <c r="T1417" s="32" t="s">
        <v>10258</v>
      </c>
    </row>
    <row r="1418">
      <c r="A1418" s="33" t="s">
        <v>10259</v>
      </c>
      <c r="B1418" s="60" t="s">
        <v>448</v>
      </c>
      <c r="C1418" s="41">
        <v>45387.0</v>
      </c>
      <c r="D1418" s="40" t="s">
        <v>10260</v>
      </c>
      <c r="E1418" s="41" t="s">
        <v>10261</v>
      </c>
      <c r="F1418" s="43" t="s">
        <v>10262</v>
      </c>
      <c r="G1418" s="43" t="s">
        <v>10263</v>
      </c>
      <c r="H1418" s="51" t="s">
        <v>661</v>
      </c>
      <c r="I1418" s="15" t="str">
        <f>IFERROR(__xludf.DUMMYFUNCTION("GOOGLETRANSLATE(H1418,""EN"",""ES"")"),"Estrategia empresarial")</f>
        <v>Estrategia empresarial</v>
      </c>
      <c r="J1418" s="16" t="s">
        <v>35</v>
      </c>
      <c r="K1418" s="48">
        <v>0.0</v>
      </c>
      <c r="L1418" s="45"/>
      <c r="M1418" s="18"/>
      <c r="N1418" s="65" t="s">
        <v>10264</v>
      </c>
      <c r="O1418" s="65" t="str">
        <f>IFERROR(__xludf.DUMMYFUNCTION("GOOGLETRANSLATE(N1418,""EN"",""ES"")"),"El control regulatorio del servicio al cliente no impacta en la percepción corporativa de Repsol.")</f>
        <v>El control regulatorio del servicio al cliente no impacta en la percepción corporativa de Repsol.</v>
      </c>
      <c r="P1418" s="30">
        <v>-0.3</v>
      </c>
      <c r="Q1418" s="18" t="str">
        <f>IFERROR(__xludf.DUMMYFUNCTION("GOOGLETRANSLATE(R1418,""ES"",""EN"")"),"magnifying glass, attention")</f>
        <v>magnifying glass, attention</v>
      </c>
      <c r="R1418" s="34" t="s">
        <v>10265</v>
      </c>
      <c r="S1418" s="52" t="s">
        <v>10266</v>
      </c>
      <c r="T1418" s="22" t="s">
        <v>10267</v>
      </c>
    </row>
    <row r="1419">
      <c r="A1419" s="23" t="s">
        <v>10268</v>
      </c>
      <c r="B1419" s="58" t="s">
        <v>1081</v>
      </c>
      <c r="C1419" s="41">
        <v>45387.0</v>
      </c>
      <c r="D1419" s="40" t="s">
        <v>10269</v>
      </c>
      <c r="E1419" s="41" t="s">
        <v>10270</v>
      </c>
      <c r="F1419" s="43" t="s">
        <v>10271</v>
      </c>
      <c r="G1419" s="43" t="s">
        <v>10272</v>
      </c>
      <c r="H1419" s="51" t="s">
        <v>661</v>
      </c>
      <c r="I1419" s="25" t="str">
        <f>IFERROR(__xludf.DUMMYFUNCTION("GOOGLETRANSLATE(H1419,""EN"",""ES"")"),"Estrategia empresarial")</f>
        <v>Estrategia empresarial</v>
      </c>
      <c r="J1419" s="26" t="s">
        <v>35</v>
      </c>
      <c r="K1419" s="48">
        <v>0.0</v>
      </c>
      <c r="L1419" s="54"/>
      <c r="M1419" s="31"/>
      <c r="N1419" s="66" t="s">
        <v>10273</v>
      </c>
      <c r="O1419" s="66" t="str">
        <f>IFERROR(__xludf.DUMMYFUNCTION("GOOGLETRANSLATE(N1419,""EN"",""ES"")"),"Los casos de éxito profesional individuales no impactan en el negocio de Repsol.")</f>
        <v>Los casos de éxito profesional individuales no impactan en el negocio de Repsol.</v>
      </c>
      <c r="P1419" s="30">
        <v>0.5</v>
      </c>
      <c r="Q1419" s="31" t="str">
        <f>IFERROR(__xludf.DUMMYFUNCTION("GOOGLETRANSLATE(R1419,""ES"",""EN"")"),"sign, life")</f>
        <v>sign, life</v>
      </c>
      <c r="R1419" s="28" t="s">
        <v>10274</v>
      </c>
      <c r="S1419" s="53" t="s">
        <v>10275</v>
      </c>
      <c r="T1419" s="32" t="s">
        <v>10276</v>
      </c>
    </row>
    <row r="1420">
      <c r="A1420" s="33" t="s">
        <v>10277</v>
      </c>
      <c r="B1420" s="60" t="s">
        <v>7278</v>
      </c>
      <c r="C1420" s="41">
        <v>45387.0</v>
      </c>
      <c r="D1420" s="40" t="s">
        <v>10278</v>
      </c>
      <c r="E1420" s="41" t="s">
        <v>10279</v>
      </c>
      <c r="F1420" s="43" t="s">
        <v>10280</v>
      </c>
      <c r="G1420" s="43" t="s">
        <v>10281</v>
      </c>
      <c r="H1420" s="51" t="s">
        <v>148</v>
      </c>
      <c r="I1420" s="15" t="str">
        <f>IFERROR(__xludf.DUMMYFUNCTION("GOOGLETRANSLATE(H1420,""EN"",""ES"")"),"Gastronomía")</f>
        <v>Gastronomía</v>
      </c>
      <c r="J1420" s="16" t="s">
        <v>27</v>
      </c>
      <c r="K1420" s="17">
        <v>0.0</v>
      </c>
      <c r="L1420" s="45"/>
      <c r="M1420" s="18"/>
      <c r="N1420" s="65"/>
      <c r="O1420" s="65"/>
      <c r="P1420" s="20">
        <v>0.0</v>
      </c>
      <c r="Q1420" s="18"/>
      <c r="R1420" s="18"/>
      <c r="S1420" s="52"/>
      <c r="T1420" s="22"/>
    </row>
    <row r="1421">
      <c r="A1421" s="23" t="s">
        <v>10282</v>
      </c>
      <c r="B1421" s="58" t="s">
        <v>10283</v>
      </c>
      <c r="C1421" s="41">
        <v>45387.0</v>
      </c>
      <c r="D1421" s="40" t="s">
        <v>10284</v>
      </c>
      <c r="E1421" s="41" t="s">
        <v>10285</v>
      </c>
      <c r="F1421" s="43" t="s">
        <v>10286</v>
      </c>
      <c r="G1421" s="43" t="s">
        <v>10287</v>
      </c>
      <c r="H1421" s="51" t="s">
        <v>148</v>
      </c>
      <c r="I1421" s="25" t="str">
        <f>IFERROR(__xludf.DUMMYFUNCTION("GOOGLETRANSLATE(H1421,""EN"",""ES"")"),"Gastronomía")</f>
        <v>Gastronomía</v>
      </c>
      <c r="J1421" s="26" t="s">
        <v>27</v>
      </c>
      <c r="K1421" s="17">
        <v>0.0</v>
      </c>
      <c r="L1421" s="54"/>
      <c r="M1421" s="31"/>
      <c r="N1421" s="66"/>
      <c r="O1421" s="66"/>
      <c r="P1421" s="20">
        <v>0.0</v>
      </c>
      <c r="Q1421" s="31"/>
      <c r="R1421" s="31"/>
      <c r="S1421" s="53"/>
      <c r="T1421" s="32"/>
    </row>
    <row r="1422">
      <c r="A1422" s="33" t="s">
        <v>10288</v>
      </c>
      <c r="B1422" s="60" t="s">
        <v>4623</v>
      </c>
      <c r="C1422" s="41">
        <v>45387.0</v>
      </c>
      <c r="D1422" s="40" t="s">
        <v>10289</v>
      </c>
      <c r="E1422" s="41" t="s">
        <v>10290</v>
      </c>
      <c r="F1422" s="43" t="s">
        <v>10291</v>
      </c>
      <c r="G1422" s="43" t="s">
        <v>10292</v>
      </c>
      <c r="H1422" s="51" t="s">
        <v>408</v>
      </c>
      <c r="I1422" s="15" t="str">
        <f>IFERROR(__xludf.DUMMYFUNCTION("GOOGLETRANSLATE(H1422,""EN"",""ES"")"),"Legal")</f>
        <v>Legal</v>
      </c>
      <c r="J1422" s="16" t="s">
        <v>35</v>
      </c>
      <c r="K1422" s="48">
        <v>-0.5</v>
      </c>
      <c r="L1422" s="51" t="s">
        <v>10293</v>
      </c>
      <c r="M1422" s="34" t="s">
        <v>10294</v>
      </c>
      <c r="N1422" s="65" t="s">
        <v>10295</v>
      </c>
      <c r="O1422" s="65" t="str">
        <f>IFERROR(__xludf.DUMMYFUNCTION("GOOGLETRANSLATE(N1422,""EN"",""ES"")"),"La incertidumbre sobre el cierre de gasolineras puede afectar las operaciones locales.")</f>
        <v>La incertidumbre sobre el cierre de gasolineras puede afectar las operaciones locales.</v>
      </c>
      <c r="P1422" s="30">
        <v>-0.2</v>
      </c>
      <c r="Q1422" s="18" t="str">
        <f>IFERROR(__xludf.DUMMYFUNCTION("GOOGLETRANSLATE(R1422,""ES"",""EN"")"),"pending, resource")</f>
        <v>pending, resource</v>
      </c>
      <c r="R1422" s="34" t="s">
        <v>10296</v>
      </c>
      <c r="S1422" s="52" t="s">
        <v>10297</v>
      </c>
      <c r="T1422" s="22" t="s">
        <v>10298</v>
      </c>
    </row>
    <row r="1423">
      <c r="A1423" s="23" t="s">
        <v>10299</v>
      </c>
      <c r="B1423" s="58" t="s">
        <v>9516</v>
      </c>
      <c r="C1423" s="41">
        <v>45387.0</v>
      </c>
      <c r="D1423" s="40" t="s">
        <v>10300</v>
      </c>
      <c r="E1423" s="41" t="s">
        <v>10301</v>
      </c>
      <c r="F1423" s="43" t="s">
        <v>10302</v>
      </c>
      <c r="G1423" s="43" t="s">
        <v>10303</v>
      </c>
      <c r="H1423" s="51" t="s">
        <v>661</v>
      </c>
      <c r="I1423" s="25" t="str">
        <f>IFERROR(__xludf.DUMMYFUNCTION("GOOGLETRANSLATE(H1423,""EN"",""ES"")"),"Estrategia empresarial")</f>
        <v>Estrategia empresarial</v>
      </c>
      <c r="J1423" s="26" t="s">
        <v>27</v>
      </c>
      <c r="K1423" s="17">
        <v>0.0</v>
      </c>
      <c r="L1423" s="54"/>
      <c r="M1423" s="31"/>
      <c r="N1423" s="66"/>
      <c r="O1423" s="66"/>
      <c r="P1423" s="20">
        <v>0.0</v>
      </c>
      <c r="Q1423" s="31"/>
      <c r="R1423" s="31"/>
      <c r="S1423" s="53"/>
      <c r="T1423" s="32"/>
    </row>
    <row r="1424">
      <c r="A1424" s="33" t="s">
        <v>10304</v>
      </c>
      <c r="B1424" s="60" t="s">
        <v>10305</v>
      </c>
      <c r="C1424" s="41">
        <v>45387.0</v>
      </c>
      <c r="D1424" s="40" t="s">
        <v>10306</v>
      </c>
      <c r="E1424" s="41" t="s">
        <v>10307</v>
      </c>
      <c r="F1424" s="43" t="s">
        <v>10308</v>
      </c>
      <c r="G1424" s="43" t="s">
        <v>10309</v>
      </c>
      <c r="H1424" s="51" t="s">
        <v>395</v>
      </c>
      <c r="I1424" s="15" t="str">
        <f>IFERROR(__xludf.DUMMYFUNCTION("GOOGLETRANSLATE(H1424,""EN"",""ES"")"),"Ambiente")</f>
        <v>Ambiente</v>
      </c>
      <c r="J1424" s="16" t="s">
        <v>35</v>
      </c>
      <c r="K1424" s="48">
        <v>0.0</v>
      </c>
      <c r="L1424" s="45"/>
      <c r="M1424" s="18"/>
      <c r="N1424" s="65" t="s">
        <v>10310</v>
      </c>
      <c r="O1424" s="65" t="str">
        <f>IFERROR(__xludf.DUMMYFUNCTION("GOOGLETRANSLATE(N1424,""EN"",""ES"")"),"Los casos medioambientales locales no impactan en la percepción corporativa de Repsol.")</f>
        <v>Los casos medioambientales locales no impactan en la percepción corporativa de Repsol.</v>
      </c>
      <c r="P1424" s="30">
        <v>-0.7</v>
      </c>
      <c r="Q1424" s="18" t="str">
        <f>IFERROR(__xludf.DUMMYFUNCTION("GOOGLETRANSLATE(R1424,""ES"",""EN"")"),"pollution, leak")</f>
        <v>pollution, leak</v>
      </c>
      <c r="R1424" s="34" t="s">
        <v>10311</v>
      </c>
      <c r="S1424" s="52" t="s">
        <v>10312</v>
      </c>
      <c r="T1424" s="22" t="s">
        <v>10313</v>
      </c>
    </row>
    <row r="1425">
      <c r="A1425" s="23" t="s">
        <v>10314</v>
      </c>
      <c r="B1425" s="58" t="s">
        <v>437</v>
      </c>
      <c r="C1425" s="41">
        <v>45387.0</v>
      </c>
      <c r="D1425" s="40" t="s">
        <v>10315</v>
      </c>
      <c r="E1425" s="41" t="s">
        <v>10316</v>
      </c>
      <c r="F1425" s="43" t="s">
        <v>10317</v>
      </c>
      <c r="G1425" s="43" t="s">
        <v>10318</v>
      </c>
      <c r="H1425" s="51" t="s">
        <v>148</v>
      </c>
      <c r="I1425" s="25" t="str">
        <f>IFERROR(__xludf.DUMMYFUNCTION("GOOGLETRANSLATE(H1425,""EN"",""ES"")"),"Gastronomía")</f>
        <v>Gastronomía</v>
      </c>
      <c r="J1425" s="26" t="s">
        <v>27</v>
      </c>
      <c r="K1425" s="17">
        <v>0.0</v>
      </c>
      <c r="L1425" s="54"/>
      <c r="M1425" s="31"/>
      <c r="N1425" s="66"/>
      <c r="O1425" s="66"/>
      <c r="P1425" s="20">
        <v>0.0</v>
      </c>
      <c r="Q1425" s="31"/>
      <c r="R1425" s="31"/>
      <c r="S1425" s="53"/>
      <c r="T1425" s="32"/>
    </row>
    <row r="1426">
      <c r="A1426" s="33" t="s">
        <v>10319</v>
      </c>
      <c r="B1426" s="60" t="s">
        <v>7171</v>
      </c>
      <c r="C1426" s="41">
        <v>45387.0</v>
      </c>
      <c r="D1426" s="40" t="s">
        <v>10320</v>
      </c>
      <c r="E1426" s="41" t="s">
        <v>10321</v>
      </c>
      <c r="F1426" s="43" t="s">
        <v>10322</v>
      </c>
      <c r="G1426" s="43" t="s">
        <v>10323</v>
      </c>
      <c r="H1426" s="51" t="s">
        <v>148</v>
      </c>
      <c r="I1426" s="15" t="str">
        <f>IFERROR(__xludf.DUMMYFUNCTION("GOOGLETRANSLATE(H1426,""EN"",""ES"")"),"Gastronomía")</f>
        <v>Gastronomía</v>
      </c>
      <c r="J1426" s="16" t="s">
        <v>27</v>
      </c>
      <c r="K1426" s="17">
        <v>0.0</v>
      </c>
      <c r="L1426" s="45"/>
      <c r="M1426" s="18"/>
      <c r="N1426" s="65"/>
      <c r="O1426" s="65"/>
      <c r="P1426" s="20">
        <v>0.0</v>
      </c>
      <c r="Q1426" s="18"/>
      <c r="R1426" s="18"/>
      <c r="S1426" s="52"/>
      <c r="T1426" s="22"/>
    </row>
    <row r="1427">
      <c r="A1427" s="23" t="s">
        <v>10324</v>
      </c>
      <c r="B1427" s="58" t="s">
        <v>10325</v>
      </c>
      <c r="C1427" s="41">
        <v>45387.0</v>
      </c>
      <c r="D1427" s="40" t="s">
        <v>10326</v>
      </c>
      <c r="E1427" s="41" t="s">
        <v>10327</v>
      </c>
      <c r="F1427" s="43" t="s">
        <v>10328</v>
      </c>
      <c r="G1427" s="43" t="s">
        <v>10329</v>
      </c>
      <c r="H1427" s="51" t="s">
        <v>55</v>
      </c>
      <c r="I1427" s="25" t="str">
        <f>IFERROR(__xludf.DUMMYFUNCTION("GOOGLETRANSLATE(H1427,""EN"",""ES"")"),"deportes de motor")</f>
        <v>deportes de motor</v>
      </c>
      <c r="J1427" s="26" t="s">
        <v>27</v>
      </c>
      <c r="K1427" s="17">
        <v>0.0</v>
      </c>
      <c r="L1427" s="54"/>
      <c r="M1427" s="31"/>
      <c r="N1427" s="66"/>
      <c r="O1427" s="66"/>
      <c r="P1427" s="20">
        <v>0.0</v>
      </c>
      <c r="Q1427" s="31"/>
      <c r="R1427" s="31"/>
      <c r="S1427" s="53"/>
      <c r="T1427" s="32"/>
    </row>
    <row r="1428">
      <c r="A1428" s="33" t="s">
        <v>10330</v>
      </c>
      <c r="B1428" s="60" t="s">
        <v>2527</v>
      </c>
      <c r="C1428" s="41">
        <v>45387.0</v>
      </c>
      <c r="D1428" s="40" t="s">
        <v>10331</v>
      </c>
      <c r="E1428" s="41" t="s">
        <v>10332</v>
      </c>
      <c r="F1428" s="43" t="s">
        <v>10333</v>
      </c>
      <c r="G1428" s="43" t="s">
        <v>10334</v>
      </c>
      <c r="H1428" s="51" t="s">
        <v>62</v>
      </c>
      <c r="I1428" s="15" t="str">
        <f>IFERROR(__xludf.DUMMYFUNCTION("GOOGLETRANSLATE(H1428,""EN"",""ES"")"),"Energía")</f>
        <v>Energía</v>
      </c>
      <c r="J1428" s="16" t="s">
        <v>35</v>
      </c>
      <c r="K1428" s="48">
        <v>0.0</v>
      </c>
      <c r="L1428" s="45"/>
      <c r="M1428" s="18"/>
      <c r="N1428" s="65" t="s">
        <v>10335</v>
      </c>
      <c r="O1428" s="65" t="str">
        <f>IFERROR(__xludf.DUMMYFUNCTION("GOOGLETRANSLATE(N1428,""EN"",""ES"")"),"Los problemas de infraestructura de recarga no impactan en la percepción corporativa de Repsol.")</f>
        <v>Los problemas de infraestructura de recarga no impactan en la percepción corporativa de Repsol.</v>
      </c>
      <c r="P1428" s="30">
        <v>0.0</v>
      </c>
      <c r="Q1428" s="18"/>
      <c r="R1428" s="18"/>
      <c r="S1428" s="52" t="s">
        <v>469</v>
      </c>
      <c r="T1428" s="22" t="s">
        <v>470</v>
      </c>
    </row>
    <row r="1429">
      <c r="A1429" s="23" t="s">
        <v>10336</v>
      </c>
      <c r="B1429" s="58" t="s">
        <v>21</v>
      </c>
      <c r="C1429" s="41">
        <v>45387.0</v>
      </c>
      <c r="D1429" s="40" t="s">
        <v>10337</v>
      </c>
      <c r="E1429" s="41" t="s">
        <v>10338</v>
      </c>
      <c r="F1429" s="43" t="s">
        <v>10339</v>
      </c>
      <c r="G1429" s="43" t="s">
        <v>10340</v>
      </c>
      <c r="H1429" s="51" t="s">
        <v>969</v>
      </c>
      <c r="I1429" s="25" t="str">
        <f>IFERROR(__xludf.DUMMYFUNCTION("GOOGLETRANSLATE(H1429,""EN"",""ES"")"),"Turismo")</f>
        <v>Turismo</v>
      </c>
      <c r="J1429" s="26" t="s">
        <v>27</v>
      </c>
      <c r="K1429" s="17">
        <v>0.0</v>
      </c>
      <c r="L1429" s="54"/>
      <c r="M1429" s="31"/>
      <c r="N1429" s="66"/>
      <c r="O1429" s="66"/>
      <c r="P1429" s="20">
        <v>0.0</v>
      </c>
      <c r="Q1429" s="31"/>
      <c r="R1429" s="31"/>
      <c r="S1429" s="53"/>
      <c r="T1429" s="32"/>
    </row>
    <row r="1430">
      <c r="A1430" s="33" t="s">
        <v>10341</v>
      </c>
      <c r="B1430" s="60" t="s">
        <v>260</v>
      </c>
      <c r="C1430" s="41">
        <v>45388.0</v>
      </c>
      <c r="D1430" s="40" t="s">
        <v>10342</v>
      </c>
      <c r="E1430" s="41" t="s">
        <v>10343</v>
      </c>
      <c r="F1430" s="43" t="s">
        <v>10344</v>
      </c>
      <c r="G1430" s="43" t="s">
        <v>10345</v>
      </c>
      <c r="H1430" s="51" t="s">
        <v>10346</v>
      </c>
      <c r="I1430" s="15" t="str">
        <f>IFERROR(__xludf.DUMMYFUNCTION("GOOGLETRANSLATE(H1430,""EN"",""ES"")"),"Clima")</f>
        <v>Clima</v>
      </c>
      <c r="J1430" s="16" t="s">
        <v>27</v>
      </c>
      <c r="K1430" s="17">
        <v>0.0</v>
      </c>
      <c r="L1430" s="45"/>
      <c r="M1430" s="18"/>
      <c r="N1430" s="65"/>
      <c r="O1430" s="65"/>
      <c r="P1430" s="20">
        <v>0.0</v>
      </c>
      <c r="Q1430" s="18"/>
      <c r="R1430" s="18"/>
      <c r="S1430" s="52"/>
      <c r="T1430" s="22"/>
    </row>
    <row r="1431">
      <c r="A1431" s="23" t="s">
        <v>10347</v>
      </c>
      <c r="B1431" s="58" t="s">
        <v>2792</v>
      </c>
      <c r="C1431" s="41">
        <v>45388.0</v>
      </c>
      <c r="D1431" s="40" t="s">
        <v>10348</v>
      </c>
      <c r="E1431" s="41" t="s">
        <v>10349</v>
      </c>
      <c r="F1431" s="43" t="s">
        <v>10350</v>
      </c>
      <c r="G1431" s="43" t="s">
        <v>10351</v>
      </c>
      <c r="H1431" s="51" t="s">
        <v>130</v>
      </c>
      <c r="I1431" s="25" t="str">
        <f>IFERROR(__xludf.DUMMYFUNCTION("GOOGLETRANSLATE(H1431,""EN"",""ES"")"),"Sostenibilidad")</f>
        <v>Sostenibilidad</v>
      </c>
      <c r="J1431" s="26" t="s">
        <v>35</v>
      </c>
      <c r="K1431" s="48">
        <v>0.0</v>
      </c>
      <c r="L1431" s="54"/>
      <c r="M1431" s="31"/>
      <c r="N1431" s="66" t="s">
        <v>10352</v>
      </c>
      <c r="O1431" s="66" t="str">
        <f>IFERROR(__xludf.DUMMYFUNCTION("GOOGLETRANSLATE(N1431,""EN"",""ES"")"),"Los debates generales sobre sostenibilidad no impactan directamente en la percepción de Repsol.")</f>
        <v>Los debates generales sobre sostenibilidad no impactan directamente en la percepción de Repsol.</v>
      </c>
      <c r="P1431" s="30">
        <v>0.0</v>
      </c>
      <c r="Q1431" s="31"/>
      <c r="R1431" s="31"/>
      <c r="S1431" s="53" t="s">
        <v>469</v>
      </c>
      <c r="T1431" s="32" t="s">
        <v>470</v>
      </c>
    </row>
    <row r="1432">
      <c r="A1432" s="33" t="s">
        <v>10353</v>
      </c>
      <c r="B1432" s="60" t="s">
        <v>3992</v>
      </c>
      <c r="C1432" s="41">
        <v>45388.0</v>
      </c>
      <c r="D1432" s="40" t="s">
        <v>10354</v>
      </c>
      <c r="E1432" s="41" t="s">
        <v>10355</v>
      </c>
      <c r="F1432" s="43" t="s">
        <v>10356</v>
      </c>
      <c r="G1432" s="43" t="s">
        <v>10357</v>
      </c>
      <c r="H1432" s="51" t="s">
        <v>10358</v>
      </c>
      <c r="I1432" s="15" t="str">
        <f>IFERROR(__xludf.DUMMYFUNCTION("GOOGLETRANSLATE(H1432,""EN"",""ES"")"),"Empleo")</f>
        <v>Empleo</v>
      </c>
      <c r="J1432" s="16" t="s">
        <v>27</v>
      </c>
      <c r="K1432" s="17">
        <v>0.0</v>
      </c>
      <c r="L1432" s="45"/>
      <c r="M1432" s="18"/>
      <c r="N1432" s="65"/>
      <c r="O1432" s="65"/>
      <c r="P1432" s="20">
        <v>0.0</v>
      </c>
      <c r="Q1432" s="18"/>
      <c r="R1432" s="18"/>
      <c r="S1432" s="52"/>
      <c r="T1432" s="22"/>
    </row>
    <row r="1433">
      <c r="A1433" s="23" t="s">
        <v>10359</v>
      </c>
      <c r="B1433" s="58" t="s">
        <v>103</v>
      </c>
      <c r="C1433" s="41">
        <v>45388.0</v>
      </c>
      <c r="D1433" s="40" t="s">
        <v>10360</v>
      </c>
      <c r="E1433" s="41" t="s">
        <v>10361</v>
      </c>
      <c r="F1433" s="43" t="s">
        <v>10362</v>
      </c>
      <c r="G1433" s="43" t="s">
        <v>10363</v>
      </c>
      <c r="H1433" s="51" t="s">
        <v>48</v>
      </c>
      <c r="I1433" s="25" t="str">
        <f>IFERROR(__xludf.DUMMYFUNCTION("GOOGLETRANSLATE(H1433,""EN"",""ES"")"),"Finanzas")</f>
        <v>Finanzas</v>
      </c>
      <c r="J1433" s="26" t="s">
        <v>27</v>
      </c>
      <c r="K1433" s="17">
        <v>0.0</v>
      </c>
      <c r="L1433" s="54"/>
      <c r="M1433" s="31"/>
      <c r="N1433" s="66"/>
      <c r="O1433" s="66"/>
      <c r="P1433" s="20">
        <v>0.0</v>
      </c>
      <c r="Q1433" s="31"/>
      <c r="R1433" s="31"/>
      <c r="S1433" s="53"/>
      <c r="T1433" s="32"/>
    </row>
    <row r="1434">
      <c r="A1434" s="33" t="s">
        <v>10364</v>
      </c>
      <c r="B1434" s="60" t="s">
        <v>448</v>
      </c>
      <c r="C1434" s="41">
        <v>45388.0</v>
      </c>
      <c r="D1434" s="40" t="s">
        <v>10365</v>
      </c>
      <c r="E1434" s="41" t="s">
        <v>10366</v>
      </c>
      <c r="F1434" s="43" t="s">
        <v>10367</v>
      </c>
      <c r="G1434" s="43" t="s">
        <v>10368</v>
      </c>
      <c r="H1434" s="51" t="s">
        <v>10369</v>
      </c>
      <c r="I1434" s="15" t="str">
        <f>IFERROR(__xludf.DUMMYFUNCTION("GOOGLETRANSLATE(H1434,""EN"",""ES"")"),"Ciencia")</f>
        <v>Ciencia</v>
      </c>
      <c r="J1434" s="16" t="s">
        <v>27</v>
      </c>
      <c r="K1434" s="17">
        <v>0.0</v>
      </c>
      <c r="L1434" s="45"/>
      <c r="M1434" s="18"/>
      <c r="N1434" s="65"/>
      <c r="O1434" s="65"/>
      <c r="P1434" s="20">
        <v>0.0</v>
      </c>
      <c r="Q1434" s="18"/>
      <c r="R1434" s="18"/>
      <c r="S1434" s="52"/>
      <c r="T1434" s="22"/>
    </row>
    <row r="1435">
      <c r="A1435" s="23" t="s">
        <v>10370</v>
      </c>
      <c r="B1435" s="58" t="s">
        <v>1338</v>
      </c>
      <c r="C1435" s="41">
        <v>45388.0</v>
      </c>
      <c r="D1435" s="40" t="s">
        <v>10371</v>
      </c>
      <c r="E1435" s="41" t="s">
        <v>10372</v>
      </c>
      <c r="F1435" s="43" t="s">
        <v>10373</v>
      </c>
      <c r="G1435" s="43" t="s">
        <v>10374</v>
      </c>
      <c r="H1435" s="51" t="s">
        <v>62</v>
      </c>
      <c r="I1435" s="25" t="str">
        <f>IFERROR(__xludf.DUMMYFUNCTION("GOOGLETRANSLATE(H1435,""EN"",""ES"")"),"Energía")</f>
        <v>Energía</v>
      </c>
      <c r="J1435" s="26" t="s">
        <v>35</v>
      </c>
      <c r="K1435" s="48">
        <v>0.0</v>
      </c>
      <c r="L1435" s="54"/>
      <c r="M1435" s="31"/>
      <c r="N1435" s="66" t="s">
        <v>10375</v>
      </c>
      <c r="O1435" s="66" t="str">
        <f>IFERROR(__xludf.DUMMYFUNCTION("GOOGLETRANSLATE(N1435,""EN"",""ES"")"),"Los acuerdos entre otras petroleras no impactan en la percepción corporativa de Repsol.")</f>
        <v>Los acuerdos entre otras petroleras no impactan en la percepción corporativa de Repsol.</v>
      </c>
      <c r="P1435" s="30">
        <v>0.0</v>
      </c>
      <c r="Q1435" s="31"/>
      <c r="R1435" s="31"/>
      <c r="S1435" s="53" t="s">
        <v>469</v>
      </c>
      <c r="T1435" s="32" t="s">
        <v>470</v>
      </c>
    </row>
    <row r="1436">
      <c r="A1436" s="33" t="s">
        <v>10376</v>
      </c>
      <c r="B1436" s="60" t="s">
        <v>735</v>
      </c>
      <c r="C1436" s="41">
        <v>45389.0</v>
      </c>
      <c r="D1436" s="40" t="s">
        <v>10377</v>
      </c>
      <c r="E1436" s="41" t="s">
        <v>10378</v>
      </c>
      <c r="F1436" s="43" t="s">
        <v>10379</v>
      </c>
      <c r="G1436" s="43" t="s">
        <v>10380</v>
      </c>
      <c r="H1436" s="51" t="s">
        <v>55</v>
      </c>
      <c r="I1436" s="15" t="str">
        <f>IFERROR(__xludf.DUMMYFUNCTION("GOOGLETRANSLATE(H1436,""EN"",""ES"")"),"deportes de motor")</f>
        <v>deportes de motor</v>
      </c>
      <c r="J1436" s="16" t="s">
        <v>27</v>
      </c>
      <c r="K1436" s="17">
        <v>0.0</v>
      </c>
      <c r="L1436" s="45"/>
      <c r="M1436" s="18"/>
      <c r="N1436" s="65"/>
      <c r="O1436" s="65"/>
      <c r="P1436" s="20">
        <v>0.0</v>
      </c>
      <c r="Q1436" s="18"/>
      <c r="R1436" s="18"/>
      <c r="S1436" s="52"/>
      <c r="T1436" s="22"/>
    </row>
    <row r="1437">
      <c r="A1437" s="23" t="s">
        <v>10381</v>
      </c>
      <c r="B1437" s="58" t="s">
        <v>437</v>
      </c>
      <c r="C1437" s="41">
        <v>45389.0</v>
      </c>
      <c r="D1437" s="40" t="s">
        <v>10382</v>
      </c>
      <c r="E1437" s="41" t="s">
        <v>10383</v>
      </c>
      <c r="F1437" s="43" t="s">
        <v>10384</v>
      </c>
      <c r="G1437" s="43" t="s">
        <v>10385</v>
      </c>
      <c r="H1437" s="51" t="s">
        <v>148</v>
      </c>
      <c r="I1437" s="25" t="str">
        <f>IFERROR(__xludf.DUMMYFUNCTION("GOOGLETRANSLATE(H1437,""EN"",""ES"")"),"Gastronomía")</f>
        <v>Gastronomía</v>
      </c>
      <c r="J1437" s="26" t="s">
        <v>27</v>
      </c>
      <c r="K1437" s="17">
        <v>0.0</v>
      </c>
      <c r="L1437" s="54"/>
      <c r="M1437" s="31"/>
      <c r="N1437" s="66"/>
      <c r="O1437" s="66"/>
      <c r="P1437" s="20">
        <v>0.0</v>
      </c>
      <c r="Q1437" s="31"/>
      <c r="R1437" s="31"/>
      <c r="S1437" s="53"/>
      <c r="T1437" s="32"/>
    </row>
    <row r="1438">
      <c r="A1438" s="33" t="s">
        <v>10386</v>
      </c>
      <c r="B1438" s="60" t="s">
        <v>163</v>
      </c>
      <c r="C1438" s="41">
        <v>45389.0</v>
      </c>
      <c r="D1438" s="40" t="s">
        <v>10387</v>
      </c>
      <c r="E1438" s="41" t="s">
        <v>10388</v>
      </c>
      <c r="F1438" s="43" t="s">
        <v>10389</v>
      </c>
      <c r="G1438" s="43" t="s">
        <v>10390</v>
      </c>
      <c r="H1438" s="51" t="s">
        <v>8756</v>
      </c>
      <c r="I1438" s="15" t="str">
        <f>IFERROR(__xludf.DUMMYFUNCTION("GOOGLETRANSLATE(H1438,""EN"",""ES"")"),"Automotor")</f>
        <v>Automotor</v>
      </c>
      <c r="J1438" s="16" t="s">
        <v>27</v>
      </c>
      <c r="K1438" s="17">
        <v>0.0</v>
      </c>
      <c r="L1438" s="45"/>
      <c r="M1438" s="18"/>
      <c r="N1438" s="65"/>
      <c r="O1438" s="65"/>
      <c r="P1438" s="20">
        <v>0.0</v>
      </c>
      <c r="Q1438" s="18"/>
      <c r="R1438" s="18"/>
      <c r="S1438" s="52"/>
      <c r="T1438" s="22"/>
    </row>
    <row r="1439">
      <c r="A1439" s="23" t="s">
        <v>10391</v>
      </c>
      <c r="B1439" s="58" t="s">
        <v>284</v>
      </c>
      <c r="C1439" s="41">
        <v>45389.0</v>
      </c>
      <c r="D1439" s="40" t="s">
        <v>10392</v>
      </c>
      <c r="E1439" s="41" t="s">
        <v>10393</v>
      </c>
      <c r="F1439" s="43" t="s">
        <v>10394</v>
      </c>
      <c r="G1439" s="43" t="s">
        <v>10395</v>
      </c>
      <c r="H1439" s="51" t="s">
        <v>55</v>
      </c>
      <c r="I1439" s="25" t="str">
        <f>IFERROR(__xludf.DUMMYFUNCTION("GOOGLETRANSLATE(H1439,""EN"",""ES"")"),"deportes de motor")</f>
        <v>deportes de motor</v>
      </c>
      <c r="J1439" s="26" t="s">
        <v>35</v>
      </c>
      <c r="K1439" s="48">
        <v>0.6</v>
      </c>
      <c r="L1439" s="49" t="s">
        <v>10396</v>
      </c>
      <c r="M1439" s="28" t="s">
        <v>10397</v>
      </c>
      <c r="N1439" s="66" t="s">
        <v>10398</v>
      </c>
      <c r="O1439" s="66" t="str">
        <f>IFERROR(__xludf.DUMMYFUNCTION("GOOGLETRANSLATE(N1439,""EN"",""ES"")"),"El éxito en el deporte del motor refuerza la asociación de marca de Repsol.")</f>
        <v>El éxito en el deporte del motor refuerza la asociación de marca de Repsol.</v>
      </c>
      <c r="P1439" s="30">
        <v>0.2</v>
      </c>
      <c r="Q1439" s="31" t="str">
        <f>IFERROR(__xludf.DUMMYFUNCTION("GOOGLETRANSLATE(R1439,""ES"",""EN"")"),"Dakar")</f>
        <v>Dakar</v>
      </c>
      <c r="R1439" s="28" t="s">
        <v>10399</v>
      </c>
      <c r="S1439" s="53" t="s">
        <v>10400</v>
      </c>
      <c r="T1439" s="32" t="s">
        <v>10401</v>
      </c>
    </row>
    <row r="1440">
      <c r="A1440" s="33" t="s">
        <v>10402</v>
      </c>
      <c r="B1440" s="60" t="s">
        <v>217</v>
      </c>
      <c r="C1440" s="41">
        <v>45390.0</v>
      </c>
      <c r="D1440" s="40" t="s">
        <v>10403</v>
      </c>
      <c r="E1440" s="41" t="s">
        <v>10404</v>
      </c>
      <c r="F1440" s="43" t="s">
        <v>10405</v>
      </c>
      <c r="G1440" s="43" t="s">
        <v>10406</v>
      </c>
      <c r="H1440" s="51" t="s">
        <v>661</v>
      </c>
      <c r="I1440" s="15" t="str">
        <f>IFERROR(__xludf.DUMMYFUNCTION("GOOGLETRANSLATE(H1440,""EN"",""ES"")"),"Estrategia empresarial")</f>
        <v>Estrategia empresarial</v>
      </c>
      <c r="J1440" s="16" t="s">
        <v>35</v>
      </c>
      <c r="K1440" s="48">
        <v>0.6</v>
      </c>
      <c r="L1440" s="51" t="s">
        <v>10407</v>
      </c>
      <c r="M1440" s="34" t="s">
        <v>10408</v>
      </c>
      <c r="N1440" s="65" t="s">
        <v>10409</v>
      </c>
      <c r="O1440" s="65" t="str">
        <f>IFERROR(__xludf.DUMMYFUNCTION("GOOGLETRANSLATE(N1440,""EN"",""ES"")"),"La expansión al sector eléctrico mejora el posicionamiento competitivo de Repsol.")</f>
        <v>La expansión al sector eléctrico mejora el posicionamiento competitivo de Repsol.</v>
      </c>
      <c r="P1440" s="30">
        <v>0.4</v>
      </c>
      <c r="Q1440" s="18" t="str">
        <f>IFERROR(__xludf.DUMMYFUNCTION("GOOGLETRANSLATE(R1440,""ES"",""EN"")"),"win clients")</f>
        <v>win clients</v>
      </c>
      <c r="R1440" s="34" t="s">
        <v>10410</v>
      </c>
      <c r="S1440" s="52" t="s">
        <v>10411</v>
      </c>
      <c r="T1440" s="22" t="s">
        <v>10412</v>
      </c>
    </row>
    <row r="1441">
      <c r="A1441" s="23" t="s">
        <v>10413</v>
      </c>
      <c r="B1441" s="58" t="s">
        <v>881</v>
      </c>
      <c r="C1441" s="41">
        <v>45390.0</v>
      </c>
      <c r="D1441" s="40" t="s">
        <v>10414</v>
      </c>
      <c r="E1441" s="41" t="s">
        <v>10415</v>
      </c>
      <c r="F1441" s="43" t="s">
        <v>10416</v>
      </c>
      <c r="G1441" s="43" t="s">
        <v>10417</v>
      </c>
      <c r="H1441" s="51" t="s">
        <v>661</v>
      </c>
      <c r="I1441" s="25" t="str">
        <f>IFERROR(__xludf.DUMMYFUNCTION("GOOGLETRANSLATE(H1441,""EN"",""ES"")"),"Estrategia empresarial")</f>
        <v>Estrategia empresarial</v>
      </c>
      <c r="J1441" s="26" t="s">
        <v>35</v>
      </c>
      <c r="K1441" s="48">
        <v>0.6</v>
      </c>
      <c r="L1441" s="49" t="s">
        <v>10418</v>
      </c>
      <c r="M1441" s="28" t="s">
        <v>10419</v>
      </c>
      <c r="N1441" s="66" t="s">
        <v>10420</v>
      </c>
      <c r="O1441" s="66" t="str">
        <f>IFERROR(__xludf.DUMMYFUNCTION("GOOGLETRANSLATE(N1441,""EN"",""ES"")"),"La expansión de las operaciones industriales refuerza el crecimiento a largo plazo de Repsol.")</f>
        <v>La expansión de las operaciones industriales refuerza el crecimiento a largo plazo de Repsol.</v>
      </c>
      <c r="P1441" s="30">
        <v>0.3</v>
      </c>
      <c r="Q1441" s="31" t="str">
        <f>IFERROR(__xludf.DUMMYFUNCTION("GOOGLETRANSLATE(R1441,""ES"",""EN"")"),"new plant")</f>
        <v>new plant</v>
      </c>
      <c r="R1441" s="28" t="s">
        <v>10421</v>
      </c>
      <c r="S1441" s="53" t="s">
        <v>10422</v>
      </c>
      <c r="T1441" s="32" t="s">
        <v>10423</v>
      </c>
    </row>
    <row r="1442">
      <c r="A1442" s="33" t="s">
        <v>10424</v>
      </c>
      <c r="B1442" s="60" t="s">
        <v>3511</v>
      </c>
      <c r="C1442" s="41">
        <v>45390.0</v>
      </c>
      <c r="D1442" s="40" t="s">
        <v>10425</v>
      </c>
      <c r="E1442" s="41" t="s">
        <v>10426</v>
      </c>
      <c r="F1442" s="43" t="s">
        <v>10427</v>
      </c>
      <c r="G1442" s="43" t="s">
        <v>10428</v>
      </c>
      <c r="H1442" s="51" t="s">
        <v>408</v>
      </c>
      <c r="I1442" s="15" t="str">
        <f>IFERROR(__xludf.DUMMYFUNCTION("GOOGLETRANSLATE(H1442,""EN"",""ES"")"),"Legal")</f>
        <v>Legal</v>
      </c>
      <c r="J1442" s="16" t="s">
        <v>35</v>
      </c>
      <c r="K1442" s="48">
        <v>-0.6</v>
      </c>
      <c r="L1442" s="51" t="s">
        <v>10429</v>
      </c>
      <c r="M1442" s="34" t="s">
        <v>10430</v>
      </c>
      <c r="N1442" s="65" t="s">
        <v>10431</v>
      </c>
      <c r="O1442" s="65" t="str">
        <f>IFERROR(__xludf.DUMMYFUNCTION("GOOGLETRANSLATE(N1442,""EN"",""ES"")"),"La oposición a un proyecto de urbanización podría crear un sentimiento público negativo.")</f>
        <v>La oposición a un proyecto de urbanización podría crear un sentimiento público negativo.</v>
      </c>
      <c r="P1442" s="30">
        <v>-0.4</v>
      </c>
      <c r="Q1442" s="18" t="str">
        <f>IFERROR(__xludf.DUMMYFUNCTION("GOOGLETRANSLATE(R1442,""ES"",""EN"")"),"resort, urbanization")</f>
        <v>resort, urbanization</v>
      </c>
      <c r="R1442" s="34" t="s">
        <v>10432</v>
      </c>
      <c r="S1442" s="52" t="s">
        <v>10433</v>
      </c>
      <c r="T1442" s="22" t="s">
        <v>10434</v>
      </c>
    </row>
    <row r="1443">
      <c r="A1443" s="23" t="s">
        <v>10435</v>
      </c>
      <c r="B1443" s="58" t="s">
        <v>9569</v>
      </c>
      <c r="C1443" s="41">
        <v>45390.0</v>
      </c>
      <c r="D1443" s="40" t="s">
        <v>10436</v>
      </c>
      <c r="E1443" s="41" t="s">
        <v>10437</v>
      </c>
      <c r="F1443" s="43" t="s">
        <v>10438</v>
      </c>
      <c r="G1443" s="43" t="s">
        <v>10439</v>
      </c>
      <c r="H1443" s="51" t="s">
        <v>130</v>
      </c>
      <c r="I1443" s="25" t="str">
        <f>IFERROR(__xludf.DUMMYFUNCTION("GOOGLETRANSLATE(H1443,""EN"",""ES"")"),"Sostenibilidad")</f>
        <v>Sostenibilidad</v>
      </c>
      <c r="J1443" s="26" t="s">
        <v>35</v>
      </c>
      <c r="K1443" s="48">
        <v>0.5</v>
      </c>
      <c r="L1443" s="49" t="s">
        <v>10440</v>
      </c>
      <c r="M1443" s="28" t="s">
        <v>10441</v>
      </c>
      <c r="N1443" s="66" t="s">
        <v>10442</v>
      </c>
      <c r="O1443" s="66" t="str">
        <f>IFERROR(__xludf.DUMMYFUNCTION("GOOGLETRANSLATE(N1443,""EN"",""ES"")"),"Una mayor competencia en el hidrógeno podría desafiar la posición de mercado de Repsol.")</f>
        <v>Una mayor competencia en el hidrógeno podría desafiar la posición de mercado de Repsol.</v>
      </c>
      <c r="P1443" s="30">
        <v>0.0</v>
      </c>
      <c r="Q1443" s="31"/>
      <c r="R1443" s="31"/>
      <c r="S1443" s="53" t="s">
        <v>10443</v>
      </c>
      <c r="T1443" s="32" t="s">
        <v>10444</v>
      </c>
    </row>
    <row r="1444">
      <c r="A1444" s="33" t="s">
        <v>10445</v>
      </c>
      <c r="B1444" s="60" t="s">
        <v>217</v>
      </c>
      <c r="C1444" s="41">
        <v>45390.0</v>
      </c>
      <c r="D1444" s="40" t="s">
        <v>10446</v>
      </c>
      <c r="E1444" s="41" t="s">
        <v>10447</v>
      </c>
      <c r="F1444" s="43" t="s">
        <v>10448</v>
      </c>
      <c r="G1444" s="43" t="s">
        <v>10449</v>
      </c>
      <c r="H1444" s="51" t="s">
        <v>62</v>
      </c>
      <c r="I1444" s="15" t="str">
        <f>IFERROR(__xludf.DUMMYFUNCTION("GOOGLETRANSLATE(H1444,""EN"",""ES"")"),"Energía")</f>
        <v>Energía</v>
      </c>
      <c r="J1444" s="16" t="s">
        <v>35</v>
      </c>
      <c r="K1444" s="48">
        <v>0.0</v>
      </c>
      <c r="L1444" s="45"/>
      <c r="M1444" s="18"/>
      <c r="N1444" s="65" t="s">
        <v>10450</v>
      </c>
      <c r="O1444" s="65" t="str">
        <f>IFERROR(__xludf.DUMMYFUNCTION("GOOGLETRANSLATE(N1444,""EN"",""ES"")"),"La inversión generalizada en el sector energético no impacta en la percepción corporativa de Repsol.")</f>
        <v>La inversión generalizada en el sector energético no impacta en la percepción corporativa de Repsol.</v>
      </c>
      <c r="P1444" s="30">
        <v>0.6</v>
      </c>
      <c r="Q1444" s="18" t="str">
        <f>IFERROR(__xludf.DUMMYFUNCTION("GOOGLETRANSLATE(R1444,""ES"",""EN"")"),"triumph, millions")</f>
        <v>triumph, millions</v>
      </c>
      <c r="R1444" s="34" t="s">
        <v>10451</v>
      </c>
      <c r="S1444" s="52" t="s">
        <v>10452</v>
      </c>
      <c r="T1444" s="22" t="s">
        <v>10453</v>
      </c>
    </row>
    <row r="1445">
      <c r="A1445" s="23" t="s">
        <v>10454</v>
      </c>
      <c r="B1445" s="58" t="s">
        <v>163</v>
      </c>
      <c r="C1445" s="41">
        <v>45390.0</v>
      </c>
      <c r="D1445" s="40" t="s">
        <v>10455</v>
      </c>
      <c r="E1445" s="41" t="s">
        <v>10456</v>
      </c>
      <c r="F1445" s="43" t="s">
        <v>10457</v>
      </c>
      <c r="G1445" s="43" t="s">
        <v>10458</v>
      </c>
      <c r="H1445" s="51" t="s">
        <v>55</v>
      </c>
      <c r="I1445" s="25" t="str">
        <f>IFERROR(__xludf.DUMMYFUNCTION("GOOGLETRANSLATE(H1445,""EN"",""ES"")"),"deportes de motor")</f>
        <v>deportes de motor</v>
      </c>
      <c r="J1445" s="26" t="s">
        <v>27</v>
      </c>
      <c r="K1445" s="17">
        <v>0.0</v>
      </c>
      <c r="L1445" s="54"/>
      <c r="M1445" s="31"/>
      <c r="N1445" s="66"/>
      <c r="O1445" s="66"/>
      <c r="P1445" s="20">
        <v>0.0</v>
      </c>
      <c r="Q1445" s="31"/>
      <c r="R1445" s="31"/>
      <c r="S1445" s="53"/>
      <c r="T1445" s="32"/>
    </row>
    <row r="1446">
      <c r="A1446" s="33" t="s">
        <v>10459</v>
      </c>
      <c r="B1446" s="60" t="s">
        <v>674</v>
      </c>
      <c r="C1446" s="41">
        <v>45390.0</v>
      </c>
      <c r="D1446" s="40" t="s">
        <v>10460</v>
      </c>
      <c r="E1446" s="41" t="s">
        <v>10461</v>
      </c>
      <c r="F1446" s="43" t="s">
        <v>10462</v>
      </c>
      <c r="G1446" s="43" t="s">
        <v>10463</v>
      </c>
      <c r="H1446" s="51" t="s">
        <v>8756</v>
      </c>
      <c r="I1446" s="15" t="str">
        <f>IFERROR(__xludf.DUMMYFUNCTION("GOOGLETRANSLATE(H1446,""EN"",""ES"")"),"Automotor")</f>
        <v>Automotor</v>
      </c>
      <c r="J1446" s="16" t="s">
        <v>27</v>
      </c>
      <c r="K1446" s="17">
        <v>0.0</v>
      </c>
      <c r="L1446" s="45"/>
      <c r="M1446" s="18"/>
      <c r="N1446" s="65"/>
      <c r="O1446" s="65"/>
      <c r="P1446" s="20">
        <v>0.0</v>
      </c>
      <c r="Q1446" s="18"/>
      <c r="R1446" s="18"/>
      <c r="S1446" s="52"/>
      <c r="T1446" s="22"/>
    </row>
    <row r="1447">
      <c r="A1447" s="23" t="s">
        <v>10464</v>
      </c>
      <c r="B1447" s="58" t="s">
        <v>103</v>
      </c>
      <c r="C1447" s="41">
        <v>45390.0</v>
      </c>
      <c r="D1447" s="40" t="s">
        <v>10465</v>
      </c>
      <c r="E1447" s="41" t="s">
        <v>10466</v>
      </c>
      <c r="F1447" s="43" t="s">
        <v>10467</v>
      </c>
      <c r="G1447" s="43" t="s">
        <v>10468</v>
      </c>
      <c r="H1447" s="51" t="s">
        <v>48</v>
      </c>
      <c r="I1447" s="25" t="str">
        <f>IFERROR(__xludf.DUMMYFUNCTION("GOOGLETRANSLATE(H1447,""EN"",""ES"")"),"Finanzas")</f>
        <v>Finanzas</v>
      </c>
      <c r="J1447" s="26" t="s">
        <v>27</v>
      </c>
      <c r="K1447" s="17">
        <v>0.0</v>
      </c>
      <c r="L1447" s="54"/>
      <c r="M1447" s="31"/>
      <c r="N1447" s="66"/>
      <c r="O1447" s="66"/>
      <c r="P1447" s="20">
        <v>0.0</v>
      </c>
      <c r="Q1447" s="31"/>
      <c r="R1447" s="31"/>
      <c r="S1447" s="53"/>
      <c r="T1447" s="32"/>
    </row>
    <row r="1448">
      <c r="A1448" s="33" t="s">
        <v>10469</v>
      </c>
      <c r="B1448" s="60" t="s">
        <v>1072</v>
      </c>
      <c r="C1448" s="41">
        <v>45390.0</v>
      </c>
      <c r="D1448" s="40" t="s">
        <v>10470</v>
      </c>
      <c r="E1448" s="41" t="s">
        <v>10471</v>
      </c>
      <c r="F1448" s="43" t="s">
        <v>10472</v>
      </c>
      <c r="G1448" s="43" t="s">
        <v>10473</v>
      </c>
      <c r="H1448" s="51" t="s">
        <v>48</v>
      </c>
      <c r="I1448" s="15" t="str">
        <f>IFERROR(__xludf.DUMMYFUNCTION("GOOGLETRANSLATE(H1448,""EN"",""ES"")"),"Finanzas")</f>
        <v>Finanzas</v>
      </c>
      <c r="J1448" s="16" t="s">
        <v>27</v>
      </c>
      <c r="K1448" s="17">
        <v>0.0</v>
      </c>
      <c r="L1448" s="45"/>
      <c r="M1448" s="18"/>
      <c r="N1448" s="65"/>
      <c r="O1448" s="65"/>
      <c r="P1448" s="20">
        <v>0.0</v>
      </c>
      <c r="Q1448" s="18"/>
      <c r="R1448" s="18"/>
      <c r="S1448" s="52"/>
      <c r="T1448" s="22"/>
    </row>
    <row r="1449">
      <c r="A1449" s="23" t="s">
        <v>10474</v>
      </c>
      <c r="B1449" s="58" t="s">
        <v>339</v>
      </c>
      <c r="C1449" s="41">
        <v>45390.0</v>
      </c>
      <c r="D1449" s="40" t="s">
        <v>10475</v>
      </c>
      <c r="E1449" s="41" t="s">
        <v>10476</v>
      </c>
      <c r="F1449" s="43" t="s">
        <v>10477</v>
      </c>
      <c r="G1449" s="43" t="s">
        <v>10478</v>
      </c>
      <c r="H1449" s="51" t="s">
        <v>130</v>
      </c>
      <c r="I1449" s="25" t="str">
        <f>IFERROR(__xludf.DUMMYFUNCTION("GOOGLETRANSLATE(H1449,""EN"",""ES"")"),"Sostenibilidad")</f>
        <v>Sostenibilidad</v>
      </c>
      <c r="J1449" s="26" t="s">
        <v>35</v>
      </c>
      <c r="K1449" s="48">
        <v>0.0</v>
      </c>
      <c r="L1449" s="54"/>
      <c r="M1449" s="31"/>
      <c r="N1449" s="66" t="s">
        <v>10479</v>
      </c>
      <c r="O1449" s="66" t="str">
        <f>IFERROR(__xludf.DUMMYFUNCTION("GOOGLETRANSLATE(N1449,""EN"",""ES"")"),"Las metodologías generales de sostenibilidad no impactan en la percepción corporativa de Repsol.")</f>
        <v>Las metodologías generales de sostenibilidad no impactan en la percepción corporativa de Repsol.</v>
      </c>
      <c r="P1449" s="30">
        <v>0.0</v>
      </c>
      <c r="Q1449" s="31"/>
      <c r="R1449" s="31"/>
      <c r="S1449" s="53" t="s">
        <v>469</v>
      </c>
      <c r="T1449" s="32" t="s">
        <v>470</v>
      </c>
    </row>
    <row r="1450">
      <c r="A1450" s="33" t="s">
        <v>10480</v>
      </c>
      <c r="B1450" s="60" t="s">
        <v>1072</v>
      </c>
      <c r="C1450" s="41">
        <v>45391.0</v>
      </c>
      <c r="D1450" s="40" t="s">
        <v>10481</v>
      </c>
      <c r="E1450" s="41" t="s">
        <v>10482</v>
      </c>
      <c r="F1450" s="43" t="s">
        <v>10483</v>
      </c>
      <c r="G1450" s="43" t="s">
        <v>10484</v>
      </c>
      <c r="H1450" s="51" t="s">
        <v>48</v>
      </c>
      <c r="I1450" s="15" t="str">
        <f>IFERROR(__xludf.DUMMYFUNCTION("GOOGLETRANSLATE(H1450,""EN"",""ES"")"),"Finanzas")</f>
        <v>Finanzas</v>
      </c>
      <c r="J1450" s="16" t="s">
        <v>35</v>
      </c>
      <c r="K1450" s="48">
        <v>0.7</v>
      </c>
      <c r="L1450" s="51" t="s">
        <v>10485</v>
      </c>
      <c r="M1450" s="34" t="s">
        <v>10486</v>
      </c>
      <c r="N1450" s="65" t="s">
        <v>10487</v>
      </c>
      <c r="O1450" s="65" t="str">
        <f>IFERROR(__xludf.DUMMYFUNCTION("GOOGLETRANSLATE(N1450,""EN"",""ES"")"),"La buena evolución del mercado refuerza la confianza de los inversores en Repsol.")</f>
        <v>La buena evolución del mercado refuerza la confianza de los inversores en Repsol.</v>
      </c>
      <c r="P1450" s="30">
        <v>0.7</v>
      </c>
      <c r="Q1450" s="18" t="str">
        <f>IFERROR(__xludf.DUMMYFUNCTION("GOOGLETRANSLATE(R1450,""ES"",""EN"")"),"highs, beat")</f>
        <v>highs, beat</v>
      </c>
      <c r="R1450" s="34" t="s">
        <v>10488</v>
      </c>
      <c r="S1450" s="52" t="s">
        <v>10489</v>
      </c>
      <c r="T1450" s="22" t="s">
        <v>10490</v>
      </c>
    </row>
    <row r="1451">
      <c r="A1451" s="23" t="s">
        <v>10491</v>
      </c>
      <c r="B1451" s="58" t="s">
        <v>10492</v>
      </c>
      <c r="C1451" s="41">
        <v>45391.0</v>
      </c>
      <c r="D1451" s="40" t="s">
        <v>10493</v>
      </c>
      <c r="E1451" s="41" t="s">
        <v>10494</v>
      </c>
      <c r="F1451" s="43" t="s">
        <v>10495</v>
      </c>
      <c r="G1451" s="43" t="s">
        <v>10496</v>
      </c>
      <c r="H1451" s="51" t="s">
        <v>661</v>
      </c>
      <c r="I1451" s="25" t="str">
        <f>IFERROR(__xludf.DUMMYFUNCTION("GOOGLETRANSLATE(H1451,""EN"",""ES"")"),"Estrategia empresarial")</f>
        <v>Estrategia empresarial</v>
      </c>
      <c r="J1451" s="26" t="s">
        <v>35</v>
      </c>
      <c r="K1451" s="48">
        <v>0.7</v>
      </c>
      <c r="L1451" s="49" t="s">
        <v>10497</v>
      </c>
      <c r="M1451" s="28" t="s">
        <v>10498</v>
      </c>
      <c r="N1451" s="66" t="s">
        <v>10499</v>
      </c>
      <c r="O1451" s="66" t="str">
        <f>IFERROR(__xludf.DUMMYFUNCTION("GOOGLETRANSLATE(N1451,""EN"",""ES"")"),"La presentación de planes a largo plazo fortalece la confianza de los inversores y las perspectivas empresariales.")</f>
        <v>La presentación de planes a largo plazo fortalece la confianza de los inversores y las perspectivas empresariales.</v>
      </c>
      <c r="P1451" s="30">
        <v>0.3</v>
      </c>
      <c r="Q1451" s="31" t="str">
        <f>IFERROR(__xludf.DUMMYFUNCTION("GOOGLETRANSLATE(R1451,""ES"",""EN"")"),"Strategic Plan")</f>
        <v>Strategic Plan</v>
      </c>
      <c r="R1451" s="28" t="s">
        <v>10500</v>
      </c>
      <c r="S1451" s="53" t="s">
        <v>10501</v>
      </c>
      <c r="T1451" s="32" t="s">
        <v>10502</v>
      </c>
    </row>
    <row r="1452">
      <c r="A1452" s="33" t="s">
        <v>10503</v>
      </c>
      <c r="B1452" s="60" t="s">
        <v>9404</v>
      </c>
      <c r="C1452" s="41">
        <v>45391.0</v>
      </c>
      <c r="D1452" s="40" t="s">
        <v>10504</v>
      </c>
      <c r="E1452" s="41" t="s">
        <v>10505</v>
      </c>
      <c r="F1452" s="43" t="s">
        <v>10506</v>
      </c>
      <c r="G1452" s="43" t="s">
        <v>10507</v>
      </c>
      <c r="H1452" s="51" t="s">
        <v>130</v>
      </c>
      <c r="I1452" s="15" t="str">
        <f>IFERROR(__xludf.DUMMYFUNCTION("GOOGLETRANSLATE(H1452,""EN"",""ES"")"),"Sostenibilidad")</f>
        <v>Sostenibilidad</v>
      </c>
      <c r="J1452" s="16" t="s">
        <v>35</v>
      </c>
      <c r="K1452" s="48">
        <v>0.8</v>
      </c>
      <c r="L1452" s="51" t="s">
        <v>10508</v>
      </c>
      <c r="M1452" s="34" t="s">
        <v>10509</v>
      </c>
      <c r="N1452" s="65" t="s">
        <v>10510</v>
      </c>
      <c r="O1452" s="65" t="str">
        <f>IFERROR(__xludf.DUMMYFUNCTION("GOOGLETRANSLATE(N1452,""EN"",""ES"")"),"El avance en la producción de combustibles sintéticos respalda los compromisos ambientales de Repsol.")</f>
        <v>El avance en la producción de combustibles sintéticos respalda los compromisos ambientales de Repsol.</v>
      </c>
      <c r="P1452" s="30">
        <v>0.6</v>
      </c>
      <c r="Q1452" s="18" t="str">
        <f>IFERROR(__xludf.DUMMYFUNCTION("GOOGLETRANSLATE(R1452,""ES"",""EN"")"),"green light, e-fuels")</f>
        <v>green light, e-fuels</v>
      </c>
      <c r="R1452" s="34" t="s">
        <v>10511</v>
      </c>
      <c r="S1452" s="52" t="s">
        <v>10512</v>
      </c>
      <c r="T1452" s="22" t="s">
        <v>10513</v>
      </c>
    </row>
    <row r="1453">
      <c r="A1453" s="23" t="s">
        <v>10514</v>
      </c>
      <c r="B1453" s="58" t="s">
        <v>21</v>
      </c>
      <c r="C1453" s="41">
        <v>45391.0</v>
      </c>
      <c r="D1453" s="40" t="s">
        <v>10515</v>
      </c>
      <c r="E1453" s="41" t="s">
        <v>10516</v>
      </c>
      <c r="F1453" s="43" t="s">
        <v>10517</v>
      </c>
      <c r="G1453" s="43" t="s">
        <v>10518</v>
      </c>
      <c r="H1453" s="51" t="s">
        <v>148</v>
      </c>
      <c r="I1453" s="25" t="str">
        <f>IFERROR(__xludf.DUMMYFUNCTION("GOOGLETRANSLATE(H1453,""EN"",""ES"")"),"Gastronomía")</f>
        <v>Gastronomía</v>
      </c>
      <c r="J1453" s="26" t="s">
        <v>27</v>
      </c>
      <c r="K1453" s="17">
        <v>0.0</v>
      </c>
      <c r="L1453" s="54"/>
      <c r="M1453" s="31"/>
      <c r="N1453" s="66"/>
      <c r="O1453" s="66"/>
      <c r="P1453" s="20">
        <v>0.0</v>
      </c>
      <c r="Q1453" s="31"/>
      <c r="R1453" s="31"/>
      <c r="S1453" s="53"/>
      <c r="T1453" s="32"/>
    </row>
    <row r="1454">
      <c r="A1454" s="33" t="s">
        <v>10519</v>
      </c>
      <c r="B1454" s="60" t="s">
        <v>614</v>
      </c>
      <c r="C1454" s="41">
        <v>45391.0</v>
      </c>
      <c r="D1454" s="40" t="s">
        <v>10520</v>
      </c>
      <c r="E1454" s="41" t="s">
        <v>10521</v>
      </c>
      <c r="F1454" s="43" t="s">
        <v>10522</v>
      </c>
      <c r="G1454" s="43" t="s">
        <v>10523</v>
      </c>
      <c r="H1454" s="51" t="s">
        <v>55</v>
      </c>
      <c r="I1454" s="15" t="str">
        <f>IFERROR(__xludf.DUMMYFUNCTION("GOOGLETRANSLATE(H1454,""EN"",""ES"")"),"deportes de motor")</f>
        <v>deportes de motor</v>
      </c>
      <c r="J1454" s="16" t="s">
        <v>35</v>
      </c>
      <c r="K1454" s="48">
        <v>0.6</v>
      </c>
      <c r="L1454" s="51" t="s">
        <v>9933</v>
      </c>
      <c r="M1454" s="34" t="s">
        <v>9934</v>
      </c>
      <c r="N1454" s="65" t="s">
        <v>10524</v>
      </c>
      <c r="O1454" s="65" t="str">
        <f>IFERROR(__xludf.DUMMYFUNCTION("GOOGLETRANSLATE(N1454,""EN"",""ES"")"),"La participación en eventos deportivos de alto perfil refuerza la marca Repsol.")</f>
        <v>La participación en eventos deportivos de alto perfil refuerza la marca Repsol.</v>
      </c>
      <c r="P1454" s="30">
        <v>0.0</v>
      </c>
      <c r="Q1454" s="18"/>
      <c r="R1454" s="18"/>
      <c r="S1454" s="52" t="s">
        <v>10525</v>
      </c>
      <c r="T1454" s="22" t="s">
        <v>10526</v>
      </c>
    </row>
    <row r="1455">
      <c r="A1455" s="23" t="s">
        <v>10527</v>
      </c>
      <c r="B1455" s="58" t="s">
        <v>10528</v>
      </c>
      <c r="C1455" s="41">
        <v>45391.0</v>
      </c>
      <c r="D1455" s="40" t="s">
        <v>10529</v>
      </c>
      <c r="E1455" s="41" t="s">
        <v>10530</v>
      </c>
      <c r="F1455" s="43" t="s">
        <v>10531</v>
      </c>
      <c r="G1455" s="43" t="s">
        <v>10532</v>
      </c>
      <c r="H1455" s="51" t="s">
        <v>130</v>
      </c>
      <c r="I1455" s="25" t="str">
        <f>IFERROR(__xludf.DUMMYFUNCTION("GOOGLETRANSLATE(H1455,""EN"",""ES"")"),"Sostenibilidad")</f>
        <v>Sostenibilidad</v>
      </c>
      <c r="J1455" s="26" t="s">
        <v>35</v>
      </c>
      <c r="K1455" s="48">
        <v>0.0</v>
      </c>
      <c r="L1455" s="54"/>
      <c r="M1455" s="31"/>
      <c r="N1455" s="66" t="s">
        <v>10533</v>
      </c>
      <c r="O1455" s="66" t="str">
        <f>IFERROR(__xludf.DUMMYFUNCTION("GOOGLETRANSLATE(N1455,""EN"",""ES"")"),"Las actualizaciones regulatorias en materia de sostenibilidad no impactan directamente en la percepción de Repsol.")</f>
        <v>Las actualizaciones regulatorias en materia de sostenibilidad no impactan directamente en la percepción de Repsol.</v>
      </c>
      <c r="P1455" s="30">
        <v>0.0</v>
      </c>
      <c r="Q1455" s="31"/>
      <c r="R1455" s="31"/>
      <c r="S1455" s="53" t="s">
        <v>10534</v>
      </c>
      <c r="T1455" s="32" t="s">
        <v>10535</v>
      </c>
    </row>
    <row r="1456">
      <c r="A1456" s="33" t="s">
        <v>10536</v>
      </c>
      <c r="B1456" s="60" t="s">
        <v>74</v>
      </c>
      <c r="C1456" s="41">
        <v>45391.0</v>
      </c>
      <c r="D1456" s="40" t="s">
        <v>10537</v>
      </c>
      <c r="E1456" s="41" t="s">
        <v>10538</v>
      </c>
      <c r="F1456" s="43" t="s">
        <v>10539</v>
      </c>
      <c r="G1456" s="43" t="s">
        <v>10540</v>
      </c>
      <c r="H1456" s="51" t="s">
        <v>55</v>
      </c>
      <c r="I1456" s="15" t="str">
        <f>IFERROR(__xludf.DUMMYFUNCTION("GOOGLETRANSLATE(H1456,""EN"",""ES"")"),"deportes de motor")</f>
        <v>deportes de motor</v>
      </c>
      <c r="J1456" s="16" t="s">
        <v>35</v>
      </c>
      <c r="K1456" s="48">
        <v>0.6</v>
      </c>
      <c r="L1456" s="51" t="s">
        <v>10396</v>
      </c>
      <c r="M1456" s="34" t="s">
        <v>10397</v>
      </c>
      <c r="N1456" s="65" t="s">
        <v>10541</v>
      </c>
      <c r="O1456" s="65" t="str">
        <f>IFERROR(__xludf.DUMMYFUNCTION("GOOGLETRANSLATE(N1456,""EN"",""ES"")"),"La continuidad de la presencia en el deporte del motor fortalece la marca Repsol.")</f>
        <v>La continuidad de la presencia en el deporte del motor fortalece la marca Repsol.</v>
      </c>
      <c r="P1456" s="30">
        <v>0.4</v>
      </c>
      <c r="Q1456" s="18" t="str">
        <f>IFERROR(__xludf.DUMMYFUNCTION("GOOGLETRANSLATE(R1456,""ES"",""EN"")"),"renewable fuel")</f>
        <v>renewable fuel</v>
      </c>
      <c r="R1456" s="34" t="s">
        <v>10542</v>
      </c>
      <c r="S1456" s="52" t="s">
        <v>10543</v>
      </c>
      <c r="T1456" s="22" t="s">
        <v>10544</v>
      </c>
    </row>
    <row r="1457">
      <c r="A1457" s="23" t="s">
        <v>10545</v>
      </c>
      <c r="B1457" s="58" t="s">
        <v>3543</v>
      </c>
      <c r="C1457" s="41">
        <v>45391.0</v>
      </c>
      <c r="D1457" s="40" t="s">
        <v>10546</v>
      </c>
      <c r="E1457" s="41" t="s">
        <v>10547</v>
      </c>
      <c r="F1457" s="43" t="s">
        <v>10548</v>
      </c>
      <c r="G1457" s="43" t="s">
        <v>10549</v>
      </c>
      <c r="H1457" s="51" t="s">
        <v>148</v>
      </c>
      <c r="I1457" s="25" t="str">
        <f>IFERROR(__xludf.DUMMYFUNCTION("GOOGLETRANSLATE(H1457,""EN"",""ES"")"),"Gastronomía")</f>
        <v>Gastronomía</v>
      </c>
      <c r="J1457" s="26" t="s">
        <v>27</v>
      </c>
      <c r="K1457" s="17">
        <v>0.0</v>
      </c>
      <c r="L1457" s="54"/>
      <c r="M1457" s="31"/>
      <c r="N1457" s="66"/>
      <c r="O1457" s="66"/>
      <c r="P1457" s="20">
        <v>0.0</v>
      </c>
      <c r="Q1457" s="31"/>
      <c r="R1457" s="31"/>
      <c r="S1457" s="53"/>
      <c r="T1457" s="32"/>
    </row>
    <row r="1458">
      <c r="A1458" s="33" t="s">
        <v>10550</v>
      </c>
      <c r="B1458" s="60" t="s">
        <v>4038</v>
      </c>
      <c r="C1458" s="41">
        <v>45391.0</v>
      </c>
      <c r="D1458" s="40" t="s">
        <v>10551</v>
      </c>
      <c r="E1458" s="41" t="s">
        <v>10552</v>
      </c>
      <c r="F1458" s="43" t="s">
        <v>10553</v>
      </c>
      <c r="G1458" s="43" t="s">
        <v>10554</v>
      </c>
      <c r="H1458" s="51" t="s">
        <v>148</v>
      </c>
      <c r="I1458" s="15" t="str">
        <f>IFERROR(__xludf.DUMMYFUNCTION("GOOGLETRANSLATE(H1458,""EN"",""ES"")"),"Gastronomía")</f>
        <v>Gastronomía</v>
      </c>
      <c r="J1458" s="16" t="s">
        <v>27</v>
      </c>
      <c r="K1458" s="17">
        <v>0.0</v>
      </c>
      <c r="L1458" s="45"/>
      <c r="M1458" s="18"/>
      <c r="N1458" s="65"/>
      <c r="O1458" s="65"/>
      <c r="P1458" s="20">
        <v>0.0</v>
      </c>
      <c r="Q1458" s="18"/>
      <c r="R1458" s="18"/>
      <c r="S1458" s="52"/>
      <c r="T1458" s="22"/>
    </row>
    <row r="1459">
      <c r="A1459" s="23" t="s">
        <v>10555</v>
      </c>
      <c r="B1459" s="58" t="s">
        <v>2150</v>
      </c>
      <c r="C1459" s="41">
        <v>45391.0</v>
      </c>
      <c r="D1459" s="40" t="s">
        <v>10556</v>
      </c>
      <c r="E1459" s="41" t="s">
        <v>10557</v>
      </c>
      <c r="F1459" s="43" t="s">
        <v>10558</v>
      </c>
      <c r="G1459" s="43" t="s">
        <v>10559</v>
      </c>
      <c r="H1459" s="51" t="s">
        <v>8756</v>
      </c>
      <c r="I1459" s="25" t="str">
        <f>IFERROR(__xludf.DUMMYFUNCTION("GOOGLETRANSLATE(H1459,""EN"",""ES"")"),"Automotor")</f>
        <v>Automotor</v>
      </c>
      <c r="J1459" s="26" t="s">
        <v>27</v>
      </c>
      <c r="K1459" s="17">
        <v>0.0</v>
      </c>
      <c r="L1459" s="54"/>
      <c r="M1459" s="31"/>
      <c r="N1459" s="66"/>
      <c r="O1459" s="66"/>
      <c r="P1459" s="20">
        <v>0.0</v>
      </c>
      <c r="Q1459" s="31"/>
      <c r="R1459" s="31"/>
      <c r="S1459" s="53"/>
      <c r="T1459" s="32"/>
    </row>
    <row r="1460">
      <c r="A1460" s="33" t="s">
        <v>10560</v>
      </c>
      <c r="B1460" s="60" t="s">
        <v>217</v>
      </c>
      <c r="C1460" s="41">
        <v>45392.0</v>
      </c>
      <c r="D1460" s="40" t="s">
        <v>10561</v>
      </c>
      <c r="E1460" s="41" t="s">
        <v>10562</v>
      </c>
      <c r="F1460" s="43" t="s">
        <v>10563</v>
      </c>
      <c r="G1460" s="43" t="s">
        <v>10564</v>
      </c>
      <c r="H1460" s="51" t="s">
        <v>130</v>
      </c>
      <c r="I1460" s="15" t="str">
        <f>IFERROR(__xludf.DUMMYFUNCTION("GOOGLETRANSLATE(H1460,""EN"",""ES"")"),"Sostenibilidad")</f>
        <v>Sostenibilidad</v>
      </c>
      <c r="J1460" s="16" t="s">
        <v>35</v>
      </c>
      <c r="K1460" s="48">
        <v>0.7</v>
      </c>
      <c r="L1460" s="51" t="s">
        <v>10565</v>
      </c>
      <c r="M1460" s="34" t="s">
        <v>10566</v>
      </c>
      <c r="N1460" s="65" t="s">
        <v>10567</v>
      </c>
      <c r="O1460" s="65" t="str">
        <f>IFERROR(__xludf.DUMMYFUNCTION("GOOGLETRANSLATE(N1460,""EN"",""ES"")"),"La inversión en biometano se alinea con la estrategia de energías renovables de Repsol.")</f>
        <v>La inversión en biometano se alinea con la estrategia de energías renovables de Repsol.</v>
      </c>
      <c r="P1460" s="30">
        <v>0.5</v>
      </c>
      <c r="Q1460" s="18" t="str">
        <f>IFERROR(__xludf.DUMMYFUNCTION("GOOGLETRANSLATE(R1460,""ES"",""EN"")"),"purchase, biomethane")</f>
        <v>purchase, biomethane</v>
      </c>
      <c r="R1460" s="34" t="s">
        <v>10568</v>
      </c>
      <c r="S1460" s="52" t="s">
        <v>10569</v>
      </c>
      <c r="T1460" s="22" t="s">
        <v>10570</v>
      </c>
    </row>
    <row r="1461">
      <c r="A1461" s="23" t="s">
        <v>10571</v>
      </c>
      <c r="B1461" s="58" t="s">
        <v>103</v>
      </c>
      <c r="C1461" s="41">
        <v>45392.0</v>
      </c>
      <c r="D1461" s="40" t="s">
        <v>10572</v>
      </c>
      <c r="E1461" s="41" t="s">
        <v>10573</v>
      </c>
      <c r="F1461" s="43" t="s">
        <v>10574</v>
      </c>
      <c r="G1461" s="43" t="s">
        <v>10575</v>
      </c>
      <c r="H1461" s="51" t="s">
        <v>130</v>
      </c>
      <c r="I1461" s="25" t="str">
        <f>IFERROR(__xludf.DUMMYFUNCTION("GOOGLETRANSLATE(H1461,""EN"",""ES"")"),"Sostenibilidad")</f>
        <v>Sostenibilidad</v>
      </c>
      <c r="J1461" s="26" t="s">
        <v>35</v>
      </c>
      <c r="K1461" s="48">
        <v>0.7</v>
      </c>
      <c r="L1461" s="49" t="s">
        <v>10565</v>
      </c>
      <c r="M1461" s="28" t="s">
        <v>10566</v>
      </c>
      <c r="N1461" s="66" t="s">
        <v>10576</v>
      </c>
      <c r="O1461" s="66" t="str">
        <f>IFERROR(__xludf.DUMMYFUNCTION("GOOGLETRANSLATE(N1461,""EN"",""ES"")"),"Reforzar su posición en el gas renovable respalda los objetivos medioambientales de Repsol.")</f>
        <v>Reforzar su posición en el gas renovable respalda los objetivos medioambientales de Repsol.</v>
      </c>
      <c r="P1461" s="30">
        <v>0.6</v>
      </c>
      <c r="Q1461" s="31" t="str">
        <f>IFERROR(__xludf.DUMMYFUNCTION("GOOGLETRANSLATE(R1461,""ES"",""EN"")"),"biomethane breaks out")</f>
        <v>biomethane breaks out</v>
      </c>
      <c r="R1461" s="28" t="s">
        <v>10577</v>
      </c>
      <c r="S1461" s="53" t="s">
        <v>10578</v>
      </c>
      <c r="T1461" s="32" t="s">
        <v>10579</v>
      </c>
    </row>
    <row r="1462">
      <c r="A1462" s="33" t="s">
        <v>10580</v>
      </c>
      <c r="B1462" s="60" t="s">
        <v>163</v>
      </c>
      <c r="C1462" s="41">
        <v>45392.0</v>
      </c>
      <c r="D1462" s="40" t="s">
        <v>10581</v>
      </c>
      <c r="E1462" s="41" t="s">
        <v>10582</v>
      </c>
      <c r="F1462" s="43" t="s">
        <v>10583</v>
      </c>
      <c r="G1462" s="43" t="s">
        <v>10584</v>
      </c>
      <c r="H1462" s="51" t="s">
        <v>62</v>
      </c>
      <c r="I1462" s="15" t="str">
        <f>IFERROR(__xludf.DUMMYFUNCTION("GOOGLETRANSLATE(H1462,""EN"",""ES"")"),"Energía")</f>
        <v>Energía</v>
      </c>
      <c r="J1462" s="16" t="s">
        <v>27</v>
      </c>
      <c r="K1462" s="17">
        <v>0.0</v>
      </c>
      <c r="L1462" s="45"/>
      <c r="M1462" s="18"/>
      <c r="N1462" s="65"/>
      <c r="O1462" s="65"/>
      <c r="P1462" s="20">
        <v>0.0</v>
      </c>
      <c r="Q1462" s="18"/>
      <c r="R1462" s="18"/>
      <c r="S1462" s="52"/>
      <c r="T1462" s="22"/>
    </row>
    <row r="1463">
      <c r="A1463" s="23" t="s">
        <v>10585</v>
      </c>
      <c r="B1463" s="58" t="s">
        <v>10586</v>
      </c>
      <c r="C1463" s="41">
        <v>45392.0</v>
      </c>
      <c r="D1463" s="40" t="s">
        <v>10587</v>
      </c>
      <c r="E1463" s="41" t="s">
        <v>10588</v>
      </c>
      <c r="F1463" s="43" t="s">
        <v>10589</v>
      </c>
      <c r="G1463" s="43" t="s">
        <v>10590</v>
      </c>
      <c r="H1463" s="51" t="s">
        <v>130</v>
      </c>
      <c r="I1463" s="25" t="str">
        <f>IFERROR(__xludf.DUMMYFUNCTION("GOOGLETRANSLATE(H1463,""EN"",""ES"")"),"Sostenibilidad")</f>
        <v>Sostenibilidad</v>
      </c>
      <c r="J1463" s="26" t="s">
        <v>35</v>
      </c>
      <c r="K1463" s="48">
        <v>0.7</v>
      </c>
      <c r="L1463" s="49" t="s">
        <v>10591</v>
      </c>
      <c r="M1463" s="28" t="s">
        <v>10592</v>
      </c>
      <c r="N1463" s="66" t="s">
        <v>10593</v>
      </c>
      <c r="O1463" s="66" t="str">
        <f>IFERROR(__xludf.DUMMYFUNCTION("GOOGLETRANSLATE(N1463,""EN"",""ES"")"),"La expansión hacia el biometano refuerza la transición de Repsol hacia fuentes de energía más verdes.")</f>
        <v>La expansión hacia el biometano refuerza la transición de Repsol hacia fuentes de energía más verdes.</v>
      </c>
      <c r="P1463" s="30">
        <v>0.6</v>
      </c>
      <c r="Q1463" s="31" t="str">
        <f>IFERROR(__xludf.DUMMYFUNCTION("GOOGLETRANSLATE(R1463,""ES"",""EN"")"),"biomethane, acquisition")</f>
        <v>biomethane, acquisition</v>
      </c>
      <c r="R1463" s="28" t="s">
        <v>10594</v>
      </c>
      <c r="S1463" s="53" t="s">
        <v>10595</v>
      </c>
      <c r="T1463" s="32" t="s">
        <v>10596</v>
      </c>
    </row>
    <row r="1464">
      <c r="A1464" s="33" t="s">
        <v>10597</v>
      </c>
      <c r="B1464" s="60" t="s">
        <v>260</v>
      </c>
      <c r="C1464" s="41">
        <v>45392.0</v>
      </c>
      <c r="D1464" s="40" t="s">
        <v>10598</v>
      </c>
      <c r="E1464" s="41" t="s">
        <v>10599</v>
      </c>
      <c r="F1464" s="43" t="s">
        <v>10600</v>
      </c>
      <c r="G1464" s="43" t="s">
        <v>10601</v>
      </c>
      <c r="H1464" s="51" t="s">
        <v>130</v>
      </c>
      <c r="I1464" s="15" t="str">
        <f>IFERROR(__xludf.DUMMYFUNCTION("GOOGLETRANSLATE(H1464,""EN"",""ES"")"),"Sostenibilidad")</f>
        <v>Sostenibilidad</v>
      </c>
      <c r="J1464" s="16" t="s">
        <v>35</v>
      </c>
      <c r="K1464" s="48">
        <v>0.7</v>
      </c>
      <c r="L1464" s="51" t="s">
        <v>10591</v>
      </c>
      <c r="M1464" s="34" t="s">
        <v>10592</v>
      </c>
      <c r="N1464" s="65" t="s">
        <v>10602</v>
      </c>
      <c r="O1464" s="65" t="str">
        <f>IFERROR(__xludf.DUMMYFUNCTION("GOOGLETRANSLATE(N1464,""EN"",""ES"")"),"La inversión en la producción de biometano refuerza los compromisos medioambientales de Repsol.")</f>
        <v>La inversión en la producción de biometano refuerza los compromisos medioambientales de Repsol.</v>
      </c>
      <c r="P1464" s="30">
        <v>0.7</v>
      </c>
      <c r="Q1464" s="18" t="str">
        <f>IFERROR(__xludf.DUMMYFUNCTION("GOOGLETRANSLATE(R1464,""ES"",""EN"")"),"renewable gases")</f>
        <v>renewable gases</v>
      </c>
      <c r="R1464" s="34" t="s">
        <v>10603</v>
      </c>
      <c r="S1464" s="52" t="s">
        <v>10604</v>
      </c>
      <c r="T1464" s="22" t="s">
        <v>10605</v>
      </c>
    </row>
    <row r="1465">
      <c r="A1465" s="23" t="s">
        <v>10606</v>
      </c>
      <c r="B1465" s="58" t="s">
        <v>21</v>
      </c>
      <c r="C1465" s="41">
        <v>45392.0</v>
      </c>
      <c r="D1465" s="40" t="s">
        <v>10607</v>
      </c>
      <c r="E1465" s="41" t="s">
        <v>10608</v>
      </c>
      <c r="F1465" s="43" t="s">
        <v>10609</v>
      </c>
      <c r="G1465" s="43" t="s">
        <v>10610</v>
      </c>
      <c r="H1465" s="51" t="s">
        <v>148</v>
      </c>
      <c r="I1465" s="25" t="str">
        <f>IFERROR(__xludf.DUMMYFUNCTION("GOOGLETRANSLATE(H1465,""EN"",""ES"")"),"Gastronomía")</f>
        <v>Gastronomía</v>
      </c>
      <c r="J1465" s="26" t="s">
        <v>27</v>
      </c>
      <c r="K1465" s="17">
        <v>0.0</v>
      </c>
      <c r="L1465" s="54"/>
      <c r="M1465" s="31"/>
      <c r="N1465" s="66"/>
      <c r="O1465" s="66"/>
      <c r="P1465" s="20">
        <v>0.0</v>
      </c>
      <c r="Q1465" s="31"/>
      <c r="R1465" s="31"/>
      <c r="S1465" s="53"/>
      <c r="T1465" s="32"/>
    </row>
    <row r="1466">
      <c r="A1466" s="33" t="s">
        <v>10611</v>
      </c>
      <c r="B1466" s="60" t="s">
        <v>85</v>
      </c>
      <c r="C1466" s="41">
        <v>45392.0</v>
      </c>
      <c r="D1466" s="40" t="s">
        <v>10612</v>
      </c>
      <c r="E1466" s="41" t="s">
        <v>10613</v>
      </c>
      <c r="F1466" s="43" t="s">
        <v>10614</v>
      </c>
      <c r="G1466" s="43" t="s">
        <v>10615</v>
      </c>
      <c r="H1466" s="51" t="s">
        <v>8756</v>
      </c>
      <c r="I1466" s="15" t="str">
        <f>IFERROR(__xludf.DUMMYFUNCTION("GOOGLETRANSLATE(H1466,""EN"",""ES"")"),"Automotor")</f>
        <v>Automotor</v>
      </c>
      <c r="J1466" s="16" t="s">
        <v>27</v>
      </c>
      <c r="K1466" s="17">
        <v>0.0</v>
      </c>
      <c r="L1466" s="45"/>
      <c r="M1466" s="18"/>
      <c r="N1466" s="65"/>
      <c r="O1466" s="65"/>
      <c r="P1466" s="20">
        <v>0.0</v>
      </c>
      <c r="Q1466" s="18"/>
      <c r="R1466" s="18"/>
      <c r="S1466" s="52"/>
      <c r="T1466" s="22"/>
    </row>
    <row r="1467">
      <c r="A1467" s="23" t="s">
        <v>10616</v>
      </c>
      <c r="B1467" s="58" t="s">
        <v>2498</v>
      </c>
      <c r="C1467" s="41">
        <v>45392.0</v>
      </c>
      <c r="D1467" s="40" t="s">
        <v>10617</v>
      </c>
      <c r="E1467" s="41" t="s">
        <v>10618</v>
      </c>
      <c r="F1467" s="43" t="s">
        <v>10619</v>
      </c>
      <c r="G1467" s="43" t="s">
        <v>10620</v>
      </c>
      <c r="H1467" s="51" t="s">
        <v>62</v>
      </c>
      <c r="I1467" s="25" t="str">
        <f>IFERROR(__xludf.DUMMYFUNCTION("GOOGLETRANSLATE(H1467,""EN"",""ES"")"),"Energía")</f>
        <v>Energía</v>
      </c>
      <c r="J1467" s="26" t="s">
        <v>27</v>
      </c>
      <c r="K1467" s="17">
        <v>0.0</v>
      </c>
      <c r="L1467" s="54"/>
      <c r="M1467" s="31"/>
      <c r="N1467" s="66"/>
      <c r="O1467" s="66"/>
      <c r="P1467" s="20">
        <v>0.0</v>
      </c>
      <c r="Q1467" s="31"/>
      <c r="R1467" s="31"/>
      <c r="S1467" s="53"/>
      <c r="T1467" s="32"/>
    </row>
    <row r="1468">
      <c r="A1468" s="33" t="s">
        <v>10621</v>
      </c>
      <c r="B1468" s="60" t="s">
        <v>4432</v>
      </c>
      <c r="C1468" s="41">
        <v>45392.0</v>
      </c>
      <c r="D1468" s="40" t="s">
        <v>10622</v>
      </c>
      <c r="E1468" s="41" t="s">
        <v>10623</v>
      </c>
      <c r="F1468" s="43" t="s">
        <v>10624</v>
      </c>
      <c r="G1468" s="43" t="s">
        <v>10625</v>
      </c>
      <c r="H1468" s="51" t="s">
        <v>55</v>
      </c>
      <c r="I1468" s="15" t="str">
        <f>IFERROR(__xludf.DUMMYFUNCTION("GOOGLETRANSLATE(H1468,""EN"",""ES"")"),"deportes de motor")</f>
        <v>deportes de motor</v>
      </c>
      <c r="J1468" s="16" t="s">
        <v>27</v>
      </c>
      <c r="K1468" s="17">
        <v>0.0</v>
      </c>
      <c r="L1468" s="45"/>
      <c r="M1468" s="18"/>
      <c r="N1468" s="65"/>
      <c r="O1468" s="65"/>
      <c r="P1468" s="20">
        <v>0.0</v>
      </c>
      <c r="Q1468" s="18"/>
      <c r="R1468" s="18"/>
      <c r="S1468" s="52"/>
      <c r="T1468" s="22"/>
    </row>
    <row r="1469">
      <c r="A1469" s="23" t="s">
        <v>10626</v>
      </c>
      <c r="B1469" s="58" t="s">
        <v>21</v>
      </c>
      <c r="C1469" s="41">
        <v>45392.0</v>
      </c>
      <c r="D1469" s="40" t="s">
        <v>10627</v>
      </c>
      <c r="E1469" s="41" t="s">
        <v>10628</v>
      </c>
      <c r="F1469" s="43" t="s">
        <v>10629</v>
      </c>
      <c r="G1469" s="43" t="s">
        <v>10630</v>
      </c>
      <c r="H1469" s="51" t="s">
        <v>969</v>
      </c>
      <c r="I1469" s="25" t="str">
        <f>IFERROR(__xludf.DUMMYFUNCTION("GOOGLETRANSLATE(H1469,""EN"",""ES"")"),"Turismo")</f>
        <v>Turismo</v>
      </c>
      <c r="J1469" s="26" t="s">
        <v>27</v>
      </c>
      <c r="K1469" s="17">
        <v>0.0</v>
      </c>
      <c r="L1469" s="54"/>
      <c r="M1469" s="31"/>
      <c r="N1469" s="66"/>
      <c r="O1469" s="66"/>
      <c r="P1469" s="20">
        <v>0.0</v>
      </c>
      <c r="Q1469" s="31"/>
      <c r="R1469" s="31"/>
      <c r="S1469" s="53"/>
      <c r="T1469" s="32"/>
    </row>
    <row r="1470">
      <c r="A1470" s="33" t="s">
        <v>10631</v>
      </c>
      <c r="B1470" s="60" t="s">
        <v>21</v>
      </c>
      <c r="C1470" s="41">
        <v>45392.0</v>
      </c>
      <c r="D1470" s="40" t="s">
        <v>10632</v>
      </c>
      <c r="E1470" s="41" t="s">
        <v>10633</v>
      </c>
      <c r="F1470" s="43" t="s">
        <v>10634</v>
      </c>
      <c r="G1470" s="43" t="s">
        <v>10635</v>
      </c>
      <c r="H1470" s="51" t="s">
        <v>148</v>
      </c>
      <c r="I1470" s="15" t="str">
        <f>IFERROR(__xludf.DUMMYFUNCTION("GOOGLETRANSLATE(H1470,""EN"",""ES"")"),"Gastronomía")</f>
        <v>Gastronomía</v>
      </c>
      <c r="J1470" s="16" t="s">
        <v>27</v>
      </c>
      <c r="K1470" s="17">
        <v>0.0</v>
      </c>
      <c r="L1470" s="45"/>
      <c r="M1470" s="18"/>
      <c r="N1470" s="65"/>
      <c r="O1470" s="65"/>
      <c r="P1470" s="20">
        <v>0.0</v>
      </c>
      <c r="Q1470" s="18"/>
      <c r="R1470" s="18"/>
      <c r="S1470" s="52"/>
      <c r="T1470" s="22"/>
    </row>
    <row r="1471">
      <c r="A1471" s="23" t="s">
        <v>10636</v>
      </c>
      <c r="B1471" s="58" t="s">
        <v>163</v>
      </c>
      <c r="C1471" s="41">
        <v>45392.0</v>
      </c>
      <c r="D1471" s="40" t="s">
        <v>10637</v>
      </c>
      <c r="E1471" s="41" t="s">
        <v>10638</v>
      </c>
      <c r="F1471" s="43" t="s">
        <v>10639</v>
      </c>
      <c r="G1471" s="43" t="s">
        <v>10640</v>
      </c>
      <c r="H1471" s="51" t="s">
        <v>130</v>
      </c>
      <c r="I1471" s="25" t="str">
        <f>IFERROR(__xludf.DUMMYFUNCTION("GOOGLETRANSLATE(H1471,""EN"",""ES"")"),"Sostenibilidad")</f>
        <v>Sostenibilidad</v>
      </c>
      <c r="J1471" s="26" t="s">
        <v>27</v>
      </c>
      <c r="K1471" s="17">
        <v>0.0</v>
      </c>
      <c r="L1471" s="54"/>
      <c r="M1471" s="31"/>
      <c r="N1471" s="66"/>
      <c r="O1471" s="66"/>
      <c r="P1471" s="20">
        <v>0.0</v>
      </c>
      <c r="Q1471" s="31"/>
      <c r="R1471" s="31"/>
      <c r="S1471" s="53"/>
      <c r="T1471" s="32"/>
    </row>
    <row r="1472">
      <c r="A1472" s="33" t="s">
        <v>10641</v>
      </c>
      <c r="B1472" s="60" t="s">
        <v>163</v>
      </c>
      <c r="C1472" s="41">
        <v>45393.0</v>
      </c>
      <c r="D1472" s="40" t="s">
        <v>10642</v>
      </c>
      <c r="E1472" s="41" t="s">
        <v>10643</v>
      </c>
      <c r="F1472" s="43" t="s">
        <v>10644</v>
      </c>
      <c r="G1472" s="43" t="s">
        <v>10645</v>
      </c>
      <c r="H1472" s="51" t="s">
        <v>130</v>
      </c>
      <c r="I1472" s="15" t="str">
        <f>IFERROR(__xludf.DUMMYFUNCTION("GOOGLETRANSLATE(H1472,""EN"",""ES"")"),"Sostenibilidad")</f>
        <v>Sostenibilidad</v>
      </c>
      <c r="J1472" s="16" t="s">
        <v>35</v>
      </c>
      <c r="K1472" s="48">
        <v>0.8</v>
      </c>
      <c r="L1472" s="51" t="s">
        <v>10646</v>
      </c>
      <c r="M1472" s="34" t="s">
        <v>10647</v>
      </c>
      <c r="N1472" s="65" t="s">
        <v>10648</v>
      </c>
      <c r="O1472" s="65" t="str">
        <f>IFERROR(__xludf.DUMMYFUNCTION("GOOGLETRANSLATE(N1472,""EN"",""ES"")"),"La ampliación de los proyectos solares refuerza la cartera de energías renovables de Repsol.")</f>
        <v>La ampliación de los proyectos solares refuerza la cartera de energías renovables de Repsol.</v>
      </c>
      <c r="P1472" s="30">
        <v>0.8</v>
      </c>
      <c r="Q1472" s="18" t="str">
        <f>IFERROR(__xludf.DUMMYFUNCTION("GOOGLETRANSLATE(R1472,""ES"",""EN"")"),"Frye Solar, photovoltaic")</f>
        <v>Frye Solar, photovoltaic</v>
      </c>
      <c r="R1472" s="34" t="s">
        <v>10649</v>
      </c>
      <c r="S1472" s="52" t="s">
        <v>10650</v>
      </c>
      <c r="T1472" s="22" t="s">
        <v>10651</v>
      </c>
    </row>
    <row r="1473">
      <c r="A1473" s="23" t="s">
        <v>10652</v>
      </c>
      <c r="B1473" s="58" t="s">
        <v>3151</v>
      </c>
      <c r="C1473" s="41">
        <v>45393.0</v>
      </c>
      <c r="D1473" s="40" t="s">
        <v>10653</v>
      </c>
      <c r="E1473" s="41" t="s">
        <v>10654</v>
      </c>
      <c r="F1473" s="43" t="s">
        <v>10655</v>
      </c>
      <c r="G1473" s="43" t="s">
        <v>10656</v>
      </c>
      <c r="H1473" s="51" t="s">
        <v>130</v>
      </c>
      <c r="I1473" s="25" t="str">
        <f>IFERROR(__xludf.DUMMYFUNCTION("GOOGLETRANSLATE(H1473,""EN"",""ES"")"),"Sostenibilidad")</f>
        <v>Sostenibilidad</v>
      </c>
      <c r="J1473" s="26" t="s">
        <v>35</v>
      </c>
      <c r="K1473" s="48">
        <v>0.7</v>
      </c>
      <c r="L1473" s="49" t="s">
        <v>10657</v>
      </c>
      <c r="M1473" s="28" t="s">
        <v>10658</v>
      </c>
      <c r="N1473" s="66" t="s">
        <v>10659</v>
      </c>
      <c r="O1473" s="66" t="str">
        <f>IFERROR(__xludf.DUMMYFUNCTION("GOOGLETRANSLATE(N1473,""EN"",""ES"")"),"Competir en la producción de hidrógeno respalda la transición energética limpia de Repsol.")</f>
        <v>Competir en la producción de hidrógeno respalda la transición energética limpia de Repsol.</v>
      </c>
      <c r="P1473" s="30">
        <v>0.6</v>
      </c>
      <c r="Q1473" s="31" t="str">
        <f>IFERROR(__xludf.DUMMYFUNCTION("GOOGLETRANSLATE(R1473,""ES"",""EN"")"),"renewable gas")</f>
        <v>renewable gas</v>
      </c>
      <c r="R1473" s="28" t="s">
        <v>10660</v>
      </c>
      <c r="S1473" s="53" t="s">
        <v>10661</v>
      </c>
      <c r="T1473" s="32" t="s">
        <v>10662</v>
      </c>
    </row>
    <row r="1474">
      <c r="A1474" s="33" t="s">
        <v>10663</v>
      </c>
      <c r="B1474" s="60" t="s">
        <v>163</v>
      </c>
      <c r="C1474" s="41">
        <v>45393.0</v>
      </c>
      <c r="D1474" s="40" t="s">
        <v>10664</v>
      </c>
      <c r="E1474" s="41" t="s">
        <v>10665</v>
      </c>
      <c r="F1474" s="43" t="s">
        <v>10666</v>
      </c>
      <c r="G1474" s="43" t="s">
        <v>10667</v>
      </c>
      <c r="H1474" s="51" t="s">
        <v>130</v>
      </c>
      <c r="I1474" s="15" t="str">
        <f>IFERROR(__xludf.DUMMYFUNCTION("GOOGLETRANSLATE(H1474,""EN"",""ES"")"),"Sostenibilidad")</f>
        <v>Sostenibilidad</v>
      </c>
      <c r="J1474" s="16" t="s">
        <v>35</v>
      </c>
      <c r="K1474" s="48">
        <v>0.8</v>
      </c>
      <c r="L1474" s="51" t="s">
        <v>10646</v>
      </c>
      <c r="M1474" s="34" t="s">
        <v>10647</v>
      </c>
      <c r="N1474" s="65" t="s">
        <v>10668</v>
      </c>
      <c r="O1474" s="65" t="str">
        <f>IFERROR(__xludf.DUMMYFUNCTION("GOOGLETRANSLATE(N1474,""EN"",""ES"")"),"La inversión en proyectos solares a gran escala respalda la estrategia de sostenibilidad de Repsol.")</f>
        <v>La inversión en proyectos solares a gran escala respalda la estrategia de sostenibilidad de Repsol.</v>
      </c>
      <c r="P1474" s="30">
        <v>0.8</v>
      </c>
      <c r="Q1474" s="18" t="str">
        <f>IFERROR(__xludf.DUMMYFUNCTION("GOOGLETRANSLATE(R1474,""ES"",""EN"")"),"photovoltaic, 637 MW")</f>
        <v>photovoltaic, 637 MW</v>
      </c>
      <c r="R1474" s="34" t="s">
        <v>10669</v>
      </c>
      <c r="S1474" s="52" t="s">
        <v>10670</v>
      </c>
      <c r="T1474" s="22" t="s">
        <v>10671</v>
      </c>
    </row>
    <row r="1475">
      <c r="A1475" s="23" t="s">
        <v>10672</v>
      </c>
      <c r="B1475" s="58" t="s">
        <v>10673</v>
      </c>
      <c r="C1475" s="41">
        <v>45393.0</v>
      </c>
      <c r="D1475" s="40" t="s">
        <v>10674</v>
      </c>
      <c r="E1475" s="41" t="s">
        <v>10675</v>
      </c>
      <c r="F1475" s="43" t="s">
        <v>10676</v>
      </c>
      <c r="G1475" s="43" t="s">
        <v>10677</v>
      </c>
      <c r="H1475" s="51" t="s">
        <v>130</v>
      </c>
      <c r="I1475" s="25" t="str">
        <f>IFERROR(__xludf.DUMMYFUNCTION("GOOGLETRANSLATE(H1475,""EN"",""ES"")"),"Sostenibilidad")</f>
        <v>Sostenibilidad</v>
      </c>
      <c r="J1475" s="26" t="s">
        <v>35</v>
      </c>
      <c r="K1475" s="48">
        <v>0.7</v>
      </c>
      <c r="L1475" s="49" t="s">
        <v>9372</v>
      </c>
      <c r="M1475" s="28" t="s">
        <v>9373</v>
      </c>
      <c r="N1475" s="66" t="s">
        <v>10678</v>
      </c>
      <c r="O1475" s="66" t="str">
        <f>IFERROR(__xludf.DUMMYFUNCTION("GOOGLETRANSLATE(N1475,""EN"",""ES"")"),"El reiterado reconocimiento al esfuerzo en sostenibilidad potencia la imagen corporativa de Repsol.")</f>
        <v>El reiterado reconocimiento al esfuerzo en sostenibilidad potencia la imagen corporativa de Repsol.</v>
      </c>
      <c r="P1475" s="30">
        <v>-0.8</v>
      </c>
      <c r="Q1475" s="31" t="str">
        <f>IFERROR(__xludf.DUMMYFUNCTION("GOOGLETRANSLATE(R1475,""ES"",""EN"")"),"climate crisis")</f>
        <v>climate crisis</v>
      </c>
      <c r="R1475" s="28" t="s">
        <v>10679</v>
      </c>
      <c r="S1475" s="53" t="s">
        <v>10065</v>
      </c>
      <c r="T1475" s="32" t="s">
        <v>10066</v>
      </c>
    </row>
    <row r="1476">
      <c r="A1476" s="33" t="s">
        <v>10680</v>
      </c>
      <c r="B1476" s="60" t="s">
        <v>10681</v>
      </c>
      <c r="C1476" s="41">
        <v>45393.0</v>
      </c>
      <c r="D1476" s="40" t="s">
        <v>10587</v>
      </c>
      <c r="E1476" s="41" t="s">
        <v>10588</v>
      </c>
      <c r="F1476" s="43" t="s">
        <v>10589</v>
      </c>
      <c r="G1476" s="43" t="s">
        <v>10590</v>
      </c>
      <c r="H1476" s="51" t="s">
        <v>130</v>
      </c>
      <c r="I1476" s="15" t="str">
        <f>IFERROR(__xludf.DUMMYFUNCTION("GOOGLETRANSLATE(H1476,""EN"",""ES"")"),"Sostenibilidad")</f>
        <v>Sostenibilidad</v>
      </c>
      <c r="J1476" s="16" t="s">
        <v>35</v>
      </c>
      <c r="K1476" s="48">
        <v>0.7</v>
      </c>
      <c r="L1476" s="51" t="s">
        <v>10565</v>
      </c>
      <c r="M1476" s="34" t="s">
        <v>10566</v>
      </c>
      <c r="N1476" s="65" t="s">
        <v>10682</v>
      </c>
      <c r="O1476" s="65" t="str">
        <f>IFERROR(__xludf.DUMMYFUNCTION("GOOGLETRANSLATE(N1476,""EN"",""ES"")"),"La expansión hacia el biometano refuerza la apuesta de Repsol por las energías renovables.")</f>
        <v>La expansión hacia el biometano refuerza la apuesta de Repsol por las energías renovables.</v>
      </c>
      <c r="P1476" s="30">
        <v>0.6</v>
      </c>
      <c r="Q1476" s="18" t="str">
        <f>IFERROR(__xludf.DUMMYFUNCTION("GOOGLETRANSLATE(R1476,""ES"",""EN"")"),"biomethane")</f>
        <v>biomethane</v>
      </c>
      <c r="R1476" s="34" t="s">
        <v>10683</v>
      </c>
      <c r="S1476" s="52" t="s">
        <v>10569</v>
      </c>
      <c r="T1476" s="22" t="s">
        <v>10570</v>
      </c>
    </row>
    <row r="1477">
      <c r="A1477" s="23" t="s">
        <v>10684</v>
      </c>
      <c r="B1477" s="58" t="s">
        <v>163</v>
      </c>
      <c r="C1477" s="41">
        <v>45393.0</v>
      </c>
      <c r="D1477" s="40" t="s">
        <v>10685</v>
      </c>
      <c r="E1477" s="41" t="s">
        <v>10685</v>
      </c>
      <c r="F1477" s="43" t="s">
        <v>10686</v>
      </c>
      <c r="G1477" s="43" t="s">
        <v>10686</v>
      </c>
      <c r="H1477" s="51" t="s">
        <v>48</v>
      </c>
      <c r="I1477" s="25" t="str">
        <f>IFERROR(__xludf.DUMMYFUNCTION("GOOGLETRANSLATE(H1477,""EN"",""ES"")"),"Finanzas")</f>
        <v>Finanzas</v>
      </c>
      <c r="J1477" s="26" t="s">
        <v>35</v>
      </c>
      <c r="K1477" s="48">
        <v>0.7</v>
      </c>
      <c r="L1477" s="49" t="s">
        <v>10122</v>
      </c>
      <c r="M1477" s="28" t="s">
        <v>10123</v>
      </c>
      <c r="N1477" s="66" t="s">
        <v>10687</v>
      </c>
      <c r="O1477" s="66" t="str">
        <f>IFERROR(__xludf.DUMMYFUNCTION("GOOGLETRANSLATE(N1477,""EN"",""ES"")"),"Las ganancias bursátiles refuerzan la confianza de los inversores en Repsol.")</f>
        <v>Las ganancias bursátiles refuerzan la confianza de los inversores en Repsol.</v>
      </c>
      <c r="P1477" s="30">
        <v>0.4</v>
      </c>
      <c r="Q1477" s="31" t="str">
        <f>IFERROR(__xludf.DUMMYFUNCTION("GOOGLETRANSLATE(R1477,""ES"",""EN"")"),"rise, stock")</f>
        <v>rise, stock</v>
      </c>
      <c r="R1477" s="28" t="s">
        <v>10688</v>
      </c>
      <c r="S1477" s="53" t="s">
        <v>10240</v>
      </c>
      <c r="T1477" s="32" t="s">
        <v>10241</v>
      </c>
    </row>
    <row r="1478">
      <c r="A1478" s="33" t="s">
        <v>10689</v>
      </c>
      <c r="B1478" s="60" t="s">
        <v>499</v>
      </c>
      <c r="C1478" s="41">
        <v>45393.0</v>
      </c>
      <c r="D1478" s="40" t="s">
        <v>10690</v>
      </c>
      <c r="E1478" s="41" t="s">
        <v>10691</v>
      </c>
      <c r="F1478" s="43" t="s">
        <v>10692</v>
      </c>
      <c r="G1478" s="43" t="s">
        <v>10693</v>
      </c>
      <c r="H1478" s="51" t="s">
        <v>130</v>
      </c>
      <c r="I1478" s="15" t="str">
        <f>IFERROR(__xludf.DUMMYFUNCTION("GOOGLETRANSLATE(H1478,""EN"",""ES"")"),"Sostenibilidad")</f>
        <v>Sostenibilidad</v>
      </c>
      <c r="J1478" s="16" t="s">
        <v>35</v>
      </c>
      <c r="K1478" s="48">
        <v>0.8</v>
      </c>
      <c r="L1478" s="51" t="s">
        <v>10646</v>
      </c>
      <c r="M1478" s="34" t="s">
        <v>10647</v>
      </c>
      <c r="N1478" s="65" t="s">
        <v>10694</v>
      </c>
      <c r="O1478" s="65" t="str">
        <f>IFERROR(__xludf.DUMMYFUNCTION("GOOGLETRANSLATE(N1478,""EN"",""ES"")"),"La inversión a gran escala en energía solar potencia la transición verde de Repsol.")</f>
        <v>La inversión a gran escala en energía solar potencia la transición verde de Repsol.</v>
      </c>
      <c r="P1478" s="30">
        <v>0.8</v>
      </c>
      <c r="Q1478" s="18" t="str">
        <f>IFERROR(__xludf.DUMMYFUNCTION("GOOGLETRANSLATE(R1478,""ES"",""EN"")"),"photovoltaic, 637 MW")</f>
        <v>photovoltaic, 637 MW</v>
      </c>
      <c r="R1478" s="34" t="s">
        <v>10669</v>
      </c>
      <c r="S1478" s="52" t="s">
        <v>10695</v>
      </c>
      <c r="T1478" s="22" t="s">
        <v>10696</v>
      </c>
    </row>
    <row r="1479">
      <c r="A1479" s="23" t="s">
        <v>10697</v>
      </c>
      <c r="B1479" s="58" t="s">
        <v>175</v>
      </c>
      <c r="C1479" s="41">
        <v>45393.0</v>
      </c>
      <c r="D1479" s="40" t="s">
        <v>10698</v>
      </c>
      <c r="E1479" s="41" t="s">
        <v>10699</v>
      </c>
      <c r="F1479" s="43" t="s">
        <v>10700</v>
      </c>
      <c r="G1479" s="43" t="s">
        <v>10701</v>
      </c>
      <c r="H1479" s="51" t="s">
        <v>130</v>
      </c>
      <c r="I1479" s="25" t="str">
        <f>IFERROR(__xludf.DUMMYFUNCTION("GOOGLETRANSLATE(H1479,""EN"",""ES"")"),"Sostenibilidad")</f>
        <v>Sostenibilidad</v>
      </c>
      <c r="J1479" s="26" t="s">
        <v>35</v>
      </c>
      <c r="K1479" s="48">
        <v>0.7</v>
      </c>
      <c r="L1479" s="49" t="s">
        <v>10565</v>
      </c>
      <c r="M1479" s="28" t="s">
        <v>10566</v>
      </c>
      <c r="N1479" s="66" t="s">
        <v>10702</v>
      </c>
      <c r="O1479" s="66" t="str">
        <f>IFERROR(__xludf.DUMMYFUNCTION("GOOGLETRANSLATE(N1479,""EN"",""ES"")"),"El refuerzo de la producción de biometano respalda los objetivos medioambientales de Repsol.")</f>
        <v>El refuerzo de la producción de biometano respalda los objetivos medioambientales de Repsol.</v>
      </c>
      <c r="P1479" s="30">
        <v>0.6</v>
      </c>
      <c r="Q1479" s="31" t="str">
        <f>IFERROR(__xludf.DUMMYFUNCTION("GOOGLETRANSLATE(R1479,""ES"",""EN"")"),"biomethane")</f>
        <v>biomethane</v>
      </c>
      <c r="R1479" s="28" t="s">
        <v>10683</v>
      </c>
      <c r="S1479" s="53" t="s">
        <v>10595</v>
      </c>
      <c r="T1479" s="32" t="s">
        <v>10596</v>
      </c>
    </row>
    <row r="1480">
      <c r="A1480" s="33" t="s">
        <v>10703</v>
      </c>
      <c r="B1480" s="60" t="s">
        <v>558</v>
      </c>
      <c r="C1480" s="41">
        <v>45393.0</v>
      </c>
      <c r="D1480" s="40" t="s">
        <v>10704</v>
      </c>
      <c r="E1480" s="41" t="s">
        <v>10705</v>
      </c>
      <c r="F1480" s="43" t="s">
        <v>10706</v>
      </c>
      <c r="G1480" s="43" t="s">
        <v>10707</v>
      </c>
      <c r="H1480" s="51" t="s">
        <v>48</v>
      </c>
      <c r="I1480" s="15" t="str">
        <f>IFERROR(__xludf.DUMMYFUNCTION("GOOGLETRANSLATE(H1480,""EN"",""ES"")"),"Finanzas")</f>
        <v>Finanzas</v>
      </c>
      <c r="J1480" s="16" t="s">
        <v>35</v>
      </c>
      <c r="K1480" s="48">
        <v>0.6</v>
      </c>
      <c r="L1480" s="51" t="s">
        <v>10708</v>
      </c>
      <c r="M1480" s="34" t="s">
        <v>10709</v>
      </c>
      <c r="N1480" s="65" t="s">
        <v>10710</v>
      </c>
      <c r="O1480" s="65" t="str">
        <f>IFERROR(__xludf.DUMMYFUNCTION("GOOGLETRANSLATE(N1480,""EN"",""ES"")"),"Un potencial bursátil positivo puede mejorar las perspectivas financieras de Repsol.")</f>
        <v>Un potencial bursátil positivo puede mejorar las perspectivas financieras de Repsol.</v>
      </c>
      <c r="P1480" s="30">
        <v>0.5</v>
      </c>
      <c r="Q1480" s="18" t="str">
        <f>IFERROR(__xludf.DUMMYFUNCTION("GOOGLETRANSLATE(R1480,""ES"",""EN"")"),"upside potential")</f>
        <v>upside potential</v>
      </c>
      <c r="R1480" s="34" t="s">
        <v>10711</v>
      </c>
      <c r="S1480" s="52" t="s">
        <v>10712</v>
      </c>
      <c r="T1480" s="22" t="s">
        <v>10713</v>
      </c>
    </row>
    <row r="1481">
      <c r="A1481" s="23" t="s">
        <v>10714</v>
      </c>
      <c r="B1481" s="58" t="s">
        <v>4559</v>
      </c>
      <c r="C1481" s="41">
        <v>45393.0</v>
      </c>
      <c r="D1481" s="40" t="s">
        <v>10715</v>
      </c>
      <c r="E1481" s="41" t="s">
        <v>10716</v>
      </c>
      <c r="F1481" s="43" t="s">
        <v>10717</v>
      </c>
      <c r="G1481" s="43" t="s">
        <v>10718</v>
      </c>
      <c r="H1481" s="51" t="s">
        <v>2281</v>
      </c>
      <c r="I1481" s="25" t="str">
        <f>IFERROR(__xludf.DUMMYFUNCTION("GOOGLETRANSLATE(H1481,""EN"",""ES"")"),"Operaciones comerciales")</f>
        <v>Operaciones comerciales</v>
      </c>
      <c r="J1481" s="26" t="s">
        <v>35</v>
      </c>
      <c r="K1481" s="48">
        <v>-0.4</v>
      </c>
      <c r="L1481" s="49" t="s">
        <v>10719</v>
      </c>
      <c r="M1481" s="28" t="s">
        <v>10720</v>
      </c>
      <c r="N1481" s="66" t="s">
        <v>10721</v>
      </c>
      <c r="O1481" s="66" t="str">
        <f>IFERROR(__xludf.DUMMYFUNCTION("GOOGLETRANSLATE(N1481,""EN"",""ES"")"),"Los problemas operativos temporales podrían generar preocupaciones sobre la confiabilidad.")</f>
        <v>Los problemas operativos temporales podrían generar preocupaciones sobre la confiabilidad.</v>
      </c>
      <c r="P1481" s="30">
        <v>-0.7</v>
      </c>
      <c r="Q1481" s="31" t="str">
        <f>IFERROR(__xludf.DUMMYFUNCTION("GOOGLETRANSLATE(R1481,""ES"",""EN"")"),"failure, black smoke")</f>
        <v>failure, black smoke</v>
      </c>
      <c r="R1481" s="28" t="s">
        <v>10722</v>
      </c>
      <c r="S1481" s="53" t="s">
        <v>10723</v>
      </c>
      <c r="T1481" s="32" t="s">
        <v>10724</v>
      </c>
    </row>
    <row r="1482">
      <c r="A1482" s="33" t="s">
        <v>10725</v>
      </c>
      <c r="B1482" s="60" t="s">
        <v>3216</v>
      </c>
      <c r="C1482" s="41">
        <v>45393.0</v>
      </c>
      <c r="D1482" s="40" t="s">
        <v>10726</v>
      </c>
      <c r="E1482" s="41" t="s">
        <v>10727</v>
      </c>
      <c r="F1482" s="43" t="s">
        <v>10728</v>
      </c>
      <c r="G1482" s="43" t="s">
        <v>10729</v>
      </c>
      <c r="H1482" s="51" t="s">
        <v>395</v>
      </c>
      <c r="I1482" s="15" t="str">
        <f>IFERROR(__xludf.DUMMYFUNCTION("GOOGLETRANSLATE(H1482,""EN"",""ES"")"),"Ambiente")</f>
        <v>Ambiente</v>
      </c>
      <c r="J1482" s="16" t="s">
        <v>35</v>
      </c>
      <c r="K1482" s="48">
        <v>0.0</v>
      </c>
      <c r="L1482" s="45"/>
      <c r="M1482" s="18"/>
      <c r="N1482" s="65" t="s">
        <v>10730</v>
      </c>
      <c r="O1482" s="65" t="str">
        <f>IFERROR(__xludf.DUMMYFUNCTION("GOOGLETRANSLATE(N1482,""EN"",""ES"")"),"Las reducciones de emisiones de la industria general no impactan directamente en la percepción de Repsol.")</f>
        <v>Las reducciones de emisiones de la industria general no impactan directamente en la percepción de Repsol.</v>
      </c>
      <c r="P1482" s="30">
        <v>-0.9</v>
      </c>
      <c r="Q1482" s="18" t="str">
        <f>IFERROR(__xludf.DUMMYFUNCTION("GOOGLETRANSLATE(R1482,""ES"",""EN"")"),"more polluting")</f>
        <v>more polluting</v>
      </c>
      <c r="R1482" s="34" t="s">
        <v>10731</v>
      </c>
      <c r="S1482" s="52" t="s">
        <v>10732</v>
      </c>
      <c r="T1482" s="22" t="s">
        <v>10733</v>
      </c>
    </row>
    <row r="1483">
      <c r="A1483" s="23" t="s">
        <v>10734</v>
      </c>
      <c r="B1483" s="58" t="s">
        <v>21</v>
      </c>
      <c r="C1483" s="41">
        <v>45393.0</v>
      </c>
      <c r="D1483" s="40" t="s">
        <v>10735</v>
      </c>
      <c r="E1483" s="41" t="s">
        <v>10736</v>
      </c>
      <c r="F1483" s="43" t="s">
        <v>10737</v>
      </c>
      <c r="G1483" s="43" t="s">
        <v>10738</v>
      </c>
      <c r="H1483" s="51" t="s">
        <v>969</v>
      </c>
      <c r="I1483" s="25" t="str">
        <f>IFERROR(__xludf.DUMMYFUNCTION("GOOGLETRANSLATE(H1483,""EN"",""ES"")"),"Turismo")</f>
        <v>Turismo</v>
      </c>
      <c r="J1483" s="26" t="s">
        <v>27</v>
      </c>
      <c r="K1483" s="17">
        <v>0.0</v>
      </c>
      <c r="L1483" s="54"/>
      <c r="M1483" s="31"/>
      <c r="N1483" s="66"/>
      <c r="O1483" s="66"/>
      <c r="P1483" s="20">
        <v>0.0</v>
      </c>
      <c r="Q1483" s="31"/>
      <c r="R1483" s="31"/>
      <c r="S1483" s="53"/>
      <c r="T1483" s="32"/>
    </row>
    <row r="1484">
      <c r="A1484" s="33" t="s">
        <v>10739</v>
      </c>
      <c r="B1484" s="60" t="s">
        <v>10740</v>
      </c>
      <c r="C1484" s="41">
        <v>45394.0</v>
      </c>
      <c r="D1484" s="40" t="s">
        <v>10741</v>
      </c>
      <c r="E1484" s="41" t="s">
        <v>10742</v>
      </c>
      <c r="F1484" s="43" t="s">
        <v>10743</v>
      </c>
      <c r="G1484" s="43" t="s">
        <v>10744</v>
      </c>
      <c r="H1484" s="51" t="s">
        <v>130</v>
      </c>
      <c r="I1484" s="15" t="str">
        <f>IFERROR(__xludf.DUMMYFUNCTION("GOOGLETRANSLATE(H1484,""EN"",""ES"")"),"Sostenibilidad")</f>
        <v>Sostenibilidad</v>
      </c>
      <c r="J1484" s="16" t="s">
        <v>35</v>
      </c>
      <c r="K1484" s="48">
        <v>0.7</v>
      </c>
      <c r="L1484" s="51" t="s">
        <v>10745</v>
      </c>
      <c r="M1484" s="34" t="s">
        <v>10746</v>
      </c>
      <c r="N1484" s="65" t="s">
        <v>10747</v>
      </c>
      <c r="O1484" s="65" t="str">
        <f>IFERROR(__xludf.DUMMYFUNCTION("GOOGLETRANSLATE(N1484,""EN"",""ES"")"),"La expansión en biometano respalda la estrategia de energías renovables de Repsol.")</f>
        <v>La expansión en biometano respalda la estrategia de energías renovables de Repsol.</v>
      </c>
      <c r="P1484" s="30">
        <v>0.4</v>
      </c>
      <c r="Q1484" s="18" t="str">
        <f>IFERROR(__xludf.DUMMYFUNCTION("GOOGLETRANSLATE(R1484,""ES"",""EN"")"),"Genia Bioenergy")</f>
        <v>Genia Bioenergy</v>
      </c>
      <c r="R1484" s="34" t="s">
        <v>10748</v>
      </c>
      <c r="S1484" s="52" t="s">
        <v>10749</v>
      </c>
      <c r="T1484" s="22" t="s">
        <v>10750</v>
      </c>
    </row>
    <row r="1485">
      <c r="A1485" s="23" t="s">
        <v>10751</v>
      </c>
      <c r="B1485" s="58" t="s">
        <v>10752</v>
      </c>
      <c r="C1485" s="41">
        <v>45394.0</v>
      </c>
      <c r="D1485" s="40" t="s">
        <v>10753</v>
      </c>
      <c r="E1485" s="41" t="s">
        <v>10754</v>
      </c>
      <c r="F1485" s="43" t="s">
        <v>10755</v>
      </c>
      <c r="G1485" s="43" t="s">
        <v>10756</v>
      </c>
      <c r="H1485" s="51" t="s">
        <v>395</v>
      </c>
      <c r="I1485" s="25" t="str">
        <f>IFERROR(__xludf.DUMMYFUNCTION("GOOGLETRANSLATE(H1485,""EN"",""ES"")"),"Ambiente")</f>
        <v>Ambiente</v>
      </c>
      <c r="J1485" s="26" t="s">
        <v>35</v>
      </c>
      <c r="K1485" s="48">
        <v>-0.8</v>
      </c>
      <c r="L1485" s="49" t="s">
        <v>10061</v>
      </c>
      <c r="M1485" s="28" t="s">
        <v>10062</v>
      </c>
      <c r="N1485" s="66" t="s">
        <v>10757</v>
      </c>
      <c r="O1485" s="66" t="str">
        <f>IFERROR(__xludf.DUMMYFUNCTION("GOOGLETRANSLATE(N1485,""EN"",""ES"")"),"Estar catalogado como el mayor emisor de España podría dañar la reputación de sostenibilidad de Repsol.")</f>
        <v>Estar catalogado como el mayor emisor de España podría dañar la reputación de sostenibilidad de Repsol.</v>
      </c>
      <c r="P1485" s="30">
        <v>-0.9</v>
      </c>
      <c r="Q1485" s="31" t="str">
        <f>IFERROR(__xludf.DUMMYFUNCTION("GOOGLETRANSLATE(R1485,""ES"",""EN"")"),"more CO2 emits")</f>
        <v>more CO2 emits</v>
      </c>
      <c r="R1485" s="28" t="s">
        <v>10758</v>
      </c>
      <c r="S1485" s="53" t="s">
        <v>10759</v>
      </c>
      <c r="T1485" s="32" t="s">
        <v>10760</v>
      </c>
    </row>
    <row r="1486">
      <c r="A1486" s="33" t="s">
        <v>10761</v>
      </c>
      <c r="B1486" s="60" t="s">
        <v>21</v>
      </c>
      <c r="C1486" s="41">
        <v>45394.0</v>
      </c>
      <c r="D1486" s="40" t="s">
        <v>10762</v>
      </c>
      <c r="E1486" s="41" t="s">
        <v>10763</v>
      </c>
      <c r="F1486" s="43" t="s">
        <v>10764</v>
      </c>
      <c r="G1486" s="43" t="s">
        <v>10765</v>
      </c>
      <c r="H1486" s="51" t="s">
        <v>5878</v>
      </c>
      <c r="I1486" s="15" t="str">
        <f>IFERROR(__xludf.DUMMYFUNCTION("GOOGLETRANSLATE(H1486,""EN"",""ES"")"),"Entretenimiento")</f>
        <v>Entretenimiento</v>
      </c>
      <c r="J1486" s="16" t="s">
        <v>27</v>
      </c>
      <c r="K1486" s="17">
        <v>0.0</v>
      </c>
      <c r="L1486" s="45"/>
      <c r="M1486" s="18"/>
      <c r="N1486" s="65"/>
      <c r="O1486" s="65"/>
      <c r="P1486" s="20">
        <v>0.0</v>
      </c>
      <c r="Q1486" s="18"/>
      <c r="R1486" s="18"/>
      <c r="S1486" s="52"/>
      <c r="T1486" s="22"/>
    </row>
    <row r="1487">
      <c r="A1487" s="23" t="s">
        <v>10766</v>
      </c>
      <c r="B1487" s="58" t="s">
        <v>10767</v>
      </c>
      <c r="C1487" s="41">
        <v>45394.0</v>
      </c>
      <c r="D1487" s="40" t="s">
        <v>10768</v>
      </c>
      <c r="E1487" s="41" t="s">
        <v>10769</v>
      </c>
      <c r="F1487" s="43" t="s">
        <v>10770</v>
      </c>
      <c r="G1487" s="43" t="s">
        <v>10771</v>
      </c>
      <c r="H1487" s="51" t="s">
        <v>130</v>
      </c>
      <c r="I1487" s="25" t="str">
        <f>IFERROR(__xludf.DUMMYFUNCTION("GOOGLETRANSLATE(H1487,""EN"",""ES"")"),"Sostenibilidad")</f>
        <v>Sostenibilidad</v>
      </c>
      <c r="J1487" s="26" t="s">
        <v>35</v>
      </c>
      <c r="K1487" s="48">
        <v>0.8</v>
      </c>
      <c r="L1487" s="49" t="s">
        <v>9636</v>
      </c>
      <c r="M1487" s="28" t="s">
        <v>9637</v>
      </c>
      <c r="N1487" s="66" t="s">
        <v>10772</v>
      </c>
      <c r="O1487" s="66" t="str">
        <f>IFERROR(__xludf.DUMMYFUNCTION("GOOGLETRANSLATE(N1487,""EN"",""ES"")"),"La ampliación de la carga de vehículos eléctricos respalda las iniciativas de energía verde de Repsol.")</f>
        <v>La ampliación de la carga de vehículos eléctricos respalda las iniciativas de energía verde de Repsol.</v>
      </c>
      <c r="P1487" s="30">
        <v>0.7</v>
      </c>
      <c r="Q1487" s="31" t="str">
        <f>IFERROR(__xludf.DUMMYFUNCTION("GOOGLETRANSLATE(R1487,""ES"",""EN"")"),"charging points, electric")</f>
        <v>charging points, electric</v>
      </c>
      <c r="R1487" s="28" t="s">
        <v>10773</v>
      </c>
      <c r="S1487" s="53" t="s">
        <v>10774</v>
      </c>
      <c r="T1487" s="32" t="s">
        <v>10775</v>
      </c>
    </row>
    <row r="1488">
      <c r="A1488" s="33" t="s">
        <v>10776</v>
      </c>
      <c r="B1488" s="60" t="s">
        <v>21</v>
      </c>
      <c r="C1488" s="41">
        <v>45394.0</v>
      </c>
      <c r="D1488" s="40" t="s">
        <v>10777</v>
      </c>
      <c r="E1488" s="41" t="s">
        <v>10778</v>
      </c>
      <c r="F1488" s="43" t="s">
        <v>10779</v>
      </c>
      <c r="G1488" s="43" t="s">
        <v>10780</v>
      </c>
      <c r="H1488" s="51" t="s">
        <v>148</v>
      </c>
      <c r="I1488" s="15" t="str">
        <f>IFERROR(__xludf.DUMMYFUNCTION("GOOGLETRANSLATE(H1488,""EN"",""ES"")"),"Gastronomía")</f>
        <v>Gastronomía</v>
      </c>
      <c r="J1488" s="16" t="s">
        <v>27</v>
      </c>
      <c r="K1488" s="17">
        <v>0.0</v>
      </c>
      <c r="L1488" s="45"/>
      <c r="M1488" s="18"/>
      <c r="N1488" s="65"/>
      <c r="O1488" s="65"/>
      <c r="P1488" s="20">
        <v>0.0</v>
      </c>
      <c r="Q1488" s="18"/>
      <c r="R1488" s="18"/>
      <c r="S1488" s="52"/>
      <c r="T1488" s="22"/>
    </row>
    <row r="1489">
      <c r="A1489" s="23" t="s">
        <v>10781</v>
      </c>
      <c r="B1489" s="58" t="s">
        <v>85</v>
      </c>
      <c r="C1489" s="41">
        <v>45394.0</v>
      </c>
      <c r="D1489" s="40" t="s">
        <v>10782</v>
      </c>
      <c r="E1489" s="41" t="s">
        <v>10783</v>
      </c>
      <c r="F1489" s="43" t="s">
        <v>10784</v>
      </c>
      <c r="G1489" s="43" t="s">
        <v>10785</v>
      </c>
      <c r="H1489" s="51" t="s">
        <v>148</v>
      </c>
      <c r="I1489" s="25" t="str">
        <f>IFERROR(__xludf.DUMMYFUNCTION("GOOGLETRANSLATE(H1489,""EN"",""ES"")"),"Gastronomía")</f>
        <v>Gastronomía</v>
      </c>
      <c r="J1489" s="26" t="s">
        <v>27</v>
      </c>
      <c r="K1489" s="17">
        <v>0.0</v>
      </c>
      <c r="L1489" s="54"/>
      <c r="M1489" s="31"/>
      <c r="N1489" s="66"/>
      <c r="O1489" s="66"/>
      <c r="P1489" s="20">
        <v>0.0</v>
      </c>
      <c r="Q1489" s="31"/>
      <c r="R1489" s="31"/>
      <c r="S1489" s="53"/>
      <c r="T1489" s="32"/>
    </row>
    <row r="1490">
      <c r="A1490" s="33" t="s">
        <v>10786</v>
      </c>
      <c r="B1490" s="60" t="s">
        <v>4750</v>
      </c>
      <c r="C1490" s="41">
        <v>45394.0</v>
      </c>
      <c r="D1490" s="40" t="s">
        <v>10787</v>
      </c>
      <c r="E1490" s="41" t="s">
        <v>10788</v>
      </c>
      <c r="F1490" s="43" t="s">
        <v>10789</v>
      </c>
      <c r="G1490" s="43" t="s">
        <v>10790</v>
      </c>
      <c r="H1490" s="51" t="s">
        <v>148</v>
      </c>
      <c r="I1490" s="15" t="str">
        <f>IFERROR(__xludf.DUMMYFUNCTION("GOOGLETRANSLATE(H1490,""EN"",""ES"")"),"Gastronomía")</f>
        <v>Gastronomía</v>
      </c>
      <c r="J1490" s="16" t="s">
        <v>27</v>
      </c>
      <c r="K1490" s="17">
        <v>0.0</v>
      </c>
      <c r="L1490" s="45"/>
      <c r="M1490" s="18"/>
      <c r="N1490" s="65"/>
      <c r="O1490" s="65"/>
      <c r="P1490" s="20">
        <v>0.0</v>
      </c>
      <c r="Q1490" s="18"/>
      <c r="R1490" s="18"/>
      <c r="S1490" s="52"/>
      <c r="T1490" s="22"/>
    </row>
    <row r="1491">
      <c r="A1491" s="23" t="s">
        <v>10791</v>
      </c>
      <c r="B1491" s="58" t="s">
        <v>448</v>
      </c>
      <c r="C1491" s="41">
        <v>45394.0</v>
      </c>
      <c r="D1491" s="40" t="s">
        <v>10792</v>
      </c>
      <c r="E1491" s="41" t="s">
        <v>10793</v>
      </c>
      <c r="F1491" s="43" t="s">
        <v>10794</v>
      </c>
      <c r="G1491" s="43" t="s">
        <v>10795</v>
      </c>
      <c r="H1491" s="51" t="s">
        <v>10796</v>
      </c>
      <c r="I1491" s="25" t="str">
        <f>IFERROR(__xludf.DUMMYFUNCTION("GOOGLETRANSLATE(H1491,""EN"",""ES"")"),"Realeza")</f>
        <v>Realeza</v>
      </c>
      <c r="J1491" s="26" t="s">
        <v>27</v>
      </c>
      <c r="K1491" s="17">
        <v>0.0</v>
      </c>
      <c r="L1491" s="54"/>
      <c r="M1491" s="31"/>
      <c r="N1491" s="66"/>
      <c r="O1491" s="66"/>
      <c r="P1491" s="20">
        <v>0.0</v>
      </c>
      <c r="Q1491" s="31"/>
      <c r="R1491" s="31"/>
      <c r="S1491" s="53"/>
      <c r="T1491" s="32"/>
    </row>
    <row r="1492">
      <c r="A1492" s="33" t="s">
        <v>10797</v>
      </c>
      <c r="B1492" s="60" t="s">
        <v>702</v>
      </c>
      <c r="C1492" s="41">
        <v>45394.0</v>
      </c>
      <c r="D1492" s="40" t="s">
        <v>10798</v>
      </c>
      <c r="E1492" s="41" t="s">
        <v>10799</v>
      </c>
      <c r="F1492" s="43" t="s">
        <v>10800</v>
      </c>
      <c r="G1492" s="43" t="s">
        <v>10801</v>
      </c>
      <c r="H1492" s="51" t="s">
        <v>5878</v>
      </c>
      <c r="I1492" s="15" t="str">
        <f>IFERROR(__xludf.DUMMYFUNCTION("GOOGLETRANSLATE(H1492,""EN"",""ES"")"),"Entretenimiento")</f>
        <v>Entretenimiento</v>
      </c>
      <c r="J1492" s="16" t="s">
        <v>27</v>
      </c>
      <c r="K1492" s="17">
        <v>0.0</v>
      </c>
      <c r="L1492" s="45"/>
      <c r="M1492" s="18"/>
      <c r="N1492" s="65"/>
      <c r="O1492" s="65"/>
      <c r="P1492" s="20">
        <v>0.0</v>
      </c>
      <c r="Q1492" s="18"/>
      <c r="R1492" s="18"/>
      <c r="S1492" s="52"/>
      <c r="T1492" s="22"/>
    </row>
    <row r="1493">
      <c r="A1493" s="23" t="s">
        <v>10802</v>
      </c>
      <c r="B1493" s="58" t="s">
        <v>260</v>
      </c>
      <c r="C1493" s="41">
        <v>45394.0</v>
      </c>
      <c r="D1493" s="40" t="s">
        <v>10803</v>
      </c>
      <c r="E1493" s="41" t="s">
        <v>10804</v>
      </c>
      <c r="F1493" s="43" t="s">
        <v>10805</v>
      </c>
      <c r="G1493" s="43" t="s">
        <v>10806</v>
      </c>
      <c r="H1493" s="51" t="s">
        <v>10807</v>
      </c>
      <c r="I1493" s="25" t="str">
        <f>IFERROR(__xludf.DUMMYFUNCTION("GOOGLETRANSLATE(H1493,""EN"",""ES"")"),"Cuidado de la salud")</f>
        <v>Cuidado de la salud</v>
      </c>
      <c r="J1493" s="26" t="s">
        <v>27</v>
      </c>
      <c r="K1493" s="17">
        <v>0.0</v>
      </c>
      <c r="L1493" s="54"/>
      <c r="M1493" s="31"/>
      <c r="N1493" s="66"/>
      <c r="O1493" s="66"/>
      <c r="P1493" s="20">
        <v>0.0</v>
      </c>
      <c r="Q1493" s="31"/>
      <c r="R1493" s="31"/>
      <c r="S1493" s="53"/>
      <c r="T1493" s="32"/>
    </row>
    <row r="1494">
      <c r="A1494" s="33" t="s">
        <v>10808</v>
      </c>
      <c r="B1494" s="60" t="s">
        <v>2442</v>
      </c>
      <c r="C1494" s="41">
        <v>45395.0</v>
      </c>
      <c r="D1494" s="40" t="s">
        <v>10809</v>
      </c>
      <c r="E1494" s="41" t="s">
        <v>10810</v>
      </c>
      <c r="F1494" s="43" t="s">
        <v>10811</v>
      </c>
      <c r="G1494" s="43" t="s">
        <v>10812</v>
      </c>
      <c r="H1494" s="51" t="s">
        <v>130</v>
      </c>
      <c r="I1494" s="15" t="str">
        <f>IFERROR(__xludf.DUMMYFUNCTION("GOOGLETRANSLATE(H1494,""EN"",""ES"")"),"Sostenibilidad")</f>
        <v>Sostenibilidad</v>
      </c>
      <c r="J1494" s="16" t="s">
        <v>35</v>
      </c>
      <c r="K1494" s="48">
        <v>0.7</v>
      </c>
      <c r="L1494" s="51" t="s">
        <v>9372</v>
      </c>
      <c r="M1494" s="34" t="s">
        <v>9373</v>
      </c>
      <c r="N1494" s="65" t="s">
        <v>9374</v>
      </c>
      <c r="O1494" s="65" t="str">
        <f>IFERROR(__xludf.DUMMYFUNCTION("GOOGLETRANSLATE(N1494,""EN"",""ES"")"),"El reconocimiento al esfuerzo en sostenibilidad potencia la imagen corporativa de Repsol.")</f>
        <v>El reconocimiento al esfuerzo en sostenibilidad potencia la imagen corporativa de Repsol.</v>
      </c>
      <c r="P1494" s="30">
        <v>-0.9</v>
      </c>
      <c r="Q1494" s="18" t="str">
        <f>IFERROR(__xludf.DUMMYFUNCTION("GOOGLETRANSLATE(R1494,""ES"",""EN"")"),"more polluting")</f>
        <v>more polluting</v>
      </c>
      <c r="R1494" s="34" t="s">
        <v>10731</v>
      </c>
      <c r="S1494" s="52" t="s">
        <v>10813</v>
      </c>
      <c r="T1494" s="22" t="s">
        <v>10814</v>
      </c>
    </row>
    <row r="1495">
      <c r="A1495" s="23" t="s">
        <v>10815</v>
      </c>
      <c r="B1495" s="58" t="s">
        <v>4038</v>
      </c>
      <c r="C1495" s="41">
        <v>45395.0</v>
      </c>
      <c r="D1495" s="40" t="s">
        <v>10816</v>
      </c>
      <c r="E1495" s="41" t="s">
        <v>10817</v>
      </c>
      <c r="F1495" s="43" t="s">
        <v>10818</v>
      </c>
      <c r="G1495" s="43" t="s">
        <v>10819</v>
      </c>
      <c r="H1495" s="51" t="s">
        <v>148</v>
      </c>
      <c r="I1495" s="25" t="str">
        <f>IFERROR(__xludf.DUMMYFUNCTION("GOOGLETRANSLATE(H1495,""EN"",""ES"")"),"Gastronomía")</f>
        <v>Gastronomía</v>
      </c>
      <c r="J1495" s="26" t="s">
        <v>27</v>
      </c>
      <c r="K1495" s="17">
        <v>0.0</v>
      </c>
      <c r="L1495" s="54"/>
      <c r="M1495" s="31"/>
      <c r="N1495" s="66"/>
      <c r="O1495" s="66"/>
      <c r="P1495" s="20">
        <v>0.0</v>
      </c>
      <c r="Q1495" s="31"/>
      <c r="R1495" s="31"/>
      <c r="S1495" s="53"/>
      <c r="T1495" s="32"/>
    </row>
    <row r="1496">
      <c r="A1496" s="33" t="s">
        <v>10820</v>
      </c>
      <c r="B1496" s="60" t="s">
        <v>614</v>
      </c>
      <c r="C1496" s="41">
        <v>45395.0</v>
      </c>
      <c r="D1496" s="40" t="s">
        <v>10821</v>
      </c>
      <c r="E1496" s="41" t="s">
        <v>10822</v>
      </c>
      <c r="F1496" s="43" t="s">
        <v>10823</v>
      </c>
      <c r="G1496" s="43" t="s">
        <v>10824</v>
      </c>
      <c r="H1496" s="51" t="s">
        <v>130</v>
      </c>
      <c r="I1496" s="15" t="str">
        <f>IFERROR(__xludf.DUMMYFUNCTION("GOOGLETRANSLATE(H1496,""EN"",""ES"")"),"Sostenibilidad")</f>
        <v>Sostenibilidad</v>
      </c>
      <c r="J1496" s="16" t="s">
        <v>35</v>
      </c>
      <c r="K1496" s="48">
        <v>0.8</v>
      </c>
      <c r="L1496" s="51" t="s">
        <v>8251</v>
      </c>
      <c r="M1496" s="34" t="s">
        <v>8252</v>
      </c>
      <c r="N1496" s="65" t="s">
        <v>10825</v>
      </c>
      <c r="O1496" s="65" t="str">
        <f>IFERROR(__xludf.DUMMYFUNCTION("GOOGLETRANSLATE(N1496,""EN"",""ES"")"),"La ampliación de la producción de combustibles renovables refuerza la estrategia medioambiental de Repsol.")</f>
        <v>La ampliación de la producción de combustibles renovables refuerza la estrategia medioambiental de Repsol.</v>
      </c>
      <c r="P1496" s="30">
        <v>0.0</v>
      </c>
      <c r="Q1496" s="18"/>
      <c r="R1496" s="18"/>
      <c r="S1496" s="52" t="s">
        <v>10534</v>
      </c>
      <c r="T1496" s="22" t="s">
        <v>10535</v>
      </c>
    </row>
    <row r="1497">
      <c r="A1497" s="23" t="s">
        <v>10826</v>
      </c>
      <c r="B1497" s="58" t="s">
        <v>1142</v>
      </c>
      <c r="C1497" s="41">
        <v>45395.0</v>
      </c>
      <c r="D1497" s="40" t="s">
        <v>10827</v>
      </c>
      <c r="E1497" s="41" t="s">
        <v>10828</v>
      </c>
      <c r="F1497" s="43" t="s">
        <v>10829</v>
      </c>
      <c r="G1497" s="43" t="s">
        <v>10830</v>
      </c>
      <c r="H1497" s="51" t="s">
        <v>130</v>
      </c>
      <c r="I1497" s="25" t="str">
        <f>IFERROR(__xludf.DUMMYFUNCTION("GOOGLETRANSLATE(H1497,""EN"",""ES"")"),"Sostenibilidad")</f>
        <v>Sostenibilidad</v>
      </c>
      <c r="J1497" s="26" t="s">
        <v>35</v>
      </c>
      <c r="K1497" s="48">
        <v>0.7</v>
      </c>
      <c r="L1497" s="49" t="s">
        <v>10831</v>
      </c>
      <c r="M1497" s="28" t="s">
        <v>10832</v>
      </c>
      <c r="N1497" s="66" t="s">
        <v>10833</v>
      </c>
      <c r="O1497" s="66" t="str">
        <f>IFERROR(__xludf.DUMMYFUNCTION("GOOGLETRANSLATE(N1497,""EN"",""ES"")"),"Participar en iniciativas energéticas comunitarias se alinea con los objetivos renovables de Repsol.")</f>
        <v>Participar en iniciativas energéticas comunitarias se alinea con los objetivos renovables de Repsol.</v>
      </c>
      <c r="P1497" s="30">
        <v>-0.2</v>
      </c>
      <c r="Q1497" s="31" t="str">
        <f>IFERROR(__xludf.DUMMYFUNCTION("GOOGLETRANSLATE(R1497,""ES"",""EN"")"),"subsidies")</f>
        <v>subsidies</v>
      </c>
      <c r="R1497" s="28" t="s">
        <v>10834</v>
      </c>
      <c r="S1497" s="53" t="s">
        <v>10835</v>
      </c>
      <c r="T1497" s="32" t="s">
        <v>10836</v>
      </c>
    </row>
    <row r="1498">
      <c r="A1498" s="33" t="s">
        <v>10837</v>
      </c>
      <c r="B1498" s="60" t="s">
        <v>2515</v>
      </c>
      <c r="C1498" s="41">
        <v>45395.0</v>
      </c>
      <c r="D1498" s="40" t="s">
        <v>10838</v>
      </c>
      <c r="E1498" s="41" t="s">
        <v>10839</v>
      </c>
      <c r="F1498" s="43" t="s">
        <v>10840</v>
      </c>
      <c r="G1498" s="43" t="s">
        <v>10841</v>
      </c>
      <c r="H1498" s="51" t="s">
        <v>8756</v>
      </c>
      <c r="I1498" s="15" t="str">
        <f>IFERROR(__xludf.DUMMYFUNCTION("GOOGLETRANSLATE(H1498,""EN"",""ES"")"),"Automotor")</f>
        <v>Automotor</v>
      </c>
      <c r="J1498" s="16" t="s">
        <v>27</v>
      </c>
      <c r="K1498" s="17">
        <v>0.0</v>
      </c>
      <c r="L1498" s="45"/>
      <c r="M1498" s="18"/>
      <c r="N1498" s="65"/>
      <c r="O1498" s="65"/>
      <c r="P1498" s="20">
        <v>0.0</v>
      </c>
      <c r="Q1498" s="18"/>
      <c r="R1498" s="18"/>
      <c r="S1498" s="52"/>
      <c r="T1498" s="22"/>
    </row>
    <row r="1499">
      <c r="A1499" s="23" t="s">
        <v>10842</v>
      </c>
      <c r="B1499" s="58" t="s">
        <v>163</v>
      </c>
      <c r="C1499" s="41">
        <v>45395.0</v>
      </c>
      <c r="D1499" s="40" t="s">
        <v>10843</v>
      </c>
      <c r="E1499" s="41" t="s">
        <v>10844</v>
      </c>
      <c r="F1499" s="43" t="s">
        <v>10845</v>
      </c>
      <c r="G1499" s="43" t="s">
        <v>10846</v>
      </c>
      <c r="H1499" s="51" t="s">
        <v>55</v>
      </c>
      <c r="I1499" s="25" t="str">
        <f>IFERROR(__xludf.DUMMYFUNCTION("GOOGLETRANSLATE(H1499,""EN"",""ES"")"),"deportes de motor")</f>
        <v>deportes de motor</v>
      </c>
      <c r="J1499" s="26" t="s">
        <v>27</v>
      </c>
      <c r="K1499" s="17">
        <v>0.0</v>
      </c>
      <c r="L1499" s="54"/>
      <c r="M1499" s="31"/>
      <c r="N1499" s="66"/>
      <c r="O1499" s="66"/>
      <c r="P1499" s="20">
        <v>0.0</v>
      </c>
      <c r="Q1499" s="31"/>
      <c r="R1499" s="31"/>
      <c r="S1499" s="53"/>
      <c r="T1499" s="32"/>
    </row>
    <row r="1500">
      <c r="A1500" s="33" t="s">
        <v>10847</v>
      </c>
      <c r="B1500" s="60" t="s">
        <v>1072</v>
      </c>
      <c r="C1500" s="41">
        <v>45395.0</v>
      </c>
      <c r="D1500" s="40" t="s">
        <v>10848</v>
      </c>
      <c r="E1500" s="41" t="s">
        <v>10849</v>
      </c>
      <c r="F1500" s="43" t="s">
        <v>10850</v>
      </c>
      <c r="G1500" s="43" t="s">
        <v>10851</v>
      </c>
      <c r="H1500" s="51" t="s">
        <v>48</v>
      </c>
      <c r="I1500" s="15" t="str">
        <f>IFERROR(__xludf.DUMMYFUNCTION("GOOGLETRANSLATE(H1500,""EN"",""ES"")"),"Finanzas")</f>
        <v>Finanzas</v>
      </c>
      <c r="J1500" s="16" t="s">
        <v>27</v>
      </c>
      <c r="K1500" s="17">
        <v>0.0</v>
      </c>
      <c r="L1500" s="45"/>
      <c r="M1500" s="18"/>
      <c r="N1500" s="65"/>
      <c r="O1500" s="65"/>
      <c r="P1500" s="20">
        <v>0.0</v>
      </c>
      <c r="Q1500" s="18"/>
      <c r="R1500" s="18"/>
      <c r="S1500" s="52"/>
      <c r="T1500" s="22"/>
    </row>
    <row r="1501">
      <c r="A1501" s="23" t="s">
        <v>10852</v>
      </c>
      <c r="B1501" s="58" t="s">
        <v>3151</v>
      </c>
      <c r="C1501" s="41">
        <v>45395.0</v>
      </c>
      <c r="D1501" s="40" t="s">
        <v>10853</v>
      </c>
      <c r="E1501" s="41" t="s">
        <v>10854</v>
      </c>
      <c r="F1501" s="43" t="s">
        <v>10855</v>
      </c>
      <c r="G1501" s="43" t="s">
        <v>10856</v>
      </c>
      <c r="H1501" s="51" t="s">
        <v>8756</v>
      </c>
      <c r="I1501" s="25" t="str">
        <f>IFERROR(__xludf.DUMMYFUNCTION("GOOGLETRANSLATE(H1501,""EN"",""ES"")"),"Automotor")</f>
        <v>Automotor</v>
      </c>
      <c r="J1501" s="26" t="s">
        <v>27</v>
      </c>
      <c r="K1501" s="17">
        <v>0.0</v>
      </c>
      <c r="L1501" s="54"/>
      <c r="M1501" s="31"/>
      <c r="N1501" s="66"/>
      <c r="O1501" s="66"/>
      <c r="P1501" s="20">
        <v>0.0</v>
      </c>
      <c r="Q1501" s="31"/>
      <c r="R1501" s="31"/>
      <c r="S1501" s="53"/>
      <c r="T1501" s="32"/>
    </row>
    <row r="1502">
      <c r="A1502" s="33" t="s">
        <v>10857</v>
      </c>
      <c r="B1502" s="60" t="s">
        <v>761</v>
      </c>
      <c r="C1502" s="41">
        <v>45395.0</v>
      </c>
      <c r="D1502" s="40" t="s">
        <v>10858</v>
      </c>
      <c r="E1502" s="41" t="s">
        <v>10859</v>
      </c>
      <c r="F1502" s="43" t="s">
        <v>10860</v>
      </c>
      <c r="G1502" s="43" t="s">
        <v>10861</v>
      </c>
      <c r="H1502" s="51" t="s">
        <v>148</v>
      </c>
      <c r="I1502" s="15" t="str">
        <f>IFERROR(__xludf.DUMMYFUNCTION("GOOGLETRANSLATE(H1502,""EN"",""ES"")"),"Gastronomía")</f>
        <v>Gastronomía</v>
      </c>
      <c r="J1502" s="16" t="s">
        <v>27</v>
      </c>
      <c r="K1502" s="17">
        <v>0.0</v>
      </c>
      <c r="L1502" s="45"/>
      <c r="M1502" s="18"/>
      <c r="N1502" s="65"/>
      <c r="O1502" s="65"/>
      <c r="P1502" s="20">
        <v>0.0</v>
      </c>
      <c r="Q1502" s="18"/>
      <c r="R1502" s="18"/>
      <c r="S1502" s="52"/>
      <c r="T1502" s="22"/>
    </row>
    <row r="1503">
      <c r="A1503" s="23" t="s">
        <v>10862</v>
      </c>
      <c r="B1503" s="58" t="s">
        <v>1215</v>
      </c>
      <c r="C1503" s="41">
        <v>45395.0</v>
      </c>
      <c r="D1503" s="40" t="s">
        <v>10863</v>
      </c>
      <c r="E1503" s="41" t="s">
        <v>10864</v>
      </c>
      <c r="F1503" s="43" t="s">
        <v>10865</v>
      </c>
      <c r="G1503" s="43" t="s">
        <v>10866</v>
      </c>
      <c r="H1503" s="51" t="s">
        <v>8166</v>
      </c>
      <c r="I1503" s="25" t="str">
        <f>IFERROR(__xludf.DUMMYFUNCTION("GOOGLETRANSLATE(H1503,""EN"",""ES"")"),"Economía")</f>
        <v>Economía</v>
      </c>
      <c r="J1503" s="26" t="s">
        <v>27</v>
      </c>
      <c r="K1503" s="17">
        <v>0.0</v>
      </c>
      <c r="L1503" s="54"/>
      <c r="M1503" s="31"/>
      <c r="N1503" s="66"/>
      <c r="O1503" s="66"/>
      <c r="P1503" s="20">
        <v>0.0</v>
      </c>
      <c r="Q1503" s="31"/>
      <c r="R1503" s="31"/>
      <c r="S1503" s="53"/>
      <c r="T1503" s="32"/>
    </row>
    <row r="1504">
      <c r="A1504" s="33" t="s">
        <v>10867</v>
      </c>
      <c r="B1504" s="60" t="s">
        <v>217</v>
      </c>
      <c r="C1504" s="41">
        <v>45396.0</v>
      </c>
      <c r="D1504" s="40" t="s">
        <v>10868</v>
      </c>
      <c r="E1504" s="41" t="s">
        <v>10869</v>
      </c>
      <c r="F1504" s="43" t="s">
        <v>10870</v>
      </c>
      <c r="G1504" s="43" t="s">
        <v>10871</v>
      </c>
      <c r="H1504" s="51" t="s">
        <v>661</v>
      </c>
      <c r="I1504" s="15" t="str">
        <f>IFERROR(__xludf.DUMMYFUNCTION("GOOGLETRANSLATE(H1504,""EN"",""ES"")"),"Estrategia empresarial")</f>
        <v>Estrategia empresarial</v>
      </c>
      <c r="J1504" s="16" t="s">
        <v>35</v>
      </c>
      <c r="K1504" s="48">
        <v>0.6</v>
      </c>
      <c r="L1504" s="51" t="s">
        <v>10407</v>
      </c>
      <c r="M1504" s="34" t="s">
        <v>10408</v>
      </c>
      <c r="N1504" s="65" t="s">
        <v>10872</v>
      </c>
      <c r="O1504" s="65" t="str">
        <f>IFERROR(__xludf.DUMMYFUNCTION("GOOGLETRANSLATE(N1504,""EN"",""ES"")"),"La expansión a los servicios eléctricos mejora el posicionamiento competitivo de Repsol.")</f>
        <v>La expansión a los servicios eléctricos mejora el posicionamiento competitivo de Repsol.</v>
      </c>
      <c r="P1504" s="30">
        <v>0.4</v>
      </c>
      <c r="Q1504" s="18" t="str">
        <f>IFERROR(__xludf.DUMMYFUNCTION("GOOGLETRANSLATE(R1504,""ES"",""EN"")"),"launch rates, grow")</f>
        <v>launch rates, grow</v>
      </c>
      <c r="R1504" s="34" t="s">
        <v>10873</v>
      </c>
      <c r="S1504" s="52" t="s">
        <v>10411</v>
      </c>
      <c r="T1504" s="22" t="s">
        <v>10412</v>
      </c>
    </row>
    <row r="1505">
      <c r="A1505" s="23" t="s">
        <v>10874</v>
      </c>
      <c r="B1505" s="58" t="s">
        <v>125</v>
      </c>
      <c r="C1505" s="41">
        <v>45396.0</v>
      </c>
      <c r="D1505" s="40" t="s">
        <v>10875</v>
      </c>
      <c r="E1505" s="41" t="s">
        <v>10876</v>
      </c>
      <c r="F1505" s="43" t="s">
        <v>10877</v>
      </c>
      <c r="G1505" s="43" t="s">
        <v>10878</v>
      </c>
      <c r="H1505" s="51" t="s">
        <v>661</v>
      </c>
      <c r="I1505" s="25" t="str">
        <f>IFERROR(__xludf.DUMMYFUNCTION("GOOGLETRANSLATE(H1505,""EN"",""ES"")"),"Estrategia empresarial")</f>
        <v>Estrategia empresarial</v>
      </c>
      <c r="J1505" s="26" t="s">
        <v>35</v>
      </c>
      <c r="K1505" s="48">
        <v>0.5</v>
      </c>
      <c r="L1505" s="49" t="s">
        <v>10111</v>
      </c>
      <c r="M1505" s="28" t="s">
        <v>10112</v>
      </c>
      <c r="N1505" s="66" t="s">
        <v>10879</v>
      </c>
      <c r="O1505" s="66" t="str">
        <f>IFERROR(__xludf.DUMMYFUNCTION("GOOGLETRANSLATE(N1505,""EN"",""ES"")"),"El mantenimiento rutinario no impacta significativamente en la percepción corporativa de Repsol.")</f>
        <v>El mantenimiento rutinario no impacta significativamente en la percepción corporativa de Repsol.</v>
      </c>
      <c r="P1505" s="30">
        <v>0.0</v>
      </c>
      <c r="Q1505" s="31"/>
      <c r="R1505" s="31"/>
      <c r="S1505" s="53" t="s">
        <v>10136</v>
      </c>
      <c r="T1505" s="32" t="s">
        <v>10137</v>
      </c>
    </row>
    <row r="1506">
      <c r="A1506" s="33" t="s">
        <v>10880</v>
      </c>
      <c r="B1506" s="60" t="s">
        <v>3992</v>
      </c>
      <c r="C1506" s="41">
        <v>45396.0</v>
      </c>
      <c r="D1506" s="40" t="s">
        <v>10881</v>
      </c>
      <c r="E1506" s="41" t="s">
        <v>10882</v>
      </c>
      <c r="F1506" s="43" t="s">
        <v>10883</v>
      </c>
      <c r="G1506" s="43" t="s">
        <v>10884</v>
      </c>
      <c r="H1506" s="51" t="s">
        <v>969</v>
      </c>
      <c r="I1506" s="15" t="str">
        <f>IFERROR(__xludf.DUMMYFUNCTION("GOOGLETRANSLATE(H1506,""EN"",""ES"")"),"Turismo")</f>
        <v>Turismo</v>
      </c>
      <c r="J1506" s="16" t="s">
        <v>27</v>
      </c>
      <c r="K1506" s="17">
        <v>0.0</v>
      </c>
      <c r="L1506" s="45"/>
      <c r="M1506" s="18"/>
      <c r="N1506" s="65"/>
      <c r="O1506" s="65"/>
      <c r="P1506" s="20">
        <v>0.0</v>
      </c>
      <c r="Q1506" s="18"/>
      <c r="R1506" s="18"/>
      <c r="S1506" s="52"/>
      <c r="T1506" s="22"/>
    </row>
    <row r="1507">
      <c r="A1507" s="23" t="s">
        <v>10885</v>
      </c>
      <c r="B1507" s="58" t="s">
        <v>103</v>
      </c>
      <c r="C1507" s="41">
        <v>45396.0</v>
      </c>
      <c r="D1507" s="40" t="s">
        <v>10886</v>
      </c>
      <c r="E1507" s="41" t="s">
        <v>10887</v>
      </c>
      <c r="F1507" s="43" t="s">
        <v>10888</v>
      </c>
      <c r="G1507" s="43" t="s">
        <v>10889</v>
      </c>
      <c r="H1507" s="51" t="s">
        <v>48</v>
      </c>
      <c r="I1507" s="25" t="str">
        <f>IFERROR(__xludf.DUMMYFUNCTION("GOOGLETRANSLATE(H1507,""EN"",""ES"")"),"Finanzas")</f>
        <v>Finanzas</v>
      </c>
      <c r="J1507" s="26" t="s">
        <v>27</v>
      </c>
      <c r="K1507" s="17">
        <v>0.0</v>
      </c>
      <c r="L1507" s="54"/>
      <c r="M1507" s="31"/>
      <c r="N1507" s="66"/>
      <c r="O1507" s="66"/>
      <c r="P1507" s="20">
        <v>0.0</v>
      </c>
      <c r="Q1507" s="31"/>
      <c r="R1507" s="31"/>
      <c r="S1507" s="53"/>
      <c r="T1507" s="32"/>
    </row>
    <row r="1508">
      <c r="A1508" s="33" t="s">
        <v>10890</v>
      </c>
      <c r="B1508" s="60" t="s">
        <v>1831</v>
      </c>
      <c r="C1508" s="41">
        <v>45396.0</v>
      </c>
      <c r="D1508" s="40" t="s">
        <v>10891</v>
      </c>
      <c r="E1508" s="41" t="s">
        <v>10892</v>
      </c>
      <c r="F1508" s="43" t="s">
        <v>10893</v>
      </c>
      <c r="G1508" s="43" t="s">
        <v>10894</v>
      </c>
      <c r="H1508" s="51" t="s">
        <v>130</v>
      </c>
      <c r="I1508" s="15" t="str">
        <f>IFERROR(__xludf.DUMMYFUNCTION("GOOGLETRANSLATE(H1508,""EN"",""ES"")"),"Sostenibilidad")</f>
        <v>Sostenibilidad</v>
      </c>
      <c r="J1508" s="16" t="s">
        <v>35</v>
      </c>
      <c r="K1508" s="48">
        <v>0.8</v>
      </c>
      <c r="L1508" s="51" t="s">
        <v>10895</v>
      </c>
      <c r="M1508" s="34" t="s">
        <v>10896</v>
      </c>
      <c r="N1508" s="65" t="s">
        <v>10897</v>
      </c>
      <c r="O1508" s="65" t="str">
        <f>IFERROR(__xludf.DUMMYFUNCTION("GOOGLETRANSLATE(N1508,""EN"",""ES"")"),"Los cambios regulatorios favorables respaldan la expansión de los combustibles renovables de Repsol.")</f>
        <v>Los cambios regulatorios favorables respaldan la expansión de los combustibles renovables de Repsol.</v>
      </c>
      <c r="P1508" s="30">
        <v>0.0</v>
      </c>
      <c r="Q1508" s="18"/>
      <c r="R1508" s="18"/>
      <c r="S1508" s="52" t="s">
        <v>10534</v>
      </c>
      <c r="T1508" s="22" t="s">
        <v>10535</v>
      </c>
    </row>
    <row r="1509">
      <c r="A1509" s="23" t="s">
        <v>10898</v>
      </c>
      <c r="B1509" s="58" t="s">
        <v>91</v>
      </c>
      <c r="C1509" s="41">
        <v>45396.0</v>
      </c>
      <c r="D1509" s="40" t="s">
        <v>10899</v>
      </c>
      <c r="E1509" s="41" t="s">
        <v>10900</v>
      </c>
      <c r="F1509" s="43" t="s">
        <v>10901</v>
      </c>
      <c r="G1509" s="43" t="s">
        <v>10902</v>
      </c>
      <c r="H1509" s="51" t="s">
        <v>395</v>
      </c>
      <c r="I1509" s="25" t="str">
        <f>IFERROR(__xludf.DUMMYFUNCTION("GOOGLETRANSLATE(H1509,""EN"",""ES"")"),"Ambiente")</f>
        <v>Ambiente</v>
      </c>
      <c r="J1509" s="26" t="s">
        <v>27</v>
      </c>
      <c r="K1509" s="17">
        <v>0.0</v>
      </c>
      <c r="L1509" s="54"/>
      <c r="M1509" s="31"/>
      <c r="N1509" s="66"/>
      <c r="O1509" s="66"/>
      <c r="P1509" s="20">
        <v>0.0</v>
      </c>
      <c r="Q1509" s="31"/>
      <c r="R1509" s="31"/>
      <c r="S1509" s="53"/>
      <c r="T1509" s="32"/>
    </row>
    <row r="1510">
      <c r="A1510" s="33" t="s">
        <v>10903</v>
      </c>
      <c r="B1510" s="60" t="s">
        <v>10904</v>
      </c>
      <c r="C1510" s="41">
        <v>45396.0</v>
      </c>
      <c r="D1510" s="40" t="s">
        <v>10905</v>
      </c>
      <c r="E1510" s="41" t="s">
        <v>10906</v>
      </c>
      <c r="F1510" s="43" t="s">
        <v>10907</v>
      </c>
      <c r="G1510" s="43" t="s">
        <v>10908</v>
      </c>
      <c r="H1510" s="51" t="s">
        <v>148</v>
      </c>
      <c r="I1510" s="15" t="str">
        <f>IFERROR(__xludf.DUMMYFUNCTION("GOOGLETRANSLATE(H1510,""EN"",""ES"")"),"Gastronomía")</f>
        <v>Gastronomía</v>
      </c>
      <c r="J1510" s="16" t="s">
        <v>27</v>
      </c>
      <c r="K1510" s="17">
        <v>0.0</v>
      </c>
      <c r="L1510" s="45"/>
      <c r="M1510" s="18"/>
      <c r="N1510" s="65"/>
      <c r="O1510" s="65"/>
      <c r="P1510" s="20">
        <v>0.0</v>
      </c>
      <c r="Q1510" s="18"/>
      <c r="R1510" s="18"/>
      <c r="S1510" s="52"/>
      <c r="T1510" s="22"/>
    </row>
    <row r="1511">
      <c r="A1511" s="23" t="s">
        <v>10909</v>
      </c>
      <c r="B1511" s="58" t="s">
        <v>6776</v>
      </c>
      <c r="C1511" s="41">
        <v>45396.0</v>
      </c>
      <c r="D1511" s="40" t="s">
        <v>10910</v>
      </c>
      <c r="E1511" s="41" t="s">
        <v>10911</v>
      </c>
      <c r="F1511" s="43" t="s">
        <v>10912</v>
      </c>
      <c r="G1511" s="43" t="s">
        <v>10913</v>
      </c>
      <c r="H1511" s="51" t="s">
        <v>148</v>
      </c>
      <c r="I1511" s="25" t="str">
        <f>IFERROR(__xludf.DUMMYFUNCTION("GOOGLETRANSLATE(H1511,""EN"",""ES"")"),"Gastronomía")</f>
        <v>Gastronomía</v>
      </c>
      <c r="J1511" s="26" t="s">
        <v>27</v>
      </c>
      <c r="K1511" s="17">
        <v>0.0</v>
      </c>
      <c r="L1511" s="54"/>
      <c r="M1511" s="31"/>
      <c r="N1511" s="66"/>
      <c r="O1511" s="66"/>
      <c r="P1511" s="20">
        <v>0.0</v>
      </c>
      <c r="Q1511" s="31"/>
      <c r="R1511" s="31"/>
      <c r="S1511" s="53"/>
      <c r="T1511" s="32"/>
    </row>
    <row r="1512">
      <c r="A1512" s="33" t="s">
        <v>10914</v>
      </c>
      <c r="B1512" s="60" t="s">
        <v>437</v>
      </c>
      <c r="C1512" s="41">
        <v>45396.0</v>
      </c>
      <c r="D1512" s="40" t="s">
        <v>10915</v>
      </c>
      <c r="E1512" s="41" t="s">
        <v>10916</v>
      </c>
      <c r="F1512" s="43" t="s">
        <v>10917</v>
      </c>
      <c r="G1512" s="43" t="s">
        <v>10918</v>
      </c>
      <c r="H1512" s="51" t="s">
        <v>148</v>
      </c>
      <c r="I1512" s="15" t="str">
        <f>IFERROR(__xludf.DUMMYFUNCTION("GOOGLETRANSLATE(H1512,""EN"",""ES"")"),"Gastronomía")</f>
        <v>Gastronomía</v>
      </c>
      <c r="J1512" s="16" t="s">
        <v>27</v>
      </c>
      <c r="K1512" s="17">
        <v>0.0</v>
      </c>
      <c r="L1512" s="45"/>
      <c r="M1512" s="18"/>
      <c r="N1512" s="65"/>
      <c r="O1512" s="65"/>
      <c r="P1512" s="20">
        <v>0.0</v>
      </c>
      <c r="Q1512" s="18"/>
      <c r="R1512" s="18"/>
      <c r="S1512" s="52"/>
      <c r="T1512" s="22"/>
    </row>
    <row r="1513">
      <c r="A1513" s="23" t="s">
        <v>10919</v>
      </c>
      <c r="B1513" s="58" t="s">
        <v>10920</v>
      </c>
      <c r="C1513" s="41">
        <v>45396.0</v>
      </c>
      <c r="D1513" s="40" t="s">
        <v>10921</v>
      </c>
      <c r="E1513" s="41" t="s">
        <v>10922</v>
      </c>
      <c r="F1513" s="43" t="s">
        <v>10923</v>
      </c>
      <c r="G1513" s="43" t="s">
        <v>10924</v>
      </c>
      <c r="H1513" s="51" t="s">
        <v>62</v>
      </c>
      <c r="I1513" s="25" t="str">
        <f>IFERROR(__xludf.DUMMYFUNCTION("GOOGLETRANSLATE(H1513,""EN"",""ES"")"),"Energía")</f>
        <v>Energía</v>
      </c>
      <c r="J1513" s="26" t="s">
        <v>27</v>
      </c>
      <c r="K1513" s="17">
        <v>0.0</v>
      </c>
      <c r="L1513" s="54"/>
      <c r="M1513" s="31"/>
      <c r="N1513" s="66"/>
      <c r="O1513" s="66"/>
      <c r="P1513" s="20">
        <v>0.0</v>
      </c>
      <c r="Q1513" s="31"/>
      <c r="R1513" s="31"/>
      <c r="S1513" s="53"/>
      <c r="T1513" s="32"/>
    </row>
    <row r="1514">
      <c r="A1514" s="33" t="s">
        <v>10925</v>
      </c>
      <c r="B1514" s="60" t="s">
        <v>1970</v>
      </c>
      <c r="C1514" s="41">
        <v>45397.0</v>
      </c>
      <c r="D1514" s="40" t="s">
        <v>10926</v>
      </c>
      <c r="E1514" s="41" t="s">
        <v>10927</v>
      </c>
      <c r="F1514" s="43" t="s">
        <v>10928</v>
      </c>
      <c r="G1514" s="43" t="s">
        <v>10929</v>
      </c>
      <c r="H1514" s="51" t="s">
        <v>408</v>
      </c>
      <c r="I1514" s="15" t="str">
        <f>IFERROR(__xludf.DUMMYFUNCTION("GOOGLETRANSLATE(H1514,""EN"",""ES"")"),"Legal")</f>
        <v>Legal</v>
      </c>
      <c r="J1514" s="16" t="s">
        <v>35</v>
      </c>
      <c r="K1514" s="48">
        <v>-0.7</v>
      </c>
      <c r="L1514" s="51" t="s">
        <v>10930</v>
      </c>
      <c r="M1514" s="34" t="s">
        <v>10931</v>
      </c>
      <c r="N1514" s="65" t="s">
        <v>10932</v>
      </c>
      <c r="O1514" s="65" t="str">
        <f>IFERROR(__xludf.DUMMYFUNCTION("GOOGLETRANSLATE(N1514,""EN"",""ES"")"),"La oposición pública de los grupos ambientalistas puede dañar la reputación de sustentabilidad de Repsol.")</f>
        <v>La oposición pública de los grupos ambientalistas puede dañar la reputación de sustentabilidad de Repsol.</v>
      </c>
      <c r="P1514" s="30">
        <v>-0.7</v>
      </c>
      <c r="Q1514" s="18" t="str">
        <f>IFERROR(__xludf.DUMMYFUNCTION("GOOGLETRANSLATE(R1514,""ES"",""EN"")"),"they denounce, ecopostureo")</f>
        <v>they denounce, ecopostureo</v>
      </c>
      <c r="R1514" s="34" t="s">
        <v>10933</v>
      </c>
      <c r="S1514" s="52" t="s">
        <v>10934</v>
      </c>
      <c r="T1514" s="22" t="s">
        <v>10935</v>
      </c>
    </row>
    <row r="1515">
      <c r="A1515" s="23" t="s">
        <v>10936</v>
      </c>
      <c r="B1515" s="58" t="s">
        <v>21</v>
      </c>
      <c r="C1515" s="41">
        <v>45397.0</v>
      </c>
      <c r="D1515" s="40" t="s">
        <v>10937</v>
      </c>
      <c r="E1515" s="41" t="s">
        <v>10938</v>
      </c>
      <c r="F1515" s="43" t="s">
        <v>10939</v>
      </c>
      <c r="G1515" s="43" t="s">
        <v>10940</v>
      </c>
      <c r="H1515" s="51" t="s">
        <v>8777</v>
      </c>
      <c r="I1515" s="25" t="str">
        <f>IFERROR(__xludf.DUMMYFUNCTION("GOOGLETRANSLATE(H1515,""EN"",""ES"")"),"Cultura")</f>
        <v>Cultura</v>
      </c>
      <c r="J1515" s="26" t="s">
        <v>27</v>
      </c>
      <c r="K1515" s="17">
        <v>0.0</v>
      </c>
      <c r="L1515" s="54"/>
      <c r="M1515" s="31"/>
      <c r="N1515" s="66"/>
      <c r="O1515" s="66"/>
      <c r="P1515" s="20">
        <v>0.0</v>
      </c>
      <c r="Q1515" s="31"/>
      <c r="R1515" s="31"/>
      <c r="S1515" s="53"/>
      <c r="T1515" s="32"/>
    </row>
    <row r="1516">
      <c r="A1516" s="33" t="s">
        <v>10941</v>
      </c>
      <c r="B1516" s="60" t="s">
        <v>4450</v>
      </c>
      <c r="C1516" s="41">
        <v>45397.0</v>
      </c>
      <c r="D1516" s="40" t="s">
        <v>10942</v>
      </c>
      <c r="E1516" s="41" t="s">
        <v>10943</v>
      </c>
      <c r="F1516" s="43" t="s">
        <v>10944</v>
      </c>
      <c r="G1516" s="43" t="s">
        <v>10945</v>
      </c>
      <c r="H1516" s="51" t="s">
        <v>34</v>
      </c>
      <c r="I1516" s="15" t="str">
        <f>IFERROR(__xludf.DUMMYFUNCTION("GOOGLETRANSLATE(H1516,""EN"",""ES"")"),"Responsabilidad Social Corporativa")</f>
        <v>Responsabilidad Social Corporativa</v>
      </c>
      <c r="J1516" s="16" t="s">
        <v>35</v>
      </c>
      <c r="K1516" s="48">
        <v>0.7</v>
      </c>
      <c r="L1516" s="51" t="s">
        <v>10946</v>
      </c>
      <c r="M1516" s="34" t="s">
        <v>10947</v>
      </c>
      <c r="N1516" s="65" t="s">
        <v>10948</v>
      </c>
      <c r="O1516" s="65" t="str">
        <f>IFERROR(__xludf.DUMMYFUNCTION("GOOGLETRANSLATE(N1516,""EN"",""ES"")"),"Apoyar la excelencia académica fortalece la reputación de Repsol.")</f>
        <v>Apoyar la excelencia académica fortalece la reputación de Repsol.</v>
      </c>
      <c r="P1516" s="30">
        <v>0.5</v>
      </c>
      <c r="Q1516" s="18" t="str">
        <f>IFERROR(__xludf.DUMMYFUNCTION("GOOGLETRANSLATE(R1516,""ES"",""EN"")"),"reward, best work")</f>
        <v>reward, best work</v>
      </c>
      <c r="R1516" s="34" t="s">
        <v>10949</v>
      </c>
      <c r="S1516" s="52" t="s">
        <v>10950</v>
      </c>
      <c r="T1516" s="22" t="s">
        <v>10951</v>
      </c>
    </row>
    <row r="1517">
      <c r="A1517" s="23" t="s">
        <v>10952</v>
      </c>
      <c r="B1517" s="58" t="s">
        <v>859</v>
      </c>
      <c r="C1517" s="41">
        <v>45397.0</v>
      </c>
      <c r="D1517" s="40" t="s">
        <v>10953</v>
      </c>
      <c r="E1517" s="41" t="s">
        <v>10954</v>
      </c>
      <c r="F1517" s="43" t="s">
        <v>10955</v>
      </c>
      <c r="G1517" s="43" t="s">
        <v>10956</v>
      </c>
      <c r="H1517" s="51" t="s">
        <v>130</v>
      </c>
      <c r="I1517" s="25" t="str">
        <f>IFERROR(__xludf.DUMMYFUNCTION("GOOGLETRANSLATE(H1517,""EN"",""ES"")"),"Sostenibilidad")</f>
        <v>Sostenibilidad</v>
      </c>
      <c r="J1517" s="26" t="s">
        <v>35</v>
      </c>
      <c r="K1517" s="48">
        <v>0.8</v>
      </c>
      <c r="L1517" s="49" t="s">
        <v>10957</v>
      </c>
      <c r="M1517" s="28" t="s">
        <v>10958</v>
      </c>
      <c r="N1517" s="66" t="s">
        <v>10959</v>
      </c>
      <c r="O1517" s="66" t="str">
        <f>IFERROR(__xludf.DUMMYFUNCTION("GOOGLETRANSLATE(N1517,""EN"",""ES"")"),"El avance de los proyectos de hidrógeno se alinea con los objetivos de energía limpia de Repsol.")</f>
        <v>El avance de los proyectos de hidrógeno se alinea con los objetivos de energía limpia de Repsol.</v>
      </c>
      <c r="P1517" s="30">
        <v>0.6</v>
      </c>
      <c r="Q1517" s="31" t="str">
        <f>IFERROR(__xludf.DUMMYFUNCTION("GOOGLETRANSLATE(R1517,""ES"",""EN"")"),"reduce CO2")</f>
        <v>reduce CO2</v>
      </c>
      <c r="R1517" s="28" t="s">
        <v>10960</v>
      </c>
      <c r="S1517" s="53" t="s">
        <v>10961</v>
      </c>
      <c r="T1517" s="32" t="s">
        <v>10962</v>
      </c>
    </row>
    <row r="1518">
      <c r="A1518" s="33" t="s">
        <v>10963</v>
      </c>
      <c r="B1518" s="60" t="s">
        <v>10964</v>
      </c>
      <c r="C1518" s="41">
        <v>45397.0</v>
      </c>
      <c r="D1518" s="40" t="s">
        <v>10965</v>
      </c>
      <c r="E1518" s="41" t="s">
        <v>10966</v>
      </c>
      <c r="F1518" s="43" t="s">
        <v>10967</v>
      </c>
      <c r="G1518" s="43" t="s">
        <v>10968</v>
      </c>
      <c r="H1518" s="51" t="s">
        <v>661</v>
      </c>
      <c r="I1518" s="15" t="str">
        <f>IFERROR(__xludf.DUMMYFUNCTION("GOOGLETRANSLATE(H1518,""EN"",""ES"")"),"Estrategia empresarial")</f>
        <v>Estrategia empresarial</v>
      </c>
      <c r="J1518" s="16" t="s">
        <v>35</v>
      </c>
      <c r="K1518" s="48">
        <v>0.5</v>
      </c>
      <c r="L1518" s="51" t="s">
        <v>10111</v>
      </c>
      <c r="M1518" s="34" t="s">
        <v>10112</v>
      </c>
      <c r="N1518" s="65" t="s">
        <v>10969</v>
      </c>
      <c r="O1518" s="65" t="str">
        <f>IFERROR(__xludf.DUMMYFUNCTION("GOOGLETRANSLATE(N1518,""EN"",""ES"")"),"El mantenimiento de rutina garantiza la estabilidad operativa a largo plazo pero tiene un impacto público limitado.")</f>
        <v>El mantenimiento de rutina garantiza la estabilidad operativa a largo plazo pero tiene un impacto público limitado.</v>
      </c>
      <c r="P1518" s="30">
        <v>0.3</v>
      </c>
      <c r="Q1518" s="18" t="str">
        <f>IFERROR(__xludf.DUMMYFUNCTION("GOOGLETRANSLATE(R1518,""ES"",""EN"")"),"good rhythm")</f>
        <v>good rhythm</v>
      </c>
      <c r="R1518" s="34" t="s">
        <v>10970</v>
      </c>
      <c r="S1518" s="52" t="s">
        <v>10136</v>
      </c>
      <c r="T1518" s="22" t="s">
        <v>10137</v>
      </c>
    </row>
    <row r="1519">
      <c r="A1519" s="23" t="s">
        <v>10971</v>
      </c>
      <c r="B1519" s="58" t="s">
        <v>43</v>
      </c>
      <c r="C1519" s="41">
        <v>45397.0</v>
      </c>
      <c r="D1519" s="40" t="s">
        <v>10972</v>
      </c>
      <c r="E1519" s="41" t="s">
        <v>10973</v>
      </c>
      <c r="F1519" s="43" t="s">
        <v>10974</v>
      </c>
      <c r="G1519" s="43" t="s">
        <v>10975</v>
      </c>
      <c r="H1519" s="51" t="s">
        <v>130</v>
      </c>
      <c r="I1519" s="25" t="str">
        <f>IFERROR(__xludf.DUMMYFUNCTION("GOOGLETRANSLATE(H1519,""EN"",""ES"")"),"Sostenibilidad")</f>
        <v>Sostenibilidad</v>
      </c>
      <c r="J1519" s="26" t="s">
        <v>35</v>
      </c>
      <c r="K1519" s="48">
        <v>0.8</v>
      </c>
      <c r="L1519" s="49" t="s">
        <v>10976</v>
      </c>
      <c r="M1519" s="28" t="s">
        <v>10977</v>
      </c>
      <c r="N1519" s="66" t="s">
        <v>10978</v>
      </c>
      <c r="O1519" s="66" t="str">
        <f>IFERROR(__xludf.DUMMYFUNCTION("GOOGLETRANSLATE(N1519,""EN"",""ES"")"),"El avance de los biocombustibles respalda la estrategia de energías renovables de Repsol.")</f>
        <v>El avance de los biocombustibles respalda la estrategia de energías renovables de Repsol.</v>
      </c>
      <c r="P1519" s="30">
        <v>0.7</v>
      </c>
      <c r="Q1519" s="31" t="str">
        <f>IFERROR(__xludf.DUMMYFUNCTION("GOOGLETRANSLATE(R1519,""ES"",""EN"")"),"sustainable fuel")</f>
        <v>sustainable fuel</v>
      </c>
      <c r="R1519" s="28" t="s">
        <v>10979</v>
      </c>
      <c r="S1519" s="53" t="s">
        <v>10980</v>
      </c>
      <c r="T1519" s="32" t="s">
        <v>10981</v>
      </c>
    </row>
    <row r="1520">
      <c r="A1520" s="33" t="s">
        <v>10982</v>
      </c>
      <c r="B1520" s="60" t="s">
        <v>163</v>
      </c>
      <c r="C1520" s="41">
        <v>45397.0</v>
      </c>
      <c r="D1520" s="40" t="s">
        <v>10983</v>
      </c>
      <c r="E1520" s="41" t="s">
        <v>10984</v>
      </c>
      <c r="F1520" s="43" t="s">
        <v>10985</v>
      </c>
      <c r="G1520" s="43" t="s">
        <v>10986</v>
      </c>
      <c r="H1520" s="51" t="s">
        <v>55</v>
      </c>
      <c r="I1520" s="15" t="str">
        <f>IFERROR(__xludf.DUMMYFUNCTION("GOOGLETRANSLATE(H1520,""EN"",""ES"")"),"deportes de motor")</f>
        <v>deportes de motor</v>
      </c>
      <c r="J1520" s="16" t="s">
        <v>27</v>
      </c>
      <c r="K1520" s="17">
        <v>0.0</v>
      </c>
      <c r="L1520" s="45"/>
      <c r="M1520" s="18"/>
      <c r="N1520" s="65"/>
      <c r="O1520" s="65"/>
      <c r="P1520" s="20">
        <v>0.0</v>
      </c>
      <c r="Q1520" s="18"/>
      <c r="R1520" s="18"/>
      <c r="S1520" s="52"/>
      <c r="T1520" s="22"/>
    </row>
    <row r="1521">
      <c r="A1521" s="23" t="s">
        <v>10987</v>
      </c>
      <c r="B1521" s="58" t="s">
        <v>1011</v>
      </c>
      <c r="C1521" s="41">
        <v>45397.0</v>
      </c>
      <c r="D1521" s="40" t="s">
        <v>10988</v>
      </c>
      <c r="E1521" s="41" t="s">
        <v>10989</v>
      </c>
      <c r="F1521" s="43" t="s">
        <v>10990</v>
      </c>
      <c r="G1521" s="43" t="s">
        <v>10991</v>
      </c>
      <c r="H1521" s="51" t="s">
        <v>8339</v>
      </c>
      <c r="I1521" s="25" t="str">
        <f>IFERROR(__xludf.DUMMYFUNCTION("GOOGLETRANSLATE(H1521,""EN"",""ES"")"),"Incidente")</f>
        <v>Incidente</v>
      </c>
      <c r="J1521" s="26" t="s">
        <v>35</v>
      </c>
      <c r="K1521" s="48">
        <v>-0.8</v>
      </c>
      <c r="L1521" s="49" t="s">
        <v>10992</v>
      </c>
      <c r="M1521" s="28" t="s">
        <v>10993</v>
      </c>
      <c r="N1521" s="66" t="s">
        <v>10994</v>
      </c>
      <c r="O1521" s="66" t="str">
        <f>IFERROR(__xludf.DUMMYFUNCTION("GOOGLETRANSLATE(N1521,""EN"",""ES"")"),"Las cuestiones legales relacionadas con derrames de petróleo pasados ​​pueden dañar la reputación de Repsol.")</f>
        <v>Las cuestiones legales relacionadas con derrames de petróleo pasados ​​pueden dañar la reputación de Repsol.</v>
      </c>
      <c r="P1521" s="30">
        <v>-0.8</v>
      </c>
      <c r="Q1521" s="31" t="str">
        <f>IFERROR(__xludf.DUMMYFUNCTION("GOOGLETRANSLATE(R1521,""ES"",""EN"")"),"scam, spill")</f>
        <v>scam, spill</v>
      </c>
      <c r="R1521" s="28" t="s">
        <v>10995</v>
      </c>
      <c r="S1521" s="53" t="s">
        <v>10996</v>
      </c>
      <c r="T1521" s="32" t="s">
        <v>10997</v>
      </c>
    </row>
    <row r="1522">
      <c r="A1522" s="33" t="s">
        <v>10998</v>
      </c>
      <c r="B1522" s="60" t="s">
        <v>2726</v>
      </c>
      <c r="C1522" s="41">
        <v>45397.0</v>
      </c>
      <c r="D1522" s="40" t="s">
        <v>10999</v>
      </c>
      <c r="E1522" s="41" t="s">
        <v>11000</v>
      </c>
      <c r="F1522" s="43" t="s">
        <v>11001</v>
      </c>
      <c r="G1522" s="43" t="s">
        <v>11002</v>
      </c>
      <c r="H1522" s="51" t="s">
        <v>148</v>
      </c>
      <c r="I1522" s="15" t="str">
        <f>IFERROR(__xludf.DUMMYFUNCTION("GOOGLETRANSLATE(H1522,""EN"",""ES"")"),"Gastronomía")</f>
        <v>Gastronomía</v>
      </c>
      <c r="J1522" s="16" t="s">
        <v>27</v>
      </c>
      <c r="K1522" s="17">
        <v>0.0</v>
      </c>
      <c r="L1522" s="45"/>
      <c r="M1522" s="18"/>
      <c r="N1522" s="65"/>
      <c r="O1522" s="65"/>
      <c r="P1522" s="20">
        <v>0.0</v>
      </c>
      <c r="Q1522" s="18"/>
      <c r="R1522" s="18"/>
      <c r="S1522" s="52"/>
      <c r="T1522" s="22"/>
    </row>
    <row r="1523">
      <c r="A1523" s="23" t="s">
        <v>11003</v>
      </c>
      <c r="B1523" s="58" t="s">
        <v>11004</v>
      </c>
      <c r="C1523" s="41">
        <v>45397.0</v>
      </c>
      <c r="D1523" s="40" t="s">
        <v>11005</v>
      </c>
      <c r="E1523" s="41" t="s">
        <v>11006</v>
      </c>
      <c r="F1523" s="43" t="s">
        <v>11007</v>
      </c>
      <c r="G1523" s="43" t="s">
        <v>11008</v>
      </c>
      <c r="H1523" s="51" t="s">
        <v>408</v>
      </c>
      <c r="I1523" s="25" t="str">
        <f>IFERROR(__xludf.DUMMYFUNCTION("GOOGLETRANSLATE(H1523,""EN"",""ES"")"),"Legal")</f>
        <v>Legal</v>
      </c>
      <c r="J1523" s="26" t="s">
        <v>35</v>
      </c>
      <c r="K1523" s="48">
        <v>-0.7</v>
      </c>
      <c r="L1523" s="49" t="s">
        <v>11009</v>
      </c>
      <c r="M1523" s="28" t="s">
        <v>11010</v>
      </c>
      <c r="N1523" s="66" t="s">
        <v>11011</v>
      </c>
      <c r="O1523" s="66" t="str">
        <f>IFERROR(__xludf.DUMMYFUNCTION("GOOGLETRANSLATE(N1523,""EN"",""ES"")"),"Las disputas sobre daños ambientales pueden afectar la reputación de Repsol.")</f>
        <v>Las disputas sobre daños ambientales pueden afectar la reputación de Repsol.</v>
      </c>
      <c r="P1523" s="30">
        <v>-0.6</v>
      </c>
      <c r="Q1523" s="31" t="str">
        <f>IFERROR(__xludf.DUMMYFUNCTION("GOOGLETRANSLATE(R1523,""ES"",""EN"")"),"protest, threat")</f>
        <v>protest, threat</v>
      </c>
      <c r="R1523" s="28" t="s">
        <v>11012</v>
      </c>
      <c r="S1523" s="53" t="s">
        <v>11013</v>
      </c>
      <c r="T1523" s="32" t="s">
        <v>11014</v>
      </c>
    </row>
    <row r="1524">
      <c r="A1524" s="71" t="s">
        <v>11015</v>
      </c>
      <c r="B1524" s="60" t="s">
        <v>11016</v>
      </c>
      <c r="C1524" s="41">
        <v>45397.0</v>
      </c>
      <c r="D1524" s="40" t="s">
        <v>11017</v>
      </c>
      <c r="E1524" s="41" t="s">
        <v>11018</v>
      </c>
      <c r="F1524" s="43" t="s">
        <v>11019</v>
      </c>
      <c r="G1524" s="43" t="s">
        <v>11020</v>
      </c>
      <c r="H1524" s="51" t="s">
        <v>1975</v>
      </c>
      <c r="I1524" s="15" t="str">
        <f>IFERROR(__xludf.DUMMYFUNCTION("GOOGLETRANSLATE(H1524,""EN"",""ES"")"),"Política")</f>
        <v>Política</v>
      </c>
      <c r="J1524" s="16" t="s">
        <v>27</v>
      </c>
      <c r="K1524" s="17">
        <v>0.0</v>
      </c>
      <c r="L1524" s="45"/>
      <c r="M1524" s="18"/>
      <c r="N1524" s="65"/>
      <c r="O1524" s="65"/>
      <c r="P1524" s="20">
        <v>0.0</v>
      </c>
      <c r="Q1524" s="18"/>
      <c r="R1524" s="18"/>
      <c r="S1524" s="52"/>
      <c r="T1524" s="22"/>
    </row>
    <row r="1525">
      <c r="A1525" s="23" t="s">
        <v>11021</v>
      </c>
      <c r="B1525" s="58" t="s">
        <v>11022</v>
      </c>
      <c r="C1525" s="41">
        <v>45398.0</v>
      </c>
      <c r="D1525" s="40" t="s">
        <v>11023</v>
      </c>
      <c r="E1525" s="41" t="s">
        <v>11024</v>
      </c>
      <c r="F1525" s="43" t="s">
        <v>11025</v>
      </c>
      <c r="G1525" s="43" t="s">
        <v>11026</v>
      </c>
      <c r="H1525" s="51" t="s">
        <v>408</v>
      </c>
      <c r="I1525" s="25" t="str">
        <f>IFERROR(__xludf.DUMMYFUNCTION("GOOGLETRANSLATE(H1525,""EN"",""ES"")"),"Legal")</f>
        <v>Legal</v>
      </c>
      <c r="J1525" s="26" t="s">
        <v>35</v>
      </c>
      <c r="K1525" s="48">
        <v>-0.7</v>
      </c>
      <c r="L1525" s="49" t="s">
        <v>9825</v>
      </c>
      <c r="M1525" s="28" t="s">
        <v>9826</v>
      </c>
      <c r="N1525" s="66" t="s">
        <v>11027</v>
      </c>
      <c r="O1525" s="66" t="str">
        <f>IFERROR(__xludf.DUMMYFUNCTION("GOOGLETRANSLATE(N1525,""EN"",""ES"")"),"Las acusaciones de greenwashing pueden dañar la reputación de sostenibilidad de Repsol.")</f>
        <v>Las acusaciones de greenwashing pueden dañar la reputación de sostenibilidad de Repsol.</v>
      </c>
      <c r="P1525" s="30">
        <v>-0.7</v>
      </c>
      <c r="Q1525" s="31" t="str">
        <f>IFERROR(__xludf.DUMMYFUNCTION("GOOGLETRANSLATE(R1525,""ES"",""EN"")"),"denounce, misleading")</f>
        <v>denounce, misleading</v>
      </c>
      <c r="R1525" s="28" t="s">
        <v>11028</v>
      </c>
      <c r="S1525" s="53" t="s">
        <v>11029</v>
      </c>
      <c r="T1525" s="32" t="s">
        <v>11030</v>
      </c>
    </row>
    <row r="1526">
      <c r="A1526" s="33" t="s">
        <v>11031</v>
      </c>
      <c r="B1526" s="60" t="s">
        <v>207</v>
      </c>
      <c r="C1526" s="41">
        <v>45398.0</v>
      </c>
      <c r="D1526" s="40" t="s">
        <v>11032</v>
      </c>
      <c r="E1526" s="41" t="s">
        <v>11033</v>
      </c>
      <c r="F1526" s="43" t="s">
        <v>11034</v>
      </c>
      <c r="G1526" s="43" t="s">
        <v>11035</v>
      </c>
      <c r="H1526" s="51" t="s">
        <v>408</v>
      </c>
      <c r="I1526" s="15" t="str">
        <f>IFERROR(__xludf.DUMMYFUNCTION("GOOGLETRANSLATE(H1526,""EN"",""ES"")"),"Legal")</f>
        <v>Legal</v>
      </c>
      <c r="J1526" s="16" t="s">
        <v>35</v>
      </c>
      <c r="K1526" s="48">
        <v>-0.7</v>
      </c>
      <c r="L1526" s="51" t="s">
        <v>11009</v>
      </c>
      <c r="M1526" s="34" t="s">
        <v>11010</v>
      </c>
      <c r="N1526" s="65" t="s">
        <v>11036</v>
      </c>
      <c r="O1526" s="65" t="str">
        <f>IFERROR(__xludf.DUMMYFUNCTION("GOOGLETRANSLATE(N1526,""EN"",""ES"")"),"Las repetidas acusaciones de prácticas engañosas de sostenibilidad podrían dañar la credibilidad de Repsol.")</f>
        <v>Las repetidas acusaciones de prácticas engañosas de sostenibilidad podrían dañar la credibilidad de Repsol.</v>
      </c>
      <c r="P1526" s="30">
        <v>-0.8</v>
      </c>
      <c r="Q1526" s="18" t="str">
        <f>IFERROR(__xludf.DUMMYFUNCTION("GOOGLETRANSLATE(R1526,""ES"",""EN"")"),"environmental impacts")</f>
        <v>environmental impacts</v>
      </c>
      <c r="R1526" s="34" t="s">
        <v>11037</v>
      </c>
      <c r="S1526" s="52" t="s">
        <v>10934</v>
      </c>
      <c r="T1526" s="22" t="s">
        <v>10935</v>
      </c>
    </row>
    <row r="1527">
      <c r="A1527" s="23" t="s">
        <v>11038</v>
      </c>
      <c r="B1527" s="58" t="s">
        <v>1768</v>
      </c>
      <c r="C1527" s="41">
        <v>45398.0</v>
      </c>
      <c r="D1527" s="40" t="s">
        <v>11039</v>
      </c>
      <c r="E1527" s="41" t="s">
        <v>11040</v>
      </c>
      <c r="F1527" s="43" t="s">
        <v>11041</v>
      </c>
      <c r="G1527" s="43" t="s">
        <v>11042</v>
      </c>
      <c r="H1527" s="51" t="s">
        <v>408</v>
      </c>
      <c r="I1527" s="25" t="str">
        <f>IFERROR(__xludf.DUMMYFUNCTION("GOOGLETRANSLATE(H1527,""EN"",""ES"")"),"Legal")</f>
        <v>Legal</v>
      </c>
      <c r="J1527" s="26" t="s">
        <v>35</v>
      </c>
      <c r="K1527" s="48">
        <v>0.5</v>
      </c>
      <c r="L1527" s="49" t="s">
        <v>11043</v>
      </c>
      <c r="M1527" s="28" t="s">
        <v>11044</v>
      </c>
      <c r="N1527" s="66" t="s">
        <v>11045</v>
      </c>
      <c r="O1527" s="66" t="str">
        <f>IFERROR(__xludf.DUMMYFUNCTION("GOOGLETRANSLATE(N1527,""EN"",""ES"")"),"Ganar un caso judicial refuerza la credibilidad de Repsol.")</f>
        <v>Ganar un caso judicial refuerza la credibilidad de Repsol.</v>
      </c>
      <c r="P1527" s="30">
        <v>0.3</v>
      </c>
      <c r="Q1527" s="31" t="str">
        <f>IFERROR(__xludf.DUMMYFUNCTION("GOOGLETRANSLATE(R1527,""ES"",""EN"")"),"dismisses claim")</f>
        <v>dismisses claim</v>
      </c>
      <c r="R1527" s="28" t="s">
        <v>11046</v>
      </c>
      <c r="S1527" s="53" t="s">
        <v>11047</v>
      </c>
      <c r="T1527" s="32" t="s">
        <v>11048</v>
      </c>
    </row>
    <row r="1528">
      <c r="A1528" s="33" t="s">
        <v>11049</v>
      </c>
      <c r="B1528" s="60" t="s">
        <v>10673</v>
      </c>
      <c r="C1528" s="41">
        <v>45398.0</v>
      </c>
      <c r="D1528" s="40" t="s">
        <v>11050</v>
      </c>
      <c r="E1528" s="41" t="s">
        <v>11051</v>
      </c>
      <c r="F1528" s="43" t="s">
        <v>11052</v>
      </c>
      <c r="G1528" s="43" t="s">
        <v>11053</v>
      </c>
      <c r="H1528" s="51" t="s">
        <v>408</v>
      </c>
      <c r="I1528" s="15" t="str">
        <f>IFERROR(__xludf.DUMMYFUNCTION("GOOGLETRANSLATE(H1528,""EN"",""ES"")"),"Legal")</f>
        <v>Legal</v>
      </c>
      <c r="J1528" s="16" t="s">
        <v>35</v>
      </c>
      <c r="K1528" s="48">
        <v>-0.7</v>
      </c>
      <c r="L1528" s="51" t="s">
        <v>11054</v>
      </c>
      <c r="M1528" s="34" t="s">
        <v>11055</v>
      </c>
      <c r="N1528" s="65" t="s">
        <v>11056</v>
      </c>
      <c r="O1528" s="65" t="str">
        <f>IFERROR(__xludf.DUMMYFUNCTION("GOOGLETRANSLATE(N1528,""EN"",""ES"")"),"El escrutinio legal de las afirmaciones publicitarias puede dañar la reputación de Repsol.")</f>
        <v>El escrutinio legal de las afirmaciones publicitarias puede dañar la reputación de Repsol.</v>
      </c>
      <c r="P1528" s="30">
        <v>-0.6</v>
      </c>
      <c r="Q1528" s="18" t="str">
        <f>IFERROR(__xludf.DUMMYFUNCTION("GOOGLETRANSLATE(R1528,""ES"",""EN"")"),"reported")</f>
        <v>reported</v>
      </c>
      <c r="R1528" s="34" t="s">
        <v>11057</v>
      </c>
      <c r="S1528" s="52" t="s">
        <v>11058</v>
      </c>
      <c r="T1528" s="22" t="s">
        <v>11059</v>
      </c>
    </row>
    <row r="1529">
      <c r="A1529" s="23" t="s">
        <v>11060</v>
      </c>
      <c r="B1529" s="58" t="s">
        <v>11061</v>
      </c>
      <c r="C1529" s="41">
        <v>45398.0</v>
      </c>
      <c r="D1529" s="40" t="s">
        <v>11062</v>
      </c>
      <c r="E1529" s="41" t="s">
        <v>11063</v>
      </c>
      <c r="F1529" s="43" t="s">
        <v>11064</v>
      </c>
      <c r="G1529" s="43" t="s">
        <v>11065</v>
      </c>
      <c r="H1529" s="51" t="s">
        <v>408</v>
      </c>
      <c r="I1529" s="25" t="str">
        <f>IFERROR(__xludf.DUMMYFUNCTION("GOOGLETRANSLATE(H1529,""EN"",""ES"")"),"Legal")</f>
        <v>Legal</v>
      </c>
      <c r="J1529" s="26" t="s">
        <v>35</v>
      </c>
      <c r="K1529" s="48">
        <v>-0.7</v>
      </c>
      <c r="L1529" s="49" t="s">
        <v>9825</v>
      </c>
      <c r="M1529" s="28" t="s">
        <v>9826</v>
      </c>
      <c r="N1529" s="66" t="s">
        <v>11066</v>
      </c>
      <c r="O1529" s="66" t="str">
        <f>IFERROR(__xludf.DUMMYFUNCTION("GOOGLETRANSLATE(N1529,""EN"",""ES"")"),"Las acusaciones de greenwashing pueden afectar la imagen de sostenibilidad de Repsol.")</f>
        <v>Las acusaciones de greenwashing pueden afectar la imagen de sostenibilidad de Repsol.</v>
      </c>
      <c r="P1529" s="30">
        <v>-0.7</v>
      </c>
      <c r="Q1529" s="31" t="str">
        <f>IFERROR(__xludf.DUMMYFUNCTION("GOOGLETRANSLATE(R1529,""ES"",""EN"")"),"complaint")</f>
        <v>complaint</v>
      </c>
      <c r="R1529" s="28" t="s">
        <v>11067</v>
      </c>
      <c r="S1529" s="53" t="s">
        <v>11068</v>
      </c>
      <c r="T1529" s="32" t="s">
        <v>11069</v>
      </c>
    </row>
    <row r="1530">
      <c r="A1530" s="33" t="s">
        <v>11070</v>
      </c>
      <c r="B1530" s="60" t="s">
        <v>3151</v>
      </c>
      <c r="C1530" s="41">
        <v>45398.0</v>
      </c>
      <c r="D1530" s="40" t="s">
        <v>11071</v>
      </c>
      <c r="E1530" s="41" t="s">
        <v>11072</v>
      </c>
      <c r="F1530" s="43" t="s">
        <v>11073</v>
      </c>
      <c r="G1530" s="43" t="s">
        <v>11074</v>
      </c>
      <c r="H1530" s="51" t="s">
        <v>408</v>
      </c>
      <c r="I1530" s="15" t="str">
        <f>IFERROR(__xludf.DUMMYFUNCTION("GOOGLETRANSLATE(H1530,""EN"",""ES"")"),"Legal")</f>
        <v>Legal</v>
      </c>
      <c r="J1530" s="16" t="s">
        <v>35</v>
      </c>
      <c r="K1530" s="48">
        <v>-0.8</v>
      </c>
      <c r="L1530" s="51" t="s">
        <v>11075</v>
      </c>
      <c r="M1530" s="34" t="s">
        <v>11076</v>
      </c>
      <c r="N1530" s="65" t="s">
        <v>11077</v>
      </c>
      <c r="O1530" s="65" t="str">
        <f>IFERROR(__xludf.DUMMYFUNCTION("GOOGLETRANSLATE(N1530,""EN"",""ES"")"),"Estar vinculado a un caso de espionaje de alto perfil podría dañar gravemente la imagen pública de Repsol.")</f>
        <v>Estar vinculado a un caso de espionaje de alto perfil podría dañar gravemente la imagen pública de Repsol.</v>
      </c>
      <c r="P1530" s="30">
        <v>-0.5</v>
      </c>
      <c r="Q1530" s="18" t="str">
        <f>IFERROR(__xludf.DUMMYFUNCTION("GOOGLETRANSLATE(R1530,""ES"",""EN"")"),"judgment")</f>
        <v>judgment</v>
      </c>
      <c r="R1530" s="34" t="s">
        <v>11078</v>
      </c>
      <c r="S1530" s="52" t="s">
        <v>11079</v>
      </c>
      <c r="T1530" s="22" t="s">
        <v>11080</v>
      </c>
    </row>
    <row r="1531">
      <c r="A1531" s="23" t="s">
        <v>11081</v>
      </c>
      <c r="B1531" s="58" t="s">
        <v>1970</v>
      </c>
      <c r="C1531" s="41">
        <v>45398.0</v>
      </c>
      <c r="D1531" s="40" t="s">
        <v>11039</v>
      </c>
      <c r="E1531" s="41" t="s">
        <v>11082</v>
      </c>
      <c r="F1531" s="43" t="s">
        <v>11041</v>
      </c>
      <c r="G1531" s="43" t="s">
        <v>11083</v>
      </c>
      <c r="H1531" s="51" t="s">
        <v>408</v>
      </c>
      <c r="I1531" s="25" t="str">
        <f>IFERROR(__xludf.DUMMYFUNCTION("GOOGLETRANSLATE(H1531,""EN"",""ES"")"),"Legal")</f>
        <v>Legal</v>
      </c>
      <c r="J1531" s="26" t="s">
        <v>35</v>
      </c>
      <c r="K1531" s="48">
        <v>0.5</v>
      </c>
      <c r="L1531" s="49" t="s">
        <v>11043</v>
      </c>
      <c r="M1531" s="28" t="s">
        <v>11044</v>
      </c>
      <c r="N1531" s="66" t="s">
        <v>11084</v>
      </c>
      <c r="O1531" s="66" t="str">
        <f>IFERROR(__xludf.DUMMYFUNCTION("GOOGLETRANSLATE(N1531,""EN"",""ES"")"),"Las victorias legales pueden reforzar la credibilidad de Repsol.")</f>
        <v>Las victorias legales pueden reforzar la credibilidad de Repsol.</v>
      </c>
      <c r="P1531" s="30">
        <v>0.3</v>
      </c>
      <c r="Q1531" s="31" t="str">
        <f>IFERROR(__xludf.DUMMYFUNCTION("GOOGLETRANSLATE(R1531,""ES"",""EN"")"),"dismisses")</f>
        <v>dismisses</v>
      </c>
      <c r="R1531" s="28" t="s">
        <v>11085</v>
      </c>
      <c r="S1531" s="53" t="s">
        <v>11086</v>
      </c>
      <c r="T1531" s="32" t="s">
        <v>11087</v>
      </c>
    </row>
    <row r="1532">
      <c r="A1532" s="33" t="s">
        <v>11088</v>
      </c>
      <c r="B1532" s="60" t="s">
        <v>217</v>
      </c>
      <c r="C1532" s="41">
        <v>45398.0</v>
      </c>
      <c r="D1532" s="40" t="s">
        <v>11089</v>
      </c>
      <c r="E1532" s="41" t="s">
        <v>11090</v>
      </c>
      <c r="F1532" s="43" t="s">
        <v>11091</v>
      </c>
      <c r="G1532" s="43" t="s">
        <v>11092</v>
      </c>
      <c r="H1532" s="51" t="s">
        <v>661</v>
      </c>
      <c r="I1532" s="15" t="str">
        <f>IFERROR(__xludf.DUMMYFUNCTION("GOOGLETRANSLATE(H1532,""EN"",""ES"")"),"Estrategia empresarial")</f>
        <v>Estrategia empresarial</v>
      </c>
      <c r="J1532" s="16" t="s">
        <v>35</v>
      </c>
      <c r="K1532" s="48">
        <v>0.6</v>
      </c>
      <c r="L1532" s="51" t="s">
        <v>11093</v>
      </c>
      <c r="M1532" s="34" t="s">
        <v>11094</v>
      </c>
      <c r="N1532" s="65" t="s">
        <v>11095</v>
      </c>
      <c r="O1532" s="65" t="str">
        <f>IFERROR(__xludf.DUMMYFUNCTION("GOOGLETRANSLATE(N1532,""EN"",""ES"")"),"La ampliación de las alianzas respalda la diversificación de las marcas de Repsol.")</f>
        <v>La ampliación de las alianzas respalda la diversificación de las marcas de Repsol.</v>
      </c>
      <c r="P1532" s="30">
        <v>0.4</v>
      </c>
      <c r="Q1532" s="18" t="str">
        <f>IFERROR(__xludf.DUMMYFUNCTION("GOOGLETRANSLATE(R1532,""ES"",""EN"")"),"alliance")</f>
        <v>alliance</v>
      </c>
      <c r="R1532" s="34" t="s">
        <v>11096</v>
      </c>
      <c r="S1532" s="52" t="s">
        <v>11097</v>
      </c>
      <c r="T1532" s="22" t="s">
        <v>11098</v>
      </c>
    </row>
    <row r="1533">
      <c r="A1533" s="23" t="s">
        <v>11099</v>
      </c>
      <c r="B1533" s="58" t="s">
        <v>499</v>
      </c>
      <c r="C1533" s="41">
        <v>45398.0</v>
      </c>
      <c r="D1533" s="40" t="s">
        <v>11100</v>
      </c>
      <c r="E1533" s="41" t="s">
        <v>11101</v>
      </c>
      <c r="F1533" s="43" t="s">
        <v>11102</v>
      </c>
      <c r="G1533" s="43" t="s">
        <v>11103</v>
      </c>
      <c r="H1533" s="51" t="s">
        <v>130</v>
      </c>
      <c r="I1533" s="25" t="str">
        <f>IFERROR(__xludf.DUMMYFUNCTION("GOOGLETRANSLATE(H1533,""EN"",""ES"")"),"Sostenibilidad")</f>
        <v>Sostenibilidad</v>
      </c>
      <c r="J1533" s="26" t="s">
        <v>35</v>
      </c>
      <c r="K1533" s="48">
        <v>0.7</v>
      </c>
      <c r="L1533" s="49" t="s">
        <v>11104</v>
      </c>
      <c r="M1533" s="28" t="s">
        <v>11105</v>
      </c>
      <c r="N1533" s="66" t="s">
        <v>11106</v>
      </c>
      <c r="O1533" s="66" t="str">
        <f>IFERROR(__xludf.DUMMYFUNCTION("GOOGLETRANSLATE(N1533,""EN"",""ES"")"),"La inversión en energía geotérmica se alinea con la transición energética limpia de Repsol.")</f>
        <v>La inversión en energía geotérmica se alinea con la transición energética limpia de Repsol.</v>
      </c>
      <c r="P1533" s="30">
        <v>0.7</v>
      </c>
      <c r="Q1533" s="31" t="str">
        <f>IFERROR(__xludf.DUMMYFUNCTION("GOOGLETRANSLATE(R1533,""ES"",""EN"")"),"geothermal, hydrogen")</f>
        <v>geothermal, hydrogen</v>
      </c>
      <c r="R1533" s="28" t="s">
        <v>11107</v>
      </c>
      <c r="S1533" s="53" t="s">
        <v>10569</v>
      </c>
      <c r="T1533" s="32" t="s">
        <v>10570</v>
      </c>
    </row>
    <row r="1534">
      <c r="A1534" s="33" t="s">
        <v>11108</v>
      </c>
      <c r="B1534" s="60" t="s">
        <v>3045</v>
      </c>
      <c r="C1534" s="41">
        <v>45398.0</v>
      </c>
      <c r="D1534" s="40" t="s">
        <v>11109</v>
      </c>
      <c r="E1534" s="41" t="s">
        <v>11110</v>
      </c>
      <c r="F1534" s="43" t="s">
        <v>11111</v>
      </c>
      <c r="G1534" s="43" t="s">
        <v>11112</v>
      </c>
      <c r="H1534" s="51" t="s">
        <v>408</v>
      </c>
      <c r="I1534" s="15" t="str">
        <f>IFERROR(__xludf.DUMMYFUNCTION("GOOGLETRANSLATE(H1534,""EN"",""ES"")"),"Legal")</f>
        <v>Legal</v>
      </c>
      <c r="J1534" s="16" t="s">
        <v>35</v>
      </c>
      <c r="K1534" s="48">
        <v>0.5</v>
      </c>
      <c r="L1534" s="51" t="s">
        <v>11043</v>
      </c>
      <c r="M1534" s="34" t="s">
        <v>11044</v>
      </c>
      <c r="N1534" s="65" t="s">
        <v>11113</v>
      </c>
      <c r="O1534" s="65" t="str">
        <f>IFERROR(__xludf.DUMMYFUNCTION("GOOGLETRANSLATE(N1534,""EN"",""ES"")"),"Ganar casos legales puede reforzar la credibilidad corporativa de Repsol.")</f>
        <v>Ganar casos legales puede reforzar la credibilidad corporativa de Repsol.</v>
      </c>
      <c r="P1534" s="30">
        <v>0.5</v>
      </c>
      <c r="Q1534" s="18" t="str">
        <f>IFERROR(__xludf.DUMMYFUNCTION("GOOGLETRANSLATE(R1534,""ES"",""EN"")"),"win battle")</f>
        <v>win battle</v>
      </c>
      <c r="R1534" s="34" t="s">
        <v>11114</v>
      </c>
      <c r="S1534" s="52" t="s">
        <v>11047</v>
      </c>
      <c r="T1534" s="22" t="s">
        <v>11048</v>
      </c>
    </row>
    <row r="1535">
      <c r="A1535" s="23" t="s">
        <v>11115</v>
      </c>
      <c r="B1535" s="58" t="s">
        <v>6555</v>
      </c>
      <c r="C1535" s="41">
        <v>45398.0</v>
      </c>
      <c r="D1535" s="40" t="s">
        <v>11116</v>
      </c>
      <c r="E1535" s="41" t="s">
        <v>11117</v>
      </c>
      <c r="F1535" s="43" t="s">
        <v>11118</v>
      </c>
      <c r="G1535" s="43" t="s">
        <v>11119</v>
      </c>
      <c r="H1535" s="51" t="s">
        <v>148</v>
      </c>
      <c r="I1535" s="25" t="str">
        <f>IFERROR(__xludf.DUMMYFUNCTION("GOOGLETRANSLATE(H1535,""EN"",""ES"")"),"Gastronomía")</f>
        <v>Gastronomía</v>
      </c>
      <c r="J1535" s="26" t="s">
        <v>27</v>
      </c>
      <c r="K1535" s="17">
        <v>0.0</v>
      </c>
      <c r="L1535" s="54"/>
      <c r="M1535" s="31"/>
      <c r="N1535" s="66"/>
      <c r="O1535" s="66"/>
      <c r="P1535" s="20">
        <v>0.0</v>
      </c>
      <c r="Q1535" s="31"/>
      <c r="R1535" s="31"/>
      <c r="S1535" s="53"/>
      <c r="T1535" s="32"/>
    </row>
    <row r="1536">
      <c r="A1536" s="33" t="s">
        <v>11120</v>
      </c>
      <c r="B1536" s="60" t="s">
        <v>1192</v>
      </c>
      <c r="C1536" s="41">
        <v>45398.0</v>
      </c>
      <c r="D1536" s="40" t="s">
        <v>11121</v>
      </c>
      <c r="E1536" s="41" t="s">
        <v>11122</v>
      </c>
      <c r="F1536" s="43" t="s">
        <v>11123</v>
      </c>
      <c r="G1536" s="43" t="s">
        <v>11124</v>
      </c>
      <c r="H1536" s="51" t="s">
        <v>408</v>
      </c>
      <c r="I1536" s="15" t="str">
        <f>IFERROR(__xludf.DUMMYFUNCTION("GOOGLETRANSLATE(H1536,""EN"",""ES"")"),"Legal")</f>
        <v>Legal</v>
      </c>
      <c r="J1536" s="16" t="s">
        <v>35</v>
      </c>
      <c r="K1536" s="48">
        <v>-0.7</v>
      </c>
      <c r="L1536" s="51" t="s">
        <v>11125</v>
      </c>
      <c r="M1536" s="34" t="s">
        <v>11126</v>
      </c>
      <c r="N1536" s="65" t="s">
        <v>11127</v>
      </c>
      <c r="O1536" s="65" t="str">
        <f>IFERROR(__xludf.DUMMYFUNCTION("GOOGLETRANSLATE(N1536,""EN"",""ES"")"),"Las disputas legales en curso sobre el lavado verde pueden dañar la credibilidad de sostenibilidad de Repsol.")</f>
        <v>Las disputas legales en curso sobre el lavado verde pueden dañar la credibilidad de sostenibilidad de Repsol.</v>
      </c>
      <c r="P1536" s="30">
        <v>-0.7</v>
      </c>
      <c r="Q1536" s="18" t="str">
        <f>IFERROR(__xludf.DUMMYFUNCTION("GOOGLETRANSLATE(R1536,""ES"",""EN"")"),"they denounce")</f>
        <v>they denounce</v>
      </c>
      <c r="R1536" s="34" t="s">
        <v>11128</v>
      </c>
      <c r="S1536" s="52" t="s">
        <v>10996</v>
      </c>
      <c r="T1536" s="22" t="s">
        <v>10997</v>
      </c>
    </row>
    <row r="1537">
      <c r="A1537" s="23" t="s">
        <v>11129</v>
      </c>
      <c r="B1537" s="58" t="s">
        <v>1768</v>
      </c>
      <c r="C1537" s="41">
        <v>45398.0</v>
      </c>
      <c r="D1537" s="40" t="s">
        <v>11130</v>
      </c>
      <c r="E1537" s="41" t="s">
        <v>11131</v>
      </c>
      <c r="F1537" s="43" t="s">
        <v>11132</v>
      </c>
      <c r="G1537" s="43" t="s">
        <v>11133</v>
      </c>
      <c r="H1537" s="51" t="s">
        <v>408</v>
      </c>
      <c r="I1537" s="25" t="str">
        <f>IFERROR(__xludf.DUMMYFUNCTION("GOOGLETRANSLATE(H1537,""EN"",""ES"")"),"Legal")</f>
        <v>Legal</v>
      </c>
      <c r="J1537" s="26" t="s">
        <v>35</v>
      </c>
      <c r="K1537" s="48">
        <v>-0.7</v>
      </c>
      <c r="L1537" s="49" t="s">
        <v>9825</v>
      </c>
      <c r="M1537" s="28" t="s">
        <v>9826</v>
      </c>
      <c r="N1537" s="66" t="s">
        <v>11134</v>
      </c>
      <c r="O1537" s="66" t="str">
        <f>IFERROR(__xludf.DUMMYFUNCTION("GOOGLETRANSLATE(N1537,""EN"",""ES"")"),"Las repetidas acusaciones de greenwashing podrían dañar la percepción pública de Repsol.")</f>
        <v>Las repetidas acusaciones de greenwashing podrían dañar la percepción pública de Repsol.</v>
      </c>
      <c r="P1537" s="30">
        <v>-0.8</v>
      </c>
      <c r="Q1537" s="31" t="str">
        <f>IFERROR(__xludf.DUMMYFUNCTION("GOOGLETRANSLATE(R1537,""ES"",""EN"")"),"greenwashing")</f>
        <v>greenwashing</v>
      </c>
      <c r="R1537" s="28" t="s">
        <v>11135</v>
      </c>
      <c r="S1537" s="53" t="s">
        <v>10934</v>
      </c>
      <c r="T1537" s="32" t="s">
        <v>10935</v>
      </c>
    </row>
    <row r="1538">
      <c r="A1538" s="33" t="s">
        <v>11136</v>
      </c>
      <c r="B1538" s="60" t="s">
        <v>11137</v>
      </c>
      <c r="C1538" s="41">
        <v>45398.0</v>
      </c>
      <c r="D1538" s="40" t="s">
        <v>11138</v>
      </c>
      <c r="E1538" s="41" t="s">
        <v>11139</v>
      </c>
      <c r="F1538" s="43" t="s">
        <v>11140</v>
      </c>
      <c r="G1538" s="43" t="s">
        <v>11141</v>
      </c>
      <c r="H1538" s="51" t="s">
        <v>661</v>
      </c>
      <c r="I1538" s="15" t="str">
        <f>IFERROR(__xludf.DUMMYFUNCTION("GOOGLETRANSLATE(H1538,""EN"",""ES"")"),"Estrategia empresarial")</f>
        <v>Estrategia empresarial</v>
      </c>
      <c r="J1538" s="16" t="s">
        <v>35</v>
      </c>
      <c r="K1538" s="48">
        <v>0.6</v>
      </c>
      <c r="L1538" s="51" t="s">
        <v>11142</v>
      </c>
      <c r="M1538" s="34" t="s">
        <v>11143</v>
      </c>
      <c r="N1538" s="65" t="s">
        <v>11144</v>
      </c>
      <c r="O1538" s="65" t="str">
        <f>IFERROR(__xludf.DUMMYFUNCTION("GOOGLETRANSLATE(N1538,""EN"",""ES"")"),"El refuerzo de alianzas internacionales respalda la expansión energética de Repsol.")</f>
        <v>El refuerzo de alianzas internacionales respalda la expansión energética de Repsol.</v>
      </c>
      <c r="P1538" s="30">
        <v>0.0</v>
      </c>
      <c r="Q1538" s="18"/>
      <c r="R1538" s="18"/>
      <c r="S1538" s="52" t="s">
        <v>10136</v>
      </c>
      <c r="T1538" s="22" t="s">
        <v>10137</v>
      </c>
    </row>
    <row r="1539">
      <c r="A1539" s="23" t="s">
        <v>11145</v>
      </c>
      <c r="B1539" s="58" t="s">
        <v>11146</v>
      </c>
      <c r="C1539" s="41">
        <v>45399.0</v>
      </c>
      <c r="D1539" s="40" t="s">
        <v>11147</v>
      </c>
      <c r="E1539" s="41" t="s">
        <v>11148</v>
      </c>
      <c r="F1539" s="43" t="s">
        <v>11149</v>
      </c>
      <c r="G1539" s="43" t="s">
        <v>11150</v>
      </c>
      <c r="H1539" s="51" t="s">
        <v>408</v>
      </c>
      <c r="I1539" s="25" t="str">
        <f>IFERROR(__xludf.DUMMYFUNCTION("GOOGLETRANSLATE(H1539,""EN"",""ES"")"),"Legal")</f>
        <v>Legal</v>
      </c>
      <c r="J1539" s="26" t="s">
        <v>35</v>
      </c>
      <c r="K1539" s="48">
        <v>0.5</v>
      </c>
      <c r="L1539" s="49" t="s">
        <v>11043</v>
      </c>
      <c r="M1539" s="28" t="s">
        <v>11044</v>
      </c>
      <c r="N1539" s="66" t="s">
        <v>11151</v>
      </c>
      <c r="O1539" s="66" t="str">
        <f>IFERROR(__xludf.DUMMYFUNCTION("GOOGLETRANSLATE(N1539,""EN"",""ES"")"),"Desestimar demandas legales a favor de Repsol respalda su credibilidad corporativa.")</f>
        <v>Desestimar demandas legales a favor de Repsol respalda su credibilidad corporativa.</v>
      </c>
      <c r="P1539" s="30">
        <v>0.3</v>
      </c>
      <c r="Q1539" s="31" t="str">
        <f>IFERROR(__xludf.DUMMYFUNCTION("GOOGLETRANSLATE(R1539,""ES"",""EN"")"),"dismisses")</f>
        <v>dismisses</v>
      </c>
      <c r="R1539" s="28" t="s">
        <v>11085</v>
      </c>
      <c r="S1539" s="53" t="s">
        <v>11086</v>
      </c>
      <c r="T1539" s="32" t="s">
        <v>11087</v>
      </c>
    </row>
    <row r="1540">
      <c r="A1540" s="33" t="s">
        <v>11152</v>
      </c>
      <c r="B1540" s="60" t="s">
        <v>3216</v>
      </c>
      <c r="C1540" s="41">
        <v>45399.0</v>
      </c>
      <c r="D1540" s="40" t="s">
        <v>11153</v>
      </c>
      <c r="E1540" s="41" t="s">
        <v>11154</v>
      </c>
      <c r="F1540" s="43" t="s">
        <v>11155</v>
      </c>
      <c r="G1540" s="43" t="s">
        <v>11156</v>
      </c>
      <c r="H1540" s="51" t="s">
        <v>130</v>
      </c>
      <c r="I1540" s="15" t="str">
        <f>IFERROR(__xludf.DUMMYFUNCTION("GOOGLETRANSLATE(H1540,""EN"",""ES"")"),"Sostenibilidad")</f>
        <v>Sostenibilidad</v>
      </c>
      <c r="J1540" s="16" t="s">
        <v>35</v>
      </c>
      <c r="K1540" s="48">
        <v>0.6</v>
      </c>
      <c r="L1540" s="51" t="s">
        <v>9420</v>
      </c>
      <c r="M1540" s="34" t="s">
        <v>9421</v>
      </c>
      <c r="N1540" s="65" t="s">
        <v>11157</v>
      </c>
      <c r="O1540" s="65" t="str">
        <f>IFERROR(__xludf.DUMMYFUNCTION("GOOGLETRANSLATE(N1540,""EN"",""ES"")"),"La inversión en alternativas a los biocombustibles apoya la transición energética de Repsol.")</f>
        <v>La inversión en alternativas a los biocombustibles apoya la transición energética de Repsol.</v>
      </c>
      <c r="P1540" s="30">
        <v>-0.6</v>
      </c>
      <c r="Q1540" s="18" t="str">
        <f>IFERROR(__xludf.DUMMYFUNCTION("GOOGLETRANSLATE(R1540,""ES"",""EN"")"),"palm oil")</f>
        <v>palm oil</v>
      </c>
      <c r="R1540" s="34" t="s">
        <v>11158</v>
      </c>
      <c r="S1540" s="52" t="s">
        <v>10065</v>
      </c>
      <c r="T1540" s="22" t="s">
        <v>10066</v>
      </c>
    </row>
    <row r="1541">
      <c r="A1541" s="23" t="s">
        <v>11159</v>
      </c>
      <c r="B1541" s="58" t="s">
        <v>11160</v>
      </c>
      <c r="C1541" s="41">
        <v>45399.0</v>
      </c>
      <c r="D1541" s="40" t="s">
        <v>11161</v>
      </c>
      <c r="E1541" s="41" t="s">
        <v>11162</v>
      </c>
      <c r="F1541" s="43" t="s">
        <v>11163</v>
      </c>
      <c r="G1541" s="43" t="s">
        <v>11164</v>
      </c>
      <c r="H1541" s="51" t="s">
        <v>34</v>
      </c>
      <c r="I1541" s="25" t="str">
        <f>IFERROR(__xludf.DUMMYFUNCTION("GOOGLETRANSLATE(H1541,""EN"",""ES"")"),"Responsabilidad Social Corporativa")</f>
        <v>Responsabilidad Social Corporativa</v>
      </c>
      <c r="J1541" s="26" t="s">
        <v>35</v>
      </c>
      <c r="K1541" s="48">
        <v>0.7</v>
      </c>
      <c r="L1541" s="49" t="s">
        <v>11165</v>
      </c>
      <c r="M1541" s="28" t="s">
        <v>11166</v>
      </c>
      <c r="N1541" s="66" t="s">
        <v>11167</v>
      </c>
      <c r="O1541" s="66" t="str">
        <f>IFERROR(__xludf.DUMMYFUNCTION("GOOGLETRANSLATE(N1541,""EN"",""ES"")"),"Apoyar iniciativas de alfabetización mediática fortalece el impacto social de Repsol.")</f>
        <v>Apoyar iniciativas de alfabetización mediática fortalece el impacto social de Repsol.</v>
      </c>
      <c r="P1541" s="30">
        <v>0.0</v>
      </c>
      <c r="Q1541" s="31"/>
      <c r="R1541" s="31"/>
      <c r="S1541" s="53" t="s">
        <v>11168</v>
      </c>
      <c r="T1541" s="32" t="s">
        <v>11169</v>
      </c>
    </row>
    <row r="1542">
      <c r="A1542" s="33" t="s">
        <v>11170</v>
      </c>
      <c r="B1542" s="60" t="s">
        <v>4190</v>
      </c>
      <c r="C1542" s="41">
        <v>45399.0</v>
      </c>
      <c r="D1542" s="40" t="s">
        <v>11171</v>
      </c>
      <c r="E1542" s="41" t="s">
        <v>11172</v>
      </c>
      <c r="F1542" s="43" t="s">
        <v>11173</v>
      </c>
      <c r="G1542" s="43" t="s">
        <v>11174</v>
      </c>
      <c r="H1542" s="51" t="s">
        <v>130</v>
      </c>
      <c r="I1542" s="15" t="str">
        <f>IFERROR(__xludf.DUMMYFUNCTION("GOOGLETRANSLATE(H1542,""EN"",""ES"")"),"Sostenibilidad")</f>
        <v>Sostenibilidad</v>
      </c>
      <c r="J1542" s="16" t="s">
        <v>35</v>
      </c>
      <c r="K1542" s="48">
        <v>0.8</v>
      </c>
      <c r="L1542" s="51" t="s">
        <v>8686</v>
      </c>
      <c r="M1542" s="34" t="s">
        <v>8687</v>
      </c>
      <c r="N1542" s="65" t="s">
        <v>11175</v>
      </c>
      <c r="O1542" s="65" t="str">
        <f>IFERROR(__xludf.DUMMYFUNCTION("GOOGLETRANSLATE(N1542,""EN"",""ES"")"),"La promoción de los combustibles renovables respalda los compromisos de Repsol en materia de energías limpias.")</f>
        <v>La promoción de los combustibles renovables respalda los compromisos de Repsol en materia de energías limpias.</v>
      </c>
      <c r="P1542" s="30">
        <v>0.0</v>
      </c>
      <c r="Q1542" s="18"/>
      <c r="R1542" s="18"/>
      <c r="S1542" s="52" t="s">
        <v>10534</v>
      </c>
      <c r="T1542" s="22" t="s">
        <v>10535</v>
      </c>
    </row>
    <row r="1543">
      <c r="A1543" s="23" t="s">
        <v>11176</v>
      </c>
      <c r="B1543" s="58" t="s">
        <v>21</v>
      </c>
      <c r="C1543" s="41">
        <v>45399.0</v>
      </c>
      <c r="D1543" s="40" t="s">
        <v>11177</v>
      </c>
      <c r="E1543" s="41" t="s">
        <v>11178</v>
      </c>
      <c r="F1543" s="43" t="s">
        <v>11179</v>
      </c>
      <c r="G1543" s="43" t="s">
        <v>11180</v>
      </c>
      <c r="H1543" s="51" t="s">
        <v>969</v>
      </c>
      <c r="I1543" s="25" t="str">
        <f>IFERROR(__xludf.DUMMYFUNCTION("GOOGLETRANSLATE(H1543,""EN"",""ES"")"),"Turismo")</f>
        <v>Turismo</v>
      </c>
      <c r="J1543" s="26" t="s">
        <v>27</v>
      </c>
      <c r="K1543" s="17">
        <v>0.0</v>
      </c>
      <c r="L1543" s="54"/>
      <c r="M1543" s="31"/>
      <c r="N1543" s="66"/>
      <c r="O1543" s="66"/>
      <c r="P1543" s="20">
        <v>0.0</v>
      </c>
      <c r="Q1543" s="31"/>
      <c r="R1543" s="31"/>
      <c r="S1543" s="53"/>
      <c r="T1543" s="32"/>
    </row>
    <row r="1544">
      <c r="A1544" s="33" t="s">
        <v>11181</v>
      </c>
      <c r="B1544" s="60" t="s">
        <v>5880</v>
      </c>
      <c r="C1544" s="41">
        <v>45399.0</v>
      </c>
      <c r="D1544" s="40" t="s">
        <v>11182</v>
      </c>
      <c r="E1544" s="41" t="s">
        <v>11183</v>
      </c>
      <c r="F1544" s="43" t="s">
        <v>11184</v>
      </c>
      <c r="G1544" s="43" t="s">
        <v>11185</v>
      </c>
      <c r="H1544" s="51" t="s">
        <v>661</v>
      </c>
      <c r="I1544" s="15" t="str">
        <f>IFERROR(__xludf.DUMMYFUNCTION("GOOGLETRANSLATE(H1544,""EN"",""ES"")"),"Estrategia empresarial")</f>
        <v>Estrategia empresarial</v>
      </c>
      <c r="J1544" s="16" t="s">
        <v>35</v>
      </c>
      <c r="K1544" s="48">
        <v>0.6</v>
      </c>
      <c r="L1544" s="51" t="s">
        <v>11186</v>
      </c>
      <c r="M1544" s="34" t="s">
        <v>11187</v>
      </c>
      <c r="N1544" s="65" t="s">
        <v>11188</v>
      </c>
      <c r="O1544" s="65" t="str">
        <f>IFERROR(__xludf.DUMMYFUNCTION("GOOGLETRANSLATE(N1544,""EN"",""ES"")"),"Reforzar su posición en Venezuela respalda la presencia energética global de Repsol.")</f>
        <v>Reforzar su posición en Venezuela respalda la presencia energética global de Repsol.</v>
      </c>
      <c r="P1544" s="30">
        <v>0.4</v>
      </c>
      <c r="Q1544" s="18" t="str">
        <f>IFERROR(__xludf.DUMMYFUNCTION("GOOGLETRANSLATE(R1544,""ES"",""EN"")"),"agreement")</f>
        <v>agreement</v>
      </c>
      <c r="R1544" s="34" t="s">
        <v>11189</v>
      </c>
      <c r="S1544" s="52" t="s">
        <v>10411</v>
      </c>
      <c r="T1544" s="22" t="s">
        <v>10412</v>
      </c>
    </row>
    <row r="1545">
      <c r="A1545" s="23" t="s">
        <v>11190</v>
      </c>
      <c r="B1545" s="58" t="s">
        <v>85</v>
      </c>
      <c r="C1545" s="41">
        <v>45399.0</v>
      </c>
      <c r="D1545" s="40" t="s">
        <v>11191</v>
      </c>
      <c r="E1545" s="41" t="s">
        <v>11192</v>
      </c>
      <c r="F1545" s="43" t="s">
        <v>11193</v>
      </c>
      <c r="G1545" s="43" t="s">
        <v>11194</v>
      </c>
      <c r="H1545" s="51" t="s">
        <v>782</v>
      </c>
      <c r="I1545" s="25" t="str">
        <f>IFERROR(__xludf.DUMMYFUNCTION("GOOGLETRANSLATE(H1545,""EN"",""ES"")"),"Tecnología")</f>
        <v>Tecnología</v>
      </c>
      <c r="J1545" s="26" t="s">
        <v>27</v>
      </c>
      <c r="K1545" s="17">
        <v>0.0</v>
      </c>
      <c r="L1545" s="54"/>
      <c r="M1545" s="31"/>
      <c r="N1545" s="66"/>
      <c r="O1545" s="66"/>
      <c r="P1545" s="20">
        <v>0.0</v>
      </c>
      <c r="Q1545" s="31"/>
      <c r="R1545" s="31"/>
      <c r="S1545" s="53"/>
      <c r="T1545" s="32"/>
    </row>
    <row r="1546">
      <c r="A1546" s="33" t="s">
        <v>11195</v>
      </c>
      <c r="B1546" s="60" t="s">
        <v>239</v>
      </c>
      <c r="C1546" s="41">
        <v>45399.0</v>
      </c>
      <c r="D1546" s="40" t="s">
        <v>11196</v>
      </c>
      <c r="E1546" s="41" t="s">
        <v>11197</v>
      </c>
      <c r="F1546" s="43" t="s">
        <v>11198</v>
      </c>
      <c r="G1546" s="43" t="s">
        <v>11199</v>
      </c>
      <c r="H1546" s="51" t="s">
        <v>55</v>
      </c>
      <c r="I1546" s="15" t="str">
        <f>IFERROR(__xludf.DUMMYFUNCTION("GOOGLETRANSLATE(H1546,""EN"",""ES"")"),"deportes de motor")</f>
        <v>deportes de motor</v>
      </c>
      <c r="J1546" s="16" t="s">
        <v>27</v>
      </c>
      <c r="K1546" s="17">
        <v>0.0</v>
      </c>
      <c r="L1546" s="45"/>
      <c r="M1546" s="18"/>
      <c r="N1546" s="65"/>
      <c r="O1546" s="65"/>
      <c r="P1546" s="20">
        <v>0.0</v>
      </c>
      <c r="Q1546" s="18"/>
      <c r="R1546" s="18"/>
      <c r="S1546" s="52"/>
      <c r="T1546" s="22"/>
    </row>
    <row r="1547">
      <c r="A1547" s="23" t="s">
        <v>11200</v>
      </c>
      <c r="B1547" s="58" t="s">
        <v>11201</v>
      </c>
      <c r="C1547" s="41">
        <v>45399.0</v>
      </c>
      <c r="D1547" s="40" t="s">
        <v>11202</v>
      </c>
      <c r="E1547" s="41" t="s">
        <v>11203</v>
      </c>
      <c r="F1547" s="43" t="s">
        <v>11204</v>
      </c>
      <c r="G1547" s="43" t="s">
        <v>11205</v>
      </c>
      <c r="H1547" s="51" t="s">
        <v>155</v>
      </c>
      <c r="I1547" s="25" t="str">
        <f>IFERROR(__xludf.DUMMYFUNCTION("GOOGLETRANSLATE(H1547,""EN"",""ES"")"),"Marketing")</f>
        <v>Marketing</v>
      </c>
      <c r="J1547" s="26" t="s">
        <v>27</v>
      </c>
      <c r="K1547" s="17">
        <v>0.0</v>
      </c>
      <c r="L1547" s="54"/>
      <c r="M1547" s="31"/>
      <c r="N1547" s="66"/>
      <c r="O1547" s="66"/>
      <c r="P1547" s="20">
        <v>0.0</v>
      </c>
      <c r="Q1547" s="31"/>
      <c r="R1547" s="31"/>
      <c r="S1547" s="53"/>
      <c r="T1547" s="32"/>
    </row>
    <row r="1548">
      <c r="A1548" s="33" t="s">
        <v>11206</v>
      </c>
      <c r="B1548" s="60" t="s">
        <v>11207</v>
      </c>
      <c r="C1548" s="41">
        <v>45399.0</v>
      </c>
      <c r="D1548" s="40" t="s">
        <v>11208</v>
      </c>
      <c r="E1548" s="41" t="s">
        <v>11209</v>
      </c>
      <c r="F1548" s="43" t="s">
        <v>11210</v>
      </c>
      <c r="G1548" s="43" t="s">
        <v>11211</v>
      </c>
      <c r="H1548" s="51" t="s">
        <v>661</v>
      </c>
      <c r="I1548" s="15" t="str">
        <f>IFERROR(__xludf.DUMMYFUNCTION("GOOGLETRANSLATE(H1548,""EN"",""ES"")"),"Estrategia empresarial")</f>
        <v>Estrategia empresarial</v>
      </c>
      <c r="J1548" s="16" t="s">
        <v>35</v>
      </c>
      <c r="K1548" s="48">
        <v>0.6</v>
      </c>
      <c r="L1548" s="51" t="s">
        <v>11186</v>
      </c>
      <c r="M1548" s="34" t="s">
        <v>11187</v>
      </c>
      <c r="N1548" s="65" t="s">
        <v>11212</v>
      </c>
      <c r="O1548" s="65" t="str">
        <f>IFERROR(__xludf.DUMMYFUNCTION("GOOGLETRANSLATE(N1548,""EN"",""ES"")"),"La expansión de las operaciones petroleras en Venezuela respalda la presencia de Repsol en el mercado.")</f>
        <v>La expansión de las operaciones petroleras en Venezuela respalda la presencia de Repsol en el mercado.</v>
      </c>
      <c r="P1548" s="30">
        <v>0.4</v>
      </c>
      <c r="Q1548" s="18" t="str">
        <f>IFERROR(__xludf.DUMMYFUNCTION("GOOGLETRANSLATE(R1548,""ES"",""EN"")"),"agreement")</f>
        <v>agreement</v>
      </c>
      <c r="R1548" s="34" t="s">
        <v>11189</v>
      </c>
      <c r="S1548" s="52" t="s">
        <v>11097</v>
      </c>
      <c r="T1548" s="22" t="s">
        <v>11098</v>
      </c>
    </row>
    <row r="1549">
      <c r="A1549" s="23" t="s">
        <v>11213</v>
      </c>
      <c r="B1549" s="58" t="s">
        <v>163</v>
      </c>
      <c r="C1549" s="41">
        <v>45400.0</v>
      </c>
      <c r="D1549" s="40" t="s">
        <v>11214</v>
      </c>
      <c r="E1549" s="41" t="s">
        <v>11215</v>
      </c>
      <c r="F1549" s="43" t="s">
        <v>11216</v>
      </c>
      <c r="G1549" s="43" t="s">
        <v>11217</v>
      </c>
      <c r="H1549" s="51" t="s">
        <v>155</v>
      </c>
      <c r="I1549" s="25" t="str">
        <f>IFERROR(__xludf.DUMMYFUNCTION("GOOGLETRANSLATE(H1549,""EN"",""ES"")"),"Marketing")</f>
        <v>Marketing</v>
      </c>
      <c r="J1549" s="26" t="s">
        <v>35</v>
      </c>
      <c r="K1549" s="48">
        <v>0.5</v>
      </c>
      <c r="L1549" s="49" t="s">
        <v>11218</v>
      </c>
      <c r="M1549" s="28" t="s">
        <v>11219</v>
      </c>
      <c r="N1549" s="66" t="s">
        <v>11220</v>
      </c>
      <c r="O1549" s="66" t="str">
        <f>IFERROR(__xludf.DUMMYFUNCTION("GOOGLETRANSLATE(N1549,""EN"",""ES"")"),"El patrocinio de festivales de música potencia la visibilidad de la marca Repsol entre el público joven.")</f>
        <v>El patrocinio de festivales de música potencia la visibilidad de la marca Repsol entre el público joven.</v>
      </c>
      <c r="P1549" s="30">
        <v>0.5</v>
      </c>
      <c r="Q1549" s="31" t="str">
        <f>IFERROR(__xludf.DUMMYFUNCTION("GOOGLETRANSLATE(R1549,""ES"",""EN"")"),"multi-energy")</f>
        <v>multi-energy</v>
      </c>
      <c r="R1549" s="28" t="s">
        <v>11221</v>
      </c>
      <c r="S1549" s="53" t="s">
        <v>11222</v>
      </c>
      <c r="T1549" s="32" t="s">
        <v>11223</v>
      </c>
    </row>
    <row r="1550">
      <c r="A1550" s="33" t="s">
        <v>11224</v>
      </c>
      <c r="B1550" s="60" t="s">
        <v>339</v>
      </c>
      <c r="C1550" s="41">
        <v>45400.0</v>
      </c>
      <c r="D1550" s="40" t="s">
        <v>11225</v>
      </c>
      <c r="E1550" s="41" t="s">
        <v>11226</v>
      </c>
      <c r="F1550" s="43" t="s">
        <v>11227</v>
      </c>
      <c r="G1550" s="43" t="s">
        <v>11228</v>
      </c>
      <c r="H1550" s="51" t="s">
        <v>661</v>
      </c>
      <c r="I1550" s="15" t="str">
        <f>IFERROR(__xludf.DUMMYFUNCTION("GOOGLETRANSLATE(H1550,""EN"",""ES"")"),"Estrategia empresarial")</f>
        <v>Estrategia empresarial</v>
      </c>
      <c r="J1550" s="16" t="s">
        <v>35</v>
      </c>
      <c r="K1550" s="48">
        <v>0.5</v>
      </c>
      <c r="L1550" s="51" t="s">
        <v>11229</v>
      </c>
      <c r="M1550" s="34" t="s">
        <v>11230</v>
      </c>
      <c r="N1550" s="65" t="s">
        <v>11231</v>
      </c>
      <c r="O1550" s="65" t="str">
        <f>IFERROR(__xludf.DUMMYFUNCTION("GOOGLETRANSLATE(N1550,""EN"",""ES"")"),"La ampliación de las colaboraciones refuerza la presencia de Repsol en diversos sectores.")</f>
        <v>La ampliación de las colaboraciones refuerza la presencia de Repsol en diversos sectores.</v>
      </c>
      <c r="P1550" s="30">
        <v>0.4</v>
      </c>
      <c r="Q1550" s="18" t="str">
        <f>IFERROR(__xludf.DUMMYFUNCTION("GOOGLETRANSLATE(R1550,""ES"",""EN"")"),"joins")</f>
        <v>joins</v>
      </c>
      <c r="R1550" s="34" t="s">
        <v>11232</v>
      </c>
      <c r="S1550" s="52" t="s">
        <v>9424</v>
      </c>
      <c r="T1550" s="22" t="s">
        <v>9425</v>
      </c>
    </row>
    <row r="1551">
      <c r="A1551" s="23" t="s">
        <v>11233</v>
      </c>
      <c r="B1551" s="58" t="s">
        <v>666</v>
      </c>
      <c r="C1551" s="41">
        <v>45400.0</v>
      </c>
      <c r="D1551" s="40" t="s">
        <v>11234</v>
      </c>
      <c r="E1551" s="41" t="s">
        <v>11235</v>
      </c>
      <c r="F1551" s="43" t="s">
        <v>11236</v>
      </c>
      <c r="G1551" s="43" t="s">
        <v>11237</v>
      </c>
      <c r="H1551" s="51" t="s">
        <v>48</v>
      </c>
      <c r="I1551" s="25" t="str">
        <f>IFERROR(__xludf.DUMMYFUNCTION("GOOGLETRANSLATE(H1551,""EN"",""ES"")"),"Finanzas")</f>
        <v>Finanzas</v>
      </c>
      <c r="J1551" s="26" t="s">
        <v>35</v>
      </c>
      <c r="K1551" s="48">
        <v>-0.6</v>
      </c>
      <c r="L1551" s="49" t="s">
        <v>11238</v>
      </c>
      <c r="M1551" s="28" t="s">
        <v>11239</v>
      </c>
      <c r="N1551" s="66" t="s">
        <v>11240</v>
      </c>
      <c r="O1551" s="66" t="str">
        <f>IFERROR(__xludf.DUMMYFUNCTION("GOOGLETRANSLATE(N1551,""EN"",""ES"")"),"Las sanciones de Estados Unidos a Venezuela pueden crear desafíos financieros para las inversiones de Repsol.")</f>
        <v>Las sanciones de Estados Unidos a Venezuela pueden crear desafíos financieros para las inversiones de Repsol.</v>
      </c>
      <c r="P1551" s="30">
        <v>-0.6</v>
      </c>
      <c r="Q1551" s="31" t="str">
        <f>IFERROR(__xludf.DUMMYFUNCTION("GOOGLETRANSLATE(R1551,""ES"",""EN"")"),"sanctions")</f>
        <v>sanctions</v>
      </c>
      <c r="R1551" s="28" t="s">
        <v>11241</v>
      </c>
      <c r="S1551" s="53" t="s">
        <v>11242</v>
      </c>
      <c r="T1551" s="32" t="s">
        <v>11243</v>
      </c>
    </row>
    <row r="1552">
      <c r="A1552" s="33" t="s">
        <v>11244</v>
      </c>
      <c r="B1552" s="60" t="s">
        <v>192</v>
      </c>
      <c r="C1552" s="41">
        <v>45400.0</v>
      </c>
      <c r="D1552" s="40" t="s">
        <v>11245</v>
      </c>
      <c r="E1552" s="41" t="s">
        <v>11246</v>
      </c>
      <c r="F1552" s="43" t="s">
        <v>11247</v>
      </c>
      <c r="G1552" s="43" t="s">
        <v>11248</v>
      </c>
      <c r="H1552" s="51" t="s">
        <v>155</v>
      </c>
      <c r="I1552" s="15" t="str">
        <f>IFERROR(__xludf.DUMMYFUNCTION("GOOGLETRANSLATE(H1552,""EN"",""ES"")"),"Marketing")</f>
        <v>Marketing</v>
      </c>
      <c r="J1552" s="16" t="s">
        <v>35</v>
      </c>
      <c r="K1552" s="48">
        <v>0.5</v>
      </c>
      <c r="L1552" s="51" t="s">
        <v>11249</v>
      </c>
      <c r="M1552" s="34" t="s">
        <v>11250</v>
      </c>
      <c r="N1552" s="65" t="s">
        <v>11251</v>
      </c>
      <c r="O1552" s="65" t="str">
        <f>IFERROR(__xludf.DUMMYFUNCTION("GOOGLETRANSLATE(N1552,""EN"",""ES"")"),"La ampliación de los servicios energéticos a través de acuerdos de patrocinio potencia la presencia de marca de Repsol.")</f>
        <v>La ampliación de los servicios energéticos a través de acuerdos de patrocinio potencia la presencia de marca de Repsol.</v>
      </c>
      <c r="P1552" s="30">
        <v>0.6</v>
      </c>
      <c r="Q1552" s="18" t="str">
        <f>IFERROR(__xludf.DUMMYFUNCTION("GOOGLETRANSLATE(R1552,""ES"",""EN"")"),"decarbonize")</f>
        <v>decarbonize</v>
      </c>
      <c r="R1552" s="34" t="s">
        <v>11252</v>
      </c>
      <c r="S1552" s="52" t="s">
        <v>10595</v>
      </c>
      <c r="T1552" s="22" t="s">
        <v>10596</v>
      </c>
    </row>
    <row r="1553">
      <c r="A1553" s="23" t="s">
        <v>11253</v>
      </c>
      <c r="B1553" s="58" t="s">
        <v>499</v>
      </c>
      <c r="C1553" s="41">
        <v>45400.0</v>
      </c>
      <c r="D1553" s="40" t="s">
        <v>11254</v>
      </c>
      <c r="E1553" s="41" t="s">
        <v>11255</v>
      </c>
      <c r="F1553" s="43" t="s">
        <v>11256</v>
      </c>
      <c r="G1553" s="43" t="s">
        <v>11257</v>
      </c>
      <c r="H1553" s="51" t="s">
        <v>661</v>
      </c>
      <c r="I1553" s="25" t="str">
        <f>IFERROR(__xludf.DUMMYFUNCTION("GOOGLETRANSLATE(H1553,""EN"",""ES"")"),"Estrategia empresarial")</f>
        <v>Estrategia empresarial</v>
      </c>
      <c r="J1553" s="26" t="s">
        <v>35</v>
      </c>
      <c r="K1553" s="48">
        <v>0.6</v>
      </c>
      <c r="L1553" s="49" t="s">
        <v>11186</v>
      </c>
      <c r="M1553" s="28" t="s">
        <v>11187</v>
      </c>
      <c r="N1553" s="66" t="s">
        <v>11258</v>
      </c>
      <c r="O1553" s="66" t="str">
        <f>IFERROR(__xludf.DUMMYFUNCTION("GOOGLETRANSLATE(N1553,""EN"",""ES"")"),"El fortalecimiento de las operaciones petroleras en Venezuela refuerza la presencia internacional de Repsol.")</f>
        <v>El fortalecimiento de las operaciones petroleras en Venezuela refuerza la presencia internacional de Repsol.</v>
      </c>
      <c r="P1553" s="30">
        <v>0.4</v>
      </c>
      <c r="Q1553" s="31" t="str">
        <f>IFERROR(__xludf.DUMMYFUNCTION("GOOGLETRANSLATE(R1553,""ES"",""EN"")"),"agreement")</f>
        <v>agreement</v>
      </c>
      <c r="R1553" s="28" t="s">
        <v>11189</v>
      </c>
      <c r="S1553" s="53" t="s">
        <v>10411</v>
      </c>
      <c r="T1553" s="32" t="s">
        <v>10412</v>
      </c>
    </row>
    <row r="1554">
      <c r="A1554" s="33" t="s">
        <v>11259</v>
      </c>
      <c r="B1554" s="60" t="s">
        <v>11260</v>
      </c>
      <c r="C1554" s="41">
        <v>45400.0</v>
      </c>
      <c r="D1554" s="40" t="s">
        <v>11261</v>
      </c>
      <c r="E1554" s="41" t="s">
        <v>11262</v>
      </c>
      <c r="F1554" s="43" t="s">
        <v>11263</v>
      </c>
      <c r="G1554" s="43" t="s">
        <v>11264</v>
      </c>
      <c r="H1554" s="51" t="s">
        <v>155</v>
      </c>
      <c r="I1554" s="15" t="str">
        <f>IFERROR(__xludf.DUMMYFUNCTION("GOOGLETRANSLATE(H1554,""EN"",""ES"")"),"Marketing")</f>
        <v>Marketing</v>
      </c>
      <c r="J1554" s="16" t="s">
        <v>35</v>
      </c>
      <c r="K1554" s="48">
        <v>0.5</v>
      </c>
      <c r="L1554" s="51" t="s">
        <v>11218</v>
      </c>
      <c r="M1554" s="34" t="s">
        <v>11219</v>
      </c>
      <c r="N1554" s="65" t="s">
        <v>11265</v>
      </c>
      <c r="O1554" s="65" t="str">
        <f>IFERROR(__xludf.DUMMYFUNCTION("GOOGLETRANSLATE(N1554,""EN"",""ES"")"),"Los acuerdos de patrocinio potencian la visibilidad de Repsol en eventos culturales.")</f>
        <v>Los acuerdos de patrocinio potencian la visibilidad de Repsol en eventos culturales.</v>
      </c>
      <c r="P1554" s="30">
        <v>0.5</v>
      </c>
      <c r="Q1554" s="18" t="str">
        <f>IFERROR(__xludf.DUMMYFUNCTION("GOOGLETRANSLATE(R1554,""ES"",""EN"")"),"multi-energy")</f>
        <v>multi-energy</v>
      </c>
      <c r="R1554" s="34" t="s">
        <v>11221</v>
      </c>
      <c r="S1554" s="52" t="s">
        <v>11222</v>
      </c>
      <c r="T1554" s="22" t="s">
        <v>11223</v>
      </c>
    </row>
    <row r="1555">
      <c r="A1555" s="23" t="s">
        <v>11266</v>
      </c>
      <c r="B1555" s="58" t="s">
        <v>11267</v>
      </c>
      <c r="C1555" s="41">
        <v>45400.0</v>
      </c>
      <c r="D1555" s="40" t="s">
        <v>11268</v>
      </c>
      <c r="E1555" s="41" t="s">
        <v>11269</v>
      </c>
      <c r="F1555" s="43" t="s">
        <v>11270</v>
      </c>
      <c r="G1555" s="43" t="s">
        <v>11271</v>
      </c>
      <c r="H1555" s="51" t="s">
        <v>130</v>
      </c>
      <c r="I1555" s="25" t="str">
        <f>IFERROR(__xludf.DUMMYFUNCTION("GOOGLETRANSLATE(H1555,""EN"",""ES"")"),"Sostenibilidad")</f>
        <v>Sostenibilidad</v>
      </c>
      <c r="J1555" s="26" t="s">
        <v>35</v>
      </c>
      <c r="K1555" s="48">
        <v>0.6</v>
      </c>
      <c r="L1555" s="49" t="s">
        <v>11272</v>
      </c>
      <c r="M1555" s="28" t="s">
        <v>11273</v>
      </c>
      <c r="N1555" s="66" t="s">
        <v>11274</v>
      </c>
      <c r="O1555" s="66" t="str">
        <f>IFERROR(__xludf.DUMMYFUNCTION("GOOGLETRANSLATE(N1555,""EN"",""ES"")"),"Impulsar soluciones energéticas sostenibles a través de patrocinios culturales apoya las iniciativas verdes de Repsol.")</f>
        <v>Impulsar soluciones energéticas sostenibles a través de patrocinios culturales apoya las iniciativas verdes de Repsol.</v>
      </c>
      <c r="P1555" s="30">
        <v>0.7</v>
      </c>
      <c r="Q1555" s="31" t="str">
        <f>IFERROR(__xludf.DUMMYFUNCTION("GOOGLETRANSLATE(R1555,""ES"",""EN"")"),"reduce footprint")</f>
        <v>reduce footprint</v>
      </c>
      <c r="R1555" s="28" t="s">
        <v>11275</v>
      </c>
      <c r="S1555" s="53" t="s">
        <v>11276</v>
      </c>
      <c r="T1555" s="32" t="s">
        <v>11277</v>
      </c>
    </row>
    <row r="1556">
      <c r="A1556" s="33" t="s">
        <v>11278</v>
      </c>
      <c r="B1556" s="60" t="s">
        <v>11279</v>
      </c>
      <c r="C1556" s="41">
        <v>45400.0</v>
      </c>
      <c r="D1556" s="40" t="s">
        <v>11121</v>
      </c>
      <c r="E1556" s="41" t="s">
        <v>11280</v>
      </c>
      <c r="F1556" s="43" t="s">
        <v>11123</v>
      </c>
      <c r="G1556" s="43" t="s">
        <v>11281</v>
      </c>
      <c r="H1556" s="51" t="s">
        <v>408</v>
      </c>
      <c r="I1556" s="15" t="str">
        <f>IFERROR(__xludf.DUMMYFUNCTION("GOOGLETRANSLATE(H1556,""EN"",""ES"")"),"Legal")</f>
        <v>Legal</v>
      </c>
      <c r="J1556" s="16" t="s">
        <v>35</v>
      </c>
      <c r="K1556" s="48">
        <v>-0.7</v>
      </c>
      <c r="L1556" s="51" t="s">
        <v>11009</v>
      </c>
      <c r="M1556" s="34" t="s">
        <v>11010</v>
      </c>
      <c r="N1556" s="65" t="s">
        <v>11282</v>
      </c>
      <c r="O1556" s="65" t="str">
        <f>IFERROR(__xludf.DUMMYFUNCTION("GOOGLETRANSLATE(N1556,""EN"",""ES"")"),"Las continuas acusaciones de malas prácticas medioambientales podrían dañar la credibilidad de Repsol.")</f>
        <v>Las continuas acusaciones de malas prácticas medioambientales podrían dañar la credibilidad de Repsol.</v>
      </c>
      <c r="P1556" s="30">
        <v>-0.7</v>
      </c>
      <c r="Q1556" s="18" t="str">
        <f>IFERROR(__xludf.DUMMYFUNCTION("GOOGLETRANSLATE(R1556,""ES"",""EN"")"),"they denounce")</f>
        <v>they denounce</v>
      </c>
      <c r="R1556" s="34" t="s">
        <v>11128</v>
      </c>
      <c r="S1556" s="52" t="s">
        <v>10996</v>
      </c>
      <c r="T1556" s="22" t="s">
        <v>10997</v>
      </c>
    </row>
    <row r="1557">
      <c r="A1557" s="23" t="s">
        <v>11283</v>
      </c>
      <c r="B1557" s="58" t="s">
        <v>21</v>
      </c>
      <c r="C1557" s="41">
        <v>45400.0</v>
      </c>
      <c r="D1557" s="40" t="s">
        <v>11284</v>
      </c>
      <c r="E1557" s="41" t="s">
        <v>11285</v>
      </c>
      <c r="F1557" s="43" t="s">
        <v>11286</v>
      </c>
      <c r="G1557" s="43" t="s">
        <v>11287</v>
      </c>
      <c r="H1557" s="51" t="s">
        <v>969</v>
      </c>
      <c r="I1557" s="25" t="str">
        <f>IFERROR(__xludf.DUMMYFUNCTION("GOOGLETRANSLATE(H1557,""EN"",""ES"")"),"Turismo")</f>
        <v>Turismo</v>
      </c>
      <c r="J1557" s="26" t="s">
        <v>27</v>
      </c>
      <c r="K1557" s="17">
        <v>0.0</v>
      </c>
      <c r="L1557" s="54"/>
      <c r="M1557" s="31"/>
      <c r="N1557" s="66"/>
      <c r="O1557" s="66"/>
      <c r="P1557" s="20">
        <v>0.0</v>
      </c>
      <c r="Q1557" s="31"/>
      <c r="R1557" s="31"/>
      <c r="S1557" s="53"/>
      <c r="T1557" s="32"/>
    </row>
    <row r="1558">
      <c r="A1558" s="33" t="s">
        <v>11288</v>
      </c>
      <c r="B1558" s="60" t="s">
        <v>192</v>
      </c>
      <c r="C1558" s="41">
        <v>45400.0</v>
      </c>
      <c r="D1558" s="40" t="s">
        <v>11289</v>
      </c>
      <c r="E1558" s="41" t="s">
        <v>11290</v>
      </c>
      <c r="F1558" s="43" t="s">
        <v>11291</v>
      </c>
      <c r="G1558" s="43" t="s">
        <v>11292</v>
      </c>
      <c r="H1558" s="51" t="s">
        <v>661</v>
      </c>
      <c r="I1558" s="15" t="str">
        <f>IFERROR(__xludf.DUMMYFUNCTION("GOOGLETRANSLATE(H1558,""EN"",""ES"")"),"Estrategia empresarial")</f>
        <v>Estrategia empresarial</v>
      </c>
      <c r="J1558" s="16" t="s">
        <v>35</v>
      </c>
      <c r="K1558" s="48">
        <v>0.6</v>
      </c>
      <c r="L1558" s="51" t="s">
        <v>11186</v>
      </c>
      <c r="M1558" s="34" t="s">
        <v>11187</v>
      </c>
      <c r="N1558" s="65" t="s">
        <v>11293</v>
      </c>
      <c r="O1558" s="65" t="str">
        <f>IFERROR(__xludf.DUMMYFUNCTION("GOOGLETRANSLATE(N1558,""EN"",""ES"")"),"El fortalecimiento de alianzas en Venezuela respalda los objetivos de producción de petróleo de Repsol.")</f>
        <v>El fortalecimiento de alianzas en Venezuela respalda los objetivos de producción de petróleo de Repsol.</v>
      </c>
      <c r="P1558" s="30">
        <v>0.4</v>
      </c>
      <c r="Q1558" s="18" t="str">
        <f>IFERROR(__xludf.DUMMYFUNCTION("GOOGLETRANSLATE(R1558,""ES"",""EN"")"),"agreement")</f>
        <v>agreement</v>
      </c>
      <c r="R1558" s="34" t="s">
        <v>11189</v>
      </c>
      <c r="S1558" s="52" t="s">
        <v>11097</v>
      </c>
      <c r="T1558" s="22" t="s">
        <v>11098</v>
      </c>
    </row>
    <row r="1559">
      <c r="A1559" s="23" t="s">
        <v>11294</v>
      </c>
      <c r="B1559" s="58" t="s">
        <v>11295</v>
      </c>
      <c r="C1559" s="41">
        <v>45400.0</v>
      </c>
      <c r="D1559" s="40" t="s">
        <v>11296</v>
      </c>
      <c r="E1559" s="41" t="s">
        <v>11297</v>
      </c>
      <c r="F1559" s="43" t="s">
        <v>11298</v>
      </c>
      <c r="G1559" s="43" t="s">
        <v>11299</v>
      </c>
      <c r="H1559" s="51" t="s">
        <v>661</v>
      </c>
      <c r="I1559" s="25" t="str">
        <f>IFERROR(__xludf.DUMMYFUNCTION("GOOGLETRANSLATE(H1559,""EN"",""ES"")"),"Estrategia empresarial")</f>
        <v>Estrategia empresarial</v>
      </c>
      <c r="J1559" s="26" t="s">
        <v>35</v>
      </c>
      <c r="K1559" s="48">
        <v>0.6</v>
      </c>
      <c r="L1559" s="49" t="s">
        <v>11186</v>
      </c>
      <c r="M1559" s="28" t="s">
        <v>11187</v>
      </c>
      <c r="N1559" s="66" t="s">
        <v>11300</v>
      </c>
      <c r="O1559" s="66" t="str">
        <f>IFERROR(__xludf.DUMMYFUNCTION("GOOGLETRANSLATE(N1559,""EN"",""ES"")"),"La expansión de las operaciones en Venezuela respalda la estrategia energética a largo plazo de Repsol.")</f>
        <v>La expansión de las operaciones en Venezuela respalda la estrategia energética a largo plazo de Repsol.</v>
      </c>
      <c r="P1559" s="30">
        <v>0.4</v>
      </c>
      <c r="Q1559" s="31" t="str">
        <f>IFERROR(__xludf.DUMMYFUNCTION("GOOGLETRANSLATE(R1559,""ES"",""EN"")"),"agreement")</f>
        <v>agreement</v>
      </c>
      <c r="R1559" s="28" t="s">
        <v>11189</v>
      </c>
      <c r="S1559" s="53" t="s">
        <v>10411</v>
      </c>
      <c r="T1559" s="32" t="s">
        <v>10412</v>
      </c>
    </row>
    <row r="1560">
      <c r="A1560" s="33" t="s">
        <v>11301</v>
      </c>
      <c r="B1560" s="60" t="s">
        <v>21</v>
      </c>
      <c r="C1560" s="41">
        <v>45400.0</v>
      </c>
      <c r="D1560" s="40" t="s">
        <v>11302</v>
      </c>
      <c r="E1560" s="41" t="s">
        <v>11303</v>
      </c>
      <c r="F1560" s="43" t="s">
        <v>11304</v>
      </c>
      <c r="G1560" s="43" t="s">
        <v>11305</v>
      </c>
      <c r="H1560" s="51" t="s">
        <v>148</v>
      </c>
      <c r="I1560" s="15" t="str">
        <f>IFERROR(__xludf.DUMMYFUNCTION("GOOGLETRANSLATE(H1560,""EN"",""ES"")"),"Gastronomía")</f>
        <v>Gastronomía</v>
      </c>
      <c r="J1560" s="16" t="s">
        <v>27</v>
      </c>
      <c r="K1560" s="17">
        <v>0.0</v>
      </c>
      <c r="L1560" s="45"/>
      <c r="M1560" s="18"/>
      <c r="N1560" s="65"/>
      <c r="O1560" s="65"/>
      <c r="P1560" s="20">
        <v>0.0</v>
      </c>
      <c r="Q1560" s="18"/>
      <c r="R1560" s="18"/>
      <c r="S1560" s="52"/>
      <c r="T1560" s="22"/>
    </row>
    <row r="1561">
      <c r="A1561" s="23" t="s">
        <v>11306</v>
      </c>
      <c r="B1561" s="58" t="s">
        <v>217</v>
      </c>
      <c r="C1561" s="41">
        <v>45400.0</v>
      </c>
      <c r="D1561" s="40" t="s">
        <v>11307</v>
      </c>
      <c r="E1561" s="41" t="s">
        <v>11308</v>
      </c>
      <c r="F1561" s="43" t="s">
        <v>11309</v>
      </c>
      <c r="G1561" s="43" t="s">
        <v>11310</v>
      </c>
      <c r="H1561" s="51" t="s">
        <v>130</v>
      </c>
      <c r="I1561" s="25" t="str">
        <f>IFERROR(__xludf.DUMMYFUNCTION("GOOGLETRANSLATE(H1561,""EN"",""ES"")"),"Sostenibilidad")</f>
        <v>Sostenibilidad</v>
      </c>
      <c r="J1561" s="26" t="s">
        <v>35</v>
      </c>
      <c r="K1561" s="48">
        <v>0.7</v>
      </c>
      <c r="L1561" s="49" t="s">
        <v>11311</v>
      </c>
      <c r="M1561" s="28" t="s">
        <v>11312</v>
      </c>
      <c r="N1561" s="66" t="s">
        <v>11313</v>
      </c>
      <c r="O1561" s="66" t="str">
        <f>IFERROR(__xludf.DUMMYFUNCTION("GOOGLETRANSLATE(N1561,""EN"",""ES"")"),"La inversión en hidrógeno renovable se alinea con la transición energética limpia de Repsol.")</f>
        <v>La inversión en hidrógeno renovable se alinea con la transición energética limpia de Repsol.</v>
      </c>
      <c r="P1561" s="30">
        <v>0.7</v>
      </c>
      <c r="Q1561" s="31" t="str">
        <f>IFERROR(__xludf.DUMMYFUNCTION("GOOGLETRANSLATE(R1561,""ES"",""EN"")"),"renewable hydrogen")</f>
        <v>renewable hydrogen</v>
      </c>
      <c r="R1561" s="28" t="s">
        <v>11314</v>
      </c>
      <c r="S1561" s="53" t="s">
        <v>11315</v>
      </c>
      <c r="T1561" s="32" t="s">
        <v>11316</v>
      </c>
    </row>
    <row r="1562">
      <c r="A1562" s="33" t="s">
        <v>11317</v>
      </c>
      <c r="B1562" s="60" t="s">
        <v>11318</v>
      </c>
      <c r="C1562" s="41">
        <v>45400.0</v>
      </c>
      <c r="D1562" s="40" t="s">
        <v>11319</v>
      </c>
      <c r="E1562" s="41" t="s">
        <v>11320</v>
      </c>
      <c r="F1562" s="43" t="s">
        <v>11321</v>
      </c>
      <c r="G1562" s="43" t="s">
        <v>11322</v>
      </c>
      <c r="H1562" s="51" t="s">
        <v>661</v>
      </c>
      <c r="I1562" s="15" t="str">
        <f>IFERROR(__xludf.DUMMYFUNCTION("GOOGLETRANSLATE(H1562,""EN"",""ES"")"),"Estrategia empresarial")</f>
        <v>Estrategia empresarial</v>
      </c>
      <c r="J1562" s="16" t="s">
        <v>35</v>
      </c>
      <c r="K1562" s="48">
        <v>0.6</v>
      </c>
      <c r="L1562" s="51" t="s">
        <v>11186</v>
      </c>
      <c r="M1562" s="34" t="s">
        <v>11187</v>
      </c>
      <c r="N1562" s="65" t="s">
        <v>11323</v>
      </c>
      <c r="O1562" s="65" t="str">
        <f>IFERROR(__xludf.DUMMYFUNCTION("GOOGLETRANSLATE(N1562,""EN"",""ES"")"),"El fortalecimiento de las operaciones petroleras en Venezuela respalda la estrategia global de Repsol.")</f>
        <v>El fortalecimiento de las operaciones petroleras en Venezuela respalda la estrategia global de Repsol.</v>
      </c>
      <c r="P1562" s="30">
        <v>0.4</v>
      </c>
      <c r="Q1562" s="18" t="str">
        <f>IFERROR(__xludf.DUMMYFUNCTION("GOOGLETRANSLATE(R1562,""ES"",""EN"")"),"agreement")</f>
        <v>agreement</v>
      </c>
      <c r="R1562" s="34" t="s">
        <v>11189</v>
      </c>
      <c r="S1562" s="52" t="s">
        <v>10411</v>
      </c>
      <c r="T1562" s="22" t="s">
        <v>10412</v>
      </c>
    </row>
    <row r="1563">
      <c r="A1563" s="23" t="s">
        <v>11324</v>
      </c>
      <c r="B1563" s="58" t="s">
        <v>5991</v>
      </c>
      <c r="C1563" s="41">
        <v>45400.0</v>
      </c>
      <c r="D1563" s="40" t="s">
        <v>11325</v>
      </c>
      <c r="E1563" s="41" t="s">
        <v>11326</v>
      </c>
      <c r="F1563" s="43" t="s">
        <v>11327</v>
      </c>
      <c r="G1563" s="43" t="s">
        <v>11328</v>
      </c>
      <c r="H1563" s="51" t="s">
        <v>661</v>
      </c>
      <c r="I1563" s="25" t="str">
        <f>IFERROR(__xludf.DUMMYFUNCTION("GOOGLETRANSLATE(H1563,""EN"",""ES"")"),"Estrategia empresarial")</f>
        <v>Estrategia empresarial</v>
      </c>
      <c r="J1563" s="26" t="s">
        <v>35</v>
      </c>
      <c r="K1563" s="48">
        <v>0.6</v>
      </c>
      <c r="L1563" s="49" t="s">
        <v>11186</v>
      </c>
      <c r="M1563" s="28" t="s">
        <v>11187</v>
      </c>
      <c r="N1563" s="66" t="s">
        <v>11329</v>
      </c>
      <c r="O1563" s="66" t="str">
        <f>IFERROR(__xludf.DUMMYFUNCTION("GOOGLETRANSLATE(N1563,""EN"",""ES"")"),"La ampliación de los acuerdos de exploración en Venezuela respalda el posicionamiento de mercado de Repsol.")</f>
        <v>La ampliación de los acuerdos de exploración en Venezuela respalda el posicionamiento de mercado de Repsol.</v>
      </c>
      <c r="P1563" s="30">
        <v>0.4</v>
      </c>
      <c r="Q1563" s="31" t="str">
        <f>IFERROR(__xludf.DUMMYFUNCTION("GOOGLETRANSLATE(R1563,""ES"",""EN"")"),"agreement")</f>
        <v>agreement</v>
      </c>
      <c r="R1563" s="28" t="s">
        <v>11189</v>
      </c>
      <c r="S1563" s="53" t="s">
        <v>11097</v>
      </c>
      <c r="T1563" s="32" t="s">
        <v>11098</v>
      </c>
    </row>
    <row r="1564">
      <c r="A1564" s="33" t="s">
        <v>11330</v>
      </c>
      <c r="B1564" s="60" t="s">
        <v>217</v>
      </c>
      <c r="C1564" s="41">
        <v>45400.0</v>
      </c>
      <c r="D1564" s="40" t="s">
        <v>11331</v>
      </c>
      <c r="E1564" s="41" t="s">
        <v>11332</v>
      </c>
      <c r="F1564" s="43" t="s">
        <v>11333</v>
      </c>
      <c r="G1564" s="43" t="s">
        <v>11334</v>
      </c>
      <c r="H1564" s="51" t="s">
        <v>48</v>
      </c>
      <c r="I1564" s="15" t="str">
        <f>IFERROR(__xludf.DUMMYFUNCTION("GOOGLETRANSLATE(H1564,""EN"",""ES"")"),"Finanzas")</f>
        <v>Finanzas</v>
      </c>
      <c r="J1564" s="16" t="s">
        <v>35</v>
      </c>
      <c r="K1564" s="48">
        <v>-0.6</v>
      </c>
      <c r="L1564" s="51" t="s">
        <v>11238</v>
      </c>
      <c r="M1564" s="34" t="s">
        <v>11239</v>
      </c>
      <c r="N1564" s="65" t="s">
        <v>11335</v>
      </c>
      <c r="O1564" s="65" t="str">
        <f>IFERROR(__xludf.DUMMYFUNCTION("GOOGLETRANSLATE(N1564,""EN"",""ES"")"),"Las sanciones de Estados Unidos a Venezuela podrían crear desafíos operativos para Repsol.")</f>
        <v>Las sanciones de Estados Unidos a Venezuela podrían crear desafíos operativos para Repsol.</v>
      </c>
      <c r="P1564" s="30">
        <v>0.0</v>
      </c>
      <c r="Q1564" s="18"/>
      <c r="R1564" s="18"/>
      <c r="S1564" s="52" t="s">
        <v>10534</v>
      </c>
      <c r="T1564" s="22" t="s">
        <v>10535</v>
      </c>
    </row>
    <row r="1565">
      <c r="A1565" s="23" t="s">
        <v>11336</v>
      </c>
      <c r="B1565" s="58" t="s">
        <v>11337</v>
      </c>
      <c r="C1565" s="41">
        <v>45401.0</v>
      </c>
      <c r="D1565" s="40" t="s">
        <v>11338</v>
      </c>
      <c r="E1565" s="41" t="s">
        <v>11339</v>
      </c>
      <c r="F1565" s="43" t="s">
        <v>11340</v>
      </c>
      <c r="G1565" s="43" t="s">
        <v>11341</v>
      </c>
      <c r="H1565" s="51" t="s">
        <v>155</v>
      </c>
      <c r="I1565" s="25" t="str">
        <f>IFERROR(__xludf.DUMMYFUNCTION("GOOGLETRANSLATE(H1565,""EN"",""ES"")"),"Marketing")</f>
        <v>Marketing</v>
      </c>
      <c r="J1565" s="26" t="s">
        <v>35</v>
      </c>
      <c r="K1565" s="48">
        <v>0.6</v>
      </c>
      <c r="L1565" s="49" t="s">
        <v>11342</v>
      </c>
      <c r="M1565" s="28" t="s">
        <v>11343</v>
      </c>
      <c r="N1565" s="66" t="s">
        <v>11344</v>
      </c>
      <c r="O1565" s="66" t="str">
        <f>IFERROR(__xludf.DUMMYFUNCTION("GOOGLETRANSLATE(N1565,""EN"",""ES"")"),"El patrocinio de grandes equipos de fútbol potencia la visibilidad de la marca Repsol.")</f>
        <v>El patrocinio de grandes equipos de fútbol potencia la visibilidad de la marca Repsol.</v>
      </c>
      <c r="P1565" s="30">
        <v>0.5</v>
      </c>
      <c r="Q1565" s="31" t="str">
        <f>IFERROR(__xludf.DUMMYFUNCTION("GOOGLETRANSLATE(R1565,""ES"",""EN"")"),"partners")</f>
        <v>partners</v>
      </c>
      <c r="R1565" s="28" t="s">
        <v>11345</v>
      </c>
      <c r="S1565" s="53" t="s">
        <v>11346</v>
      </c>
      <c r="T1565" s="32" t="s">
        <v>11347</v>
      </c>
    </row>
    <row r="1566">
      <c r="A1566" s="33" t="s">
        <v>11348</v>
      </c>
      <c r="B1566" s="60" t="s">
        <v>10492</v>
      </c>
      <c r="C1566" s="41">
        <v>45401.0</v>
      </c>
      <c r="D1566" s="40" t="s">
        <v>11349</v>
      </c>
      <c r="E1566" s="41" t="s">
        <v>11350</v>
      </c>
      <c r="F1566" s="43" t="s">
        <v>11351</v>
      </c>
      <c r="G1566" s="43" t="s">
        <v>11352</v>
      </c>
      <c r="H1566" s="51" t="s">
        <v>155</v>
      </c>
      <c r="I1566" s="15" t="str">
        <f>IFERROR(__xludf.DUMMYFUNCTION("GOOGLETRANSLATE(H1566,""EN"",""ES"")"),"Marketing")</f>
        <v>Marketing</v>
      </c>
      <c r="J1566" s="16" t="s">
        <v>35</v>
      </c>
      <c r="K1566" s="48">
        <v>0.6</v>
      </c>
      <c r="L1566" s="51" t="s">
        <v>11342</v>
      </c>
      <c r="M1566" s="34" t="s">
        <v>11343</v>
      </c>
      <c r="N1566" s="65" t="s">
        <v>11353</v>
      </c>
      <c r="O1566" s="65" t="str">
        <f>IFERROR(__xludf.DUMMYFUNCTION("GOOGLETRANSLATE(N1566,""EN"",""ES"")"),"La ampliación de los patrocinios en el fútbol fortalece la asociación de marca de Repsol.")</f>
        <v>La ampliación de los patrocinios en el fútbol fortalece la asociación de marca de Repsol.</v>
      </c>
      <c r="P1566" s="30">
        <v>0.4</v>
      </c>
      <c r="Q1566" s="18" t="str">
        <f>IFERROR(__xludf.DUMMYFUNCTION("GOOGLETRANSLATE(R1566,""ES"",""EN"")"),"agreement")</f>
        <v>agreement</v>
      </c>
      <c r="R1566" s="34" t="s">
        <v>11189</v>
      </c>
      <c r="S1566" s="52" t="s">
        <v>11354</v>
      </c>
      <c r="T1566" s="22" t="s">
        <v>11355</v>
      </c>
    </row>
    <row r="1567">
      <c r="A1567" s="23" t="s">
        <v>11356</v>
      </c>
      <c r="B1567" s="58" t="s">
        <v>163</v>
      </c>
      <c r="C1567" s="41">
        <v>45401.0</v>
      </c>
      <c r="D1567" s="40" t="s">
        <v>11357</v>
      </c>
      <c r="E1567" s="41" t="s">
        <v>11358</v>
      </c>
      <c r="F1567" s="43" t="s">
        <v>11359</v>
      </c>
      <c r="G1567" s="43" t="s">
        <v>11360</v>
      </c>
      <c r="H1567" s="51" t="s">
        <v>130</v>
      </c>
      <c r="I1567" s="25" t="str">
        <f>IFERROR(__xludf.DUMMYFUNCTION("GOOGLETRANSLATE(H1567,""EN"",""ES"")"),"Sostenibilidad")</f>
        <v>Sostenibilidad</v>
      </c>
      <c r="J1567" s="26" t="s">
        <v>35</v>
      </c>
      <c r="K1567" s="48">
        <v>0.7</v>
      </c>
      <c r="L1567" s="49" t="s">
        <v>11361</v>
      </c>
      <c r="M1567" s="28" t="s">
        <v>11362</v>
      </c>
      <c r="N1567" s="66" t="s">
        <v>11363</v>
      </c>
      <c r="O1567" s="66" t="str">
        <f>IFERROR(__xludf.DUMMYFUNCTION("GOOGLETRANSLATE(N1567,""EN"",""ES"")"),"La creación de una división dedicada a la sostenibilidad refuerza los compromisos medioambientales de Repsol.")</f>
        <v>La creación de una división dedicada a la sostenibilidad refuerza los compromisos medioambientales de Repsol.</v>
      </c>
      <c r="P1567" s="30">
        <v>0.7</v>
      </c>
      <c r="Q1567" s="31" t="str">
        <f>IFERROR(__xludf.DUMMYFUNCTION("GOOGLETRANSLATE(R1567,""ES"",""EN"")"),"geothermal, hydrogen")</f>
        <v>geothermal, hydrogen</v>
      </c>
      <c r="R1567" s="28" t="s">
        <v>11364</v>
      </c>
      <c r="S1567" s="53" t="s">
        <v>10569</v>
      </c>
      <c r="T1567" s="32" t="s">
        <v>10570</v>
      </c>
    </row>
    <row r="1568">
      <c r="A1568" s="33" t="s">
        <v>11365</v>
      </c>
      <c r="B1568" s="60" t="s">
        <v>11366</v>
      </c>
      <c r="C1568" s="41">
        <v>45401.0</v>
      </c>
      <c r="D1568" s="40" t="s">
        <v>11367</v>
      </c>
      <c r="E1568" s="41" t="s">
        <v>11368</v>
      </c>
      <c r="F1568" s="43" t="s">
        <v>11369</v>
      </c>
      <c r="G1568" s="43" t="s">
        <v>11370</v>
      </c>
      <c r="H1568" s="51" t="s">
        <v>130</v>
      </c>
      <c r="I1568" s="15" t="str">
        <f>IFERROR(__xludf.DUMMYFUNCTION("GOOGLETRANSLATE(H1568,""EN"",""ES"")"),"Sostenibilidad")</f>
        <v>Sostenibilidad</v>
      </c>
      <c r="J1568" s="16" t="s">
        <v>35</v>
      </c>
      <c r="K1568" s="48">
        <v>0.6</v>
      </c>
      <c r="L1568" s="51" t="s">
        <v>11371</v>
      </c>
      <c r="M1568" s="34" t="s">
        <v>11372</v>
      </c>
      <c r="N1568" s="65" t="s">
        <v>11373</v>
      </c>
      <c r="O1568" s="65" t="str">
        <f>IFERROR(__xludf.DUMMYFUNCTION("GOOGLETRANSLATE(N1568,""EN"",""ES"")"),"El patrocinio de eventos culturales con enfoque en sostenibilidad se alinea con las iniciativas verdes de Repsol.")</f>
        <v>El patrocinio de eventos culturales con enfoque en sostenibilidad se alinea con las iniciativas verdes de Repsol.</v>
      </c>
      <c r="P1568" s="30">
        <v>0.6</v>
      </c>
      <c r="Q1568" s="18" t="str">
        <f>IFERROR(__xludf.DUMMYFUNCTION("GOOGLETRANSLATE(R1568,""ES"",""EN"")"),"alliance, carbon footprint")</f>
        <v>alliance, carbon footprint</v>
      </c>
      <c r="R1568" s="34" t="s">
        <v>11374</v>
      </c>
      <c r="S1568" s="52" t="s">
        <v>10595</v>
      </c>
      <c r="T1568" s="22" t="s">
        <v>10596</v>
      </c>
    </row>
    <row r="1569">
      <c r="A1569" s="23" t="s">
        <v>11375</v>
      </c>
      <c r="B1569" s="58" t="s">
        <v>21</v>
      </c>
      <c r="C1569" s="41">
        <v>45401.0</v>
      </c>
      <c r="D1569" s="40" t="s">
        <v>11376</v>
      </c>
      <c r="E1569" s="41" t="s">
        <v>11377</v>
      </c>
      <c r="F1569" s="43" t="s">
        <v>11378</v>
      </c>
      <c r="G1569" s="43" t="s">
        <v>11379</v>
      </c>
      <c r="H1569" s="51" t="s">
        <v>148</v>
      </c>
      <c r="I1569" s="25" t="str">
        <f>IFERROR(__xludf.DUMMYFUNCTION("GOOGLETRANSLATE(H1569,""EN"",""ES"")"),"Gastronomía")</f>
        <v>Gastronomía</v>
      </c>
      <c r="J1569" s="26" t="s">
        <v>27</v>
      </c>
      <c r="K1569" s="17">
        <v>0.0</v>
      </c>
      <c r="L1569" s="54"/>
      <c r="M1569" s="31"/>
      <c r="N1569" s="66"/>
      <c r="O1569" s="66"/>
      <c r="P1569" s="20">
        <v>0.0</v>
      </c>
      <c r="Q1569" s="31"/>
      <c r="R1569" s="31"/>
      <c r="S1569" s="53"/>
      <c r="T1569" s="32"/>
    </row>
    <row r="1570">
      <c r="A1570" s="33" t="s">
        <v>11380</v>
      </c>
      <c r="B1570" s="60" t="s">
        <v>8390</v>
      </c>
      <c r="C1570" s="41">
        <v>45401.0</v>
      </c>
      <c r="D1570" s="40" t="s">
        <v>11381</v>
      </c>
      <c r="E1570" s="41" t="s">
        <v>11382</v>
      </c>
      <c r="F1570" s="43" t="s">
        <v>11383</v>
      </c>
      <c r="G1570" s="43" t="s">
        <v>11384</v>
      </c>
      <c r="H1570" s="51" t="s">
        <v>3985</v>
      </c>
      <c r="I1570" s="15" t="str">
        <f>IFERROR(__xludf.DUMMYFUNCTION("GOOGLETRANSLATE(H1570,""EN"",""ES"")"),"Deportes")</f>
        <v>Deportes</v>
      </c>
      <c r="J1570" s="16" t="s">
        <v>27</v>
      </c>
      <c r="K1570" s="17">
        <v>0.0</v>
      </c>
      <c r="L1570" s="45"/>
      <c r="M1570" s="18"/>
      <c r="N1570" s="65"/>
      <c r="O1570" s="65"/>
      <c r="P1570" s="20">
        <v>0.0</v>
      </c>
      <c r="Q1570" s="18"/>
      <c r="R1570" s="18"/>
      <c r="S1570" s="52"/>
      <c r="T1570" s="22"/>
    </row>
    <row r="1571">
      <c r="A1571" s="23" t="s">
        <v>11385</v>
      </c>
      <c r="B1571" s="58" t="s">
        <v>21</v>
      </c>
      <c r="C1571" s="41">
        <v>45401.0</v>
      </c>
      <c r="D1571" s="40" t="s">
        <v>11386</v>
      </c>
      <c r="E1571" s="41" t="s">
        <v>11387</v>
      </c>
      <c r="F1571" s="43" t="s">
        <v>11388</v>
      </c>
      <c r="G1571" s="43" t="s">
        <v>11389</v>
      </c>
      <c r="H1571" s="51" t="s">
        <v>969</v>
      </c>
      <c r="I1571" s="25" t="str">
        <f>IFERROR(__xludf.DUMMYFUNCTION("GOOGLETRANSLATE(H1571,""EN"",""ES"")"),"Turismo")</f>
        <v>Turismo</v>
      </c>
      <c r="J1571" s="26" t="s">
        <v>27</v>
      </c>
      <c r="K1571" s="17">
        <v>0.0</v>
      </c>
      <c r="L1571" s="54"/>
      <c r="M1571" s="31"/>
      <c r="N1571" s="66"/>
      <c r="O1571" s="66"/>
      <c r="P1571" s="20">
        <v>0.0</v>
      </c>
      <c r="Q1571" s="31"/>
      <c r="R1571" s="31"/>
      <c r="S1571" s="53"/>
      <c r="T1571" s="32"/>
    </row>
    <row r="1572">
      <c r="A1572" s="33" t="s">
        <v>11390</v>
      </c>
      <c r="B1572" s="60" t="s">
        <v>2713</v>
      </c>
      <c r="C1572" s="41">
        <v>45401.0</v>
      </c>
      <c r="D1572" s="40" t="s">
        <v>11391</v>
      </c>
      <c r="E1572" s="41" t="s">
        <v>11392</v>
      </c>
      <c r="F1572" s="43" t="s">
        <v>11393</v>
      </c>
      <c r="G1572" s="43" t="s">
        <v>11394</v>
      </c>
      <c r="H1572" s="51" t="s">
        <v>130</v>
      </c>
      <c r="I1572" s="15" t="str">
        <f>IFERROR(__xludf.DUMMYFUNCTION("GOOGLETRANSLATE(H1572,""EN"",""ES"")"),"Sostenibilidad")</f>
        <v>Sostenibilidad</v>
      </c>
      <c r="J1572" s="16" t="s">
        <v>35</v>
      </c>
      <c r="K1572" s="48">
        <v>0.6</v>
      </c>
      <c r="L1572" s="51" t="s">
        <v>11371</v>
      </c>
      <c r="M1572" s="34" t="s">
        <v>11372</v>
      </c>
      <c r="N1572" s="65" t="s">
        <v>11395</v>
      </c>
      <c r="O1572" s="65" t="str">
        <f>IFERROR(__xludf.DUMMYFUNCTION("GOOGLETRANSLATE(N1572,""EN"",""ES"")"),"La colaboración con eventos culturales para promover la sostenibilidad potencia la imagen de marca de Repsol.")</f>
        <v>La colaboración con eventos culturales para promover la sostenibilidad potencia la imagen de marca de Repsol.</v>
      </c>
      <c r="P1572" s="30">
        <v>0.7</v>
      </c>
      <c r="Q1572" s="18" t="str">
        <f>IFERROR(__xludf.DUMMYFUNCTION("GOOGLETRANSLATE(R1572,""ES"",""EN"")"),"reduce footprint")</f>
        <v>reduce footprint</v>
      </c>
      <c r="R1572" s="34" t="s">
        <v>11275</v>
      </c>
      <c r="S1572" s="52" t="s">
        <v>11276</v>
      </c>
      <c r="T1572" s="22" t="s">
        <v>11277</v>
      </c>
    </row>
    <row r="1573">
      <c r="A1573" s="23" t="s">
        <v>11396</v>
      </c>
      <c r="B1573" s="58" t="s">
        <v>11295</v>
      </c>
      <c r="C1573" s="41">
        <v>45401.0</v>
      </c>
      <c r="D1573" s="40" t="s">
        <v>11397</v>
      </c>
      <c r="E1573" s="41" t="s">
        <v>11398</v>
      </c>
      <c r="F1573" s="43" t="s">
        <v>11399</v>
      </c>
      <c r="G1573" s="43" t="s">
        <v>11400</v>
      </c>
      <c r="H1573" s="51" t="s">
        <v>661</v>
      </c>
      <c r="I1573" s="25" t="str">
        <f>IFERROR(__xludf.DUMMYFUNCTION("GOOGLETRANSLATE(H1573,""EN"",""ES"")"),"Estrategia empresarial")</f>
        <v>Estrategia empresarial</v>
      </c>
      <c r="J1573" s="26" t="s">
        <v>35</v>
      </c>
      <c r="K1573" s="48">
        <v>0.6</v>
      </c>
      <c r="L1573" s="49" t="s">
        <v>11401</v>
      </c>
      <c r="M1573" s="28" t="s">
        <v>11402</v>
      </c>
      <c r="N1573" s="66" t="s">
        <v>11403</v>
      </c>
      <c r="O1573" s="66" t="str">
        <f>IFERROR(__xludf.DUMMYFUNCTION("GOOGLETRANSLATE(N1573,""EN"",""ES"")"),"La inversión en la producción de petróleo en Venezuela respalda la expansión del mercado de Repsol.")</f>
        <v>La inversión en la producción de petróleo en Venezuela respalda la expansión del mercado de Repsol.</v>
      </c>
      <c r="P1573" s="30">
        <v>0.5</v>
      </c>
      <c r="Q1573" s="31" t="str">
        <f>IFERROR(__xludf.DUMMYFUNCTION("GOOGLETRANSLATE(R1573,""ES"",""EN"")"),"will invest")</f>
        <v>will invest</v>
      </c>
      <c r="R1573" s="28" t="s">
        <v>11404</v>
      </c>
      <c r="S1573" s="53" t="s">
        <v>11405</v>
      </c>
      <c r="T1573" s="32" t="s">
        <v>11406</v>
      </c>
    </row>
    <row r="1574">
      <c r="A1574" s="33" t="s">
        <v>11407</v>
      </c>
      <c r="B1574" s="60" t="s">
        <v>21</v>
      </c>
      <c r="C1574" s="41">
        <v>45401.0</v>
      </c>
      <c r="D1574" s="40" t="s">
        <v>11408</v>
      </c>
      <c r="E1574" s="41" t="s">
        <v>11409</v>
      </c>
      <c r="F1574" s="43" t="s">
        <v>11410</v>
      </c>
      <c r="G1574" s="43" t="s">
        <v>11411</v>
      </c>
      <c r="H1574" s="51" t="s">
        <v>148</v>
      </c>
      <c r="I1574" s="15" t="str">
        <f>IFERROR(__xludf.DUMMYFUNCTION("GOOGLETRANSLATE(H1574,""EN"",""ES"")"),"Gastronomía")</f>
        <v>Gastronomía</v>
      </c>
      <c r="J1574" s="16" t="s">
        <v>27</v>
      </c>
      <c r="K1574" s="17">
        <v>0.0</v>
      </c>
      <c r="L1574" s="45"/>
      <c r="M1574" s="18"/>
      <c r="N1574" s="65"/>
      <c r="O1574" s="65"/>
      <c r="P1574" s="20">
        <v>0.0</v>
      </c>
      <c r="Q1574" s="18"/>
      <c r="R1574" s="18"/>
      <c r="S1574" s="52"/>
      <c r="T1574" s="22"/>
    </row>
    <row r="1575">
      <c r="A1575" s="23" t="s">
        <v>11412</v>
      </c>
      <c r="B1575" s="58" t="s">
        <v>85</v>
      </c>
      <c r="C1575" s="41">
        <v>45402.0</v>
      </c>
      <c r="D1575" s="40" t="s">
        <v>11413</v>
      </c>
      <c r="E1575" s="41" t="s">
        <v>11414</v>
      </c>
      <c r="F1575" s="43" t="s">
        <v>11415</v>
      </c>
      <c r="G1575" s="43" t="s">
        <v>11416</v>
      </c>
      <c r="H1575" s="51" t="s">
        <v>155</v>
      </c>
      <c r="I1575" s="25" t="str">
        <f>IFERROR(__xludf.DUMMYFUNCTION("GOOGLETRANSLATE(H1575,""EN"",""ES"")"),"Marketing")</f>
        <v>Marketing</v>
      </c>
      <c r="J1575" s="26" t="s">
        <v>35</v>
      </c>
      <c r="K1575" s="48">
        <v>0.7</v>
      </c>
      <c r="L1575" s="49" t="s">
        <v>11417</v>
      </c>
      <c r="M1575" s="28" t="s">
        <v>11418</v>
      </c>
      <c r="N1575" s="66" t="s">
        <v>11419</v>
      </c>
      <c r="O1575" s="66" t="str">
        <f>IFERROR(__xludf.DUMMYFUNCTION("GOOGLETRANSLATE(N1575,""EN"",""ES"")"),"El patrocinio del deporte del motor potencia el posicionamiento de marca internacional de Repsol.")</f>
        <v>El patrocinio del deporte del motor potencia el posicionamiento de marca internacional de Repsol.</v>
      </c>
      <c r="P1575" s="30">
        <v>0.6</v>
      </c>
      <c r="Q1575" s="31" t="str">
        <f>IFERROR(__xludf.DUMMYFUNCTION("GOOGLETRANSLATE(R1575,""ES"",""EN"")"),"renewable fuels")</f>
        <v>renewable fuels</v>
      </c>
      <c r="R1575" s="28" t="s">
        <v>584</v>
      </c>
      <c r="S1575" s="53" t="s">
        <v>10595</v>
      </c>
      <c r="T1575" s="32" t="s">
        <v>10596</v>
      </c>
    </row>
    <row r="1576">
      <c r="A1576" s="33" t="s">
        <v>11420</v>
      </c>
      <c r="B1576" s="60" t="s">
        <v>217</v>
      </c>
      <c r="C1576" s="41">
        <v>45402.0</v>
      </c>
      <c r="D1576" s="40" t="s">
        <v>11421</v>
      </c>
      <c r="E1576" s="41" t="s">
        <v>11422</v>
      </c>
      <c r="F1576" s="43" t="s">
        <v>11423</v>
      </c>
      <c r="G1576" s="43" t="s">
        <v>11424</v>
      </c>
      <c r="H1576" s="51" t="s">
        <v>48</v>
      </c>
      <c r="I1576" s="15" t="str">
        <f>IFERROR(__xludf.DUMMYFUNCTION("GOOGLETRANSLATE(H1576,""EN"",""ES"")"),"Finanzas")</f>
        <v>Finanzas</v>
      </c>
      <c r="J1576" s="16" t="s">
        <v>27</v>
      </c>
      <c r="K1576" s="17">
        <v>0.0</v>
      </c>
      <c r="L1576" s="45"/>
      <c r="M1576" s="18"/>
      <c r="N1576" s="65"/>
      <c r="O1576" s="65"/>
      <c r="P1576" s="20">
        <v>0.0</v>
      </c>
      <c r="Q1576" s="18"/>
      <c r="R1576" s="18"/>
      <c r="S1576" s="52"/>
      <c r="T1576" s="22"/>
    </row>
    <row r="1577">
      <c r="A1577" s="23" t="s">
        <v>11425</v>
      </c>
      <c r="B1577" s="58" t="s">
        <v>1072</v>
      </c>
      <c r="C1577" s="41">
        <v>45402.0</v>
      </c>
      <c r="D1577" s="40" t="s">
        <v>11426</v>
      </c>
      <c r="E1577" s="41" t="s">
        <v>11427</v>
      </c>
      <c r="F1577" s="43" t="s">
        <v>11428</v>
      </c>
      <c r="G1577" s="43" t="s">
        <v>11429</v>
      </c>
      <c r="H1577" s="51" t="s">
        <v>48</v>
      </c>
      <c r="I1577" s="25" t="str">
        <f>IFERROR(__xludf.DUMMYFUNCTION("GOOGLETRANSLATE(H1577,""EN"",""ES"")"),"Finanzas")</f>
        <v>Finanzas</v>
      </c>
      <c r="J1577" s="26" t="s">
        <v>27</v>
      </c>
      <c r="K1577" s="17">
        <v>0.0</v>
      </c>
      <c r="L1577" s="72"/>
      <c r="M1577" s="31"/>
      <c r="N1577" s="66"/>
      <c r="O1577" s="66"/>
      <c r="P1577" s="20">
        <v>0.0</v>
      </c>
      <c r="Q1577" s="31"/>
      <c r="R1577" s="31"/>
      <c r="S1577" s="53"/>
      <c r="T1577" s="32"/>
    </row>
    <row r="1578">
      <c r="A1578" s="33" t="s">
        <v>11430</v>
      </c>
      <c r="B1578" s="60" t="s">
        <v>217</v>
      </c>
      <c r="C1578" s="41">
        <v>45402.0</v>
      </c>
      <c r="D1578" s="40" t="s">
        <v>11431</v>
      </c>
      <c r="E1578" s="41" t="s">
        <v>11432</v>
      </c>
      <c r="F1578" s="43" t="s">
        <v>11433</v>
      </c>
      <c r="G1578" s="43" t="s">
        <v>11434</v>
      </c>
      <c r="H1578" s="51" t="s">
        <v>62</v>
      </c>
      <c r="I1578" s="15" t="str">
        <f>IFERROR(__xludf.DUMMYFUNCTION("GOOGLETRANSLATE(H1578,""EN"",""ES"")"),"Energía")</f>
        <v>Energía</v>
      </c>
      <c r="J1578" s="16" t="s">
        <v>27</v>
      </c>
      <c r="K1578" s="17">
        <v>0.0</v>
      </c>
      <c r="L1578" s="45"/>
      <c r="M1578" s="18"/>
      <c r="N1578" s="65"/>
      <c r="O1578" s="65"/>
      <c r="P1578" s="20">
        <v>0.0</v>
      </c>
      <c r="Q1578" s="18"/>
      <c r="R1578" s="18"/>
      <c r="S1578" s="52"/>
      <c r="T1578" s="22"/>
    </row>
    <row r="1579">
      <c r="A1579" s="23" t="s">
        <v>11435</v>
      </c>
      <c r="B1579" s="58" t="s">
        <v>2442</v>
      </c>
      <c r="C1579" s="41">
        <v>45402.0</v>
      </c>
      <c r="D1579" s="40" t="s">
        <v>11436</v>
      </c>
      <c r="E1579" s="41" t="s">
        <v>11437</v>
      </c>
      <c r="F1579" s="43" t="s">
        <v>11438</v>
      </c>
      <c r="G1579" s="43" t="s">
        <v>11439</v>
      </c>
      <c r="H1579" s="51" t="s">
        <v>130</v>
      </c>
      <c r="I1579" s="25" t="str">
        <f>IFERROR(__xludf.DUMMYFUNCTION("GOOGLETRANSLATE(H1579,""EN"",""ES"")"),"Sostenibilidad")</f>
        <v>Sostenibilidad</v>
      </c>
      <c r="J1579" s="26" t="s">
        <v>27</v>
      </c>
      <c r="K1579" s="17">
        <v>0.0</v>
      </c>
      <c r="L1579" s="54"/>
      <c r="M1579" s="31"/>
      <c r="N1579" s="66"/>
      <c r="O1579" s="66"/>
      <c r="P1579" s="20">
        <v>0.0</v>
      </c>
      <c r="Q1579" s="31"/>
      <c r="R1579" s="31"/>
      <c r="S1579" s="53"/>
      <c r="T1579" s="32"/>
    </row>
    <row r="1580">
      <c r="A1580" s="33" t="s">
        <v>11440</v>
      </c>
      <c r="B1580" s="60" t="s">
        <v>1568</v>
      </c>
      <c r="C1580" s="41">
        <v>45402.0</v>
      </c>
      <c r="D1580" s="40" t="s">
        <v>11441</v>
      </c>
      <c r="E1580" s="41" t="s">
        <v>11442</v>
      </c>
      <c r="F1580" s="43" t="s">
        <v>11443</v>
      </c>
      <c r="G1580" s="43" t="s">
        <v>11444</v>
      </c>
      <c r="H1580" s="51" t="s">
        <v>148</v>
      </c>
      <c r="I1580" s="15" t="str">
        <f>IFERROR(__xludf.DUMMYFUNCTION("GOOGLETRANSLATE(H1580,""EN"",""ES"")"),"Gastronomía")</f>
        <v>Gastronomía</v>
      </c>
      <c r="J1580" s="16" t="s">
        <v>27</v>
      </c>
      <c r="K1580" s="17">
        <v>0.0</v>
      </c>
      <c r="L1580" s="45"/>
      <c r="M1580" s="18"/>
      <c r="N1580" s="65"/>
      <c r="O1580" s="65"/>
      <c r="P1580" s="20">
        <v>0.0</v>
      </c>
      <c r="Q1580" s="18"/>
      <c r="R1580" s="18"/>
      <c r="S1580" s="52"/>
      <c r="T1580" s="22"/>
    </row>
    <row r="1581">
      <c r="A1581" s="23" t="s">
        <v>11445</v>
      </c>
      <c r="B1581" s="58" t="s">
        <v>10752</v>
      </c>
      <c r="C1581" s="41">
        <v>45403.0</v>
      </c>
      <c r="D1581" s="40" t="s">
        <v>11446</v>
      </c>
      <c r="E1581" s="41" t="s">
        <v>11447</v>
      </c>
      <c r="F1581" s="43" t="s">
        <v>11448</v>
      </c>
      <c r="G1581" s="43" t="s">
        <v>11449</v>
      </c>
      <c r="H1581" s="51" t="s">
        <v>408</v>
      </c>
      <c r="I1581" s="25" t="str">
        <f>IFERROR(__xludf.DUMMYFUNCTION("GOOGLETRANSLATE(H1581,""EN"",""ES"")"),"Legal")</f>
        <v>Legal</v>
      </c>
      <c r="J1581" s="26" t="s">
        <v>35</v>
      </c>
      <c r="K1581" s="48">
        <v>-0.7</v>
      </c>
      <c r="L1581" s="49" t="s">
        <v>9825</v>
      </c>
      <c r="M1581" s="28" t="s">
        <v>9826</v>
      </c>
      <c r="N1581" s="66" t="s">
        <v>11450</v>
      </c>
      <c r="O1581" s="66" t="str">
        <f>IFERROR(__xludf.DUMMYFUNCTION("GOOGLETRANSLATE(N1581,""EN"",""ES"")"),"Las acusaciones de greenwashing pueden afectar negativamente a la reputación de sostenibilidad de Repsol.")</f>
        <v>Las acusaciones de greenwashing pueden afectar negativamente a la reputación de sostenibilidad de Repsol.</v>
      </c>
      <c r="P1581" s="30">
        <v>-0.8</v>
      </c>
      <c r="Q1581" s="31" t="str">
        <f>IFERROR(__xludf.DUMMYFUNCTION("GOOGLETRANSLATE(R1581,""ES"",""EN"")"),"complaint, greenwashing")</f>
        <v>complaint, greenwashing</v>
      </c>
      <c r="R1581" s="28" t="s">
        <v>11451</v>
      </c>
      <c r="S1581" s="53" t="s">
        <v>10996</v>
      </c>
      <c r="T1581" s="32" t="s">
        <v>10997</v>
      </c>
    </row>
    <row r="1582">
      <c r="A1582" s="33" t="s">
        <v>11452</v>
      </c>
      <c r="B1582" s="60" t="s">
        <v>85</v>
      </c>
      <c r="C1582" s="41">
        <v>45403.0</v>
      </c>
      <c r="D1582" s="40" t="s">
        <v>11453</v>
      </c>
      <c r="E1582" s="41" t="s">
        <v>11454</v>
      </c>
      <c r="F1582" s="43" t="s">
        <v>11455</v>
      </c>
      <c r="G1582" s="43" t="s">
        <v>11456</v>
      </c>
      <c r="H1582" s="51" t="s">
        <v>148</v>
      </c>
      <c r="I1582" s="15" t="str">
        <f>IFERROR(__xludf.DUMMYFUNCTION("GOOGLETRANSLATE(H1582,""EN"",""ES"")"),"Gastronomía")</f>
        <v>Gastronomía</v>
      </c>
      <c r="J1582" s="16" t="s">
        <v>27</v>
      </c>
      <c r="K1582" s="17">
        <v>0.0</v>
      </c>
      <c r="L1582" s="45"/>
      <c r="M1582" s="18"/>
      <c r="N1582" s="65"/>
      <c r="O1582" s="65"/>
      <c r="P1582" s="20">
        <v>0.0</v>
      </c>
      <c r="Q1582" s="18"/>
      <c r="R1582" s="18"/>
      <c r="S1582" s="52"/>
      <c r="T1582" s="22"/>
    </row>
    <row r="1583">
      <c r="A1583" s="23" t="s">
        <v>11457</v>
      </c>
      <c r="B1583" s="58" t="s">
        <v>1970</v>
      </c>
      <c r="C1583" s="41">
        <v>45403.0</v>
      </c>
      <c r="D1583" s="40" t="s">
        <v>11458</v>
      </c>
      <c r="E1583" s="41" t="s">
        <v>11459</v>
      </c>
      <c r="F1583" s="43" t="s">
        <v>11460</v>
      </c>
      <c r="G1583" s="43" t="s">
        <v>11461</v>
      </c>
      <c r="H1583" s="51" t="s">
        <v>48</v>
      </c>
      <c r="I1583" s="25" t="str">
        <f>IFERROR(__xludf.DUMMYFUNCTION("GOOGLETRANSLATE(H1583,""EN"",""ES"")"),"Finanzas")</f>
        <v>Finanzas</v>
      </c>
      <c r="J1583" s="26" t="s">
        <v>27</v>
      </c>
      <c r="K1583" s="17">
        <v>0.0</v>
      </c>
      <c r="L1583" s="54"/>
      <c r="M1583" s="31"/>
      <c r="N1583" s="66"/>
      <c r="O1583" s="66"/>
      <c r="P1583" s="20">
        <v>0.0</v>
      </c>
      <c r="Q1583" s="31"/>
      <c r="R1583" s="31"/>
      <c r="S1583" s="53"/>
      <c r="T1583" s="32"/>
    </row>
    <row r="1584">
      <c r="A1584" s="33" t="s">
        <v>11462</v>
      </c>
      <c r="B1584" s="60" t="s">
        <v>260</v>
      </c>
      <c r="C1584" s="41">
        <v>45403.0</v>
      </c>
      <c r="D1584" s="40" t="s">
        <v>11463</v>
      </c>
      <c r="E1584" s="41" t="s">
        <v>11464</v>
      </c>
      <c r="F1584" s="43" t="s">
        <v>11465</v>
      </c>
      <c r="G1584" s="43" t="s">
        <v>11466</v>
      </c>
      <c r="H1584" s="51" t="s">
        <v>3985</v>
      </c>
      <c r="I1584" s="15" t="str">
        <f>IFERROR(__xludf.DUMMYFUNCTION("GOOGLETRANSLATE(H1584,""EN"",""ES"")"),"Deportes")</f>
        <v>Deportes</v>
      </c>
      <c r="J1584" s="16" t="s">
        <v>27</v>
      </c>
      <c r="K1584" s="17">
        <v>0.0</v>
      </c>
      <c r="L1584" s="45"/>
      <c r="M1584" s="18"/>
      <c r="N1584" s="65"/>
      <c r="O1584" s="65"/>
      <c r="P1584" s="20">
        <v>0.0</v>
      </c>
      <c r="Q1584" s="18"/>
      <c r="R1584" s="18"/>
      <c r="S1584" s="52"/>
      <c r="T1584" s="22"/>
    </row>
    <row r="1585">
      <c r="A1585" s="23" t="s">
        <v>11467</v>
      </c>
      <c r="B1585" s="58" t="s">
        <v>1168</v>
      </c>
      <c r="C1585" s="41">
        <v>45403.0</v>
      </c>
      <c r="D1585" s="40" t="s">
        <v>11468</v>
      </c>
      <c r="E1585" s="41" t="s">
        <v>11469</v>
      </c>
      <c r="F1585" s="43" t="s">
        <v>11470</v>
      </c>
      <c r="G1585" s="43" t="s">
        <v>11471</v>
      </c>
      <c r="H1585" s="51" t="s">
        <v>2240</v>
      </c>
      <c r="I1585" s="25" t="str">
        <f>IFERROR(__xludf.DUMMYFUNCTION("GOOGLETRANSLATE(H1585,""EN"",""ES"")"),"Industria")</f>
        <v>Industria</v>
      </c>
      <c r="J1585" s="26" t="s">
        <v>35</v>
      </c>
      <c r="K1585" s="48">
        <v>0.0</v>
      </c>
      <c r="L1585" s="54"/>
      <c r="M1585" s="31"/>
      <c r="N1585" s="66" t="s">
        <v>11472</v>
      </c>
      <c r="O1585" s="66" t="str">
        <f>IFERROR(__xludf.DUMMYFUNCTION("GOOGLETRANSLATE(N1585,""EN"",""ES"")"),"La actividad industrial no impacta en la percepción corporativa de Repsol.")</f>
        <v>La actividad industrial no impacta en la percepción corporativa de Repsol.</v>
      </c>
      <c r="P1585" s="30">
        <v>0.0</v>
      </c>
      <c r="Q1585" s="31"/>
      <c r="R1585" s="31"/>
      <c r="S1585" s="53" t="s">
        <v>469</v>
      </c>
      <c r="T1585" s="32" t="s">
        <v>470</v>
      </c>
    </row>
    <row r="1586">
      <c r="A1586" s="33" t="s">
        <v>11473</v>
      </c>
      <c r="B1586" s="60" t="s">
        <v>103</v>
      </c>
      <c r="C1586" s="41">
        <v>45403.0</v>
      </c>
      <c r="D1586" s="40" t="s">
        <v>11474</v>
      </c>
      <c r="E1586" s="41" t="s">
        <v>11475</v>
      </c>
      <c r="F1586" s="43" t="s">
        <v>11476</v>
      </c>
      <c r="G1586" s="43" t="s">
        <v>11477</v>
      </c>
      <c r="H1586" s="51" t="s">
        <v>62</v>
      </c>
      <c r="I1586" s="15" t="str">
        <f>IFERROR(__xludf.DUMMYFUNCTION("GOOGLETRANSLATE(H1586,""EN"",""ES"")"),"Energía")</f>
        <v>Energía</v>
      </c>
      <c r="J1586" s="16" t="s">
        <v>35</v>
      </c>
      <c r="K1586" s="48">
        <v>0.0</v>
      </c>
      <c r="L1586" s="45"/>
      <c r="M1586" s="18"/>
      <c r="N1586" s="65" t="s">
        <v>11478</v>
      </c>
      <c r="O1586" s="65" t="str">
        <f>IFERROR(__xludf.DUMMYFUNCTION("GOOGLETRANSLATE(N1586,""EN"",""ES"")"),"La inversión extranjera en energía no impacta directamente en la percepción de Repsol.")</f>
        <v>La inversión extranjera en energía no impacta directamente en la percepción de Repsol.</v>
      </c>
      <c r="P1586" s="30">
        <v>0.0</v>
      </c>
      <c r="Q1586" s="18"/>
      <c r="R1586" s="18"/>
      <c r="S1586" s="52" t="s">
        <v>469</v>
      </c>
      <c r="T1586" s="22" t="s">
        <v>470</v>
      </c>
    </row>
    <row r="1587">
      <c r="A1587" s="23" t="s">
        <v>11479</v>
      </c>
      <c r="B1587" s="58" t="s">
        <v>260</v>
      </c>
      <c r="C1587" s="41">
        <v>45403.0</v>
      </c>
      <c r="D1587" s="40" t="s">
        <v>11480</v>
      </c>
      <c r="E1587" s="41" t="s">
        <v>11481</v>
      </c>
      <c r="F1587" s="43" t="s">
        <v>11482</v>
      </c>
      <c r="G1587" s="43" t="s">
        <v>11483</v>
      </c>
      <c r="H1587" s="51" t="s">
        <v>11484</v>
      </c>
      <c r="I1587" s="25" t="str">
        <f>IFERROR(__xludf.DUMMYFUNCTION("GOOGLETRANSLATE(H1587,""EN"",""ES"")"),"Sociedad")</f>
        <v>Sociedad</v>
      </c>
      <c r="J1587" s="26" t="s">
        <v>27</v>
      </c>
      <c r="K1587" s="17">
        <v>0.0</v>
      </c>
      <c r="L1587" s="54"/>
      <c r="M1587" s="31"/>
      <c r="N1587" s="66"/>
      <c r="O1587" s="66"/>
      <c r="P1587" s="20">
        <v>0.0</v>
      </c>
      <c r="Q1587" s="31"/>
      <c r="R1587" s="31"/>
      <c r="S1587" s="53"/>
      <c r="T1587" s="32"/>
    </row>
    <row r="1588">
      <c r="A1588" s="33" t="s">
        <v>11485</v>
      </c>
      <c r="B1588" s="60" t="s">
        <v>217</v>
      </c>
      <c r="C1588" s="41">
        <v>45404.0</v>
      </c>
      <c r="D1588" s="40" t="s">
        <v>11486</v>
      </c>
      <c r="E1588" s="41" t="s">
        <v>11487</v>
      </c>
      <c r="F1588" s="43" t="s">
        <v>11488</v>
      </c>
      <c r="G1588" s="43" t="s">
        <v>11489</v>
      </c>
      <c r="H1588" s="51" t="s">
        <v>661</v>
      </c>
      <c r="I1588" s="15" t="str">
        <f>IFERROR(__xludf.DUMMYFUNCTION("GOOGLETRANSLATE(H1588,""EN"",""ES"")"),"Estrategia empresarial")</f>
        <v>Estrategia empresarial</v>
      </c>
      <c r="J1588" s="16" t="s">
        <v>35</v>
      </c>
      <c r="K1588" s="48">
        <v>0.6</v>
      </c>
      <c r="L1588" s="51" t="s">
        <v>11490</v>
      </c>
      <c r="M1588" s="34" t="s">
        <v>11491</v>
      </c>
      <c r="N1588" s="65" t="s">
        <v>11492</v>
      </c>
      <c r="O1588" s="65" t="str">
        <f>IFERROR(__xludf.DUMMYFUNCTION("GOOGLETRANSLATE(N1588,""EN"",""ES"")"),"La ampliación de las alianzas refuerza la presencia de Repsol en el mercado.")</f>
        <v>La ampliación de las alianzas refuerza la presencia de Repsol en el mercado.</v>
      </c>
      <c r="P1588" s="30">
        <v>0.5</v>
      </c>
      <c r="Q1588" s="18" t="str">
        <f>IFERROR(__xludf.DUMMYFUNCTION("GOOGLETRANSLATE(R1588,""ES"",""EN"")"),"store opening")</f>
        <v>store opening</v>
      </c>
      <c r="R1588" s="34" t="s">
        <v>11493</v>
      </c>
      <c r="S1588" s="52" t="s">
        <v>10411</v>
      </c>
      <c r="T1588" s="22" t="s">
        <v>10412</v>
      </c>
    </row>
    <row r="1589">
      <c r="A1589" s="23" t="s">
        <v>11494</v>
      </c>
      <c r="B1589" s="58" t="s">
        <v>2442</v>
      </c>
      <c r="C1589" s="41">
        <v>45404.0</v>
      </c>
      <c r="D1589" s="40" t="s">
        <v>11495</v>
      </c>
      <c r="E1589" s="41" t="s">
        <v>11496</v>
      </c>
      <c r="F1589" s="43" t="s">
        <v>11497</v>
      </c>
      <c r="G1589" s="43" t="s">
        <v>11498</v>
      </c>
      <c r="H1589" s="51" t="s">
        <v>130</v>
      </c>
      <c r="I1589" s="25" t="str">
        <f>IFERROR(__xludf.DUMMYFUNCTION("GOOGLETRANSLATE(H1589,""EN"",""ES"")"),"Sostenibilidad")</f>
        <v>Sostenibilidad</v>
      </c>
      <c r="J1589" s="26" t="s">
        <v>35</v>
      </c>
      <c r="K1589" s="48">
        <v>0.7</v>
      </c>
      <c r="L1589" s="49" t="s">
        <v>11499</v>
      </c>
      <c r="M1589" s="28" t="s">
        <v>11500</v>
      </c>
      <c r="N1589" s="66" t="s">
        <v>11501</v>
      </c>
      <c r="O1589" s="66" t="str">
        <f>IFERROR(__xludf.DUMMYFUNCTION("GOOGLETRANSLATE(N1589,""EN"",""ES"")"),"Apoyar iniciativas de energía sostenible se alinea con los compromisos verdes de Repsol.")</f>
        <v>Apoyar iniciativas de energía sostenible se alinea con los compromisos verdes de Repsol.</v>
      </c>
      <c r="P1589" s="30">
        <v>0.7</v>
      </c>
      <c r="Q1589" s="31" t="str">
        <f>IFERROR(__xludf.DUMMYFUNCTION("GOOGLETRANSLATE(R1589,""ES"",""EN"")"),"decarbonize")</f>
        <v>decarbonize</v>
      </c>
      <c r="R1589" s="28" t="s">
        <v>11252</v>
      </c>
      <c r="S1589" s="53" t="s">
        <v>11276</v>
      </c>
      <c r="T1589" s="32" t="s">
        <v>11277</v>
      </c>
    </row>
    <row r="1590">
      <c r="A1590" s="33" t="s">
        <v>11502</v>
      </c>
      <c r="B1590" s="60" t="s">
        <v>21</v>
      </c>
      <c r="C1590" s="41">
        <v>45404.0</v>
      </c>
      <c r="D1590" s="40" t="s">
        <v>11503</v>
      </c>
      <c r="E1590" s="41" t="s">
        <v>11504</v>
      </c>
      <c r="F1590" s="43" t="s">
        <v>11505</v>
      </c>
      <c r="G1590" s="43" t="s">
        <v>11506</v>
      </c>
      <c r="H1590" s="51" t="s">
        <v>148</v>
      </c>
      <c r="I1590" s="15" t="str">
        <f>IFERROR(__xludf.DUMMYFUNCTION("GOOGLETRANSLATE(H1590,""EN"",""ES"")"),"Gastronomía")</f>
        <v>Gastronomía</v>
      </c>
      <c r="J1590" s="16" t="s">
        <v>27</v>
      </c>
      <c r="K1590" s="17">
        <v>0.0</v>
      </c>
      <c r="L1590" s="45"/>
      <c r="M1590" s="18"/>
      <c r="N1590" s="65"/>
      <c r="O1590" s="65"/>
      <c r="P1590" s="20">
        <v>0.0</v>
      </c>
      <c r="Q1590" s="18"/>
      <c r="R1590" s="18"/>
      <c r="S1590" s="52"/>
      <c r="T1590" s="22"/>
    </row>
    <row r="1591">
      <c r="A1591" s="23" t="s">
        <v>11507</v>
      </c>
      <c r="B1591" s="58" t="s">
        <v>339</v>
      </c>
      <c r="C1591" s="41">
        <v>45404.0</v>
      </c>
      <c r="D1591" s="40" t="s">
        <v>11508</v>
      </c>
      <c r="E1591" s="41" t="s">
        <v>11509</v>
      </c>
      <c r="F1591" s="43" t="s">
        <v>11510</v>
      </c>
      <c r="G1591" s="43" t="s">
        <v>11511</v>
      </c>
      <c r="H1591" s="51" t="s">
        <v>155</v>
      </c>
      <c r="I1591" s="25" t="str">
        <f>IFERROR(__xludf.DUMMYFUNCTION("GOOGLETRANSLATE(H1591,""EN"",""ES"")"),"Marketing")</f>
        <v>Marketing</v>
      </c>
      <c r="J1591" s="26" t="s">
        <v>35</v>
      </c>
      <c r="K1591" s="48">
        <v>0.6</v>
      </c>
      <c r="L1591" s="49" t="s">
        <v>11512</v>
      </c>
      <c r="M1591" s="28" t="s">
        <v>11513</v>
      </c>
      <c r="N1591" s="66" t="s">
        <v>11514</v>
      </c>
      <c r="O1591" s="66" t="str">
        <f>IFERROR(__xludf.DUMMYFUNCTION("GOOGLETRANSLATE(N1591,""EN"",""ES"")"),"La colaboración con clubes de fútbol potencia la visibilidad de la marca Repsol.")</f>
        <v>La colaboración con clubes de fútbol potencia la visibilidad de la marca Repsol.</v>
      </c>
      <c r="P1591" s="30">
        <v>0.5</v>
      </c>
      <c r="Q1591" s="31" t="str">
        <f>IFERROR(__xludf.DUMMYFUNCTION("GOOGLETRANSLATE(R1591,""ES"",""EN"")"),"new partners")</f>
        <v>new partners</v>
      </c>
      <c r="R1591" s="28" t="s">
        <v>11515</v>
      </c>
      <c r="S1591" s="53" t="s">
        <v>11346</v>
      </c>
      <c r="T1591" s="32" t="s">
        <v>11347</v>
      </c>
    </row>
    <row r="1592">
      <c r="A1592" s="33" t="s">
        <v>11516</v>
      </c>
      <c r="B1592" s="60" t="s">
        <v>11517</v>
      </c>
      <c r="C1592" s="41">
        <v>45404.0</v>
      </c>
      <c r="D1592" s="40" t="s">
        <v>11518</v>
      </c>
      <c r="E1592" s="41" t="s">
        <v>11519</v>
      </c>
      <c r="F1592" s="43" t="s">
        <v>11520</v>
      </c>
      <c r="G1592" s="43" t="s">
        <v>11521</v>
      </c>
      <c r="H1592" s="51" t="s">
        <v>62</v>
      </c>
      <c r="I1592" s="15" t="str">
        <f>IFERROR(__xludf.DUMMYFUNCTION("GOOGLETRANSLATE(H1592,""EN"",""ES"")"),"Energía")</f>
        <v>Energía</v>
      </c>
      <c r="J1592" s="16" t="s">
        <v>35</v>
      </c>
      <c r="K1592" s="48">
        <v>0.0</v>
      </c>
      <c r="L1592" s="45"/>
      <c r="M1592" s="18"/>
      <c r="N1592" s="65" t="s">
        <v>11522</v>
      </c>
      <c r="O1592" s="65" t="str">
        <f>IFERROR(__xludf.DUMMYFUNCTION("GOOGLETRANSLATE(N1592,""EN"",""ES"")"),"La producción energética regional no impacta en la percepción de Repsol.")</f>
        <v>La producción energética regional no impacta en la percepción de Repsol.</v>
      </c>
      <c r="P1592" s="30">
        <v>0.0</v>
      </c>
      <c r="Q1592" s="18"/>
      <c r="R1592" s="18"/>
      <c r="S1592" s="52" t="s">
        <v>10534</v>
      </c>
      <c r="T1592" s="22" t="s">
        <v>10535</v>
      </c>
    </row>
    <row r="1593">
      <c r="A1593" s="23" t="s">
        <v>11523</v>
      </c>
      <c r="B1593" s="58" t="s">
        <v>21</v>
      </c>
      <c r="C1593" s="41">
        <v>45404.0</v>
      </c>
      <c r="D1593" s="40" t="s">
        <v>11524</v>
      </c>
      <c r="E1593" s="41" t="s">
        <v>11525</v>
      </c>
      <c r="F1593" s="43" t="s">
        <v>11526</v>
      </c>
      <c r="G1593" s="43" t="s">
        <v>11527</v>
      </c>
      <c r="H1593" s="51" t="s">
        <v>148</v>
      </c>
      <c r="I1593" s="25" t="str">
        <f>IFERROR(__xludf.DUMMYFUNCTION("GOOGLETRANSLATE(H1593,""EN"",""ES"")"),"Gastronomía")</f>
        <v>Gastronomía</v>
      </c>
      <c r="J1593" s="26" t="s">
        <v>27</v>
      </c>
      <c r="K1593" s="17">
        <v>0.0</v>
      </c>
      <c r="L1593" s="54"/>
      <c r="M1593" s="31"/>
      <c r="N1593" s="66"/>
      <c r="O1593" s="66"/>
      <c r="P1593" s="20">
        <v>0.0</v>
      </c>
      <c r="Q1593" s="31"/>
      <c r="R1593" s="31"/>
      <c r="S1593" s="53"/>
      <c r="T1593" s="32"/>
    </row>
    <row r="1594">
      <c r="A1594" s="33" t="s">
        <v>11528</v>
      </c>
      <c r="B1594" s="60" t="s">
        <v>1168</v>
      </c>
      <c r="C1594" s="41">
        <v>45404.0</v>
      </c>
      <c r="D1594" s="40" t="s">
        <v>11529</v>
      </c>
      <c r="E1594" s="41" t="s">
        <v>11530</v>
      </c>
      <c r="F1594" s="43" t="s">
        <v>11531</v>
      </c>
      <c r="G1594" s="43" t="s">
        <v>11532</v>
      </c>
      <c r="H1594" s="51" t="s">
        <v>130</v>
      </c>
      <c r="I1594" s="15" t="str">
        <f>IFERROR(__xludf.DUMMYFUNCTION("GOOGLETRANSLATE(H1594,""EN"",""ES"")"),"Sostenibilidad")</f>
        <v>Sostenibilidad</v>
      </c>
      <c r="J1594" s="16" t="s">
        <v>35</v>
      </c>
      <c r="K1594" s="48">
        <v>0.8</v>
      </c>
      <c r="L1594" s="51" t="s">
        <v>11533</v>
      </c>
      <c r="M1594" s="34" t="s">
        <v>11534</v>
      </c>
      <c r="N1594" s="65" t="s">
        <v>11535</v>
      </c>
      <c r="O1594" s="65" t="str">
        <f>IFERROR(__xludf.DUMMYFUNCTION("GOOGLETRANSLATE(N1594,""EN"",""ES"")"),"La ampliación de la distribución de combustibles limpios respalda la transición energética verde de Repsol.")</f>
        <v>La ampliación de la distribución de combustibles limpios respalda la transición energética verde de Repsol.</v>
      </c>
      <c r="P1594" s="30">
        <v>0.6</v>
      </c>
      <c r="Q1594" s="18" t="str">
        <f>IFERROR(__xludf.DUMMYFUNCTION("GOOGLETRANSLATE(R1594,""ES"",""EN"")"),"clean fuels")</f>
        <v>clean fuels</v>
      </c>
      <c r="R1594" s="34" t="s">
        <v>11536</v>
      </c>
      <c r="S1594" s="52" t="s">
        <v>10595</v>
      </c>
      <c r="T1594" s="22" t="s">
        <v>10596</v>
      </c>
    </row>
    <row r="1595">
      <c r="A1595" s="23" t="s">
        <v>11537</v>
      </c>
      <c r="B1595" s="58" t="s">
        <v>11538</v>
      </c>
      <c r="C1595" s="41">
        <v>45404.0</v>
      </c>
      <c r="D1595" s="40" t="s">
        <v>11539</v>
      </c>
      <c r="E1595" s="41" t="s">
        <v>11540</v>
      </c>
      <c r="F1595" s="43" t="s">
        <v>11541</v>
      </c>
      <c r="G1595" s="43" t="s">
        <v>11542</v>
      </c>
      <c r="H1595" s="51" t="s">
        <v>782</v>
      </c>
      <c r="I1595" s="25" t="str">
        <f>IFERROR(__xludf.DUMMYFUNCTION("GOOGLETRANSLATE(H1595,""EN"",""ES"")"),"Tecnología")</f>
        <v>Tecnología</v>
      </c>
      <c r="J1595" s="26" t="s">
        <v>35</v>
      </c>
      <c r="K1595" s="48">
        <v>0.0</v>
      </c>
      <c r="L1595" s="54"/>
      <c r="M1595" s="31"/>
      <c r="N1595" s="66" t="s">
        <v>11543</v>
      </c>
      <c r="O1595" s="66" t="str">
        <f>IFERROR(__xludf.DUMMYFUNCTION("GOOGLETRANSLATE(N1595,""EN"",""ES"")"),"Los avances en IA no impactan en la percepción corporativa de Repsol.")</f>
        <v>Los avances en IA no impactan en la percepción corporativa de Repsol.</v>
      </c>
      <c r="P1595" s="30">
        <v>0.0</v>
      </c>
      <c r="Q1595" s="31"/>
      <c r="R1595" s="31"/>
      <c r="S1595" s="53" t="s">
        <v>469</v>
      </c>
      <c r="T1595" s="32" t="s">
        <v>470</v>
      </c>
    </row>
    <row r="1596">
      <c r="A1596" s="33" t="s">
        <v>11544</v>
      </c>
      <c r="B1596" s="60" t="s">
        <v>977</v>
      </c>
      <c r="C1596" s="41">
        <v>45404.0</v>
      </c>
      <c r="D1596" s="40" t="s">
        <v>11545</v>
      </c>
      <c r="E1596" s="41" t="s">
        <v>11546</v>
      </c>
      <c r="F1596" s="43" t="s">
        <v>11547</v>
      </c>
      <c r="G1596" s="43" t="s">
        <v>11548</v>
      </c>
      <c r="H1596" s="51" t="s">
        <v>148</v>
      </c>
      <c r="I1596" s="15" t="str">
        <f>IFERROR(__xludf.DUMMYFUNCTION("GOOGLETRANSLATE(H1596,""EN"",""ES"")"),"Gastronomía")</f>
        <v>Gastronomía</v>
      </c>
      <c r="J1596" s="16" t="s">
        <v>27</v>
      </c>
      <c r="K1596" s="17">
        <v>0.0</v>
      </c>
      <c r="L1596" s="45"/>
      <c r="M1596" s="18"/>
      <c r="N1596" s="65"/>
      <c r="O1596" s="65"/>
      <c r="P1596" s="20">
        <v>0.0</v>
      </c>
      <c r="Q1596" s="18"/>
      <c r="R1596" s="18"/>
      <c r="S1596" s="52"/>
      <c r="T1596" s="22"/>
    </row>
    <row r="1597">
      <c r="A1597" s="23" t="s">
        <v>11549</v>
      </c>
      <c r="B1597" s="58" t="s">
        <v>11550</v>
      </c>
      <c r="C1597" s="41">
        <v>45404.0</v>
      </c>
      <c r="D1597" s="40" t="s">
        <v>11551</v>
      </c>
      <c r="E1597" s="41" t="s">
        <v>11552</v>
      </c>
      <c r="F1597" s="43" t="s">
        <v>11553</v>
      </c>
      <c r="G1597" s="43" t="s">
        <v>11554</v>
      </c>
      <c r="H1597" s="51" t="s">
        <v>661</v>
      </c>
      <c r="I1597" s="25" t="str">
        <f>IFERROR(__xludf.DUMMYFUNCTION("GOOGLETRANSLATE(H1597,""EN"",""ES"")"),"Estrategia empresarial")</f>
        <v>Estrategia empresarial</v>
      </c>
      <c r="J1597" s="26" t="s">
        <v>35</v>
      </c>
      <c r="K1597" s="48">
        <v>0.0</v>
      </c>
      <c r="L1597" s="54"/>
      <c r="M1597" s="31"/>
      <c r="N1597" s="66" t="s">
        <v>11555</v>
      </c>
      <c r="O1597" s="66" t="str">
        <f>IFERROR(__xludf.DUMMYFUNCTION("GOOGLETRANSLATE(N1597,""EN"",""ES"")"),"Los cambios en la estrategia de negocio de El Corte Inglés no impactan en la percepción de Repsol.")</f>
        <v>Los cambios en la estrategia de negocio de El Corte Inglés no impactan en la percepción de Repsol.</v>
      </c>
      <c r="P1597" s="30">
        <v>0.0</v>
      </c>
      <c r="Q1597" s="31"/>
      <c r="R1597" s="31"/>
      <c r="S1597" s="53" t="s">
        <v>469</v>
      </c>
      <c r="T1597" s="32" t="s">
        <v>470</v>
      </c>
    </row>
    <row r="1598">
      <c r="A1598" s="33" t="s">
        <v>11556</v>
      </c>
      <c r="B1598" s="60" t="s">
        <v>217</v>
      </c>
      <c r="C1598" s="41">
        <v>45405.0</v>
      </c>
      <c r="D1598" s="40" t="s">
        <v>11557</v>
      </c>
      <c r="E1598" s="41" t="s">
        <v>11558</v>
      </c>
      <c r="F1598" s="43" t="s">
        <v>11559</v>
      </c>
      <c r="G1598" s="43" t="s">
        <v>11560</v>
      </c>
      <c r="H1598" s="51" t="s">
        <v>661</v>
      </c>
      <c r="I1598" s="15" t="str">
        <f>IFERROR(__xludf.DUMMYFUNCTION("GOOGLETRANSLATE(H1598,""EN"",""ES"")"),"Estrategia empresarial")</f>
        <v>Estrategia empresarial</v>
      </c>
      <c r="J1598" s="16" t="s">
        <v>35</v>
      </c>
      <c r="K1598" s="48">
        <v>0.6</v>
      </c>
      <c r="L1598" s="51" t="s">
        <v>11561</v>
      </c>
      <c r="M1598" s="34" t="s">
        <v>11562</v>
      </c>
      <c r="N1598" s="65" t="s">
        <v>11563</v>
      </c>
      <c r="O1598" s="65" t="str">
        <f>IFERROR(__xludf.DUMMYFUNCTION("GOOGLETRANSLATE(N1598,""EN"",""ES"")"),"Competir agresivamente en el mercado puede fortalecer el posicionamiento de Repsol.")</f>
        <v>Competir agresivamente en el mercado puede fortalecer el posicionamiento de Repsol.</v>
      </c>
      <c r="P1598" s="30">
        <v>0.6</v>
      </c>
      <c r="Q1598" s="18" t="str">
        <f>IFERROR(__xludf.DUMMYFUNCTION("GOOGLETRANSLATE(R1598,""ES"",""EN"")"),"record margins")</f>
        <v>record margins</v>
      </c>
      <c r="R1598" s="34" t="s">
        <v>11564</v>
      </c>
      <c r="S1598" s="52" t="s">
        <v>10712</v>
      </c>
      <c r="T1598" s="22" t="s">
        <v>10713</v>
      </c>
    </row>
    <row r="1599">
      <c r="A1599" s="23" t="s">
        <v>11565</v>
      </c>
      <c r="B1599" s="58" t="s">
        <v>4190</v>
      </c>
      <c r="C1599" s="41">
        <v>45405.0</v>
      </c>
      <c r="D1599" s="40" t="s">
        <v>11566</v>
      </c>
      <c r="E1599" s="41" t="s">
        <v>11567</v>
      </c>
      <c r="F1599" s="43" t="s">
        <v>11568</v>
      </c>
      <c r="G1599" s="43" t="s">
        <v>11569</v>
      </c>
      <c r="H1599" s="51" t="s">
        <v>55</v>
      </c>
      <c r="I1599" s="25" t="str">
        <f>IFERROR(__xludf.DUMMYFUNCTION("GOOGLETRANSLATE(H1599,""EN"",""ES"")"),"deportes de motor")</f>
        <v>deportes de motor</v>
      </c>
      <c r="J1599" s="26" t="s">
        <v>27</v>
      </c>
      <c r="K1599" s="17">
        <v>0.0</v>
      </c>
      <c r="L1599" s="54"/>
      <c r="M1599" s="31"/>
      <c r="N1599" s="66"/>
      <c r="O1599" s="66"/>
      <c r="P1599" s="20">
        <v>0.0</v>
      </c>
      <c r="Q1599" s="31"/>
      <c r="R1599" s="31"/>
      <c r="S1599" s="53"/>
      <c r="T1599" s="32"/>
    </row>
    <row r="1600">
      <c r="A1600" s="33" t="s">
        <v>11570</v>
      </c>
      <c r="B1600" s="60" t="s">
        <v>666</v>
      </c>
      <c r="C1600" s="41">
        <v>45405.0</v>
      </c>
      <c r="D1600" s="40" t="s">
        <v>11214</v>
      </c>
      <c r="E1600" s="41" t="s">
        <v>11571</v>
      </c>
      <c r="F1600" s="43" t="s">
        <v>11216</v>
      </c>
      <c r="G1600" s="43" t="s">
        <v>11572</v>
      </c>
      <c r="H1600" s="51" t="s">
        <v>155</v>
      </c>
      <c r="I1600" s="15" t="str">
        <f>IFERROR(__xludf.DUMMYFUNCTION("GOOGLETRANSLATE(H1600,""EN"",""ES"")"),"Marketing")</f>
        <v>Marketing</v>
      </c>
      <c r="J1600" s="16" t="s">
        <v>35</v>
      </c>
      <c r="K1600" s="48">
        <v>0.6</v>
      </c>
      <c r="L1600" s="51" t="s">
        <v>11512</v>
      </c>
      <c r="M1600" s="34" t="s">
        <v>11513</v>
      </c>
      <c r="N1600" s="65" t="s">
        <v>11573</v>
      </c>
      <c r="O1600" s="65" t="str">
        <f>IFERROR(__xludf.DUMMYFUNCTION("GOOGLETRANSLATE(N1600,""EN"",""ES"")"),"La asociación con festivales de música amplía el compromiso con la marca de Repsol.")</f>
        <v>La asociación con festivales de música amplía el compromiso con la marca de Repsol.</v>
      </c>
      <c r="P1600" s="30">
        <v>0.0</v>
      </c>
      <c r="Q1600" s="18"/>
      <c r="R1600" s="18"/>
      <c r="S1600" s="52" t="s">
        <v>469</v>
      </c>
      <c r="T1600" s="22" t="s">
        <v>470</v>
      </c>
    </row>
    <row r="1601">
      <c r="A1601" s="23" t="s">
        <v>11574</v>
      </c>
      <c r="B1601" s="58" t="s">
        <v>4673</v>
      </c>
      <c r="C1601" s="41">
        <v>45405.0</v>
      </c>
      <c r="D1601" s="40" t="s">
        <v>11575</v>
      </c>
      <c r="E1601" s="41" t="s">
        <v>11576</v>
      </c>
      <c r="F1601" s="43" t="s">
        <v>11577</v>
      </c>
      <c r="G1601" s="43" t="s">
        <v>11578</v>
      </c>
      <c r="H1601" s="51" t="s">
        <v>148</v>
      </c>
      <c r="I1601" s="25" t="str">
        <f>IFERROR(__xludf.DUMMYFUNCTION("GOOGLETRANSLATE(H1601,""EN"",""ES"")"),"Gastronomía")</f>
        <v>Gastronomía</v>
      </c>
      <c r="J1601" s="26" t="s">
        <v>27</v>
      </c>
      <c r="K1601" s="17">
        <v>0.0</v>
      </c>
      <c r="L1601" s="54"/>
      <c r="M1601" s="31"/>
      <c r="N1601" s="66"/>
      <c r="O1601" s="66"/>
      <c r="P1601" s="20">
        <v>0.0</v>
      </c>
      <c r="Q1601" s="31"/>
      <c r="R1601" s="31"/>
      <c r="S1601" s="53"/>
      <c r="T1601" s="32"/>
    </row>
    <row r="1602">
      <c r="A1602" s="33" t="s">
        <v>11579</v>
      </c>
      <c r="B1602" s="60" t="s">
        <v>21</v>
      </c>
      <c r="C1602" s="41">
        <v>45405.0</v>
      </c>
      <c r="D1602" s="40" t="s">
        <v>11580</v>
      </c>
      <c r="E1602" s="41" t="s">
        <v>11581</v>
      </c>
      <c r="F1602" s="43" t="s">
        <v>11582</v>
      </c>
      <c r="G1602" s="43" t="s">
        <v>11583</v>
      </c>
      <c r="H1602" s="51" t="s">
        <v>130</v>
      </c>
      <c r="I1602" s="15" t="str">
        <f>IFERROR(__xludf.DUMMYFUNCTION("GOOGLETRANSLATE(H1602,""EN"",""ES"")"),"Sostenibilidad")</f>
        <v>Sostenibilidad</v>
      </c>
      <c r="J1602" s="16" t="s">
        <v>27</v>
      </c>
      <c r="K1602" s="17">
        <v>0.0</v>
      </c>
      <c r="L1602" s="45"/>
      <c r="M1602" s="18"/>
      <c r="N1602" s="65"/>
      <c r="O1602" s="65"/>
      <c r="P1602" s="20">
        <v>0.0</v>
      </c>
      <c r="Q1602" s="18"/>
      <c r="R1602" s="18"/>
      <c r="S1602" s="52"/>
      <c r="T1602" s="22"/>
    </row>
    <row r="1603">
      <c r="A1603" s="23" t="s">
        <v>11584</v>
      </c>
      <c r="B1603" s="58" t="s">
        <v>1577</v>
      </c>
      <c r="C1603" s="41">
        <v>45405.0</v>
      </c>
      <c r="D1603" s="40" t="s">
        <v>11585</v>
      </c>
      <c r="E1603" s="41" t="s">
        <v>11586</v>
      </c>
      <c r="F1603" s="43" t="s">
        <v>11587</v>
      </c>
      <c r="G1603" s="43" t="s">
        <v>11588</v>
      </c>
      <c r="H1603" s="51" t="s">
        <v>8339</v>
      </c>
      <c r="I1603" s="25" t="str">
        <f>IFERROR(__xludf.DUMMYFUNCTION("GOOGLETRANSLATE(H1603,""EN"",""ES"")"),"Incidente")</f>
        <v>Incidente</v>
      </c>
      <c r="J1603" s="26" t="s">
        <v>35</v>
      </c>
      <c r="K1603" s="48">
        <v>-0.4</v>
      </c>
      <c r="L1603" s="49" t="s">
        <v>11589</v>
      </c>
      <c r="M1603" s="28" t="s">
        <v>11590</v>
      </c>
      <c r="N1603" s="66" t="s">
        <v>11591</v>
      </c>
      <c r="O1603" s="66" t="str">
        <f>IFERROR(__xludf.DUMMYFUNCTION("GOOGLETRANSLATE(N1603,""EN"",""ES"")"),"Los incidentes negativos en las estaciones de servicio pueden plantear problemas menores de seguridad.")</f>
        <v>Los incidentes negativos en las estaciones de servicio pueden plantear problemas menores de seguridad.</v>
      </c>
      <c r="P1603" s="30">
        <v>-0.4</v>
      </c>
      <c r="Q1603" s="31" t="str">
        <f>IFERROR(__xludf.DUMMYFUNCTION("GOOGLETRANSLATE(R1603,""ES"",""EN"")"),"gas station fire")</f>
        <v>gas station fire</v>
      </c>
      <c r="R1603" s="28" t="s">
        <v>11592</v>
      </c>
      <c r="S1603" s="53" t="s">
        <v>11593</v>
      </c>
      <c r="T1603" s="32" t="s">
        <v>11594</v>
      </c>
    </row>
    <row r="1604">
      <c r="A1604" s="33" t="s">
        <v>11595</v>
      </c>
      <c r="B1604" s="60" t="s">
        <v>448</v>
      </c>
      <c r="C1604" s="41">
        <v>45405.0</v>
      </c>
      <c r="D1604" s="40" t="s">
        <v>11596</v>
      </c>
      <c r="E1604" s="41" t="s">
        <v>11597</v>
      </c>
      <c r="F1604" s="43" t="s">
        <v>11598</v>
      </c>
      <c r="G1604" s="43" t="s">
        <v>11599</v>
      </c>
      <c r="H1604" s="51" t="s">
        <v>661</v>
      </c>
      <c r="I1604" s="15" t="str">
        <f>IFERROR(__xludf.DUMMYFUNCTION("GOOGLETRANSLATE(H1604,""EN"",""ES"")"),"Estrategia empresarial")</f>
        <v>Estrategia empresarial</v>
      </c>
      <c r="J1604" s="16" t="s">
        <v>35</v>
      </c>
      <c r="K1604" s="48">
        <v>0.0</v>
      </c>
      <c r="L1604" s="45"/>
      <c r="M1604" s="18"/>
      <c r="N1604" s="65" t="s">
        <v>11600</v>
      </c>
      <c r="O1604" s="65" t="str">
        <f>IFERROR(__xludf.DUMMYFUNCTION("GOOGLETRANSLATE(N1604,""EN"",""ES"")"),"Las decisiones del consejo de Iberdrola no impactan en la percepción de Repsol.")</f>
        <v>Las decisiones del consejo de Iberdrola no impactan en la percepción de Repsol.</v>
      </c>
      <c r="P1604" s="30">
        <v>-0.3</v>
      </c>
      <c r="Q1604" s="18" t="str">
        <f>IFERROR(__xludf.DUMMYFUNCTION("GOOGLETRANSLATE(R1604,""ES"",""EN"")"),"controversy")</f>
        <v>controversy</v>
      </c>
      <c r="R1604" s="34" t="s">
        <v>11601</v>
      </c>
      <c r="S1604" s="52" t="s">
        <v>11602</v>
      </c>
      <c r="T1604" s="22" t="s">
        <v>11603</v>
      </c>
    </row>
    <row r="1605">
      <c r="A1605" s="23" t="s">
        <v>11604</v>
      </c>
      <c r="B1605" s="58" t="s">
        <v>1993</v>
      </c>
      <c r="C1605" s="41">
        <v>45405.0</v>
      </c>
      <c r="D1605" s="40" t="s">
        <v>11605</v>
      </c>
      <c r="E1605" s="41" t="s">
        <v>11606</v>
      </c>
      <c r="F1605" s="43" t="s">
        <v>11607</v>
      </c>
      <c r="G1605" s="43" t="s">
        <v>11608</v>
      </c>
      <c r="H1605" s="51" t="s">
        <v>55</v>
      </c>
      <c r="I1605" s="25" t="str">
        <f>IFERROR(__xludf.DUMMYFUNCTION("GOOGLETRANSLATE(H1605,""EN"",""ES"")"),"deportes de motor")</f>
        <v>deportes de motor</v>
      </c>
      <c r="J1605" s="26" t="s">
        <v>27</v>
      </c>
      <c r="K1605" s="17">
        <v>0.0</v>
      </c>
      <c r="L1605" s="54"/>
      <c r="M1605" s="31"/>
      <c r="N1605" s="66"/>
      <c r="O1605" s="66"/>
      <c r="P1605" s="20">
        <v>0.0</v>
      </c>
      <c r="Q1605" s="31"/>
      <c r="R1605" s="31"/>
      <c r="S1605" s="53"/>
      <c r="T1605" s="32"/>
    </row>
    <row r="1606">
      <c r="A1606" s="33" t="s">
        <v>11609</v>
      </c>
      <c r="B1606" s="60" t="s">
        <v>1203</v>
      </c>
      <c r="C1606" s="41">
        <v>45405.0</v>
      </c>
      <c r="D1606" s="40" t="s">
        <v>11610</v>
      </c>
      <c r="E1606" s="41" t="s">
        <v>11611</v>
      </c>
      <c r="F1606" s="43" t="s">
        <v>11612</v>
      </c>
      <c r="G1606" s="43" t="s">
        <v>11613</v>
      </c>
      <c r="H1606" s="51" t="s">
        <v>661</v>
      </c>
      <c r="I1606" s="15" t="str">
        <f>IFERROR(__xludf.DUMMYFUNCTION("GOOGLETRANSLATE(H1606,""EN"",""ES"")"),"Estrategia empresarial")</f>
        <v>Estrategia empresarial</v>
      </c>
      <c r="J1606" s="16" t="s">
        <v>35</v>
      </c>
      <c r="K1606" s="48">
        <v>0.6</v>
      </c>
      <c r="L1606" s="51" t="s">
        <v>11401</v>
      </c>
      <c r="M1606" s="34" t="s">
        <v>11402</v>
      </c>
      <c r="N1606" s="65" t="s">
        <v>11614</v>
      </c>
      <c r="O1606" s="65" t="str">
        <f>IFERROR(__xludf.DUMMYFUNCTION("GOOGLETRANSLATE(N1606,""EN"",""ES"")"),"La ampliación de las inversiones en Venezuela refuerza la estrategia de mercado de Repsol.")</f>
        <v>La ampliación de las inversiones en Venezuela refuerza la estrategia de mercado de Repsol.</v>
      </c>
      <c r="P1606" s="30">
        <v>0.5</v>
      </c>
      <c r="Q1606" s="18" t="str">
        <f>IFERROR(__xludf.DUMMYFUNCTION("GOOGLETRANSLATE(R1606,""ES"",""EN"")"),"investment")</f>
        <v>investment</v>
      </c>
      <c r="R1606" s="34" t="s">
        <v>11615</v>
      </c>
      <c r="S1606" s="52" t="s">
        <v>11616</v>
      </c>
      <c r="T1606" s="22" t="s">
        <v>11617</v>
      </c>
    </row>
    <row r="1607">
      <c r="A1607" s="23" t="s">
        <v>11618</v>
      </c>
      <c r="B1607" s="58" t="s">
        <v>626</v>
      </c>
      <c r="C1607" s="41">
        <v>45405.0</v>
      </c>
      <c r="D1607" s="40" t="s">
        <v>11619</v>
      </c>
      <c r="E1607" s="41" t="s">
        <v>11620</v>
      </c>
      <c r="F1607" s="43" t="s">
        <v>11621</v>
      </c>
      <c r="G1607" s="43" t="s">
        <v>11622</v>
      </c>
      <c r="H1607" s="51" t="s">
        <v>8166</v>
      </c>
      <c r="I1607" s="25" t="str">
        <f>IFERROR(__xludf.DUMMYFUNCTION("GOOGLETRANSLATE(H1607,""EN"",""ES"")"),"Economía")</f>
        <v>Economía</v>
      </c>
      <c r="J1607" s="26" t="s">
        <v>27</v>
      </c>
      <c r="K1607" s="17">
        <v>0.0</v>
      </c>
      <c r="L1607" s="54"/>
      <c r="M1607" s="31"/>
      <c r="N1607" s="66"/>
      <c r="O1607" s="66"/>
      <c r="P1607" s="20">
        <v>0.0</v>
      </c>
      <c r="Q1607" s="31"/>
      <c r="R1607" s="31"/>
      <c r="S1607" s="53"/>
      <c r="T1607" s="32"/>
    </row>
    <row r="1608">
      <c r="A1608" s="33" t="s">
        <v>11623</v>
      </c>
      <c r="B1608" s="60" t="s">
        <v>11624</v>
      </c>
      <c r="C1608" s="41">
        <v>45406.0</v>
      </c>
      <c r="D1608" s="40" t="s">
        <v>11625</v>
      </c>
      <c r="E1608" s="41" t="s">
        <v>11626</v>
      </c>
      <c r="F1608" s="43" t="s">
        <v>11627</v>
      </c>
      <c r="G1608" s="43" t="s">
        <v>11628</v>
      </c>
      <c r="H1608" s="51" t="s">
        <v>975</v>
      </c>
      <c r="I1608" s="15" t="str">
        <f>IFERROR(__xludf.DUMMYFUNCTION("GOOGLETRANSLATE(H1608,""EN"",""ES"")"),"Patrocinio")</f>
        <v>Patrocinio</v>
      </c>
      <c r="J1608" s="16" t="s">
        <v>27</v>
      </c>
      <c r="K1608" s="17">
        <v>0.0</v>
      </c>
      <c r="L1608" s="45"/>
      <c r="M1608" s="18"/>
      <c r="N1608" s="65"/>
      <c r="O1608" s="65"/>
      <c r="P1608" s="20">
        <v>0.0</v>
      </c>
      <c r="Q1608" s="18"/>
      <c r="R1608" s="18"/>
      <c r="S1608" s="52"/>
      <c r="T1608" s="22"/>
    </row>
    <row r="1609">
      <c r="A1609" s="23" t="s">
        <v>11629</v>
      </c>
      <c r="B1609" s="58" t="s">
        <v>217</v>
      </c>
      <c r="C1609" s="41">
        <v>45406.0</v>
      </c>
      <c r="D1609" s="40" t="s">
        <v>11630</v>
      </c>
      <c r="E1609" s="41" t="s">
        <v>11631</v>
      </c>
      <c r="F1609" s="43" t="s">
        <v>11632</v>
      </c>
      <c r="G1609" s="43" t="s">
        <v>11633</v>
      </c>
      <c r="H1609" s="51" t="s">
        <v>661</v>
      </c>
      <c r="I1609" s="25" t="str">
        <f>IFERROR(__xludf.DUMMYFUNCTION("GOOGLETRANSLATE(H1609,""EN"",""ES"")"),"Estrategia empresarial")</f>
        <v>Estrategia empresarial</v>
      </c>
      <c r="J1609" s="26" t="s">
        <v>35</v>
      </c>
      <c r="K1609" s="48">
        <v>0.6</v>
      </c>
      <c r="L1609" s="49" t="s">
        <v>11634</v>
      </c>
      <c r="M1609" s="28" t="s">
        <v>11635</v>
      </c>
      <c r="N1609" s="66" t="s">
        <v>11636</v>
      </c>
      <c r="O1609" s="66" t="str">
        <f>IFERROR(__xludf.DUMMYFUNCTION("GOOGLETRANSLATE(N1609,""EN"",""ES"")"),"Ampliar las alianzas en reciclaje respalda los objetivos de sostenibilidad de Repsol.")</f>
        <v>Ampliar las alianzas en reciclaje respalda los objetivos de sostenibilidad de Repsol.</v>
      </c>
      <c r="P1609" s="30">
        <v>0.5</v>
      </c>
      <c r="Q1609" s="31" t="str">
        <f>IFERROR(__xludf.DUMMYFUNCTION("GOOGLETRANSLATE(R1609,""ES"",""EN"")"),"recycle")</f>
        <v>recycle</v>
      </c>
      <c r="R1609" s="28" t="s">
        <v>11637</v>
      </c>
      <c r="S1609" s="53" t="s">
        <v>11638</v>
      </c>
      <c r="T1609" s="32" t="s">
        <v>11639</v>
      </c>
    </row>
    <row r="1610">
      <c r="A1610" s="33" t="s">
        <v>11640</v>
      </c>
      <c r="B1610" s="60" t="s">
        <v>85</v>
      </c>
      <c r="C1610" s="41">
        <v>45406.0</v>
      </c>
      <c r="D1610" s="40" t="s">
        <v>11641</v>
      </c>
      <c r="E1610" s="41" t="s">
        <v>11642</v>
      </c>
      <c r="F1610" s="43" t="s">
        <v>11643</v>
      </c>
      <c r="G1610" s="43" t="s">
        <v>11644</v>
      </c>
      <c r="H1610" s="51" t="s">
        <v>661</v>
      </c>
      <c r="I1610" s="15" t="str">
        <f>IFERROR(__xludf.DUMMYFUNCTION("GOOGLETRANSLATE(H1610,""EN"",""ES"")"),"Estrategia empresarial")</f>
        <v>Estrategia empresarial</v>
      </c>
      <c r="J1610" s="16" t="s">
        <v>35</v>
      </c>
      <c r="K1610" s="48">
        <v>0.5</v>
      </c>
      <c r="L1610" s="51" t="s">
        <v>10111</v>
      </c>
      <c r="M1610" s="34" t="s">
        <v>10112</v>
      </c>
      <c r="N1610" s="65" t="s">
        <v>11645</v>
      </c>
      <c r="O1610" s="65" t="str">
        <f>IFERROR(__xludf.DUMMYFUNCTION("GOOGLETRANSLATE(N1610,""EN"",""ES"")"),"El mantenimiento a gran escala garantiza la eficiencia operativa pero tiene un impacto público limitado.")</f>
        <v>El mantenimiento a gran escala garantiza la eficiencia operativa pero tiene un impacto público limitado.</v>
      </c>
      <c r="P1610" s="30">
        <v>-0.3</v>
      </c>
      <c r="Q1610" s="18" t="str">
        <f>IFERROR(__xludf.DUMMYFUNCTION("GOOGLETRANSLATE(R1610,""ES"",""EN"")"),"plant stop")</f>
        <v>plant stop</v>
      </c>
      <c r="R1610" s="34" t="s">
        <v>11646</v>
      </c>
      <c r="S1610" s="52" t="s">
        <v>11647</v>
      </c>
      <c r="T1610" s="22" t="s">
        <v>11648</v>
      </c>
    </row>
    <row r="1611">
      <c r="A1611" s="23" t="s">
        <v>11649</v>
      </c>
      <c r="B1611" s="58" t="s">
        <v>4673</v>
      </c>
      <c r="C1611" s="41">
        <v>45406.0</v>
      </c>
      <c r="D1611" s="40" t="s">
        <v>11650</v>
      </c>
      <c r="E1611" s="41" t="s">
        <v>11651</v>
      </c>
      <c r="F1611" s="43" t="s">
        <v>11652</v>
      </c>
      <c r="G1611" s="43" t="s">
        <v>11653</v>
      </c>
      <c r="H1611" s="51" t="s">
        <v>148</v>
      </c>
      <c r="I1611" s="25" t="str">
        <f>IFERROR(__xludf.DUMMYFUNCTION("GOOGLETRANSLATE(H1611,""EN"",""ES"")"),"Gastronomía")</f>
        <v>Gastronomía</v>
      </c>
      <c r="J1611" s="26" t="s">
        <v>27</v>
      </c>
      <c r="K1611" s="17">
        <v>0.0</v>
      </c>
      <c r="L1611" s="54"/>
      <c r="M1611" s="31"/>
      <c r="N1611" s="66"/>
      <c r="O1611" s="66"/>
      <c r="P1611" s="20">
        <v>0.0</v>
      </c>
      <c r="Q1611" s="31"/>
      <c r="R1611" s="31"/>
      <c r="S1611" s="53"/>
      <c r="T1611" s="32"/>
    </row>
    <row r="1612">
      <c r="A1612" s="33" t="s">
        <v>11654</v>
      </c>
      <c r="B1612" s="60" t="s">
        <v>21</v>
      </c>
      <c r="C1612" s="41">
        <v>45406.0</v>
      </c>
      <c r="D1612" s="40" t="s">
        <v>11655</v>
      </c>
      <c r="E1612" s="41" t="s">
        <v>11656</v>
      </c>
      <c r="F1612" s="43" t="s">
        <v>11657</v>
      </c>
      <c r="G1612" s="43" t="s">
        <v>11658</v>
      </c>
      <c r="H1612" s="51" t="s">
        <v>148</v>
      </c>
      <c r="I1612" s="15" t="str">
        <f>IFERROR(__xludf.DUMMYFUNCTION("GOOGLETRANSLATE(H1612,""EN"",""ES"")"),"Gastronomía")</f>
        <v>Gastronomía</v>
      </c>
      <c r="J1612" s="16" t="s">
        <v>27</v>
      </c>
      <c r="K1612" s="17">
        <v>0.0</v>
      </c>
      <c r="L1612" s="45"/>
      <c r="M1612" s="18"/>
      <c r="N1612" s="65"/>
      <c r="O1612" s="65"/>
      <c r="P1612" s="20">
        <v>0.0</v>
      </c>
      <c r="Q1612" s="18"/>
      <c r="R1612" s="18"/>
      <c r="S1612" s="52"/>
      <c r="T1612" s="22"/>
    </row>
    <row r="1613">
      <c r="A1613" s="23" t="s">
        <v>11659</v>
      </c>
      <c r="B1613" s="58" t="s">
        <v>217</v>
      </c>
      <c r="C1613" s="41">
        <v>45406.0</v>
      </c>
      <c r="D1613" s="40" t="s">
        <v>11660</v>
      </c>
      <c r="E1613" s="41" t="s">
        <v>11661</v>
      </c>
      <c r="F1613" s="43" t="s">
        <v>11662</v>
      </c>
      <c r="G1613" s="43" t="s">
        <v>11663</v>
      </c>
      <c r="H1613" s="51" t="s">
        <v>130</v>
      </c>
      <c r="I1613" s="25" t="str">
        <f>IFERROR(__xludf.DUMMYFUNCTION("GOOGLETRANSLATE(H1613,""EN"",""ES"")"),"Sostenibilidad")</f>
        <v>Sostenibilidad</v>
      </c>
      <c r="J1613" s="26" t="s">
        <v>35</v>
      </c>
      <c r="K1613" s="48">
        <v>0.0</v>
      </c>
      <c r="L1613" s="54"/>
      <c r="M1613" s="31"/>
      <c r="N1613" s="66" t="s">
        <v>11664</v>
      </c>
      <c r="O1613" s="66" t="str">
        <f>IFERROR(__xludf.DUMMYFUNCTION("GOOGLETRANSLATE(N1613,""EN"",""ES"")"),"Las discusiones generales sobre captura de carbono no impactan directamente en la percepción de Repsol.")</f>
        <v>Las discusiones generales sobre captura de carbono no impactan directamente en la percepción de Repsol.</v>
      </c>
      <c r="P1613" s="30">
        <v>0.0</v>
      </c>
      <c r="Q1613" s="31"/>
      <c r="R1613" s="31"/>
      <c r="S1613" s="53" t="s">
        <v>11665</v>
      </c>
      <c r="T1613" s="32" t="s">
        <v>11666</v>
      </c>
    </row>
    <row r="1614">
      <c r="A1614" s="33" t="s">
        <v>11667</v>
      </c>
      <c r="B1614" s="60" t="s">
        <v>10305</v>
      </c>
      <c r="C1614" s="41">
        <v>45406.0</v>
      </c>
      <c r="D1614" s="40" t="s">
        <v>11668</v>
      </c>
      <c r="E1614" s="41" t="s">
        <v>11669</v>
      </c>
      <c r="F1614" s="43" t="s">
        <v>11670</v>
      </c>
      <c r="G1614" s="43" t="s">
        <v>11671</v>
      </c>
      <c r="H1614" s="51" t="s">
        <v>62</v>
      </c>
      <c r="I1614" s="15" t="str">
        <f>IFERROR(__xludf.DUMMYFUNCTION("GOOGLETRANSLATE(H1614,""EN"",""ES"")"),"Energía")</f>
        <v>Energía</v>
      </c>
      <c r="J1614" s="16" t="s">
        <v>27</v>
      </c>
      <c r="K1614" s="17">
        <v>0.0</v>
      </c>
      <c r="L1614" s="45"/>
      <c r="M1614" s="18"/>
      <c r="N1614" s="65"/>
      <c r="O1614" s="65"/>
      <c r="P1614" s="20">
        <v>0.0</v>
      </c>
      <c r="Q1614" s="18"/>
      <c r="R1614" s="18"/>
      <c r="S1614" s="52"/>
      <c r="T1614" s="22"/>
    </row>
    <row r="1615">
      <c r="A1615" s="23" t="s">
        <v>11672</v>
      </c>
      <c r="B1615" s="58" t="s">
        <v>1005</v>
      </c>
      <c r="C1615" s="41">
        <v>45406.0</v>
      </c>
      <c r="D1615" s="40" t="s">
        <v>11673</v>
      </c>
      <c r="E1615" s="41" t="s">
        <v>11674</v>
      </c>
      <c r="F1615" s="43" t="s">
        <v>11675</v>
      </c>
      <c r="G1615" s="43" t="s">
        <v>11676</v>
      </c>
      <c r="H1615" s="51" t="s">
        <v>11677</v>
      </c>
      <c r="I1615" s="25" t="str">
        <f>IFERROR(__xludf.DUMMYFUNCTION("GOOGLETRANSLATE(H1615,""EN"",""ES"")"),"Obituario")</f>
        <v>Obituario</v>
      </c>
      <c r="J1615" s="26" t="s">
        <v>27</v>
      </c>
      <c r="K1615" s="17">
        <v>0.0</v>
      </c>
      <c r="L1615" s="54"/>
      <c r="M1615" s="31"/>
      <c r="N1615" s="66"/>
      <c r="O1615" s="66"/>
      <c r="P1615" s="20">
        <v>0.0</v>
      </c>
      <c r="Q1615" s="31"/>
      <c r="R1615" s="31"/>
      <c r="S1615" s="53"/>
      <c r="T1615" s="32"/>
    </row>
    <row r="1616">
      <c r="A1616" s="33" t="s">
        <v>11678</v>
      </c>
      <c r="B1616" s="60" t="s">
        <v>499</v>
      </c>
      <c r="C1616" s="41">
        <v>45406.0</v>
      </c>
      <c r="D1616" s="40" t="s">
        <v>11679</v>
      </c>
      <c r="E1616" s="41" t="s">
        <v>11679</v>
      </c>
      <c r="F1616" s="43" t="s">
        <v>11680</v>
      </c>
      <c r="G1616" s="43" t="s">
        <v>11680</v>
      </c>
      <c r="H1616" s="51" t="s">
        <v>48</v>
      </c>
      <c r="I1616" s="15" t="str">
        <f>IFERROR(__xludf.DUMMYFUNCTION("GOOGLETRANSLATE(H1616,""EN"",""ES"")"),"Finanzas")</f>
        <v>Finanzas</v>
      </c>
      <c r="J1616" s="16" t="s">
        <v>35</v>
      </c>
      <c r="K1616" s="48">
        <v>0.0</v>
      </c>
      <c r="L1616" s="45"/>
      <c r="M1616" s="18"/>
      <c r="N1616" s="65" t="s">
        <v>11681</v>
      </c>
      <c r="O1616" s="65" t="str">
        <f>IFERROR(__xludf.DUMMYFUNCTION("GOOGLETRANSLATE(N1616,""EN"",""ES"")"),"Las decisiones generales de financiación de la UE no afectan al negocio de Repsol.")</f>
        <v>Las decisiones generales de financiación de la UE no afectan al negocio de Repsol.</v>
      </c>
      <c r="P1616" s="30">
        <v>0.0</v>
      </c>
      <c r="Q1616" s="18"/>
      <c r="R1616" s="18"/>
      <c r="S1616" s="52" t="s">
        <v>11665</v>
      </c>
      <c r="T1616" s="22" t="s">
        <v>11666</v>
      </c>
    </row>
    <row r="1617">
      <c r="A1617" s="23" t="s">
        <v>11682</v>
      </c>
      <c r="B1617" s="58" t="s">
        <v>6168</v>
      </c>
      <c r="C1617" s="41">
        <v>45406.0</v>
      </c>
      <c r="D1617" s="40" t="s">
        <v>11683</v>
      </c>
      <c r="E1617" s="41" t="s">
        <v>11684</v>
      </c>
      <c r="F1617" s="43" t="s">
        <v>11685</v>
      </c>
      <c r="G1617" s="43" t="s">
        <v>11686</v>
      </c>
      <c r="H1617" s="51" t="s">
        <v>8166</v>
      </c>
      <c r="I1617" s="25" t="str">
        <f>IFERROR(__xludf.DUMMYFUNCTION("GOOGLETRANSLATE(H1617,""EN"",""ES"")"),"Economía")</f>
        <v>Economía</v>
      </c>
      <c r="J1617" s="26" t="s">
        <v>27</v>
      </c>
      <c r="K1617" s="17">
        <v>0.0</v>
      </c>
      <c r="L1617" s="54"/>
      <c r="M1617" s="31"/>
      <c r="N1617" s="66"/>
      <c r="O1617" s="66"/>
      <c r="P1617" s="20">
        <v>0.0</v>
      </c>
      <c r="Q1617" s="31"/>
      <c r="R1617" s="31"/>
      <c r="S1617" s="53"/>
      <c r="T1617" s="32"/>
    </row>
    <row r="1618">
      <c r="A1618" s="33" t="s">
        <v>11687</v>
      </c>
      <c r="B1618" s="60" t="s">
        <v>103</v>
      </c>
      <c r="C1618" s="41">
        <v>45407.0</v>
      </c>
      <c r="D1618" s="40" t="s">
        <v>11688</v>
      </c>
      <c r="E1618" s="41" t="s">
        <v>11689</v>
      </c>
      <c r="F1618" s="43" t="s">
        <v>11690</v>
      </c>
      <c r="G1618" s="43" t="s">
        <v>11691</v>
      </c>
      <c r="H1618" s="51" t="s">
        <v>48</v>
      </c>
      <c r="I1618" s="15" t="str">
        <f>IFERROR(__xludf.DUMMYFUNCTION("GOOGLETRANSLATE(H1618,""EN"",""ES"")"),"Finanzas")</f>
        <v>Finanzas</v>
      </c>
      <c r="J1618" s="16" t="s">
        <v>35</v>
      </c>
      <c r="K1618" s="48">
        <v>-0.5</v>
      </c>
      <c r="L1618" s="51" t="s">
        <v>11692</v>
      </c>
      <c r="M1618" s="34" t="s">
        <v>11693</v>
      </c>
      <c r="N1618" s="65" t="s">
        <v>11694</v>
      </c>
      <c r="O1618" s="65" t="str">
        <f>IFERROR(__xludf.DUMMYFUNCTION("GOOGLETRANSLATE(N1618,""EN"",""ES"")"),"La caída de los beneficios podría afectar ligeramente a la confianza de los inversores.")</f>
        <v>La caída de los beneficios podría afectar ligeramente a la confianza de los inversores.</v>
      </c>
      <c r="P1618" s="30">
        <v>-0.4</v>
      </c>
      <c r="Q1618" s="18" t="str">
        <f>IFERROR(__xludf.DUMMYFUNCTION("GOOGLETRANSLATE(R1618,""ES"",""EN"")"),"earn less")</f>
        <v>earn less</v>
      </c>
      <c r="R1618" s="34" t="s">
        <v>11695</v>
      </c>
      <c r="S1618" s="52" t="s">
        <v>11696</v>
      </c>
      <c r="T1618" s="22" t="s">
        <v>11697</v>
      </c>
    </row>
    <row r="1619">
      <c r="A1619" s="23" t="s">
        <v>11698</v>
      </c>
      <c r="B1619" s="58" t="s">
        <v>558</v>
      </c>
      <c r="C1619" s="41">
        <v>45407.0</v>
      </c>
      <c r="D1619" s="40" t="s">
        <v>11699</v>
      </c>
      <c r="E1619" s="41" t="s">
        <v>11700</v>
      </c>
      <c r="F1619" s="43" t="s">
        <v>11701</v>
      </c>
      <c r="G1619" s="43" t="s">
        <v>11702</v>
      </c>
      <c r="H1619" s="51" t="s">
        <v>48</v>
      </c>
      <c r="I1619" s="25" t="str">
        <f>IFERROR(__xludf.DUMMYFUNCTION("GOOGLETRANSLATE(H1619,""EN"",""ES"")"),"Finanzas")</f>
        <v>Finanzas</v>
      </c>
      <c r="J1619" s="26" t="s">
        <v>35</v>
      </c>
      <c r="K1619" s="48">
        <v>-0.5</v>
      </c>
      <c r="L1619" s="49" t="s">
        <v>11703</v>
      </c>
      <c r="M1619" s="28" t="s">
        <v>11704</v>
      </c>
      <c r="N1619" s="66" t="s">
        <v>11705</v>
      </c>
      <c r="O1619" s="66" t="str">
        <f>IFERROR(__xludf.DUMMYFUNCTION("GOOGLETRANSLATE(N1619,""EN"",""ES"")"),"Los menores precios de los hidrocarburos pueden afectar la situación financiera de Repsol.")</f>
        <v>Los menores precios de los hidrocarburos pueden afectar la situación financiera de Repsol.</v>
      </c>
      <c r="P1619" s="30">
        <v>-0.5</v>
      </c>
      <c r="Q1619" s="31" t="str">
        <f>IFERROR(__xludf.DUMMYFUNCTION("GOOGLETRANSLATE(R1619,""ES"",""EN"")"),"imposed")</f>
        <v>imposed</v>
      </c>
      <c r="R1619" s="28" t="s">
        <v>11706</v>
      </c>
      <c r="S1619" s="53" t="s">
        <v>11707</v>
      </c>
      <c r="T1619" s="32" t="s">
        <v>11708</v>
      </c>
    </row>
    <row r="1620">
      <c r="A1620" s="33" t="s">
        <v>11709</v>
      </c>
      <c r="B1620" s="60" t="s">
        <v>217</v>
      </c>
      <c r="C1620" s="41">
        <v>45407.0</v>
      </c>
      <c r="D1620" s="40" t="s">
        <v>11710</v>
      </c>
      <c r="E1620" s="41" t="s">
        <v>11710</v>
      </c>
      <c r="F1620" s="43" t="s">
        <v>11711</v>
      </c>
      <c r="G1620" s="43" t="s">
        <v>11711</v>
      </c>
      <c r="H1620" s="51" t="s">
        <v>782</v>
      </c>
      <c r="I1620" s="15" t="str">
        <f>IFERROR(__xludf.DUMMYFUNCTION("GOOGLETRANSLATE(H1620,""EN"",""ES"")"),"Tecnología")</f>
        <v>Tecnología</v>
      </c>
      <c r="J1620" s="16" t="s">
        <v>27</v>
      </c>
      <c r="K1620" s="17">
        <v>0.0</v>
      </c>
      <c r="L1620" s="45"/>
      <c r="M1620" s="18"/>
      <c r="N1620" s="65"/>
      <c r="O1620" s="65"/>
      <c r="P1620" s="20">
        <v>0.0</v>
      </c>
      <c r="Q1620" s="18"/>
      <c r="R1620" s="18"/>
      <c r="S1620" s="52"/>
      <c r="T1620" s="22"/>
    </row>
    <row r="1621">
      <c r="A1621" s="23" t="s">
        <v>11712</v>
      </c>
      <c r="B1621" s="58" t="s">
        <v>2918</v>
      </c>
      <c r="C1621" s="41">
        <v>45407.0</v>
      </c>
      <c r="D1621" s="40" t="s">
        <v>11713</v>
      </c>
      <c r="E1621" s="41" t="s">
        <v>11714</v>
      </c>
      <c r="F1621" s="43" t="s">
        <v>11715</v>
      </c>
      <c r="G1621" s="43" t="s">
        <v>11716</v>
      </c>
      <c r="H1621" s="51" t="s">
        <v>48</v>
      </c>
      <c r="I1621" s="25" t="str">
        <f>IFERROR(__xludf.DUMMYFUNCTION("GOOGLETRANSLATE(H1621,""EN"",""ES"")"),"Finanzas")</f>
        <v>Finanzas</v>
      </c>
      <c r="J1621" s="26" t="s">
        <v>35</v>
      </c>
      <c r="K1621" s="48">
        <v>-0.4</v>
      </c>
      <c r="L1621" s="49" t="s">
        <v>11717</v>
      </c>
      <c r="M1621" s="28" t="s">
        <v>11718</v>
      </c>
      <c r="N1621" s="66" t="s">
        <v>11719</v>
      </c>
      <c r="O1621" s="66" t="str">
        <f>IFERROR(__xludf.DUMMYFUNCTION("GOOGLETRANSLATE(N1621,""EN"",""ES"")"),"La rentabilidad se mantiene estable, pero los menores beneficios pueden afectar a la confianza de los inversores.")</f>
        <v>La rentabilidad se mantiene estable, pero los menores beneficios pueden afectar a la confianza de los inversores.</v>
      </c>
      <c r="P1621" s="30">
        <v>0.3</v>
      </c>
      <c r="Q1621" s="31" t="str">
        <f>IFERROR(__xludf.DUMMYFUNCTION("GOOGLETRANSLATE(R1621,""ES"",""EN"")"),"net result")</f>
        <v>net result</v>
      </c>
      <c r="R1621" s="28" t="s">
        <v>11720</v>
      </c>
      <c r="S1621" s="53" t="s">
        <v>11721</v>
      </c>
      <c r="T1621" s="32" t="s">
        <v>11722</v>
      </c>
    </row>
    <row r="1622">
      <c r="A1622" s="33" t="s">
        <v>11723</v>
      </c>
      <c r="B1622" s="60" t="s">
        <v>1072</v>
      </c>
      <c r="C1622" s="41">
        <v>45407.0</v>
      </c>
      <c r="D1622" s="40" t="s">
        <v>11724</v>
      </c>
      <c r="E1622" s="41" t="s">
        <v>11725</v>
      </c>
      <c r="F1622" s="43" t="s">
        <v>11726</v>
      </c>
      <c r="G1622" s="43" t="s">
        <v>11727</v>
      </c>
      <c r="H1622" s="51" t="s">
        <v>48</v>
      </c>
      <c r="I1622" s="15" t="str">
        <f>IFERROR(__xludf.DUMMYFUNCTION("GOOGLETRANSLATE(H1622,""EN"",""ES"")"),"Finanzas")</f>
        <v>Finanzas</v>
      </c>
      <c r="J1622" s="16" t="s">
        <v>35</v>
      </c>
      <c r="K1622" s="48">
        <v>-0.5</v>
      </c>
      <c r="L1622" s="51" t="s">
        <v>11692</v>
      </c>
      <c r="M1622" s="34" t="s">
        <v>11693</v>
      </c>
      <c r="N1622" s="65" t="s">
        <v>11728</v>
      </c>
      <c r="O1622" s="65" t="str">
        <f>IFERROR(__xludf.DUMMYFUNCTION("GOOGLETRANSLATE(N1622,""EN"",""ES"")"),"Factores externos como los impuestos y los precios del gas afectan a los beneficios de Repsol.")</f>
        <v>Factores externos como los impuestos y los precios del gas afectan a los beneficios de Repsol.</v>
      </c>
      <c r="P1622" s="30">
        <v>-0.5</v>
      </c>
      <c r="Q1622" s="18" t="str">
        <f>IFERROR(__xludf.DUMMYFUNCTION("GOOGLETRANSLATE(R1622,""ES"",""EN"")"),"imposed")</f>
        <v>imposed</v>
      </c>
      <c r="R1622" s="34" t="s">
        <v>11706</v>
      </c>
      <c r="S1622" s="52" t="s">
        <v>11729</v>
      </c>
      <c r="T1622" s="22" t="s">
        <v>11730</v>
      </c>
    </row>
    <row r="1623">
      <c r="A1623" s="23" t="s">
        <v>11731</v>
      </c>
      <c r="B1623" s="58" t="s">
        <v>614</v>
      </c>
      <c r="C1623" s="41">
        <v>45407.0</v>
      </c>
      <c r="D1623" s="40" t="s">
        <v>11732</v>
      </c>
      <c r="E1623" s="41" t="s">
        <v>11733</v>
      </c>
      <c r="F1623" s="43" t="s">
        <v>11734</v>
      </c>
      <c r="G1623" s="43" t="s">
        <v>11735</v>
      </c>
      <c r="H1623" s="51" t="s">
        <v>48</v>
      </c>
      <c r="I1623" s="25" t="str">
        <f>IFERROR(__xludf.DUMMYFUNCTION("GOOGLETRANSLATE(H1623,""EN"",""ES"")"),"Finanzas")</f>
        <v>Finanzas</v>
      </c>
      <c r="J1623" s="26" t="s">
        <v>35</v>
      </c>
      <c r="K1623" s="48">
        <v>-0.4</v>
      </c>
      <c r="L1623" s="49" t="s">
        <v>11692</v>
      </c>
      <c r="M1623" s="28" t="s">
        <v>11693</v>
      </c>
      <c r="N1623" s="66" t="s">
        <v>11736</v>
      </c>
      <c r="O1623" s="66" t="str">
        <f>IFERROR(__xludf.DUMMYFUNCTION("GOOGLETRANSLATE(N1623,""EN"",""ES"")"),"A pesar de la rentabilidad, la disminución de las ganancias puede afectar la confianza del mercado.")</f>
        <v>A pesar de la rentabilidad, la disminución de las ganancias puede afectar la confianza del mercado.</v>
      </c>
      <c r="P1623" s="30">
        <v>0.4</v>
      </c>
      <c r="Q1623" s="31" t="str">
        <f>IFERROR(__xludf.DUMMYFUNCTION("GOOGLETRANSLATE(R1623,""ES"",""EN"")"),"win")</f>
        <v>win</v>
      </c>
      <c r="R1623" s="28" t="s">
        <v>11737</v>
      </c>
      <c r="S1623" s="53" t="s">
        <v>11721</v>
      </c>
      <c r="T1623" s="32" t="s">
        <v>11722</v>
      </c>
    </row>
    <row r="1624">
      <c r="A1624" s="33" t="s">
        <v>11738</v>
      </c>
      <c r="B1624" s="60" t="s">
        <v>1768</v>
      </c>
      <c r="C1624" s="41">
        <v>45407.0</v>
      </c>
      <c r="D1624" s="40" t="s">
        <v>11739</v>
      </c>
      <c r="E1624" s="41" t="s">
        <v>11740</v>
      </c>
      <c r="F1624" s="43" t="s">
        <v>11741</v>
      </c>
      <c r="G1624" s="43" t="s">
        <v>11742</v>
      </c>
      <c r="H1624" s="51" t="s">
        <v>8339</v>
      </c>
      <c r="I1624" s="15" t="str">
        <f>IFERROR(__xludf.DUMMYFUNCTION("GOOGLETRANSLATE(H1624,""EN"",""ES"")"),"Incidente")</f>
        <v>Incidente</v>
      </c>
      <c r="J1624" s="16" t="s">
        <v>35</v>
      </c>
      <c r="K1624" s="48">
        <v>-0.6</v>
      </c>
      <c r="L1624" s="51" t="s">
        <v>11743</v>
      </c>
      <c r="M1624" s="34" t="s">
        <v>11744</v>
      </c>
      <c r="N1624" s="65" t="s">
        <v>11745</v>
      </c>
      <c r="O1624" s="65" t="str">
        <f>IFERROR(__xludf.DUMMYFUNCTION("GOOGLETRANSLATE(N1624,""EN"",""ES"")"),"Los incidentes de seguridad en las instalaciones de Repsol pueden generar preocupación sobre riesgos operacionales.")</f>
        <v>Los incidentes de seguridad en las instalaciones de Repsol pueden generar preocupación sobre riesgos operacionales.</v>
      </c>
      <c r="P1624" s="30">
        <v>-0.6</v>
      </c>
      <c r="Q1624" s="18" t="str">
        <f>IFERROR(__xludf.DUMMYFUNCTION("GOOGLETRANSLATE(R1624,""ES"",""EN"")"),"fire")</f>
        <v>fire</v>
      </c>
      <c r="R1624" s="34" t="s">
        <v>11746</v>
      </c>
      <c r="S1624" s="52" t="s">
        <v>11747</v>
      </c>
      <c r="T1624" s="22" t="s">
        <v>11748</v>
      </c>
    </row>
    <row r="1625">
      <c r="A1625" s="23" t="s">
        <v>11749</v>
      </c>
      <c r="B1625" s="58" t="s">
        <v>21</v>
      </c>
      <c r="C1625" s="41">
        <v>45407.0</v>
      </c>
      <c r="D1625" s="40" t="s">
        <v>11750</v>
      </c>
      <c r="E1625" s="41" t="s">
        <v>11751</v>
      </c>
      <c r="F1625" s="43" t="s">
        <v>11752</v>
      </c>
      <c r="G1625" s="43" t="s">
        <v>11753</v>
      </c>
      <c r="H1625" s="51" t="s">
        <v>148</v>
      </c>
      <c r="I1625" s="25" t="str">
        <f>IFERROR(__xludf.DUMMYFUNCTION("GOOGLETRANSLATE(H1625,""EN"",""ES"")"),"Gastronomía")</f>
        <v>Gastronomía</v>
      </c>
      <c r="J1625" s="26" t="s">
        <v>27</v>
      </c>
      <c r="K1625" s="17">
        <v>0.0</v>
      </c>
      <c r="L1625" s="54"/>
      <c r="M1625" s="31"/>
      <c r="N1625" s="66"/>
      <c r="O1625" s="66"/>
      <c r="P1625" s="20">
        <v>0.0</v>
      </c>
      <c r="Q1625" s="31"/>
      <c r="R1625" s="31"/>
      <c r="S1625" s="53"/>
      <c r="T1625" s="32"/>
    </row>
    <row r="1626">
      <c r="A1626" s="33" t="s">
        <v>11754</v>
      </c>
      <c r="B1626" s="60" t="s">
        <v>163</v>
      </c>
      <c r="C1626" s="41">
        <v>45407.0</v>
      </c>
      <c r="D1626" s="40" t="s">
        <v>11755</v>
      </c>
      <c r="E1626" s="41" t="s">
        <v>11756</v>
      </c>
      <c r="F1626" s="43" t="s">
        <v>11757</v>
      </c>
      <c r="G1626" s="43" t="s">
        <v>11758</v>
      </c>
      <c r="H1626" s="51" t="s">
        <v>130</v>
      </c>
      <c r="I1626" s="15" t="str">
        <f>IFERROR(__xludf.DUMMYFUNCTION("GOOGLETRANSLATE(H1626,""EN"",""ES"")"),"Sostenibilidad")</f>
        <v>Sostenibilidad</v>
      </c>
      <c r="J1626" s="16" t="s">
        <v>27</v>
      </c>
      <c r="K1626" s="17">
        <v>0.0</v>
      </c>
      <c r="L1626" s="45"/>
      <c r="M1626" s="18"/>
      <c r="N1626" s="65"/>
      <c r="O1626" s="65"/>
      <c r="P1626" s="20">
        <v>0.0</v>
      </c>
      <c r="Q1626" s="18"/>
      <c r="R1626" s="18"/>
      <c r="S1626" s="52"/>
      <c r="T1626" s="22"/>
    </row>
    <row r="1627">
      <c r="A1627" s="23" t="s">
        <v>11759</v>
      </c>
      <c r="B1627" s="58" t="s">
        <v>125</v>
      </c>
      <c r="C1627" s="41">
        <v>45407.0</v>
      </c>
      <c r="D1627" s="40" t="s">
        <v>11760</v>
      </c>
      <c r="E1627" s="41" t="s">
        <v>11761</v>
      </c>
      <c r="F1627" s="43" t="s">
        <v>11762</v>
      </c>
      <c r="G1627" s="43" t="s">
        <v>11763</v>
      </c>
      <c r="H1627" s="51" t="s">
        <v>8339</v>
      </c>
      <c r="I1627" s="25" t="str">
        <f>IFERROR(__xludf.DUMMYFUNCTION("GOOGLETRANSLATE(H1627,""EN"",""ES"")"),"Incidente")</f>
        <v>Incidente</v>
      </c>
      <c r="J1627" s="26" t="s">
        <v>35</v>
      </c>
      <c r="K1627" s="48">
        <v>-0.6</v>
      </c>
      <c r="L1627" s="49" t="s">
        <v>11743</v>
      </c>
      <c r="M1627" s="28" t="s">
        <v>11744</v>
      </c>
      <c r="N1627" s="66" t="s">
        <v>11764</v>
      </c>
      <c r="O1627" s="66" t="str">
        <f>IFERROR(__xludf.DUMMYFUNCTION("GOOGLETRANSLATE(N1627,""EN"",""ES"")"),"Los incidentes de incendio pueden generar preocupaciones sobre los estándares de seguridad de Repsol.")</f>
        <v>Los incidentes de incendio pueden generar preocupaciones sobre los estándares de seguridad de Repsol.</v>
      </c>
      <c r="P1627" s="30">
        <v>-0.6</v>
      </c>
      <c r="Q1627" s="31" t="str">
        <f>IFERROR(__xludf.DUMMYFUNCTION("GOOGLETRANSLATE(R1627,""ES"",""EN"")"),"fire")</f>
        <v>fire</v>
      </c>
      <c r="R1627" s="28" t="s">
        <v>11746</v>
      </c>
      <c r="S1627" s="53" t="s">
        <v>11747</v>
      </c>
      <c r="T1627" s="32" t="s">
        <v>11748</v>
      </c>
    </row>
    <row r="1628">
      <c r="A1628" s="33" t="s">
        <v>11765</v>
      </c>
      <c r="B1628" s="60" t="s">
        <v>11766</v>
      </c>
      <c r="C1628" s="41">
        <v>45407.0</v>
      </c>
      <c r="D1628" s="40" t="s">
        <v>11767</v>
      </c>
      <c r="E1628" s="41" t="s">
        <v>11768</v>
      </c>
      <c r="F1628" s="43" t="s">
        <v>11769</v>
      </c>
      <c r="G1628" s="43" t="s">
        <v>11770</v>
      </c>
      <c r="H1628" s="51" t="s">
        <v>8339</v>
      </c>
      <c r="I1628" s="15" t="str">
        <f>IFERROR(__xludf.DUMMYFUNCTION("GOOGLETRANSLATE(H1628,""EN"",""ES"")"),"Incidente")</f>
        <v>Incidente</v>
      </c>
      <c r="J1628" s="16" t="s">
        <v>35</v>
      </c>
      <c r="K1628" s="48">
        <v>-0.6</v>
      </c>
      <c r="L1628" s="51" t="s">
        <v>11743</v>
      </c>
      <c r="M1628" s="34" t="s">
        <v>11744</v>
      </c>
      <c r="N1628" s="65" t="s">
        <v>11771</v>
      </c>
      <c r="O1628" s="65" t="str">
        <f>IFERROR(__xludf.DUMMYFUNCTION("GOOGLETRANSLATE(N1628,""EN"",""ES"")"),"Los incidentes de incendio pueden generar preocupaciones sobre la reputación en materia de seguridad.")</f>
        <v>Los incidentes de incendio pueden generar preocupaciones sobre la reputación en materia de seguridad.</v>
      </c>
      <c r="P1628" s="30">
        <v>-0.6</v>
      </c>
      <c r="Q1628" s="18" t="str">
        <f>IFERROR(__xludf.DUMMYFUNCTION("GOOGLETRANSLATE(R1628,""ES"",""EN"")"),"fire")</f>
        <v>fire</v>
      </c>
      <c r="R1628" s="34" t="s">
        <v>11746</v>
      </c>
      <c r="S1628" s="52" t="s">
        <v>11747</v>
      </c>
      <c r="T1628" s="22" t="s">
        <v>11748</v>
      </c>
    </row>
    <row r="1629">
      <c r="A1629" s="23" t="s">
        <v>11772</v>
      </c>
      <c r="B1629" s="58" t="s">
        <v>11773</v>
      </c>
      <c r="C1629" s="41">
        <v>45407.0</v>
      </c>
      <c r="D1629" s="40" t="s">
        <v>11774</v>
      </c>
      <c r="E1629" s="41" t="s">
        <v>11775</v>
      </c>
      <c r="F1629" s="43" t="s">
        <v>11776</v>
      </c>
      <c r="G1629" s="43" t="s">
        <v>11777</v>
      </c>
      <c r="H1629" s="51" t="s">
        <v>148</v>
      </c>
      <c r="I1629" s="25" t="str">
        <f>IFERROR(__xludf.DUMMYFUNCTION("GOOGLETRANSLATE(H1629,""EN"",""ES"")"),"Gastronomía")</f>
        <v>Gastronomía</v>
      </c>
      <c r="J1629" s="26" t="s">
        <v>27</v>
      </c>
      <c r="K1629" s="17">
        <v>0.0</v>
      </c>
      <c r="L1629" s="54"/>
      <c r="M1629" s="31"/>
      <c r="N1629" s="66"/>
      <c r="O1629" s="66"/>
      <c r="P1629" s="20">
        <v>0.0</v>
      </c>
      <c r="Q1629" s="31"/>
      <c r="R1629" s="31"/>
      <c r="S1629" s="53"/>
      <c r="T1629" s="32"/>
    </row>
    <row r="1630">
      <c r="A1630" s="33" t="s">
        <v>11778</v>
      </c>
      <c r="B1630" s="60" t="s">
        <v>3511</v>
      </c>
      <c r="C1630" s="41">
        <v>45407.0</v>
      </c>
      <c r="D1630" s="40" t="s">
        <v>11779</v>
      </c>
      <c r="E1630" s="41" t="s">
        <v>11780</v>
      </c>
      <c r="F1630" s="43" t="s">
        <v>11781</v>
      </c>
      <c r="G1630" s="43" t="s">
        <v>11782</v>
      </c>
      <c r="H1630" s="51" t="s">
        <v>148</v>
      </c>
      <c r="I1630" s="15" t="str">
        <f>IFERROR(__xludf.DUMMYFUNCTION("GOOGLETRANSLATE(H1630,""EN"",""ES"")"),"Gastronomía")</f>
        <v>Gastronomía</v>
      </c>
      <c r="J1630" s="16" t="s">
        <v>27</v>
      </c>
      <c r="K1630" s="17">
        <v>0.0</v>
      </c>
      <c r="L1630" s="45"/>
      <c r="M1630" s="18"/>
      <c r="N1630" s="65"/>
      <c r="O1630" s="65"/>
      <c r="P1630" s="20">
        <v>0.0</v>
      </c>
      <c r="Q1630" s="18"/>
      <c r="R1630" s="18"/>
      <c r="S1630" s="52"/>
      <c r="T1630" s="22"/>
    </row>
    <row r="1631">
      <c r="A1631" s="23" t="s">
        <v>11783</v>
      </c>
      <c r="B1631" s="58" t="s">
        <v>2623</v>
      </c>
      <c r="C1631" s="41">
        <v>45407.0</v>
      </c>
      <c r="D1631" s="40" t="s">
        <v>11784</v>
      </c>
      <c r="E1631" s="41" t="s">
        <v>11785</v>
      </c>
      <c r="F1631" s="43" t="s">
        <v>11786</v>
      </c>
      <c r="G1631" s="43" t="s">
        <v>11787</v>
      </c>
      <c r="H1631" s="51" t="s">
        <v>130</v>
      </c>
      <c r="I1631" s="25" t="str">
        <f>IFERROR(__xludf.DUMMYFUNCTION("GOOGLETRANSLATE(H1631,""EN"",""ES"")"),"Sostenibilidad")</f>
        <v>Sostenibilidad</v>
      </c>
      <c r="J1631" s="26" t="s">
        <v>35</v>
      </c>
      <c r="K1631" s="48">
        <v>0.6</v>
      </c>
      <c r="L1631" s="49" t="s">
        <v>11788</v>
      </c>
      <c r="M1631" s="28" t="s">
        <v>11789</v>
      </c>
      <c r="N1631" s="66" t="s">
        <v>11790</v>
      </c>
      <c r="O1631" s="66" t="str">
        <f>IFERROR(__xludf.DUMMYFUNCTION("GOOGLETRANSLATE(N1631,""EN"",""ES"")"),"Reforzar las inversiones en reciclaje respalda los objetivos medioambientales de Repsol.")</f>
        <v>Reforzar las inversiones en reciclaje respalda los objetivos medioambientales de Repsol.</v>
      </c>
      <c r="P1631" s="30">
        <v>0.4</v>
      </c>
      <c r="Q1631" s="31" t="str">
        <f>IFERROR(__xludf.DUMMYFUNCTION("GOOGLETRANSLATE(R1631,""ES"",""EN"")"),"recycle")</f>
        <v>recycle</v>
      </c>
      <c r="R1631" s="28" t="s">
        <v>11637</v>
      </c>
      <c r="S1631" s="53" t="s">
        <v>11791</v>
      </c>
      <c r="T1631" s="32" t="s">
        <v>11792</v>
      </c>
    </row>
    <row r="1632">
      <c r="A1632" s="33" t="s">
        <v>11793</v>
      </c>
      <c r="B1632" s="60" t="s">
        <v>499</v>
      </c>
      <c r="C1632" s="41">
        <v>45407.0</v>
      </c>
      <c r="D1632" s="40" t="s">
        <v>11794</v>
      </c>
      <c r="E1632" s="41" t="s">
        <v>11795</v>
      </c>
      <c r="F1632" s="43" t="s">
        <v>11796</v>
      </c>
      <c r="G1632" s="43" t="s">
        <v>11797</v>
      </c>
      <c r="H1632" s="51" t="s">
        <v>130</v>
      </c>
      <c r="I1632" s="15" t="str">
        <f>IFERROR(__xludf.DUMMYFUNCTION("GOOGLETRANSLATE(H1632,""EN"",""ES"")"),"Sostenibilidad")</f>
        <v>Sostenibilidad</v>
      </c>
      <c r="J1632" s="16" t="s">
        <v>35</v>
      </c>
      <c r="K1632" s="48">
        <v>0.7</v>
      </c>
      <c r="L1632" s="51" t="s">
        <v>11798</v>
      </c>
      <c r="M1632" s="34" t="s">
        <v>11799</v>
      </c>
      <c r="N1632" s="65" t="s">
        <v>11800</v>
      </c>
      <c r="O1632" s="65" t="str">
        <f>IFERROR(__xludf.DUMMYFUNCTION("GOOGLETRANSLATE(N1632,""EN"",""ES"")"),"La inversión en biometano apoya la transición energética limpia de Repsol.")</f>
        <v>La inversión en biometano apoya la transición energética limpia de Repsol.</v>
      </c>
      <c r="P1632" s="30">
        <v>0.0</v>
      </c>
      <c r="Q1632" s="18"/>
      <c r="R1632" s="18"/>
      <c r="S1632" s="52" t="s">
        <v>11665</v>
      </c>
      <c r="T1632" s="22" t="s">
        <v>11666</v>
      </c>
    </row>
    <row r="1633">
      <c r="A1633" s="23" t="s">
        <v>11801</v>
      </c>
      <c r="B1633" s="58" t="s">
        <v>11802</v>
      </c>
      <c r="C1633" s="41">
        <v>45407.0</v>
      </c>
      <c r="D1633" s="40" t="s">
        <v>11803</v>
      </c>
      <c r="E1633" s="41" t="s">
        <v>11804</v>
      </c>
      <c r="F1633" s="43" t="s">
        <v>11805</v>
      </c>
      <c r="G1633" s="43" t="s">
        <v>11806</v>
      </c>
      <c r="H1633" s="51" t="s">
        <v>661</v>
      </c>
      <c r="I1633" s="25" t="str">
        <f>IFERROR(__xludf.DUMMYFUNCTION("GOOGLETRANSLATE(H1633,""EN"",""ES"")"),"Estrategia empresarial")</f>
        <v>Estrategia empresarial</v>
      </c>
      <c r="J1633" s="26" t="s">
        <v>35</v>
      </c>
      <c r="K1633" s="48">
        <v>0.6</v>
      </c>
      <c r="L1633" s="49" t="s">
        <v>11186</v>
      </c>
      <c r="M1633" s="28" t="s">
        <v>11187</v>
      </c>
      <c r="N1633" s="66" t="s">
        <v>11807</v>
      </c>
      <c r="O1633" s="66" t="str">
        <f>IFERROR(__xludf.DUMMYFUNCTION("GOOGLETRANSLATE(N1633,""EN"",""ES"")"),"La expansión de la producción de petróleo en Venezuela fortalece la presencia global de Repsol.")</f>
        <v>La expansión de la producción de petróleo en Venezuela fortalece la presencia global de Repsol.</v>
      </c>
      <c r="P1633" s="30">
        <v>0.5</v>
      </c>
      <c r="Q1633" s="31" t="str">
        <f>IFERROR(__xludf.DUMMYFUNCTION("GOOGLETRANSLATE(R1633,""ES"",""EN"")"),"double production")</f>
        <v>double production</v>
      </c>
      <c r="R1633" s="28" t="s">
        <v>11808</v>
      </c>
      <c r="S1633" s="53" t="s">
        <v>11616</v>
      </c>
      <c r="T1633" s="32" t="s">
        <v>11617</v>
      </c>
    </row>
    <row r="1634">
      <c r="A1634" s="33" t="s">
        <v>11809</v>
      </c>
      <c r="B1634" s="60" t="s">
        <v>21</v>
      </c>
      <c r="C1634" s="41">
        <v>45407.0</v>
      </c>
      <c r="D1634" s="40" t="s">
        <v>11810</v>
      </c>
      <c r="E1634" s="41" t="s">
        <v>11811</v>
      </c>
      <c r="F1634" s="43" t="s">
        <v>11812</v>
      </c>
      <c r="G1634" s="43" t="s">
        <v>11813</v>
      </c>
      <c r="H1634" s="51" t="s">
        <v>148</v>
      </c>
      <c r="I1634" s="15" t="str">
        <f>IFERROR(__xludf.DUMMYFUNCTION("GOOGLETRANSLATE(H1634,""EN"",""ES"")"),"Gastronomía")</f>
        <v>Gastronomía</v>
      </c>
      <c r="J1634" s="16" t="s">
        <v>27</v>
      </c>
      <c r="K1634" s="17">
        <v>0.0</v>
      </c>
      <c r="L1634" s="45"/>
      <c r="M1634" s="18"/>
      <c r="N1634" s="65"/>
      <c r="O1634" s="65"/>
      <c r="P1634" s="20">
        <v>0.0</v>
      </c>
      <c r="Q1634" s="18"/>
      <c r="R1634" s="18"/>
      <c r="S1634" s="52"/>
      <c r="T1634" s="22"/>
    </row>
    <row r="1635">
      <c r="A1635" s="23" t="s">
        <v>11814</v>
      </c>
      <c r="B1635" s="58" t="s">
        <v>272</v>
      </c>
      <c r="C1635" s="41">
        <v>45408.0</v>
      </c>
      <c r="D1635" s="40" t="s">
        <v>11815</v>
      </c>
      <c r="E1635" s="41" t="s">
        <v>11816</v>
      </c>
      <c r="F1635" s="43" t="s">
        <v>11817</v>
      </c>
      <c r="G1635" s="43" t="s">
        <v>11818</v>
      </c>
      <c r="H1635" s="51" t="s">
        <v>130</v>
      </c>
      <c r="I1635" s="25" t="str">
        <f>IFERROR(__xludf.DUMMYFUNCTION("GOOGLETRANSLATE(H1635,""EN"",""ES"")"),"Sostenibilidad")</f>
        <v>Sostenibilidad</v>
      </c>
      <c r="J1635" s="26" t="s">
        <v>35</v>
      </c>
      <c r="K1635" s="48">
        <v>0.8</v>
      </c>
      <c r="L1635" s="49" t="s">
        <v>11533</v>
      </c>
      <c r="M1635" s="28" t="s">
        <v>11534</v>
      </c>
      <c r="N1635" s="66" t="s">
        <v>11819</v>
      </c>
      <c r="O1635" s="66" t="str">
        <f>IFERROR(__xludf.DUMMYFUNCTION("GOOGLETRANSLATE(N1635,""EN"",""ES"")"),"La ampliación de la producción de combustibles limpios refuerza la estrategia de sostenibilidad de Repsol.")</f>
        <v>La ampliación de la producción de combustibles limpios refuerza la estrategia de sostenibilidad de Repsol.</v>
      </c>
      <c r="P1635" s="30">
        <v>0.8</v>
      </c>
      <c r="Q1635" s="31" t="str">
        <f>IFERROR(__xludf.DUMMYFUNCTION("GOOGLETRANSLATE(R1635,""ES"",""EN"")"),"renewable fuel")</f>
        <v>renewable fuel</v>
      </c>
      <c r="R1635" s="28" t="s">
        <v>10542</v>
      </c>
      <c r="S1635" s="53" t="s">
        <v>11820</v>
      </c>
      <c r="T1635" s="32" t="s">
        <v>11821</v>
      </c>
    </row>
    <row r="1636">
      <c r="A1636" s="33" t="s">
        <v>11822</v>
      </c>
      <c r="B1636" s="60" t="s">
        <v>11823</v>
      </c>
      <c r="C1636" s="41">
        <v>45408.0</v>
      </c>
      <c r="D1636" s="40" t="s">
        <v>11824</v>
      </c>
      <c r="E1636" s="41" t="s">
        <v>11825</v>
      </c>
      <c r="F1636" s="43" t="s">
        <v>11826</v>
      </c>
      <c r="G1636" s="43" t="s">
        <v>11827</v>
      </c>
      <c r="H1636" s="51" t="s">
        <v>661</v>
      </c>
      <c r="I1636" s="15" t="str">
        <f>IFERROR(__xludf.DUMMYFUNCTION("GOOGLETRANSLATE(H1636,""EN"",""ES"")"),"Estrategia empresarial")</f>
        <v>Estrategia empresarial</v>
      </c>
      <c r="J1636" s="16" t="s">
        <v>35</v>
      </c>
      <c r="K1636" s="48">
        <v>0.6</v>
      </c>
      <c r="L1636" s="51" t="s">
        <v>11186</v>
      </c>
      <c r="M1636" s="34" t="s">
        <v>11187</v>
      </c>
      <c r="N1636" s="65" t="s">
        <v>11828</v>
      </c>
      <c r="O1636" s="65" t="str">
        <f>IFERROR(__xludf.DUMMYFUNCTION("GOOGLETRANSLATE(N1636,""EN"",""ES"")"),"El fortalecimiento de alianzas en Venezuela respalda la estrategia energética de Repsol.")</f>
        <v>El fortalecimiento de alianzas en Venezuela respalda la estrategia energética de Repsol.</v>
      </c>
      <c r="P1636" s="30">
        <v>0.4</v>
      </c>
      <c r="Q1636" s="18" t="str">
        <f>IFERROR(__xludf.DUMMYFUNCTION("GOOGLETRANSLATE(R1636,""ES"",""EN"")"),"agreement")</f>
        <v>agreement</v>
      </c>
      <c r="R1636" s="34" t="s">
        <v>11189</v>
      </c>
      <c r="S1636" s="52" t="s">
        <v>11829</v>
      </c>
      <c r="T1636" s="22" t="s">
        <v>11830</v>
      </c>
    </row>
    <row r="1637">
      <c r="A1637" s="23" t="s">
        <v>11831</v>
      </c>
      <c r="B1637" s="58" t="s">
        <v>11832</v>
      </c>
      <c r="C1637" s="41">
        <v>45408.0</v>
      </c>
      <c r="D1637" s="40" t="s">
        <v>11833</v>
      </c>
      <c r="E1637" s="41" t="s">
        <v>11834</v>
      </c>
      <c r="F1637" s="43" t="s">
        <v>11835</v>
      </c>
      <c r="G1637" s="43" t="s">
        <v>11836</v>
      </c>
      <c r="H1637" s="51" t="s">
        <v>130</v>
      </c>
      <c r="I1637" s="25" t="str">
        <f>IFERROR(__xludf.DUMMYFUNCTION("GOOGLETRANSLATE(H1637,""EN"",""ES"")"),"Sostenibilidad")</f>
        <v>Sostenibilidad</v>
      </c>
      <c r="J1637" s="26" t="s">
        <v>35</v>
      </c>
      <c r="K1637" s="48">
        <v>0.8</v>
      </c>
      <c r="L1637" s="49" t="s">
        <v>8251</v>
      </c>
      <c r="M1637" s="28" t="s">
        <v>8252</v>
      </c>
      <c r="N1637" s="66" t="s">
        <v>11837</v>
      </c>
      <c r="O1637" s="66" t="str">
        <f>IFERROR(__xludf.DUMMYFUNCTION("GOOGLETRANSLATE(N1637,""EN"",""ES"")"),"La ampliación de la distribución de combustibles renovables refuerza la apuesta de Repsol por las energías limpias.")</f>
        <v>La ampliación de la distribución de combustibles renovables refuerza la apuesta de Repsol por las energías limpias.</v>
      </c>
      <c r="P1637" s="30">
        <v>0.7</v>
      </c>
      <c r="Q1637" s="31" t="str">
        <f>IFERROR(__xludf.DUMMYFUNCTION("GOOGLETRANSLATE(R1637,""ES"",""EN"")"),"renewable fuel")</f>
        <v>renewable fuel</v>
      </c>
      <c r="R1637" s="28" t="s">
        <v>10542</v>
      </c>
      <c r="S1637" s="53" t="s">
        <v>11791</v>
      </c>
      <c r="T1637" s="32" t="s">
        <v>11792</v>
      </c>
    </row>
    <row r="1638">
      <c r="A1638" s="33" t="s">
        <v>11838</v>
      </c>
      <c r="B1638" s="60" t="s">
        <v>9516</v>
      </c>
      <c r="C1638" s="41">
        <v>45408.0</v>
      </c>
      <c r="D1638" s="40" t="s">
        <v>11839</v>
      </c>
      <c r="E1638" s="41" t="s">
        <v>11840</v>
      </c>
      <c r="F1638" s="43" t="s">
        <v>11841</v>
      </c>
      <c r="G1638" s="43" t="s">
        <v>11842</v>
      </c>
      <c r="H1638" s="51" t="s">
        <v>130</v>
      </c>
      <c r="I1638" s="15" t="str">
        <f>IFERROR(__xludf.DUMMYFUNCTION("GOOGLETRANSLATE(H1638,""EN"",""ES"")"),"Sostenibilidad")</f>
        <v>Sostenibilidad</v>
      </c>
      <c r="J1638" s="16" t="s">
        <v>35</v>
      </c>
      <c r="K1638" s="48">
        <v>0.8</v>
      </c>
      <c r="L1638" s="51" t="s">
        <v>11533</v>
      </c>
      <c r="M1638" s="34" t="s">
        <v>11534</v>
      </c>
      <c r="N1638" s="65" t="s">
        <v>11843</v>
      </c>
      <c r="O1638" s="65" t="str">
        <f>IFERROR(__xludf.DUMMYFUNCTION("GOOGLETRANSLATE(N1638,""EN"",""ES"")"),"La ampliación de la producción de combustibles renovables fortalece las iniciativas de energía limpia de Repsol.")</f>
        <v>La ampliación de la producción de combustibles renovables fortalece las iniciativas de energía limpia de Repsol.</v>
      </c>
      <c r="P1638" s="30">
        <v>0.7</v>
      </c>
      <c r="Q1638" s="18" t="str">
        <f>IFERROR(__xludf.DUMMYFUNCTION("GOOGLETRANSLATE(R1638,""ES"",""EN"")"),"renewable fuels")</f>
        <v>renewable fuels</v>
      </c>
      <c r="R1638" s="34" t="s">
        <v>584</v>
      </c>
      <c r="S1638" s="52" t="s">
        <v>11791</v>
      </c>
      <c r="T1638" s="22" t="s">
        <v>11792</v>
      </c>
    </row>
    <row r="1639">
      <c r="A1639" s="23" t="s">
        <v>11844</v>
      </c>
      <c r="B1639" s="58" t="s">
        <v>1072</v>
      </c>
      <c r="C1639" s="41">
        <v>45408.0</v>
      </c>
      <c r="D1639" s="40" t="s">
        <v>11845</v>
      </c>
      <c r="E1639" s="41" t="s">
        <v>11846</v>
      </c>
      <c r="F1639" s="43" t="s">
        <v>11847</v>
      </c>
      <c r="G1639" s="43" t="s">
        <v>11848</v>
      </c>
      <c r="H1639" s="49" t="s">
        <v>782</v>
      </c>
      <c r="I1639" s="25" t="str">
        <f>IFERROR(__xludf.DUMMYFUNCTION("GOOGLETRANSLATE(H1639,""EN"",""ES"")"),"Tecnología")</f>
        <v>Tecnología</v>
      </c>
      <c r="J1639" s="26" t="s">
        <v>35</v>
      </c>
      <c r="K1639" s="48">
        <v>0.7</v>
      </c>
      <c r="L1639" s="49" t="s">
        <v>11849</v>
      </c>
      <c r="M1639" s="28" t="s">
        <v>11850</v>
      </c>
      <c r="N1639" s="66" t="s">
        <v>11851</v>
      </c>
      <c r="O1639" s="66" t="str">
        <f>IFERROR(__xludf.DUMMYFUNCTION("GOOGLETRANSLATE(N1639,""EN"",""ES"")"),"Invertir en IA para la eficiencia operativa refuerza el liderazgo tecnológico de Repsol.")</f>
        <v>Invertir en IA para la eficiencia operativa refuerza el liderazgo tecnológico de Repsol.</v>
      </c>
      <c r="P1639" s="30">
        <v>0.2</v>
      </c>
      <c r="Q1639" s="31" t="str">
        <f>IFERROR(__xludf.DUMMYFUNCTION("GOOGLETRANSLATE(R1639,""ES"",""EN"")"),"-")</f>
        <v>-</v>
      </c>
      <c r="R1639" s="28" t="s">
        <v>11852</v>
      </c>
      <c r="S1639" s="53" t="s">
        <v>11853</v>
      </c>
      <c r="T1639" s="32" t="s">
        <v>11854</v>
      </c>
    </row>
    <row r="1640">
      <c r="A1640" s="33" t="s">
        <v>11855</v>
      </c>
      <c r="B1640" s="60" t="s">
        <v>448</v>
      </c>
      <c r="C1640" s="41">
        <v>45408.0</v>
      </c>
      <c r="D1640" s="40" t="s">
        <v>11856</v>
      </c>
      <c r="E1640" s="41" t="s">
        <v>11857</v>
      </c>
      <c r="F1640" s="43" t="s">
        <v>11858</v>
      </c>
      <c r="G1640" s="43" t="s">
        <v>11859</v>
      </c>
      <c r="H1640" s="51" t="s">
        <v>661</v>
      </c>
      <c r="I1640" s="15" t="str">
        <f>IFERROR(__xludf.DUMMYFUNCTION("GOOGLETRANSLATE(H1640,""EN"",""ES"")"),"Estrategia empresarial")</f>
        <v>Estrategia empresarial</v>
      </c>
      <c r="J1640" s="16" t="s">
        <v>35</v>
      </c>
      <c r="K1640" s="48">
        <v>0.6</v>
      </c>
      <c r="L1640" s="51" t="s">
        <v>11860</v>
      </c>
      <c r="M1640" s="34" t="s">
        <v>11861</v>
      </c>
      <c r="N1640" s="65" t="s">
        <v>11862</v>
      </c>
      <c r="O1640" s="65" t="str">
        <f>IFERROR(__xludf.DUMMYFUNCTION("GOOGLETRANSLATE(N1640,""EN"",""ES"")"),"Ganar cuota de mercado en electricidad mejora el posicionamiento competitivo de Repsol.")</f>
        <v>Ganar cuota de mercado en electricidad mejora el posicionamiento competitivo de Repsol.</v>
      </c>
      <c r="P1640" s="30">
        <v>0.5</v>
      </c>
      <c r="Q1640" s="18" t="str">
        <f>IFERROR(__xludf.DUMMYFUNCTION("GOOGLETRANSLATE(R1640,""ES"",""EN"")"),"win clients")</f>
        <v>win clients</v>
      </c>
      <c r="R1640" s="34" t="s">
        <v>10410</v>
      </c>
      <c r="S1640" s="52" t="s">
        <v>11863</v>
      </c>
      <c r="T1640" s="22" t="s">
        <v>11864</v>
      </c>
    </row>
    <row r="1641">
      <c r="A1641" s="23" t="s">
        <v>11865</v>
      </c>
      <c r="B1641" s="58" t="s">
        <v>163</v>
      </c>
      <c r="C1641" s="41">
        <v>45408.0</v>
      </c>
      <c r="D1641" s="40" t="s">
        <v>11866</v>
      </c>
      <c r="E1641" s="41" t="s">
        <v>11867</v>
      </c>
      <c r="F1641" s="43" t="s">
        <v>11868</v>
      </c>
      <c r="G1641" s="43" t="s">
        <v>11869</v>
      </c>
      <c r="H1641" s="49" t="s">
        <v>55</v>
      </c>
      <c r="I1641" s="25" t="str">
        <f>IFERROR(__xludf.DUMMYFUNCTION("GOOGLETRANSLATE(H1641,""EN"",""ES"")"),"deportes de motor")</f>
        <v>deportes de motor</v>
      </c>
      <c r="J1641" s="26" t="s">
        <v>35</v>
      </c>
      <c r="K1641" s="48">
        <v>0.6</v>
      </c>
      <c r="L1641" s="49" t="s">
        <v>11870</v>
      </c>
      <c r="M1641" s="28" t="s">
        <v>11871</v>
      </c>
      <c r="N1641" s="66" t="s">
        <v>11872</v>
      </c>
      <c r="O1641" s="66" t="str">
        <f>IFERROR(__xludf.DUMMYFUNCTION("GOOGLETRANSLATE(N1641,""EN"",""ES"")"),"El patrocinio del deporte de motor fortalece la visibilidad de la marca Repsol.")</f>
        <v>El patrocinio del deporte de motor fortalece la visibilidad de la marca Repsol.</v>
      </c>
      <c r="P1641" s="30">
        <v>0.5</v>
      </c>
      <c r="Q1641" s="31" t="str">
        <f>IFERROR(__xludf.DUMMYFUNCTION("GOOGLETRANSLATE(R1641,""ES"",""EN"")"),"renewable fuels")</f>
        <v>renewable fuels</v>
      </c>
      <c r="R1641" s="28" t="s">
        <v>584</v>
      </c>
      <c r="S1641" s="53" t="s">
        <v>11873</v>
      </c>
      <c r="T1641" s="32" t="s">
        <v>11874</v>
      </c>
    </row>
    <row r="1642">
      <c r="A1642" s="33" t="s">
        <v>11875</v>
      </c>
      <c r="B1642" s="60" t="s">
        <v>11876</v>
      </c>
      <c r="C1642" s="41">
        <v>45408.0</v>
      </c>
      <c r="D1642" s="40" t="s">
        <v>11877</v>
      </c>
      <c r="E1642" s="41" t="s">
        <v>11878</v>
      </c>
      <c r="F1642" s="43" t="s">
        <v>11879</v>
      </c>
      <c r="G1642" s="43" t="s">
        <v>11880</v>
      </c>
      <c r="H1642" s="51" t="s">
        <v>661</v>
      </c>
      <c r="I1642" s="15" t="str">
        <f>IFERROR(__xludf.DUMMYFUNCTION("GOOGLETRANSLATE(H1642,""EN"",""ES"")"),"Estrategia empresarial")</f>
        <v>Estrategia empresarial</v>
      </c>
      <c r="J1642" s="16" t="s">
        <v>35</v>
      </c>
      <c r="K1642" s="48">
        <v>0.6</v>
      </c>
      <c r="L1642" s="51" t="s">
        <v>11186</v>
      </c>
      <c r="M1642" s="34" t="s">
        <v>11187</v>
      </c>
      <c r="N1642" s="65" t="s">
        <v>11881</v>
      </c>
      <c r="O1642" s="65" t="str">
        <f>IFERROR(__xludf.DUMMYFUNCTION("GOOGLETRANSLATE(N1642,""EN"",""ES"")"),"La expansión de la producción de petróleo fortalece la presencia de Repsol en los mercados globales.")</f>
        <v>La expansión de la producción de petróleo fortalece la presencia de Repsol en los mercados globales.</v>
      </c>
      <c r="P1642" s="30">
        <v>0.4</v>
      </c>
      <c r="Q1642" s="18" t="str">
        <f>IFERROR(__xludf.DUMMYFUNCTION("GOOGLETRANSLATE(R1642,""ES"",""EN"")"),"increase production")</f>
        <v>increase production</v>
      </c>
      <c r="R1642" s="34" t="s">
        <v>11882</v>
      </c>
      <c r="S1642" s="52" t="s">
        <v>11616</v>
      </c>
      <c r="T1642" s="22" t="s">
        <v>11617</v>
      </c>
    </row>
    <row r="1643">
      <c r="A1643" s="23" t="s">
        <v>11883</v>
      </c>
      <c r="B1643" s="58" t="s">
        <v>6759</v>
      </c>
      <c r="C1643" s="41">
        <v>45408.0</v>
      </c>
      <c r="D1643" s="40" t="s">
        <v>11884</v>
      </c>
      <c r="E1643" s="41" t="s">
        <v>11885</v>
      </c>
      <c r="F1643" s="43" t="s">
        <v>11886</v>
      </c>
      <c r="G1643" s="43" t="s">
        <v>11887</v>
      </c>
      <c r="H1643" s="49" t="s">
        <v>130</v>
      </c>
      <c r="I1643" s="25" t="str">
        <f>IFERROR(__xludf.DUMMYFUNCTION("GOOGLETRANSLATE(H1643,""EN"",""ES"")"),"Sostenibilidad")</f>
        <v>Sostenibilidad</v>
      </c>
      <c r="J1643" s="26" t="s">
        <v>35</v>
      </c>
      <c r="K1643" s="48">
        <v>0.8</v>
      </c>
      <c r="L1643" s="49" t="s">
        <v>11533</v>
      </c>
      <c r="M1643" s="28" t="s">
        <v>11534</v>
      </c>
      <c r="N1643" s="66" t="s">
        <v>11888</v>
      </c>
      <c r="O1643" s="66" t="str">
        <f>IFERROR(__xludf.DUMMYFUNCTION("GOOGLETRANSLATE(N1643,""EN"",""ES"")"),"La ampliación de la distribución de combustibles renovables respalda los compromisos de energía verde de Repsol.")</f>
        <v>La ampliación de la distribución de combustibles renovables respalda los compromisos de energía verde de Repsol.</v>
      </c>
      <c r="P1643" s="30">
        <v>0.6</v>
      </c>
      <c r="Q1643" s="31" t="str">
        <f>IFERROR(__xludf.DUMMYFUNCTION("GOOGLETRANSLATE(R1643,""ES"",""EN"")"),"biofuel")</f>
        <v>biofuel</v>
      </c>
      <c r="R1643" s="28" t="s">
        <v>11889</v>
      </c>
      <c r="S1643" s="53" t="s">
        <v>11791</v>
      </c>
      <c r="T1643" s="32" t="s">
        <v>11792</v>
      </c>
    </row>
    <row r="1644">
      <c r="A1644" s="33" t="s">
        <v>11890</v>
      </c>
      <c r="B1644" s="60" t="s">
        <v>91</v>
      </c>
      <c r="C1644" s="41">
        <v>45408.0</v>
      </c>
      <c r="D1644" s="40" t="s">
        <v>11891</v>
      </c>
      <c r="E1644" s="41" t="s">
        <v>11892</v>
      </c>
      <c r="F1644" s="43" t="s">
        <v>11893</v>
      </c>
      <c r="G1644" s="43" t="s">
        <v>11894</v>
      </c>
      <c r="H1644" s="51" t="s">
        <v>661</v>
      </c>
      <c r="I1644" s="15" t="str">
        <f>IFERROR(__xludf.DUMMYFUNCTION("GOOGLETRANSLATE(H1644,""EN"",""ES"")"),"Estrategia empresarial")</f>
        <v>Estrategia empresarial</v>
      </c>
      <c r="J1644" s="16" t="s">
        <v>35</v>
      </c>
      <c r="K1644" s="48">
        <v>-0.5</v>
      </c>
      <c r="L1644" s="51" t="s">
        <v>11895</v>
      </c>
      <c r="M1644" s="34" t="s">
        <v>11896</v>
      </c>
      <c r="N1644" s="65" t="s">
        <v>11897</v>
      </c>
      <c r="O1644" s="65" t="str">
        <f>IFERROR(__xludf.DUMMYFUNCTION("GOOGLETRANSLATE(N1644,""EN"",""ES"")"),"La competencia de precios en el mercado energético puede afectar a la rentabilidad de Repsol.")</f>
        <v>La competencia de precios en el mercado energético puede afectar a la rentabilidad de Repsol.</v>
      </c>
      <c r="P1644" s="30">
        <v>-0.5</v>
      </c>
      <c r="Q1644" s="18" t="str">
        <f>IFERROR(__xludf.DUMMYFUNCTION("GOOGLETRANSLATE(R1644,""ES"",""EN"")"),"veto russian gas")</f>
        <v>veto russian gas</v>
      </c>
      <c r="R1644" s="34" t="s">
        <v>11898</v>
      </c>
      <c r="S1644" s="52" t="s">
        <v>11899</v>
      </c>
      <c r="T1644" s="22" t="s">
        <v>11900</v>
      </c>
    </row>
    <row r="1645">
      <c r="A1645" s="23" t="s">
        <v>11901</v>
      </c>
      <c r="B1645" s="58" t="s">
        <v>4690</v>
      </c>
      <c r="C1645" s="41">
        <v>45408.0</v>
      </c>
      <c r="D1645" s="40" t="s">
        <v>11902</v>
      </c>
      <c r="E1645" s="41" t="s">
        <v>11903</v>
      </c>
      <c r="F1645" s="43" t="s">
        <v>11904</v>
      </c>
      <c r="G1645" s="43" t="s">
        <v>11905</v>
      </c>
      <c r="H1645" s="49" t="s">
        <v>661</v>
      </c>
      <c r="I1645" s="25" t="str">
        <f>IFERROR(__xludf.DUMMYFUNCTION("GOOGLETRANSLATE(H1645,""EN"",""ES"")"),"Estrategia empresarial")</f>
        <v>Estrategia empresarial</v>
      </c>
      <c r="J1645" s="26" t="s">
        <v>35</v>
      </c>
      <c r="K1645" s="48">
        <v>0.6</v>
      </c>
      <c r="L1645" s="49" t="s">
        <v>11490</v>
      </c>
      <c r="M1645" s="28" t="s">
        <v>11491</v>
      </c>
      <c r="N1645" s="66" t="s">
        <v>11906</v>
      </c>
      <c r="O1645" s="66" t="str">
        <f>IFERROR(__xludf.DUMMYFUNCTION("GOOGLETRANSLATE(N1645,""EN"",""ES"")"),"La ampliación de las asociaciones minoristas fortalece la presencia de Repsol en los mercados de consumo.")</f>
        <v>La ampliación de las asociaciones minoristas fortalece la presencia de Repsol en los mercados de consumo.</v>
      </c>
      <c r="P1645" s="30">
        <v>0.4</v>
      </c>
      <c r="Q1645" s="31" t="str">
        <f>IFERROR(__xludf.DUMMYFUNCTION("GOOGLETRANSLATE(R1645,""ES"",""EN"")"),"new stores")</f>
        <v>new stores</v>
      </c>
      <c r="R1645" s="28" t="s">
        <v>11907</v>
      </c>
      <c r="S1645" s="53" t="s">
        <v>11616</v>
      </c>
      <c r="T1645" s="32" t="s">
        <v>11617</v>
      </c>
    </row>
    <row r="1646">
      <c r="A1646" s="33" t="s">
        <v>11908</v>
      </c>
      <c r="B1646" s="60" t="s">
        <v>21</v>
      </c>
      <c r="C1646" s="41">
        <v>45408.0</v>
      </c>
      <c r="D1646" s="40" t="s">
        <v>11909</v>
      </c>
      <c r="E1646" s="41" t="s">
        <v>6574</v>
      </c>
      <c r="F1646" s="43" t="s">
        <v>11910</v>
      </c>
      <c r="G1646" s="43" t="s">
        <v>6576</v>
      </c>
      <c r="H1646" s="51" t="s">
        <v>969</v>
      </c>
      <c r="I1646" s="15" t="str">
        <f>IFERROR(__xludf.DUMMYFUNCTION("GOOGLETRANSLATE(H1646,""EN"",""ES"")"),"Turismo")</f>
        <v>Turismo</v>
      </c>
      <c r="J1646" s="16" t="s">
        <v>27</v>
      </c>
      <c r="K1646" s="17">
        <v>0.0</v>
      </c>
      <c r="L1646" s="45"/>
      <c r="M1646" s="18"/>
      <c r="N1646" s="65"/>
      <c r="O1646" s="65"/>
      <c r="P1646" s="20">
        <v>0.0</v>
      </c>
      <c r="Q1646" s="18"/>
      <c r="R1646" s="18"/>
      <c r="S1646" s="52"/>
      <c r="T1646" s="22"/>
    </row>
    <row r="1647">
      <c r="A1647" s="23" t="s">
        <v>11911</v>
      </c>
      <c r="B1647" s="58" t="s">
        <v>1168</v>
      </c>
      <c r="C1647" s="41">
        <v>45408.0</v>
      </c>
      <c r="D1647" s="40" t="s">
        <v>11912</v>
      </c>
      <c r="E1647" s="41" t="s">
        <v>11913</v>
      </c>
      <c r="F1647" s="43" t="s">
        <v>11914</v>
      </c>
      <c r="G1647" s="43" t="s">
        <v>11915</v>
      </c>
      <c r="H1647" s="49" t="s">
        <v>661</v>
      </c>
      <c r="I1647" s="25" t="str">
        <f>IFERROR(__xludf.DUMMYFUNCTION("GOOGLETRANSLATE(H1647,""EN"",""ES"")"),"Estrategia empresarial")</f>
        <v>Estrategia empresarial</v>
      </c>
      <c r="J1647" s="26" t="s">
        <v>35</v>
      </c>
      <c r="K1647" s="48">
        <v>0.7</v>
      </c>
      <c r="L1647" s="49" t="s">
        <v>11916</v>
      </c>
      <c r="M1647" s="28" t="s">
        <v>11917</v>
      </c>
      <c r="N1647" s="66" t="s">
        <v>11918</v>
      </c>
      <c r="O1647" s="66" t="str">
        <f>IFERROR(__xludf.DUMMYFUNCTION("GOOGLETRANSLATE(N1647,""EN"",""ES"")"),"La inversión en proyectos de refinerías respalda la estrategia energética a largo plazo de Repsol.")</f>
        <v>La inversión en proyectos de refinerías respalda la estrategia energética a largo plazo de Repsol.</v>
      </c>
      <c r="P1647" s="30">
        <v>0.7</v>
      </c>
      <c r="Q1647" s="31" t="str">
        <f>IFERROR(__xludf.DUMMYFUNCTION("GOOGLETRANSLATE(R1647,""ES"",""EN"")"),"green hydrogen")</f>
        <v>green hydrogen</v>
      </c>
      <c r="R1647" s="28" t="s">
        <v>11919</v>
      </c>
      <c r="S1647" s="53" t="s">
        <v>11791</v>
      </c>
      <c r="T1647" s="32" t="s">
        <v>11792</v>
      </c>
    </row>
    <row r="1648">
      <c r="A1648" s="33" t="s">
        <v>11920</v>
      </c>
      <c r="B1648" s="60" t="s">
        <v>558</v>
      </c>
      <c r="C1648" s="41">
        <v>45408.0</v>
      </c>
      <c r="D1648" s="40" t="s">
        <v>11921</v>
      </c>
      <c r="E1648" s="41" t="s">
        <v>11922</v>
      </c>
      <c r="F1648" s="43" t="s">
        <v>11923</v>
      </c>
      <c r="G1648" s="43" t="s">
        <v>11924</v>
      </c>
      <c r="H1648" s="51" t="s">
        <v>661</v>
      </c>
      <c r="I1648" s="15" t="str">
        <f>IFERROR(__xludf.DUMMYFUNCTION("GOOGLETRANSLATE(H1648,""EN"",""ES"")"),"Estrategia empresarial")</f>
        <v>Estrategia empresarial</v>
      </c>
      <c r="J1648" s="16" t="s">
        <v>35</v>
      </c>
      <c r="K1648" s="48">
        <v>-0.5</v>
      </c>
      <c r="L1648" s="51" t="s">
        <v>11925</v>
      </c>
      <c r="M1648" s="34" t="s">
        <v>11926</v>
      </c>
      <c r="N1648" s="65" t="s">
        <v>11927</v>
      </c>
      <c r="O1648" s="65" t="str">
        <f>IFERROR(__xludf.DUMMYFUNCTION("GOOGLETRANSLATE(N1648,""EN"",""ES"")"),"Los cambios competitivos en los mercados de energía y vehículos eléctricos pueden afectar la estrategia de Repsol.")</f>
        <v>Los cambios competitivos en los mercados de energía y vehículos eléctricos pueden afectar la estrategia de Repsol.</v>
      </c>
      <c r="P1648" s="30">
        <v>-0.3</v>
      </c>
      <c r="Q1648" s="18" t="str">
        <f>IFERROR(__xludf.DUMMYFUNCTION("GOOGLETRANSLATE(R1648,""ES"",""EN"")"),"-")</f>
        <v>-</v>
      </c>
      <c r="R1648" s="34" t="s">
        <v>11852</v>
      </c>
      <c r="S1648" s="52" t="s">
        <v>11928</v>
      </c>
      <c r="T1648" s="22" t="s">
        <v>11929</v>
      </c>
    </row>
    <row r="1649">
      <c r="A1649" s="23" t="s">
        <v>11930</v>
      </c>
      <c r="B1649" s="58" t="s">
        <v>2696</v>
      </c>
      <c r="C1649" s="41">
        <v>45408.0</v>
      </c>
      <c r="D1649" s="40" t="s">
        <v>11931</v>
      </c>
      <c r="E1649" s="41" t="s">
        <v>11932</v>
      </c>
      <c r="F1649" s="43" t="s">
        <v>11933</v>
      </c>
      <c r="G1649" s="43" t="s">
        <v>11934</v>
      </c>
      <c r="H1649" s="49" t="s">
        <v>130</v>
      </c>
      <c r="I1649" s="25" t="str">
        <f>IFERROR(__xludf.DUMMYFUNCTION("GOOGLETRANSLATE(H1649,""EN"",""ES"")"),"Sostenibilidad")</f>
        <v>Sostenibilidad</v>
      </c>
      <c r="J1649" s="26" t="s">
        <v>27</v>
      </c>
      <c r="K1649" s="17">
        <v>0.0</v>
      </c>
      <c r="L1649" s="54"/>
      <c r="M1649" s="31"/>
      <c r="N1649" s="66"/>
      <c r="O1649" s="66"/>
      <c r="P1649" s="20">
        <v>0.0</v>
      </c>
      <c r="Q1649" s="31"/>
      <c r="R1649" s="31"/>
      <c r="S1649" s="53"/>
      <c r="T1649" s="32"/>
    </row>
    <row r="1650">
      <c r="A1650" s="33" t="s">
        <v>11935</v>
      </c>
      <c r="B1650" s="60" t="s">
        <v>163</v>
      </c>
      <c r="C1650" s="41">
        <v>45408.0</v>
      </c>
      <c r="D1650" s="40" t="s">
        <v>11936</v>
      </c>
      <c r="E1650" s="41" t="s">
        <v>11937</v>
      </c>
      <c r="F1650" s="43" t="s">
        <v>11938</v>
      </c>
      <c r="G1650" s="43" t="s">
        <v>11939</v>
      </c>
      <c r="H1650" s="51" t="s">
        <v>55</v>
      </c>
      <c r="I1650" s="15" t="str">
        <f>IFERROR(__xludf.DUMMYFUNCTION("GOOGLETRANSLATE(H1650,""EN"",""ES"")"),"deportes de motor")</f>
        <v>deportes de motor</v>
      </c>
      <c r="J1650" s="16" t="s">
        <v>27</v>
      </c>
      <c r="K1650" s="17">
        <v>0.0</v>
      </c>
      <c r="L1650" s="45"/>
      <c r="M1650" s="18"/>
      <c r="N1650" s="65"/>
      <c r="O1650" s="65"/>
      <c r="P1650" s="20">
        <v>0.0</v>
      </c>
      <c r="Q1650" s="18"/>
      <c r="R1650" s="18"/>
      <c r="S1650" s="52"/>
      <c r="T1650" s="22"/>
    </row>
    <row r="1651">
      <c r="A1651" s="23" t="s">
        <v>11940</v>
      </c>
      <c r="B1651" s="58" t="s">
        <v>5991</v>
      </c>
      <c r="C1651" s="41">
        <v>45408.0</v>
      </c>
      <c r="D1651" s="40" t="s">
        <v>11941</v>
      </c>
      <c r="E1651" s="41" t="s">
        <v>11942</v>
      </c>
      <c r="F1651" s="43" t="s">
        <v>11943</v>
      </c>
      <c r="G1651" s="43" t="s">
        <v>11944</v>
      </c>
      <c r="H1651" s="49" t="s">
        <v>661</v>
      </c>
      <c r="I1651" s="25" t="str">
        <f>IFERROR(__xludf.DUMMYFUNCTION("GOOGLETRANSLATE(H1651,""EN"",""ES"")"),"Estrategia empresarial")</f>
        <v>Estrategia empresarial</v>
      </c>
      <c r="J1651" s="26" t="s">
        <v>35</v>
      </c>
      <c r="K1651" s="48">
        <v>0.6</v>
      </c>
      <c r="L1651" s="49" t="s">
        <v>11186</v>
      </c>
      <c r="M1651" s="28" t="s">
        <v>11187</v>
      </c>
      <c r="N1651" s="66" t="s">
        <v>11945</v>
      </c>
      <c r="O1651" s="66" t="str">
        <f>IFERROR(__xludf.DUMMYFUNCTION("GOOGLETRANSLATE(N1651,""EN"",""ES"")"),"El aumento de la producción de petróleo en Venezuela refuerza la estrategia de mercado de Repsol.")</f>
        <v>El aumento de la producción de petróleo en Venezuela refuerza la estrategia de mercado de Repsol.</v>
      </c>
      <c r="P1651" s="30">
        <v>0.5</v>
      </c>
      <c r="Q1651" s="31" t="str">
        <f>IFERROR(__xludf.DUMMYFUNCTION("GOOGLETRANSLATE(R1651,""ES"",""EN"")"),"double production")</f>
        <v>double production</v>
      </c>
      <c r="R1651" s="28" t="s">
        <v>11808</v>
      </c>
      <c r="S1651" s="53" t="s">
        <v>11616</v>
      </c>
      <c r="T1651" s="32" t="s">
        <v>11617</v>
      </c>
    </row>
    <row r="1652">
      <c r="A1652" s="33" t="s">
        <v>11946</v>
      </c>
      <c r="B1652" s="60" t="s">
        <v>217</v>
      </c>
      <c r="C1652" s="41">
        <v>45409.0</v>
      </c>
      <c r="D1652" s="40" t="s">
        <v>11947</v>
      </c>
      <c r="E1652" s="41" t="s">
        <v>11948</v>
      </c>
      <c r="F1652" s="43" t="s">
        <v>11949</v>
      </c>
      <c r="G1652" s="43" t="s">
        <v>11950</v>
      </c>
      <c r="H1652" s="51" t="s">
        <v>661</v>
      </c>
      <c r="I1652" s="15" t="str">
        <f>IFERROR(__xludf.DUMMYFUNCTION("GOOGLETRANSLATE(H1652,""EN"",""ES"")"),"Estrategia empresarial")</f>
        <v>Estrategia empresarial</v>
      </c>
      <c r="J1652" s="16" t="s">
        <v>35</v>
      </c>
      <c r="K1652" s="48">
        <v>0.6</v>
      </c>
      <c r="L1652" s="51" t="s">
        <v>11186</v>
      </c>
      <c r="M1652" s="34" t="s">
        <v>11187</v>
      </c>
      <c r="N1652" s="65" t="s">
        <v>11828</v>
      </c>
      <c r="O1652" s="65" t="str">
        <f>IFERROR(__xludf.DUMMYFUNCTION("GOOGLETRANSLATE(N1652,""EN"",""ES"")"),"El fortalecimiento de alianzas en Venezuela respalda la estrategia energética de Repsol.")</f>
        <v>El fortalecimiento de alianzas en Venezuela respalda la estrategia energética de Repsol.</v>
      </c>
      <c r="P1652" s="30">
        <v>0.6</v>
      </c>
      <c r="Q1652" s="18" t="str">
        <f>IFERROR(__xludf.DUMMYFUNCTION("GOOGLETRANSLATE(R1652,""ES"",""EN"")"),"new alliance")</f>
        <v>new alliance</v>
      </c>
      <c r="R1652" s="34" t="s">
        <v>11951</v>
      </c>
      <c r="S1652" s="52" t="s">
        <v>11829</v>
      </c>
      <c r="T1652" s="22" t="s">
        <v>11830</v>
      </c>
    </row>
    <row r="1653">
      <c r="A1653" s="23" t="s">
        <v>11952</v>
      </c>
      <c r="B1653" s="58" t="s">
        <v>1072</v>
      </c>
      <c r="C1653" s="41">
        <v>45409.0</v>
      </c>
      <c r="D1653" s="40" t="s">
        <v>11953</v>
      </c>
      <c r="E1653" s="41" t="s">
        <v>11954</v>
      </c>
      <c r="F1653" s="43" t="s">
        <v>11955</v>
      </c>
      <c r="G1653" s="43" t="s">
        <v>11956</v>
      </c>
      <c r="H1653" s="49" t="s">
        <v>34</v>
      </c>
      <c r="I1653" s="25" t="str">
        <f>IFERROR(__xludf.DUMMYFUNCTION("GOOGLETRANSLATE(H1653,""EN"",""ES"")"),"Responsabilidad Social Corporativa")</f>
        <v>Responsabilidad Social Corporativa</v>
      </c>
      <c r="J1653" s="26" t="s">
        <v>35</v>
      </c>
      <c r="K1653" s="48">
        <v>0.6</v>
      </c>
      <c r="L1653" s="49" t="s">
        <v>11957</v>
      </c>
      <c r="M1653" s="28" t="s">
        <v>11958</v>
      </c>
      <c r="N1653" s="66" t="s">
        <v>11959</v>
      </c>
      <c r="O1653" s="66" t="str">
        <f>IFERROR(__xludf.DUMMYFUNCTION("GOOGLETRANSLATE(N1653,""EN"",""ES"")"),"Poner en valor el desarrollo de los empleados potencia la marca empleadora de Repsol.")</f>
        <v>Poner en valor el desarrollo de los empleados potencia la marca empleadora de Repsol.</v>
      </c>
      <c r="P1653" s="30">
        <v>0.2</v>
      </c>
      <c r="Q1653" s="31" t="str">
        <f>IFERROR(__xludf.DUMMYFUNCTION("GOOGLETRANSLATE(R1653,""ES"",""EN"")"),"-")</f>
        <v>-</v>
      </c>
      <c r="R1653" s="28" t="s">
        <v>11852</v>
      </c>
      <c r="S1653" s="53" t="s">
        <v>11960</v>
      </c>
      <c r="T1653" s="32" t="s">
        <v>11961</v>
      </c>
    </row>
    <row r="1654">
      <c r="A1654" s="33" t="s">
        <v>11962</v>
      </c>
      <c r="B1654" s="60" t="s">
        <v>1635</v>
      </c>
      <c r="C1654" s="41">
        <v>45409.0</v>
      </c>
      <c r="D1654" s="40" t="s">
        <v>11963</v>
      </c>
      <c r="E1654" s="41" t="s">
        <v>11964</v>
      </c>
      <c r="F1654" s="43" t="s">
        <v>11965</v>
      </c>
      <c r="G1654" s="43" t="s">
        <v>11966</v>
      </c>
      <c r="H1654" s="51" t="s">
        <v>130</v>
      </c>
      <c r="I1654" s="15" t="str">
        <f>IFERROR(__xludf.DUMMYFUNCTION("GOOGLETRANSLATE(H1654,""EN"",""ES"")"),"Sostenibilidad")</f>
        <v>Sostenibilidad</v>
      </c>
      <c r="J1654" s="16" t="s">
        <v>35</v>
      </c>
      <c r="K1654" s="48">
        <v>0.8</v>
      </c>
      <c r="L1654" s="51" t="s">
        <v>11967</v>
      </c>
      <c r="M1654" s="34" t="s">
        <v>11968</v>
      </c>
      <c r="N1654" s="65" t="s">
        <v>11969</v>
      </c>
      <c r="O1654" s="65" t="str">
        <f>IFERROR(__xludf.DUMMYFUNCTION("GOOGLETRANSLATE(N1654,""EN"",""ES"")"),"Avanzar en la descarbonización respalda la estrategia de sostenibilidad a largo plazo de Repsol.")</f>
        <v>Avanzar en la descarbonización respalda la estrategia de sostenibilidad a largo plazo de Repsol.</v>
      </c>
      <c r="P1654" s="30">
        <v>0.4</v>
      </c>
      <c r="Q1654" s="18" t="str">
        <f>IFERROR(__xludf.DUMMYFUNCTION("GOOGLETRANSLATE(R1654,""ES"",""EN"")"),"industrial transformation")</f>
        <v>industrial transformation</v>
      </c>
      <c r="R1654" s="34" t="s">
        <v>11970</v>
      </c>
      <c r="S1654" s="52" t="s">
        <v>11971</v>
      </c>
      <c r="T1654" s="22" t="s">
        <v>11972</v>
      </c>
    </row>
    <row r="1655">
      <c r="A1655" s="23" t="s">
        <v>11973</v>
      </c>
      <c r="B1655" s="58" t="s">
        <v>217</v>
      </c>
      <c r="C1655" s="41">
        <v>45409.0</v>
      </c>
      <c r="D1655" s="40" t="s">
        <v>11974</v>
      </c>
      <c r="E1655" s="41" t="s">
        <v>11975</v>
      </c>
      <c r="F1655" s="43" t="s">
        <v>11976</v>
      </c>
      <c r="G1655" s="43" t="s">
        <v>11977</v>
      </c>
      <c r="H1655" s="49" t="s">
        <v>130</v>
      </c>
      <c r="I1655" s="25" t="str">
        <f>IFERROR(__xludf.DUMMYFUNCTION("GOOGLETRANSLATE(H1655,""EN"",""ES"")"),"Sostenibilidad")</f>
        <v>Sostenibilidad</v>
      </c>
      <c r="J1655" s="26" t="s">
        <v>35</v>
      </c>
      <c r="K1655" s="48">
        <v>0.8</v>
      </c>
      <c r="L1655" s="49" t="s">
        <v>11967</v>
      </c>
      <c r="M1655" s="28" t="s">
        <v>11968</v>
      </c>
      <c r="N1655" s="66" t="s">
        <v>11978</v>
      </c>
      <c r="O1655" s="66" t="str">
        <f>IFERROR(__xludf.DUMMYFUNCTION("GOOGLETRANSLATE(N1655,""EN"",""ES"")"),"Apoyar la descarbonización se alinea con los objetivos de energía limpia de Repsol.")</f>
        <v>Apoyar la descarbonización se alinea con los objetivos de energía limpia de Repsol.</v>
      </c>
      <c r="P1655" s="30">
        <v>0.0</v>
      </c>
      <c r="Q1655" s="31"/>
      <c r="R1655" s="31"/>
      <c r="S1655" s="53" t="s">
        <v>11665</v>
      </c>
      <c r="T1655" s="32" t="s">
        <v>11666</v>
      </c>
    </row>
    <row r="1656">
      <c r="A1656" s="33" t="s">
        <v>11979</v>
      </c>
      <c r="B1656" s="60" t="s">
        <v>11980</v>
      </c>
      <c r="C1656" s="41">
        <v>45409.0</v>
      </c>
      <c r="D1656" s="40" t="s">
        <v>11981</v>
      </c>
      <c r="E1656" s="41" t="s">
        <v>11982</v>
      </c>
      <c r="F1656" s="43" t="s">
        <v>11983</v>
      </c>
      <c r="G1656" s="43" t="s">
        <v>11984</v>
      </c>
      <c r="H1656" s="51" t="s">
        <v>661</v>
      </c>
      <c r="I1656" s="15" t="str">
        <f>IFERROR(__xludf.DUMMYFUNCTION("GOOGLETRANSLATE(H1656,""EN"",""ES"")"),"Estrategia empresarial")</f>
        <v>Estrategia empresarial</v>
      </c>
      <c r="J1656" s="16" t="s">
        <v>35</v>
      </c>
      <c r="K1656" s="48">
        <v>0.6</v>
      </c>
      <c r="L1656" s="51" t="s">
        <v>11186</v>
      </c>
      <c r="M1656" s="34" t="s">
        <v>11187</v>
      </c>
      <c r="N1656" s="65" t="s">
        <v>11985</v>
      </c>
      <c r="O1656" s="65" t="str">
        <f>IFERROR(__xludf.DUMMYFUNCTION("GOOGLETRANSLATE(N1656,""EN"",""ES"")"),"El fortalecimiento de las asociaciones de producción de petróleo respalda la expansión energética de Repsol.")</f>
        <v>El fortalecimiento de las asociaciones de producción de petróleo respalda la expansión energética de Repsol.</v>
      </c>
      <c r="P1656" s="30">
        <v>0.4</v>
      </c>
      <c r="Q1656" s="18" t="str">
        <f>IFERROR(__xludf.DUMMYFUNCTION("GOOGLETRANSLATE(R1656,""ES"",""EN"")"),"increase production")</f>
        <v>increase production</v>
      </c>
      <c r="R1656" s="34" t="s">
        <v>11882</v>
      </c>
      <c r="S1656" s="52" t="s">
        <v>11863</v>
      </c>
      <c r="T1656" s="22" t="s">
        <v>11864</v>
      </c>
    </row>
    <row r="1657">
      <c r="A1657" s="23" t="s">
        <v>11986</v>
      </c>
      <c r="B1657" s="58" t="s">
        <v>3612</v>
      </c>
      <c r="C1657" s="41">
        <v>45409.0</v>
      </c>
      <c r="D1657" s="40" t="s">
        <v>11987</v>
      </c>
      <c r="E1657" s="41" t="s">
        <v>11988</v>
      </c>
      <c r="F1657" s="43" t="s">
        <v>11989</v>
      </c>
      <c r="G1657" s="43" t="s">
        <v>11990</v>
      </c>
      <c r="H1657" s="49" t="s">
        <v>55</v>
      </c>
      <c r="I1657" s="25" t="str">
        <f>IFERROR(__xludf.DUMMYFUNCTION("GOOGLETRANSLATE(H1657,""EN"",""ES"")"),"deportes de motor")</f>
        <v>deportes de motor</v>
      </c>
      <c r="J1657" s="26" t="s">
        <v>27</v>
      </c>
      <c r="K1657" s="17">
        <v>0.0</v>
      </c>
      <c r="L1657" s="54"/>
      <c r="M1657" s="31"/>
      <c r="N1657" s="66"/>
      <c r="O1657" s="66"/>
      <c r="P1657" s="20">
        <v>0.0</v>
      </c>
      <c r="Q1657" s="31"/>
      <c r="R1657" s="31"/>
      <c r="S1657" s="53"/>
      <c r="T1657" s="32"/>
    </row>
    <row r="1658">
      <c r="A1658" s="33" t="s">
        <v>11991</v>
      </c>
      <c r="B1658" s="60" t="s">
        <v>6297</v>
      </c>
      <c r="C1658" s="41">
        <v>45409.0</v>
      </c>
      <c r="D1658" s="40" t="s">
        <v>11992</v>
      </c>
      <c r="E1658" s="41" t="s">
        <v>11993</v>
      </c>
      <c r="F1658" s="43" t="s">
        <v>11994</v>
      </c>
      <c r="G1658" s="43" t="s">
        <v>11995</v>
      </c>
      <c r="H1658" s="51" t="s">
        <v>9676</v>
      </c>
      <c r="I1658" s="15" t="str">
        <f>IFERROR(__xludf.DUMMYFUNCTION("GOOGLETRANSLATE(H1658,""EN"",""ES"")"),"Infraestructura")</f>
        <v>Infraestructura</v>
      </c>
      <c r="J1658" s="16" t="s">
        <v>27</v>
      </c>
      <c r="K1658" s="17">
        <v>0.0</v>
      </c>
      <c r="L1658" s="45"/>
      <c r="M1658" s="18"/>
      <c r="N1658" s="65"/>
      <c r="O1658" s="65"/>
      <c r="P1658" s="20">
        <v>0.0</v>
      </c>
      <c r="Q1658" s="18"/>
      <c r="R1658" s="18"/>
      <c r="S1658" s="52"/>
      <c r="T1658" s="22"/>
    </row>
    <row r="1659">
      <c r="A1659" s="23" t="s">
        <v>11996</v>
      </c>
      <c r="B1659" s="58" t="s">
        <v>163</v>
      </c>
      <c r="C1659" s="41">
        <v>45409.0</v>
      </c>
      <c r="D1659" s="40" t="s">
        <v>11997</v>
      </c>
      <c r="E1659" s="41" t="s">
        <v>11998</v>
      </c>
      <c r="F1659" s="43" t="s">
        <v>11999</v>
      </c>
      <c r="G1659" s="43" t="s">
        <v>12000</v>
      </c>
      <c r="H1659" s="49" t="s">
        <v>55</v>
      </c>
      <c r="I1659" s="25" t="str">
        <f>IFERROR(__xludf.DUMMYFUNCTION("GOOGLETRANSLATE(H1659,""EN"",""ES"")"),"deportes de motor")</f>
        <v>deportes de motor</v>
      </c>
      <c r="J1659" s="26" t="s">
        <v>27</v>
      </c>
      <c r="K1659" s="17">
        <v>0.0</v>
      </c>
      <c r="L1659" s="54"/>
      <c r="M1659" s="31"/>
      <c r="N1659" s="66"/>
      <c r="O1659" s="66"/>
      <c r="P1659" s="20">
        <v>0.0</v>
      </c>
      <c r="Q1659" s="31"/>
      <c r="R1659" s="31"/>
      <c r="S1659" s="53"/>
      <c r="T1659" s="32"/>
    </row>
    <row r="1660">
      <c r="A1660" s="33" t="s">
        <v>12001</v>
      </c>
      <c r="B1660" s="60" t="s">
        <v>3428</v>
      </c>
      <c r="C1660" s="41">
        <v>45409.0</v>
      </c>
      <c r="D1660" s="40" t="s">
        <v>12002</v>
      </c>
      <c r="E1660" s="41" t="s">
        <v>12003</v>
      </c>
      <c r="F1660" s="43" t="s">
        <v>12004</v>
      </c>
      <c r="G1660" s="43" t="s">
        <v>12005</v>
      </c>
      <c r="H1660" s="51" t="s">
        <v>55</v>
      </c>
      <c r="I1660" s="15" t="str">
        <f>IFERROR(__xludf.DUMMYFUNCTION("GOOGLETRANSLATE(H1660,""EN"",""ES"")"),"deportes de motor")</f>
        <v>deportes de motor</v>
      </c>
      <c r="J1660" s="16" t="s">
        <v>27</v>
      </c>
      <c r="K1660" s="17">
        <v>0.0</v>
      </c>
      <c r="L1660" s="45"/>
      <c r="M1660" s="18"/>
      <c r="N1660" s="65"/>
      <c r="O1660" s="65"/>
      <c r="P1660" s="20">
        <v>0.0</v>
      </c>
      <c r="Q1660" s="18"/>
      <c r="R1660" s="18"/>
      <c r="S1660" s="52"/>
      <c r="T1660" s="22"/>
    </row>
    <row r="1661">
      <c r="A1661" s="23" t="s">
        <v>12006</v>
      </c>
      <c r="B1661" s="58" t="s">
        <v>12007</v>
      </c>
      <c r="C1661" s="41">
        <v>45409.0</v>
      </c>
      <c r="D1661" s="40" t="s">
        <v>12008</v>
      </c>
      <c r="E1661" s="41" t="s">
        <v>12009</v>
      </c>
      <c r="F1661" s="43" t="s">
        <v>12010</v>
      </c>
      <c r="G1661" s="43" t="s">
        <v>12011</v>
      </c>
      <c r="H1661" s="49" t="s">
        <v>148</v>
      </c>
      <c r="I1661" s="25" t="str">
        <f>IFERROR(__xludf.DUMMYFUNCTION("GOOGLETRANSLATE(H1661,""EN"",""ES"")"),"Gastronomía")</f>
        <v>Gastronomía</v>
      </c>
      <c r="J1661" s="26" t="s">
        <v>27</v>
      </c>
      <c r="K1661" s="17">
        <v>0.0</v>
      </c>
      <c r="L1661" s="54"/>
      <c r="M1661" s="31"/>
      <c r="N1661" s="66"/>
      <c r="O1661" s="66"/>
      <c r="P1661" s="20">
        <v>0.0</v>
      </c>
      <c r="Q1661" s="31"/>
      <c r="R1661" s="31"/>
      <c r="S1661" s="53"/>
      <c r="T1661" s="32"/>
    </row>
    <row r="1662">
      <c r="A1662" s="33" t="s">
        <v>12012</v>
      </c>
      <c r="B1662" s="60" t="s">
        <v>163</v>
      </c>
      <c r="C1662" s="41">
        <v>45410.0</v>
      </c>
      <c r="D1662" s="40" t="s">
        <v>12013</v>
      </c>
      <c r="E1662" s="41" t="s">
        <v>12014</v>
      </c>
      <c r="F1662" s="43" t="s">
        <v>12015</v>
      </c>
      <c r="G1662" s="43" t="s">
        <v>12016</v>
      </c>
      <c r="H1662" s="51" t="s">
        <v>55</v>
      </c>
      <c r="I1662" s="15" t="str">
        <f>IFERROR(__xludf.DUMMYFUNCTION("GOOGLETRANSLATE(H1662,""EN"",""ES"")"),"deportes de motor")</f>
        <v>deportes de motor</v>
      </c>
      <c r="J1662" s="16" t="s">
        <v>27</v>
      </c>
      <c r="K1662" s="17">
        <v>0.0</v>
      </c>
      <c r="L1662" s="45"/>
      <c r="M1662" s="18"/>
      <c r="N1662" s="65"/>
      <c r="O1662" s="65"/>
      <c r="P1662" s="20">
        <v>0.0</v>
      </c>
      <c r="Q1662" s="18"/>
      <c r="R1662" s="18"/>
      <c r="S1662" s="52"/>
      <c r="T1662" s="22"/>
    </row>
    <row r="1663">
      <c r="A1663" s="23" t="s">
        <v>12017</v>
      </c>
      <c r="B1663" s="58" t="s">
        <v>499</v>
      </c>
      <c r="C1663" s="41">
        <v>45410.0</v>
      </c>
      <c r="D1663" s="40" t="s">
        <v>12018</v>
      </c>
      <c r="E1663" s="41" t="s">
        <v>12019</v>
      </c>
      <c r="F1663" s="43" t="s">
        <v>12020</v>
      </c>
      <c r="G1663" s="43" t="s">
        <v>12021</v>
      </c>
      <c r="H1663" s="49" t="s">
        <v>48</v>
      </c>
      <c r="I1663" s="25" t="str">
        <f>IFERROR(__xludf.DUMMYFUNCTION("GOOGLETRANSLATE(H1663,""EN"",""ES"")"),"Finanzas")</f>
        <v>Finanzas</v>
      </c>
      <c r="J1663" s="26" t="s">
        <v>35</v>
      </c>
      <c r="K1663" s="48">
        <v>-0.5</v>
      </c>
      <c r="L1663" s="49" t="s">
        <v>12022</v>
      </c>
      <c r="M1663" s="28" t="s">
        <v>12023</v>
      </c>
      <c r="N1663" s="66" t="s">
        <v>12024</v>
      </c>
      <c r="O1663" s="66" t="str">
        <f>IFERROR(__xludf.DUMMYFUNCTION("GOOGLETRANSLATE(N1663,""EN"",""ES"")"),"La fiscalidad de las empresas energéticas puede afectar al rendimiento financiero de Repsol.")</f>
        <v>La fiscalidad de las empresas energéticas puede afectar al rendimiento financiero de Repsol.</v>
      </c>
      <c r="P1663" s="30">
        <v>-0.4</v>
      </c>
      <c r="Q1663" s="31" t="str">
        <f>IFERROR(__xludf.DUMMYFUNCTION("GOOGLETRANSLATE(R1663,""ES"",""EN"")"),"tax")</f>
        <v>tax</v>
      </c>
      <c r="R1663" s="28" t="s">
        <v>12025</v>
      </c>
      <c r="S1663" s="53" t="s">
        <v>12026</v>
      </c>
      <c r="T1663" s="32" t="s">
        <v>12027</v>
      </c>
    </row>
    <row r="1664">
      <c r="A1664" s="33" t="s">
        <v>12028</v>
      </c>
      <c r="B1664" s="60" t="s">
        <v>11318</v>
      </c>
      <c r="C1664" s="41">
        <v>45410.0</v>
      </c>
      <c r="D1664" s="40" t="s">
        <v>12029</v>
      </c>
      <c r="E1664" s="41" t="s">
        <v>12030</v>
      </c>
      <c r="F1664" s="43" t="s">
        <v>12031</v>
      </c>
      <c r="G1664" s="43" t="s">
        <v>12032</v>
      </c>
      <c r="H1664" s="51" t="s">
        <v>661</v>
      </c>
      <c r="I1664" s="15" t="str">
        <f>IFERROR(__xludf.DUMMYFUNCTION("GOOGLETRANSLATE(H1664,""EN"",""ES"")"),"Estrategia empresarial")</f>
        <v>Estrategia empresarial</v>
      </c>
      <c r="J1664" s="16" t="s">
        <v>35</v>
      </c>
      <c r="K1664" s="48">
        <v>0.6</v>
      </c>
      <c r="L1664" s="51" t="s">
        <v>11186</v>
      </c>
      <c r="M1664" s="34" t="s">
        <v>11187</v>
      </c>
      <c r="N1664" s="65" t="s">
        <v>12033</v>
      </c>
      <c r="O1664" s="65" t="str">
        <f>IFERROR(__xludf.DUMMYFUNCTION("GOOGLETRANSLATE(N1664,""EN"",""ES"")"),"El fortalecimiento de los vínculos con PDVSA respalda la expansión de mercado de Repsol.")</f>
        <v>El fortalecimiento de los vínculos con PDVSA respalda la expansión de mercado de Repsol.</v>
      </c>
      <c r="P1664" s="30">
        <v>0.5</v>
      </c>
      <c r="Q1664" s="18" t="str">
        <f>IFERROR(__xludf.DUMMYFUNCTION("GOOGLETRANSLATE(R1664,""ES"",""EN"")"),"positive agreements")</f>
        <v>positive agreements</v>
      </c>
      <c r="R1664" s="34" t="s">
        <v>12034</v>
      </c>
      <c r="S1664" s="52" t="s">
        <v>12035</v>
      </c>
      <c r="T1664" s="22" t="s">
        <v>12036</v>
      </c>
    </row>
    <row r="1665">
      <c r="A1665" s="23" t="s">
        <v>12037</v>
      </c>
      <c r="B1665" s="58" t="s">
        <v>217</v>
      </c>
      <c r="C1665" s="41">
        <v>45410.0</v>
      </c>
      <c r="D1665" s="40" t="s">
        <v>12038</v>
      </c>
      <c r="E1665" s="41" t="s">
        <v>12039</v>
      </c>
      <c r="F1665" s="43" t="s">
        <v>12040</v>
      </c>
      <c r="G1665" s="43" t="s">
        <v>12041</v>
      </c>
      <c r="H1665" s="49" t="s">
        <v>408</v>
      </c>
      <c r="I1665" s="25" t="str">
        <f>IFERROR(__xludf.DUMMYFUNCTION("GOOGLETRANSLATE(H1665,""EN"",""ES"")"),"Legal")</f>
        <v>Legal</v>
      </c>
      <c r="J1665" s="26" t="s">
        <v>35</v>
      </c>
      <c r="K1665" s="48">
        <v>-0.6</v>
      </c>
      <c r="L1665" s="49" t="s">
        <v>12042</v>
      </c>
      <c r="M1665" s="28" t="s">
        <v>12043</v>
      </c>
      <c r="N1665" s="66" t="s">
        <v>12044</v>
      </c>
      <c r="O1665" s="66" t="str">
        <f>IFERROR(__xludf.DUMMYFUNCTION("GOOGLETRANSLATE(N1665,""EN"",""ES"")"),"Un mayor escrutinio sobre las afirmaciones de sostenibilidad puede afectar la reputación de Repsol.")</f>
        <v>Un mayor escrutinio sobre las afirmaciones de sostenibilidad puede afectar la reputación de Repsol.</v>
      </c>
      <c r="P1665" s="30">
        <v>0.0</v>
      </c>
      <c r="Q1665" s="31"/>
      <c r="R1665" s="31"/>
      <c r="S1665" s="53" t="s">
        <v>11665</v>
      </c>
      <c r="T1665" s="32" t="s">
        <v>11666</v>
      </c>
    </row>
    <row r="1666">
      <c r="A1666" s="33" t="s">
        <v>12045</v>
      </c>
      <c r="B1666" s="60" t="s">
        <v>260</v>
      </c>
      <c r="C1666" s="41">
        <v>45410.0</v>
      </c>
      <c r="D1666" s="40" t="s">
        <v>12046</v>
      </c>
      <c r="E1666" s="41" t="s">
        <v>12047</v>
      </c>
      <c r="F1666" s="43" t="s">
        <v>12048</v>
      </c>
      <c r="G1666" s="43" t="s">
        <v>12049</v>
      </c>
      <c r="H1666" s="51" t="s">
        <v>8777</v>
      </c>
      <c r="I1666" s="15" t="str">
        <f>IFERROR(__xludf.DUMMYFUNCTION("GOOGLETRANSLATE(H1666,""EN"",""ES"")"),"Cultura")</f>
        <v>Cultura</v>
      </c>
      <c r="J1666" s="16" t="s">
        <v>27</v>
      </c>
      <c r="K1666" s="17">
        <v>0.0</v>
      </c>
      <c r="L1666" s="45"/>
      <c r="M1666" s="18"/>
      <c r="N1666" s="65"/>
      <c r="O1666" s="65"/>
      <c r="P1666" s="20">
        <v>0.0</v>
      </c>
      <c r="Q1666" s="18"/>
      <c r="R1666" s="18"/>
      <c r="S1666" s="52"/>
      <c r="T1666" s="22"/>
    </row>
    <row r="1667">
      <c r="A1667" s="23" t="s">
        <v>12050</v>
      </c>
      <c r="B1667" s="58" t="s">
        <v>4151</v>
      </c>
      <c r="C1667" s="41">
        <v>45410.0</v>
      </c>
      <c r="D1667" s="40" t="s">
        <v>12051</v>
      </c>
      <c r="E1667" s="41" t="s">
        <v>12052</v>
      </c>
      <c r="F1667" s="43" t="s">
        <v>12053</v>
      </c>
      <c r="G1667" s="43" t="s">
        <v>12054</v>
      </c>
      <c r="H1667" s="49" t="s">
        <v>3985</v>
      </c>
      <c r="I1667" s="25" t="str">
        <f>IFERROR(__xludf.DUMMYFUNCTION("GOOGLETRANSLATE(H1667,""EN"",""ES"")"),"Deportes")</f>
        <v>Deportes</v>
      </c>
      <c r="J1667" s="26" t="s">
        <v>27</v>
      </c>
      <c r="K1667" s="17">
        <v>0.0</v>
      </c>
      <c r="L1667" s="54"/>
      <c r="M1667" s="31"/>
      <c r="N1667" s="66"/>
      <c r="O1667" s="66"/>
      <c r="P1667" s="20">
        <v>0.0</v>
      </c>
      <c r="Q1667" s="31"/>
      <c r="R1667" s="31"/>
      <c r="S1667" s="53"/>
      <c r="T1667" s="32"/>
    </row>
    <row r="1668">
      <c r="A1668" s="33" t="s">
        <v>12055</v>
      </c>
      <c r="B1668" s="60" t="s">
        <v>12056</v>
      </c>
      <c r="C1668" s="41">
        <v>45410.0</v>
      </c>
      <c r="D1668" s="40" t="s">
        <v>12057</v>
      </c>
      <c r="E1668" s="41" t="s">
        <v>12058</v>
      </c>
      <c r="F1668" s="43" t="s">
        <v>12059</v>
      </c>
      <c r="G1668" s="43" t="s">
        <v>12060</v>
      </c>
      <c r="H1668" s="51" t="s">
        <v>55</v>
      </c>
      <c r="I1668" s="15" t="str">
        <f>IFERROR(__xludf.DUMMYFUNCTION("GOOGLETRANSLATE(H1668,""EN"",""ES"")"),"deportes de motor")</f>
        <v>deportes de motor</v>
      </c>
      <c r="J1668" s="16" t="s">
        <v>27</v>
      </c>
      <c r="K1668" s="17">
        <v>0.0</v>
      </c>
      <c r="L1668" s="45"/>
      <c r="M1668" s="18"/>
      <c r="N1668" s="65"/>
      <c r="O1668" s="65"/>
      <c r="P1668" s="20">
        <v>0.0</v>
      </c>
      <c r="Q1668" s="18"/>
      <c r="R1668" s="18"/>
      <c r="S1668" s="52"/>
      <c r="T1668" s="22"/>
    </row>
    <row r="1669">
      <c r="A1669" s="23" t="s">
        <v>12061</v>
      </c>
      <c r="B1669" s="58" t="s">
        <v>3792</v>
      </c>
      <c r="C1669" s="41">
        <v>45410.0</v>
      </c>
      <c r="D1669" s="40" t="s">
        <v>12062</v>
      </c>
      <c r="E1669" s="41" t="s">
        <v>12063</v>
      </c>
      <c r="F1669" s="43" t="s">
        <v>12064</v>
      </c>
      <c r="G1669" s="43" t="s">
        <v>12065</v>
      </c>
      <c r="H1669" s="49" t="s">
        <v>5878</v>
      </c>
      <c r="I1669" s="25" t="str">
        <f>IFERROR(__xludf.DUMMYFUNCTION("GOOGLETRANSLATE(H1669,""EN"",""ES"")"),"Entretenimiento")</f>
        <v>Entretenimiento</v>
      </c>
      <c r="J1669" s="26" t="s">
        <v>27</v>
      </c>
      <c r="K1669" s="17">
        <v>0.0</v>
      </c>
      <c r="L1669" s="54"/>
      <c r="M1669" s="31"/>
      <c r="N1669" s="66"/>
      <c r="O1669" s="66"/>
      <c r="P1669" s="20">
        <v>0.0</v>
      </c>
      <c r="Q1669" s="31"/>
      <c r="R1669" s="31"/>
      <c r="S1669" s="53"/>
      <c r="T1669" s="32"/>
    </row>
    <row r="1670">
      <c r="A1670" s="33" t="s">
        <v>12066</v>
      </c>
      <c r="B1670" s="60" t="s">
        <v>43</v>
      </c>
      <c r="C1670" s="41">
        <v>45410.0</v>
      </c>
      <c r="D1670" s="40" t="s">
        <v>12067</v>
      </c>
      <c r="E1670" s="41" t="s">
        <v>12068</v>
      </c>
      <c r="F1670" s="43" t="s">
        <v>12069</v>
      </c>
      <c r="G1670" s="43" t="s">
        <v>12070</v>
      </c>
      <c r="H1670" s="51" t="s">
        <v>148</v>
      </c>
      <c r="I1670" s="15" t="str">
        <f>IFERROR(__xludf.DUMMYFUNCTION("GOOGLETRANSLATE(H1670,""EN"",""ES"")"),"Gastronomía")</f>
        <v>Gastronomía</v>
      </c>
      <c r="J1670" s="16" t="s">
        <v>27</v>
      </c>
      <c r="K1670" s="17">
        <v>0.0</v>
      </c>
      <c r="L1670" s="45"/>
      <c r="M1670" s="18"/>
      <c r="N1670" s="65"/>
      <c r="O1670" s="65"/>
      <c r="P1670" s="20">
        <v>0.0</v>
      </c>
      <c r="Q1670" s="18"/>
      <c r="R1670" s="18"/>
      <c r="S1670" s="52"/>
      <c r="T1670" s="22"/>
    </row>
    <row r="1671">
      <c r="A1671" s="23" t="s">
        <v>12071</v>
      </c>
      <c r="B1671" s="58" t="s">
        <v>977</v>
      </c>
      <c r="C1671" s="41">
        <v>45410.0</v>
      </c>
      <c r="D1671" s="40" t="s">
        <v>12072</v>
      </c>
      <c r="E1671" s="41" t="s">
        <v>12073</v>
      </c>
      <c r="F1671" s="43" t="s">
        <v>12074</v>
      </c>
      <c r="G1671" s="43" t="s">
        <v>12075</v>
      </c>
      <c r="H1671" s="49" t="s">
        <v>395</v>
      </c>
      <c r="I1671" s="25" t="str">
        <f>IFERROR(__xludf.DUMMYFUNCTION("GOOGLETRANSLATE(H1671,""EN"",""ES"")"),"Ambiente")</f>
        <v>Ambiente</v>
      </c>
      <c r="J1671" s="26" t="s">
        <v>27</v>
      </c>
      <c r="K1671" s="17">
        <v>0.0</v>
      </c>
      <c r="L1671" s="54"/>
      <c r="M1671" s="31"/>
      <c r="N1671" s="66"/>
      <c r="O1671" s="66"/>
      <c r="P1671" s="20">
        <v>0.0</v>
      </c>
      <c r="Q1671" s="31"/>
      <c r="R1671" s="31"/>
      <c r="S1671" s="53"/>
      <c r="T1671" s="32"/>
    </row>
    <row r="1672">
      <c r="A1672" s="33" t="s">
        <v>12076</v>
      </c>
      <c r="B1672" s="60" t="s">
        <v>12077</v>
      </c>
      <c r="C1672" s="41">
        <v>45411.0</v>
      </c>
      <c r="D1672" s="40" t="s">
        <v>12078</v>
      </c>
      <c r="E1672" s="41" t="s">
        <v>12079</v>
      </c>
      <c r="F1672" s="43" t="s">
        <v>12080</v>
      </c>
      <c r="G1672" s="43" t="s">
        <v>12081</v>
      </c>
      <c r="H1672" s="51" t="s">
        <v>130</v>
      </c>
      <c r="I1672" s="15" t="str">
        <f>IFERROR(__xludf.DUMMYFUNCTION("GOOGLETRANSLATE(H1672,""EN"",""ES"")"),"Sostenibilidad")</f>
        <v>Sostenibilidad</v>
      </c>
      <c r="J1672" s="16" t="s">
        <v>35</v>
      </c>
      <c r="K1672" s="48">
        <v>0.6</v>
      </c>
      <c r="L1672" s="51" t="s">
        <v>12082</v>
      </c>
      <c r="M1672" s="34" t="s">
        <v>12083</v>
      </c>
      <c r="N1672" s="65" t="s">
        <v>12084</v>
      </c>
      <c r="O1672" s="65" t="str">
        <f>IFERROR(__xludf.DUMMYFUNCTION("GOOGLETRANSLATE(N1672,""EN"",""ES"")"),"El patrocinio de eventos centrados en la sostenibilidad mejora la reputación medioambiental de Repsol.")</f>
        <v>El patrocinio de eventos centrados en la sostenibilidad mejora la reputación medioambiental de Repsol.</v>
      </c>
      <c r="P1672" s="30">
        <v>0.6</v>
      </c>
      <c r="Q1672" s="18" t="str">
        <f>IFERROR(__xludf.DUMMYFUNCTION("GOOGLETRANSLATE(R1672,""ES"",""EN"")"),"reduce footprint")</f>
        <v>reduce footprint</v>
      </c>
      <c r="R1672" s="34" t="s">
        <v>11275</v>
      </c>
      <c r="S1672" s="52" t="s">
        <v>11791</v>
      </c>
      <c r="T1672" s="22" t="s">
        <v>11792</v>
      </c>
    </row>
    <row r="1673">
      <c r="A1673" s="23" t="s">
        <v>12085</v>
      </c>
      <c r="B1673" s="58" t="s">
        <v>21</v>
      </c>
      <c r="C1673" s="41">
        <v>45411.0</v>
      </c>
      <c r="D1673" s="40" t="s">
        <v>12086</v>
      </c>
      <c r="E1673" s="41" t="s">
        <v>12087</v>
      </c>
      <c r="F1673" s="43" t="s">
        <v>12088</v>
      </c>
      <c r="G1673" s="43" t="s">
        <v>12089</v>
      </c>
      <c r="H1673" s="49" t="s">
        <v>148</v>
      </c>
      <c r="I1673" s="25" t="str">
        <f>IFERROR(__xludf.DUMMYFUNCTION("GOOGLETRANSLATE(H1673,""EN"",""ES"")"),"Gastronomía")</f>
        <v>Gastronomía</v>
      </c>
      <c r="J1673" s="26" t="s">
        <v>27</v>
      </c>
      <c r="K1673" s="17">
        <v>0.0</v>
      </c>
      <c r="L1673" s="54"/>
      <c r="M1673" s="31"/>
      <c r="N1673" s="66"/>
      <c r="O1673" s="66"/>
      <c r="P1673" s="20">
        <v>0.0</v>
      </c>
      <c r="Q1673" s="31"/>
      <c r="R1673" s="31"/>
      <c r="S1673" s="53"/>
      <c r="T1673" s="32"/>
    </row>
    <row r="1674">
      <c r="A1674" s="33" t="s">
        <v>12090</v>
      </c>
      <c r="B1674" s="60" t="s">
        <v>4673</v>
      </c>
      <c r="C1674" s="41">
        <v>45411.0</v>
      </c>
      <c r="D1674" s="40" t="s">
        <v>12091</v>
      </c>
      <c r="E1674" s="41" t="s">
        <v>12092</v>
      </c>
      <c r="F1674" s="43" t="s">
        <v>12093</v>
      </c>
      <c r="G1674" s="43" t="s">
        <v>12094</v>
      </c>
      <c r="H1674" s="51" t="s">
        <v>975</v>
      </c>
      <c r="I1674" s="15" t="str">
        <f>IFERROR(__xludf.DUMMYFUNCTION("GOOGLETRANSLATE(H1674,""EN"",""ES"")"),"Patrocinio")</f>
        <v>Patrocinio</v>
      </c>
      <c r="J1674" s="16" t="s">
        <v>27</v>
      </c>
      <c r="K1674" s="17">
        <v>0.0</v>
      </c>
      <c r="L1674" s="45"/>
      <c r="M1674" s="18"/>
      <c r="N1674" s="65"/>
      <c r="O1674" s="65"/>
      <c r="P1674" s="20">
        <v>0.0</v>
      </c>
      <c r="Q1674" s="18"/>
      <c r="R1674" s="18"/>
      <c r="S1674" s="52"/>
      <c r="T1674" s="22"/>
    </row>
    <row r="1675">
      <c r="A1675" s="23" t="s">
        <v>12095</v>
      </c>
      <c r="B1675" s="58" t="s">
        <v>12096</v>
      </c>
      <c r="C1675" s="41">
        <v>45411.0</v>
      </c>
      <c r="D1675" s="40" t="s">
        <v>12097</v>
      </c>
      <c r="E1675" s="41" t="s">
        <v>12098</v>
      </c>
      <c r="F1675" s="43" t="s">
        <v>12099</v>
      </c>
      <c r="G1675" s="43" t="s">
        <v>12100</v>
      </c>
      <c r="H1675" s="49" t="s">
        <v>34</v>
      </c>
      <c r="I1675" s="25" t="str">
        <f>IFERROR(__xludf.DUMMYFUNCTION("GOOGLETRANSLATE(H1675,""EN"",""ES"")"),"Responsabilidad Social Corporativa")</f>
        <v>Responsabilidad Social Corporativa</v>
      </c>
      <c r="J1675" s="26" t="s">
        <v>27</v>
      </c>
      <c r="K1675" s="17">
        <v>0.0</v>
      </c>
      <c r="L1675" s="54"/>
      <c r="M1675" s="31"/>
      <c r="N1675" s="66"/>
      <c r="O1675" s="66"/>
      <c r="P1675" s="20">
        <v>0.0</v>
      </c>
      <c r="Q1675" s="31"/>
      <c r="R1675" s="31"/>
      <c r="S1675" s="53"/>
      <c r="T1675" s="32"/>
    </row>
    <row r="1676">
      <c r="A1676" s="33" t="s">
        <v>12101</v>
      </c>
      <c r="B1676" s="60" t="s">
        <v>85</v>
      </c>
      <c r="C1676" s="41">
        <v>45411.0</v>
      </c>
      <c r="D1676" s="40" t="s">
        <v>12102</v>
      </c>
      <c r="E1676" s="41" t="s">
        <v>12103</v>
      </c>
      <c r="F1676" s="43" t="s">
        <v>12104</v>
      </c>
      <c r="G1676" s="43" t="s">
        <v>12105</v>
      </c>
      <c r="H1676" s="51" t="s">
        <v>130</v>
      </c>
      <c r="I1676" s="15" t="str">
        <f>IFERROR(__xludf.DUMMYFUNCTION("GOOGLETRANSLATE(H1676,""EN"",""ES"")"),"Sostenibilidad")</f>
        <v>Sostenibilidad</v>
      </c>
      <c r="J1676" s="16" t="s">
        <v>35</v>
      </c>
      <c r="K1676" s="48">
        <v>0.0</v>
      </c>
      <c r="L1676" s="45"/>
      <c r="M1676" s="18"/>
      <c r="N1676" s="65" t="s">
        <v>12106</v>
      </c>
      <c r="O1676" s="65" t="str">
        <f>IFERROR(__xludf.DUMMYFUNCTION("GOOGLETRANSLATE(N1676,""EN"",""ES"")"),"La evolución general de la tecnología del hidrógeno no impacta directamente en el negocio de Repsol.")</f>
        <v>La evolución general de la tecnología del hidrógeno no impacta directamente en el negocio de Repsol.</v>
      </c>
      <c r="P1676" s="30">
        <v>0.0</v>
      </c>
      <c r="Q1676" s="18"/>
      <c r="R1676" s="18"/>
      <c r="S1676" s="52" t="s">
        <v>11665</v>
      </c>
      <c r="T1676" s="22" t="s">
        <v>11666</v>
      </c>
    </row>
    <row r="1677">
      <c r="A1677" s="23" t="s">
        <v>12107</v>
      </c>
      <c r="B1677" s="58" t="s">
        <v>2384</v>
      </c>
      <c r="C1677" s="41">
        <v>45411.0</v>
      </c>
      <c r="D1677" s="40" t="s">
        <v>12108</v>
      </c>
      <c r="E1677" s="41" t="s">
        <v>12109</v>
      </c>
      <c r="F1677" s="43" t="s">
        <v>12110</v>
      </c>
      <c r="G1677" s="43" t="s">
        <v>12111</v>
      </c>
      <c r="H1677" s="49" t="s">
        <v>782</v>
      </c>
      <c r="I1677" s="25" t="str">
        <f>IFERROR(__xludf.DUMMYFUNCTION("GOOGLETRANSLATE(H1677,""EN"",""ES"")"),"Tecnología")</f>
        <v>Tecnología</v>
      </c>
      <c r="J1677" s="26" t="s">
        <v>27</v>
      </c>
      <c r="K1677" s="17">
        <v>0.0</v>
      </c>
      <c r="L1677" s="54"/>
      <c r="M1677" s="31"/>
      <c r="N1677" s="66"/>
      <c r="O1677" s="66"/>
      <c r="P1677" s="20">
        <v>0.0</v>
      </c>
      <c r="Q1677" s="31"/>
      <c r="R1677" s="31"/>
      <c r="S1677" s="53"/>
      <c r="T1677" s="32"/>
    </row>
    <row r="1678">
      <c r="A1678" s="33" t="s">
        <v>12112</v>
      </c>
      <c r="B1678" s="60" t="s">
        <v>499</v>
      </c>
      <c r="C1678" s="41">
        <v>45411.0</v>
      </c>
      <c r="D1678" s="40" t="s">
        <v>12113</v>
      </c>
      <c r="E1678" s="41" t="s">
        <v>12114</v>
      </c>
      <c r="F1678" s="43" t="s">
        <v>12115</v>
      </c>
      <c r="G1678" s="43" t="s">
        <v>12116</v>
      </c>
      <c r="H1678" s="51" t="s">
        <v>62</v>
      </c>
      <c r="I1678" s="15" t="str">
        <f>IFERROR(__xludf.DUMMYFUNCTION("GOOGLETRANSLATE(H1678,""EN"",""ES"")"),"Energía")</f>
        <v>Energía</v>
      </c>
      <c r="J1678" s="16" t="s">
        <v>35</v>
      </c>
      <c r="K1678" s="48">
        <v>0.0</v>
      </c>
      <c r="L1678" s="45"/>
      <c r="M1678" s="18"/>
      <c r="N1678" s="65" t="s">
        <v>12117</v>
      </c>
      <c r="O1678" s="65" t="str">
        <f>IFERROR(__xludf.DUMMYFUNCTION("GOOGLETRANSLATE(N1678,""EN"",""ES"")"),"Los cambios en la industria energética extranjera no impactan directamente a Repsol.")</f>
        <v>Los cambios en la industria energética extranjera no impactan directamente a Repsol.</v>
      </c>
      <c r="P1678" s="30">
        <v>0.0</v>
      </c>
      <c r="Q1678" s="18"/>
      <c r="R1678" s="18"/>
      <c r="S1678" s="52" t="s">
        <v>11665</v>
      </c>
      <c r="T1678" s="22" t="s">
        <v>11666</v>
      </c>
    </row>
    <row r="1679">
      <c r="A1679" s="23" t="s">
        <v>12118</v>
      </c>
      <c r="B1679" s="58" t="s">
        <v>1005</v>
      </c>
      <c r="C1679" s="41">
        <v>45411.0</v>
      </c>
      <c r="D1679" s="40" t="s">
        <v>12119</v>
      </c>
      <c r="E1679" s="41" t="s">
        <v>12120</v>
      </c>
      <c r="F1679" s="43" t="s">
        <v>12121</v>
      </c>
      <c r="G1679" s="43" t="s">
        <v>12122</v>
      </c>
      <c r="H1679" s="49" t="s">
        <v>148</v>
      </c>
      <c r="I1679" s="25" t="str">
        <f>IFERROR(__xludf.DUMMYFUNCTION("GOOGLETRANSLATE(H1679,""EN"",""ES"")"),"Gastronomía")</f>
        <v>Gastronomía</v>
      </c>
      <c r="J1679" s="26" t="s">
        <v>27</v>
      </c>
      <c r="K1679" s="17">
        <v>0.0</v>
      </c>
      <c r="L1679" s="54"/>
      <c r="M1679" s="31"/>
      <c r="N1679" s="66"/>
      <c r="O1679" s="66"/>
      <c r="P1679" s="20">
        <v>0.0</v>
      </c>
      <c r="Q1679" s="31"/>
      <c r="R1679" s="31"/>
      <c r="S1679" s="53"/>
      <c r="T1679" s="32"/>
    </row>
    <row r="1680">
      <c r="A1680" s="33" t="s">
        <v>12123</v>
      </c>
      <c r="B1680" s="60" t="s">
        <v>12124</v>
      </c>
      <c r="C1680" s="41">
        <v>45411.0</v>
      </c>
      <c r="D1680" s="40" t="s">
        <v>12125</v>
      </c>
      <c r="E1680" s="41" t="s">
        <v>12126</v>
      </c>
      <c r="F1680" s="43" t="s">
        <v>12127</v>
      </c>
      <c r="G1680" s="43" t="s">
        <v>12128</v>
      </c>
      <c r="H1680" s="51" t="s">
        <v>130</v>
      </c>
      <c r="I1680" s="15" t="str">
        <f>IFERROR(__xludf.DUMMYFUNCTION("GOOGLETRANSLATE(H1680,""EN"",""ES"")"),"Sostenibilidad")</f>
        <v>Sostenibilidad</v>
      </c>
      <c r="J1680" s="16" t="s">
        <v>35</v>
      </c>
      <c r="K1680" s="48">
        <v>0.7</v>
      </c>
      <c r="L1680" s="51" t="s">
        <v>12129</v>
      </c>
      <c r="M1680" s="34" t="s">
        <v>12130</v>
      </c>
      <c r="N1680" s="65" t="s">
        <v>12131</v>
      </c>
      <c r="O1680" s="65" t="str">
        <f>IFERROR(__xludf.DUMMYFUNCTION("GOOGLETRANSLATE(N1680,""EN"",""ES"")"),"La reducción de emisiones se alinea con los objetivos de sostenibilidad de Repsol.")</f>
        <v>La reducción de emisiones se alinea con los objetivos de sostenibilidad de Repsol.</v>
      </c>
      <c r="P1680" s="30">
        <v>0.0</v>
      </c>
      <c r="Q1680" s="18"/>
      <c r="R1680" s="18"/>
      <c r="S1680" s="52" t="s">
        <v>11665</v>
      </c>
      <c r="T1680" s="22" t="s">
        <v>11666</v>
      </c>
    </row>
    <row r="1681">
      <c r="A1681" s="23" t="s">
        <v>12132</v>
      </c>
      <c r="B1681" s="58" t="s">
        <v>12133</v>
      </c>
      <c r="C1681" s="41">
        <v>45411.0</v>
      </c>
      <c r="D1681" s="40" t="s">
        <v>12134</v>
      </c>
      <c r="E1681" s="41" t="s">
        <v>12135</v>
      </c>
      <c r="F1681" s="43" t="s">
        <v>12136</v>
      </c>
      <c r="G1681" s="43" t="s">
        <v>12137</v>
      </c>
      <c r="H1681" s="49" t="s">
        <v>62</v>
      </c>
      <c r="I1681" s="25" t="str">
        <f>IFERROR(__xludf.DUMMYFUNCTION("GOOGLETRANSLATE(H1681,""EN"",""ES"")"),"Energía")</f>
        <v>Energía</v>
      </c>
      <c r="J1681" s="26" t="s">
        <v>35</v>
      </c>
      <c r="K1681" s="48">
        <v>0.0</v>
      </c>
      <c r="L1681" s="54"/>
      <c r="M1681" s="31"/>
      <c r="N1681" s="66" t="s">
        <v>12138</v>
      </c>
      <c r="O1681" s="66" t="str">
        <f>IFERROR(__xludf.DUMMYFUNCTION("GOOGLETRANSLATE(N1681,""EN"",""ES"")"),"Los desafíos operativos de otras compañías no impactan en la percepción corporativa de Repsol.")</f>
        <v>Los desafíos operativos de otras compañías no impactan en la percepción corporativa de Repsol.</v>
      </c>
      <c r="P1681" s="30">
        <v>0.0</v>
      </c>
      <c r="Q1681" s="31"/>
      <c r="R1681" s="31"/>
      <c r="S1681" s="53" t="s">
        <v>12139</v>
      </c>
      <c r="T1681" s="32" t="s">
        <v>12140</v>
      </c>
    </row>
    <row r="1682">
      <c r="A1682" s="33" t="s">
        <v>12141</v>
      </c>
      <c r="B1682" s="60" t="s">
        <v>9516</v>
      </c>
      <c r="C1682" s="41">
        <v>45412.0</v>
      </c>
      <c r="D1682" s="40" t="s">
        <v>12142</v>
      </c>
      <c r="E1682" s="41" t="s">
        <v>12143</v>
      </c>
      <c r="F1682" s="43" t="s">
        <v>12144</v>
      </c>
      <c r="G1682" s="43" t="s">
        <v>12145</v>
      </c>
      <c r="H1682" s="51" t="s">
        <v>661</v>
      </c>
      <c r="I1682" s="15" t="str">
        <f>IFERROR(__xludf.DUMMYFUNCTION("GOOGLETRANSLATE(H1682,""EN"",""ES"")"),"Estrategia empresarial")</f>
        <v>Estrategia empresarial</v>
      </c>
      <c r="J1682" s="16" t="s">
        <v>35</v>
      </c>
      <c r="K1682" s="48">
        <v>0.6</v>
      </c>
      <c r="L1682" s="51" t="s">
        <v>11490</v>
      </c>
      <c r="M1682" s="34" t="s">
        <v>11491</v>
      </c>
      <c r="N1682" s="65" t="s">
        <v>12146</v>
      </c>
      <c r="O1682" s="65" t="str">
        <f>IFERROR(__xludf.DUMMYFUNCTION("GOOGLETRANSLATE(N1682,""EN"",""ES"")"),"La ampliación de las alianzas minoristas fortalece el modelo de negocio de Repsol.")</f>
        <v>La ampliación de las alianzas minoristas fortalece el modelo de negocio de Repsol.</v>
      </c>
      <c r="P1682" s="30">
        <v>0.4</v>
      </c>
      <c r="Q1682" s="18" t="str">
        <f>IFERROR(__xludf.DUMMYFUNCTION("GOOGLETRANSLATE(R1682,""ES"",""EN"")"),"new premises")</f>
        <v>new premises</v>
      </c>
      <c r="R1682" s="34" t="s">
        <v>12147</v>
      </c>
      <c r="S1682" s="52" t="s">
        <v>11616</v>
      </c>
      <c r="T1682" s="22" t="s">
        <v>11617</v>
      </c>
    </row>
    <row r="1683">
      <c r="A1683" s="23" t="s">
        <v>12148</v>
      </c>
      <c r="B1683" s="58" t="s">
        <v>1072</v>
      </c>
      <c r="C1683" s="41">
        <v>45412.0</v>
      </c>
      <c r="D1683" s="40" t="s">
        <v>12149</v>
      </c>
      <c r="E1683" s="41" t="s">
        <v>12150</v>
      </c>
      <c r="F1683" s="43" t="s">
        <v>12151</v>
      </c>
      <c r="G1683" s="43" t="s">
        <v>12152</v>
      </c>
      <c r="H1683" s="49" t="s">
        <v>408</v>
      </c>
      <c r="I1683" s="25" t="str">
        <f>IFERROR(__xludf.DUMMYFUNCTION("GOOGLETRANSLATE(H1683,""EN"",""ES"")"),"Legal")</f>
        <v>Legal</v>
      </c>
      <c r="J1683" s="26" t="s">
        <v>35</v>
      </c>
      <c r="K1683" s="48">
        <v>0.5</v>
      </c>
      <c r="L1683" s="49" t="s">
        <v>12153</v>
      </c>
      <c r="M1683" s="28" t="s">
        <v>12154</v>
      </c>
      <c r="N1683" s="66" t="s">
        <v>12155</v>
      </c>
      <c r="O1683" s="66" t="str">
        <f>IFERROR(__xludf.DUMMYFUNCTION("GOOGLETRANSLATE(N1683,""EN"",""ES"")"),"El apoyo de los auditores externos refuerza la defensa de Repsol ante las acusaciones de greenwashing.")</f>
        <v>El apoyo de los auditores externos refuerza la defensa de Repsol ante las acusaciones de greenwashing.</v>
      </c>
      <c r="P1683" s="30">
        <v>0.3</v>
      </c>
      <c r="Q1683" s="31" t="str">
        <f>IFERROR(__xludf.DUMMYFUNCTION("GOOGLETRANSLATE(R1683,""ES"",""EN"")"),"defend")</f>
        <v>defend</v>
      </c>
      <c r="R1683" s="28" t="s">
        <v>12156</v>
      </c>
      <c r="S1683" s="53" t="s">
        <v>12157</v>
      </c>
      <c r="T1683" s="32" t="s">
        <v>12158</v>
      </c>
    </row>
    <row r="1684">
      <c r="A1684" s="33" t="s">
        <v>12159</v>
      </c>
      <c r="B1684" s="60" t="s">
        <v>1577</v>
      </c>
      <c r="C1684" s="41">
        <v>45412.0</v>
      </c>
      <c r="D1684" s="40" t="s">
        <v>12160</v>
      </c>
      <c r="E1684" s="41" t="s">
        <v>12161</v>
      </c>
      <c r="F1684" s="43" t="s">
        <v>12162</v>
      </c>
      <c r="G1684" s="43" t="s">
        <v>12163</v>
      </c>
      <c r="H1684" s="51" t="s">
        <v>148</v>
      </c>
      <c r="I1684" s="15" t="str">
        <f>IFERROR(__xludf.DUMMYFUNCTION("GOOGLETRANSLATE(H1684,""EN"",""ES"")"),"Gastronomía")</f>
        <v>Gastronomía</v>
      </c>
      <c r="J1684" s="16" t="s">
        <v>27</v>
      </c>
      <c r="K1684" s="17">
        <v>0.0</v>
      </c>
      <c r="L1684" s="45"/>
      <c r="M1684" s="18"/>
      <c r="N1684" s="65"/>
      <c r="O1684" s="65"/>
      <c r="P1684" s="20">
        <v>0.0</v>
      </c>
      <c r="Q1684" s="18"/>
      <c r="R1684" s="18"/>
      <c r="S1684" s="52"/>
      <c r="T1684" s="22"/>
    </row>
    <row r="1685">
      <c r="A1685" s="23" t="s">
        <v>12164</v>
      </c>
      <c r="B1685" s="58" t="s">
        <v>21</v>
      </c>
      <c r="C1685" s="41">
        <v>45412.0</v>
      </c>
      <c r="D1685" s="40" t="s">
        <v>12165</v>
      </c>
      <c r="E1685" s="41" t="s">
        <v>12166</v>
      </c>
      <c r="F1685" s="43" t="s">
        <v>12167</v>
      </c>
      <c r="G1685" s="43" t="s">
        <v>12168</v>
      </c>
      <c r="H1685" s="49" t="s">
        <v>148</v>
      </c>
      <c r="I1685" s="25" t="str">
        <f>IFERROR(__xludf.DUMMYFUNCTION("GOOGLETRANSLATE(H1685,""EN"",""ES"")"),"Gastronomía")</f>
        <v>Gastronomía</v>
      </c>
      <c r="J1685" s="26" t="s">
        <v>27</v>
      </c>
      <c r="K1685" s="17">
        <v>0.0</v>
      </c>
      <c r="L1685" s="54"/>
      <c r="M1685" s="31"/>
      <c r="N1685" s="66"/>
      <c r="O1685" s="66"/>
      <c r="P1685" s="20">
        <v>0.0</v>
      </c>
      <c r="Q1685" s="31"/>
      <c r="R1685" s="31"/>
      <c r="S1685" s="53"/>
      <c r="T1685" s="32"/>
    </row>
    <row r="1686">
      <c r="A1686" s="33" t="s">
        <v>12169</v>
      </c>
      <c r="B1686" s="60" t="s">
        <v>2230</v>
      </c>
      <c r="C1686" s="41">
        <v>45412.0</v>
      </c>
      <c r="D1686" s="40" t="s">
        <v>12170</v>
      </c>
      <c r="E1686" s="41" t="s">
        <v>12171</v>
      </c>
      <c r="F1686" s="43" t="s">
        <v>12172</v>
      </c>
      <c r="G1686" s="43" t="s">
        <v>12173</v>
      </c>
      <c r="H1686" s="51" t="s">
        <v>48</v>
      </c>
      <c r="I1686" s="15" t="str">
        <f>IFERROR(__xludf.DUMMYFUNCTION("GOOGLETRANSLATE(H1686,""EN"",""ES"")"),"Finanzas")</f>
        <v>Finanzas</v>
      </c>
      <c r="J1686" s="16" t="s">
        <v>35</v>
      </c>
      <c r="K1686" s="48">
        <v>0.6</v>
      </c>
      <c r="L1686" s="51" t="s">
        <v>12174</v>
      </c>
      <c r="M1686" s="34" t="s">
        <v>12175</v>
      </c>
      <c r="N1686" s="65" t="s">
        <v>12176</v>
      </c>
      <c r="O1686" s="65" t="str">
        <f>IFERROR(__xludf.DUMMYFUNCTION("GOOGLETRANSLATE(N1686,""EN"",""ES"")"),"Las positivas perspectivas de inversión refuerzan la situación financiera de Repsol.")</f>
        <v>Las positivas perspectivas de inversión refuerzan la situación financiera de Repsol.</v>
      </c>
      <c r="P1686" s="30">
        <v>0.4</v>
      </c>
      <c r="Q1686" s="18" t="str">
        <f>IFERROR(__xludf.DUMMYFUNCTION("GOOGLETRANSLATE(R1686,""ES"",""EN"")"),"reduce debt")</f>
        <v>reduce debt</v>
      </c>
      <c r="R1686" s="34" t="s">
        <v>12177</v>
      </c>
      <c r="S1686" s="52" t="s">
        <v>12178</v>
      </c>
      <c r="T1686" s="22" t="s">
        <v>12179</v>
      </c>
    </row>
    <row r="1687">
      <c r="A1687" s="23" t="s">
        <v>12180</v>
      </c>
      <c r="B1687" s="58" t="s">
        <v>5289</v>
      </c>
      <c r="C1687" s="41">
        <v>45412.0</v>
      </c>
      <c r="D1687" s="40" t="s">
        <v>12181</v>
      </c>
      <c r="E1687" s="41" t="s">
        <v>12182</v>
      </c>
      <c r="F1687" s="43" t="s">
        <v>12183</v>
      </c>
      <c r="G1687" s="43" t="s">
        <v>12184</v>
      </c>
      <c r="H1687" s="49" t="s">
        <v>130</v>
      </c>
      <c r="I1687" s="25" t="str">
        <f>IFERROR(__xludf.DUMMYFUNCTION("GOOGLETRANSLATE(H1687,""EN"",""ES"")"),"Sostenibilidad")</f>
        <v>Sostenibilidad</v>
      </c>
      <c r="J1687" s="26" t="s">
        <v>35</v>
      </c>
      <c r="K1687" s="48">
        <v>0.7</v>
      </c>
      <c r="L1687" s="49" t="s">
        <v>12185</v>
      </c>
      <c r="M1687" s="28" t="s">
        <v>12186</v>
      </c>
      <c r="N1687" s="66" t="s">
        <v>12187</v>
      </c>
      <c r="O1687" s="66" t="str">
        <f>IFERROR(__xludf.DUMMYFUNCTION("GOOGLETRANSLATE(N1687,""EN"",""ES"")"),"Apoyar las iniciativas de transición energética se alinea con la estrategia verde de Repsol.")</f>
        <v>Apoyar las iniciativas de transición energética se alinea con la estrategia verde de Repsol.</v>
      </c>
      <c r="P1687" s="30">
        <v>0.0</v>
      </c>
      <c r="Q1687" s="31"/>
      <c r="R1687" s="31"/>
      <c r="S1687" s="53" t="s">
        <v>11665</v>
      </c>
      <c r="T1687" s="32" t="s">
        <v>11666</v>
      </c>
    </row>
    <row r="1688">
      <c r="A1688" s="33" t="s">
        <v>12188</v>
      </c>
      <c r="B1688" s="60" t="s">
        <v>103</v>
      </c>
      <c r="C1688" s="41">
        <v>45412.0</v>
      </c>
      <c r="D1688" s="40" t="s">
        <v>12189</v>
      </c>
      <c r="E1688" s="41" t="s">
        <v>12190</v>
      </c>
      <c r="F1688" s="43" t="s">
        <v>12191</v>
      </c>
      <c r="G1688" s="43" t="s">
        <v>12192</v>
      </c>
      <c r="H1688" s="51" t="s">
        <v>48</v>
      </c>
      <c r="I1688" s="15" t="str">
        <f>IFERROR(__xludf.DUMMYFUNCTION("GOOGLETRANSLATE(H1688,""EN"",""ES"")"),"Finanzas")</f>
        <v>Finanzas</v>
      </c>
      <c r="J1688" s="16" t="s">
        <v>35</v>
      </c>
      <c r="K1688" s="48">
        <v>0.0</v>
      </c>
      <c r="L1688" s="45"/>
      <c r="M1688" s="18"/>
      <c r="N1688" s="65" t="s">
        <v>12193</v>
      </c>
      <c r="O1688" s="65" t="str">
        <f>IFERROR(__xludf.DUMMYFUNCTION("GOOGLETRANSLATE(N1688,""EN"",""ES"")"),"La financiación general de la innovación no impacta en el negocio de Repsol.")</f>
        <v>La financiación general de la innovación no impacta en el negocio de Repsol.</v>
      </c>
      <c r="P1688" s="30">
        <v>0.0</v>
      </c>
      <c r="Q1688" s="18"/>
      <c r="R1688" s="18"/>
      <c r="S1688" s="52" t="s">
        <v>11665</v>
      </c>
      <c r="T1688" s="22" t="s">
        <v>11666</v>
      </c>
    </row>
    <row r="1689">
      <c r="A1689" s="23" t="s">
        <v>12194</v>
      </c>
      <c r="B1689" s="58" t="s">
        <v>5971</v>
      </c>
      <c r="C1689" s="41">
        <v>45412.0</v>
      </c>
      <c r="D1689" s="40" t="s">
        <v>12195</v>
      </c>
      <c r="E1689" s="41" t="s">
        <v>12196</v>
      </c>
      <c r="F1689" s="43" t="s">
        <v>12197</v>
      </c>
      <c r="G1689" s="43" t="s">
        <v>12198</v>
      </c>
      <c r="H1689" s="49" t="s">
        <v>148</v>
      </c>
      <c r="I1689" s="25" t="str">
        <f>IFERROR(__xludf.DUMMYFUNCTION("GOOGLETRANSLATE(H1689,""EN"",""ES"")"),"Gastronomía")</f>
        <v>Gastronomía</v>
      </c>
      <c r="J1689" s="26" t="s">
        <v>27</v>
      </c>
      <c r="K1689" s="17">
        <v>0.0</v>
      </c>
      <c r="L1689" s="54"/>
      <c r="M1689" s="31"/>
      <c r="N1689" s="66"/>
      <c r="O1689" s="66"/>
      <c r="P1689" s="20">
        <v>0.0</v>
      </c>
      <c r="Q1689" s="31"/>
      <c r="R1689" s="31"/>
      <c r="S1689" s="53"/>
      <c r="T1689" s="32"/>
    </row>
    <row r="1690">
      <c r="A1690" s="33" t="s">
        <v>12199</v>
      </c>
      <c r="B1690" s="60" t="s">
        <v>21</v>
      </c>
      <c r="C1690" s="41">
        <v>45412.0</v>
      </c>
      <c r="D1690" s="40" t="s">
        <v>12200</v>
      </c>
      <c r="E1690" s="41" t="s">
        <v>12201</v>
      </c>
      <c r="F1690" s="43" t="s">
        <v>12202</v>
      </c>
      <c r="G1690" s="43" t="s">
        <v>12203</v>
      </c>
      <c r="H1690" s="51" t="s">
        <v>969</v>
      </c>
      <c r="I1690" s="15" t="str">
        <f>IFERROR(__xludf.DUMMYFUNCTION("GOOGLETRANSLATE(H1690,""EN"",""ES"")"),"Turismo")</f>
        <v>Turismo</v>
      </c>
      <c r="J1690" s="16" t="s">
        <v>27</v>
      </c>
      <c r="K1690" s="17">
        <v>0.0</v>
      </c>
      <c r="L1690" s="45"/>
      <c r="M1690" s="18"/>
      <c r="N1690" s="65"/>
      <c r="O1690" s="65"/>
      <c r="P1690" s="20">
        <v>0.0</v>
      </c>
      <c r="Q1690" s="18"/>
      <c r="R1690" s="18"/>
      <c r="S1690" s="52"/>
      <c r="T1690" s="22"/>
    </row>
    <row r="1691">
      <c r="A1691" s="23" t="s">
        <v>12204</v>
      </c>
      <c r="B1691" s="58" t="s">
        <v>12205</v>
      </c>
      <c r="C1691" s="41">
        <v>45412.0</v>
      </c>
      <c r="D1691" s="40" t="s">
        <v>12206</v>
      </c>
      <c r="E1691" s="41" t="s">
        <v>12207</v>
      </c>
      <c r="F1691" s="43" t="s">
        <v>12208</v>
      </c>
      <c r="G1691" s="43" t="s">
        <v>12209</v>
      </c>
      <c r="H1691" s="49" t="s">
        <v>130</v>
      </c>
      <c r="I1691" s="25" t="str">
        <f>IFERROR(__xludf.DUMMYFUNCTION("GOOGLETRANSLATE(H1691,""EN"",""ES"")"),"Sostenibilidad")</f>
        <v>Sostenibilidad</v>
      </c>
      <c r="J1691" s="26" t="s">
        <v>27</v>
      </c>
      <c r="K1691" s="17">
        <v>0.0</v>
      </c>
      <c r="L1691" s="54"/>
      <c r="M1691" s="31"/>
      <c r="N1691" s="66"/>
      <c r="O1691" s="66"/>
      <c r="P1691" s="20">
        <v>0.0</v>
      </c>
      <c r="Q1691" s="31"/>
      <c r="R1691" s="31"/>
      <c r="S1691" s="53"/>
      <c r="T1691" s="32"/>
    </row>
    <row r="1692">
      <c r="A1692" s="33" t="s">
        <v>12210</v>
      </c>
      <c r="B1692" s="60" t="s">
        <v>12211</v>
      </c>
      <c r="C1692" s="41">
        <v>45413.0</v>
      </c>
      <c r="D1692" s="40" t="s">
        <v>12212</v>
      </c>
      <c r="E1692" s="41" t="s">
        <v>12213</v>
      </c>
      <c r="F1692" s="43" t="s">
        <v>12214</v>
      </c>
      <c r="G1692" s="43" t="s">
        <v>12215</v>
      </c>
      <c r="H1692" s="51" t="s">
        <v>130</v>
      </c>
      <c r="I1692" s="15" t="str">
        <f>IFERROR(__xludf.DUMMYFUNCTION("GOOGLETRANSLATE(H1692,""EN"",""ES"")"),"Sostenibilidad")</f>
        <v>Sostenibilidad</v>
      </c>
      <c r="J1692" s="16" t="s">
        <v>35</v>
      </c>
      <c r="K1692" s="48">
        <v>0.8</v>
      </c>
      <c r="L1692" s="51" t="s">
        <v>12216</v>
      </c>
      <c r="M1692" s="34" t="s">
        <v>12217</v>
      </c>
      <c r="N1692" s="65" t="s">
        <v>12218</v>
      </c>
      <c r="O1692" s="65" t="str">
        <f>IFERROR(__xludf.DUMMYFUNCTION("GOOGLETRANSLATE(N1692,""EN"",""ES"")"),"La ampliación de las estaciones de servicio de energías renovables refuerza la transición energética limpia de Repsol.")</f>
        <v>La ampliación de las estaciones de servicio de energías renovables refuerza la transición energética limpia de Repsol.</v>
      </c>
      <c r="P1692" s="30">
        <v>0.6</v>
      </c>
      <c r="Q1692" s="18" t="str">
        <f>IFERROR(__xludf.DUMMYFUNCTION("GOOGLETRANSLATE(R1692,""ES"",""EN"")"),"renewable fuel")</f>
        <v>renewable fuel</v>
      </c>
      <c r="R1692" s="34" t="s">
        <v>10542</v>
      </c>
      <c r="S1692" s="52" t="s">
        <v>11791</v>
      </c>
      <c r="T1692" s="22" t="s">
        <v>11792</v>
      </c>
    </row>
    <row r="1693">
      <c r="A1693" s="23" t="s">
        <v>12219</v>
      </c>
      <c r="B1693" s="58" t="s">
        <v>85</v>
      </c>
      <c r="C1693" s="41">
        <v>45413.0</v>
      </c>
      <c r="D1693" s="40" t="s">
        <v>12220</v>
      </c>
      <c r="E1693" s="41" t="s">
        <v>12221</v>
      </c>
      <c r="F1693" s="43" t="s">
        <v>12222</v>
      </c>
      <c r="G1693" s="43" t="s">
        <v>12223</v>
      </c>
      <c r="H1693" s="49" t="s">
        <v>34</v>
      </c>
      <c r="I1693" s="25" t="str">
        <f>IFERROR(__xludf.DUMMYFUNCTION("GOOGLETRANSLATE(H1693,""EN"",""ES"")"),"Responsabilidad Social Corporativa")</f>
        <v>Responsabilidad Social Corporativa</v>
      </c>
      <c r="J1693" s="26" t="s">
        <v>35</v>
      </c>
      <c r="K1693" s="48">
        <v>0.6</v>
      </c>
      <c r="L1693" s="49" t="s">
        <v>12224</v>
      </c>
      <c r="M1693" s="28" t="s">
        <v>12225</v>
      </c>
      <c r="N1693" s="66" t="s">
        <v>12226</v>
      </c>
      <c r="O1693" s="66" t="str">
        <f>IFERROR(__xludf.DUMMYFUNCTION("GOOGLETRANSLATE(N1693,""EN"",""ES"")"),"Destacar las oportunidades profesionales potencia la marca empleadora de Repsol.")</f>
        <v>Destacar las oportunidades profesionales potencia la marca empleadora de Repsol.</v>
      </c>
      <c r="P1693" s="30">
        <v>0.3</v>
      </c>
      <c r="Q1693" s="31" t="str">
        <f>IFERROR(__xludf.DUMMYFUNCTION("GOOGLETRANSLATE(R1693,""ES"",""EN"")"),"signed")</f>
        <v>signed</v>
      </c>
      <c r="R1693" s="28" t="s">
        <v>12227</v>
      </c>
      <c r="S1693" s="53" t="s">
        <v>12228</v>
      </c>
      <c r="T1693" s="32" t="s">
        <v>12229</v>
      </c>
    </row>
    <row r="1694">
      <c r="A1694" s="33" t="s">
        <v>12230</v>
      </c>
      <c r="B1694" s="60" t="s">
        <v>1831</v>
      </c>
      <c r="C1694" s="41">
        <v>45413.0</v>
      </c>
      <c r="D1694" s="40" t="s">
        <v>12231</v>
      </c>
      <c r="E1694" s="41" t="s">
        <v>12232</v>
      </c>
      <c r="F1694" s="43" t="s">
        <v>12233</v>
      </c>
      <c r="G1694" s="43" t="s">
        <v>12234</v>
      </c>
      <c r="H1694" s="51" t="s">
        <v>62</v>
      </c>
      <c r="I1694" s="15" t="str">
        <f>IFERROR(__xludf.DUMMYFUNCTION("GOOGLETRANSLATE(H1694,""EN"",""ES"")"),"Energía")</f>
        <v>Energía</v>
      </c>
      <c r="J1694" s="16" t="s">
        <v>35</v>
      </c>
      <c r="K1694" s="48">
        <v>0.0</v>
      </c>
      <c r="L1694" s="45"/>
      <c r="M1694" s="18"/>
      <c r="N1694" s="65" t="s">
        <v>12235</v>
      </c>
      <c r="O1694" s="65" t="str">
        <f>IFERROR(__xludf.DUMMYFUNCTION("GOOGLETRANSLATE(N1694,""EN"",""ES"")"),"Las comparaciones generales de combustibles no impactan en la percepción corporativa de Repsol.")</f>
        <v>Las comparaciones generales de combustibles no impactan en la percepción corporativa de Repsol.</v>
      </c>
      <c r="P1694" s="30">
        <v>0.5</v>
      </c>
      <c r="Q1694" s="18" t="str">
        <f>IFERROR(__xludf.DUMMYFUNCTION("GOOGLETRANSLATE(R1694,""ES"",""EN"")"),"renewable fuels")</f>
        <v>renewable fuels</v>
      </c>
      <c r="R1694" s="34" t="s">
        <v>584</v>
      </c>
      <c r="S1694" s="52" t="s">
        <v>11791</v>
      </c>
      <c r="T1694" s="22" t="s">
        <v>11792</v>
      </c>
    </row>
    <row r="1695">
      <c r="A1695" s="23" t="s">
        <v>12236</v>
      </c>
      <c r="B1695" s="58" t="s">
        <v>12237</v>
      </c>
      <c r="C1695" s="41">
        <v>45413.0</v>
      </c>
      <c r="D1695" s="40" t="s">
        <v>12238</v>
      </c>
      <c r="E1695" s="41" t="s">
        <v>12239</v>
      </c>
      <c r="F1695" s="43" t="s">
        <v>12240</v>
      </c>
      <c r="G1695" s="43" t="s">
        <v>12241</v>
      </c>
      <c r="H1695" s="49" t="s">
        <v>130</v>
      </c>
      <c r="I1695" s="25" t="str">
        <f>IFERROR(__xludf.DUMMYFUNCTION("GOOGLETRANSLATE(H1695,""EN"",""ES"")"),"Sostenibilidad")</f>
        <v>Sostenibilidad</v>
      </c>
      <c r="J1695" s="26" t="s">
        <v>27</v>
      </c>
      <c r="K1695" s="17">
        <v>0.0</v>
      </c>
      <c r="L1695" s="54"/>
      <c r="M1695" s="31"/>
      <c r="N1695" s="66"/>
      <c r="O1695" s="66"/>
      <c r="P1695" s="20">
        <v>0.0</v>
      </c>
      <c r="Q1695" s="31"/>
      <c r="R1695" s="31"/>
      <c r="S1695" s="53"/>
      <c r="T1695" s="32"/>
    </row>
    <row r="1696">
      <c r="A1696" s="33" t="s">
        <v>12242</v>
      </c>
      <c r="B1696" s="60" t="s">
        <v>91</v>
      </c>
      <c r="C1696" s="41">
        <v>45413.0</v>
      </c>
      <c r="D1696" s="40" t="s">
        <v>12243</v>
      </c>
      <c r="E1696" s="41" t="s">
        <v>12244</v>
      </c>
      <c r="F1696" s="43" t="s">
        <v>12245</v>
      </c>
      <c r="G1696" s="43" t="s">
        <v>12246</v>
      </c>
      <c r="H1696" s="51" t="s">
        <v>8777</v>
      </c>
      <c r="I1696" s="15" t="str">
        <f>IFERROR(__xludf.DUMMYFUNCTION("GOOGLETRANSLATE(H1696,""EN"",""ES"")"),"Cultura")</f>
        <v>Cultura</v>
      </c>
      <c r="J1696" s="16" t="s">
        <v>27</v>
      </c>
      <c r="K1696" s="17">
        <v>0.0</v>
      </c>
      <c r="L1696" s="45"/>
      <c r="M1696" s="18"/>
      <c r="N1696" s="65"/>
      <c r="O1696" s="65"/>
      <c r="P1696" s="20">
        <v>0.0</v>
      </c>
      <c r="Q1696" s="18"/>
      <c r="R1696" s="18"/>
      <c r="S1696" s="52"/>
      <c r="T1696" s="22"/>
    </row>
    <row r="1697">
      <c r="A1697" s="23" t="s">
        <v>12247</v>
      </c>
      <c r="B1697" s="58" t="s">
        <v>43</v>
      </c>
      <c r="C1697" s="41">
        <v>45413.0</v>
      </c>
      <c r="D1697" s="40" t="s">
        <v>12248</v>
      </c>
      <c r="E1697" s="41" t="s">
        <v>12249</v>
      </c>
      <c r="F1697" s="43" t="s">
        <v>12250</v>
      </c>
      <c r="G1697" s="43" t="s">
        <v>12251</v>
      </c>
      <c r="H1697" s="49" t="s">
        <v>10358</v>
      </c>
      <c r="I1697" s="25" t="str">
        <f>IFERROR(__xludf.DUMMYFUNCTION("GOOGLETRANSLATE(H1697,""EN"",""ES"")"),"Empleo")</f>
        <v>Empleo</v>
      </c>
      <c r="J1697" s="26" t="s">
        <v>27</v>
      </c>
      <c r="K1697" s="17">
        <v>0.0</v>
      </c>
      <c r="L1697" s="54"/>
      <c r="M1697" s="31"/>
      <c r="N1697" s="66"/>
      <c r="O1697" s="66"/>
      <c r="P1697" s="20">
        <v>0.0</v>
      </c>
      <c r="Q1697" s="31"/>
      <c r="R1697" s="31"/>
      <c r="S1697" s="53"/>
      <c r="T1697" s="32"/>
    </row>
    <row r="1698">
      <c r="A1698" s="33" t="s">
        <v>12252</v>
      </c>
      <c r="B1698" s="60" t="s">
        <v>12253</v>
      </c>
      <c r="C1698" s="41">
        <v>45414.0</v>
      </c>
      <c r="D1698" s="40" t="s">
        <v>12254</v>
      </c>
      <c r="E1698" s="41" t="s">
        <v>12255</v>
      </c>
      <c r="F1698" s="43" t="s">
        <v>12256</v>
      </c>
      <c r="G1698" s="43" t="s">
        <v>12257</v>
      </c>
      <c r="H1698" s="51" t="s">
        <v>34</v>
      </c>
      <c r="I1698" s="15" t="str">
        <f>IFERROR(__xludf.DUMMYFUNCTION("GOOGLETRANSLATE(H1698,""EN"",""ES"")"),"Responsabilidad Social Corporativa")</f>
        <v>Responsabilidad Social Corporativa</v>
      </c>
      <c r="J1698" s="16" t="s">
        <v>27</v>
      </c>
      <c r="K1698" s="17">
        <v>0.0</v>
      </c>
      <c r="L1698" s="45"/>
      <c r="M1698" s="18"/>
      <c r="N1698" s="65"/>
      <c r="O1698" s="65"/>
      <c r="P1698" s="20">
        <v>0.0</v>
      </c>
      <c r="Q1698" s="18"/>
      <c r="R1698" s="18"/>
      <c r="S1698" s="52"/>
      <c r="T1698" s="22"/>
    </row>
    <row r="1699">
      <c r="A1699" s="23" t="s">
        <v>12258</v>
      </c>
      <c r="B1699" s="58" t="s">
        <v>217</v>
      </c>
      <c r="C1699" s="41">
        <v>45414.0</v>
      </c>
      <c r="D1699" s="40" t="s">
        <v>12259</v>
      </c>
      <c r="E1699" s="41" t="s">
        <v>12260</v>
      </c>
      <c r="F1699" s="43" t="s">
        <v>12261</v>
      </c>
      <c r="G1699" s="43" t="s">
        <v>12262</v>
      </c>
      <c r="H1699" s="49" t="s">
        <v>130</v>
      </c>
      <c r="I1699" s="25" t="str">
        <f>IFERROR(__xludf.DUMMYFUNCTION("GOOGLETRANSLATE(H1699,""EN"",""ES"")"),"Sostenibilidad")</f>
        <v>Sostenibilidad</v>
      </c>
      <c r="J1699" s="26" t="s">
        <v>35</v>
      </c>
      <c r="K1699" s="48">
        <v>0.0</v>
      </c>
      <c r="L1699" s="54"/>
      <c r="M1699" s="31"/>
      <c r="N1699" s="66" t="s">
        <v>12263</v>
      </c>
      <c r="O1699" s="66" t="str">
        <f>IFERROR(__xludf.DUMMYFUNCTION("GOOGLETRANSLATE(N1699,""EN"",""ES"")"),"Las iniciativas de energías renovables de otras compañías no impactan en el negocio de Repsol.")</f>
        <v>Las iniciativas de energías renovables de otras compañías no impactan en el negocio de Repsol.</v>
      </c>
      <c r="P1699" s="30">
        <v>0.0</v>
      </c>
      <c r="Q1699" s="31"/>
      <c r="R1699" s="31"/>
      <c r="S1699" s="53" t="s">
        <v>12139</v>
      </c>
      <c r="T1699" s="32" t="s">
        <v>12140</v>
      </c>
    </row>
    <row r="1700">
      <c r="A1700" s="33" t="s">
        <v>12264</v>
      </c>
      <c r="B1700" s="60" t="s">
        <v>1072</v>
      </c>
      <c r="C1700" s="41">
        <v>45414.0</v>
      </c>
      <c r="D1700" s="40" t="s">
        <v>12265</v>
      </c>
      <c r="E1700" s="41" t="s">
        <v>12266</v>
      </c>
      <c r="F1700" s="43" t="s">
        <v>12267</v>
      </c>
      <c r="G1700" s="43" t="s">
        <v>12268</v>
      </c>
      <c r="H1700" s="51" t="s">
        <v>48</v>
      </c>
      <c r="I1700" s="15" t="str">
        <f>IFERROR(__xludf.DUMMYFUNCTION("GOOGLETRANSLATE(H1700,""EN"",""ES"")"),"Finanzas")</f>
        <v>Finanzas</v>
      </c>
      <c r="J1700" s="16" t="s">
        <v>35</v>
      </c>
      <c r="K1700" s="48">
        <v>-0.5</v>
      </c>
      <c r="L1700" s="51" t="s">
        <v>12269</v>
      </c>
      <c r="M1700" s="34" t="s">
        <v>12270</v>
      </c>
      <c r="N1700" s="65" t="s">
        <v>12271</v>
      </c>
      <c r="O1700" s="65" t="str">
        <f>IFERROR(__xludf.DUMMYFUNCTION("GOOGLETRANSLATE(N1700,""EN"",""ES"")"),"La caída de la rentabilidad de las acciones puede afectar ligeramente a la confianza de los inversores en Repsol.")</f>
        <v>La caída de la rentabilidad de las acciones puede afectar ligeramente a la confianza de los inversores en Repsol.</v>
      </c>
      <c r="P1700" s="30">
        <v>-0.3</v>
      </c>
      <c r="Q1700" s="18" t="str">
        <f>IFERROR(__xludf.DUMMYFUNCTION("GOOGLETRANSLATE(R1700,""ES"",""EN"")"),"ballasted (drag)")</f>
        <v>ballasted (drag)</v>
      </c>
      <c r="R1700" s="34" t="s">
        <v>12272</v>
      </c>
      <c r="S1700" s="52" t="s">
        <v>12273</v>
      </c>
      <c r="T1700" s="22" t="s">
        <v>12274</v>
      </c>
    </row>
    <row r="1701">
      <c r="A1701" s="23" t="s">
        <v>12275</v>
      </c>
      <c r="B1701" s="58" t="s">
        <v>2384</v>
      </c>
      <c r="C1701" s="41">
        <v>45414.0</v>
      </c>
      <c r="D1701" s="40" t="s">
        <v>12276</v>
      </c>
      <c r="E1701" s="41" t="s">
        <v>12277</v>
      </c>
      <c r="F1701" s="43" t="s">
        <v>12278</v>
      </c>
      <c r="G1701" s="43" t="s">
        <v>12279</v>
      </c>
      <c r="H1701" s="49" t="s">
        <v>408</v>
      </c>
      <c r="I1701" s="25" t="str">
        <f>IFERROR(__xludf.DUMMYFUNCTION("GOOGLETRANSLATE(H1701,""EN"",""ES"")"),"Legal")</f>
        <v>Legal</v>
      </c>
      <c r="J1701" s="26" t="s">
        <v>35</v>
      </c>
      <c r="K1701" s="48">
        <v>-0.6</v>
      </c>
      <c r="L1701" s="49" t="s">
        <v>12280</v>
      </c>
      <c r="M1701" s="28" t="s">
        <v>12281</v>
      </c>
      <c r="N1701" s="66" t="s">
        <v>12282</v>
      </c>
      <c r="O1701" s="66" t="str">
        <f>IFERROR(__xludf.DUMMYFUNCTION("GOOGLETRANSLATE(N1701,""EN"",""ES"")"),"Un mayor escrutinio sobre el lavado verde puede afectar la reputación de sustentabilidad de Repsol.")</f>
        <v>Un mayor escrutinio sobre el lavado verde puede afectar la reputación de sustentabilidad de Repsol.</v>
      </c>
      <c r="P1701" s="30">
        <v>-0.5</v>
      </c>
      <c r="Q1701" s="31" t="str">
        <f>IFERROR(__xludf.DUMMYFUNCTION("GOOGLETRANSLATE(R1701,""ES"",""EN"")"),"greenwashing (reputational risk)")</f>
        <v>greenwashing (reputational risk)</v>
      </c>
      <c r="R1701" s="28" t="s">
        <v>12283</v>
      </c>
      <c r="S1701" s="53" t="s">
        <v>12284</v>
      </c>
      <c r="T1701" s="32" t="s">
        <v>12285</v>
      </c>
    </row>
    <row r="1702">
      <c r="A1702" s="33" t="s">
        <v>12286</v>
      </c>
      <c r="B1702" s="60" t="s">
        <v>163</v>
      </c>
      <c r="C1702" s="41">
        <v>45414.0</v>
      </c>
      <c r="D1702" s="40" t="s">
        <v>12287</v>
      </c>
      <c r="E1702" s="41" t="s">
        <v>12288</v>
      </c>
      <c r="F1702" s="43" t="s">
        <v>12289</v>
      </c>
      <c r="G1702" s="43" t="s">
        <v>12290</v>
      </c>
      <c r="H1702" s="51" t="s">
        <v>55</v>
      </c>
      <c r="I1702" s="15" t="str">
        <f>IFERROR(__xludf.DUMMYFUNCTION("GOOGLETRANSLATE(H1702,""EN"",""ES"")"),"deportes de motor")</f>
        <v>deportes de motor</v>
      </c>
      <c r="J1702" s="16" t="s">
        <v>27</v>
      </c>
      <c r="K1702" s="17">
        <v>0.0</v>
      </c>
      <c r="L1702" s="45"/>
      <c r="M1702" s="18"/>
      <c r="N1702" s="65"/>
      <c r="O1702" s="65"/>
      <c r="P1702" s="20">
        <v>0.0</v>
      </c>
      <c r="Q1702" s="18"/>
      <c r="R1702" s="18"/>
      <c r="S1702" s="52"/>
      <c r="T1702" s="22"/>
    </row>
    <row r="1703">
      <c r="A1703" s="23" t="s">
        <v>12291</v>
      </c>
      <c r="B1703" s="58" t="s">
        <v>3045</v>
      </c>
      <c r="C1703" s="41">
        <v>45414.0</v>
      </c>
      <c r="D1703" s="40" t="s">
        <v>12292</v>
      </c>
      <c r="E1703" s="41" t="s">
        <v>12293</v>
      </c>
      <c r="F1703" s="43" t="s">
        <v>12294</v>
      </c>
      <c r="G1703" s="43" t="s">
        <v>12295</v>
      </c>
      <c r="H1703" s="49" t="s">
        <v>148</v>
      </c>
      <c r="I1703" s="25" t="str">
        <f>IFERROR(__xludf.DUMMYFUNCTION("GOOGLETRANSLATE(H1703,""EN"",""ES"")"),"Gastronomía")</f>
        <v>Gastronomía</v>
      </c>
      <c r="J1703" s="26" t="s">
        <v>27</v>
      </c>
      <c r="K1703" s="17">
        <v>0.0</v>
      </c>
      <c r="L1703" s="54"/>
      <c r="M1703" s="31"/>
      <c r="N1703" s="66"/>
      <c r="O1703" s="66"/>
      <c r="P1703" s="20">
        <v>0.0</v>
      </c>
      <c r="Q1703" s="31"/>
      <c r="R1703" s="31"/>
      <c r="S1703" s="53"/>
      <c r="T1703" s="32"/>
    </row>
    <row r="1704">
      <c r="A1704" s="33" t="s">
        <v>12296</v>
      </c>
      <c r="B1704" s="60" t="s">
        <v>1281</v>
      </c>
      <c r="C1704" s="41">
        <v>45414.0</v>
      </c>
      <c r="D1704" s="40" t="s">
        <v>12297</v>
      </c>
      <c r="E1704" s="41" t="s">
        <v>12298</v>
      </c>
      <c r="F1704" s="43" t="s">
        <v>12299</v>
      </c>
      <c r="G1704" s="43" t="s">
        <v>12300</v>
      </c>
      <c r="H1704" s="51" t="s">
        <v>408</v>
      </c>
      <c r="I1704" s="15" t="str">
        <f>IFERROR(__xludf.DUMMYFUNCTION("GOOGLETRANSLATE(H1704,""EN"",""ES"")"),"Legal")</f>
        <v>Legal</v>
      </c>
      <c r="J1704" s="16" t="s">
        <v>35</v>
      </c>
      <c r="K1704" s="48">
        <v>-0.7</v>
      </c>
      <c r="L1704" s="51" t="s">
        <v>12301</v>
      </c>
      <c r="M1704" s="34" t="s">
        <v>12302</v>
      </c>
      <c r="N1704" s="65" t="s">
        <v>12303</v>
      </c>
      <c r="O1704" s="65" t="str">
        <f>IFERROR(__xludf.DUMMYFUNCTION("GOOGLETRANSLATE(N1704,""EN"",""ES"")"),"Los escándalos políticos vinculados a Repsol podrían impactar negativamente en su imagen pública.")</f>
        <v>Los escándalos políticos vinculados a Repsol podrían impactar negativamente en su imagen pública.</v>
      </c>
      <c r="P1704" s="30">
        <v>-0.4</v>
      </c>
      <c r="Q1704" s="18" t="str">
        <f>IFERROR(__xludf.DUMMYFUNCTION("GOOGLETRANSLATE(R1704,""ES"",""EN"")"),"favored (political bias)")</f>
        <v>favored (political bias)</v>
      </c>
      <c r="R1704" s="34" t="s">
        <v>12304</v>
      </c>
      <c r="S1704" s="52" t="s">
        <v>12305</v>
      </c>
      <c r="T1704" s="22" t="s">
        <v>12306</v>
      </c>
    </row>
    <row r="1705">
      <c r="A1705" s="23" t="s">
        <v>12307</v>
      </c>
      <c r="B1705" s="58" t="s">
        <v>2175</v>
      </c>
      <c r="C1705" s="41">
        <v>45414.0</v>
      </c>
      <c r="D1705" s="40" t="s">
        <v>12308</v>
      </c>
      <c r="E1705" s="41" t="s">
        <v>12309</v>
      </c>
      <c r="F1705" s="43" t="s">
        <v>12310</v>
      </c>
      <c r="G1705" s="43" t="s">
        <v>12311</v>
      </c>
      <c r="H1705" s="49" t="s">
        <v>48</v>
      </c>
      <c r="I1705" s="25" t="str">
        <f>IFERROR(__xludf.DUMMYFUNCTION("GOOGLETRANSLATE(H1705,""EN"",""ES"")"),"Finanzas")</f>
        <v>Finanzas</v>
      </c>
      <c r="J1705" s="26" t="s">
        <v>27</v>
      </c>
      <c r="K1705" s="17">
        <v>0.0</v>
      </c>
      <c r="L1705" s="54"/>
      <c r="M1705" s="31"/>
      <c r="N1705" s="66"/>
      <c r="O1705" s="66"/>
      <c r="P1705" s="20">
        <v>0.0</v>
      </c>
      <c r="Q1705" s="31"/>
      <c r="R1705" s="31"/>
      <c r="S1705" s="53"/>
      <c r="T1705" s="32"/>
    </row>
    <row r="1706">
      <c r="A1706" s="33" t="s">
        <v>12312</v>
      </c>
      <c r="B1706" s="60" t="s">
        <v>4673</v>
      </c>
      <c r="C1706" s="41">
        <v>45414.0</v>
      </c>
      <c r="D1706" s="40" t="s">
        <v>12313</v>
      </c>
      <c r="E1706" s="41" t="s">
        <v>12314</v>
      </c>
      <c r="F1706" s="43" t="s">
        <v>12315</v>
      </c>
      <c r="G1706" s="43" t="s">
        <v>12316</v>
      </c>
      <c r="H1706" s="51" t="s">
        <v>3985</v>
      </c>
      <c r="I1706" s="15" t="str">
        <f>IFERROR(__xludf.DUMMYFUNCTION("GOOGLETRANSLATE(H1706,""EN"",""ES"")"),"Deportes")</f>
        <v>Deportes</v>
      </c>
      <c r="J1706" s="16" t="s">
        <v>27</v>
      </c>
      <c r="K1706" s="17">
        <v>0.0</v>
      </c>
      <c r="L1706" s="45"/>
      <c r="M1706" s="18"/>
      <c r="N1706" s="65"/>
      <c r="O1706" s="65"/>
      <c r="P1706" s="20">
        <v>0.0</v>
      </c>
      <c r="Q1706" s="18"/>
      <c r="R1706" s="18"/>
      <c r="S1706" s="52"/>
      <c r="T1706" s="22"/>
    </row>
    <row r="1707">
      <c r="A1707" s="23" t="s">
        <v>12317</v>
      </c>
      <c r="B1707" s="58" t="s">
        <v>881</v>
      </c>
      <c r="C1707" s="41">
        <v>45414.0</v>
      </c>
      <c r="D1707" s="40" t="s">
        <v>12318</v>
      </c>
      <c r="E1707" s="41" t="s">
        <v>12319</v>
      </c>
      <c r="F1707" s="43" t="s">
        <v>12320</v>
      </c>
      <c r="G1707" s="43" t="s">
        <v>12321</v>
      </c>
      <c r="H1707" s="49" t="s">
        <v>148</v>
      </c>
      <c r="I1707" s="25" t="str">
        <f>IFERROR(__xludf.DUMMYFUNCTION("GOOGLETRANSLATE(H1707,""EN"",""ES"")"),"Gastronomía")</f>
        <v>Gastronomía</v>
      </c>
      <c r="J1707" s="26" t="s">
        <v>27</v>
      </c>
      <c r="K1707" s="17">
        <v>0.0</v>
      </c>
      <c r="L1707" s="54"/>
      <c r="M1707" s="31"/>
      <c r="N1707" s="66"/>
      <c r="O1707" s="66"/>
      <c r="P1707" s="20">
        <v>0.0</v>
      </c>
      <c r="Q1707" s="31"/>
      <c r="R1707" s="31"/>
      <c r="S1707" s="53"/>
      <c r="T1707" s="32"/>
    </row>
    <row r="1708">
      <c r="A1708" s="33" t="s">
        <v>12322</v>
      </c>
      <c r="B1708" s="60" t="s">
        <v>614</v>
      </c>
      <c r="C1708" s="41">
        <v>45415.0</v>
      </c>
      <c r="D1708" s="40" t="s">
        <v>12323</v>
      </c>
      <c r="E1708" s="41" t="s">
        <v>12324</v>
      </c>
      <c r="F1708" s="43" t="s">
        <v>12325</v>
      </c>
      <c r="G1708" s="43" t="s">
        <v>12326</v>
      </c>
      <c r="H1708" s="51" t="s">
        <v>130</v>
      </c>
      <c r="I1708" s="15" t="str">
        <f>IFERROR(__xludf.DUMMYFUNCTION("GOOGLETRANSLATE(H1708,""EN"",""ES"")"),"Sostenibilidad")</f>
        <v>Sostenibilidad</v>
      </c>
      <c r="J1708" s="16" t="s">
        <v>27</v>
      </c>
      <c r="K1708" s="17">
        <v>0.0</v>
      </c>
      <c r="L1708" s="45"/>
      <c r="M1708" s="18"/>
      <c r="N1708" s="65"/>
      <c r="O1708" s="65"/>
      <c r="P1708" s="20">
        <v>0.0</v>
      </c>
      <c r="Q1708" s="18"/>
      <c r="R1708" s="18"/>
      <c r="S1708" s="52"/>
      <c r="T1708" s="22"/>
    </row>
    <row r="1709">
      <c r="A1709" s="23" t="s">
        <v>12327</v>
      </c>
      <c r="B1709" s="58" t="s">
        <v>12328</v>
      </c>
      <c r="C1709" s="41">
        <v>45415.0</v>
      </c>
      <c r="D1709" s="40" t="s">
        <v>12329</v>
      </c>
      <c r="E1709" s="41" t="s">
        <v>12330</v>
      </c>
      <c r="F1709" s="43" t="s">
        <v>12331</v>
      </c>
      <c r="G1709" s="43" t="s">
        <v>12332</v>
      </c>
      <c r="H1709" s="49" t="s">
        <v>55</v>
      </c>
      <c r="I1709" s="25" t="str">
        <f>IFERROR(__xludf.DUMMYFUNCTION("GOOGLETRANSLATE(H1709,""EN"",""ES"")"),"deportes de motor")</f>
        <v>deportes de motor</v>
      </c>
      <c r="J1709" s="26" t="s">
        <v>27</v>
      </c>
      <c r="K1709" s="17">
        <v>0.0</v>
      </c>
      <c r="L1709" s="54"/>
      <c r="M1709" s="31"/>
      <c r="N1709" s="66"/>
      <c r="O1709" s="66"/>
      <c r="P1709" s="20">
        <v>0.0</v>
      </c>
      <c r="Q1709" s="31"/>
      <c r="R1709" s="31"/>
      <c r="S1709" s="53"/>
      <c r="T1709" s="32"/>
    </row>
    <row r="1710">
      <c r="A1710" s="33" t="s">
        <v>12333</v>
      </c>
      <c r="B1710" s="60" t="s">
        <v>977</v>
      </c>
      <c r="C1710" s="41">
        <v>45415.0</v>
      </c>
      <c r="D1710" s="40" t="s">
        <v>12334</v>
      </c>
      <c r="E1710" s="41" t="s">
        <v>12335</v>
      </c>
      <c r="F1710" s="43" t="s">
        <v>12336</v>
      </c>
      <c r="G1710" s="43" t="s">
        <v>12337</v>
      </c>
      <c r="H1710" s="51" t="s">
        <v>148</v>
      </c>
      <c r="I1710" s="15" t="str">
        <f>IFERROR(__xludf.DUMMYFUNCTION("GOOGLETRANSLATE(H1710,""EN"",""ES"")"),"Gastronomía")</f>
        <v>Gastronomía</v>
      </c>
      <c r="J1710" s="16" t="s">
        <v>27</v>
      </c>
      <c r="K1710" s="17">
        <v>0.0</v>
      </c>
      <c r="L1710" s="45"/>
      <c r="M1710" s="18"/>
      <c r="N1710" s="65"/>
      <c r="O1710" s="65"/>
      <c r="P1710" s="20">
        <v>0.0</v>
      </c>
      <c r="Q1710" s="18"/>
      <c r="R1710" s="18"/>
      <c r="S1710" s="52"/>
      <c r="T1710" s="22"/>
    </row>
    <row r="1711">
      <c r="A1711" s="23" t="s">
        <v>12338</v>
      </c>
      <c r="B1711" s="58" t="s">
        <v>85</v>
      </c>
      <c r="C1711" s="41">
        <v>45415.0</v>
      </c>
      <c r="D1711" s="40" t="s">
        <v>12339</v>
      </c>
      <c r="E1711" s="41" t="s">
        <v>12340</v>
      </c>
      <c r="F1711" s="43" t="s">
        <v>12341</v>
      </c>
      <c r="G1711" s="43" t="s">
        <v>12342</v>
      </c>
      <c r="H1711" s="49" t="s">
        <v>148</v>
      </c>
      <c r="I1711" s="25" t="str">
        <f>IFERROR(__xludf.DUMMYFUNCTION("GOOGLETRANSLATE(H1711,""EN"",""ES"")"),"Gastronomía")</f>
        <v>Gastronomía</v>
      </c>
      <c r="J1711" s="26" t="s">
        <v>27</v>
      </c>
      <c r="K1711" s="17">
        <v>0.0</v>
      </c>
      <c r="L1711" s="54"/>
      <c r="M1711" s="31"/>
      <c r="N1711" s="66"/>
      <c r="O1711" s="66"/>
      <c r="P1711" s="20">
        <v>0.0</v>
      </c>
      <c r="Q1711" s="31"/>
      <c r="R1711" s="31"/>
      <c r="S1711" s="53"/>
      <c r="T1711" s="32"/>
    </row>
    <row r="1712">
      <c r="A1712" s="33" t="s">
        <v>12343</v>
      </c>
      <c r="B1712" s="60" t="s">
        <v>12344</v>
      </c>
      <c r="C1712" s="41">
        <v>45415.0</v>
      </c>
      <c r="D1712" s="40" t="s">
        <v>12345</v>
      </c>
      <c r="E1712" s="41" t="s">
        <v>12346</v>
      </c>
      <c r="F1712" s="43" t="s">
        <v>12347</v>
      </c>
      <c r="G1712" s="43" t="s">
        <v>12348</v>
      </c>
      <c r="H1712" s="51" t="s">
        <v>5878</v>
      </c>
      <c r="I1712" s="15" t="str">
        <f>IFERROR(__xludf.DUMMYFUNCTION("GOOGLETRANSLATE(H1712,""EN"",""ES"")"),"Entretenimiento")</f>
        <v>Entretenimiento</v>
      </c>
      <c r="J1712" s="16" t="s">
        <v>27</v>
      </c>
      <c r="K1712" s="17">
        <v>0.0</v>
      </c>
      <c r="L1712" s="45"/>
      <c r="M1712" s="18"/>
      <c r="N1712" s="65"/>
      <c r="O1712" s="65"/>
      <c r="P1712" s="20">
        <v>0.0</v>
      </c>
      <c r="Q1712" s="18"/>
      <c r="R1712" s="18"/>
      <c r="S1712" s="52"/>
      <c r="T1712" s="22"/>
    </row>
    <row r="1713">
      <c r="A1713" s="23" t="s">
        <v>12349</v>
      </c>
      <c r="B1713" s="58" t="s">
        <v>614</v>
      </c>
      <c r="C1713" s="41">
        <v>45415.0</v>
      </c>
      <c r="D1713" s="40" t="s">
        <v>12350</v>
      </c>
      <c r="E1713" s="41" t="s">
        <v>12351</v>
      </c>
      <c r="F1713" s="43" t="s">
        <v>12352</v>
      </c>
      <c r="G1713" s="43" t="s">
        <v>12353</v>
      </c>
      <c r="H1713" s="49" t="s">
        <v>62</v>
      </c>
      <c r="I1713" s="25" t="str">
        <f>IFERROR(__xludf.DUMMYFUNCTION("GOOGLETRANSLATE(H1713,""EN"",""ES"")"),"Energía")</f>
        <v>Energía</v>
      </c>
      <c r="J1713" s="26" t="s">
        <v>27</v>
      </c>
      <c r="K1713" s="17">
        <v>0.0</v>
      </c>
      <c r="L1713" s="54"/>
      <c r="M1713" s="31"/>
      <c r="N1713" s="66"/>
      <c r="O1713" s="66"/>
      <c r="P1713" s="20">
        <v>0.0</v>
      </c>
      <c r="Q1713" s="31"/>
      <c r="R1713" s="31"/>
      <c r="S1713" s="53"/>
      <c r="T1713" s="32"/>
    </row>
    <row r="1714">
      <c r="A1714" s="33" t="s">
        <v>12354</v>
      </c>
      <c r="B1714" s="60" t="s">
        <v>260</v>
      </c>
      <c r="C1714" s="41">
        <v>45415.0</v>
      </c>
      <c r="D1714" s="40" t="s">
        <v>12355</v>
      </c>
      <c r="E1714" s="41" t="s">
        <v>12356</v>
      </c>
      <c r="F1714" s="43" t="s">
        <v>12357</v>
      </c>
      <c r="G1714" s="43" t="s">
        <v>12358</v>
      </c>
      <c r="H1714" s="51" t="s">
        <v>3871</v>
      </c>
      <c r="I1714" s="15" t="str">
        <f>IFERROR(__xludf.DUMMYFUNCTION("GOOGLETRANSLATE(H1714,""EN"",""ES"")"),"Educación")</f>
        <v>Educación</v>
      </c>
      <c r="J1714" s="16" t="s">
        <v>27</v>
      </c>
      <c r="K1714" s="17">
        <v>0.0</v>
      </c>
      <c r="L1714" s="45"/>
      <c r="M1714" s="18"/>
      <c r="N1714" s="65"/>
      <c r="O1714" s="65"/>
      <c r="P1714" s="20">
        <v>0.0</v>
      </c>
      <c r="Q1714" s="18"/>
      <c r="R1714" s="18"/>
      <c r="S1714" s="52"/>
      <c r="T1714" s="22"/>
    </row>
    <row r="1715">
      <c r="A1715" s="23" t="s">
        <v>12359</v>
      </c>
      <c r="B1715" s="58" t="s">
        <v>448</v>
      </c>
      <c r="C1715" s="41">
        <v>45415.0</v>
      </c>
      <c r="D1715" s="40" t="s">
        <v>12360</v>
      </c>
      <c r="E1715" s="41" t="s">
        <v>12361</v>
      </c>
      <c r="F1715" s="43" t="s">
        <v>12362</v>
      </c>
      <c r="G1715" s="43" t="s">
        <v>12363</v>
      </c>
      <c r="H1715" s="49" t="s">
        <v>10358</v>
      </c>
      <c r="I1715" s="25" t="str">
        <f>IFERROR(__xludf.DUMMYFUNCTION("GOOGLETRANSLATE(H1715,""EN"",""ES"")"),"Empleo")</f>
        <v>Empleo</v>
      </c>
      <c r="J1715" s="26" t="s">
        <v>27</v>
      </c>
      <c r="K1715" s="17">
        <v>0.0</v>
      </c>
      <c r="L1715" s="54"/>
      <c r="M1715" s="31"/>
      <c r="N1715" s="66"/>
      <c r="O1715" s="66"/>
      <c r="P1715" s="20">
        <v>0.0</v>
      </c>
      <c r="Q1715" s="31"/>
      <c r="R1715" s="31"/>
      <c r="S1715" s="53"/>
      <c r="T1715" s="32"/>
    </row>
    <row r="1716">
      <c r="A1716" s="33" t="s">
        <v>12364</v>
      </c>
      <c r="B1716" s="60" t="s">
        <v>513</v>
      </c>
      <c r="C1716" s="41">
        <v>45415.0</v>
      </c>
      <c r="D1716" s="40" t="s">
        <v>12365</v>
      </c>
      <c r="E1716" s="41" t="s">
        <v>12366</v>
      </c>
      <c r="F1716" s="43" t="s">
        <v>12367</v>
      </c>
      <c r="G1716" s="43" t="s">
        <v>12368</v>
      </c>
      <c r="H1716" s="51" t="s">
        <v>55</v>
      </c>
      <c r="I1716" s="15" t="str">
        <f>IFERROR(__xludf.DUMMYFUNCTION("GOOGLETRANSLATE(H1716,""EN"",""ES"")"),"deportes de motor")</f>
        <v>deportes de motor</v>
      </c>
      <c r="J1716" s="16" t="s">
        <v>27</v>
      </c>
      <c r="K1716" s="17">
        <v>0.0</v>
      </c>
      <c r="L1716" s="45"/>
      <c r="M1716" s="18"/>
      <c r="N1716" s="65"/>
      <c r="O1716" s="65"/>
      <c r="P1716" s="20">
        <v>0.0</v>
      </c>
      <c r="Q1716" s="18"/>
      <c r="R1716" s="18"/>
      <c r="S1716" s="52"/>
      <c r="T1716" s="22"/>
    </row>
    <row r="1717">
      <c r="A1717" s="23" t="s">
        <v>12369</v>
      </c>
      <c r="B1717" s="58" t="s">
        <v>12370</v>
      </c>
      <c r="C1717" s="41">
        <v>45415.0</v>
      </c>
      <c r="D1717" s="40" t="s">
        <v>12371</v>
      </c>
      <c r="E1717" s="41" t="s">
        <v>12346</v>
      </c>
      <c r="F1717" s="43" t="s">
        <v>12372</v>
      </c>
      <c r="G1717" s="43" t="s">
        <v>12348</v>
      </c>
      <c r="H1717" s="49" t="s">
        <v>5878</v>
      </c>
      <c r="I1717" s="25" t="str">
        <f>IFERROR(__xludf.DUMMYFUNCTION("GOOGLETRANSLATE(H1717,""EN"",""ES"")"),"Entretenimiento")</f>
        <v>Entretenimiento</v>
      </c>
      <c r="J1717" s="26" t="s">
        <v>27</v>
      </c>
      <c r="K1717" s="17">
        <v>0.0</v>
      </c>
      <c r="L1717" s="54"/>
      <c r="M1717" s="31"/>
      <c r="N1717" s="66"/>
      <c r="O1717" s="66"/>
      <c r="P1717" s="20">
        <v>0.0</v>
      </c>
      <c r="Q1717" s="31"/>
      <c r="R1717" s="31"/>
      <c r="S1717" s="53"/>
      <c r="T1717" s="32"/>
    </row>
    <row r="1718">
      <c r="A1718" s="33" t="s">
        <v>12373</v>
      </c>
      <c r="B1718" s="60" t="s">
        <v>1577</v>
      </c>
      <c r="C1718" s="41">
        <v>45416.0</v>
      </c>
      <c r="D1718" s="40" t="s">
        <v>12374</v>
      </c>
      <c r="E1718" s="41" t="s">
        <v>12375</v>
      </c>
      <c r="F1718" s="43" t="s">
        <v>12376</v>
      </c>
      <c r="G1718" s="43" t="s">
        <v>12377</v>
      </c>
      <c r="H1718" s="51" t="s">
        <v>130</v>
      </c>
      <c r="I1718" s="15" t="str">
        <f>IFERROR(__xludf.DUMMYFUNCTION("GOOGLETRANSLATE(H1718,""EN"",""ES"")"),"Sostenibilidad")</f>
        <v>Sostenibilidad</v>
      </c>
      <c r="J1718" s="16" t="s">
        <v>35</v>
      </c>
      <c r="K1718" s="48">
        <v>0.6</v>
      </c>
      <c r="L1718" s="51" t="s">
        <v>12378</v>
      </c>
      <c r="M1718" s="34" t="s">
        <v>12379</v>
      </c>
      <c r="N1718" s="65" t="s">
        <v>12380</v>
      </c>
      <c r="O1718" s="65" t="str">
        <f>IFERROR(__xludf.DUMMYFUNCTION("GOOGLETRANSLATE(N1718,""EN"",""ES"")"),"El cumplimiento de la normativa medioambiental refuerza la responsabilidad corporativa de Repsol.")</f>
        <v>El cumplimiento de la normativa medioambiental refuerza la responsabilidad corporativa de Repsol.</v>
      </c>
      <c r="P1718" s="30">
        <v>0.3</v>
      </c>
      <c r="Q1718" s="18" t="str">
        <f>IFERROR(__xludf.DUMMYFUNCTION("GOOGLETRANSLATE(R1718,""ES"",""EN"")"),"environmental permit (compliance)")</f>
        <v>environmental permit (compliance)</v>
      </c>
      <c r="R1718" s="34" t="s">
        <v>12381</v>
      </c>
      <c r="S1718" s="52" t="s">
        <v>12382</v>
      </c>
      <c r="T1718" s="22" t="s">
        <v>12383</v>
      </c>
    </row>
    <row r="1719">
      <c r="A1719" s="23" t="s">
        <v>12384</v>
      </c>
      <c r="B1719" s="58" t="s">
        <v>431</v>
      </c>
      <c r="C1719" s="41">
        <v>45416.0</v>
      </c>
      <c r="D1719" s="40" t="s">
        <v>12385</v>
      </c>
      <c r="E1719" s="41" t="s">
        <v>12386</v>
      </c>
      <c r="F1719" s="43" t="s">
        <v>12387</v>
      </c>
      <c r="G1719" s="43" t="s">
        <v>12388</v>
      </c>
      <c r="H1719" s="49" t="s">
        <v>148</v>
      </c>
      <c r="I1719" s="25" t="str">
        <f>IFERROR(__xludf.DUMMYFUNCTION("GOOGLETRANSLATE(H1719,""EN"",""ES"")"),"Gastronomía")</f>
        <v>Gastronomía</v>
      </c>
      <c r="J1719" s="26" t="s">
        <v>27</v>
      </c>
      <c r="K1719" s="17">
        <v>0.0</v>
      </c>
      <c r="L1719" s="54"/>
      <c r="M1719" s="31"/>
      <c r="N1719" s="66"/>
      <c r="O1719" s="66"/>
      <c r="P1719" s="20">
        <v>0.0</v>
      </c>
      <c r="Q1719" s="31"/>
      <c r="R1719" s="31"/>
      <c r="S1719" s="53"/>
      <c r="T1719" s="32"/>
    </row>
    <row r="1720">
      <c r="A1720" s="33" t="s">
        <v>12389</v>
      </c>
      <c r="B1720" s="60" t="s">
        <v>163</v>
      </c>
      <c r="C1720" s="41">
        <v>45416.0</v>
      </c>
      <c r="D1720" s="40" t="s">
        <v>12390</v>
      </c>
      <c r="E1720" s="41" t="s">
        <v>12391</v>
      </c>
      <c r="F1720" s="43" t="s">
        <v>12392</v>
      </c>
      <c r="G1720" s="43" t="s">
        <v>12393</v>
      </c>
      <c r="H1720" s="51" t="s">
        <v>55</v>
      </c>
      <c r="I1720" s="15" t="str">
        <f>IFERROR(__xludf.DUMMYFUNCTION("GOOGLETRANSLATE(H1720,""EN"",""ES"")"),"deportes de motor")</f>
        <v>deportes de motor</v>
      </c>
      <c r="J1720" s="16" t="s">
        <v>35</v>
      </c>
      <c r="K1720" s="48">
        <v>0.6</v>
      </c>
      <c r="L1720" s="51" t="s">
        <v>12394</v>
      </c>
      <c r="M1720" s="34" t="s">
        <v>12395</v>
      </c>
      <c r="N1720" s="65" t="s">
        <v>12396</v>
      </c>
      <c r="O1720" s="65" t="str">
        <f>IFERROR(__xludf.DUMMYFUNCTION("GOOGLETRANSLATE(N1720,""EN"",""ES"")"),"Las buenas actuaciones en MotoGP refuerzan el patrocinio de Repsol en el deporte del motor.")</f>
        <v>Las buenas actuaciones en MotoGP refuerzan el patrocinio de Repsol en el deporte del motor.</v>
      </c>
      <c r="P1720" s="30">
        <v>0.7</v>
      </c>
      <c r="Q1720" s="18" t="str">
        <f>IFERROR(__xludf.DUMMYFUNCTION("GOOGLETRANSLATE(R1720,""ES"",""EN"")"),"doublet (success)")</f>
        <v>doublet (success)</v>
      </c>
      <c r="R1720" s="34" t="s">
        <v>12397</v>
      </c>
      <c r="S1720" s="52" t="s">
        <v>12398</v>
      </c>
      <c r="T1720" s="22" t="s">
        <v>12399</v>
      </c>
    </row>
    <row r="1721">
      <c r="A1721" s="23" t="s">
        <v>12400</v>
      </c>
      <c r="B1721" s="58" t="s">
        <v>85</v>
      </c>
      <c r="C1721" s="41">
        <v>45416.0</v>
      </c>
      <c r="D1721" s="40" t="s">
        <v>12401</v>
      </c>
      <c r="E1721" s="41" t="s">
        <v>12402</v>
      </c>
      <c r="F1721" s="43" t="s">
        <v>12403</v>
      </c>
      <c r="G1721" s="43" t="s">
        <v>12404</v>
      </c>
      <c r="H1721" s="49" t="s">
        <v>1975</v>
      </c>
      <c r="I1721" s="25" t="str">
        <f>IFERROR(__xludf.DUMMYFUNCTION("GOOGLETRANSLATE(H1721,""EN"",""ES"")"),"Política")</f>
        <v>Política</v>
      </c>
      <c r="J1721" s="26" t="s">
        <v>27</v>
      </c>
      <c r="K1721" s="17">
        <v>0.0</v>
      </c>
      <c r="L1721" s="54"/>
      <c r="M1721" s="31"/>
      <c r="N1721" s="66"/>
      <c r="O1721" s="66"/>
      <c r="P1721" s="20">
        <v>0.0</v>
      </c>
      <c r="Q1721" s="31"/>
      <c r="R1721" s="31"/>
      <c r="S1721" s="53"/>
      <c r="T1721" s="32"/>
    </row>
    <row r="1722">
      <c r="A1722" s="33" t="s">
        <v>12405</v>
      </c>
      <c r="B1722" s="60" t="s">
        <v>3606</v>
      </c>
      <c r="C1722" s="41">
        <v>45416.0</v>
      </c>
      <c r="D1722" s="40" t="s">
        <v>12406</v>
      </c>
      <c r="E1722" s="41" t="s">
        <v>12407</v>
      </c>
      <c r="F1722" s="43" t="s">
        <v>12408</v>
      </c>
      <c r="G1722" s="43" t="s">
        <v>12409</v>
      </c>
      <c r="H1722" s="51" t="s">
        <v>1975</v>
      </c>
      <c r="I1722" s="15" t="str">
        <f>IFERROR(__xludf.DUMMYFUNCTION("GOOGLETRANSLATE(H1722,""EN"",""ES"")"),"Política")</f>
        <v>Política</v>
      </c>
      <c r="J1722" s="16" t="s">
        <v>27</v>
      </c>
      <c r="K1722" s="17">
        <v>0.0</v>
      </c>
      <c r="L1722" s="45"/>
      <c r="M1722" s="18"/>
      <c r="N1722" s="65"/>
      <c r="O1722" s="65"/>
      <c r="P1722" s="20">
        <v>0.0</v>
      </c>
      <c r="Q1722" s="18"/>
      <c r="R1722" s="18"/>
      <c r="S1722" s="52"/>
      <c r="T1722" s="22"/>
    </row>
    <row r="1723">
      <c r="A1723" s="23" t="s">
        <v>12410</v>
      </c>
      <c r="B1723" s="58" t="s">
        <v>12007</v>
      </c>
      <c r="C1723" s="41">
        <v>45416.0</v>
      </c>
      <c r="D1723" s="40" t="s">
        <v>12411</v>
      </c>
      <c r="E1723" s="41" t="s">
        <v>12412</v>
      </c>
      <c r="F1723" s="43" t="s">
        <v>12413</v>
      </c>
      <c r="G1723" s="43" t="s">
        <v>12414</v>
      </c>
      <c r="H1723" s="49" t="s">
        <v>8339</v>
      </c>
      <c r="I1723" s="25" t="str">
        <f>IFERROR(__xludf.DUMMYFUNCTION("GOOGLETRANSLATE(H1723,""EN"",""ES"")"),"Incidente")</f>
        <v>Incidente</v>
      </c>
      <c r="J1723" s="26" t="s">
        <v>27</v>
      </c>
      <c r="K1723" s="17">
        <v>0.0</v>
      </c>
      <c r="L1723" s="54"/>
      <c r="M1723" s="31"/>
      <c r="N1723" s="66"/>
      <c r="O1723" s="66"/>
      <c r="P1723" s="20">
        <v>0.0</v>
      </c>
      <c r="Q1723" s="31"/>
      <c r="R1723" s="31"/>
      <c r="S1723" s="53"/>
      <c r="T1723" s="32"/>
    </row>
    <row r="1724">
      <c r="A1724" s="33" t="s">
        <v>12415</v>
      </c>
      <c r="B1724" s="60" t="s">
        <v>68</v>
      </c>
      <c r="C1724" s="41">
        <v>45416.0</v>
      </c>
      <c r="D1724" s="40" t="s">
        <v>12416</v>
      </c>
      <c r="E1724" s="41" t="s">
        <v>12417</v>
      </c>
      <c r="F1724" s="43" t="s">
        <v>12418</v>
      </c>
      <c r="G1724" s="43" t="s">
        <v>12419</v>
      </c>
      <c r="H1724" s="51" t="s">
        <v>55</v>
      </c>
      <c r="I1724" s="15" t="str">
        <f>IFERROR(__xludf.DUMMYFUNCTION("GOOGLETRANSLATE(H1724,""EN"",""ES"")"),"deportes de motor")</f>
        <v>deportes de motor</v>
      </c>
      <c r="J1724" s="16" t="s">
        <v>27</v>
      </c>
      <c r="K1724" s="17">
        <v>0.0</v>
      </c>
      <c r="L1724" s="45"/>
      <c r="M1724" s="18"/>
      <c r="N1724" s="65"/>
      <c r="O1724" s="65"/>
      <c r="P1724" s="20">
        <v>0.0</v>
      </c>
      <c r="Q1724" s="18"/>
      <c r="R1724" s="18"/>
      <c r="S1724" s="52"/>
      <c r="T1724" s="22"/>
    </row>
    <row r="1725">
      <c r="A1725" s="23" t="s">
        <v>12420</v>
      </c>
      <c r="B1725" s="58" t="s">
        <v>5959</v>
      </c>
      <c r="C1725" s="41">
        <v>45416.0</v>
      </c>
      <c r="D1725" s="40" t="s">
        <v>12421</v>
      </c>
      <c r="E1725" s="41" t="s">
        <v>12422</v>
      </c>
      <c r="F1725" s="43" t="s">
        <v>12423</v>
      </c>
      <c r="G1725" s="43" t="s">
        <v>12424</v>
      </c>
      <c r="H1725" s="49" t="s">
        <v>1975</v>
      </c>
      <c r="I1725" s="25" t="str">
        <f>IFERROR(__xludf.DUMMYFUNCTION("GOOGLETRANSLATE(H1725,""EN"",""ES"")"),"Política")</f>
        <v>Política</v>
      </c>
      <c r="J1725" s="26" t="s">
        <v>27</v>
      </c>
      <c r="K1725" s="17">
        <v>0.0</v>
      </c>
      <c r="L1725" s="54"/>
      <c r="M1725" s="31"/>
      <c r="N1725" s="66"/>
      <c r="O1725" s="66"/>
      <c r="P1725" s="20">
        <v>0.0</v>
      </c>
      <c r="Q1725" s="31"/>
      <c r="R1725" s="31"/>
      <c r="S1725" s="53"/>
      <c r="T1725" s="32"/>
    </row>
    <row r="1726">
      <c r="A1726" s="33" t="s">
        <v>12425</v>
      </c>
      <c r="B1726" s="60" t="s">
        <v>7295</v>
      </c>
      <c r="C1726" s="41">
        <v>45416.0</v>
      </c>
      <c r="D1726" s="40" t="s">
        <v>12426</v>
      </c>
      <c r="E1726" s="41" t="s">
        <v>12427</v>
      </c>
      <c r="F1726" s="43" t="s">
        <v>12428</v>
      </c>
      <c r="G1726" s="43" t="s">
        <v>12429</v>
      </c>
      <c r="H1726" s="73" t="s">
        <v>11677</v>
      </c>
      <c r="I1726" s="15" t="str">
        <f>IFERROR(__xludf.DUMMYFUNCTION("GOOGLETRANSLATE(H1726,""EN"",""ES"")"),"Obituario")</f>
        <v>Obituario</v>
      </c>
      <c r="J1726" s="16" t="s">
        <v>27</v>
      </c>
      <c r="K1726" s="17">
        <v>0.0</v>
      </c>
      <c r="L1726" s="72"/>
      <c r="M1726" s="18"/>
      <c r="N1726" s="65"/>
      <c r="O1726" s="65"/>
      <c r="P1726" s="20">
        <v>0.0</v>
      </c>
      <c r="Q1726" s="18"/>
      <c r="R1726" s="18"/>
      <c r="S1726" s="52"/>
      <c r="T1726" s="22"/>
    </row>
    <row r="1727">
      <c r="A1727" s="23" t="s">
        <v>12430</v>
      </c>
      <c r="B1727" s="58" t="s">
        <v>91</v>
      </c>
      <c r="C1727" s="41">
        <v>45416.0</v>
      </c>
      <c r="D1727" s="40" t="s">
        <v>12431</v>
      </c>
      <c r="E1727" s="41" t="s">
        <v>12432</v>
      </c>
      <c r="F1727" s="43" t="s">
        <v>12433</v>
      </c>
      <c r="G1727" s="43" t="s">
        <v>12434</v>
      </c>
      <c r="H1727" s="49" t="s">
        <v>8777</v>
      </c>
      <c r="I1727" s="25" t="str">
        <f>IFERROR(__xludf.DUMMYFUNCTION("GOOGLETRANSLATE(H1727,""EN"",""ES"")"),"Cultura")</f>
        <v>Cultura</v>
      </c>
      <c r="J1727" s="26" t="s">
        <v>27</v>
      </c>
      <c r="K1727" s="17">
        <v>0.0</v>
      </c>
      <c r="L1727" s="72"/>
      <c r="M1727" s="31"/>
      <c r="N1727" s="74"/>
      <c r="O1727" s="75"/>
      <c r="P1727" s="20">
        <v>0.0</v>
      </c>
      <c r="Q1727" s="31"/>
      <c r="R1727" s="31"/>
      <c r="S1727" s="53"/>
      <c r="T1727" s="32"/>
    </row>
    <row r="1728">
      <c r="A1728" s="33" t="s">
        <v>12435</v>
      </c>
      <c r="B1728" s="60" t="s">
        <v>217</v>
      </c>
      <c r="C1728" s="41">
        <v>45417.0</v>
      </c>
      <c r="D1728" s="40" t="s">
        <v>12436</v>
      </c>
      <c r="E1728" s="41" t="s">
        <v>12437</v>
      </c>
      <c r="F1728" s="43" t="s">
        <v>12438</v>
      </c>
      <c r="G1728" s="43" t="s">
        <v>12439</v>
      </c>
      <c r="H1728" s="51" t="s">
        <v>48</v>
      </c>
      <c r="I1728" s="15" t="str">
        <f>IFERROR(__xludf.DUMMYFUNCTION("GOOGLETRANSLATE(H1728,""EN"",""ES"")"),"Finanzas")</f>
        <v>Finanzas</v>
      </c>
      <c r="J1728" s="16" t="s">
        <v>35</v>
      </c>
      <c r="K1728" s="48">
        <v>0.6</v>
      </c>
      <c r="L1728" s="51" t="s">
        <v>12440</v>
      </c>
      <c r="M1728" s="34" t="s">
        <v>12441</v>
      </c>
      <c r="N1728" s="65" t="s">
        <v>12442</v>
      </c>
      <c r="O1728" s="65" t="str">
        <f>IFERROR(__xludf.DUMMYFUNCTION("GOOGLETRANSLATE(N1728,""EN"",""ES"")"),"El pago de dividendos refuerza la estabilidad financiera de Repsol y la confianza de los accionistas.")</f>
        <v>El pago de dividendos refuerza la estabilidad financiera de Repsol y la confianza de los accionistas.</v>
      </c>
      <c r="P1728" s="30">
        <v>0.6</v>
      </c>
      <c r="Q1728" s="18" t="str">
        <f>IFERROR(__xludf.DUMMYFUNCTION("GOOGLETRANSLATE(R1728,""ES"",""EN"")"),"dividend (shareholder value)")</f>
        <v>dividend (shareholder value)</v>
      </c>
      <c r="R1728" s="34" t="s">
        <v>12443</v>
      </c>
      <c r="S1728" s="52" t="s">
        <v>12444</v>
      </c>
      <c r="T1728" s="22" t="s">
        <v>12445</v>
      </c>
    </row>
    <row r="1729">
      <c r="A1729" s="23" t="s">
        <v>12446</v>
      </c>
      <c r="B1729" s="58" t="s">
        <v>21</v>
      </c>
      <c r="C1729" s="41">
        <v>45417.0</v>
      </c>
      <c r="D1729" s="40" t="s">
        <v>12447</v>
      </c>
      <c r="E1729" s="41" t="s">
        <v>12448</v>
      </c>
      <c r="F1729" s="43" t="s">
        <v>12449</v>
      </c>
      <c r="G1729" s="43" t="s">
        <v>12450</v>
      </c>
      <c r="H1729" s="49" t="s">
        <v>148</v>
      </c>
      <c r="I1729" s="25" t="str">
        <f>IFERROR(__xludf.DUMMYFUNCTION("GOOGLETRANSLATE(H1729,""EN"",""ES"")"),"Gastronomía")</f>
        <v>Gastronomía</v>
      </c>
      <c r="J1729" s="26" t="s">
        <v>27</v>
      </c>
      <c r="K1729" s="17">
        <v>0.0</v>
      </c>
      <c r="L1729" s="54"/>
      <c r="M1729" s="31"/>
      <c r="N1729" s="66"/>
      <c r="O1729" s="66"/>
      <c r="P1729" s="20">
        <v>0.0</v>
      </c>
      <c r="Q1729" s="31"/>
      <c r="R1729" s="31"/>
      <c r="S1729" s="53"/>
      <c r="T1729" s="32"/>
    </row>
    <row r="1730">
      <c r="A1730" s="33" t="s">
        <v>12451</v>
      </c>
      <c r="B1730" s="60" t="s">
        <v>284</v>
      </c>
      <c r="C1730" s="41">
        <v>45416.0</v>
      </c>
      <c r="D1730" s="40" t="s">
        <v>12452</v>
      </c>
      <c r="E1730" s="41" t="s">
        <v>12453</v>
      </c>
      <c r="F1730" s="43" t="s">
        <v>12454</v>
      </c>
      <c r="G1730" s="43" t="s">
        <v>12455</v>
      </c>
      <c r="H1730" s="51" t="s">
        <v>11677</v>
      </c>
      <c r="I1730" s="15" t="str">
        <f>IFERROR(__xludf.DUMMYFUNCTION("GOOGLETRANSLATE(H1730,""EN"",""ES"")"),"Obituario")</f>
        <v>Obituario</v>
      </c>
      <c r="J1730" s="16" t="s">
        <v>27</v>
      </c>
      <c r="K1730" s="17">
        <v>0.0</v>
      </c>
      <c r="L1730" s="45"/>
      <c r="M1730" s="18"/>
      <c r="N1730" s="65"/>
      <c r="O1730" s="65"/>
      <c r="P1730" s="20">
        <v>0.0</v>
      </c>
      <c r="Q1730" s="18"/>
      <c r="R1730" s="18"/>
      <c r="S1730" s="52"/>
      <c r="T1730" s="22"/>
    </row>
    <row r="1731">
      <c r="A1731" s="23" t="s">
        <v>12456</v>
      </c>
      <c r="B1731" s="58" t="s">
        <v>7278</v>
      </c>
      <c r="C1731" s="41">
        <v>45417.0</v>
      </c>
      <c r="D1731" s="40" t="s">
        <v>12457</v>
      </c>
      <c r="E1731" s="41" t="s">
        <v>12458</v>
      </c>
      <c r="F1731" s="43" t="s">
        <v>12459</v>
      </c>
      <c r="G1731" s="43" t="s">
        <v>12460</v>
      </c>
      <c r="H1731" s="49" t="s">
        <v>148</v>
      </c>
      <c r="I1731" s="25" t="str">
        <f>IFERROR(__xludf.DUMMYFUNCTION("GOOGLETRANSLATE(H1731,""EN"",""ES"")"),"Gastronomía")</f>
        <v>Gastronomía</v>
      </c>
      <c r="J1731" s="26" t="s">
        <v>27</v>
      </c>
      <c r="K1731" s="17">
        <v>0.0</v>
      </c>
      <c r="L1731" s="54"/>
      <c r="M1731" s="31"/>
      <c r="N1731" s="66"/>
      <c r="O1731" s="66"/>
      <c r="P1731" s="20">
        <v>0.0</v>
      </c>
      <c r="Q1731" s="31"/>
      <c r="R1731" s="31"/>
      <c r="S1731" s="53"/>
      <c r="T1731" s="32"/>
    </row>
    <row r="1732">
      <c r="A1732" s="33" t="s">
        <v>12461</v>
      </c>
      <c r="B1732" s="60" t="s">
        <v>1970</v>
      </c>
      <c r="C1732" s="41">
        <v>45417.0</v>
      </c>
      <c r="D1732" s="40" t="s">
        <v>12462</v>
      </c>
      <c r="E1732" s="41" t="s">
        <v>12463</v>
      </c>
      <c r="F1732" s="43" t="s">
        <v>12464</v>
      </c>
      <c r="G1732" s="43" t="s">
        <v>12465</v>
      </c>
      <c r="H1732" s="51" t="s">
        <v>148</v>
      </c>
      <c r="I1732" s="15" t="str">
        <f>IFERROR(__xludf.DUMMYFUNCTION("GOOGLETRANSLATE(H1732,""EN"",""ES"")"),"Gastronomía")</f>
        <v>Gastronomía</v>
      </c>
      <c r="J1732" s="16" t="s">
        <v>27</v>
      </c>
      <c r="K1732" s="17">
        <v>0.0</v>
      </c>
      <c r="L1732" s="45"/>
      <c r="M1732" s="18"/>
      <c r="N1732" s="65"/>
      <c r="O1732" s="65"/>
      <c r="P1732" s="20">
        <v>0.0</v>
      </c>
      <c r="Q1732" s="18"/>
      <c r="R1732" s="18"/>
      <c r="S1732" s="52"/>
      <c r="T1732" s="22"/>
    </row>
    <row r="1733">
      <c r="A1733" s="23" t="s">
        <v>12466</v>
      </c>
      <c r="B1733" s="58" t="s">
        <v>3980</v>
      </c>
      <c r="C1733" s="41">
        <v>45417.0</v>
      </c>
      <c r="D1733" s="40" t="s">
        <v>12467</v>
      </c>
      <c r="E1733" s="41" t="s">
        <v>12468</v>
      </c>
      <c r="F1733" s="43" t="s">
        <v>12469</v>
      </c>
      <c r="G1733" s="43" t="s">
        <v>12470</v>
      </c>
      <c r="H1733" s="49" t="s">
        <v>3985</v>
      </c>
      <c r="I1733" s="25" t="str">
        <f>IFERROR(__xludf.DUMMYFUNCTION("GOOGLETRANSLATE(H1733,""EN"",""ES"")"),"Deportes")</f>
        <v>Deportes</v>
      </c>
      <c r="J1733" s="26" t="s">
        <v>27</v>
      </c>
      <c r="K1733" s="17">
        <v>0.0</v>
      </c>
      <c r="L1733" s="54"/>
      <c r="M1733" s="31"/>
      <c r="N1733" s="66"/>
      <c r="O1733" s="66"/>
      <c r="P1733" s="20">
        <v>0.0</v>
      </c>
      <c r="Q1733" s="31"/>
      <c r="R1733" s="31"/>
      <c r="S1733" s="53"/>
      <c r="T1733" s="32"/>
    </row>
    <row r="1734">
      <c r="A1734" s="33" t="s">
        <v>12471</v>
      </c>
      <c r="B1734" s="60" t="s">
        <v>85</v>
      </c>
      <c r="C1734" s="41">
        <v>45418.0</v>
      </c>
      <c r="D1734" s="40" t="s">
        <v>12472</v>
      </c>
      <c r="E1734" s="41" t="s">
        <v>12473</v>
      </c>
      <c r="F1734" s="43" t="s">
        <v>12474</v>
      </c>
      <c r="G1734" s="43" t="s">
        <v>12475</v>
      </c>
      <c r="H1734" s="51" t="s">
        <v>661</v>
      </c>
      <c r="I1734" s="15" t="str">
        <f>IFERROR(__xludf.DUMMYFUNCTION("GOOGLETRANSLATE(H1734,""EN"",""ES"")"),"Estrategia empresarial")</f>
        <v>Estrategia empresarial</v>
      </c>
      <c r="J1734" s="16" t="s">
        <v>35</v>
      </c>
      <c r="K1734" s="48">
        <v>0.5</v>
      </c>
      <c r="L1734" s="51" t="s">
        <v>10111</v>
      </c>
      <c r="M1734" s="34" t="s">
        <v>10112</v>
      </c>
      <c r="N1734" s="65" t="s">
        <v>12476</v>
      </c>
      <c r="O1734" s="65" t="str">
        <f>IFERROR(__xludf.DUMMYFUNCTION("GOOGLETRANSLATE(N1734,""EN"",""ES"")"),"El mantenimiento de rutina garantiza la eficiencia operativa pero tiene un impacto público limitado.")</f>
        <v>El mantenimiento de rutina garantiza la eficiencia operativa pero tiene un impacto público limitado.</v>
      </c>
      <c r="P1734" s="30">
        <v>0.5</v>
      </c>
      <c r="Q1734" s="18" t="str">
        <f>IFERROR(__xludf.DUMMYFUNCTION("GOOGLETRANSLATE(R1734,""ES"",""EN"")"),"invests 120 million (investment)")</f>
        <v>invests 120 million (investment)</v>
      </c>
      <c r="R1734" s="34" t="s">
        <v>12477</v>
      </c>
      <c r="S1734" s="52" t="s">
        <v>12478</v>
      </c>
      <c r="T1734" s="22" t="s">
        <v>12479</v>
      </c>
    </row>
    <row r="1735">
      <c r="A1735" s="23" t="s">
        <v>12480</v>
      </c>
      <c r="B1735" s="58" t="s">
        <v>1072</v>
      </c>
      <c r="C1735" s="41">
        <v>45418.0</v>
      </c>
      <c r="D1735" s="40" t="s">
        <v>12481</v>
      </c>
      <c r="E1735" s="41" t="s">
        <v>12482</v>
      </c>
      <c r="F1735" s="43" t="s">
        <v>12483</v>
      </c>
      <c r="G1735" s="43" t="s">
        <v>12484</v>
      </c>
      <c r="H1735" s="49" t="s">
        <v>661</v>
      </c>
      <c r="I1735" s="25" t="str">
        <f>IFERROR(__xludf.DUMMYFUNCTION("GOOGLETRANSLATE(H1735,""EN"",""ES"")"),"Estrategia empresarial")</f>
        <v>Estrategia empresarial</v>
      </c>
      <c r="J1735" s="26" t="s">
        <v>35</v>
      </c>
      <c r="K1735" s="48">
        <v>-0.5</v>
      </c>
      <c r="L1735" s="49" t="s">
        <v>12485</v>
      </c>
      <c r="M1735" s="28" t="s">
        <v>12486</v>
      </c>
      <c r="N1735" s="66" t="s">
        <v>12487</v>
      </c>
      <c r="O1735" s="66" t="str">
        <f>IFERROR(__xludf.DUMMYFUNCTION("GOOGLETRANSLATE(N1735,""EN"",""ES"")"),"La mayor competencia de las estaciones de bajo coste puede afectar la cuota de mercado de Repsol.")</f>
        <v>La mayor competencia de las estaciones de bajo coste puede afectar la cuota de mercado de Repsol.</v>
      </c>
      <c r="P1735" s="30">
        <v>-0.4</v>
      </c>
      <c r="Q1735" s="31" t="str">
        <f>IFERROR(__xludf.DUMMYFUNCTION("GOOGLETRANSLATE(R1735,""ES"",""EN"")"),"shake (competition threat)")</f>
        <v>shake (competition threat)</v>
      </c>
      <c r="R1735" s="28" t="s">
        <v>12488</v>
      </c>
      <c r="S1735" s="53" t="s">
        <v>12489</v>
      </c>
      <c r="T1735" s="32" t="s">
        <v>12490</v>
      </c>
    </row>
    <row r="1736">
      <c r="A1736" s="33" t="s">
        <v>12491</v>
      </c>
      <c r="B1736" s="60" t="s">
        <v>558</v>
      </c>
      <c r="C1736" s="41">
        <v>45418.0</v>
      </c>
      <c r="D1736" s="40" t="s">
        <v>12492</v>
      </c>
      <c r="E1736" s="41" t="s">
        <v>12493</v>
      </c>
      <c r="F1736" s="43" t="s">
        <v>12494</v>
      </c>
      <c r="G1736" s="43" t="s">
        <v>12495</v>
      </c>
      <c r="H1736" s="51" t="s">
        <v>48</v>
      </c>
      <c r="I1736" s="15" t="str">
        <f>IFERROR(__xludf.DUMMYFUNCTION("GOOGLETRANSLATE(H1736,""EN"",""ES"")"),"Finanzas")</f>
        <v>Finanzas</v>
      </c>
      <c r="J1736" s="16" t="s">
        <v>35</v>
      </c>
      <c r="K1736" s="48">
        <v>0.6</v>
      </c>
      <c r="L1736" s="51" t="s">
        <v>12440</v>
      </c>
      <c r="M1736" s="34" t="s">
        <v>12441</v>
      </c>
      <c r="N1736" s="65" t="s">
        <v>12496</v>
      </c>
      <c r="O1736" s="65" t="str">
        <f>IFERROR(__xludf.DUMMYFUNCTION("GOOGLETRANSLATE(N1736,""EN"",""ES"")"),"El anuncio de dividendos refuerza la confianza de los inversores en Repsol.")</f>
        <v>El anuncio de dividendos refuerza la confianza de los inversores en Repsol.</v>
      </c>
      <c r="P1736" s="30">
        <v>0.7</v>
      </c>
      <c r="Q1736" s="18" t="str">
        <f>IFERROR(__xludf.DUMMYFUNCTION("GOOGLETRANSLATE(R1736,""ES"",""EN"")"),"dividend (shareholder return)")</f>
        <v>dividend (shareholder return)</v>
      </c>
      <c r="R1736" s="34" t="s">
        <v>12497</v>
      </c>
      <c r="S1736" s="52" t="s">
        <v>12498</v>
      </c>
      <c r="T1736" s="22" t="s">
        <v>12499</v>
      </c>
    </row>
    <row r="1737">
      <c r="A1737" s="23" t="s">
        <v>12500</v>
      </c>
      <c r="B1737" s="58" t="s">
        <v>2623</v>
      </c>
      <c r="C1737" s="41">
        <v>45418.0</v>
      </c>
      <c r="D1737" s="40" t="s">
        <v>12501</v>
      </c>
      <c r="E1737" s="41" t="s">
        <v>12502</v>
      </c>
      <c r="F1737" s="43" t="s">
        <v>12503</v>
      </c>
      <c r="G1737" s="43" t="s">
        <v>12504</v>
      </c>
      <c r="H1737" s="49" t="s">
        <v>130</v>
      </c>
      <c r="I1737" s="25" t="str">
        <f>IFERROR(__xludf.DUMMYFUNCTION("GOOGLETRANSLATE(H1737,""EN"",""ES"")"),"Sostenibilidad")</f>
        <v>Sostenibilidad</v>
      </c>
      <c r="J1737" s="26" t="s">
        <v>35</v>
      </c>
      <c r="K1737" s="48">
        <v>0.7</v>
      </c>
      <c r="L1737" s="49" t="s">
        <v>11798</v>
      </c>
      <c r="M1737" s="28" t="s">
        <v>11799</v>
      </c>
      <c r="N1737" s="66" t="s">
        <v>12505</v>
      </c>
      <c r="O1737" s="66" t="str">
        <f>IFERROR(__xludf.DUMMYFUNCTION("GOOGLETRANSLATE(N1737,""EN"",""ES"")"),"La ampliación de la producción de biometano refuerza la estrategia de energías renovables de Repsol.")</f>
        <v>La ampliación de la producción de biometano refuerza la estrategia de energías renovables de Repsol.</v>
      </c>
      <c r="P1737" s="30">
        <v>0.6</v>
      </c>
      <c r="Q1737" s="31" t="str">
        <f>IFERROR(__xludf.DUMMYFUNCTION("GOOGLETRANSLATE(R1737,""ES"",""EN"")"),"new biomethane plant (green initiative)")</f>
        <v>new biomethane plant (green initiative)</v>
      </c>
      <c r="R1737" s="28" t="s">
        <v>12506</v>
      </c>
      <c r="S1737" s="53" t="s">
        <v>12507</v>
      </c>
      <c r="T1737" s="32" t="s">
        <v>12508</v>
      </c>
    </row>
    <row r="1738">
      <c r="A1738" s="33" t="s">
        <v>12509</v>
      </c>
      <c r="B1738" s="60" t="s">
        <v>1005</v>
      </c>
      <c r="C1738" s="41">
        <v>45418.0</v>
      </c>
      <c r="D1738" s="40" t="s">
        <v>12510</v>
      </c>
      <c r="E1738" s="41" t="s">
        <v>12511</v>
      </c>
      <c r="F1738" s="43" t="s">
        <v>12512</v>
      </c>
      <c r="G1738" s="43" t="s">
        <v>12513</v>
      </c>
      <c r="H1738" s="51" t="s">
        <v>661</v>
      </c>
      <c r="I1738" s="15" t="str">
        <f>IFERROR(__xludf.DUMMYFUNCTION("GOOGLETRANSLATE(H1738,""EN"",""ES"")"),"Estrategia empresarial")</f>
        <v>Estrategia empresarial</v>
      </c>
      <c r="J1738" s="16" t="s">
        <v>35</v>
      </c>
      <c r="K1738" s="48">
        <v>0.5</v>
      </c>
      <c r="L1738" s="51" t="s">
        <v>10111</v>
      </c>
      <c r="M1738" s="34" t="s">
        <v>10112</v>
      </c>
      <c r="N1738" s="65" t="s">
        <v>12514</v>
      </c>
      <c r="O1738" s="65" t="str">
        <f>IFERROR(__xludf.DUMMYFUNCTION("GOOGLETRANSLATE(N1738,""EN"",""ES"")"),"El mantenimiento a gran escala garantiza la estabilidad operativa pero tiene un impacto público limitado.")</f>
        <v>El mantenimiento a gran escala garantiza la estabilidad operativa pero tiene un impacto público limitado.</v>
      </c>
      <c r="P1738" s="30">
        <v>0.5</v>
      </c>
      <c r="Q1738" s="18" t="str">
        <f>IFERROR(__xludf.DUMMYFUNCTION("GOOGLETRANSLATE(R1738,""ES"",""EN"")"),"success (operational efficiency)")</f>
        <v>success (operational efficiency)</v>
      </c>
      <c r="R1738" s="34" t="s">
        <v>12515</v>
      </c>
      <c r="S1738" s="52" t="s">
        <v>10022</v>
      </c>
      <c r="T1738" s="22" t="s">
        <v>10023</v>
      </c>
    </row>
    <row r="1739">
      <c r="A1739" s="23" t="s">
        <v>12516</v>
      </c>
      <c r="B1739" s="58" t="s">
        <v>881</v>
      </c>
      <c r="C1739" s="41">
        <v>45418.0</v>
      </c>
      <c r="D1739" s="40" t="s">
        <v>12517</v>
      </c>
      <c r="E1739" s="41" t="s">
        <v>12518</v>
      </c>
      <c r="F1739" s="43" t="s">
        <v>12519</v>
      </c>
      <c r="G1739" s="43" t="s">
        <v>12520</v>
      </c>
      <c r="H1739" s="73" t="s">
        <v>8339</v>
      </c>
      <c r="I1739" s="25" t="str">
        <f>IFERROR(__xludf.DUMMYFUNCTION("GOOGLETRANSLATE(H1739,""EN"",""ES"")"),"Incidente")</f>
        <v>Incidente</v>
      </c>
      <c r="J1739" s="26" t="s">
        <v>35</v>
      </c>
      <c r="K1739" s="48">
        <v>-0.4</v>
      </c>
      <c r="L1739" s="49" t="s">
        <v>12521</v>
      </c>
      <c r="M1739" s="28" t="s">
        <v>12522</v>
      </c>
      <c r="N1739" s="66" t="s">
        <v>12523</v>
      </c>
      <c r="O1739" s="66" t="str">
        <f>IFERROR(__xludf.DUMMYFUNCTION("GOOGLETRANSLATE(N1739,""EN"",""ES"")"),"Las interrupciones operativas menores pueden generar preocupaciones de seguridad a corto plazo.")</f>
        <v>Las interrupciones operativas menores pueden generar preocupaciones de seguridad a corto plazo.</v>
      </c>
      <c r="P1739" s="30">
        <v>-0.3</v>
      </c>
      <c r="Q1739" s="31" t="str">
        <f>IFERROR(__xludf.DUMMYFUNCTION("GOOGLETRANSLATE(R1739,""ES"",""EN"")"),"smoke (incident)")</f>
        <v>smoke (incident)</v>
      </c>
      <c r="R1739" s="28" t="s">
        <v>12524</v>
      </c>
      <c r="S1739" s="53" t="s">
        <v>12525</v>
      </c>
      <c r="T1739" s="32" t="s">
        <v>9579</v>
      </c>
    </row>
    <row r="1740">
      <c r="A1740" s="33" t="s">
        <v>12526</v>
      </c>
      <c r="B1740" s="60" t="s">
        <v>4832</v>
      </c>
      <c r="C1740" s="41">
        <v>45418.0</v>
      </c>
      <c r="D1740" s="40" t="s">
        <v>12492</v>
      </c>
      <c r="E1740" s="41" t="s">
        <v>12527</v>
      </c>
      <c r="F1740" s="43" t="s">
        <v>12494</v>
      </c>
      <c r="G1740" s="43" t="s">
        <v>12528</v>
      </c>
      <c r="H1740" s="73" t="s">
        <v>48</v>
      </c>
      <c r="I1740" s="15" t="str">
        <f>IFERROR(__xludf.DUMMYFUNCTION("GOOGLETRANSLATE(H1740,""EN"",""ES"")"),"Finanzas")</f>
        <v>Finanzas</v>
      </c>
      <c r="J1740" s="16" t="s">
        <v>35</v>
      </c>
      <c r="K1740" s="48">
        <v>0.7</v>
      </c>
      <c r="L1740" s="73" t="s">
        <v>12529</v>
      </c>
      <c r="M1740" s="34" t="s">
        <v>12530</v>
      </c>
      <c r="N1740" s="65" t="s">
        <v>12531</v>
      </c>
      <c r="O1740" s="65" t="str">
        <f>IFERROR(__xludf.DUMMYFUNCTION("GOOGLETRANSLATE(N1740,""EN"",""ES"")"),"El anuncio de fuertes pagos de dividendos refuerza la confianza de los inversores en Repsol.")</f>
        <v>El anuncio de fuertes pagos de dividendos refuerza la confianza de los inversores en Repsol.</v>
      </c>
      <c r="P1740" s="30">
        <v>0.7</v>
      </c>
      <c r="Q1740" s="18" t="str">
        <f>IFERROR(__xludf.DUMMYFUNCTION("GOOGLETRANSLATE(R1740,""ES"",""EN"")"),"dividend")</f>
        <v>dividend</v>
      </c>
      <c r="R1740" s="34" t="s">
        <v>12532</v>
      </c>
      <c r="S1740" s="52" t="s">
        <v>9561</v>
      </c>
      <c r="T1740" s="22" t="s">
        <v>9562</v>
      </c>
    </row>
    <row r="1741">
      <c r="A1741" s="23" t="s">
        <v>12533</v>
      </c>
      <c r="B1741" s="58" t="s">
        <v>403</v>
      </c>
      <c r="C1741" s="41">
        <v>45418.0</v>
      </c>
      <c r="D1741" s="40" t="s">
        <v>12534</v>
      </c>
      <c r="E1741" s="41" t="s">
        <v>12535</v>
      </c>
      <c r="F1741" s="43" t="s">
        <v>12536</v>
      </c>
      <c r="G1741" s="43" t="s">
        <v>12537</v>
      </c>
      <c r="H1741" s="49" t="s">
        <v>661</v>
      </c>
      <c r="I1741" s="25" t="str">
        <f>IFERROR(__xludf.DUMMYFUNCTION("GOOGLETRANSLATE(H1741,""EN"",""ES"")"),"Estrategia empresarial")</f>
        <v>Estrategia empresarial</v>
      </c>
      <c r="J1741" s="26" t="s">
        <v>35</v>
      </c>
      <c r="K1741" s="48">
        <v>0.6</v>
      </c>
      <c r="L1741" s="49" t="s">
        <v>12538</v>
      </c>
      <c r="M1741" s="28" t="s">
        <v>12539</v>
      </c>
      <c r="N1741" s="66" t="s">
        <v>12540</v>
      </c>
      <c r="O1741" s="66" t="str">
        <f>IFERROR(__xludf.DUMMYFUNCTION("GOOGLETRANSLATE(N1741,""EN"",""ES"")"),"El apoyo a las infraestructuras logísticas refuerza la estrategia de expansión de Repsol.")</f>
        <v>El apoyo a las infraestructuras logísticas refuerza la estrategia de expansión de Repsol.</v>
      </c>
      <c r="P1741" s="30">
        <v>0.4</v>
      </c>
      <c r="Q1741" s="31" t="str">
        <f>IFERROR(__xludf.DUMMYFUNCTION("GOOGLETRANSLATE(R1741,""ES"",""EN"")"),"drives (economic contribution)")</f>
        <v>drives (economic contribution)</v>
      </c>
      <c r="R1741" s="28" t="s">
        <v>12541</v>
      </c>
      <c r="S1741" s="53" t="s">
        <v>10022</v>
      </c>
      <c r="T1741" s="32" t="s">
        <v>10023</v>
      </c>
    </row>
    <row r="1742">
      <c r="A1742" s="33" t="s">
        <v>12542</v>
      </c>
      <c r="B1742" s="60" t="s">
        <v>7469</v>
      </c>
      <c r="C1742" s="41">
        <v>45418.0</v>
      </c>
      <c r="D1742" s="40" t="s">
        <v>12543</v>
      </c>
      <c r="E1742" s="41" t="s">
        <v>12544</v>
      </c>
      <c r="F1742" s="43" t="s">
        <v>12545</v>
      </c>
      <c r="G1742" s="43" t="s">
        <v>12546</v>
      </c>
      <c r="H1742" s="51" t="s">
        <v>130</v>
      </c>
      <c r="I1742" s="15" t="str">
        <f>IFERROR(__xludf.DUMMYFUNCTION("GOOGLETRANSLATE(H1742,""EN"",""ES"")"),"Sostenibilidad")</f>
        <v>Sostenibilidad</v>
      </c>
      <c r="J1742" s="16" t="s">
        <v>35</v>
      </c>
      <c r="K1742" s="48">
        <v>0.7</v>
      </c>
      <c r="L1742" s="51" t="s">
        <v>11798</v>
      </c>
      <c r="M1742" s="34" t="s">
        <v>11799</v>
      </c>
      <c r="N1742" s="65" t="s">
        <v>11800</v>
      </c>
      <c r="O1742" s="65" t="str">
        <f>IFERROR(__xludf.DUMMYFUNCTION("GOOGLETRANSLATE(N1742,""EN"",""ES"")"),"La inversión en biometano apoya la transición energética limpia de Repsol.")</f>
        <v>La inversión en biometano apoya la transición energética limpia de Repsol.</v>
      </c>
      <c r="P1742" s="30">
        <v>0.6</v>
      </c>
      <c r="Q1742" s="18" t="str">
        <f>IFERROR(__xludf.DUMMYFUNCTION("GOOGLETRANSLATE(R1742,""ES"",""EN"")"),"they invest (green investment)")</f>
        <v>they invest (green investment)</v>
      </c>
      <c r="R1742" s="34" t="s">
        <v>12547</v>
      </c>
      <c r="S1742" s="52" t="s">
        <v>10022</v>
      </c>
      <c r="T1742" s="22" t="s">
        <v>10023</v>
      </c>
    </row>
    <row r="1743">
      <c r="A1743" s="23" t="s">
        <v>12548</v>
      </c>
      <c r="B1743" s="58" t="s">
        <v>977</v>
      </c>
      <c r="C1743" s="41">
        <v>45418.0</v>
      </c>
      <c r="D1743" s="40" t="s">
        <v>12549</v>
      </c>
      <c r="E1743" s="41" t="s">
        <v>12550</v>
      </c>
      <c r="F1743" s="43" t="s">
        <v>12551</v>
      </c>
      <c r="G1743" s="43" t="s">
        <v>12552</v>
      </c>
      <c r="H1743" s="49" t="s">
        <v>148</v>
      </c>
      <c r="I1743" s="25" t="str">
        <f>IFERROR(__xludf.DUMMYFUNCTION("GOOGLETRANSLATE(H1743,""EN"",""ES"")"),"Gastronomía")</f>
        <v>Gastronomía</v>
      </c>
      <c r="J1743" s="26" t="s">
        <v>27</v>
      </c>
      <c r="K1743" s="17">
        <v>0.0</v>
      </c>
      <c r="L1743" s="54"/>
      <c r="M1743" s="31"/>
      <c r="N1743" s="66"/>
      <c r="O1743" s="66"/>
      <c r="P1743" s="20">
        <v>0.0</v>
      </c>
      <c r="Q1743" s="31"/>
      <c r="R1743" s="31"/>
      <c r="S1743" s="53"/>
      <c r="T1743" s="32"/>
    </row>
    <row r="1744">
      <c r="A1744" s="71" t="s">
        <v>12553</v>
      </c>
      <c r="B1744" s="60" t="s">
        <v>12554</v>
      </c>
      <c r="C1744" s="41">
        <v>45418.0</v>
      </c>
      <c r="D1744" s="40" t="s">
        <v>12555</v>
      </c>
      <c r="E1744" s="41" t="s">
        <v>12556</v>
      </c>
      <c r="F1744" s="43" t="s">
        <v>12557</v>
      </c>
      <c r="G1744" s="43" t="s">
        <v>12558</v>
      </c>
      <c r="H1744" s="51" t="s">
        <v>661</v>
      </c>
      <c r="I1744" s="15" t="str">
        <f>IFERROR(__xludf.DUMMYFUNCTION("GOOGLETRANSLATE(H1744,""EN"",""ES"")"),"Estrategia empresarial")</f>
        <v>Estrategia empresarial</v>
      </c>
      <c r="J1744" s="16" t="s">
        <v>35</v>
      </c>
      <c r="K1744" s="48">
        <v>0.6</v>
      </c>
      <c r="L1744" s="51" t="s">
        <v>12559</v>
      </c>
      <c r="M1744" s="34" t="s">
        <v>12560</v>
      </c>
      <c r="N1744" s="65" t="s">
        <v>12561</v>
      </c>
      <c r="O1744" s="65" t="str">
        <f>IFERROR(__xludf.DUMMYFUNCTION("GOOGLETRANSLATE(N1744,""EN"",""ES"")"),"El lanzamiento de nuevos productos lubricantes refuerza la oferta de mercado de Repsol.")</f>
        <v>El lanzamiento de nuevos productos lubricantes refuerza la oferta de mercado de Repsol.</v>
      </c>
      <c r="P1744" s="30">
        <v>0.3</v>
      </c>
      <c r="Q1744" s="18" t="str">
        <f>IFERROR(__xludf.DUMMYFUNCTION("GOOGLETRANSLATE(R1744,""ES"",""EN"")"),"new lubricants (innovation)")</f>
        <v>new lubricants (innovation)</v>
      </c>
      <c r="R1744" s="34" t="s">
        <v>12562</v>
      </c>
      <c r="S1744" s="52" t="s">
        <v>10076</v>
      </c>
      <c r="T1744" s="22" t="s">
        <v>10077</v>
      </c>
    </row>
    <row r="1745">
      <c r="A1745" s="23" t="s">
        <v>12563</v>
      </c>
      <c r="B1745" s="58" t="s">
        <v>12564</v>
      </c>
      <c r="C1745" s="41">
        <v>45419.0</v>
      </c>
      <c r="D1745" s="40" t="s">
        <v>12565</v>
      </c>
      <c r="E1745" s="41" t="s">
        <v>12566</v>
      </c>
      <c r="F1745" s="43" t="s">
        <v>12567</v>
      </c>
      <c r="G1745" s="43" t="s">
        <v>12568</v>
      </c>
      <c r="H1745" s="49" t="s">
        <v>130</v>
      </c>
      <c r="I1745" s="25" t="str">
        <f>IFERROR(__xludf.DUMMYFUNCTION("GOOGLETRANSLATE(H1745,""EN"",""ES"")"),"Sostenibilidad")</f>
        <v>Sostenibilidad</v>
      </c>
      <c r="J1745" s="26" t="s">
        <v>35</v>
      </c>
      <c r="K1745" s="48">
        <v>0.7</v>
      </c>
      <c r="L1745" s="49" t="s">
        <v>12569</v>
      </c>
      <c r="M1745" s="28" t="s">
        <v>12570</v>
      </c>
      <c r="N1745" s="66" t="s">
        <v>12571</v>
      </c>
      <c r="O1745" s="66" t="str">
        <f>IFERROR(__xludf.DUMMYFUNCTION("GOOGLETRANSLATE(N1745,""EN"",""ES"")"),"La ampliación de los acuerdos de suministro de combustibles renovables respalda los objetivos de sostenibilidad de Repsol.")</f>
        <v>La ampliación de los acuerdos de suministro de combustibles renovables respalda los objetivos de sostenibilidad de Repsol.</v>
      </c>
      <c r="P1745" s="30">
        <v>0.7</v>
      </c>
      <c r="Q1745" s="31" t="str">
        <f>IFERROR(__xludf.DUMMYFUNCTION("GOOGLETRANSLATE(R1745,""ES"",""EN"")"),"greater agreement (partnership)")</f>
        <v>greater agreement (partnership)</v>
      </c>
      <c r="R1745" s="28" t="s">
        <v>12572</v>
      </c>
      <c r="S1745" s="53" t="s">
        <v>12573</v>
      </c>
      <c r="T1745" s="32" t="s">
        <v>12574</v>
      </c>
    </row>
    <row r="1746">
      <c r="A1746" s="33" t="s">
        <v>12575</v>
      </c>
      <c r="B1746" s="60" t="s">
        <v>9404</v>
      </c>
      <c r="C1746" s="41">
        <v>45419.0</v>
      </c>
      <c r="D1746" s="40" t="s">
        <v>12576</v>
      </c>
      <c r="E1746" s="41" t="s">
        <v>12577</v>
      </c>
      <c r="F1746" s="43" t="s">
        <v>12578</v>
      </c>
      <c r="G1746" s="43" t="s">
        <v>12579</v>
      </c>
      <c r="H1746" s="51" t="s">
        <v>130</v>
      </c>
      <c r="I1746" s="15" t="str">
        <f>IFERROR(__xludf.DUMMYFUNCTION("GOOGLETRANSLATE(H1746,""EN"",""ES"")"),"Sostenibilidad")</f>
        <v>Sostenibilidad</v>
      </c>
      <c r="J1746" s="16" t="s">
        <v>35</v>
      </c>
      <c r="K1746" s="48">
        <v>0.7</v>
      </c>
      <c r="L1746" s="51" t="s">
        <v>12580</v>
      </c>
      <c r="M1746" s="34" t="s">
        <v>12581</v>
      </c>
      <c r="N1746" s="65" t="s">
        <v>12582</v>
      </c>
      <c r="O1746" s="65" t="str">
        <f>IFERROR(__xludf.DUMMYFUNCTION("GOOGLETRANSLATE(N1746,""EN"",""ES"")"),"La asociación con empresas de logística de combustibles renovables respalda los esfuerzos de sostenibilidad de Repsol.")</f>
        <v>La asociación con empresas de logística de combustibles renovables respalda los esfuerzos de sostenibilidad de Repsol.</v>
      </c>
      <c r="P1746" s="30">
        <v>0.6</v>
      </c>
      <c r="Q1746" s="18" t="str">
        <f>IFERROR(__xludf.DUMMYFUNCTION("GOOGLETRANSLATE(R1746,""ES"",""EN"")"),"alliance (collaboration)")</f>
        <v>alliance (collaboration)</v>
      </c>
      <c r="R1746" s="34" t="s">
        <v>12583</v>
      </c>
      <c r="S1746" s="52" t="s">
        <v>10022</v>
      </c>
      <c r="T1746" s="22" t="s">
        <v>10023</v>
      </c>
    </row>
    <row r="1747">
      <c r="A1747" s="23" t="s">
        <v>12584</v>
      </c>
      <c r="B1747" s="58" t="s">
        <v>163</v>
      </c>
      <c r="C1747" s="41">
        <v>45419.0</v>
      </c>
      <c r="D1747" s="40" t="s">
        <v>12585</v>
      </c>
      <c r="E1747" s="41" t="s">
        <v>12586</v>
      </c>
      <c r="F1747" s="43" t="s">
        <v>12587</v>
      </c>
      <c r="G1747" s="43" t="s">
        <v>12588</v>
      </c>
      <c r="H1747" s="49" t="s">
        <v>130</v>
      </c>
      <c r="I1747" s="25" t="str">
        <f>IFERROR(__xludf.DUMMYFUNCTION("GOOGLETRANSLATE(H1747,""EN"",""ES"")"),"Sostenibilidad")</f>
        <v>Sostenibilidad</v>
      </c>
      <c r="J1747" s="26" t="s">
        <v>35</v>
      </c>
      <c r="K1747" s="48">
        <v>0.8</v>
      </c>
      <c r="L1747" s="49" t="s">
        <v>11533</v>
      </c>
      <c r="M1747" s="28" t="s">
        <v>11534</v>
      </c>
      <c r="N1747" s="66" t="s">
        <v>12589</v>
      </c>
      <c r="O1747" s="66" t="str">
        <f>IFERROR(__xludf.DUMMYFUNCTION("GOOGLETRANSLATE(N1747,""EN"",""ES"")"),"La ampliación de la distribución de biocombustibles refuerza la transición de Repsol hacia fuentes de energía más limpias.")</f>
        <v>La ampliación de la distribución de biocombustibles refuerza la transición de Repsol hacia fuentes de energía más limpias.</v>
      </c>
      <c r="P1747" s="30">
        <v>0.7</v>
      </c>
      <c r="Q1747" s="31" t="str">
        <f>IFERROR(__xludf.DUMMYFUNCTION("GOOGLETRANSLATE(R1747,""ES"",""EN"")"),"will supply (green fuel)")</f>
        <v>will supply (green fuel)</v>
      </c>
      <c r="R1747" s="28" t="s">
        <v>12590</v>
      </c>
      <c r="S1747" s="53" t="s">
        <v>10022</v>
      </c>
      <c r="T1747" s="32" t="s">
        <v>10023</v>
      </c>
    </row>
    <row r="1748">
      <c r="A1748" s="33" t="s">
        <v>12591</v>
      </c>
      <c r="B1748" s="60" t="s">
        <v>2696</v>
      </c>
      <c r="C1748" s="41">
        <v>45419.0</v>
      </c>
      <c r="D1748" s="40" t="s">
        <v>12592</v>
      </c>
      <c r="E1748" s="41" t="s">
        <v>12593</v>
      </c>
      <c r="F1748" s="43" t="s">
        <v>12594</v>
      </c>
      <c r="G1748" s="43" t="s">
        <v>12595</v>
      </c>
      <c r="H1748" s="51" t="s">
        <v>48</v>
      </c>
      <c r="I1748" s="15" t="str">
        <f>IFERROR(__xludf.DUMMYFUNCTION("GOOGLETRANSLATE(H1748,""EN"",""ES"")"),"Finanzas")</f>
        <v>Finanzas</v>
      </c>
      <c r="J1748" s="16" t="s">
        <v>35</v>
      </c>
      <c r="K1748" s="48">
        <v>0.7</v>
      </c>
      <c r="L1748" s="51" t="s">
        <v>12596</v>
      </c>
      <c r="M1748" s="34" t="s">
        <v>12597</v>
      </c>
      <c r="N1748" s="65" t="s">
        <v>12598</v>
      </c>
      <c r="O1748" s="65" t="str">
        <f>IFERROR(__xludf.DUMMYFUNCTION("GOOGLETRANSLATE(N1748,""EN"",""ES"")"),"El fuerte respaldo de los accionistas mejora la confianza del mercado en Repsol.")</f>
        <v>El fuerte respaldo de los accionistas mejora la confianza del mercado en Repsol.</v>
      </c>
      <c r="P1748" s="30">
        <v>0.8</v>
      </c>
      <c r="Q1748" s="18" t="str">
        <f>IFERROR(__xludf.DUMMYFUNCTION("GOOGLETRANSLATE(R1748,""ES"",""EN"")"),"support (investor confidence)")</f>
        <v>support (investor confidence)</v>
      </c>
      <c r="R1748" s="34" t="s">
        <v>12599</v>
      </c>
      <c r="S1748" s="52" t="s">
        <v>9981</v>
      </c>
      <c r="T1748" s="22" t="s">
        <v>9982</v>
      </c>
    </row>
    <row r="1749">
      <c r="A1749" s="23" t="s">
        <v>12600</v>
      </c>
      <c r="B1749" s="58" t="s">
        <v>163</v>
      </c>
      <c r="C1749" s="41">
        <v>45419.0</v>
      </c>
      <c r="D1749" s="40" t="s">
        <v>12601</v>
      </c>
      <c r="E1749" s="41" t="s">
        <v>12602</v>
      </c>
      <c r="F1749" s="43" t="s">
        <v>12603</v>
      </c>
      <c r="G1749" s="43" t="s">
        <v>12604</v>
      </c>
      <c r="H1749" s="49" t="s">
        <v>34</v>
      </c>
      <c r="I1749" s="25" t="str">
        <f>IFERROR(__xludf.DUMMYFUNCTION("GOOGLETRANSLATE(H1749,""EN"",""ES"")"),"Responsabilidad Social Corporativa")</f>
        <v>Responsabilidad Social Corporativa</v>
      </c>
      <c r="J1749" s="26" t="s">
        <v>35</v>
      </c>
      <c r="K1749" s="48">
        <v>0.6</v>
      </c>
      <c r="L1749" s="49" t="s">
        <v>12605</v>
      </c>
      <c r="M1749" s="28" t="s">
        <v>12606</v>
      </c>
      <c r="N1749" s="66" t="s">
        <v>12607</v>
      </c>
      <c r="O1749" s="66" t="str">
        <f>IFERROR(__xludf.DUMMYFUNCTION("GOOGLETRANSLATE(N1749,""EN"",""ES"")"),"Impulsar el desarrollo del talento joven potencia la marca empleadora de Repsol.")</f>
        <v>Impulsar el desarrollo del talento joven potencia la marca empleadora de Repsol.</v>
      </c>
      <c r="P1749" s="30">
        <v>0.4</v>
      </c>
      <c r="Q1749" s="31" t="str">
        <f>IFERROR(__xludf.DUMMYFUNCTION("GOOGLETRANSLATE(R1749,""ES"",""EN"")"),"young talent (CSR)")</f>
        <v>young talent (CSR)</v>
      </c>
      <c r="R1749" s="28" t="s">
        <v>12608</v>
      </c>
      <c r="S1749" s="53" t="s">
        <v>10022</v>
      </c>
      <c r="T1749" s="32" t="s">
        <v>10023</v>
      </c>
    </row>
    <row r="1750">
      <c r="A1750" s="33" t="s">
        <v>12609</v>
      </c>
      <c r="B1750" s="60" t="s">
        <v>2560</v>
      </c>
      <c r="C1750" s="41">
        <v>45419.0</v>
      </c>
      <c r="D1750" s="40" t="s">
        <v>12610</v>
      </c>
      <c r="E1750" s="41" t="s">
        <v>12611</v>
      </c>
      <c r="F1750" s="43" t="s">
        <v>12612</v>
      </c>
      <c r="G1750" s="43" t="s">
        <v>12613</v>
      </c>
      <c r="H1750" s="51" t="s">
        <v>130</v>
      </c>
      <c r="I1750" s="15" t="str">
        <f>IFERROR(__xludf.DUMMYFUNCTION("GOOGLETRANSLATE(H1750,""EN"",""ES"")"),"Sostenibilidad")</f>
        <v>Sostenibilidad</v>
      </c>
      <c r="J1750" s="16" t="s">
        <v>35</v>
      </c>
      <c r="K1750" s="48">
        <v>0.7</v>
      </c>
      <c r="L1750" s="51" t="s">
        <v>12569</v>
      </c>
      <c r="M1750" s="34" t="s">
        <v>12570</v>
      </c>
      <c r="N1750" s="65" t="s">
        <v>12614</v>
      </c>
      <c r="O1750" s="65" t="str">
        <f>IFERROR(__xludf.DUMMYFUNCTION("GOOGLETRANSLATE(N1750,""EN"",""ES"")"),"Los acuerdos a gran escala sobre combustibles renovables se alinean con la estrategia de energías limpias de Repsol.")</f>
        <v>Los acuerdos a gran escala sobre combustibles renovables se alinean con la estrategia de energías limpias de Repsol.</v>
      </c>
      <c r="P1750" s="30">
        <v>0.6</v>
      </c>
      <c r="Q1750" s="18" t="str">
        <f>IFERROR(__xludf.DUMMYFUNCTION("GOOGLETRANSLATE(R1750,""ES"",""EN"")"),"agreement (partnership)")</f>
        <v>agreement (partnership)</v>
      </c>
      <c r="R1750" s="34" t="s">
        <v>12615</v>
      </c>
      <c r="S1750" s="52" t="s">
        <v>10022</v>
      </c>
      <c r="T1750" s="22" t="s">
        <v>10023</v>
      </c>
    </row>
    <row r="1751">
      <c r="A1751" s="23" t="s">
        <v>12616</v>
      </c>
      <c r="B1751" s="58" t="s">
        <v>859</v>
      </c>
      <c r="C1751" s="41">
        <v>45419.0</v>
      </c>
      <c r="D1751" s="40" t="s">
        <v>12617</v>
      </c>
      <c r="E1751" s="41" t="s">
        <v>12618</v>
      </c>
      <c r="F1751" s="43" t="s">
        <v>12619</v>
      </c>
      <c r="G1751" s="43" t="s">
        <v>12620</v>
      </c>
      <c r="H1751" s="49" t="s">
        <v>395</v>
      </c>
      <c r="I1751" s="25" t="str">
        <f>IFERROR(__xludf.DUMMYFUNCTION("GOOGLETRANSLATE(H1751,""EN"",""ES"")"),"Ambiente")</f>
        <v>Ambiente</v>
      </c>
      <c r="J1751" s="26" t="s">
        <v>35</v>
      </c>
      <c r="K1751" s="48">
        <v>0.0</v>
      </c>
      <c r="L1751" s="54"/>
      <c r="M1751" s="31"/>
      <c r="N1751" s="66" t="s">
        <v>12621</v>
      </c>
      <c r="O1751" s="66" t="str">
        <f>IFERROR(__xludf.DUMMYFUNCTION("GOOGLETRANSLATE(N1751,""EN"",""ES"")"),"Los debates regionales sobre la gestión del agua no impactan el negocio de Repsol.")</f>
        <v>Los debates regionales sobre la gestión del agua no impactan el negocio de Repsol.</v>
      </c>
      <c r="P1751" s="30">
        <v>0.0</v>
      </c>
      <c r="Q1751" s="31"/>
      <c r="R1751" s="31"/>
      <c r="S1751" s="53" t="s">
        <v>12622</v>
      </c>
      <c r="T1751" s="32" t="s">
        <v>12623</v>
      </c>
    </row>
    <row r="1752">
      <c r="A1752" s="33" t="s">
        <v>12624</v>
      </c>
      <c r="B1752" s="60" t="s">
        <v>43</v>
      </c>
      <c r="C1752" s="41">
        <v>45419.0</v>
      </c>
      <c r="D1752" s="40" t="s">
        <v>12625</v>
      </c>
      <c r="E1752" s="41" t="s">
        <v>12626</v>
      </c>
      <c r="F1752" s="43" t="s">
        <v>12627</v>
      </c>
      <c r="G1752" s="43" t="s">
        <v>12628</v>
      </c>
      <c r="H1752" s="51" t="s">
        <v>62</v>
      </c>
      <c r="I1752" s="15" t="str">
        <f>IFERROR(__xludf.DUMMYFUNCTION("GOOGLETRANSLATE(H1752,""EN"",""ES"")"),"Energía")</f>
        <v>Energía</v>
      </c>
      <c r="J1752" s="16" t="s">
        <v>35</v>
      </c>
      <c r="K1752" s="48">
        <v>0.0</v>
      </c>
      <c r="L1752" s="45"/>
      <c r="M1752" s="18"/>
      <c r="N1752" s="65" t="s">
        <v>12629</v>
      </c>
      <c r="O1752" s="65" t="str">
        <f>IFERROR(__xludf.DUMMYFUNCTION("GOOGLETRANSLATE(N1752,""EN"",""ES"")"),"Las expansiones del mercado de la competencia no impactan en la percepción de Repsol.")</f>
        <v>Las expansiones del mercado de la competencia no impactan en la percepción de Repsol.</v>
      </c>
      <c r="P1752" s="30">
        <v>0.0</v>
      </c>
      <c r="Q1752" s="18"/>
      <c r="R1752" s="18"/>
      <c r="S1752" s="52" t="s">
        <v>12630</v>
      </c>
      <c r="T1752" s="22" t="s">
        <v>12631</v>
      </c>
    </row>
    <row r="1753">
      <c r="A1753" s="23" t="s">
        <v>12632</v>
      </c>
      <c r="B1753" s="58" t="s">
        <v>12633</v>
      </c>
      <c r="C1753" s="41">
        <v>45419.0</v>
      </c>
      <c r="D1753" s="40" t="s">
        <v>12634</v>
      </c>
      <c r="E1753" s="41" t="s">
        <v>12635</v>
      </c>
      <c r="F1753" s="43" t="s">
        <v>12636</v>
      </c>
      <c r="G1753" s="43" t="s">
        <v>12637</v>
      </c>
      <c r="H1753" s="49" t="s">
        <v>130</v>
      </c>
      <c r="I1753" s="25" t="str">
        <f>IFERROR(__xludf.DUMMYFUNCTION("GOOGLETRANSLATE(H1753,""EN"",""ES"")"),"Sostenibilidad")</f>
        <v>Sostenibilidad</v>
      </c>
      <c r="J1753" s="26" t="s">
        <v>35</v>
      </c>
      <c r="K1753" s="48">
        <v>0.8</v>
      </c>
      <c r="L1753" s="49" t="s">
        <v>8251</v>
      </c>
      <c r="M1753" s="28" t="s">
        <v>8252</v>
      </c>
      <c r="N1753" s="66" t="s">
        <v>12638</v>
      </c>
      <c r="O1753" s="66" t="str">
        <f>IFERROR(__xludf.DUMMYFUNCTION("GOOGLETRANSLATE(N1753,""EN"",""ES"")"),"La ampliación del uso de combustibles limpios refuerza el compromiso de Repsol con la sostenibilidad.")</f>
        <v>La ampliación del uso de combustibles limpios refuerza el compromiso de Repsol con la sostenibilidad.</v>
      </c>
      <c r="P1753" s="30">
        <v>0.7</v>
      </c>
      <c r="Q1753" s="31" t="str">
        <f>IFERROR(__xludf.DUMMYFUNCTION("GOOGLETRANSLATE(R1753,""ES"",""EN"")"),"will reduce CO2 (sustainability)")</f>
        <v>will reduce CO2 (sustainability)</v>
      </c>
      <c r="R1753" s="28" t="s">
        <v>12639</v>
      </c>
      <c r="S1753" s="53" t="s">
        <v>10022</v>
      </c>
      <c r="T1753" s="32" t="s">
        <v>10023</v>
      </c>
    </row>
    <row r="1754">
      <c r="A1754" s="33" t="s">
        <v>12640</v>
      </c>
      <c r="B1754" s="60" t="s">
        <v>425</v>
      </c>
      <c r="C1754" s="41">
        <v>45419.0</v>
      </c>
      <c r="D1754" s="40" t="s">
        <v>12641</v>
      </c>
      <c r="E1754" s="41" t="s">
        <v>12642</v>
      </c>
      <c r="F1754" s="43" t="s">
        <v>12643</v>
      </c>
      <c r="G1754" s="43" t="s">
        <v>12644</v>
      </c>
      <c r="H1754" s="51" t="s">
        <v>55</v>
      </c>
      <c r="I1754" s="15" t="str">
        <f>IFERROR(__xludf.DUMMYFUNCTION("GOOGLETRANSLATE(H1754,""EN"",""ES"")"),"deportes de motor")</f>
        <v>deportes de motor</v>
      </c>
      <c r="J1754" s="16" t="s">
        <v>27</v>
      </c>
      <c r="K1754" s="17">
        <v>0.0</v>
      </c>
      <c r="L1754" s="45"/>
      <c r="M1754" s="18"/>
      <c r="N1754" s="65"/>
      <c r="O1754" s="65"/>
      <c r="P1754" s="20">
        <v>0.0</v>
      </c>
      <c r="Q1754" s="18"/>
      <c r="R1754" s="18"/>
      <c r="S1754" s="52"/>
      <c r="T1754" s="22"/>
    </row>
    <row r="1755">
      <c r="A1755" s="37" t="s">
        <v>12645</v>
      </c>
      <c r="B1755" s="58" t="s">
        <v>10305</v>
      </c>
      <c r="C1755" s="41">
        <v>45419.0</v>
      </c>
      <c r="D1755" s="40" t="s">
        <v>12646</v>
      </c>
      <c r="E1755" s="41" t="s">
        <v>12647</v>
      </c>
      <c r="F1755" s="43" t="s">
        <v>12648</v>
      </c>
      <c r="G1755" s="43" t="s">
        <v>12649</v>
      </c>
      <c r="H1755" s="49" t="s">
        <v>408</v>
      </c>
      <c r="I1755" s="25" t="str">
        <f>IFERROR(__xludf.DUMMYFUNCTION("GOOGLETRANSLATE(H1755,""EN"",""ES"")"),"Legal")</f>
        <v>Legal</v>
      </c>
      <c r="J1755" s="26" t="s">
        <v>35</v>
      </c>
      <c r="K1755" s="48">
        <v>-0.7</v>
      </c>
      <c r="L1755" s="49" t="s">
        <v>12650</v>
      </c>
      <c r="M1755" s="28" t="s">
        <v>12651</v>
      </c>
      <c r="N1755" s="66" t="s">
        <v>12652</v>
      </c>
      <c r="O1755" s="66" t="str">
        <f>IFERROR(__xludf.DUMMYFUNCTION("GOOGLETRANSLATE(N1755,""EN"",""ES"")"),"Las reclamaciones judiciales relacionadas con fugas de combustible pueden impactar negativamente en la imagen pública de Repsol.")</f>
        <v>Las reclamaciones judiciales relacionadas con fugas de combustible pueden impactar negativamente en la imagen pública de Repsol.</v>
      </c>
      <c r="P1755" s="30">
        <v>-0.5</v>
      </c>
      <c r="Q1755" s="31" t="str">
        <f>IFERROR(__xludf.DUMMYFUNCTION("GOOGLETRANSLATE(R1755,""ES"",""EN"")"),"fuel leak (incident)")</f>
        <v>fuel leak (incident)</v>
      </c>
      <c r="R1755" s="28" t="s">
        <v>12653</v>
      </c>
      <c r="S1755" s="53" t="s">
        <v>12654</v>
      </c>
      <c r="T1755" s="32" t="s">
        <v>12655</v>
      </c>
    </row>
    <row r="1756">
      <c r="A1756" s="33" t="s">
        <v>12656</v>
      </c>
      <c r="B1756" s="60" t="s">
        <v>1768</v>
      </c>
      <c r="C1756" s="41">
        <v>45420.0</v>
      </c>
      <c r="D1756" s="40" t="s">
        <v>12657</v>
      </c>
      <c r="E1756" s="41" t="s">
        <v>12658</v>
      </c>
      <c r="F1756" s="43" t="s">
        <v>12659</v>
      </c>
      <c r="G1756" s="43" t="s">
        <v>12660</v>
      </c>
      <c r="H1756" s="51" t="s">
        <v>408</v>
      </c>
      <c r="I1756" s="15" t="str">
        <f>IFERROR(__xludf.DUMMYFUNCTION("GOOGLETRANSLATE(H1756,""EN"",""ES"")"),"Legal")</f>
        <v>Legal</v>
      </c>
      <c r="J1756" s="16" t="s">
        <v>35</v>
      </c>
      <c r="K1756" s="48">
        <v>0.6</v>
      </c>
      <c r="L1756" s="51" t="s">
        <v>12661</v>
      </c>
      <c r="M1756" s="34" t="s">
        <v>12662</v>
      </c>
      <c r="N1756" s="65" t="s">
        <v>12663</v>
      </c>
      <c r="O1756" s="65" t="str">
        <f>IFERROR(__xludf.DUMMYFUNCTION("GOOGLETRANSLATE(N1756,""EN"",""ES"")"),"Ganar litigios judiciales fortalece la credibilidad de Repsol.")</f>
        <v>Ganar litigios judiciales fortalece la credibilidad de Repsol.</v>
      </c>
      <c r="P1756" s="30">
        <v>0.6</v>
      </c>
      <c r="Q1756" s="18" t="str">
        <f>IFERROR(__xludf.DUMMYFUNCTION("GOOGLETRANSLATE(R1756,""ES"",""EN"")"),"support (legal win)")</f>
        <v>support (legal win)</v>
      </c>
      <c r="R1756" s="34" t="s">
        <v>12664</v>
      </c>
      <c r="S1756" s="52" t="s">
        <v>10022</v>
      </c>
      <c r="T1756" s="22" t="s">
        <v>10023</v>
      </c>
    </row>
    <row r="1757">
      <c r="A1757" s="23" t="s">
        <v>12665</v>
      </c>
      <c r="B1757" s="58" t="s">
        <v>626</v>
      </c>
      <c r="C1757" s="41">
        <v>45420.0</v>
      </c>
      <c r="D1757" s="40" t="s">
        <v>12666</v>
      </c>
      <c r="E1757" s="41" t="s">
        <v>12667</v>
      </c>
      <c r="F1757" s="43" t="s">
        <v>12668</v>
      </c>
      <c r="G1757" s="43" t="s">
        <v>12669</v>
      </c>
      <c r="H1757" s="49" t="s">
        <v>408</v>
      </c>
      <c r="I1757" s="25" t="str">
        <f>IFERROR(__xludf.DUMMYFUNCTION("GOOGLETRANSLATE(H1757,""EN"",""ES"")"),"Legal")</f>
        <v>Legal</v>
      </c>
      <c r="J1757" s="26" t="s">
        <v>35</v>
      </c>
      <c r="K1757" s="48">
        <v>0.6</v>
      </c>
      <c r="L1757" s="49" t="s">
        <v>12670</v>
      </c>
      <c r="M1757" s="28" t="s">
        <v>12671</v>
      </c>
      <c r="N1757" s="66" t="s">
        <v>12672</v>
      </c>
      <c r="O1757" s="66" t="str">
        <f>IFERROR(__xludf.DUMMYFUNCTION("GOOGLETRANSLATE(N1757,""EN"",""ES"")"),"Desafiar con éxito a los competidores mejora el prestigio corporativo de Repsol.")</f>
        <v>Desafiar con éxito a los competidores mejora el prestigio corporativo de Repsol.</v>
      </c>
      <c r="P1757" s="30">
        <v>0.7</v>
      </c>
      <c r="Q1757" s="31" t="str">
        <f>IFERROR(__xludf.DUMMYFUNCTION("GOOGLETRANSLATE(R1757,""ES"",""EN"")"),"wins (legal victory)")</f>
        <v>wins (legal victory)</v>
      </c>
      <c r="R1757" s="28" t="s">
        <v>12673</v>
      </c>
      <c r="S1757" s="53" t="s">
        <v>10022</v>
      </c>
      <c r="T1757" s="32" t="s">
        <v>10023</v>
      </c>
    </row>
    <row r="1758">
      <c r="A1758" s="33" t="s">
        <v>12674</v>
      </c>
      <c r="B1758" s="60" t="s">
        <v>103</v>
      </c>
      <c r="C1758" s="41">
        <v>45420.0</v>
      </c>
      <c r="D1758" s="40" t="s">
        <v>12675</v>
      </c>
      <c r="E1758" s="41" t="s">
        <v>12676</v>
      </c>
      <c r="F1758" s="43" t="s">
        <v>12677</v>
      </c>
      <c r="G1758" s="43" t="s">
        <v>12678</v>
      </c>
      <c r="H1758" s="51" t="s">
        <v>408</v>
      </c>
      <c r="I1758" s="15" t="str">
        <f>IFERROR(__xludf.DUMMYFUNCTION("GOOGLETRANSLATE(H1758,""EN"",""ES"")"),"Legal")</f>
        <v>Legal</v>
      </c>
      <c r="J1758" s="16" t="s">
        <v>35</v>
      </c>
      <c r="K1758" s="48">
        <v>0.6</v>
      </c>
      <c r="L1758" s="51" t="s">
        <v>11043</v>
      </c>
      <c r="M1758" s="34" t="s">
        <v>11044</v>
      </c>
      <c r="N1758" s="65" t="s">
        <v>12679</v>
      </c>
      <c r="O1758" s="65" t="str">
        <f>IFERROR(__xludf.DUMMYFUNCTION("GOOGLETRANSLATE(N1758,""EN"",""ES"")"),"Ganar batallas legales mejora la credibilidad corporativa de Repsol.")</f>
        <v>Ganar batallas legales mejora la credibilidad corporativa de Repsol.</v>
      </c>
      <c r="P1758" s="30">
        <v>0.6</v>
      </c>
      <c r="Q1758" s="18" t="str">
        <f>IFERROR(__xludf.DUMMYFUNCTION("GOOGLETRANSLATE(R1758,""ES"",""EN"")"),"prove right (PR win)")</f>
        <v>prove right (PR win)</v>
      </c>
      <c r="R1758" s="34" t="s">
        <v>12680</v>
      </c>
      <c r="S1758" s="52" t="s">
        <v>10022</v>
      </c>
      <c r="T1758" s="22" t="s">
        <v>10023</v>
      </c>
    </row>
    <row r="1759">
      <c r="A1759" s="23" t="s">
        <v>12681</v>
      </c>
      <c r="B1759" s="58" t="s">
        <v>8690</v>
      </c>
      <c r="C1759" s="41">
        <v>45420.0</v>
      </c>
      <c r="D1759" s="40" t="s">
        <v>12682</v>
      </c>
      <c r="E1759" s="41" t="s">
        <v>12683</v>
      </c>
      <c r="F1759" s="43" t="s">
        <v>12684</v>
      </c>
      <c r="G1759" s="43" t="s">
        <v>12685</v>
      </c>
      <c r="H1759" s="49" t="s">
        <v>34</v>
      </c>
      <c r="I1759" s="25" t="str">
        <f>IFERROR(__xludf.DUMMYFUNCTION("GOOGLETRANSLATE(H1759,""EN"",""ES"")"),"Responsabilidad Social Corporativa")</f>
        <v>Responsabilidad Social Corporativa</v>
      </c>
      <c r="J1759" s="26" t="s">
        <v>35</v>
      </c>
      <c r="K1759" s="48">
        <v>0.6</v>
      </c>
      <c r="L1759" s="49" t="s">
        <v>12686</v>
      </c>
      <c r="M1759" s="28" t="s">
        <v>12687</v>
      </c>
      <c r="N1759" s="66" t="s">
        <v>12688</v>
      </c>
      <c r="O1759" s="66" t="str">
        <f>IFERROR(__xludf.DUMMYFUNCTION("GOOGLETRANSLATE(N1759,""EN"",""ES"")"),"Invertir en el desarrollo del talento joven fortalece la marca empleadora de Repsol.")</f>
        <v>Invertir en el desarrollo del talento joven fortalece la marca empleadora de Repsol.</v>
      </c>
      <c r="P1759" s="30">
        <v>0.4</v>
      </c>
      <c r="Q1759" s="31" t="str">
        <f>IFERROR(__xludf.DUMMYFUNCTION("GOOGLETRANSLATE(R1759,""ES"",""EN"")"),"spear (CSR)")</f>
        <v>spear (CSR)</v>
      </c>
      <c r="R1759" s="28" t="s">
        <v>12689</v>
      </c>
      <c r="S1759" s="53" t="s">
        <v>10022</v>
      </c>
      <c r="T1759" s="32" t="s">
        <v>10023</v>
      </c>
    </row>
    <row r="1760">
      <c r="A1760" s="33" t="s">
        <v>12690</v>
      </c>
      <c r="B1760" s="60" t="s">
        <v>3992</v>
      </c>
      <c r="C1760" s="41">
        <v>45420.0</v>
      </c>
      <c r="D1760" s="40" t="s">
        <v>12691</v>
      </c>
      <c r="E1760" s="41" t="s">
        <v>12692</v>
      </c>
      <c r="F1760" s="43" t="s">
        <v>12693</v>
      </c>
      <c r="G1760" s="43" t="s">
        <v>12694</v>
      </c>
      <c r="H1760" s="51" t="s">
        <v>408</v>
      </c>
      <c r="I1760" s="15" t="str">
        <f>IFERROR(__xludf.DUMMYFUNCTION("GOOGLETRANSLATE(H1760,""EN"",""ES"")"),"Legal")</f>
        <v>Legal</v>
      </c>
      <c r="J1760" s="16" t="s">
        <v>35</v>
      </c>
      <c r="K1760" s="48">
        <v>0.6</v>
      </c>
      <c r="L1760" s="51" t="s">
        <v>12670</v>
      </c>
      <c r="M1760" s="34" t="s">
        <v>12671</v>
      </c>
      <c r="N1760" s="65" t="s">
        <v>12695</v>
      </c>
      <c r="O1760" s="65" t="str">
        <f>IFERROR(__xludf.DUMMYFUNCTION("GOOGLETRANSLATE(N1760,""EN"",""ES"")"),"Desafiar con éxito a la competencia fortalece el prestigio corporativo de Repsol.")</f>
        <v>Desafiar con éxito a la competencia fortalece el prestigio corporativo de Repsol.</v>
      </c>
      <c r="P1760" s="30">
        <v>0.8</v>
      </c>
      <c r="Q1760" s="18" t="str">
        <f>IFERROR(__xludf.DUMMYFUNCTION("GOOGLETRANSLATE(R1760,""ES"",""EN"")"),"win (legal/PR win)")</f>
        <v>win (legal/PR win)</v>
      </c>
      <c r="R1760" s="34" t="s">
        <v>12696</v>
      </c>
      <c r="S1760" s="52" t="s">
        <v>9981</v>
      </c>
      <c r="T1760" s="22" t="s">
        <v>9982</v>
      </c>
    </row>
    <row r="1761">
      <c r="A1761" s="23" t="s">
        <v>12697</v>
      </c>
      <c r="B1761" s="58" t="s">
        <v>448</v>
      </c>
      <c r="C1761" s="41">
        <v>45420.0</v>
      </c>
      <c r="D1761" s="40" t="s">
        <v>12698</v>
      </c>
      <c r="E1761" s="41" t="s">
        <v>12699</v>
      </c>
      <c r="F1761" s="43" t="s">
        <v>12700</v>
      </c>
      <c r="G1761" s="43" t="s">
        <v>12701</v>
      </c>
      <c r="H1761" s="49" t="s">
        <v>408</v>
      </c>
      <c r="I1761" s="25" t="str">
        <f>IFERROR(__xludf.DUMMYFUNCTION("GOOGLETRANSLATE(H1761,""EN"",""ES"")"),"Legal")</f>
        <v>Legal</v>
      </c>
      <c r="J1761" s="26" t="s">
        <v>35</v>
      </c>
      <c r="K1761" s="48">
        <v>0.6</v>
      </c>
      <c r="L1761" s="49" t="s">
        <v>12670</v>
      </c>
      <c r="M1761" s="28" t="s">
        <v>12671</v>
      </c>
      <c r="N1761" s="66" t="s">
        <v>12702</v>
      </c>
      <c r="O1761" s="66" t="str">
        <f>IFERROR(__xludf.DUMMYFUNCTION("GOOGLETRANSLATE(N1761,""EN"",""ES"")"),"Las victorias legales refuerzan la reputación de Repsol.")</f>
        <v>Las victorias legales refuerzan la reputación de Repsol.</v>
      </c>
      <c r="P1761" s="30">
        <v>0.7</v>
      </c>
      <c r="Q1761" s="31" t="str">
        <f>IFERROR(__xludf.DUMMYFUNCTION("GOOGLETRANSLATE(R1761,""ES"",""EN"")"),"score a goal (PR win)")</f>
        <v>score a goal (PR win)</v>
      </c>
      <c r="R1761" s="28" t="s">
        <v>12703</v>
      </c>
      <c r="S1761" s="53" t="s">
        <v>10022</v>
      </c>
      <c r="T1761" s="32" t="s">
        <v>10023</v>
      </c>
    </row>
    <row r="1762">
      <c r="A1762" s="33" t="s">
        <v>12704</v>
      </c>
      <c r="B1762" s="60" t="s">
        <v>713</v>
      </c>
      <c r="C1762" s="41">
        <v>45420.0</v>
      </c>
      <c r="D1762" s="40" t="s">
        <v>12705</v>
      </c>
      <c r="E1762" s="41" t="s">
        <v>12706</v>
      </c>
      <c r="F1762" s="43" t="s">
        <v>12707</v>
      </c>
      <c r="G1762" s="43" t="s">
        <v>12708</v>
      </c>
      <c r="H1762" s="51" t="s">
        <v>408</v>
      </c>
      <c r="I1762" s="15" t="str">
        <f>IFERROR(__xludf.DUMMYFUNCTION("GOOGLETRANSLATE(H1762,""EN"",""ES"")"),"Legal")</f>
        <v>Legal</v>
      </c>
      <c r="J1762" s="16" t="s">
        <v>35</v>
      </c>
      <c r="K1762" s="48">
        <v>0.6</v>
      </c>
      <c r="L1762" s="51" t="s">
        <v>12670</v>
      </c>
      <c r="M1762" s="34" t="s">
        <v>12671</v>
      </c>
      <c r="N1762" s="65" t="s">
        <v>12709</v>
      </c>
      <c r="O1762" s="65" t="str">
        <f>IFERROR(__xludf.DUMMYFUNCTION("GOOGLETRANSLATE(N1762,""EN"",""ES"")"),"Participar en batallas legales con competidores puede moldear la percepción del mercado.")</f>
        <v>Participar en batallas legales con competidores puede moldear la percepción del mercado.</v>
      </c>
      <c r="P1762" s="30">
        <v>-0.5</v>
      </c>
      <c r="Q1762" s="18" t="str">
        <f>IFERROR(__xludf.DUMMYFUNCTION("GOOGLETRANSLATE(R1762,""ES"",""EN"")"),"war (conflict)")</f>
        <v>war (conflict)</v>
      </c>
      <c r="R1762" s="34" t="s">
        <v>12710</v>
      </c>
      <c r="S1762" s="52" t="s">
        <v>12711</v>
      </c>
      <c r="T1762" s="22" t="s">
        <v>12712</v>
      </c>
    </row>
    <row r="1763">
      <c r="A1763" s="23" t="s">
        <v>12713</v>
      </c>
      <c r="B1763" s="58" t="s">
        <v>12714</v>
      </c>
      <c r="C1763" s="41">
        <v>45420.0</v>
      </c>
      <c r="D1763" s="40" t="s">
        <v>12715</v>
      </c>
      <c r="E1763" s="41" t="s">
        <v>12716</v>
      </c>
      <c r="F1763" s="43" t="s">
        <v>12717</v>
      </c>
      <c r="G1763" s="43" t="s">
        <v>12718</v>
      </c>
      <c r="H1763" s="49" t="s">
        <v>661</v>
      </c>
      <c r="I1763" s="25" t="str">
        <f>IFERROR(__xludf.DUMMYFUNCTION("GOOGLETRANSLATE(H1763,""EN"",""ES"")"),"Estrategia empresarial")</f>
        <v>Estrategia empresarial</v>
      </c>
      <c r="J1763" s="26" t="s">
        <v>35</v>
      </c>
      <c r="K1763" s="48">
        <v>-0.5</v>
      </c>
      <c r="L1763" s="49" t="s">
        <v>12719</v>
      </c>
      <c r="M1763" s="28" t="s">
        <v>12720</v>
      </c>
      <c r="N1763" s="66" t="s">
        <v>12721</v>
      </c>
      <c r="O1763" s="66" t="str">
        <f>IFERROR(__xludf.DUMMYFUNCTION("GOOGLETRANSLATE(N1763,""EN"",""ES"")"),"Los conflictos laborales pueden afectar levemente la imagen de Repsol.")</f>
        <v>Los conflictos laborales pueden afectar levemente la imagen de Repsol.</v>
      </c>
      <c r="P1763" s="30">
        <v>-0.6</v>
      </c>
      <c r="Q1763" s="31" t="str">
        <f>IFERROR(__xludf.DUMMYFUNCTION("GOOGLETRANSLATE(R1763,""ES"",""EN"")"),"explodes (labor conflict)")</f>
        <v>explodes (labor conflict)</v>
      </c>
      <c r="R1763" s="28" t="s">
        <v>12722</v>
      </c>
      <c r="S1763" s="53" t="s">
        <v>12654</v>
      </c>
      <c r="T1763" s="32" t="s">
        <v>12655</v>
      </c>
    </row>
    <row r="1764">
      <c r="A1764" s="33" t="s">
        <v>12723</v>
      </c>
      <c r="B1764" s="60" t="s">
        <v>1072</v>
      </c>
      <c r="C1764" s="41">
        <v>45420.0</v>
      </c>
      <c r="D1764" s="40" t="s">
        <v>12724</v>
      </c>
      <c r="E1764" s="41" t="s">
        <v>12725</v>
      </c>
      <c r="F1764" s="43" t="s">
        <v>12726</v>
      </c>
      <c r="G1764" s="43" t="s">
        <v>12727</v>
      </c>
      <c r="H1764" s="51" t="s">
        <v>130</v>
      </c>
      <c r="I1764" s="15" t="str">
        <f>IFERROR(__xludf.DUMMYFUNCTION("GOOGLETRANSLATE(H1764,""EN"",""ES"")"),"Sostenibilidad")</f>
        <v>Sostenibilidad</v>
      </c>
      <c r="J1764" s="16" t="s">
        <v>35</v>
      </c>
      <c r="K1764" s="48">
        <v>0.5</v>
      </c>
      <c r="L1764" s="51" t="s">
        <v>12728</v>
      </c>
      <c r="M1764" s="34" t="s">
        <v>12729</v>
      </c>
      <c r="N1764" s="65" t="s">
        <v>12730</v>
      </c>
      <c r="O1764" s="65" t="str">
        <f>IFERROR(__xludf.DUMMYFUNCTION("GOOGLETRANSLATE(N1764,""EN"",""ES"")"),"Posicionar a Repsol como un actor energético de largo plazo respalda su estrategia.")</f>
        <v>Posicionar a Repsol como un actor energético de largo plazo respalda su estrategia.</v>
      </c>
      <c r="P1764" s="30">
        <v>-0.3</v>
      </c>
      <c r="Q1764" s="18" t="str">
        <f>IFERROR(__xludf.DUMMYFUNCTION("GOOGLETRANSLATE(R1764,""ES"",""EN"")"),"oil and gas (controversial stance)")</f>
        <v>oil and gas (controversial stance)</v>
      </c>
      <c r="R1764" s="34" t="s">
        <v>12731</v>
      </c>
      <c r="S1764" s="52" t="s">
        <v>12732</v>
      </c>
      <c r="T1764" s="22" t="s">
        <v>12733</v>
      </c>
    </row>
    <row r="1765">
      <c r="A1765" s="23" t="s">
        <v>12734</v>
      </c>
      <c r="B1765" s="58" t="s">
        <v>666</v>
      </c>
      <c r="C1765" s="41">
        <v>45420.0</v>
      </c>
      <c r="D1765" s="40" t="s">
        <v>12735</v>
      </c>
      <c r="E1765" s="41" t="s">
        <v>12736</v>
      </c>
      <c r="F1765" s="43" t="s">
        <v>12737</v>
      </c>
      <c r="G1765" s="43" t="s">
        <v>12738</v>
      </c>
      <c r="H1765" s="49" t="s">
        <v>408</v>
      </c>
      <c r="I1765" s="25" t="str">
        <f>IFERROR(__xludf.DUMMYFUNCTION("GOOGLETRANSLATE(H1765,""EN"",""ES"")"),"Legal")</f>
        <v>Legal</v>
      </c>
      <c r="J1765" s="26" t="s">
        <v>35</v>
      </c>
      <c r="K1765" s="48">
        <v>0.6</v>
      </c>
      <c r="L1765" s="49" t="s">
        <v>12670</v>
      </c>
      <c r="M1765" s="28" t="s">
        <v>12671</v>
      </c>
      <c r="N1765" s="66" t="s">
        <v>12739</v>
      </c>
      <c r="O1765" s="66" t="str">
        <f>IFERROR(__xludf.DUMMYFUNCTION("GOOGLETRANSLATE(N1765,""EN"",""ES"")"),"Las sentencias judiciales favorables refuerzan la credibilidad de Repsol.")</f>
        <v>Las sentencias judiciales favorables refuerzan la credibilidad de Repsol.</v>
      </c>
      <c r="P1765" s="30">
        <v>0.6</v>
      </c>
      <c r="Q1765" s="31" t="str">
        <f>IFERROR(__xludf.DUMMYFUNCTION("GOOGLETRANSLATE(R1765,""ES"",""EN"")"),"deception (PR win)")</f>
        <v>deception (PR win)</v>
      </c>
      <c r="R1765" s="28" t="s">
        <v>12740</v>
      </c>
      <c r="S1765" s="53" t="s">
        <v>10022</v>
      </c>
      <c r="T1765" s="32" t="s">
        <v>10023</v>
      </c>
    </row>
    <row r="1766">
      <c r="A1766" s="33" t="s">
        <v>12741</v>
      </c>
      <c r="B1766" s="60" t="s">
        <v>9516</v>
      </c>
      <c r="C1766" s="41">
        <v>45420.0</v>
      </c>
      <c r="D1766" s="40" t="s">
        <v>12742</v>
      </c>
      <c r="E1766" s="41" t="s">
        <v>12743</v>
      </c>
      <c r="F1766" s="43" t="s">
        <v>12744</v>
      </c>
      <c r="G1766" s="43" t="s">
        <v>12745</v>
      </c>
      <c r="H1766" s="51" t="s">
        <v>8166</v>
      </c>
      <c r="I1766" s="15" t="str">
        <f>IFERROR(__xludf.DUMMYFUNCTION("GOOGLETRANSLATE(H1766,""EN"",""ES"")"),"Economía")</f>
        <v>Economía</v>
      </c>
      <c r="J1766" s="16" t="s">
        <v>27</v>
      </c>
      <c r="K1766" s="17">
        <v>0.0</v>
      </c>
      <c r="L1766" s="45"/>
      <c r="M1766" s="18"/>
      <c r="N1766" s="65"/>
      <c r="O1766" s="65"/>
      <c r="P1766" s="20">
        <v>0.0</v>
      </c>
      <c r="Q1766" s="18"/>
      <c r="R1766" s="18"/>
      <c r="S1766" s="52"/>
      <c r="T1766" s="22"/>
    </row>
    <row r="1767">
      <c r="A1767" s="23" t="s">
        <v>12746</v>
      </c>
      <c r="B1767" s="58" t="s">
        <v>163</v>
      </c>
      <c r="C1767" s="41">
        <v>45420.0</v>
      </c>
      <c r="D1767" s="40" t="s">
        <v>12747</v>
      </c>
      <c r="E1767" s="41" t="s">
        <v>12748</v>
      </c>
      <c r="F1767" s="43" t="s">
        <v>12749</v>
      </c>
      <c r="G1767" s="43" t="s">
        <v>12750</v>
      </c>
      <c r="H1767" s="49" t="s">
        <v>55</v>
      </c>
      <c r="I1767" s="25" t="str">
        <f>IFERROR(__xludf.DUMMYFUNCTION("GOOGLETRANSLATE(H1767,""EN"",""ES"")"),"deportes de motor")</f>
        <v>deportes de motor</v>
      </c>
      <c r="J1767" s="26" t="s">
        <v>27</v>
      </c>
      <c r="K1767" s="17">
        <v>0.0</v>
      </c>
      <c r="L1767" s="54"/>
      <c r="M1767" s="31"/>
      <c r="N1767" s="66"/>
      <c r="O1767" s="66"/>
      <c r="P1767" s="20">
        <v>0.0</v>
      </c>
      <c r="Q1767" s="31"/>
      <c r="R1767" s="31"/>
      <c r="S1767" s="53"/>
      <c r="T1767" s="32"/>
    </row>
    <row r="1768">
      <c r="A1768" s="33" t="s">
        <v>12751</v>
      </c>
      <c r="B1768" s="60" t="s">
        <v>103</v>
      </c>
      <c r="C1768" s="41">
        <v>45420.0</v>
      </c>
      <c r="D1768" s="40" t="s">
        <v>12752</v>
      </c>
      <c r="E1768" s="41" t="s">
        <v>12753</v>
      </c>
      <c r="F1768" s="43" t="s">
        <v>12754</v>
      </c>
      <c r="G1768" s="43" t="s">
        <v>12755</v>
      </c>
      <c r="H1768" s="51" t="s">
        <v>48</v>
      </c>
      <c r="I1768" s="15" t="str">
        <f>IFERROR(__xludf.DUMMYFUNCTION("GOOGLETRANSLATE(H1768,""EN"",""ES"")"),"Finanzas")</f>
        <v>Finanzas</v>
      </c>
      <c r="J1768" s="16" t="s">
        <v>35</v>
      </c>
      <c r="K1768" s="48">
        <v>0.5</v>
      </c>
      <c r="L1768" s="51" t="s">
        <v>12756</v>
      </c>
      <c r="M1768" s="34" t="s">
        <v>12757</v>
      </c>
      <c r="N1768" s="65" t="s">
        <v>12758</v>
      </c>
      <c r="O1768" s="65" t="str">
        <f>IFERROR(__xludf.DUMMYFUNCTION("GOOGLETRANSLATE(N1768,""EN"",""ES"")"),"Las políticas de tipos de interés pueden influir en la estrategia financiera de Repsol.")</f>
        <v>Las políticas de tipos de interés pueden influir en la estrategia financiera de Repsol.</v>
      </c>
      <c r="P1768" s="30">
        <v>0.0</v>
      </c>
      <c r="Q1768" s="18"/>
      <c r="R1768" s="18"/>
      <c r="S1768" s="52" t="s">
        <v>12759</v>
      </c>
      <c r="T1768" s="22" t="s">
        <v>12760</v>
      </c>
    </row>
    <row r="1769">
      <c r="A1769" s="23" t="s">
        <v>12761</v>
      </c>
      <c r="B1769" s="58" t="s">
        <v>217</v>
      </c>
      <c r="C1769" s="41">
        <v>45421.0</v>
      </c>
      <c r="D1769" s="40" t="s">
        <v>12762</v>
      </c>
      <c r="E1769" s="41" t="s">
        <v>12763</v>
      </c>
      <c r="F1769" s="43" t="s">
        <v>12764</v>
      </c>
      <c r="G1769" s="43" t="s">
        <v>12765</v>
      </c>
      <c r="H1769" s="49" t="s">
        <v>661</v>
      </c>
      <c r="I1769" s="25" t="str">
        <f>IFERROR(__xludf.DUMMYFUNCTION("GOOGLETRANSLATE(H1769,""EN"",""ES"")"),"Estrategia empresarial")</f>
        <v>Estrategia empresarial</v>
      </c>
      <c r="J1769" s="26" t="s">
        <v>35</v>
      </c>
      <c r="K1769" s="48">
        <v>0.5</v>
      </c>
      <c r="L1769" s="49" t="s">
        <v>12766</v>
      </c>
      <c r="M1769" s="28" t="s">
        <v>12767</v>
      </c>
      <c r="N1769" s="66" t="s">
        <v>12768</v>
      </c>
      <c r="O1769" s="66" t="str">
        <f>IFERROR(__xludf.DUMMYFUNCTION("GOOGLETRANSLATE(N1769,""EN"",""ES"")"),"La venta de activos puede impactar la estrategia de inversión a largo plazo de Repsol.")</f>
        <v>La venta de activos puede impactar la estrategia de inversión a largo plazo de Repsol.</v>
      </c>
      <c r="P1769" s="30">
        <v>0.3</v>
      </c>
      <c r="Q1769" s="31" t="str">
        <f>IFERROR(__xludf.DUMMYFUNCTION("GOOGLETRANSLATE(R1769,""ES"",""EN"")"),"sale (strategic move)")</f>
        <v>sale (strategic move)</v>
      </c>
      <c r="R1769" s="28" t="s">
        <v>12769</v>
      </c>
      <c r="S1769" s="53" t="s">
        <v>12770</v>
      </c>
      <c r="T1769" s="32" t="s">
        <v>12770</v>
      </c>
    </row>
    <row r="1770">
      <c r="A1770" s="33" t="s">
        <v>12771</v>
      </c>
      <c r="B1770" s="60" t="s">
        <v>85</v>
      </c>
      <c r="C1770" s="41">
        <v>45421.0</v>
      </c>
      <c r="D1770" s="40" t="s">
        <v>12772</v>
      </c>
      <c r="E1770" s="41" t="s">
        <v>12773</v>
      </c>
      <c r="F1770" s="43" t="s">
        <v>12774</v>
      </c>
      <c r="G1770" s="43" t="s">
        <v>12775</v>
      </c>
      <c r="H1770" s="51" t="s">
        <v>661</v>
      </c>
      <c r="I1770" s="15" t="str">
        <f>IFERROR(__xludf.DUMMYFUNCTION("GOOGLETRANSLATE(H1770,""EN"",""ES"")"),"Estrategia empresarial")</f>
        <v>Estrategia empresarial</v>
      </c>
      <c r="J1770" s="16" t="s">
        <v>35</v>
      </c>
      <c r="K1770" s="48">
        <v>0.6</v>
      </c>
      <c r="L1770" s="51" t="s">
        <v>12776</v>
      </c>
      <c r="M1770" s="34" t="s">
        <v>12777</v>
      </c>
      <c r="N1770" s="65" t="s">
        <v>12778</v>
      </c>
      <c r="O1770" s="65" t="str">
        <f>IFERROR(__xludf.DUMMYFUNCTION("GOOGLETRANSLATE(N1770,""EN"",""ES"")"),"La captación de clientes en electricidad mejora el posicionamiento competitivo de Repsol.")</f>
        <v>La captación de clientes en electricidad mejora el posicionamiento competitivo de Repsol.</v>
      </c>
      <c r="P1770" s="30">
        <v>0.7</v>
      </c>
      <c r="Q1770" s="18" t="str">
        <f>IFERROR(__xludf.DUMMYFUNCTION("GOOGLETRANSLATE(R1770,""ES"",""EN"")"),"they lose customers (competitive win)")</f>
        <v>they lose customers (competitive win)</v>
      </c>
      <c r="R1770" s="34" t="s">
        <v>12779</v>
      </c>
      <c r="S1770" s="52" t="s">
        <v>10022</v>
      </c>
      <c r="T1770" s="22" t="s">
        <v>10023</v>
      </c>
    </row>
    <row r="1771">
      <c r="A1771" s="23" t="s">
        <v>12780</v>
      </c>
      <c r="B1771" s="58" t="s">
        <v>21</v>
      </c>
      <c r="C1771" s="41">
        <v>45421.0</v>
      </c>
      <c r="D1771" s="40" t="s">
        <v>12781</v>
      </c>
      <c r="E1771" s="41" t="s">
        <v>12782</v>
      </c>
      <c r="F1771" s="43" t="s">
        <v>12783</v>
      </c>
      <c r="G1771" s="43" t="s">
        <v>12784</v>
      </c>
      <c r="H1771" s="49" t="s">
        <v>5878</v>
      </c>
      <c r="I1771" s="25" t="str">
        <f>IFERROR(__xludf.DUMMYFUNCTION("GOOGLETRANSLATE(H1771,""EN"",""ES"")"),"Entretenimiento")</f>
        <v>Entretenimiento</v>
      </c>
      <c r="J1771" s="26" t="s">
        <v>27</v>
      </c>
      <c r="K1771" s="17">
        <v>0.0</v>
      </c>
      <c r="L1771" s="54"/>
      <c r="M1771" s="31"/>
      <c r="N1771" s="66"/>
      <c r="O1771" s="66"/>
      <c r="P1771" s="20">
        <v>0.0</v>
      </c>
      <c r="Q1771" s="31"/>
      <c r="R1771" s="31"/>
      <c r="S1771" s="53"/>
      <c r="T1771" s="32"/>
    </row>
    <row r="1772">
      <c r="A1772" s="33" t="s">
        <v>12785</v>
      </c>
      <c r="B1772" s="60" t="s">
        <v>3992</v>
      </c>
      <c r="C1772" s="41">
        <v>45421.0</v>
      </c>
      <c r="D1772" s="40" t="s">
        <v>12786</v>
      </c>
      <c r="E1772" s="41" t="s">
        <v>12787</v>
      </c>
      <c r="F1772" s="43" t="s">
        <v>12788</v>
      </c>
      <c r="G1772" s="43" t="s">
        <v>12789</v>
      </c>
      <c r="H1772" s="51" t="s">
        <v>408</v>
      </c>
      <c r="I1772" s="15" t="str">
        <f>IFERROR(__xludf.DUMMYFUNCTION("GOOGLETRANSLATE(H1772,""EN"",""ES"")"),"Legal")</f>
        <v>Legal</v>
      </c>
      <c r="J1772" s="16" t="s">
        <v>35</v>
      </c>
      <c r="K1772" s="48">
        <v>0.6</v>
      </c>
      <c r="L1772" s="51" t="s">
        <v>12670</v>
      </c>
      <c r="M1772" s="34" t="s">
        <v>12671</v>
      </c>
      <c r="N1772" s="65" t="s">
        <v>12790</v>
      </c>
      <c r="O1772" s="65" t="str">
        <f>IFERROR(__xludf.DUMMYFUNCTION("GOOGLETRANSLATE(N1772,""EN"",""ES"")"),"Las acusaciones de la competencia ponen de relieve la solidez jurídica de Repsol.")</f>
        <v>Las acusaciones de la competencia ponen de relieve la solidez jurídica de Repsol.</v>
      </c>
      <c r="P1772" s="30">
        <v>-0.4</v>
      </c>
      <c r="Q1772" s="18" t="str">
        <f>IFERROR(__xludf.DUMMYFUNCTION("GOOGLETRANSLATE(R1772,""ES"",""EN"")"),"accuse (conflict)")</f>
        <v>accuse (conflict)</v>
      </c>
      <c r="R1772" s="34" t="s">
        <v>12791</v>
      </c>
      <c r="S1772" s="52" t="s">
        <v>12654</v>
      </c>
      <c r="T1772" s="22" t="s">
        <v>12655</v>
      </c>
    </row>
    <row r="1773">
      <c r="A1773" s="23" t="s">
        <v>12792</v>
      </c>
      <c r="B1773" s="58" t="s">
        <v>21</v>
      </c>
      <c r="C1773" s="41">
        <v>45421.0</v>
      </c>
      <c r="D1773" s="40" t="s">
        <v>12793</v>
      </c>
      <c r="E1773" s="41" t="s">
        <v>12793</v>
      </c>
      <c r="F1773" s="43" t="s">
        <v>12794</v>
      </c>
      <c r="G1773" s="43" t="s">
        <v>12794</v>
      </c>
      <c r="H1773" s="49" t="s">
        <v>148</v>
      </c>
      <c r="I1773" s="25" t="str">
        <f>IFERROR(__xludf.DUMMYFUNCTION("GOOGLETRANSLATE(H1773,""EN"",""ES"")"),"Gastronomía")</f>
        <v>Gastronomía</v>
      </c>
      <c r="J1773" s="26" t="s">
        <v>27</v>
      </c>
      <c r="K1773" s="17">
        <v>0.0</v>
      </c>
      <c r="L1773" s="54"/>
      <c r="M1773" s="31"/>
      <c r="N1773" s="66"/>
      <c r="O1773" s="66"/>
      <c r="P1773" s="20">
        <v>0.0</v>
      </c>
      <c r="Q1773" s="31"/>
      <c r="R1773" s="31"/>
      <c r="S1773" s="53"/>
      <c r="T1773" s="32"/>
    </row>
    <row r="1774">
      <c r="A1774" s="33" t="s">
        <v>12795</v>
      </c>
      <c r="B1774" s="60" t="s">
        <v>499</v>
      </c>
      <c r="C1774" s="41">
        <v>45421.0</v>
      </c>
      <c r="D1774" s="40" t="s">
        <v>12796</v>
      </c>
      <c r="E1774" s="41" t="s">
        <v>12797</v>
      </c>
      <c r="F1774" s="43" t="s">
        <v>12798</v>
      </c>
      <c r="G1774" s="43" t="s">
        <v>12799</v>
      </c>
      <c r="H1774" s="51" t="s">
        <v>130</v>
      </c>
      <c r="I1774" s="15" t="str">
        <f>IFERROR(__xludf.DUMMYFUNCTION("GOOGLETRANSLATE(H1774,""EN"",""ES"")"),"Sostenibilidad")</f>
        <v>Sostenibilidad</v>
      </c>
      <c r="J1774" s="16" t="s">
        <v>35</v>
      </c>
      <c r="K1774" s="48">
        <v>0.0</v>
      </c>
      <c r="L1774" s="45"/>
      <c r="M1774" s="18"/>
      <c r="N1774" s="65" t="s">
        <v>12800</v>
      </c>
      <c r="O1774" s="65" t="str">
        <f>IFERROR(__xludf.DUMMYFUNCTION("GOOGLETRANSLATE(N1774,""EN"",""ES"")"),"Las asociaciones industriales en general no impactan en el negocio de Repsol.")</f>
        <v>Las asociaciones industriales en general no impactan en el negocio de Repsol.</v>
      </c>
      <c r="P1774" s="30">
        <v>0.0</v>
      </c>
      <c r="Q1774" s="18"/>
      <c r="R1774" s="18"/>
      <c r="S1774" s="52" t="s">
        <v>12622</v>
      </c>
      <c r="T1774" s="22" t="s">
        <v>12623</v>
      </c>
    </row>
    <row r="1775">
      <c r="A1775" s="23" t="s">
        <v>12801</v>
      </c>
      <c r="B1775" s="58" t="s">
        <v>1072</v>
      </c>
      <c r="C1775" s="41">
        <v>45421.0</v>
      </c>
      <c r="D1775" s="40" t="s">
        <v>12802</v>
      </c>
      <c r="E1775" s="41" t="s">
        <v>12803</v>
      </c>
      <c r="F1775" s="43" t="s">
        <v>12804</v>
      </c>
      <c r="G1775" s="43" t="s">
        <v>12805</v>
      </c>
      <c r="H1775" s="49" t="s">
        <v>48</v>
      </c>
      <c r="I1775" s="25" t="str">
        <f>IFERROR(__xludf.DUMMYFUNCTION("GOOGLETRANSLATE(H1775,""EN"",""ES"")"),"Finanzas")</f>
        <v>Finanzas</v>
      </c>
      <c r="J1775" s="26" t="s">
        <v>27</v>
      </c>
      <c r="K1775" s="17">
        <v>0.0</v>
      </c>
      <c r="L1775" s="54"/>
      <c r="M1775" s="31"/>
      <c r="N1775" s="66"/>
      <c r="O1775" s="66"/>
      <c r="P1775" s="20">
        <v>0.0</v>
      </c>
      <c r="Q1775" s="31"/>
      <c r="R1775" s="31"/>
      <c r="S1775" s="53"/>
      <c r="T1775" s="32"/>
    </row>
    <row r="1776">
      <c r="A1776" s="33" t="s">
        <v>12806</v>
      </c>
      <c r="B1776" s="60" t="s">
        <v>4750</v>
      </c>
      <c r="C1776" s="41">
        <v>45421.0</v>
      </c>
      <c r="D1776" s="40" t="s">
        <v>12807</v>
      </c>
      <c r="E1776" s="41" t="s">
        <v>12808</v>
      </c>
      <c r="F1776" s="43" t="s">
        <v>12809</v>
      </c>
      <c r="G1776" s="43" t="s">
        <v>12810</v>
      </c>
      <c r="H1776" s="51" t="s">
        <v>130</v>
      </c>
      <c r="I1776" s="15" t="str">
        <f>IFERROR(__xludf.DUMMYFUNCTION("GOOGLETRANSLATE(H1776,""EN"",""ES"")"),"Sostenibilidad")</f>
        <v>Sostenibilidad</v>
      </c>
      <c r="J1776" s="16" t="s">
        <v>27</v>
      </c>
      <c r="K1776" s="17">
        <v>0.0</v>
      </c>
      <c r="L1776" s="45"/>
      <c r="M1776" s="18"/>
      <c r="N1776" s="65"/>
      <c r="O1776" s="65"/>
      <c r="P1776" s="20">
        <v>0.0</v>
      </c>
      <c r="Q1776" s="18"/>
      <c r="R1776" s="18"/>
      <c r="S1776" s="52"/>
      <c r="T1776" s="22"/>
    </row>
    <row r="1777">
      <c r="A1777" s="23" t="s">
        <v>12811</v>
      </c>
      <c r="B1777" s="58" t="s">
        <v>217</v>
      </c>
      <c r="C1777" s="41">
        <v>45421.0</v>
      </c>
      <c r="D1777" s="40" t="s">
        <v>12812</v>
      </c>
      <c r="E1777" s="41" t="s">
        <v>12813</v>
      </c>
      <c r="F1777" s="43" t="s">
        <v>12814</v>
      </c>
      <c r="G1777" s="43" t="s">
        <v>12815</v>
      </c>
      <c r="H1777" s="49" t="s">
        <v>408</v>
      </c>
      <c r="I1777" s="25" t="str">
        <f>IFERROR(__xludf.DUMMYFUNCTION("GOOGLETRANSLATE(H1777,""EN"",""ES"")"),"Legal")</f>
        <v>Legal</v>
      </c>
      <c r="J1777" s="26" t="s">
        <v>35</v>
      </c>
      <c r="K1777" s="48">
        <v>-0.6</v>
      </c>
      <c r="L1777" s="49" t="s">
        <v>12816</v>
      </c>
      <c r="M1777" s="28" t="s">
        <v>12817</v>
      </c>
      <c r="N1777" s="66" t="s">
        <v>12818</v>
      </c>
      <c r="O1777" s="66" t="str">
        <f>IFERROR(__xludf.DUMMYFUNCTION("GOOGLETRANSLATE(N1777,""EN"",""ES"")"),"Unas regulaciones más estrictas sobre el lavado verde pueden afectar el mensaje de sostenibilidad de Repsol.")</f>
        <v>Unas regulaciones más estrictas sobre el lavado verde pueden afectar el mensaje de sostenibilidad de Repsol.</v>
      </c>
      <c r="P1777" s="30">
        <v>-0.5</v>
      </c>
      <c r="Q1777" s="31" t="str">
        <f>IFERROR(__xludf.DUMMYFUNCTION("GOOGLETRANSLATE(R1777,""ES"",""EN"")"),"greenwashing (reputational risk)")</f>
        <v>greenwashing (reputational risk)</v>
      </c>
      <c r="R1777" s="28" t="s">
        <v>12283</v>
      </c>
      <c r="S1777" s="53" t="s">
        <v>12654</v>
      </c>
      <c r="T1777" s="32" t="s">
        <v>12655</v>
      </c>
    </row>
    <row r="1778">
      <c r="A1778" s="33" t="s">
        <v>12819</v>
      </c>
      <c r="B1778" s="60" t="s">
        <v>499</v>
      </c>
      <c r="C1778" s="41">
        <v>45421.0</v>
      </c>
      <c r="D1778" s="40" t="s">
        <v>12820</v>
      </c>
      <c r="E1778" s="41" t="s">
        <v>12821</v>
      </c>
      <c r="F1778" s="43" t="s">
        <v>12822</v>
      </c>
      <c r="G1778" s="43" t="s">
        <v>12823</v>
      </c>
      <c r="H1778" s="51" t="s">
        <v>62</v>
      </c>
      <c r="I1778" s="15" t="str">
        <f>IFERROR(__xludf.DUMMYFUNCTION("GOOGLETRANSLATE(H1778,""EN"",""ES"")"),"Energía")</f>
        <v>Energía</v>
      </c>
      <c r="J1778" s="16" t="s">
        <v>27</v>
      </c>
      <c r="K1778" s="17">
        <v>0.0</v>
      </c>
      <c r="L1778" s="45"/>
      <c r="M1778" s="18"/>
      <c r="N1778" s="65"/>
      <c r="O1778" s="65"/>
      <c r="P1778" s="20">
        <v>0.0</v>
      </c>
      <c r="Q1778" s="18"/>
      <c r="R1778" s="18"/>
      <c r="S1778" s="52"/>
      <c r="T1778" s="22"/>
    </row>
    <row r="1779">
      <c r="A1779" s="23" t="s">
        <v>12824</v>
      </c>
      <c r="B1779" s="58" t="s">
        <v>8861</v>
      </c>
      <c r="C1779" s="41">
        <v>45422.0</v>
      </c>
      <c r="D1779" s="40" t="s">
        <v>12825</v>
      </c>
      <c r="E1779" s="41" t="s">
        <v>12826</v>
      </c>
      <c r="F1779" s="43" t="s">
        <v>12827</v>
      </c>
      <c r="G1779" s="43" t="s">
        <v>12828</v>
      </c>
      <c r="H1779" s="49" t="s">
        <v>408</v>
      </c>
      <c r="I1779" s="25" t="str">
        <f>IFERROR(__xludf.DUMMYFUNCTION("GOOGLETRANSLATE(H1779,""EN"",""ES"")"),"Legal")</f>
        <v>Legal</v>
      </c>
      <c r="J1779" s="26" t="s">
        <v>35</v>
      </c>
      <c r="K1779" s="48">
        <v>-0.7</v>
      </c>
      <c r="L1779" s="49" t="s">
        <v>12829</v>
      </c>
      <c r="M1779" s="28" t="s">
        <v>12830</v>
      </c>
      <c r="N1779" s="66" t="s">
        <v>12831</v>
      </c>
      <c r="O1779" s="66" t="str">
        <f>IFERROR(__xludf.DUMMYFUNCTION("GOOGLETRANSLATE(N1779,""EN"",""ES"")"),"Las acusaciones de Greenpeace pueden impactar negativamente en la reputación de sostenibilidad de Repsol.")</f>
        <v>Las acusaciones de Greenpeace pueden impactar negativamente en la reputación de sostenibilidad de Repsol.</v>
      </c>
      <c r="P1779" s="30">
        <v>-0.9</v>
      </c>
      <c r="Q1779" s="31" t="str">
        <f>IFERROR(__xludf.DUMMYFUNCTION("GOOGLETRANSLATE(R1779,""ES"",""EN"")"),"guilty (activist criticism)")</f>
        <v>guilty (activist criticism)</v>
      </c>
      <c r="R1779" s="28" t="s">
        <v>12832</v>
      </c>
      <c r="S1779" s="53" t="s">
        <v>12833</v>
      </c>
      <c r="T1779" s="32" t="s">
        <v>12834</v>
      </c>
    </row>
    <row r="1780">
      <c r="A1780" s="33" t="s">
        <v>12835</v>
      </c>
      <c r="B1780" s="60" t="s">
        <v>9427</v>
      </c>
      <c r="C1780" s="41">
        <v>45422.0</v>
      </c>
      <c r="D1780" s="40" t="s">
        <v>12836</v>
      </c>
      <c r="E1780" s="41" t="s">
        <v>12837</v>
      </c>
      <c r="F1780" s="43" t="s">
        <v>12838</v>
      </c>
      <c r="G1780" s="43" t="s">
        <v>12839</v>
      </c>
      <c r="H1780" s="51" t="s">
        <v>408</v>
      </c>
      <c r="I1780" s="15" t="str">
        <f>IFERROR(__xludf.DUMMYFUNCTION("GOOGLETRANSLATE(H1780,""EN"",""ES"")"),"Legal")</f>
        <v>Legal</v>
      </c>
      <c r="J1780" s="16" t="s">
        <v>35</v>
      </c>
      <c r="K1780" s="48">
        <v>0.5</v>
      </c>
      <c r="L1780" s="51" t="s">
        <v>12840</v>
      </c>
      <c r="M1780" s="34" t="s">
        <v>12841</v>
      </c>
      <c r="N1780" s="65" t="s">
        <v>12842</v>
      </c>
      <c r="O1780" s="65" t="str">
        <f>IFERROR(__xludf.DUMMYFUNCTION("GOOGLETRANSLATE(N1780,""EN"",""ES"")"),"Defenderse de las acusaciones medioambientales respalda la postura corporativa de Repsol.")</f>
        <v>Defenderse de las acusaciones medioambientales respalda la postura corporativa de Repsol.</v>
      </c>
      <c r="P1780" s="30">
        <v>-0.6</v>
      </c>
      <c r="Q1780" s="18" t="str">
        <f>IFERROR(__xludf.DUMMYFUNCTION("GOOGLETRANSLATE(R1780,""ES"",""EN"")"),"accuse (conflict)")</f>
        <v>accuse (conflict)</v>
      </c>
      <c r="R1780" s="34" t="s">
        <v>12791</v>
      </c>
      <c r="S1780" s="52" t="s">
        <v>12654</v>
      </c>
      <c r="T1780" s="22" t="s">
        <v>12655</v>
      </c>
    </row>
    <row r="1781">
      <c r="A1781" s="23" t="s">
        <v>12843</v>
      </c>
      <c r="B1781" s="58" t="s">
        <v>2442</v>
      </c>
      <c r="C1781" s="41">
        <v>45422.0</v>
      </c>
      <c r="D1781" s="40" t="s">
        <v>12844</v>
      </c>
      <c r="E1781" s="41" t="s">
        <v>12845</v>
      </c>
      <c r="F1781" s="43" t="s">
        <v>12846</v>
      </c>
      <c r="G1781" s="43" t="s">
        <v>12847</v>
      </c>
      <c r="H1781" s="49" t="s">
        <v>130</v>
      </c>
      <c r="I1781" s="25" t="str">
        <f>IFERROR(__xludf.DUMMYFUNCTION("GOOGLETRANSLATE(H1781,""EN"",""ES"")"),"Sostenibilidad")</f>
        <v>Sostenibilidad</v>
      </c>
      <c r="J1781" s="26" t="s">
        <v>35</v>
      </c>
      <c r="K1781" s="48">
        <v>0.6</v>
      </c>
      <c r="L1781" s="49" t="s">
        <v>12848</v>
      </c>
      <c r="M1781" s="28" t="s">
        <v>12849</v>
      </c>
      <c r="N1781" s="66" t="s">
        <v>12850</v>
      </c>
      <c r="O1781" s="66" t="str">
        <f>IFERROR(__xludf.DUMMYFUNCTION("GOOGLETRANSLATE(N1781,""EN"",""ES"")"),"El posicionamiento como compañía energética responsable respalda la imagen pública de Repsol.")</f>
        <v>El posicionamiento como compañía energética responsable respalda la imagen pública de Repsol.</v>
      </c>
      <c r="P1781" s="30">
        <v>0.2</v>
      </c>
      <c r="Q1781" s="31" t="str">
        <f>IFERROR(__xludf.DUMMYFUNCTION("GOOGLETRANSLATE(R1781,""ES"",""EN"")"),"defend (PR stance)")</f>
        <v>defend (PR stance)</v>
      </c>
      <c r="R1781" s="28" t="s">
        <v>12851</v>
      </c>
      <c r="S1781" s="53" t="s">
        <v>10076</v>
      </c>
      <c r="T1781" s="32" t="s">
        <v>10077</v>
      </c>
    </row>
    <row r="1782">
      <c r="A1782" s="33" t="s">
        <v>12852</v>
      </c>
      <c r="B1782" s="60" t="s">
        <v>1081</v>
      </c>
      <c r="C1782" s="41">
        <v>45422.0</v>
      </c>
      <c r="D1782" s="40" t="s">
        <v>12853</v>
      </c>
      <c r="E1782" s="41" t="s">
        <v>12854</v>
      </c>
      <c r="F1782" s="43" t="s">
        <v>12855</v>
      </c>
      <c r="G1782" s="43" t="s">
        <v>12856</v>
      </c>
      <c r="H1782" s="51" t="s">
        <v>130</v>
      </c>
      <c r="I1782" s="15" t="str">
        <f>IFERROR(__xludf.DUMMYFUNCTION("GOOGLETRANSLATE(H1782,""EN"",""ES"")"),"Sostenibilidad")</f>
        <v>Sostenibilidad</v>
      </c>
      <c r="J1782" s="16" t="s">
        <v>35</v>
      </c>
      <c r="K1782" s="48">
        <v>0.6</v>
      </c>
      <c r="L1782" s="51" t="s">
        <v>12857</v>
      </c>
      <c r="M1782" s="34" t="s">
        <v>12858</v>
      </c>
      <c r="N1782" s="65" t="s">
        <v>12859</v>
      </c>
      <c r="O1782" s="65" t="str">
        <f>IFERROR(__xludf.DUMMYFUNCTION("GOOGLETRANSLATE(N1782,""EN"",""ES"")"),"Impulsar un papel activo en la transición energética potencia la reputación de Repsol.")</f>
        <v>Impulsar un papel activo en la transición energética potencia la reputación de Repsol.</v>
      </c>
      <c r="P1782" s="30">
        <v>0.3</v>
      </c>
      <c r="Q1782" s="18" t="str">
        <f>IFERROR(__xludf.DUMMYFUNCTION("GOOGLETRANSLATE(R1782,""ES"",""EN"")"),"climate change activists")</f>
        <v>climate change activists</v>
      </c>
      <c r="R1782" s="34" t="s">
        <v>12860</v>
      </c>
      <c r="S1782" s="52" t="s">
        <v>12861</v>
      </c>
      <c r="T1782" s="22" t="s">
        <v>12862</v>
      </c>
    </row>
    <row r="1783">
      <c r="A1783" s="23" t="s">
        <v>12863</v>
      </c>
      <c r="B1783" s="58" t="s">
        <v>85</v>
      </c>
      <c r="C1783" s="41">
        <v>45422.0</v>
      </c>
      <c r="D1783" s="40" t="s">
        <v>12864</v>
      </c>
      <c r="E1783" s="41" t="s">
        <v>12865</v>
      </c>
      <c r="F1783" s="43" t="s">
        <v>12866</v>
      </c>
      <c r="G1783" s="43" t="s">
        <v>12867</v>
      </c>
      <c r="H1783" s="49" t="s">
        <v>48</v>
      </c>
      <c r="I1783" s="25" t="str">
        <f>IFERROR(__xludf.DUMMYFUNCTION("GOOGLETRANSLATE(H1783,""EN"",""ES"")"),"Finanzas")</f>
        <v>Finanzas</v>
      </c>
      <c r="J1783" s="26" t="s">
        <v>35</v>
      </c>
      <c r="K1783" s="48">
        <v>0.7</v>
      </c>
      <c r="L1783" s="49" t="s">
        <v>12868</v>
      </c>
      <c r="M1783" s="28" t="s">
        <v>12869</v>
      </c>
      <c r="N1783" s="66" t="s">
        <v>12870</v>
      </c>
      <c r="O1783" s="66" t="str">
        <f>IFERROR(__xludf.DUMMYFUNCTION("GOOGLETRANSLATE(N1783,""EN"",""ES"")"),"La mejora de la remuneración a los accionistas refuerza el atractivo inversor de Repsol.")</f>
        <v>La mejora de la remuneración a los accionistas refuerza el atractivo inversor de Repsol.</v>
      </c>
      <c r="P1783" s="30">
        <v>0.8</v>
      </c>
      <c r="Q1783" s="31" t="str">
        <f>IFERROR(__xludf.DUMMYFUNCTION("GOOGLETRANSLATE(R1783,""ES"",""EN"")"),"dividends (shareholder value)")</f>
        <v>dividends (shareholder value)</v>
      </c>
      <c r="R1783" s="28" t="s">
        <v>12871</v>
      </c>
      <c r="S1783" s="53" t="s">
        <v>9981</v>
      </c>
      <c r="T1783" s="32" t="s">
        <v>9982</v>
      </c>
    </row>
    <row r="1784">
      <c r="A1784" s="33" t="s">
        <v>12872</v>
      </c>
      <c r="B1784" s="60" t="s">
        <v>103</v>
      </c>
      <c r="C1784" s="41">
        <v>45422.0</v>
      </c>
      <c r="D1784" s="40" t="s">
        <v>12873</v>
      </c>
      <c r="E1784" s="41" t="s">
        <v>12874</v>
      </c>
      <c r="F1784" s="43" t="s">
        <v>12875</v>
      </c>
      <c r="G1784" s="43" t="s">
        <v>12876</v>
      </c>
      <c r="H1784" s="51" t="s">
        <v>130</v>
      </c>
      <c r="I1784" s="15" t="str">
        <f>IFERROR(__xludf.DUMMYFUNCTION("GOOGLETRANSLATE(H1784,""EN"",""ES"")"),"Sostenibilidad")</f>
        <v>Sostenibilidad</v>
      </c>
      <c r="J1784" s="16" t="s">
        <v>35</v>
      </c>
      <c r="K1784" s="48">
        <v>0.6</v>
      </c>
      <c r="L1784" s="51" t="s">
        <v>12877</v>
      </c>
      <c r="M1784" s="34" t="s">
        <v>12878</v>
      </c>
      <c r="N1784" s="65" t="s">
        <v>12879</v>
      </c>
      <c r="O1784" s="65" t="str">
        <f>IFERROR(__xludf.DUMMYFUNCTION("GOOGLETRANSLATE(N1784,""EN"",""ES"")"),"Reafirmar públicamente los compromisos de sostenibilidad fortalece las credenciales verdes de Repsol.")</f>
        <v>Reafirmar públicamente los compromisos de sostenibilidad fortalece las credenciales verdes de Repsol.</v>
      </c>
      <c r="P1784" s="30">
        <v>0.4</v>
      </c>
      <c r="Q1784" s="18" t="str">
        <f>IFERROR(__xludf.DUMMYFUNCTION("GOOGLETRANSLATE(R1784,""ES"",""EN"")"),"struggle activists (PR)")</f>
        <v>struggle activists (PR)</v>
      </c>
      <c r="R1784" s="34" t="s">
        <v>12880</v>
      </c>
      <c r="S1784" s="52" t="s">
        <v>10022</v>
      </c>
      <c r="T1784" s="22" t="s">
        <v>10023</v>
      </c>
    </row>
    <row r="1785">
      <c r="A1785" s="23" t="s">
        <v>12881</v>
      </c>
      <c r="B1785" s="58" t="s">
        <v>3067</v>
      </c>
      <c r="C1785" s="41">
        <v>45422.0</v>
      </c>
      <c r="D1785" s="40" t="s">
        <v>12882</v>
      </c>
      <c r="E1785" s="41" t="s">
        <v>12883</v>
      </c>
      <c r="F1785" s="43" t="s">
        <v>12884</v>
      </c>
      <c r="G1785" s="43" t="s">
        <v>12885</v>
      </c>
      <c r="H1785" s="49" t="s">
        <v>130</v>
      </c>
      <c r="I1785" s="25" t="str">
        <f>IFERROR(__xludf.DUMMYFUNCTION("GOOGLETRANSLATE(H1785,""EN"",""ES"")"),"Sostenibilidad")</f>
        <v>Sostenibilidad</v>
      </c>
      <c r="J1785" s="26" t="s">
        <v>35</v>
      </c>
      <c r="K1785" s="48">
        <v>0.6</v>
      </c>
      <c r="L1785" s="49" t="s">
        <v>12877</v>
      </c>
      <c r="M1785" s="28" t="s">
        <v>12878</v>
      </c>
      <c r="N1785" s="66" t="s">
        <v>12886</v>
      </c>
      <c r="O1785" s="66" t="str">
        <f>IFERROR(__xludf.DUMMYFUNCTION("GOOGLETRANSLATE(N1785,""EN"",""ES"")"),"Defender su enfoque de sostenibilidad fortalece la imagen pública de Repsol.")</f>
        <v>Defender su enfoque de sostenibilidad fortalece la imagen pública de Repsol.</v>
      </c>
      <c r="P1785" s="30">
        <v>0.5</v>
      </c>
      <c r="Q1785" s="31" t="str">
        <f>IFERROR(__xludf.DUMMYFUNCTION("GOOGLETRANSLATE(R1785,""ES"",""EN"")"),"climate change activist")</f>
        <v>climate change activist</v>
      </c>
      <c r="R1785" s="28" t="s">
        <v>12887</v>
      </c>
      <c r="S1785" s="53" t="s">
        <v>10022</v>
      </c>
      <c r="T1785" s="32" t="s">
        <v>10023</v>
      </c>
    </row>
    <row r="1786">
      <c r="A1786" s="33" t="s">
        <v>12888</v>
      </c>
      <c r="B1786" s="60" t="s">
        <v>403</v>
      </c>
      <c r="C1786" s="41">
        <v>45422.0</v>
      </c>
      <c r="D1786" s="40" t="s">
        <v>12889</v>
      </c>
      <c r="E1786" s="41" t="s">
        <v>12890</v>
      </c>
      <c r="F1786" s="43" t="s">
        <v>12891</v>
      </c>
      <c r="G1786" s="43" t="s">
        <v>12892</v>
      </c>
      <c r="H1786" s="73" t="s">
        <v>408</v>
      </c>
      <c r="I1786" s="15" t="str">
        <f>IFERROR(__xludf.DUMMYFUNCTION("GOOGLETRANSLATE(H1786,""EN"",""ES"")"),"Legal")</f>
        <v>Legal</v>
      </c>
      <c r="J1786" s="16" t="s">
        <v>35</v>
      </c>
      <c r="K1786" s="48">
        <v>-0.5</v>
      </c>
      <c r="L1786" s="73" t="s">
        <v>12893</v>
      </c>
      <c r="M1786" s="34" t="s">
        <v>12894</v>
      </c>
      <c r="N1786" s="65" t="s">
        <v>12895</v>
      </c>
      <c r="O1786" s="65" t="str">
        <f>IFERROR(__xludf.DUMMYFUNCTION("GOOGLETRANSLATE(N1786,""EN"",""ES"")"),"Las disputas públicas en curso sobre afirmaciones de sostenibilidad pueden afectar la reputación de Repsol.")</f>
        <v>Las disputas públicas en curso sobre afirmaciones de sostenibilidad pueden afectar la reputación de Repsol.</v>
      </c>
      <c r="P1786" s="30">
        <v>0.0</v>
      </c>
      <c r="Q1786" s="18"/>
      <c r="R1786" s="18"/>
      <c r="S1786" s="52" t="s">
        <v>12896</v>
      </c>
      <c r="T1786" s="22" t="s">
        <v>12897</v>
      </c>
    </row>
    <row r="1787">
      <c r="A1787" s="23" t="s">
        <v>12898</v>
      </c>
      <c r="B1787" s="58" t="s">
        <v>12899</v>
      </c>
      <c r="C1787" s="41">
        <v>45422.0</v>
      </c>
      <c r="D1787" s="40" t="s">
        <v>12900</v>
      </c>
      <c r="E1787" s="41" t="s">
        <v>12901</v>
      </c>
      <c r="F1787" s="43" t="s">
        <v>12902</v>
      </c>
      <c r="G1787" s="43" t="s">
        <v>12903</v>
      </c>
      <c r="H1787" s="73" t="s">
        <v>408</v>
      </c>
      <c r="I1787" s="25" t="str">
        <f>IFERROR(__xludf.DUMMYFUNCTION("GOOGLETRANSLATE(H1787,""EN"",""ES"")"),"Legal")</f>
        <v>Legal</v>
      </c>
      <c r="J1787" s="26" t="s">
        <v>35</v>
      </c>
      <c r="K1787" s="48">
        <v>0.5</v>
      </c>
      <c r="L1787" s="73" t="s">
        <v>12840</v>
      </c>
      <c r="M1787" s="28" t="s">
        <v>12904</v>
      </c>
      <c r="N1787" s="66" t="s">
        <v>12905</v>
      </c>
      <c r="O1787" s="66" t="str">
        <f>IFERROR(__xludf.DUMMYFUNCTION("GOOGLETRANSLATE(N1787,""EN"",""ES"")"),"Contrarrestar las acusaciones medioambientales respalda la credibilidad de Repsol.")</f>
        <v>Contrarrestar las acusaciones medioambientales respalda la credibilidad de Repsol.</v>
      </c>
      <c r="P1787" s="30">
        <v>0.4</v>
      </c>
      <c r="Q1787" s="31" t="str">
        <f>IFERROR(__xludf.DUMMYFUNCTION("GOOGLETRANSLATE(R1787,""ES"",""EN"")"),"we are not deniers (PR)")</f>
        <v>we are not deniers (PR)</v>
      </c>
      <c r="R1787" s="28" t="s">
        <v>12906</v>
      </c>
      <c r="S1787" s="53" t="s">
        <v>10022</v>
      </c>
      <c r="T1787" s="32" t="s">
        <v>10023</v>
      </c>
    </row>
    <row r="1788">
      <c r="A1788" s="33" t="s">
        <v>12907</v>
      </c>
      <c r="B1788" s="60" t="s">
        <v>12908</v>
      </c>
      <c r="C1788" s="41">
        <v>45422.0</v>
      </c>
      <c r="D1788" s="40" t="s">
        <v>12909</v>
      </c>
      <c r="E1788" s="41" t="s">
        <v>12910</v>
      </c>
      <c r="F1788" s="43" t="s">
        <v>12911</v>
      </c>
      <c r="G1788" s="43" t="s">
        <v>12912</v>
      </c>
      <c r="H1788" s="51" t="s">
        <v>48</v>
      </c>
      <c r="I1788" s="15" t="str">
        <f>IFERROR(__xludf.DUMMYFUNCTION("GOOGLETRANSLATE(H1788,""EN"",""ES"")"),"Finanzas")</f>
        <v>Finanzas</v>
      </c>
      <c r="J1788" s="16" t="s">
        <v>35</v>
      </c>
      <c r="K1788" s="48">
        <v>0.6</v>
      </c>
      <c r="L1788" s="51" t="s">
        <v>12913</v>
      </c>
      <c r="M1788" s="34" t="s">
        <v>12914</v>
      </c>
      <c r="N1788" s="65" t="s">
        <v>12915</v>
      </c>
      <c r="O1788" s="65" t="str">
        <f>IFERROR(__xludf.DUMMYFUNCTION("GOOGLETRANSLATE(N1788,""EN"",""ES"")"),"Discutir estrategias financieras refuerza la confianza de los inversores.")</f>
        <v>Discutir estrategias financieras refuerza la confianza de los inversores.</v>
      </c>
      <c r="P1788" s="30">
        <v>-0.7</v>
      </c>
      <c r="Q1788" s="18" t="str">
        <f>IFERROR(__xludf.DUMMYFUNCTION("GOOGLETRANSLATE(R1788,""ES"",""EN"")"),"accuse (conflict)")</f>
        <v>accuse (conflict)</v>
      </c>
      <c r="R1788" s="34" t="s">
        <v>12791</v>
      </c>
      <c r="S1788" s="52" t="s">
        <v>12654</v>
      </c>
      <c r="T1788" s="22" t="s">
        <v>12655</v>
      </c>
    </row>
    <row r="1789">
      <c r="A1789" s="23" t="s">
        <v>12916</v>
      </c>
      <c r="B1789" s="58" t="s">
        <v>626</v>
      </c>
      <c r="C1789" s="41">
        <v>45422.0</v>
      </c>
      <c r="D1789" s="40" t="s">
        <v>12917</v>
      </c>
      <c r="E1789" s="41" t="s">
        <v>12918</v>
      </c>
      <c r="F1789" s="43" t="s">
        <v>12919</v>
      </c>
      <c r="G1789" s="43" t="s">
        <v>12920</v>
      </c>
      <c r="H1789" s="49" t="s">
        <v>408</v>
      </c>
      <c r="I1789" s="25" t="str">
        <f>IFERROR(__xludf.DUMMYFUNCTION("GOOGLETRANSLATE(H1789,""EN"",""ES"")"),"Legal")</f>
        <v>Legal</v>
      </c>
      <c r="J1789" s="26" t="s">
        <v>35</v>
      </c>
      <c r="K1789" s="48">
        <v>-0.5</v>
      </c>
      <c r="L1789" s="49" t="s">
        <v>12921</v>
      </c>
      <c r="M1789" s="28" t="s">
        <v>12922</v>
      </c>
      <c r="N1789" s="66" t="s">
        <v>12923</v>
      </c>
      <c r="O1789" s="66" t="str">
        <f>IFERROR(__xludf.DUMMYFUNCTION("GOOGLETRANSLATE(N1789,""EN"",""ES"")"),"Los enfrentamientos con activistas medioambientales pueden afectar negativamente a la reputación de Repsol.")</f>
        <v>Los enfrentamientos con activistas medioambientales pueden afectar negativamente a la reputación de Repsol.</v>
      </c>
      <c r="P1789" s="30">
        <v>0.0</v>
      </c>
      <c r="Q1789" s="31"/>
      <c r="R1789" s="31"/>
      <c r="S1789" s="53" t="s">
        <v>12924</v>
      </c>
      <c r="T1789" s="32" t="s">
        <v>12925</v>
      </c>
    </row>
    <row r="1790">
      <c r="A1790" s="33" t="s">
        <v>12926</v>
      </c>
      <c r="B1790" s="60" t="s">
        <v>2952</v>
      </c>
      <c r="C1790" s="41">
        <v>45422.0</v>
      </c>
      <c r="D1790" s="40" t="s">
        <v>12927</v>
      </c>
      <c r="E1790" s="41" t="s">
        <v>12928</v>
      </c>
      <c r="F1790" s="43" t="s">
        <v>12929</v>
      </c>
      <c r="G1790" s="43" t="s">
        <v>12930</v>
      </c>
      <c r="H1790" s="51" t="s">
        <v>48</v>
      </c>
      <c r="I1790" s="15" t="str">
        <f>IFERROR(__xludf.DUMMYFUNCTION("GOOGLETRANSLATE(H1790,""EN"",""ES"")"),"Finanzas")</f>
        <v>Finanzas</v>
      </c>
      <c r="J1790" s="16" t="s">
        <v>35</v>
      </c>
      <c r="K1790" s="48">
        <v>-0.5</v>
      </c>
      <c r="L1790" s="51" t="s">
        <v>12931</v>
      </c>
      <c r="M1790" s="34" t="s">
        <v>12932</v>
      </c>
      <c r="N1790" s="65" t="s">
        <v>12933</v>
      </c>
      <c r="O1790" s="65" t="str">
        <f>IFERROR(__xludf.DUMMYFUNCTION("GOOGLETRANSLATE(N1790,""EN"",""ES"")"),"Las disputas públicas sobre impuestos pueden afectar la planificación financiera de Repsol.")</f>
        <v>Las disputas públicas sobre impuestos pueden afectar la planificación financiera de Repsol.</v>
      </c>
      <c r="P1790" s="30">
        <v>-0.6</v>
      </c>
      <c r="Q1790" s="18" t="str">
        <f>IFERROR(__xludf.DUMMYFUNCTION("GOOGLETRANSLATE(R1790,""ES"",""EN"")"),"devastating (conflict)")</f>
        <v>devastating (conflict)</v>
      </c>
      <c r="R1790" s="34" t="s">
        <v>12934</v>
      </c>
      <c r="S1790" s="52" t="s">
        <v>12654</v>
      </c>
      <c r="T1790" s="22" t="s">
        <v>12655</v>
      </c>
    </row>
    <row r="1791">
      <c r="A1791" s="23" t="s">
        <v>12935</v>
      </c>
      <c r="B1791" s="58" t="s">
        <v>448</v>
      </c>
      <c r="C1791" s="41">
        <v>45422.0</v>
      </c>
      <c r="D1791" s="40" t="s">
        <v>12936</v>
      </c>
      <c r="E1791" s="41" t="s">
        <v>12937</v>
      </c>
      <c r="F1791" s="43" t="s">
        <v>12938</v>
      </c>
      <c r="G1791" s="43" t="s">
        <v>12939</v>
      </c>
      <c r="H1791" s="49" t="s">
        <v>408</v>
      </c>
      <c r="I1791" s="25" t="str">
        <f>IFERROR(__xludf.DUMMYFUNCTION("GOOGLETRANSLATE(H1791,""EN"",""ES"")"),"Legal")</f>
        <v>Legal</v>
      </c>
      <c r="J1791" s="26" t="s">
        <v>35</v>
      </c>
      <c r="K1791" s="48">
        <v>-0.6</v>
      </c>
      <c r="L1791" s="49" t="s">
        <v>12940</v>
      </c>
      <c r="M1791" s="28" t="s">
        <v>12941</v>
      </c>
      <c r="N1791" s="66" t="s">
        <v>12942</v>
      </c>
      <c r="O1791" s="66" t="str">
        <f>IFERROR(__xludf.DUMMYFUNCTION("GOOGLETRANSLATE(N1791,""EN"",""ES"")"),"Las acusaciones de organizaciones ecologistas pueden perjudicar la percepción de sostenibilidad de Repsol.")</f>
        <v>Las acusaciones de organizaciones ecologistas pueden perjudicar la percepción de sostenibilidad de Repsol.</v>
      </c>
      <c r="P1791" s="30">
        <v>-0.4</v>
      </c>
      <c r="Q1791" s="31" t="str">
        <f>IFERROR(__xludf.DUMMYFUNCTION("GOOGLETRANSLATE(R1791,""ES"",""EN"")"),"charge against (policy dispute)")</f>
        <v>charge against (policy dispute)</v>
      </c>
      <c r="R1791" s="28" t="s">
        <v>12943</v>
      </c>
      <c r="S1791" s="53" t="s">
        <v>12654</v>
      </c>
      <c r="T1791" s="32" t="s">
        <v>12655</v>
      </c>
    </row>
    <row r="1792">
      <c r="A1792" s="33" t="s">
        <v>12944</v>
      </c>
      <c r="B1792" s="60" t="s">
        <v>1602</v>
      </c>
      <c r="C1792" s="41">
        <v>45422.0</v>
      </c>
      <c r="D1792" s="40" t="s">
        <v>12945</v>
      </c>
      <c r="E1792" s="41" t="s">
        <v>12946</v>
      </c>
      <c r="F1792" s="43" t="s">
        <v>12947</v>
      </c>
      <c r="G1792" s="43" t="s">
        <v>12948</v>
      </c>
      <c r="H1792" s="51" t="s">
        <v>48</v>
      </c>
      <c r="I1792" s="15" t="str">
        <f>IFERROR(__xludf.DUMMYFUNCTION("GOOGLETRANSLATE(H1792,""EN"",""ES"")"),"Finanzas")</f>
        <v>Finanzas</v>
      </c>
      <c r="J1792" s="16" t="s">
        <v>35</v>
      </c>
      <c r="K1792" s="48">
        <v>0.6</v>
      </c>
      <c r="L1792" s="51" t="s">
        <v>12949</v>
      </c>
      <c r="M1792" s="34" t="s">
        <v>12950</v>
      </c>
      <c r="N1792" s="65" t="s">
        <v>12951</v>
      </c>
      <c r="O1792" s="65" t="str">
        <f>IFERROR(__xludf.DUMMYFUNCTION("GOOGLETRANSLATE(N1792,""EN"",""ES"")"),"El pago de dividendos mejora la confianza de los inversores en Repsol.")</f>
        <v>El pago de dividendos mejora la confianza de los inversores en Repsol.</v>
      </c>
      <c r="P1792" s="30">
        <v>-0.8</v>
      </c>
      <c r="Q1792" s="18" t="str">
        <f>IFERROR(__xludf.DUMMYFUNCTION("GOOGLETRANSLATE(R1792,""ES"",""EN"")"),"conflict")</f>
        <v>conflict</v>
      </c>
      <c r="R1792" s="34" t="s">
        <v>12952</v>
      </c>
      <c r="S1792" s="52" t="s">
        <v>12953</v>
      </c>
      <c r="T1792" s="22" t="s">
        <v>12954</v>
      </c>
    </row>
    <row r="1793">
      <c r="A1793" s="23" t="s">
        <v>12955</v>
      </c>
      <c r="B1793" s="58" t="s">
        <v>43</v>
      </c>
      <c r="C1793" s="41">
        <v>45422.0</v>
      </c>
      <c r="D1793" s="40" t="s">
        <v>12956</v>
      </c>
      <c r="E1793" s="41" t="s">
        <v>12957</v>
      </c>
      <c r="F1793" s="43" t="s">
        <v>12958</v>
      </c>
      <c r="G1793" s="43" t="s">
        <v>12959</v>
      </c>
      <c r="H1793" s="49" t="s">
        <v>130</v>
      </c>
      <c r="I1793" s="25" t="str">
        <f>IFERROR(__xludf.DUMMYFUNCTION("GOOGLETRANSLATE(H1793,""EN"",""ES"")"),"Sostenibilidad")</f>
        <v>Sostenibilidad</v>
      </c>
      <c r="J1793" s="26" t="s">
        <v>35</v>
      </c>
      <c r="K1793" s="48">
        <v>0.6</v>
      </c>
      <c r="L1793" s="49" t="s">
        <v>12960</v>
      </c>
      <c r="M1793" s="28" t="s">
        <v>12961</v>
      </c>
      <c r="N1793" s="66" t="s">
        <v>12962</v>
      </c>
      <c r="O1793" s="66" t="str">
        <f>IFERROR(__xludf.DUMMYFUNCTION("GOOGLETRANSLATE(N1793,""EN"",""ES"")"),"Reforzar públicamente los compromisos de sostenibilidad fortalece la reputación de Repsol.")</f>
        <v>Reforzar públicamente los compromisos de sostenibilidad fortalece la reputación de Repsol.</v>
      </c>
      <c r="P1793" s="30">
        <v>0.7</v>
      </c>
      <c r="Q1793" s="31" t="str">
        <f>IFERROR(__xludf.DUMMYFUNCTION("GOOGLETRANSLATE(R1793,""ES"",""EN"")"),"dividend (financial)")</f>
        <v>dividend (financial)</v>
      </c>
      <c r="R1793" s="28" t="s">
        <v>12963</v>
      </c>
      <c r="S1793" s="53" t="s">
        <v>10022</v>
      </c>
      <c r="T1793" s="32" t="s">
        <v>10023</v>
      </c>
    </row>
    <row r="1794">
      <c r="A1794" s="33" t="s">
        <v>12964</v>
      </c>
      <c r="B1794" s="60" t="s">
        <v>8861</v>
      </c>
      <c r="C1794" s="41">
        <v>45422.0</v>
      </c>
      <c r="D1794" s="40" t="s">
        <v>12965</v>
      </c>
      <c r="E1794" s="41" t="s">
        <v>12966</v>
      </c>
      <c r="F1794" s="43" t="s">
        <v>12967</v>
      </c>
      <c r="G1794" s="43" t="s">
        <v>12968</v>
      </c>
      <c r="H1794" s="51" t="s">
        <v>408</v>
      </c>
      <c r="I1794" s="15" t="str">
        <f>IFERROR(__xludf.DUMMYFUNCTION("GOOGLETRANSLATE(H1794,""EN"",""ES"")"),"Legal")</f>
        <v>Legal</v>
      </c>
      <c r="J1794" s="16" t="s">
        <v>35</v>
      </c>
      <c r="K1794" s="48">
        <v>-0.7</v>
      </c>
      <c r="L1794" s="51" t="s">
        <v>12829</v>
      </c>
      <c r="M1794" s="34" t="s">
        <v>12830</v>
      </c>
      <c r="N1794" s="65" t="s">
        <v>12969</v>
      </c>
      <c r="O1794" s="65" t="str">
        <f>IFERROR(__xludf.DUMMYFUNCTION("GOOGLETRANSLATE(N1794,""EN"",""ES"")"),"Las acusaciones de daño medioambiental pueden dañar la imagen pública de Repsol.")</f>
        <v>Las acusaciones de daño medioambiental pueden dañar la imagen pública de Repsol.</v>
      </c>
      <c r="P1794" s="30">
        <v>0.4</v>
      </c>
      <c r="Q1794" s="18" t="str">
        <f>IFERROR(__xludf.DUMMYFUNCTION("GOOGLETRANSLATE(R1794,""ES"",""EN"")"),"fight against climate change")</f>
        <v>fight against climate change</v>
      </c>
      <c r="R1794" s="34" t="s">
        <v>12970</v>
      </c>
      <c r="S1794" s="52" t="s">
        <v>12861</v>
      </c>
      <c r="T1794" s="22" t="s">
        <v>12862</v>
      </c>
    </row>
    <row r="1795">
      <c r="A1795" s="23" t="s">
        <v>12971</v>
      </c>
      <c r="B1795" s="58" t="s">
        <v>163</v>
      </c>
      <c r="C1795" s="41">
        <v>45422.0</v>
      </c>
      <c r="D1795" s="40" t="s">
        <v>12972</v>
      </c>
      <c r="E1795" s="41" t="s">
        <v>12973</v>
      </c>
      <c r="F1795" s="43" t="s">
        <v>12974</v>
      </c>
      <c r="G1795" s="43" t="s">
        <v>12975</v>
      </c>
      <c r="H1795" s="49" t="s">
        <v>55</v>
      </c>
      <c r="I1795" s="25" t="str">
        <f>IFERROR(__xludf.DUMMYFUNCTION("GOOGLETRANSLATE(H1795,""EN"",""ES"")"),"deportes de motor")</f>
        <v>deportes de motor</v>
      </c>
      <c r="J1795" s="26" t="s">
        <v>27</v>
      </c>
      <c r="K1795" s="17">
        <v>0.0</v>
      </c>
      <c r="L1795" s="54"/>
      <c r="M1795" s="31"/>
      <c r="N1795" s="66"/>
      <c r="O1795" s="66"/>
      <c r="P1795" s="20">
        <v>0.0</v>
      </c>
      <c r="Q1795" s="31"/>
      <c r="R1795" s="31"/>
      <c r="S1795" s="53"/>
      <c r="T1795" s="32"/>
    </row>
    <row r="1796">
      <c r="A1796" s="33" t="s">
        <v>12976</v>
      </c>
      <c r="B1796" s="60" t="s">
        <v>2442</v>
      </c>
      <c r="C1796" s="41">
        <v>45422.0</v>
      </c>
      <c r="D1796" s="40" t="s">
        <v>12977</v>
      </c>
      <c r="E1796" s="41" t="s">
        <v>12978</v>
      </c>
      <c r="F1796" s="43" t="s">
        <v>12979</v>
      </c>
      <c r="G1796" s="43" t="s">
        <v>12980</v>
      </c>
      <c r="H1796" s="51" t="s">
        <v>408</v>
      </c>
      <c r="I1796" s="15" t="str">
        <f>IFERROR(__xludf.DUMMYFUNCTION("GOOGLETRANSLATE(H1796,""EN"",""ES"")"),"Legal")</f>
        <v>Legal</v>
      </c>
      <c r="J1796" s="16" t="s">
        <v>35</v>
      </c>
      <c r="K1796" s="48">
        <v>-0.6</v>
      </c>
      <c r="L1796" s="51" t="s">
        <v>12981</v>
      </c>
      <c r="M1796" s="34" t="s">
        <v>12982</v>
      </c>
      <c r="N1796" s="65" t="s">
        <v>12983</v>
      </c>
      <c r="O1796" s="65" t="str">
        <f>IFERROR(__xludf.DUMMYFUNCTION("GOOGLETRANSLATE(N1796,""EN"",""ES"")"),"Las disputas públicas con Greenpeace pueden afectar la imagen de sostenibilidad de Repsol.")</f>
        <v>Las disputas públicas con Greenpeace pueden afectar la imagen de sostenibilidad de Repsol.</v>
      </c>
      <c r="P1796" s="30">
        <v>0.0</v>
      </c>
      <c r="Q1796" s="18"/>
      <c r="R1796" s="18"/>
      <c r="S1796" s="52" t="s">
        <v>12622</v>
      </c>
      <c r="T1796" s="22" t="s">
        <v>12623</v>
      </c>
    </row>
    <row r="1797">
      <c r="A1797" s="23" t="s">
        <v>12984</v>
      </c>
      <c r="B1797" s="58" t="s">
        <v>2442</v>
      </c>
      <c r="C1797" s="41">
        <v>45422.0</v>
      </c>
      <c r="D1797" s="40" t="s">
        <v>12985</v>
      </c>
      <c r="E1797" s="41" t="s">
        <v>12986</v>
      </c>
      <c r="F1797" s="43" t="s">
        <v>12987</v>
      </c>
      <c r="G1797" s="43" t="s">
        <v>12988</v>
      </c>
      <c r="H1797" s="49" t="s">
        <v>130</v>
      </c>
      <c r="I1797" s="25" t="str">
        <f>IFERROR(__xludf.DUMMYFUNCTION("GOOGLETRANSLATE(H1797,""EN"",""ES"")"),"Sostenibilidad")</f>
        <v>Sostenibilidad</v>
      </c>
      <c r="J1797" s="26" t="s">
        <v>35</v>
      </c>
      <c r="K1797" s="48">
        <v>0.6</v>
      </c>
      <c r="L1797" s="49" t="s">
        <v>12877</v>
      </c>
      <c r="M1797" s="28" t="s">
        <v>12878</v>
      </c>
      <c r="N1797" s="66" t="s">
        <v>12989</v>
      </c>
      <c r="O1797" s="66" t="str">
        <f>IFERROR(__xludf.DUMMYFUNCTION("GOOGLETRANSLATE(N1797,""EN"",""ES"")"),"Reforzar los compromisos de sostenibilidad mejora la imagen corporativa de Repsol.")</f>
        <v>Reforzar los compromisos de sostenibilidad mejora la imagen corporativa de Repsol.</v>
      </c>
      <c r="P1797" s="30">
        <v>-0.7</v>
      </c>
      <c r="Q1797" s="31" t="str">
        <f>IFERROR(__xludf.DUMMYFUNCTION("GOOGLETRANSLATE(R1797,""ES"",""EN"")"),"clash")</f>
        <v>clash</v>
      </c>
      <c r="R1797" s="28" t="s">
        <v>12990</v>
      </c>
      <c r="S1797" s="53" t="s">
        <v>12654</v>
      </c>
      <c r="T1797" s="32" t="s">
        <v>12655</v>
      </c>
    </row>
    <row r="1798">
      <c r="A1798" s="33" t="s">
        <v>12991</v>
      </c>
      <c r="B1798" s="60" t="s">
        <v>3490</v>
      </c>
      <c r="C1798" s="41">
        <v>45422.0</v>
      </c>
      <c r="D1798" s="40" t="s">
        <v>12992</v>
      </c>
      <c r="E1798" s="41" t="s">
        <v>12993</v>
      </c>
      <c r="F1798" s="43" t="s">
        <v>12994</v>
      </c>
      <c r="G1798" s="43" t="s">
        <v>12995</v>
      </c>
      <c r="H1798" s="51" t="s">
        <v>408</v>
      </c>
      <c r="I1798" s="15" t="str">
        <f>IFERROR(__xludf.DUMMYFUNCTION("GOOGLETRANSLATE(H1798,""EN"",""ES"")"),"Legal")</f>
        <v>Legal</v>
      </c>
      <c r="J1798" s="16" t="s">
        <v>35</v>
      </c>
      <c r="K1798" s="48">
        <v>-0.5</v>
      </c>
      <c r="L1798" s="51" t="s">
        <v>12996</v>
      </c>
      <c r="M1798" s="34" t="s">
        <v>12997</v>
      </c>
      <c r="N1798" s="65" t="s">
        <v>12998</v>
      </c>
      <c r="O1798" s="65" t="str">
        <f>IFERROR(__xludf.DUMMYFUNCTION("GOOGLETRANSLATE(N1798,""EN"",""ES"")"),"Las confrontaciones públicas sobre políticas energéticas pueden afectar la percepción del mercado de Repsol.")</f>
        <v>Las confrontaciones públicas sobre políticas energéticas pueden afectar la percepción del mercado de Repsol.</v>
      </c>
      <c r="P1798" s="30">
        <v>0.0</v>
      </c>
      <c r="Q1798" s="18"/>
      <c r="R1798" s="18"/>
      <c r="S1798" s="52" t="s">
        <v>12999</v>
      </c>
      <c r="T1798" s="22" t="s">
        <v>13000</v>
      </c>
    </row>
    <row r="1799">
      <c r="A1799" s="23" t="s">
        <v>13001</v>
      </c>
      <c r="B1799" s="58" t="s">
        <v>4038</v>
      </c>
      <c r="C1799" s="41">
        <v>45422.0</v>
      </c>
      <c r="D1799" s="40" t="s">
        <v>13002</v>
      </c>
      <c r="E1799" s="41" t="s">
        <v>13003</v>
      </c>
      <c r="F1799" s="43" t="s">
        <v>13004</v>
      </c>
      <c r="G1799" s="43" t="s">
        <v>13005</v>
      </c>
      <c r="H1799" s="49" t="s">
        <v>148</v>
      </c>
      <c r="I1799" s="25" t="str">
        <f>IFERROR(__xludf.DUMMYFUNCTION("GOOGLETRANSLATE(H1799,""EN"",""ES"")"),"Gastronomía")</f>
        <v>Gastronomía</v>
      </c>
      <c r="J1799" s="26" t="s">
        <v>27</v>
      </c>
      <c r="K1799" s="17">
        <v>0.0</v>
      </c>
      <c r="L1799" s="54"/>
      <c r="M1799" s="31"/>
      <c r="N1799" s="66"/>
      <c r="O1799" s="66"/>
      <c r="P1799" s="20">
        <v>0.0</v>
      </c>
      <c r="Q1799" s="31"/>
      <c r="R1799" s="31"/>
      <c r="S1799" s="53"/>
      <c r="T1799" s="32"/>
    </row>
    <row r="1800">
      <c r="A1800" s="33" t="s">
        <v>13006</v>
      </c>
      <c r="B1800" s="60" t="s">
        <v>1281</v>
      </c>
      <c r="C1800" s="41">
        <v>45422.0</v>
      </c>
      <c r="D1800" s="40" t="s">
        <v>13007</v>
      </c>
      <c r="E1800" s="41" t="s">
        <v>13008</v>
      </c>
      <c r="F1800" s="43" t="s">
        <v>13009</v>
      </c>
      <c r="G1800" s="43" t="s">
        <v>13010</v>
      </c>
      <c r="H1800" s="51" t="s">
        <v>408</v>
      </c>
      <c r="I1800" s="15" t="str">
        <f>IFERROR(__xludf.DUMMYFUNCTION("GOOGLETRANSLATE(H1800,""EN"",""ES"")"),"Legal")</f>
        <v>Legal</v>
      </c>
      <c r="J1800" s="16" t="s">
        <v>35</v>
      </c>
      <c r="K1800" s="48">
        <v>-0.7</v>
      </c>
      <c r="L1800" s="51" t="s">
        <v>13011</v>
      </c>
      <c r="M1800" s="34" t="s">
        <v>13012</v>
      </c>
      <c r="N1800" s="65" t="s">
        <v>13013</v>
      </c>
      <c r="O1800" s="65" t="str">
        <f>IFERROR(__xludf.DUMMYFUNCTION("GOOGLETRANSLATE(N1800,""EN"",""ES"")"),"Los litigios ambientales en curso pueden dañar la reputación de Repsol.")</f>
        <v>Los litigios ambientales en curso pueden dañar la reputación de Repsol.</v>
      </c>
      <c r="P1800" s="30">
        <v>-0.9</v>
      </c>
      <c r="Q1800" s="18" t="str">
        <f>IFERROR(__xludf.DUMMYFUNCTION("GOOGLETRANSLATE(R1800,""ES"",""EN"")"),"denying responsibility, spill")</f>
        <v>denying responsibility, spill</v>
      </c>
      <c r="R1800" s="34" t="s">
        <v>13014</v>
      </c>
      <c r="S1800" s="52" t="s">
        <v>13015</v>
      </c>
      <c r="T1800" s="22" t="s">
        <v>13016</v>
      </c>
    </row>
    <row r="1801">
      <c r="A1801" s="23" t="s">
        <v>13017</v>
      </c>
      <c r="B1801" s="58" t="s">
        <v>1362</v>
      </c>
      <c r="C1801" s="41">
        <v>45422.0</v>
      </c>
      <c r="D1801" s="40" t="s">
        <v>13018</v>
      </c>
      <c r="E1801" s="41" t="s">
        <v>13019</v>
      </c>
      <c r="F1801" s="43" t="s">
        <v>13020</v>
      </c>
      <c r="G1801" s="43" t="s">
        <v>13021</v>
      </c>
      <c r="H1801" s="49" t="s">
        <v>408</v>
      </c>
      <c r="I1801" s="25" t="str">
        <f>IFERROR(__xludf.DUMMYFUNCTION("GOOGLETRANSLATE(H1801,""EN"",""ES"")"),"Legal")</f>
        <v>Legal</v>
      </c>
      <c r="J1801" s="26" t="s">
        <v>35</v>
      </c>
      <c r="K1801" s="48">
        <v>-0.8</v>
      </c>
      <c r="L1801" s="49" t="s">
        <v>9922</v>
      </c>
      <c r="M1801" s="28" t="s">
        <v>9923</v>
      </c>
      <c r="N1801" s="66" t="s">
        <v>13022</v>
      </c>
      <c r="O1801" s="66" t="str">
        <f>IFERROR(__xludf.DUMMYFUNCTION("GOOGLETRANSLATE(N1801,""EN"",""ES"")"),"Los incidentes medioambientales pueden impactar significativamente en la reputación de Repsol.")</f>
        <v>Los incidentes medioambientales pueden impactar significativamente en la reputación de Repsol.</v>
      </c>
      <c r="P1801" s="30">
        <v>-0.9</v>
      </c>
      <c r="Q1801" s="31" t="str">
        <f>IFERROR(__xludf.DUMMYFUNCTION("GOOGLETRANSLATE(R1801,""ES"",""EN"")"),"crude oil spill")</f>
        <v>crude oil spill</v>
      </c>
      <c r="R1801" s="28" t="s">
        <v>13023</v>
      </c>
      <c r="S1801" s="53" t="s">
        <v>13024</v>
      </c>
      <c r="T1801" s="32" t="s">
        <v>13025</v>
      </c>
    </row>
    <row r="1802">
      <c r="A1802" s="33" t="s">
        <v>13026</v>
      </c>
      <c r="B1802" s="60" t="s">
        <v>21</v>
      </c>
      <c r="C1802" s="41">
        <v>45423.0</v>
      </c>
      <c r="D1802" s="40" t="s">
        <v>13027</v>
      </c>
      <c r="E1802" s="41" t="s">
        <v>13028</v>
      </c>
      <c r="F1802" s="43" t="s">
        <v>13029</v>
      </c>
      <c r="G1802" s="43" t="s">
        <v>13030</v>
      </c>
      <c r="H1802" s="51" t="s">
        <v>148</v>
      </c>
      <c r="I1802" s="15" t="str">
        <f>IFERROR(__xludf.DUMMYFUNCTION("GOOGLETRANSLATE(H1802,""EN"",""ES"")"),"Gastronomía")</f>
        <v>Gastronomía</v>
      </c>
      <c r="J1802" s="16" t="s">
        <v>27</v>
      </c>
      <c r="K1802" s="17">
        <v>0.0</v>
      </c>
      <c r="L1802" s="45"/>
      <c r="M1802" s="18"/>
      <c r="N1802" s="65"/>
      <c r="O1802" s="65"/>
      <c r="P1802" s="20">
        <v>0.0</v>
      </c>
      <c r="Q1802" s="18"/>
      <c r="R1802" s="18"/>
      <c r="S1802" s="52"/>
      <c r="T1802" s="22"/>
    </row>
    <row r="1803">
      <c r="A1803" s="23" t="s">
        <v>13031</v>
      </c>
      <c r="B1803" s="58" t="s">
        <v>3511</v>
      </c>
      <c r="C1803" s="41">
        <v>45423.0</v>
      </c>
      <c r="D1803" s="40" t="s">
        <v>13032</v>
      </c>
      <c r="E1803" s="41" t="s">
        <v>13033</v>
      </c>
      <c r="F1803" s="43" t="s">
        <v>13034</v>
      </c>
      <c r="G1803" s="43" t="s">
        <v>13035</v>
      </c>
      <c r="H1803" s="49" t="s">
        <v>148</v>
      </c>
      <c r="I1803" s="25" t="str">
        <f>IFERROR(__xludf.DUMMYFUNCTION("GOOGLETRANSLATE(H1803,""EN"",""ES"")"),"Gastronomía")</f>
        <v>Gastronomía</v>
      </c>
      <c r="J1803" s="26" t="s">
        <v>27</v>
      </c>
      <c r="K1803" s="17">
        <v>0.0</v>
      </c>
      <c r="L1803" s="54"/>
      <c r="M1803" s="31"/>
      <c r="N1803" s="66"/>
      <c r="O1803" s="66"/>
      <c r="P1803" s="20">
        <v>0.0</v>
      </c>
      <c r="Q1803" s="31"/>
      <c r="R1803" s="31"/>
      <c r="S1803" s="53"/>
      <c r="T1803" s="32"/>
    </row>
    <row r="1804">
      <c r="A1804" s="33" t="s">
        <v>13036</v>
      </c>
      <c r="B1804" s="60" t="s">
        <v>85</v>
      </c>
      <c r="C1804" s="41">
        <v>45423.0</v>
      </c>
      <c r="D1804" s="40" t="s">
        <v>13037</v>
      </c>
      <c r="E1804" s="41" t="s">
        <v>13038</v>
      </c>
      <c r="F1804" s="43" t="s">
        <v>13039</v>
      </c>
      <c r="G1804" s="43" t="s">
        <v>13040</v>
      </c>
      <c r="H1804" s="51" t="s">
        <v>782</v>
      </c>
      <c r="I1804" s="15" t="str">
        <f>IFERROR(__xludf.DUMMYFUNCTION("GOOGLETRANSLATE(H1804,""EN"",""ES"")"),"Tecnología")</f>
        <v>Tecnología</v>
      </c>
      <c r="J1804" s="16" t="s">
        <v>27</v>
      </c>
      <c r="K1804" s="17">
        <v>0.0</v>
      </c>
      <c r="L1804" s="45"/>
      <c r="M1804" s="18"/>
      <c r="N1804" s="65"/>
      <c r="O1804" s="65"/>
      <c r="P1804" s="20">
        <v>0.0</v>
      </c>
      <c r="Q1804" s="18"/>
      <c r="R1804" s="18"/>
      <c r="S1804" s="52"/>
      <c r="T1804" s="22"/>
    </row>
    <row r="1805">
      <c r="A1805" s="23" t="s">
        <v>13041</v>
      </c>
      <c r="B1805" s="58" t="s">
        <v>674</v>
      </c>
      <c r="C1805" s="41">
        <v>45423.0</v>
      </c>
      <c r="D1805" s="40" t="s">
        <v>13042</v>
      </c>
      <c r="E1805" s="41" t="s">
        <v>13043</v>
      </c>
      <c r="F1805" s="43" t="s">
        <v>13044</v>
      </c>
      <c r="G1805" s="43" t="s">
        <v>13045</v>
      </c>
      <c r="H1805" s="49" t="s">
        <v>130</v>
      </c>
      <c r="I1805" s="25" t="str">
        <f>IFERROR(__xludf.DUMMYFUNCTION("GOOGLETRANSLATE(H1805,""EN"",""ES"")"),"Sostenibilidad")</f>
        <v>Sostenibilidad</v>
      </c>
      <c r="J1805" s="26" t="s">
        <v>35</v>
      </c>
      <c r="K1805" s="48">
        <v>0.0</v>
      </c>
      <c r="L1805" s="54"/>
      <c r="M1805" s="31"/>
      <c r="N1805" s="66" t="s">
        <v>13046</v>
      </c>
      <c r="O1805" s="66" t="str">
        <f>IFERROR(__xludf.DUMMYFUNCTION("GOOGLETRANSLATE(N1805,""EN"",""ES"")"),"Los avances en hidrógeno de otras compañías no impactan en el negocio de Repsol.")</f>
        <v>Los avances en hidrógeno de otras compañías no impactan en el negocio de Repsol.</v>
      </c>
      <c r="P1805" s="30">
        <v>0.0</v>
      </c>
      <c r="Q1805" s="31"/>
      <c r="R1805" s="31"/>
      <c r="S1805" s="53" t="s">
        <v>11665</v>
      </c>
      <c r="T1805" s="32" t="s">
        <v>11666</v>
      </c>
    </row>
    <row r="1806">
      <c r="A1806" s="33" t="s">
        <v>13047</v>
      </c>
      <c r="B1806" s="60" t="s">
        <v>4750</v>
      </c>
      <c r="C1806" s="41">
        <v>45423.0</v>
      </c>
      <c r="D1806" s="40" t="s">
        <v>13048</v>
      </c>
      <c r="E1806" s="41" t="s">
        <v>13049</v>
      </c>
      <c r="F1806" s="43" t="s">
        <v>13050</v>
      </c>
      <c r="G1806" s="43" t="s">
        <v>13051</v>
      </c>
      <c r="H1806" s="51" t="s">
        <v>148</v>
      </c>
      <c r="I1806" s="15" t="str">
        <f>IFERROR(__xludf.DUMMYFUNCTION("GOOGLETRANSLATE(H1806,""EN"",""ES"")"),"Gastronomía")</f>
        <v>Gastronomía</v>
      </c>
      <c r="J1806" s="16" t="s">
        <v>27</v>
      </c>
      <c r="K1806" s="17">
        <v>0.0</v>
      </c>
      <c r="L1806" s="45"/>
      <c r="M1806" s="18"/>
      <c r="N1806" s="65"/>
      <c r="O1806" s="65"/>
      <c r="P1806" s="20">
        <v>0.0</v>
      </c>
      <c r="Q1806" s="18"/>
      <c r="R1806" s="18"/>
      <c r="S1806" s="52"/>
      <c r="T1806" s="22"/>
    </row>
    <row r="1807">
      <c r="A1807" s="23" t="s">
        <v>13052</v>
      </c>
      <c r="B1807" s="58" t="s">
        <v>614</v>
      </c>
      <c r="C1807" s="41">
        <v>45423.0</v>
      </c>
      <c r="D1807" s="40" t="s">
        <v>13053</v>
      </c>
      <c r="E1807" s="41" t="s">
        <v>13054</v>
      </c>
      <c r="F1807" s="43" t="s">
        <v>13055</v>
      </c>
      <c r="G1807" s="43" t="s">
        <v>13056</v>
      </c>
      <c r="H1807" s="49" t="s">
        <v>969</v>
      </c>
      <c r="I1807" s="25" t="str">
        <f>IFERROR(__xludf.DUMMYFUNCTION("GOOGLETRANSLATE(H1807,""EN"",""ES"")"),"Turismo")</f>
        <v>Turismo</v>
      </c>
      <c r="J1807" s="26" t="s">
        <v>27</v>
      </c>
      <c r="K1807" s="17">
        <v>0.0</v>
      </c>
      <c r="L1807" s="54"/>
      <c r="M1807" s="31"/>
      <c r="N1807" s="66"/>
      <c r="O1807" s="66"/>
      <c r="P1807" s="20">
        <v>0.0</v>
      </c>
      <c r="Q1807" s="31"/>
      <c r="R1807" s="31"/>
      <c r="S1807" s="53"/>
      <c r="T1807" s="32"/>
    </row>
    <row r="1808">
      <c r="A1808" s="33" t="s">
        <v>13057</v>
      </c>
      <c r="B1808" s="60" t="s">
        <v>13058</v>
      </c>
      <c r="C1808" s="41">
        <v>45423.0</v>
      </c>
      <c r="D1808" s="40" t="s">
        <v>13059</v>
      </c>
      <c r="E1808" s="41" t="s">
        <v>13060</v>
      </c>
      <c r="F1808" s="43" t="s">
        <v>13061</v>
      </c>
      <c r="G1808" s="43" t="s">
        <v>13062</v>
      </c>
      <c r="H1808" s="51" t="s">
        <v>3985</v>
      </c>
      <c r="I1808" s="15" t="str">
        <f>IFERROR(__xludf.DUMMYFUNCTION("GOOGLETRANSLATE(H1808,""EN"",""ES"")"),"Deportes")</f>
        <v>Deportes</v>
      </c>
      <c r="J1808" s="16" t="s">
        <v>27</v>
      </c>
      <c r="K1808" s="17">
        <v>0.0</v>
      </c>
      <c r="L1808" s="45"/>
      <c r="M1808" s="18"/>
      <c r="N1808" s="65"/>
      <c r="O1808" s="65"/>
      <c r="P1808" s="20">
        <v>0.0</v>
      </c>
      <c r="Q1808" s="18"/>
      <c r="R1808" s="18"/>
      <c r="S1808" s="52"/>
      <c r="T1808" s="22"/>
    </row>
    <row r="1809">
      <c r="A1809" s="23" t="s">
        <v>13063</v>
      </c>
      <c r="B1809" s="58" t="s">
        <v>3511</v>
      </c>
      <c r="C1809" s="41">
        <v>45423.0</v>
      </c>
      <c r="D1809" s="40" t="s">
        <v>13064</v>
      </c>
      <c r="E1809" s="41" t="s">
        <v>13065</v>
      </c>
      <c r="F1809" s="43" t="s">
        <v>13066</v>
      </c>
      <c r="G1809" s="43" t="s">
        <v>13067</v>
      </c>
      <c r="H1809" s="49" t="s">
        <v>148</v>
      </c>
      <c r="I1809" s="25" t="str">
        <f>IFERROR(__xludf.DUMMYFUNCTION("GOOGLETRANSLATE(H1809,""EN"",""ES"")"),"Gastronomía")</f>
        <v>Gastronomía</v>
      </c>
      <c r="J1809" s="26" t="s">
        <v>27</v>
      </c>
      <c r="K1809" s="17">
        <v>0.0</v>
      </c>
      <c r="L1809" s="54"/>
      <c r="M1809" s="31"/>
      <c r="N1809" s="66"/>
      <c r="O1809" s="66"/>
      <c r="P1809" s="20">
        <v>0.0</v>
      </c>
      <c r="Q1809" s="31"/>
      <c r="R1809" s="31"/>
      <c r="S1809" s="53"/>
      <c r="T1809" s="32"/>
    </row>
    <row r="1810">
      <c r="A1810" s="33" t="s">
        <v>13068</v>
      </c>
      <c r="B1810" s="60" t="s">
        <v>21</v>
      </c>
      <c r="C1810" s="41">
        <v>45424.0</v>
      </c>
      <c r="D1810" s="40" t="s">
        <v>13069</v>
      </c>
      <c r="E1810" s="41" t="s">
        <v>13070</v>
      </c>
      <c r="F1810" s="43" t="s">
        <v>13071</v>
      </c>
      <c r="G1810" s="43" t="s">
        <v>13072</v>
      </c>
      <c r="H1810" s="51" t="s">
        <v>969</v>
      </c>
      <c r="I1810" s="15" t="str">
        <f>IFERROR(__xludf.DUMMYFUNCTION("GOOGLETRANSLATE(H1810,""EN"",""ES"")"),"Turismo")</f>
        <v>Turismo</v>
      </c>
      <c r="J1810" s="16" t="s">
        <v>27</v>
      </c>
      <c r="K1810" s="17">
        <v>0.0</v>
      </c>
      <c r="L1810" s="45"/>
      <c r="M1810" s="18"/>
      <c r="N1810" s="65"/>
      <c r="O1810" s="65"/>
      <c r="P1810" s="20">
        <v>0.0</v>
      </c>
      <c r="Q1810" s="18"/>
      <c r="R1810" s="18"/>
      <c r="S1810" s="52"/>
      <c r="T1810" s="22"/>
    </row>
    <row r="1811">
      <c r="A1811" s="23" t="s">
        <v>13073</v>
      </c>
      <c r="B1811" s="58" t="s">
        <v>2352</v>
      </c>
      <c r="C1811" s="41">
        <v>45424.0</v>
      </c>
      <c r="D1811" s="40" t="s">
        <v>13074</v>
      </c>
      <c r="E1811" s="41" t="s">
        <v>13075</v>
      </c>
      <c r="F1811" s="43" t="s">
        <v>13076</v>
      </c>
      <c r="G1811" s="43" t="s">
        <v>13077</v>
      </c>
      <c r="H1811" s="49" t="s">
        <v>408</v>
      </c>
      <c r="I1811" s="25" t="str">
        <f>IFERROR(__xludf.DUMMYFUNCTION("GOOGLETRANSLATE(H1811,""EN"",""ES"")"),"Legal")</f>
        <v>Legal</v>
      </c>
      <c r="J1811" s="26" t="s">
        <v>35</v>
      </c>
      <c r="K1811" s="48">
        <v>-0.8</v>
      </c>
      <c r="L1811" s="49" t="s">
        <v>9922</v>
      </c>
      <c r="M1811" s="28" t="s">
        <v>9923</v>
      </c>
      <c r="N1811" s="66" t="s">
        <v>13078</v>
      </c>
      <c r="O1811" s="66" t="str">
        <f>IFERROR(__xludf.DUMMYFUNCTION("GOOGLETRANSLATE(N1811,""EN"",""ES"")"),"Las batallas legales por daños ambientales pueden dañar la reputación de Repsol.")</f>
        <v>Las batallas legales por daños ambientales pueden dañar la reputación de Repsol.</v>
      </c>
      <c r="P1811" s="30">
        <v>-0.8</v>
      </c>
      <c r="Q1811" s="31" t="str">
        <f>IFERROR(__xludf.DUMMYFUNCTION("GOOGLETRANSLATE(R1811,""ES"",""EN"")"),"spill, face")</f>
        <v>spill, face</v>
      </c>
      <c r="R1811" s="28" t="s">
        <v>13079</v>
      </c>
      <c r="S1811" s="53" t="s">
        <v>13080</v>
      </c>
      <c r="T1811" s="32" t="s">
        <v>13081</v>
      </c>
    </row>
    <row r="1812">
      <c r="A1812" s="33" t="s">
        <v>13082</v>
      </c>
      <c r="B1812" s="60" t="s">
        <v>6136</v>
      </c>
      <c r="C1812" s="41">
        <v>45424.0</v>
      </c>
      <c r="D1812" s="40" t="s">
        <v>13083</v>
      </c>
      <c r="E1812" s="41" t="s">
        <v>13084</v>
      </c>
      <c r="F1812" s="43" t="s">
        <v>13085</v>
      </c>
      <c r="G1812" s="43" t="s">
        <v>13086</v>
      </c>
      <c r="H1812" s="51" t="s">
        <v>661</v>
      </c>
      <c r="I1812" s="15" t="str">
        <f>IFERROR(__xludf.DUMMYFUNCTION("GOOGLETRANSLATE(H1812,""EN"",""ES"")"),"Estrategia empresarial")</f>
        <v>Estrategia empresarial</v>
      </c>
      <c r="J1812" s="16" t="s">
        <v>35</v>
      </c>
      <c r="K1812" s="48">
        <v>-0.5</v>
      </c>
      <c r="L1812" s="51" t="s">
        <v>13087</v>
      </c>
      <c r="M1812" s="34" t="s">
        <v>13088</v>
      </c>
      <c r="N1812" s="65" t="s">
        <v>13089</v>
      </c>
      <c r="O1812" s="65" t="str">
        <f>IFERROR(__xludf.DUMMYFUNCTION("GOOGLETRANSLATE(N1812,""EN"",""ES"")"),"La creciente competencia de los proveedores de combustibles de bajo coste puede afectar la cuota de mercado de Repsol.")</f>
        <v>La creciente competencia de los proveedores de combustibles de bajo coste puede afectar la cuota de mercado de Repsol.</v>
      </c>
      <c r="P1812" s="30">
        <v>0.0</v>
      </c>
      <c r="Q1812" s="18"/>
      <c r="R1812" s="18"/>
      <c r="S1812" s="52" t="s">
        <v>13090</v>
      </c>
      <c r="T1812" s="22" t="s">
        <v>13091</v>
      </c>
    </row>
    <row r="1813">
      <c r="A1813" s="23" t="s">
        <v>13092</v>
      </c>
      <c r="B1813" s="58" t="s">
        <v>1768</v>
      </c>
      <c r="C1813" s="41">
        <v>45424.0</v>
      </c>
      <c r="D1813" s="40" t="s">
        <v>13093</v>
      </c>
      <c r="E1813" s="41" t="s">
        <v>13094</v>
      </c>
      <c r="F1813" s="43" t="s">
        <v>13095</v>
      </c>
      <c r="G1813" s="43" t="s">
        <v>13096</v>
      </c>
      <c r="H1813" s="49" t="s">
        <v>8166</v>
      </c>
      <c r="I1813" s="25" t="str">
        <f>IFERROR(__xludf.DUMMYFUNCTION("GOOGLETRANSLATE(H1813,""EN"",""ES"")"),"Economía")</f>
        <v>Economía</v>
      </c>
      <c r="J1813" s="26" t="s">
        <v>27</v>
      </c>
      <c r="K1813" s="17">
        <v>0.0</v>
      </c>
      <c r="L1813" s="54"/>
      <c r="M1813" s="31"/>
      <c r="N1813" s="66"/>
      <c r="O1813" s="66"/>
      <c r="P1813" s="20">
        <v>0.0</v>
      </c>
      <c r="Q1813" s="31"/>
      <c r="R1813" s="31"/>
      <c r="S1813" s="53"/>
      <c r="T1813" s="32"/>
    </row>
    <row r="1814">
      <c r="A1814" s="33" t="s">
        <v>13097</v>
      </c>
      <c r="B1814" s="60" t="s">
        <v>85</v>
      </c>
      <c r="C1814" s="41">
        <v>45424.0</v>
      </c>
      <c r="D1814" s="40" t="s">
        <v>13098</v>
      </c>
      <c r="E1814" s="41" t="s">
        <v>13099</v>
      </c>
      <c r="F1814" s="43" t="s">
        <v>13100</v>
      </c>
      <c r="G1814" s="43" t="s">
        <v>13101</v>
      </c>
      <c r="H1814" s="51" t="s">
        <v>130</v>
      </c>
      <c r="I1814" s="15" t="str">
        <f>IFERROR(__xludf.DUMMYFUNCTION("GOOGLETRANSLATE(H1814,""EN"",""ES"")"),"Sostenibilidad")</f>
        <v>Sostenibilidad</v>
      </c>
      <c r="J1814" s="16" t="s">
        <v>27</v>
      </c>
      <c r="K1814" s="17">
        <v>0.0</v>
      </c>
      <c r="L1814" s="45"/>
      <c r="M1814" s="18"/>
      <c r="N1814" s="65"/>
      <c r="O1814" s="65"/>
      <c r="P1814" s="20">
        <v>0.0</v>
      </c>
      <c r="Q1814" s="18"/>
      <c r="R1814" s="18"/>
      <c r="S1814" s="52"/>
      <c r="T1814" s="22"/>
    </row>
    <row r="1815">
      <c r="A1815" s="23" t="s">
        <v>13102</v>
      </c>
      <c r="B1815" s="58" t="s">
        <v>12056</v>
      </c>
      <c r="C1815" s="41">
        <v>45424.0</v>
      </c>
      <c r="D1815" s="40" t="s">
        <v>13103</v>
      </c>
      <c r="E1815" s="41" t="s">
        <v>13104</v>
      </c>
      <c r="F1815" s="43" t="s">
        <v>13105</v>
      </c>
      <c r="G1815" s="43" t="s">
        <v>13106</v>
      </c>
      <c r="H1815" s="49" t="s">
        <v>55</v>
      </c>
      <c r="I1815" s="25" t="str">
        <f>IFERROR(__xludf.DUMMYFUNCTION("GOOGLETRANSLATE(H1815,""EN"",""ES"")"),"deportes de motor")</f>
        <v>deportes de motor</v>
      </c>
      <c r="J1815" s="26" t="s">
        <v>27</v>
      </c>
      <c r="K1815" s="17">
        <v>0.0</v>
      </c>
      <c r="L1815" s="54"/>
      <c r="M1815" s="31"/>
      <c r="N1815" s="66"/>
      <c r="O1815" s="66"/>
      <c r="P1815" s="20">
        <v>0.0</v>
      </c>
      <c r="Q1815" s="31"/>
      <c r="R1815" s="31"/>
      <c r="S1815" s="53"/>
      <c r="T1815" s="32"/>
    </row>
    <row r="1816">
      <c r="A1816" s="33" t="s">
        <v>13107</v>
      </c>
      <c r="B1816" s="60" t="s">
        <v>6381</v>
      </c>
      <c r="C1816" s="41">
        <v>45424.0</v>
      </c>
      <c r="D1816" s="40" t="s">
        <v>13108</v>
      </c>
      <c r="E1816" s="41" t="s">
        <v>13109</v>
      </c>
      <c r="F1816" s="43" t="s">
        <v>13110</v>
      </c>
      <c r="G1816" s="43" t="s">
        <v>13111</v>
      </c>
      <c r="H1816" s="51" t="s">
        <v>48</v>
      </c>
      <c r="I1816" s="15" t="str">
        <f>IFERROR(__xludf.DUMMYFUNCTION("GOOGLETRANSLATE(H1816,""EN"",""ES"")"),"Finanzas")</f>
        <v>Finanzas</v>
      </c>
      <c r="J1816" s="16" t="s">
        <v>27</v>
      </c>
      <c r="K1816" s="17">
        <v>0.0</v>
      </c>
      <c r="L1816" s="45"/>
      <c r="M1816" s="18"/>
      <c r="N1816" s="65"/>
      <c r="O1816" s="65"/>
      <c r="P1816" s="20">
        <v>0.0</v>
      </c>
      <c r="Q1816" s="18"/>
      <c r="R1816" s="18"/>
      <c r="S1816" s="52"/>
      <c r="T1816" s="22"/>
    </row>
    <row r="1817">
      <c r="A1817" s="23" t="s">
        <v>13112</v>
      </c>
      <c r="B1817" s="58" t="s">
        <v>85</v>
      </c>
      <c r="C1817" s="41">
        <v>45424.0</v>
      </c>
      <c r="D1817" s="40" t="s">
        <v>13113</v>
      </c>
      <c r="E1817" s="41" t="s">
        <v>13114</v>
      </c>
      <c r="F1817" s="43" t="s">
        <v>13115</v>
      </c>
      <c r="G1817" s="43" t="s">
        <v>13116</v>
      </c>
      <c r="H1817" s="49" t="s">
        <v>148</v>
      </c>
      <c r="I1817" s="25" t="str">
        <f>IFERROR(__xludf.DUMMYFUNCTION("GOOGLETRANSLATE(H1817,""EN"",""ES"")"),"Gastronomía")</f>
        <v>Gastronomía</v>
      </c>
      <c r="J1817" s="26" t="s">
        <v>27</v>
      </c>
      <c r="K1817" s="17">
        <v>0.0</v>
      </c>
      <c r="L1817" s="54"/>
      <c r="M1817" s="31"/>
      <c r="N1817" s="66"/>
      <c r="O1817" s="66"/>
      <c r="P1817" s="20">
        <v>0.0</v>
      </c>
      <c r="Q1817" s="31"/>
      <c r="R1817" s="31"/>
      <c r="S1817" s="53"/>
      <c r="T1817" s="32"/>
    </row>
    <row r="1818">
      <c r="A1818" s="33" t="s">
        <v>13117</v>
      </c>
      <c r="B1818" s="60" t="s">
        <v>85</v>
      </c>
      <c r="C1818" s="41">
        <v>45424.0</v>
      </c>
      <c r="D1818" s="40" t="s">
        <v>13118</v>
      </c>
      <c r="E1818" s="41" t="s">
        <v>13119</v>
      </c>
      <c r="F1818" s="43" t="s">
        <v>13120</v>
      </c>
      <c r="G1818" s="43" t="s">
        <v>13121</v>
      </c>
      <c r="H1818" s="51" t="s">
        <v>148</v>
      </c>
      <c r="I1818" s="15" t="str">
        <f>IFERROR(__xludf.DUMMYFUNCTION("GOOGLETRANSLATE(H1818,""EN"",""ES"")"),"Gastronomía")</f>
        <v>Gastronomía</v>
      </c>
      <c r="J1818" s="16" t="s">
        <v>27</v>
      </c>
      <c r="K1818" s="17">
        <v>0.0</v>
      </c>
      <c r="L1818" s="45"/>
      <c r="M1818" s="18"/>
      <c r="N1818" s="65"/>
      <c r="O1818" s="65"/>
      <c r="P1818" s="20">
        <v>0.0</v>
      </c>
      <c r="Q1818" s="18"/>
      <c r="R1818" s="18"/>
      <c r="S1818" s="52"/>
      <c r="T1818" s="22"/>
    </row>
    <row r="1819">
      <c r="A1819" s="23" t="s">
        <v>13122</v>
      </c>
      <c r="B1819" s="58" t="s">
        <v>513</v>
      </c>
      <c r="C1819" s="41">
        <v>45425.0</v>
      </c>
      <c r="D1819" s="40" t="s">
        <v>13123</v>
      </c>
      <c r="E1819" s="41" t="s">
        <v>13124</v>
      </c>
      <c r="F1819" s="43" t="s">
        <v>13125</v>
      </c>
      <c r="G1819" s="43" t="s">
        <v>13126</v>
      </c>
      <c r="H1819" s="49" t="s">
        <v>55</v>
      </c>
      <c r="I1819" s="25" t="str">
        <f>IFERROR(__xludf.DUMMYFUNCTION("GOOGLETRANSLATE(H1819,""EN"",""ES"")"),"deportes de motor")</f>
        <v>deportes de motor</v>
      </c>
      <c r="J1819" s="26" t="s">
        <v>27</v>
      </c>
      <c r="K1819" s="17">
        <v>0.0</v>
      </c>
      <c r="L1819" s="54"/>
      <c r="M1819" s="31"/>
      <c r="N1819" s="66"/>
      <c r="O1819" s="66"/>
      <c r="P1819" s="20">
        <v>0.0</v>
      </c>
      <c r="Q1819" s="31"/>
      <c r="R1819" s="31"/>
      <c r="S1819" s="53"/>
      <c r="T1819" s="32"/>
    </row>
    <row r="1820">
      <c r="A1820" s="33" t="s">
        <v>13127</v>
      </c>
      <c r="B1820" s="60" t="s">
        <v>2008</v>
      </c>
      <c r="C1820" s="41">
        <v>45425.0</v>
      </c>
      <c r="D1820" s="40" t="s">
        <v>13128</v>
      </c>
      <c r="E1820" s="41" t="s">
        <v>13129</v>
      </c>
      <c r="F1820" s="43" t="s">
        <v>13130</v>
      </c>
      <c r="G1820" s="43" t="s">
        <v>13131</v>
      </c>
      <c r="H1820" s="51" t="s">
        <v>148</v>
      </c>
      <c r="I1820" s="15" t="str">
        <f>IFERROR(__xludf.DUMMYFUNCTION("GOOGLETRANSLATE(H1820,""EN"",""ES"")"),"Gastronomía")</f>
        <v>Gastronomía</v>
      </c>
      <c r="J1820" s="16" t="s">
        <v>27</v>
      </c>
      <c r="K1820" s="17">
        <v>0.0</v>
      </c>
      <c r="L1820" s="45"/>
      <c r="M1820" s="18"/>
      <c r="N1820" s="65"/>
      <c r="O1820" s="65"/>
      <c r="P1820" s="20">
        <v>0.0</v>
      </c>
      <c r="Q1820" s="18"/>
      <c r="R1820" s="18"/>
      <c r="S1820" s="52"/>
      <c r="T1820" s="22"/>
    </row>
    <row r="1821">
      <c r="A1821" s="23" t="s">
        <v>13132</v>
      </c>
      <c r="B1821" s="58" t="s">
        <v>3233</v>
      </c>
      <c r="C1821" s="41">
        <v>45425.0</v>
      </c>
      <c r="D1821" s="40" t="s">
        <v>13133</v>
      </c>
      <c r="E1821" s="41" t="s">
        <v>13134</v>
      </c>
      <c r="F1821" s="43" t="s">
        <v>13135</v>
      </c>
      <c r="G1821" s="43" t="s">
        <v>13136</v>
      </c>
      <c r="H1821" s="49" t="s">
        <v>48</v>
      </c>
      <c r="I1821" s="25" t="str">
        <f>IFERROR(__xludf.DUMMYFUNCTION("GOOGLETRANSLATE(H1821,""EN"",""ES"")"),"Finanzas")</f>
        <v>Finanzas</v>
      </c>
      <c r="J1821" s="26" t="s">
        <v>35</v>
      </c>
      <c r="K1821" s="48">
        <v>-0.5</v>
      </c>
      <c r="L1821" s="49" t="s">
        <v>13137</v>
      </c>
      <c r="M1821" s="28" t="s">
        <v>13138</v>
      </c>
      <c r="N1821" s="66" t="s">
        <v>13139</v>
      </c>
      <c r="O1821" s="66" t="str">
        <f>IFERROR(__xludf.DUMMYFUNCTION("GOOGLETRANSLATE(N1821,""EN"",""ES"")"),"Los reclamos financieros no resueltos pueden afectar la situación financiera de Repsol.")</f>
        <v>Los reclamos financieros no resueltos pueden afectar la situación financiera de Repsol.</v>
      </c>
      <c r="P1821" s="30">
        <v>-0.9</v>
      </c>
      <c r="Q1821" s="31" t="str">
        <f>IFERROR(__xludf.DUMMYFUNCTION("GOOGLETRANSLATE(R1821,""ES"",""EN"")"),"unpaid fines, spill")</f>
        <v>unpaid fines, spill</v>
      </c>
      <c r="R1821" s="28" t="s">
        <v>13140</v>
      </c>
      <c r="S1821" s="53" t="s">
        <v>13141</v>
      </c>
      <c r="T1821" s="32" t="s">
        <v>13142</v>
      </c>
    </row>
    <row r="1822">
      <c r="A1822" s="33" t="s">
        <v>13143</v>
      </c>
      <c r="B1822" s="60" t="s">
        <v>7048</v>
      </c>
      <c r="C1822" s="41">
        <v>45425.0</v>
      </c>
      <c r="D1822" s="40" t="s">
        <v>13144</v>
      </c>
      <c r="E1822" s="41" t="s">
        <v>13145</v>
      </c>
      <c r="F1822" s="43" t="s">
        <v>13146</v>
      </c>
      <c r="G1822" s="43" t="s">
        <v>13147</v>
      </c>
      <c r="H1822" s="51" t="s">
        <v>148</v>
      </c>
      <c r="I1822" s="15" t="str">
        <f>IFERROR(__xludf.DUMMYFUNCTION("GOOGLETRANSLATE(H1822,""EN"",""ES"")"),"Gastronomía")</f>
        <v>Gastronomía</v>
      </c>
      <c r="J1822" s="16" t="s">
        <v>27</v>
      </c>
      <c r="K1822" s="17">
        <v>0.0</v>
      </c>
      <c r="L1822" s="45"/>
      <c r="M1822" s="18"/>
      <c r="N1822" s="65"/>
      <c r="O1822" s="65"/>
      <c r="P1822" s="20">
        <v>0.0</v>
      </c>
      <c r="Q1822" s="18"/>
      <c r="R1822" s="18"/>
      <c r="S1822" s="52"/>
      <c r="T1822" s="22"/>
    </row>
    <row r="1823">
      <c r="A1823" s="23" t="s">
        <v>13148</v>
      </c>
      <c r="B1823" s="58" t="s">
        <v>3151</v>
      </c>
      <c r="C1823" s="41">
        <v>45425.0</v>
      </c>
      <c r="D1823" s="40" t="s">
        <v>13149</v>
      </c>
      <c r="E1823" s="41" t="s">
        <v>13150</v>
      </c>
      <c r="F1823" s="43" t="s">
        <v>13151</v>
      </c>
      <c r="G1823" s="43" t="s">
        <v>13152</v>
      </c>
      <c r="H1823" s="49" t="s">
        <v>148</v>
      </c>
      <c r="I1823" s="25" t="str">
        <f>IFERROR(__xludf.DUMMYFUNCTION("GOOGLETRANSLATE(H1823,""EN"",""ES"")"),"Gastronomía")</f>
        <v>Gastronomía</v>
      </c>
      <c r="J1823" s="26" t="s">
        <v>27</v>
      </c>
      <c r="K1823" s="17">
        <v>0.0</v>
      </c>
      <c r="L1823" s="54"/>
      <c r="M1823" s="31"/>
      <c r="N1823" s="66"/>
      <c r="O1823" s="66"/>
      <c r="P1823" s="20">
        <v>0.0</v>
      </c>
      <c r="Q1823" s="31"/>
      <c r="R1823" s="31"/>
      <c r="S1823" s="53"/>
      <c r="T1823" s="32"/>
    </row>
    <row r="1824">
      <c r="A1824" s="33" t="s">
        <v>13153</v>
      </c>
      <c r="B1824" s="60" t="s">
        <v>163</v>
      </c>
      <c r="C1824" s="41">
        <v>45425.0</v>
      </c>
      <c r="D1824" s="40" t="s">
        <v>13154</v>
      </c>
      <c r="E1824" s="41" t="s">
        <v>13155</v>
      </c>
      <c r="F1824" s="43" t="s">
        <v>13156</v>
      </c>
      <c r="G1824" s="43" t="s">
        <v>13157</v>
      </c>
      <c r="H1824" s="51" t="s">
        <v>55</v>
      </c>
      <c r="I1824" s="15" t="str">
        <f>IFERROR(__xludf.DUMMYFUNCTION("GOOGLETRANSLATE(H1824,""EN"",""ES"")"),"deportes de motor")</f>
        <v>deportes de motor</v>
      </c>
      <c r="J1824" s="16" t="s">
        <v>27</v>
      </c>
      <c r="K1824" s="17">
        <v>0.0</v>
      </c>
      <c r="L1824" s="45"/>
      <c r="M1824" s="18"/>
      <c r="N1824" s="65"/>
      <c r="O1824" s="65"/>
      <c r="P1824" s="20">
        <v>0.0</v>
      </c>
      <c r="Q1824" s="18"/>
      <c r="R1824" s="18"/>
      <c r="S1824" s="52"/>
      <c r="T1824" s="22"/>
    </row>
    <row r="1825">
      <c r="A1825" s="23" t="s">
        <v>13158</v>
      </c>
      <c r="B1825" s="58" t="s">
        <v>6614</v>
      </c>
      <c r="C1825" s="41">
        <v>45425.0</v>
      </c>
      <c r="D1825" s="40" t="s">
        <v>13159</v>
      </c>
      <c r="E1825" s="41" t="s">
        <v>13160</v>
      </c>
      <c r="F1825" s="43" t="s">
        <v>13161</v>
      </c>
      <c r="G1825" s="43" t="s">
        <v>13162</v>
      </c>
      <c r="H1825" s="49" t="s">
        <v>148</v>
      </c>
      <c r="I1825" s="25" t="str">
        <f>IFERROR(__xludf.DUMMYFUNCTION("GOOGLETRANSLATE(H1825,""EN"",""ES"")"),"Gastronomía")</f>
        <v>Gastronomía</v>
      </c>
      <c r="J1825" s="26" t="s">
        <v>27</v>
      </c>
      <c r="K1825" s="17">
        <v>0.0</v>
      </c>
      <c r="L1825" s="54"/>
      <c r="M1825" s="31"/>
      <c r="N1825" s="66"/>
      <c r="O1825" s="66"/>
      <c r="P1825" s="20">
        <v>0.0</v>
      </c>
      <c r="Q1825" s="31"/>
      <c r="R1825" s="31"/>
      <c r="S1825" s="53"/>
      <c r="T1825" s="32"/>
    </row>
    <row r="1826">
      <c r="A1826" s="33" t="s">
        <v>13163</v>
      </c>
      <c r="B1826" s="60" t="s">
        <v>13164</v>
      </c>
      <c r="C1826" s="41">
        <v>45425.0</v>
      </c>
      <c r="D1826" s="40" t="s">
        <v>13165</v>
      </c>
      <c r="E1826" s="41" t="s">
        <v>13166</v>
      </c>
      <c r="F1826" s="43" t="s">
        <v>13167</v>
      </c>
      <c r="G1826" s="43" t="s">
        <v>13168</v>
      </c>
      <c r="H1826" s="51" t="s">
        <v>155</v>
      </c>
      <c r="I1826" s="15" t="str">
        <f>IFERROR(__xludf.DUMMYFUNCTION("GOOGLETRANSLATE(H1826,""EN"",""ES"")"),"Marketing")</f>
        <v>Marketing</v>
      </c>
      <c r="J1826" s="16" t="s">
        <v>27</v>
      </c>
      <c r="K1826" s="17">
        <v>0.0</v>
      </c>
      <c r="L1826" s="45"/>
      <c r="M1826" s="18"/>
      <c r="N1826" s="65"/>
      <c r="O1826" s="65"/>
      <c r="P1826" s="20">
        <v>0.0</v>
      </c>
      <c r="Q1826" s="18"/>
      <c r="R1826" s="18"/>
      <c r="S1826" s="52"/>
      <c r="T1826" s="22"/>
    </row>
    <row r="1827">
      <c r="A1827" s="23" t="s">
        <v>13169</v>
      </c>
      <c r="B1827" s="58" t="s">
        <v>558</v>
      </c>
      <c r="C1827" s="41">
        <v>45425.0</v>
      </c>
      <c r="D1827" s="40" t="s">
        <v>13170</v>
      </c>
      <c r="E1827" s="41" t="s">
        <v>13171</v>
      </c>
      <c r="F1827" s="43" t="s">
        <v>13172</v>
      </c>
      <c r="G1827" s="43" t="s">
        <v>13173</v>
      </c>
      <c r="H1827" s="49" t="s">
        <v>48</v>
      </c>
      <c r="I1827" s="25" t="str">
        <f>IFERROR(__xludf.DUMMYFUNCTION("GOOGLETRANSLATE(H1827,""EN"",""ES"")"),"Finanzas")</f>
        <v>Finanzas</v>
      </c>
      <c r="J1827" s="26" t="s">
        <v>27</v>
      </c>
      <c r="K1827" s="17">
        <v>0.0</v>
      </c>
      <c r="L1827" s="54"/>
      <c r="M1827" s="31"/>
      <c r="N1827" s="66"/>
      <c r="O1827" s="66"/>
      <c r="P1827" s="20">
        <v>0.0</v>
      </c>
      <c r="Q1827" s="31"/>
      <c r="R1827" s="31"/>
      <c r="S1827" s="53"/>
      <c r="T1827" s="32"/>
    </row>
    <row r="1828">
      <c r="A1828" s="33" t="s">
        <v>13174</v>
      </c>
      <c r="B1828" s="60" t="s">
        <v>13175</v>
      </c>
      <c r="C1828" s="41">
        <v>45425.0</v>
      </c>
      <c r="D1828" s="40" t="s">
        <v>13176</v>
      </c>
      <c r="E1828" s="41" t="s">
        <v>13177</v>
      </c>
      <c r="F1828" s="43" t="s">
        <v>13178</v>
      </c>
      <c r="G1828" s="43" t="s">
        <v>13179</v>
      </c>
      <c r="H1828" s="51" t="s">
        <v>408</v>
      </c>
      <c r="I1828" s="15" t="str">
        <f>IFERROR(__xludf.DUMMYFUNCTION("GOOGLETRANSLATE(H1828,""EN"",""ES"")"),"Legal")</f>
        <v>Legal</v>
      </c>
      <c r="J1828" s="16" t="s">
        <v>35</v>
      </c>
      <c r="K1828" s="48">
        <v>-0.6</v>
      </c>
      <c r="L1828" s="51" t="s">
        <v>12280</v>
      </c>
      <c r="M1828" s="34" t="s">
        <v>12281</v>
      </c>
      <c r="N1828" s="65" t="s">
        <v>13180</v>
      </c>
      <c r="O1828" s="65" t="str">
        <f>IFERROR(__xludf.DUMMYFUNCTION("GOOGLETRANSLATE(N1828,""EN"",""ES"")"),"Un mayor escrutinio sobre el lavado verde puede afectar el mensaje de sostenibilidad de Repsol.")</f>
        <v>Un mayor escrutinio sobre el lavado verde puede afectar el mensaje de sostenibilidad de Repsol.</v>
      </c>
      <c r="P1828" s="30">
        <v>-0.7</v>
      </c>
      <c r="Q1828" s="18" t="str">
        <f>IFERROR(__xludf.DUMMYFUNCTION("GOOGLETRANSLATE(R1828,""ES"",""EN"")"),"greenwashing")</f>
        <v>greenwashing</v>
      </c>
      <c r="R1828" s="34" t="s">
        <v>11135</v>
      </c>
      <c r="S1828" s="52" t="s">
        <v>13181</v>
      </c>
      <c r="T1828" s="22" t="s">
        <v>13182</v>
      </c>
    </row>
    <row r="1829">
      <c r="A1829" s="23" t="s">
        <v>13183</v>
      </c>
      <c r="B1829" s="58" t="s">
        <v>91</v>
      </c>
      <c r="C1829" s="41">
        <v>45426.0</v>
      </c>
      <c r="D1829" s="40" t="s">
        <v>13184</v>
      </c>
      <c r="E1829" s="41" t="s">
        <v>13185</v>
      </c>
      <c r="F1829" s="43" t="s">
        <v>13186</v>
      </c>
      <c r="G1829" s="43" t="s">
        <v>13187</v>
      </c>
      <c r="H1829" s="49" t="s">
        <v>661</v>
      </c>
      <c r="I1829" s="25" t="str">
        <f>IFERROR(__xludf.DUMMYFUNCTION("GOOGLETRANSLATE(H1829,""EN"",""ES"")"),"Estrategia empresarial")</f>
        <v>Estrategia empresarial</v>
      </c>
      <c r="J1829" s="26" t="s">
        <v>35</v>
      </c>
      <c r="K1829" s="48">
        <v>0.6</v>
      </c>
      <c r="L1829" s="49" t="s">
        <v>12776</v>
      </c>
      <c r="M1829" s="28" t="s">
        <v>12777</v>
      </c>
      <c r="N1829" s="66" t="s">
        <v>13188</v>
      </c>
      <c r="O1829" s="66" t="str">
        <f>IFERROR(__xludf.DUMMYFUNCTION("GOOGLETRANSLATE(N1829,""EN"",""ES"")"),"La captación de clientes en electricidad y gas refuerza la posición competitiva de Repsol.")</f>
        <v>La captación de clientes en electricidad y gas refuerza la posición competitiva de Repsol.</v>
      </c>
      <c r="P1829" s="30">
        <v>0.6</v>
      </c>
      <c r="Q1829" s="31" t="str">
        <f>IFERROR(__xludf.DUMMYFUNCTION("GOOGLETRANSLATE(R1829,""ES"",""EN"")"),"attracts customers")</f>
        <v>attracts customers</v>
      </c>
      <c r="R1829" s="28" t="s">
        <v>13189</v>
      </c>
      <c r="S1829" s="53" t="s">
        <v>11863</v>
      </c>
      <c r="T1829" s="32" t="s">
        <v>11864</v>
      </c>
    </row>
    <row r="1830">
      <c r="A1830" s="33" t="s">
        <v>13190</v>
      </c>
      <c r="B1830" s="60" t="s">
        <v>13191</v>
      </c>
      <c r="C1830" s="41">
        <v>45426.0</v>
      </c>
      <c r="D1830" s="40" t="s">
        <v>13192</v>
      </c>
      <c r="E1830" s="41" t="s">
        <v>13193</v>
      </c>
      <c r="F1830" s="43" t="s">
        <v>13194</v>
      </c>
      <c r="G1830" s="43" t="s">
        <v>13195</v>
      </c>
      <c r="H1830" s="51" t="s">
        <v>661</v>
      </c>
      <c r="I1830" s="15" t="str">
        <f>IFERROR(__xludf.DUMMYFUNCTION("GOOGLETRANSLATE(H1830,""EN"",""ES"")"),"Estrategia empresarial")</f>
        <v>Estrategia empresarial</v>
      </c>
      <c r="J1830" s="16" t="s">
        <v>35</v>
      </c>
      <c r="K1830" s="48">
        <v>0.5</v>
      </c>
      <c r="L1830" s="51" t="s">
        <v>13196</v>
      </c>
      <c r="M1830" s="34" t="s">
        <v>13197</v>
      </c>
      <c r="N1830" s="65" t="s">
        <v>13198</v>
      </c>
      <c r="O1830" s="65" t="str">
        <f>IFERROR(__xludf.DUMMYFUNCTION("GOOGLETRANSLATE(N1830,""EN"",""ES"")"),"La venta de participaciones en energías renovables puede afectar la estrategia de sostenibilidad a largo plazo de Repsol.")</f>
        <v>La venta de participaciones en energías renovables puede afectar la estrategia de sostenibilidad a largo plazo de Repsol.</v>
      </c>
      <c r="P1830" s="30">
        <v>-0.3</v>
      </c>
      <c r="Q1830" s="18" t="str">
        <f>IFERROR(__xludf.DUMMYFUNCTION("GOOGLETRANSLATE(R1830,""ES"",""EN"")"),"negotiate sale")</f>
        <v>negotiate sale</v>
      </c>
      <c r="R1830" s="34" t="s">
        <v>13199</v>
      </c>
      <c r="S1830" s="52" t="s">
        <v>13200</v>
      </c>
      <c r="T1830" s="22" t="s">
        <v>13201</v>
      </c>
    </row>
    <row r="1831">
      <c r="A1831" s="23" t="s">
        <v>13202</v>
      </c>
      <c r="B1831" s="58" t="s">
        <v>339</v>
      </c>
      <c r="C1831" s="41">
        <v>45426.0</v>
      </c>
      <c r="D1831" s="40" t="s">
        <v>13203</v>
      </c>
      <c r="E1831" s="41" t="s">
        <v>13204</v>
      </c>
      <c r="F1831" s="43" t="s">
        <v>13205</v>
      </c>
      <c r="G1831" s="43" t="s">
        <v>13206</v>
      </c>
      <c r="H1831" s="49" t="s">
        <v>661</v>
      </c>
      <c r="I1831" s="25" t="str">
        <f>IFERROR(__xludf.DUMMYFUNCTION("GOOGLETRANSLATE(H1831,""EN"",""ES"")"),"Estrategia empresarial")</f>
        <v>Estrategia empresarial</v>
      </c>
      <c r="J1831" s="26" t="s">
        <v>35</v>
      </c>
      <c r="K1831" s="48">
        <v>0.5</v>
      </c>
      <c r="L1831" s="49" t="s">
        <v>13207</v>
      </c>
      <c r="M1831" s="28" t="s">
        <v>13208</v>
      </c>
      <c r="N1831" s="66" t="s">
        <v>13209</v>
      </c>
      <c r="O1831" s="66" t="str">
        <f>IFERROR(__xludf.DUMMYFUNCTION("GOOGLETRANSLATE(N1831,""EN"",""ES"")"),"Los descuentos en combustible mejoran el compromiso de Repsol con el cliente, pero tienen un impacto limitado a largo plazo.")</f>
        <v>Los descuentos en combustible mejoran el compromiso de Repsol con el cliente, pero tienen un impacto limitado a largo plazo.</v>
      </c>
      <c r="P1831" s="30">
        <v>0.5</v>
      </c>
      <c r="Q1831" s="31" t="str">
        <f>IFERROR(__xludf.DUMMYFUNCTION("GOOGLETRANSLATE(R1831,""ES"",""EN"")"),"renewable diesel")</f>
        <v>renewable diesel</v>
      </c>
      <c r="R1831" s="28" t="s">
        <v>13210</v>
      </c>
      <c r="S1831" s="53" t="s">
        <v>13211</v>
      </c>
      <c r="T1831" s="32" t="s">
        <v>13212</v>
      </c>
    </row>
    <row r="1832">
      <c r="A1832" s="33" t="s">
        <v>13213</v>
      </c>
      <c r="B1832" s="60" t="s">
        <v>8861</v>
      </c>
      <c r="C1832" s="41">
        <v>45426.0</v>
      </c>
      <c r="D1832" s="40" t="s">
        <v>13214</v>
      </c>
      <c r="E1832" s="41" t="s">
        <v>13215</v>
      </c>
      <c r="F1832" s="43" t="s">
        <v>13216</v>
      </c>
      <c r="G1832" s="43" t="s">
        <v>13217</v>
      </c>
      <c r="H1832" s="51" t="s">
        <v>408</v>
      </c>
      <c r="I1832" s="15" t="str">
        <f>IFERROR(__xludf.DUMMYFUNCTION("GOOGLETRANSLATE(H1832,""EN"",""ES"")"),"Legal")</f>
        <v>Legal</v>
      </c>
      <c r="J1832" s="16" t="s">
        <v>35</v>
      </c>
      <c r="K1832" s="48">
        <v>-0.7</v>
      </c>
      <c r="L1832" s="51" t="s">
        <v>13218</v>
      </c>
      <c r="M1832" s="34" t="s">
        <v>13219</v>
      </c>
      <c r="N1832" s="65" t="s">
        <v>13220</v>
      </c>
      <c r="O1832" s="65" t="str">
        <f>IFERROR(__xludf.DUMMYFUNCTION("GOOGLETRANSLATE(N1832,""EN"",""ES"")"),"Las críticas al consejero delegado de Repsol pueden afectar a su imagen pública.")</f>
        <v>Las críticas al consejero delegado de Repsol pueden afectar a su imagen pública.</v>
      </c>
      <c r="P1832" s="30">
        <v>-0.8</v>
      </c>
      <c r="Q1832" s="18" t="str">
        <f>IFERROR(__xludf.DUMMYFUNCTION("GOOGLETRANSLATE(R1832,""ES"",""EN"")"),"CEO lies")</f>
        <v>CEO lies</v>
      </c>
      <c r="R1832" s="34" t="s">
        <v>13221</v>
      </c>
      <c r="S1832" s="52" t="s">
        <v>13222</v>
      </c>
      <c r="T1832" s="22" t="s">
        <v>13223</v>
      </c>
    </row>
    <row r="1833">
      <c r="A1833" s="23" t="s">
        <v>13224</v>
      </c>
      <c r="B1833" s="58" t="s">
        <v>85</v>
      </c>
      <c r="C1833" s="41">
        <v>45426.0</v>
      </c>
      <c r="D1833" s="40" t="s">
        <v>13225</v>
      </c>
      <c r="E1833" s="41" t="s">
        <v>13226</v>
      </c>
      <c r="F1833" s="43" t="s">
        <v>13227</v>
      </c>
      <c r="G1833" s="43" t="s">
        <v>13228</v>
      </c>
      <c r="H1833" s="49" t="s">
        <v>661</v>
      </c>
      <c r="I1833" s="25" t="str">
        <f>IFERROR(__xludf.DUMMYFUNCTION("GOOGLETRANSLATE(H1833,""EN"",""ES"")"),"Estrategia empresarial")</f>
        <v>Estrategia empresarial</v>
      </c>
      <c r="J1833" s="26" t="s">
        <v>35</v>
      </c>
      <c r="K1833" s="48">
        <v>0.6</v>
      </c>
      <c r="L1833" s="49" t="s">
        <v>13229</v>
      </c>
      <c r="M1833" s="28" t="s">
        <v>13230</v>
      </c>
      <c r="N1833" s="66" t="s">
        <v>13231</v>
      </c>
      <c r="O1833" s="66" t="str">
        <f>IFERROR(__xludf.DUMMYFUNCTION("GOOGLETRANSLATE(N1833,""EN"",""ES"")"),"La inversión en desarrollo suelo apoya la diversificación del negocio de Repsol.")</f>
        <v>La inversión en desarrollo suelo apoya la diversificación del negocio de Repsol.</v>
      </c>
      <c r="P1833" s="30">
        <v>0.6</v>
      </c>
      <c r="Q1833" s="31" t="str">
        <f>IFERROR(__xludf.DUMMYFUNCTION("GOOGLETRANSLATE(R1833,""ES"",""EN"")"),"decontamination")</f>
        <v>decontamination</v>
      </c>
      <c r="R1833" s="28" t="s">
        <v>13232</v>
      </c>
      <c r="S1833" s="53" t="s">
        <v>13233</v>
      </c>
      <c r="T1833" s="32" t="s">
        <v>13234</v>
      </c>
    </row>
    <row r="1834">
      <c r="A1834" s="33" t="s">
        <v>13235</v>
      </c>
      <c r="B1834" s="60" t="s">
        <v>3511</v>
      </c>
      <c r="C1834" s="41">
        <v>45426.0</v>
      </c>
      <c r="D1834" s="40" t="s">
        <v>13236</v>
      </c>
      <c r="E1834" s="41" t="s">
        <v>13237</v>
      </c>
      <c r="F1834" s="43" t="s">
        <v>13238</v>
      </c>
      <c r="G1834" s="43" t="s">
        <v>13239</v>
      </c>
      <c r="H1834" s="51" t="s">
        <v>130</v>
      </c>
      <c r="I1834" s="15" t="str">
        <f>IFERROR(__xludf.DUMMYFUNCTION("GOOGLETRANSLATE(H1834,""EN"",""ES"")"),"Sostenibilidad")</f>
        <v>Sostenibilidad</v>
      </c>
      <c r="J1834" s="16" t="s">
        <v>35</v>
      </c>
      <c r="K1834" s="48">
        <v>0.7</v>
      </c>
      <c r="L1834" s="51" t="s">
        <v>13240</v>
      </c>
      <c r="M1834" s="34" t="s">
        <v>13241</v>
      </c>
      <c r="N1834" s="65" t="s">
        <v>13242</v>
      </c>
      <c r="O1834" s="65" t="str">
        <f>IFERROR(__xludf.DUMMYFUNCTION("GOOGLETRANSLATE(N1834,""EN"",""ES"")"),"Abordar los problemas de contaminación se alinea con los compromisos de sostenibilidad de Repsol.")</f>
        <v>Abordar los problemas de contaminación se alinea con los compromisos de sostenibilidad de Repsol.</v>
      </c>
      <c r="P1834" s="30">
        <v>0.5</v>
      </c>
      <c r="Q1834" s="18" t="str">
        <f>IFERROR(__xludf.DUMMYFUNCTION("GOOGLETRANSLATE(R1834,""ES"",""EN"")"),"decontamination")</f>
        <v>decontamination</v>
      </c>
      <c r="R1834" s="34" t="s">
        <v>13232</v>
      </c>
      <c r="S1834" s="52" t="s">
        <v>13243</v>
      </c>
      <c r="T1834" s="22" t="s">
        <v>13244</v>
      </c>
    </row>
    <row r="1835">
      <c r="A1835" s="23" t="s">
        <v>13245</v>
      </c>
      <c r="B1835" s="58" t="s">
        <v>163</v>
      </c>
      <c r="C1835" s="41">
        <v>45426.0</v>
      </c>
      <c r="D1835" s="40" t="s">
        <v>13246</v>
      </c>
      <c r="E1835" s="41" t="s">
        <v>13247</v>
      </c>
      <c r="F1835" s="43" t="s">
        <v>13248</v>
      </c>
      <c r="G1835" s="43" t="s">
        <v>13249</v>
      </c>
      <c r="H1835" s="49" t="s">
        <v>10358</v>
      </c>
      <c r="I1835" s="25" t="str">
        <f>IFERROR(__xludf.DUMMYFUNCTION("GOOGLETRANSLATE(H1835,""EN"",""ES"")"),"Empleo")</f>
        <v>Empleo</v>
      </c>
      <c r="J1835" s="26" t="s">
        <v>27</v>
      </c>
      <c r="K1835" s="17">
        <v>0.0</v>
      </c>
      <c r="L1835" s="54"/>
      <c r="M1835" s="31"/>
      <c r="N1835" s="66"/>
      <c r="O1835" s="66"/>
      <c r="P1835" s="20">
        <v>0.0</v>
      </c>
      <c r="Q1835" s="31"/>
      <c r="R1835" s="31"/>
      <c r="S1835" s="53"/>
      <c r="T1835" s="32"/>
    </row>
    <row r="1836">
      <c r="A1836" s="33" t="s">
        <v>13250</v>
      </c>
      <c r="B1836" s="60" t="s">
        <v>13251</v>
      </c>
      <c r="C1836" s="41">
        <v>45426.0</v>
      </c>
      <c r="D1836" s="40" t="s">
        <v>13252</v>
      </c>
      <c r="E1836" s="41" t="s">
        <v>13252</v>
      </c>
      <c r="F1836" s="43" t="s">
        <v>13253</v>
      </c>
      <c r="G1836" s="43" t="s">
        <v>13253</v>
      </c>
      <c r="H1836" s="51" t="s">
        <v>10358</v>
      </c>
      <c r="I1836" s="15" t="str">
        <f>IFERROR(__xludf.DUMMYFUNCTION("GOOGLETRANSLATE(H1836,""EN"",""ES"")"),"Empleo")</f>
        <v>Empleo</v>
      </c>
      <c r="J1836" s="16" t="s">
        <v>35</v>
      </c>
      <c r="K1836" s="48">
        <v>0.0</v>
      </c>
      <c r="L1836" s="45"/>
      <c r="M1836" s="18"/>
      <c r="N1836" s="65" t="s">
        <v>13254</v>
      </c>
      <c r="O1836" s="65" t="str">
        <f>IFERROR(__xludf.DUMMYFUNCTION("GOOGLETRANSLATE(N1836,""EN"",""ES"")"),"Los conflictos laborales generales no impactan en la percepción corporativa de Repsol.")</f>
        <v>Los conflictos laborales generales no impactan en la percepción corporativa de Repsol.</v>
      </c>
      <c r="P1836" s="30">
        <v>-0.5</v>
      </c>
      <c r="Q1836" s="18" t="str">
        <f>IFERROR(__xludf.DUMMYFUNCTION("GOOGLETRANSLATE(R1836,""ES"",""EN"")"),"union rejects")</f>
        <v>union rejects</v>
      </c>
      <c r="R1836" s="34" t="s">
        <v>13255</v>
      </c>
      <c r="S1836" s="52" t="s">
        <v>13256</v>
      </c>
      <c r="T1836" s="22" t="s">
        <v>13257</v>
      </c>
    </row>
    <row r="1837">
      <c r="A1837" s="23" t="s">
        <v>13258</v>
      </c>
      <c r="B1837" s="58" t="s">
        <v>21</v>
      </c>
      <c r="C1837" s="41">
        <v>45426.0</v>
      </c>
      <c r="D1837" s="40" t="s">
        <v>13259</v>
      </c>
      <c r="E1837" s="41" t="s">
        <v>13260</v>
      </c>
      <c r="F1837" s="43" t="s">
        <v>13261</v>
      </c>
      <c r="G1837" s="43" t="s">
        <v>13262</v>
      </c>
      <c r="H1837" s="49" t="s">
        <v>148</v>
      </c>
      <c r="I1837" s="25" t="str">
        <f>IFERROR(__xludf.DUMMYFUNCTION("GOOGLETRANSLATE(H1837,""EN"",""ES"")"),"Gastronomía")</f>
        <v>Gastronomía</v>
      </c>
      <c r="J1837" s="26" t="s">
        <v>27</v>
      </c>
      <c r="K1837" s="17">
        <v>0.0</v>
      </c>
      <c r="L1837" s="54"/>
      <c r="M1837" s="31"/>
      <c r="N1837" s="66"/>
      <c r="O1837" s="66"/>
      <c r="P1837" s="20">
        <v>0.0</v>
      </c>
      <c r="Q1837" s="31"/>
      <c r="R1837" s="31"/>
      <c r="S1837" s="53"/>
      <c r="T1837" s="32"/>
    </row>
    <row r="1838">
      <c r="A1838" s="33" t="s">
        <v>13263</v>
      </c>
      <c r="B1838" s="60" t="s">
        <v>1081</v>
      </c>
      <c r="C1838" s="41">
        <v>45426.0</v>
      </c>
      <c r="D1838" s="40" t="s">
        <v>13264</v>
      </c>
      <c r="E1838" s="41" t="s">
        <v>13265</v>
      </c>
      <c r="F1838" s="43" t="s">
        <v>13266</v>
      </c>
      <c r="G1838" s="43" t="s">
        <v>13267</v>
      </c>
      <c r="H1838" s="51" t="s">
        <v>661</v>
      </c>
      <c r="I1838" s="15" t="str">
        <f>IFERROR(__xludf.DUMMYFUNCTION("GOOGLETRANSLATE(H1838,""EN"",""ES"")"),"Estrategia empresarial")</f>
        <v>Estrategia empresarial</v>
      </c>
      <c r="J1838" s="16" t="s">
        <v>35</v>
      </c>
      <c r="K1838" s="48">
        <v>0.6</v>
      </c>
      <c r="L1838" s="51" t="s">
        <v>13268</v>
      </c>
      <c r="M1838" s="34" t="s">
        <v>13269</v>
      </c>
      <c r="N1838" s="65" t="s">
        <v>13270</v>
      </c>
      <c r="O1838" s="65" t="str">
        <f>IFERROR(__xludf.DUMMYFUNCTION("GOOGLETRANSLATE(N1838,""EN"",""ES"")"),"La ampliación de las infraestructuras petroleras fortalece la red logística de Repsol.")</f>
        <v>La ampliación de las infraestructuras petroleras fortalece la red logística de Repsol.</v>
      </c>
      <c r="P1838" s="30">
        <v>0.0</v>
      </c>
      <c r="Q1838" s="18"/>
      <c r="R1838" s="18"/>
      <c r="S1838" s="52" t="s">
        <v>11665</v>
      </c>
      <c r="T1838" s="22" t="s">
        <v>11666</v>
      </c>
    </row>
    <row r="1839">
      <c r="A1839" s="23" t="s">
        <v>13271</v>
      </c>
      <c r="B1839" s="58" t="s">
        <v>431</v>
      </c>
      <c r="C1839" s="41">
        <v>45426.0</v>
      </c>
      <c r="D1839" s="40" t="s">
        <v>13272</v>
      </c>
      <c r="E1839" s="41" t="s">
        <v>13273</v>
      </c>
      <c r="F1839" s="43" t="s">
        <v>13274</v>
      </c>
      <c r="G1839" s="43" t="s">
        <v>13275</v>
      </c>
      <c r="H1839" s="49" t="s">
        <v>148</v>
      </c>
      <c r="I1839" s="25" t="str">
        <f>IFERROR(__xludf.DUMMYFUNCTION("GOOGLETRANSLATE(H1839,""EN"",""ES"")"),"Gastronomía")</f>
        <v>Gastronomía</v>
      </c>
      <c r="J1839" s="26" t="s">
        <v>27</v>
      </c>
      <c r="K1839" s="17">
        <v>0.0</v>
      </c>
      <c r="L1839" s="54"/>
      <c r="M1839" s="31"/>
      <c r="N1839" s="66"/>
      <c r="O1839" s="66"/>
      <c r="P1839" s="20">
        <v>0.0</v>
      </c>
      <c r="Q1839" s="31"/>
      <c r="R1839" s="31"/>
      <c r="S1839" s="53"/>
      <c r="T1839" s="32"/>
    </row>
    <row r="1840">
      <c r="A1840" s="33" t="s">
        <v>13276</v>
      </c>
      <c r="B1840" s="60" t="s">
        <v>85</v>
      </c>
      <c r="C1840" s="41">
        <v>45426.0</v>
      </c>
      <c r="D1840" s="40" t="s">
        <v>13277</v>
      </c>
      <c r="E1840" s="41" t="s">
        <v>13278</v>
      </c>
      <c r="F1840" s="43" t="s">
        <v>13279</v>
      </c>
      <c r="G1840" s="43" t="s">
        <v>13280</v>
      </c>
      <c r="H1840" s="51" t="s">
        <v>969</v>
      </c>
      <c r="I1840" s="15" t="str">
        <f>IFERROR(__xludf.DUMMYFUNCTION("GOOGLETRANSLATE(H1840,""EN"",""ES"")"),"Turismo")</f>
        <v>Turismo</v>
      </c>
      <c r="J1840" s="16" t="s">
        <v>27</v>
      </c>
      <c r="K1840" s="17">
        <v>0.0</v>
      </c>
      <c r="L1840" s="45"/>
      <c r="M1840" s="18"/>
      <c r="N1840" s="65"/>
      <c r="O1840" s="65"/>
      <c r="P1840" s="20">
        <v>0.0</v>
      </c>
      <c r="Q1840" s="18"/>
      <c r="R1840" s="18"/>
      <c r="S1840" s="52"/>
      <c r="T1840" s="22"/>
    </row>
    <row r="1841">
      <c r="A1841" s="23" t="s">
        <v>13281</v>
      </c>
      <c r="B1841" s="58" t="s">
        <v>103</v>
      </c>
      <c r="C1841" s="41">
        <v>45427.0</v>
      </c>
      <c r="D1841" s="40" t="s">
        <v>13282</v>
      </c>
      <c r="E1841" s="41" t="s">
        <v>13283</v>
      </c>
      <c r="F1841" s="43" t="s">
        <v>13284</v>
      </c>
      <c r="G1841" s="43" t="s">
        <v>13285</v>
      </c>
      <c r="H1841" s="49" t="s">
        <v>661</v>
      </c>
      <c r="I1841" s="25" t="str">
        <f>IFERROR(__xludf.DUMMYFUNCTION("GOOGLETRANSLATE(H1841,""EN"",""ES"")"),"Estrategia empresarial")</f>
        <v>Estrategia empresarial</v>
      </c>
      <c r="J1841" s="26" t="s">
        <v>35</v>
      </c>
      <c r="K1841" s="48">
        <v>0.7</v>
      </c>
      <c r="L1841" s="49" t="s">
        <v>11916</v>
      </c>
      <c r="M1841" s="28" t="s">
        <v>11917</v>
      </c>
      <c r="N1841" s="66" t="s">
        <v>13286</v>
      </c>
      <c r="O1841" s="66" t="str">
        <f>IFERROR(__xludf.DUMMYFUNCTION("GOOGLETRANSLATE(N1841,""EN"",""ES"")"),"La inversión en refinerías refuerza la capacidad de producción energética de Repsol.")</f>
        <v>La inversión en refinerías refuerza la capacidad de producción energética de Repsol.</v>
      </c>
      <c r="P1841" s="30">
        <v>0.5</v>
      </c>
      <c r="Q1841" s="31" t="str">
        <f>IFERROR(__xludf.DUMMYFUNCTION("GOOGLETRANSLATE(R1841,""ES"",""EN"")"),"investment")</f>
        <v>investment</v>
      </c>
      <c r="R1841" s="28" t="s">
        <v>11615</v>
      </c>
      <c r="S1841" s="53" t="s">
        <v>13287</v>
      </c>
      <c r="T1841" s="32" t="s">
        <v>13288</v>
      </c>
    </row>
    <row r="1842">
      <c r="A1842" s="33" t="s">
        <v>13289</v>
      </c>
      <c r="B1842" s="60" t="s">
        <v>217</v>
      </c>
      <c r="C1842" s="41">
        <v>45427.0</v>
      </c>
      <c r="D1842" s="40" t="s">
        <v>13290</v>
      </c>
      <c r="E1842" s="41" t="s">
        <v>13291</v>
      </c>
      <c r="F1842" s="43" t="s">
        <v>13292</v>
      </c>
      <c r="G1842" s="43" t="s">
        <v>13293</v>
      </c>
      <c r="H1842" s="51" t="s">
        <v>661</v>
      </c>
      <c r="I1842" s="15" t="str">
        <f>IFERROR(__xludf.DUMMYFUNCTION("GOOGLETRANSLATE(H1842,""EN"",""ES"")"),"Estrategia empresarial")</f>
        <v>Estrategia empresarial</v>
      </c>
      <c r="J1842" s="16" t="s">
        <v>35</v>
      </c>
      <c r="K1842" s="48">
        <v>0.5</v>
      </c>
      <c r="L1842" s="51" t="s">
        <v>13196</v>
      </c>
      <c r="M1842" s="34" t="s">
        <v>13197</v>
      </c>
      <c r="N1842" s="65" t="s">
        <v>13294</v>
      </c>
      <c r="O1842" s="65" t="str">
        <f>IFERROR(__xludf.DUMMYFUNCTION("GOOGLETRANSLATE(N1842,""EN"",""ES"")"),"Vender parte de su unidad de energías renovables puede impactar la transición energética limpia de Repsol.")</f>
        <v>Vender parte de su unidad de energías renovables puede impactar la transición energética limpia de Repsol.</v>
      </c>
      <c r="P1842" s="30">
        <v>-0.4</v>
      </c>
      <c r="Q1842" s="18" t="str">
        <f>IFERROR(__xludf.DUMMYFUNCTION("GOOGLETRANSLATE(R1842,""ES"",""EN"")"),"sell renewables")</f>
        <v>sell renewables</v>
      </c>
      <c r="R1842" s="34" t="s">
        <v>13295</v>
      </c>
      <c r="S1842" s="52" t="s">
        <v>13296</v>
      </c>
      <c r="T1842" s="22" t="s">
        <v>13297</v>
      </c>
    </row>
    <row r="1843">
      <c r="A1843" s="23" t="s">
        <v>13298</v>
      </c>
      <c r="B1843" s="58" t="s">
        <v>13299</v>
      </c>
      <c r="C1843" s="41">
        <v>45427.0</v>
      </c>
      <c r="D1843" s="40" t="s">
        <v>13300</v>
      </c>
      <c r="E1843" s="41" t="s">
        <v>13301</v>
      </c>
      <c r="F1843" s="43" t="s">
        <v>13302</v>
      </c>
      <c r="G1843" s="43" t="s">
        <v>13303</v>
      </c>
      <c r="H1843" s="49" t="s">
        <v>148</v>
      </c>
      <c r="I1843" s="25" t="str">
        <f>IFERROR(__xludf.DUMMYFUNCTION("GOOGLETRANSLATE(H1843,""EN"",""ES"")"),"Gastronomía")</f>
        <v>Gastronomía</v>
      </c>
      <c r="J1843" s="26" t="s">
        <v>27</v>
      </c>
      <c r="K1843" s="17">
        <v>0.0</v>
      </c>
      <c r="L1843" s="54"/>
      <c r="M1843" s="31"/>
      <c r="N1843" s="66"/>
      <c r="O1843" s="66"/>
      <c r="P1843" s="20">
        <v>0.0</v>
      </c>
      <c r="Q1843" s="31"/>
      <c r="R1843" s="31"/>
      <c r="S1843" s="53"/>
      <c r="T1843" s="32"/>
    </row>
    <row r="1844">
      <c r="A1844" s="33" t="s">
        <v>13304</v>
      </c>
      <c r="B1844" s="60" t="s">
        <v>13305</v>
      </c>
      <c r="C1844" s="41">
        <v>45427.0</v>
      </c>
      <c r="D1844" s="40" t="s">
        <v>13306</v>
      </c>
      <c r="E1844" s="41" t="s">
        <v>13307</v>
      </c>
      <c r="F1844" s="43" t="s">
        <v>13308</v>
      </c>
      <c r="G1844" s="43" t="s">
        <v>13309</v>
      </c>
      <c r="H1844" s="51" t="s">
        <v>148</v>
      </c>
      <c r="I1844" s="15" t="str">
        <f>IFERROR(__xludf.DUMMYFUNCTION("GOOGLETRANSLATE(H1844,""EN"",""ES"")"),"Gastronomía")</f>
        <v>Gastronomía</v>
      </c>
      <c r="J1844" s="16" t="s">
        <v>27</v>
      </c>
      <c r="K1844" s="17">
        <v>0.0</v>
      </c>
      <c r="L1844" s="45"/>
      <c r="M1844" s="18"/>
      <c r="N1844" s="65"/>
      <c r="O1844" s="65"/>
      <c r="P1844" s="20">
        <v>0.0</v>
      </c>
      <c r="Q1844" s="18"/>
      <c r="R1844" s="18"/>
      <c r="S1844" s="52"/>
      <c r="T1844" s="22"/>
    </row>
    <row r="1845">
      <c r="A1845" s="23" t="s">
        <v>13310</v>
      </c>
      <c r="B1845" s="58" t="s">
        <v>13311</v>
      </c>
      <c r="C1845" s="41">
        <v>45427.0</v>
      </c>
      <c r="D1845" s="40" t="s">
        <v>13312</v>
      </c>
      <c r="E1845" s="41" t="s">
        <v>13313</v>
      </c>
      <c r="F1845" s="43" t="s">
        <v>13314</v>
      </c>
      <c r="G1845" s="43" t="s">
        <v>13315</v>
      </c>
      <c r="H1845" s="49" t="s">
        <v>661</v>
      </c>
      <c r="I1845" s="25" t="str">
        <f>IFERROR(__xludf.DUMMYFUNCTION("GOOGLETRANSLATE(H1845,""EN"",""ES"")"),"Estrategia empresarial")</f>
        <v>Estrategia empresarial</v>
      </c>
      <c r="J1845" s="26" t="s">
        <v>27</v>
      </c>
      <c r="K1845" s="17">
        <v>0.0</v>
      </c>
      <c r="L1845" s="54"/>
      <c r="M1845" s="31"/>
      <c r="N1845" s="66"/>
      <c r="O1845" s="66"/>
      <c r="P1845" s="20">
        <v>0.0</v>
      </c>
      <c r="Q1845" s="31"/>
      <c r="R1845" s="31"/>
      <c r="S1845" s="53"/>
      <c r="T1845" s="32"/>
    </row>
    <row r="1846">
      <c r="A1846" s="33" t="s">
        <v>13316</v>
      </c>
      <c r="B1846" s="60" t="s">
        <v>977</v>
      </c>
      <c r="C1846" s="41">
        <v>45427.0</v>
      </c>
      <c r="D1846" s="40" t="s">
        <v>13317</v>
      </c>
      <c r="E1846" s="41" t="s">
        <v>13318</v>
      </c>
      <c r="F1846" s="43" t="s">
        <v>13319</v>
      </c>
      <c r="G1846" s="43" t="s">
        <v>13320</v>
      </c>
      <c r="H1846" s="51" t="s">
        <v>408</v>
      </c>
      <c r="I1846" s="15" t="str">
        <f>IFERROR(__xludf.DUMMYFUNCTION("GOOGLETRANSLATE(H1846,""EN"",""ES"")"),"Legal")</f>
        <v>Legal</v>
      </c>
      <c r="J1846" s="16" t="s">
        <v>35</v>
      </c>
      <c r="K1846" s="48">
        <v>-0.7</v>
      </c>
      <c r="L1846" s="51" t="s">
        <v>9922</v>
      </c>
      <c r="M1846" s="34" t="s">
        <v>9923</v>
      </c>
      <c r="N1846" s="65" t="s">
        <v>13321</v>
      </c>
      <c r="O1846" s="65" t="str">
        <f>IFERROR(__xludf.DUMMYFUNCTION("GOOGLETRANSLATE(N1846,""EN"",""ES"")"),"Las protestas medioambientales siguen impactando la percepción pública de Repsol.")</f>
        <v>Las protestas medioambientales siguen impactando la percepción pública de Repsol.</v>
      </c>
      <c r="P1846" s="30">
        <v>-0.9</v>
      </c>
      <c r="Q1846" s="18" t="str">
        <f>IFERROR(__xludf.DUMMYFUNCTION("GOOGLETRANSLATE(R1846,""ES"",""EN"")"),"oil spill")</f>
        <v>oil spill</v>
      </c>
      <c r="R1846" s="34" t="s">
        <v>13322</v>
      </c>
      <c r="S1846" s="52" t="s">
        <v>13323</v>
      </c>
      <c r="T1846" s="22" t="s">
        <v>13324</v>
      </c>
    </row>
    <row r="1847">
      <c r="A1847" s="23" t="s">
        <v>13325</v>
      </c>
      <c r="B1847" s="58" t="s">
        <v>13326</v>
      </c>
      <c r="C1847" s="41">
        <v>45427.0</v>
      </c>
      <c r="D1847" s="40" t="s">
        <v>13327</v>
      </c>
      <c r="E1847" s="41" t="s">
        <v>13328</v>
      </c>
      <c r="F1847" s="43" t="s">
        <v>13329</v>
      </c>
      <c r="G1847" s="43" t="s">
        <v>13330</v>
      </c>
      <c r="H1847" s="49" t="s">
        <v>782</v>
      </c>
      <c r="I1847" s="25" t="str">
        <f>IFERROR(__xludf.DUMMYFUNCTION("GOOGLETRANSLATE(H1847,""EN"",""ES"")"),"Tecnología")</f>
        <v>Tecnología</v>
      </c>
      <c r="J1847" s="26" t="s">
        <v>27</v>
      </c>
      <c r="K1847" s="17">
        <v>0.0</v>
      </c>
      <c r="L1847" s="54"/>
      <c r="M1847" s="31"/>
      <c r="N1847" s="66"/>
      <c r="O1847" s="66"/>
      <c r="P1847" s="20">
        <v>0.0</v>
      </c>
      <c r="Q1847" s="31"/>
      <c r="R1847" s="31"/>
      <c r="S1847" s="53"/>
      <c r="T1847" s="32"/>
    </row>
    <row r="1848">
      <c r="A1848" s="33" t="s">
        <v>13331</v>
      </c>
      <c r="B1848" s="60" t="s">
        <v>217</v>
      </c>
      <c r="C1848" s="41">
        <v>45427.0</v>
      </c>
      <c r="D1848" s="40" t="s">
        <v>13332</v>
      </c>
      <c r="E1848" s="41" t="s">
        <v>13333</v>
      </c>
      <c r="F1848" s="43" t="s">
        <v>13334</v>
      </c>
      <c r="G1848" s="43" t="s">
        <v>13335</v>
      </c>
      <c r="H1848" s="51" t="s">
        <v>661</v>
      </c>
      <c r="I1848" s="15" t="str">
        <f>IFERROR(__xludf.DUMMYFUNCTION("GOOGLETRANSLATE(H1848,""EN"",""ES"")"),"Estrategia empresarial")</f>
        <v>Estrategia empresarial</v>
      </c>
      <c r="J1848" s="16" t="s">
        <v>35</v>
      </c>
      <c r="K1848" s="48">
        <v>0.5</v>
      </c>
      <c r="L1848" s="51" t="s">
        <v>10111</v>
      </c>
      <c r="M1848" s="34" t="s">
        <v>10112</v>
      </c>
      <c r="N1848" s="65" t="s">
        <v>13336</v>
      </c>
      <c r="O1848" s="65" t="str">
        <f>IFERROR(__xludf.DUMMYFUNCTION("GOOGLETRANSLATE(N1848,""EN"",""ES"")"),"Las inversiones en mantenimiento de rutina garantizan la eficiencia operativa a largo plazo.")</f>
        <v>Las inversiones en mantenimiento de rutina garantizan la eficiencia operativa a largo plazo.</v>
      </c>
      <c r="P1848" s="30">
        <v>0.4</v>
      </c>
      <c r="Q1848" s="18" t="str">
        <f>IFERROR(__xludf.DUMMYFUNCTION("GOOGLETRANSLATE(R1848,""ES"",""EN"")"),"investment")</f>
        <v>investment</v>
      </c>
      <c r="R1848" s="34" t="s">
        <v>11615</v>
      </c>
      <c r="S1848" s="52" t="s">
        <v>13287</v>
      </c>
      <c r="T1848" s="22" t="s">
        <v>13288</v>
      </c>
    </row>
    <row r="1849">
      <c r="A1849" s="23" t="s">
        <v>13337</v>
      </c>
      <c r="B1849" s="58" t="s">
        <v>239</v>
      </c>
      <c r="C1849" s="41">
        <v>45427.0</v>
      </c>
      <c r="D1849" s="40" t="s">
        <v>13338</v>
      </c>
      <c r="E1849" s="41" t="s">
        <v>13339</v>
      </c>
      <c r="F1849" s="43" t="s">
        <v>13340</v>
      </c>
      <c r="G1849" s="43" t="s">
        <v>13341</v>
      </c>
      <c r="H1849" s="49" t="s">
        <v>55</v>
      </c>
      <c r="I1849" s="25" t="str">
        <f>IFERROR(__xludf.DUMMYFUNCTION("GOOGLETRANSLATE(H1849,""EN"",""ES"")"),"deportes de motor")</f>
        <v>deportes de motor</v>
      </c>
      <c r="J1849" s="26" t="s">
        <v>27</v>
      </c>
      <c r="K1849" s="17">
        <v>0.0</v>
      </c>
      <c r="L1849" s="54"/>
      <c r="M1849" s="31"/>
      <c r="N1849" s="66"/>
      <c r="O1849" s="66"/>
      <c r="P1849" s="20">
        <v>0.0</v>
      </c>
      <c r="Q1849" s="31"/>
      <c r="R1849" s="31"/>
      <c r="S1849" s="53"/>
      <c r="T1849" s="32"/>
    </row>
    <row r="1850">
      <c r="A1850" s="33" t="s">
        <v>13342</v>
      </c>
      <c r="B1850" s="60" t="s">
        <v>2230</v>
      </c>
      <c r="C1850" s="41">
        <v>45427.0</v>
      </c>
      <c r="D1850" s="40" t="s">
        <v>13343</v>
      </c>
      <c r="E1850" s="41" t="s">
        <v>13344</v>
      </c>
      <c r="F1850" s="43" t="s">
        <v>13345</v>
      </c>
      <c r="G1850" s="43" t="s">
        <v>13346</v>
      </c>
      <c r="H1850" s="51" t="s">
        <v>8339</v>
      </c>
      <c r="I1850" s="15" t="str">
        <f>IFERROR(__xludf.DUMMYFUNCTION("GOOGLETRANSLATE(H1850,""EN"",""ES"")"),"Incidente")</f>
        <v>Incidente</v>
      </c>
      <c r="J1850" s="16" t="s">
        <v>27</v>
      </c>
      <c r="K1850" s="17">
        <v>0.0</v>
      </c>
      <c r="L1850" s="45"/>
      <c r="M1850" s="18"/>
      <c r="N1850" s="65"/>
      <c r="O1850" s="65"/>
      <c r="P1850" s="20">
        <v>0.0</v>
      </c>
      <c r="Q1850" s="18"/>
      <c r="R1850" s="18"/>
      <c r="S1850" s="52"/>
      <c r="T1850" s="22"/>
    </row>
    <row r="1851">
      <c r="A1851" s="23" t="s">
        <v>13347</v>
      </c>
      <c r="B1851" s="58" t="s">
        <v>1819</v>
      </c>
      <c r="C1851" s="41">
        <v>45428.0</v>
      </c>
      <c r="D1851" s="40" t="s">
        <v>13348</v>
      </c>
      <c r="E1851" s="41" t="s">
        <v>13349</v>
      </c>
      <c r="F1851" s="43" t="s">
        <v>13350</v>
      </c>
      <c r="G1851" s="43" t="s">
        <v>13351</v>
      </c>
      <c r="H1851" s="49" t="s">
        <v>661</v>
      </c>
      <c r="I1851" s="25" t="str">
        <f>IFERROR(__xludf.DUMMYFUNCTION("GOOGLETRANSLATE(H1851,""EN"",""ES"")"),"Estrategia empresarial")</f>
        <v>Estrategia empresarial</v>
      </c>
      <c r="J1851" s="26" t="s">
        <v>35</v>
      </c>
      <c r="K1851" s="48">
        <v>-0.6</v>
      </c>
      <c r="L1851" s="49" t="s">
        <v>13352</v>
      </c>
      <c r="M1851" s="28" t="s">
        <v>12720</v>
      </c>
      <c r="N1851" s="66" t="s">
        <v>13353</v>
      </c>
      <c r="O1851" s="66" t="str">
        <f>IFERROR(__xludf.DUMMYFUNCTION("GOOGLETRANSLATE(N1851,""EN"",""ES"")"),"Los conflictos laborales pueden impactar negativamente en la percepción pública de Repsol.")</f>
        <v>Los conflictos laborales pueden impactar negativamente en la percepción pública de Repsol.</v>
      </c>
      <c r="P1851" s="30">
        <v>-0.6</v>
      </c>
      <c r="Q1851" s="31" t="str">
        <f>IFERROR(__xludf.DUMMYFUNCTION("GOOGLETRANSLATE(R1851,""ES"",""EN"")"),"refinery protest")</f>
        <v>refinery protest</v>
      </c>
      <c r="R1851" s="28" t="s">
        <v>13354</v>
      </c>
      <c r="S1851" s="53" t="s">
        <v>13256</v>
      </c>
      <c r="T1851" s="32" t="s">
        <v>13257</v>
      </c>
    </row>
    <row r="1852">
      <c r="A1852" s="33" t="s">
        <v>13355</v>
      </c>
      <c r="B1852" s="60" t="s">
        <v>21</v>
      </c>
      <c r="C1852" s="41">
        <v>45428.0</v>
      </c>
      <c r="D1852" s="40" t="s">
        <v>13356</v>
      </c>
      <c r="E1852" s="41" t="s">
        <v>13357</v>
      </c>
      <c r="F1852" s="43" t="s">
        <v>13358</v>
      </c>
      <c r="G1852" s="43" t="s">
        <v>13359</v>
      </c>
      <c r="H1852" s="51" t="s">
        <v>148</v>
      </c>
      <c r="I1852" s="15" t="str">
        <f>IFERROR(__xludf.DUMMYFUNCTION("GOOGLETRANSLATE(H1852,""EN"",""ES"")"),"Gastronomía")</f>
        <v>Gastronomía</v>
      </c>
      <c r="J1852" s="16" t="s">
        <v>27</v>
      </c>
      <c r="K1852" s="17">
        <v>0.0</v>
      </c>
      <c r="L1852" s="45"/>
      <c r="M1852" s="18"/>
      <c r="N1852" s="65"/>
      <c r="O1852" s="65"/>
      <c r="P1852" s="20">
        <v>0.0</v>
      </c>
      <c r="Q1852" s="18"/>
      <c r="R1852" s="18"/>
      <c r="S1852" s="52"/>
      <c r="T1852" s="22"/>
    </row>
    <row r="1853">
      <c r="A1853" s="23" t="s">
        <v>13360</v>
      </c>
      <c r="B1853" s="58" t="s">
        <v>4948</v>
      </c>
      <c r="C1853" s="41">
        <v>45428.0</v>
      </c>
      <c r="D1853" s="40" t="s">
        <v>13361</v>
      </c>
      <c r="E1853" s="41" t="s">
        <v>13362</v>
      </c>
      <c r="F1853" s="43" t="s">
        <v>13363</v>
      </c>
      <c r="G1853" s="43" t="s">
        <v>13364</v>
      </c>
      <c r="H1853" s="49" t="s">
        <v>148</v>
      </c>
      <c r="I1853" s="25" t="str">
        <f>IFERROR(__xludf.DUMMYFUNCTION("GOOGLETRANSLATE(H1853,""EN"",""ES"")"),"Gastronomía")</f>
        <v>Gastronomía</v>
      </c>
      <c r="J1853" s="26" t="s">
        <v>27</v>
      </c>
      <c r="K1853" s="17">
        <v>0.0</v>
      </c>
      <c r="L1853" s="54"/>
      <c r="M1853" s="31"/>
      <c r="N1853" s="66"/>
      <c r="O1853" s="66"/>
      <c r="P1853" s="20">
        <v>0.0</v>
      </c>
      <c r="Q1853" s="31"/>
      <c r="R1853" s="31"/>
      <c r="S1853" s="53"/>
      <c r="T1853" s="32"/>
    </row>
    <row r="1854">
      <c r="A1854" s="33" t="s">
        <v>13365</v>
      </c>
      <c r="B1854" s="60" t="s">
        <v>6458</v>
      </c>
      <c r="C1854" s="41">
        <v>45428.0</v>
      </c>
      <c r="D1854" s="40" t="s">
        <v>13366</v>
      </c>
      <c r="E1854" s="41" t="s">
        <v>13367</v>
      </c>
      <c r="F1854" s="43" t="s">
        <v>13368</v>
      </c>
      <c r="G1854" s="43" t="s">
        <v>13369</v>
      </c>
      <c r="H1854" s="51" t="s">
        <v>148</v>
      </c>
      <c r="I1854" s="15" t="str">
        <f>IFERROR(__xludf.DUMMYFUNCTION("GOOGLETRANSLATE(H1854,""EN"",""ES"")"),"Gastronomía")</f>
        <v>Gastronomía</v>
      </c>
      <c r="J1854" s="16" t="s">
        <v>27</v>
      </c>
      <c r="K1854" s="17">
        <v>0.0</v>
      </c>
      <c r="L1854" s="45"/>
      <c r="M1854" s="18"/>
      <c r="N1854" s="65"/>
      <c r="O1854" s="65"/>
      <c r="P1854" s="20">
        <v>0.0</v>
      </c>
      <c r="Q1854" s="18"/>
      <c r="R1854" s="18"/>
      <c r="S1854" s="52"/>
      <c r="T1854" s="22"/>
    </row>
    <row r="1855">
      <c r="A1855" s="23" t="s">
        <v>13370</v>
      </c>
      <c r="B1855" s="58" t="s">
        <v>977</v>
      </c>
      <c r="C1855" s="41">
        <v>45428.0</v>
      </c>
      <c r="D1855" s="40" t="s">
        <v>13371</v>
      </c>
      <c r="E1855" s="41" t="s">
        <v>13372</v>
      </c>
      <c r="F1855" s="43" t="s">
        <v>13373</v>
      </c>
      <c r="G1855" s="43" t="s">
        <v>13374</v>
      </c>
      <c r="H1855" s="49" t="s">
        <v>148</v>
      </c>
      <c r="I1855" s="25" t="str">
        <f>IFERROR(__xludf.DUMMYFUNCTION("GOOGLETRANSLATE(H1855,""EN"",""ES"")"),"Gastronomía")</f>
        <v>Gastronomía</v>
      </c>
      <c r="J1855" s="26" t="s">
        <v>27</v>
      </c>
      <c r="K1855" s="17">
        <v>0.0</v>
      </c>
      <c r="L1855" s="54"/>
      <c r="M1855" s="31"/>
      <c r="N1855" s="66"/>
      <c r="O1855" s="66"/>
      <c r="P1855" s="20">
        <v>0.0</v>
      </c>
      <c r="Q1855" s="31"/>
      <c r="R1855" s="31"/>
      <c r="S1855" s="53"/>
      <c r="T1855" s="32"/>
    </row>
    <row r="1856">
      <c r="A1856" s="33" t="s">
        <v>13375</v>
      </c>
      <c r="B1856" s="60" t="s">
        <v>163</v>
      </c>
      <c r="C1856" s="41">
        <v>45428.0</v>
      </c>
      <c r="D1856" s="40" t="s">
        <v>13376</v>
      </c>
      <c r="E1856" s="41" t="s">
        <v>13377</v>
      </c>
      <c r="F1856" s="43" t="s">
        <v>13378</v>
      </c>
      <c r="G1856" s="43" t="s">
        <v>13379</v>
      </c>
      <c r="H1856" s="51" t="s">
        <v>55</v>
      </c>
      <c r="I1856" s="15" t="str">
        <f>IFERROR(__xludf.DUMMYFUNCTION("GOOGLETRANSLATE(H1856,""EN"",""ES"")"),"deportes de motor")</f>
        <v>deportes de motor</v>
      </c>
      <c r="J1856" s="16" t="s">
        <v>27</v>
      </c>
      <c r="K1856" s="17">
        <v>0.0</v>
      </c>
      <c r="L1856" s="45"/>
      <c r="M1856" s="18"/>
      <c r="N1856" s="65"/>
      <c r="O1856" s="65"/>
      <c r="P1856" s="20">
        <v>0.0</v>
      </c>
      <c r="Q1856" s="18"/>
      <c r="R1856" s="18"/>
      <c r="S1856" s="52"/>
      <c r="T1856" s="22"/>
    </row>
    <row r="1857">
      <c r="A1857" s="23" t="s">
        <v>13380</v>
      </c>
      <c r="B1857" s="58" t="s">
        <v>735</v>
      </c>
      <c r="C1857" s="41">
        <v>45428.0</v>
      </c>
      <c r="D1857" s="40" t="s">
        <v>13381</v>
      </c>
      <c r="E1857" s="41" t="s">
        <v>13382</v>
      </c>
      <c r="F1857" s="43" t="s">
        <v>13383</v>
      </c>
      <c r="G1857" s="43" t="s">
        <v>13384</v>
      </c>
      <c r="H1857" s="49" t="s">
        <v>55</v>
      </c>
      <c r="I1857" s="25" t="str">
        <f>IFERROR(__xludf.DUMMYFUNCTION("GOOGLETRANSLATE(H1857,""EN"",""ES"")"),"deportes de motor")</f>
        <v>deportes de motor</v>
      </c>
      <c r="J1857" s="26" t="s">
        <v>27</v>
      </c>
      <c r="K1857" s="17">
        <v>0.0</v>
      </c>
      <c r="L1857" s="54"/>
      <c r="M1857" s="31"/>
      <c r="N1857" s="66"/>
      <c r="O1857" s="66"/>
      <c r="P1857" s="20">
        <v>0.0</v>
      </c>
      <c r="Q1857" s="31"/>
      <c r="R1857" s="31"/>
      <c r="S1857" s="53"/>
      <c r="T1857" s="32"/>
    </row>
    <row r="1858">
      <c r="A1858" s="33" t="s">
        <v>13385</v>
      </c>
      <c r="B1858" s="60" t="s">
        <v>1011</v>
      </c>
      <c r="C1858" s="41">
        <v>45428.0</v>
      </c>
      <c r="D1858" s="40" t="s">
        <v>13386</v>
      </c>
      <c r="E1858" s="41" t="s">
        <v>13387</v>
      </c>
      <c r="F1858" s="43" t="s">
        <v>13388</v>
      </c>
      <c r="G1858" s="43" t="s">
        <v>13389</v>
      </c>
      <c r="H1858" s="51" t="s">
        <v>155</v>
      </c>
      <c r="I1858" s="15" t="str">
        <f>IFERROR(__xludf.DUMMYFUNCTION("GOOGLETRANSLATE(H1858,""EN"",""ES"")"),"Marketing")</f>
        <v>Marketing</v>
      </c>
      <c r="J1858" s="16" t="s">
        <v>35</v>
      </c>
      <c r="K1858" s="48">
        <v>0.5</v>
      </c>
      <c r="L1858" s="51" t="s">
        <v>13390</v>
      </c>
      <c r="M1858" s="34" t="s">
        <v>13391</v>
      </c>
      <c r="N1858" s="65" t="s">
        <v>13392</v>
      </c>
      <c r="O1858" s="65" t="str">
        <f>IFERROR(__xludf.DUMMYFUNCTION("GOOGLETRANSLATE(N1858,""EN"",""ES"")"),"Ofrecer descuentos en combustible mejora la vinculación con el cliente de Repsol.")</f>
        <v>Ofrecer descuentos en combustible mejora la vinculación con el cliente de Repsol.</v>
      </c>
      <c r="P1858" s="30">
        <v>0.4</v>
      </c>
      <c r="Q1858" s="18" t="str">
        <f>IFERROR(__xludf.DUMMYFUNCTION("GOOGLETRANSLATE(R1858,""ES"",""EN"")"),"save fuel")</f>
        <v>save fuel</v>
      </c>
      <c r="R1858" s="34" t="s">
        <v>13393</v>
      </c>
      <c r="S1858" s="52" t="s">
        <v>13394</v>
      </c>
      <c r="T1858" s="22" t="s">
        <v>13395</v>
      </c>
    </row>
    <row r="1859">
      <c r="A1859" s="23" t="s">
        <v>13396</v>
      </c>
      <c r="B1859" s="58" t="s">
        <v>13397</v>
      </c>
      <c r="C1859" s="41">
        <v>45428.0</v>
      </c>
      <c r="D1859" s="40" t="s">
        <v>13398</v>
      </c>
      <c r="E1859" s="41" t="s">
        <v>13399</v>
      </c>
      <c r="F1859" s="43" t="s">
        <v>13400</v>
      </c>
      <c r="G1859" s="43" t="s">
        <v>13401</v>
      </c>
      <c r="H1859" s="49" t="s">
        <v>408</v>
      </c>
      <c r="I1859" s="25" t="str">
        <f>IFERROR(__xludf.DUMMYFUNCTION("GOOGLETRANSLATE(H1859,""EN"",""ES"")"),"Legal")</f>
        <v>Legal</v>
      </c>
      <c r="J1859" s="26" t="s">
        <v>35</v>
      </c>
      <c r="K1859" s="48">
        <v>-0.7</v>
      </c>
      <c r="L1859" s="49" t="s">
        <v>13011</v>
      </c>
      <c r="M1859" s="28" t="s">
        <v>13012</v>
      </c>
      <c r="N1859" s="66" t="s">
        <v>13402</v>
      </c>
      <c r="O1859" s="66" t="str">
        <f>IFERROR(__xludf.DUMMYFUNCTION("GOOGLETRANSLATE(N1859,""EN"",""ES"")"),"Los retrasos en los litigios medioambientales pueden ampliar el sentimiento negativo hacia Repsol.")</f>
        <v>Los retrasos en los litigios medioambientales pueden ampliar el sentimiento negativo hacia Repsol.</v>
      </c>
      <c r="P1859" s="30">
        <v>-0.9</v>
      </c>
      <c r="Q1859" s="31" t="str">
        <f>IFERROR(__xludf.DUMMYFUNCTION("GOOGLETRANSLATE(R1859,""ES"",""EN"")"),"oil spill")</f>
        <v>oil spill</v>
      </c>
      <c r="R1859" s="28" t="s">
        <v>13322</v>
      </c>
      <c r="S1859" s="53" t="s">
        <v>13403</v>
      </c>
      <c r="T1859" s="32" t="s">
        <v>13404</v>
      </c>
    </row>
    <row r="1860">
      <c r="A1860" s="33" t="s">
        <v>13405</v>
      </c>
      <c r="B1860" s="60" t="s">
        <v>11295</v>
      </c>
      <c r="C1860" s="41">
        <v>45428.0</v>
      </c>
      <c r="D1860" s="40" t="s">
        <v>13406</v>
      </c>
      <c r="E1860" s="41" t="s">
        <v>13407</v>
      </c>
      <c r="F1860" s="43" t="s">
        <v>13408</v>
      </c>
      <c r="G1860" s="43" t="s">
        <v>13409</v>
      </c>
      <c r="H1860" s="51" t="s">
        <v>661</v>
      </c>
      <c r="I1860" s="15" t="str">
        <f>IFERROR(__xludf.DUMMYFUNCTION("GOOGLETRANSLATE(H1860,""EN"",""ES"")"),"Estrategia empresarial")</f>
        <v>Estrategia empresarial</v>
      </c>
      <c r="J1860" s="16" t="s">
        <v>35</v>
      </c>
      <c r="K1860" s="48">
        <v>-0.5</v>
      </c>
      <c r="L1860" s="51" t="s">
        <v>13410</v>
      </c>
      <c r="M1860" s="34" t="s">
        <v>13411</v>
      </c>
      <c r="N1860" s="65" t="s">
        <v>13412</v>
      </c>
      <c r="O1860" s="65" t="str">
        <f>IFERROR(__xludf.DUMMYFUNCTION("GOOGLETRANSLATE(N1860,""EN"",""ES"")"),"Los desafíos regulatorios en Venezuela pueden afectar las operaciones energéticas de Repsol.")</f>
        <v>Los desafíos regulatorios en Venezuela pueden afectar las operaciones energéticas de Repsol.</v>
      </c>
      <c r="P1860" s="30">
        <v>0.0</v>
      </c>
      <c r="Q1860" s="18"/>
      <c r="R1860" s="18"/>
      <c r="S1860" s="52" t="s">
        <v>11665</v>
      </c>
      <c r="T1860" s="22" t="s">
        <v>11666</v>
      </c>
    </row>
    <row r="1861">
      <c r="A1861" s="23" t="s">
        <v>13413</v>
      </c>
      <c r="B1861" s="58" t="s">
        <v>952</v>
      </c>
      <c r="C1861" s="41">
        <v>45429.0</v>
      </c>
      <c r="D1861" s="40" t="s">
        <v>13414</v>
      </c>
      <c r="E1861" s="41" t="s">
        <v>13415</v>
      </c>
      <c r="F1861" s="43" t="s">
        <v>13416</v>
      </c>
      <c r="G1861" s="43" t="s">
        <v>13417</v>
      </c>
      <c r="H1861" s="49" t="s">
        <v>130</v>
      </c>
      <c r="I1861" s="25" t="str">
        <f>IFERROR(__xludf.DUMMYFUNCTION("GOOGLETRANSLATE(H1861,""EN"",""ES"")"),"Sostenibilidad")</f>
        <v>Sostenibilidad</v>
      </c>
      <c r="J1861" s="26" t="s">
        <v>35</v>
      </c>
      <c r="K1861" s="48">
        <v>0.7</v>
      </c>
      <c r="L1861" s="49" t="s">
        <v>13418</v>
      </c>
      <c r="M1861" s="28" t="s">
        <v>13419</v>
      </c>
      <c r="N1861" s="66" t="s">
        <v>13420</v>
      </c>
      <c r="O1861" s="66" t="str">
        <f>IFERROR(__xludf.DUMMYFUNCTION("GOOGLETRANSLATE(N1861,""EN"",""ES"")"),"La ampliación de la producción de biocombustibles refuerza los compromisos de Repsol en materia de energías limpias.")</f>
        <v>La ampliación de la producción de biocombustibles refuerza los compromisos de Repsol en materia de energías limpias.</v>
      </c>
      <c r="P1861" s="30">
        <v>0.5</v>
      </c>
      <c r="Q1861" s="31" t="str">
        <f>IFERROR(__xludf.DUMMYFUNCTION("GOOGLETRANSLATE(R1861,""ES"",""EN"")"),"oil collection")</f>
        <v>oil collection</v>
      </c>
      <c r="R1861" s="28" t="s">
        <v>13421</v>
      </c>
      <c r="S1861" s="53" t="s">
        <v>13422</v>
      </c>
      <c r="T1861" s="32" t="s">
        <v>13423</v>
      </c>
    </row>
    <row r="1862">
      <c r="A1862" s="33" t="s">
        <v>13424</v>
      </c>
      <c r="B1862" s="60" t="s">
        <v>9427</v>
      </c>
      <c r="C1862" s="41">
        <v>45429.0</v>
      </c>
      <c r="D1862" s="40" t="s">
        <v>13425</v>
      </c>
      <c r="E1862" s="41" t="s">
        <v>13426</v>
      </c>
      <c r="F1862" s="43" t="s">
        <v>13427</v>
      </c>
      <c r="G1862" s="43" t="s">
        <v>13428</v>
      </c>
      <c r="H1862" s="51" t="s">
        <v>661</v>
      </c>
      <c r="I1862" s="15" t="str">
        <f>IFERROR(__xludf.DUMMYFUNCTION("GOOGLETRANSLATE(H1862,""EN"",""ES"")"),"Estrategia empresarial")</f>
        <v>Estrategia empresarial</v>
      </c>
      <c r="J1862" s="16" t="s">
        <v>35</v>
      </c>
      <c r="K1862" s="48">
        <v>0.5</v>
      </c>
      <c r="L1862" s="51" t="s">
        <v>13429</v>
      </c>
      <c r="M1862" s="34" t="s">
        <v>13430</v>
      </c>
      <c r="N1862" s="65" t="s">
        <v>13431</v>
      </c>
      <c r="O1862" s="65" t="str">
        <f>IFERROR(__xludf.DUMMYFUNCTION("GOOGLETRANSLATE(N1862,""EN"",""ES"")"),"Competir por cuota de mercado energético refuerza el posicionamiento de Repsol.")</f>
        <v>Competir por cuota de mercado energético refuerza el posicionamiento de Repsol.</v>
      </c>
      <c r="P1862" s="30">
        <v>-0.3</v>
      </c>
      <c r="Q1862" s="18" t="str">
        <f>IFERROR(__xludf.DUMMYFUNCTION("GOOGLETRANSLATE(R1862,""ES"",""EN"")"),"battle competition")</f>
        <v>battle competition</v>
      </c>
      <c r="R1862" s="34" t="s">
        <v>13432</v>
      </c>
      <c r="S1862" s="52" t="s">
        <v>13433</v>
      </c>
      <c r="T1862" s="22" t="s">
        <v>13434</v>
      </c>
    </row>
    <row r="1863">
      <c r="A1863" s="23" t="s">
        <v>13435</v>
      </c>
      <c r="B1863" s="58" t="s">
        <v>11517</v>
      </c>
      <c r="C1863" s="41">
        <v>45429.0</v>
      </c>
      <c r="D1863" s="40" t="s">
        <v>13436</v>
      </c>
      <c r="E1863" s="41" t="s">
        <v>13437</v>
      </c>
      <c r="F1863" s="43" t="s">
        <v>13438</v>
      </c>
      <c r="G1863" s="43" t="s">
        <v>13439</v>
      </c>
      <c r="H1863" s="49" t="s">
        <v>661</v>
      </c>
      <c r="I1863" s="25" t="str">
        <f>IFERROR(__xludf.DUMMYFUNCTION("GOOGLETRANSLATE(H1863,""EN"",""ES"")"),"Estrategia empresarial")</f>
        <v>Estrategia empresarial</v>
      </c>
      <c r="J1863" s="26" t="s">
        <v>35</v>
      </c>
      <c r="K1863" s="48">
        <v>0.6</v>
      </c>
      <c r="L1863" s="49" t="s">
        <v>13440</v>
      </c>
      <c r="M1863" s="28" t="s">
        <v>13441</v>
      </c>
      <c r="N1863" s="66" t="s">
        <v>13442</v>
      </c>
      <c r="O1863" s="66" t="str">
        <f>IFERROR(__xludf.DUMMYFUNCTION("GOOGLETRANSLATE(N1863,""EN"",""ES"")"),"Reforzar la colaboración gubernamental apoya el posicionamiento de Repsol en el mercado.")</f>
        <v>Reforzar la colaboración gubernamental apoya el posicionamiento de Repsol en el mercado.</v>
      </c>
      <c r="P1863" s="30">
        <v>0.5</v>
      </c>
      <c r="Q1863" s="31" t="str">
        <f>IFERROR(__xludf.DUMMYFUNCTION("GOOGLETRANSLATE(R1863,""ES"",""EN"")"),"oil collection")</f>
        <v>oil collection</v>
      </c>
      <c r="R1863" s="28" t="s">
        <v>13421</v>
      </c>
      <c r="S1863" s="53" t="s">
        <v>13443</v>
      </c>
      <c r="T1863" s="32" t="s">
        <v>13444</v>
      </c>
    </row>
    <row r="1864">
      <c r="A1864" s="33" t="s">
        <v>13445</v>
      </c>
      <c r="B1864" s="60" t="s">
        <v>2713</v>
      </c>
      <c r="C1864" s="41">
        <v>45429.0</v>
      </c>
      <c r="D1864" s="40" t="s">
        <v>13446</v>
      </c>
      <c r="E1864" s="41" t="s">
        <v>13447</v>
      </c>
      <c r="F1864" s="43" t="s">
        <v>13448</v>
      </c>
      <c r="G1864" s="43" t="s">
        <v>13449</v>
      </c>
      <c r="H1864" s="51" t="s">
        <v>48</v>
      </c>
      <c r="I1864" s="15" t="str">
        <f>IFERROR(__xludf.DUMMYFUNCTION("GOOGLETRANSLATE(H1864,""EN"",""ES"")"),"Finanzas")</f>
        <v>Finanzas</v>
      </c>
      <c r="J1864" s="16" t="s">
        <v>35</v>
      </c>
      <c r="K1864" s="48">
        <v>0.6</v>
      </c>
      <c r="L1864" s="51" t="s">
        <v>13450</v>
      </c>
      <c r="M1864" s="34" t="s">
        <v>13451</v>
      </c>
      <c r="N1864" s="65" t="s">
        <v>13452</v>
      </c>
      <c r="O1864" s="65" t="str">
        <f>IFERROR(__xludf.DUMMYFUNCTION("GOOGLETRANSLATE(N1864,""EN"",""ES"")"),"La adquisición de acciones por parte de los empleados refuerza la confianza interna en Repsol.")</f>
        <v>La adquisición de acciones por parte de los empleados refuerza la confianza interna en Repsol.</v>
      </c>
      <c r="P1864" s="30">
        <v>0.4</v>
      </c>
      <c r="Q1864" s="18" t="str">
        <f>IFERROR(__xludf.DUMMYFUNCTION("GOOGLETRANSLATE(R1864,""ES"",""EN"")"),"employees shares")</f>
        <v>employees shares</v>
      </c>
      <c r="R1864" s="34" t="s">
        <v>13453</v>
      </c>
      <c r="S1864" s="52" t="s">
        <v>13454</v>
      </c>
      <c r="T1864" s="22" t="s">
        <v>13455</v>
      </c>
    </row>
    <row r="1865">
      <c r="A1865" s="23" t="s">
        <v>13456</v>
      </c>
      <c r="B1865" s="58" t="s">
        <v>163</v>
      </c>
      <c r="C1865" s="41">
        <v>45429.0</v>
      </c>
      <c r="D1865" s="40" t="s">
        <v>13457</v>
      </c>
      <c r="E1865" s="41" t="s">
        <v>13458</v>
      </c>
      <c r="F1865" s="43" t="s">
        <v>13459</v>
      </c>
      <c r="G1865" s="43" t="s">
        <v>13460</v>
      </c>
      <c r="H1865" s="49" t="s">
        <v>130</v>
      </c>
      <c r="I1865" s="25" t="str">
        <f>IFERROR(__xludf.DUMMYFUNCTION("GOOGLETRANSLATE(H1865,""EN"",""ES"")"),"Sostenibilidad")</f>
        <v>Sostenibilidad</v>
      </c>
      <c r="J1865" s="26" t="s">
        <v>35</v>
      </c>
      <c r="K1865" s="48">
        <v>0.7</v>
      </c>
      <c r="L1865" s="49" t="s">
        <v>12185</v>
      </c>
      <c r="M1865" s="28" t="s">
        <v>12186</v>
      </c>
      <c r="N1865" s="66" t="s">
        <v>13461</v>
      </c>
      <c r="O1865" s="66" t="str">
        <f>IFERROR(__xludf.DUMMYFUNCTION("GOOGLETRANSLATE(N1865,""EN"",""ES"")"),"Apoyar la transición energética se alinea con la estrategia de sostenibilidad a largo plazo de Repsol.")</f>
        <v>Apoyar la transición energética se alinea con la estrategia de sostenibilidad a largo plazo de Repsol.</v>
      </c>
      <c r="P1865" s="30">
        <v>0.0</v>
      </c>
      <c r="Q1865" s="31"/>
      <c r="R1865" s="31"/>
      <c r="S1865" s="53" t="s">
        <v>11665</v>
      </c>
      <c r="T1865" s="32" t="s">
        <v>11666</v>
      </c>
    </row>
    <row r="1866">
      <c r="A1866" s="33" t="s">
        <v>13462</v>
      </c>
      <c r="B1866" s="60" t="s">
        <v>4450</v>
      </c>
      <c r="C1866" s="41">
        <v>45429.0</v>
      </c>
      <c r="D1866" s="40" t="s">
        <v>13463</v>
      </c>
      <c r="E1866" s="41" t="s">
        <v>13464</v>
      </c>
      <c r="F1866" s="43" t="s">
        <v>13465</v>
      </c>
      <c r="G1866" s="43" t="s">
        <v>13466</v>
      </c>
      <c r="H1866" s="51" t="s">
        <v>130</v>
      </c>
      <c r="I1866" s="15" t="str">
        <f>IFERROR(__xludf.DUMMYFUNCTION("GOOGLETRANSLATE(H1866,""EN"",""ES"")"),"Sostenibilidad")</f>
        <v>Sostenibilidad</v>
      </c>
      <c r="J1866" s="16" t="s">
        <v>35</v>
      </c>
      <c r="K1866" s="48">
        <v>0.7</v>
      </c>
      <c r="L1866" s="51" t="s">
        <v>13418</v>
      </c>
      <c r="M1866" s="34" t="s">
        <v>13419</v>
      </c>
      <c r="N1866" s="65" t="s">
        <v>13467</v>
      </c>
      <c r="O1866" s="65" t="str">
        <f>IFERROR(__xludf.DUMMYFUNCTION("GOOGLETRANSLATE(N1866,""EN"",""ES"")"),"La ampliación de los programas de recogida de biocombustibles refuerza el compromiso de Repsol con la sostenibilidad.")</f>
        <v>La ampliación de los programas de recogida de biocombustibles refuerza el compromiso de Repsol con la sostenibilidad.</v>
      </c>
      <c r="P1866" s="30">
        <v>0.7</v>
      </c>
      <c r="Q1866" s="18" t="str">
        <f>IFERROR(__xludf.DUMMYFUNCTION("GOOGLETRANSLATE(R1866,""ES"",""EN"")"),"renewable fuels")</f>
        <v>renewable fuels</v>
      </c>
      <c r="R1866" s="34" t="s">
        <v>584</v>
      </c>
      <c r="S1866" s="52" t="s">
        <v>11820</v>
      </c>
      <c r="T1866" s="22" t="s">
        <v>11821</v>
      </c>
    </row>
    <row r="1867">
      <c r="A1867" s="23" t="s">
        <v>13468</v>
      </c>
      <c r="B1867" s="58" t="s">
        <v>1635</v>
      </c>
      <c r="C1867" s="41">
        <v>45429.0</v>
      </c>
      <c r="D1867" s="40" t="s">
        <v>13469</v>
      </c>
      <c r="E1867" s="41" t="s">
        <v>13470</v>
      </c>
      <c r="F1867" s="43" t="s">
        <v>13471</v>
      </c>
      <c r="G1867" s="43" t="s">
        <v>13472</v>
      </c>
      <c r="H1867" s="49" t="s">
        <v>130</v>
      </c>
      <c r="I1867" s="25" t="str">
        <f>IFERROR(__xludf.DUMMYFUNCTION("GOOGLETRANSLATE(H1867,""EN"",""ES"")"),"Sostenibilidad")</f>
        <v>Sostenibilidad</v>
      </c>
      <c r="J1867" s="26" t="s">
        <v>35</v>
      </c>
      <c r="K1867" s="48">
        <v>0.7</v>
      </c>
      <c r="L1867" s="49" t="s">
        <v>13418</v>
      </c>
      <c r="M1867" s="28" t="s">
        <v>13419</v>
      </c>
      <c r="N1867" s="66" t="s">
        <v>13473</v>
      </c>
      <c r="O1867" s="66" t="str">
        <f>IFERROR(__xludf.DUMMYFUNCTION("GOOGLETRANSLATE(N1867,""EN"",""ES"")"),"Impulsar programas de reciclaje mejora la reputación medioambiental de Repsol.")</f>
        <v>Impulsar programas de reciclaje mejora la reputación medioambiental de Repsol.</v>
      </c>
      <c r="P1867" s="30">
        <v>0.6</v>
      </c>
      <c r="Q1867" s="31" t="str">
        <f>IFERROR(__xludf.DUMMYFUNCTION("GOOGLETRANSLATE(R1867,""ES"",""EN"")"),"oil recycling")</f>
        <v>oil recycling</v>
      </c>
      <c r="R1867" s="28" t="s">
        <v>13474</v>
      </c>
      <c r="S1867" s="53" t="s">
        <v>11791</v>
      </c>
      <c r="T1867" s="32" t="s">
        <v>11792</v>
      </c>
    </row>
    <row r="1868">
      <c r="A1868" s="33" t="s">
        <v>13475</v>
      </c>
      <c r="B1868" s="60" t="s">
        <v>1072</v>
      </c>
      <c r="C1868" s="41">
        <v>45429.0</v>
      </c>
      <c r="D1868" s="40" t="s">
        <v>13476</v>
      </c>
      <c r="E1868" s="41" t="s">
        <v>13477</v>
      </c>
      <c r="F1868" s="43" t="s">
        <v>13478</v>
      </c>
      <c r="G1868" s="43" t="s">
        <v>13479</v>
      </c>
      <c r="H1868" s="51" t="s">
        <v>8166</v>
      </c>
      <c r="I1868" s="15" t="str">
        <f>IFERROR(__xludf.DUMMYFUNCTION("GOOGLETRANSLATE(H1868,""EN"",""ES"")"),"Economía")</f>
        <v>Economía</v>
      </c>
      <c r="J1868" s="16" t="s">
        <v>27</v>
      </c>
      <c r="K1868" s="17">
        <v>0.0</v>
      </c>
      <c r="L1868" s="45"/>
      <c r="M1868" s="18"/>
      <c r="N1868" s="65"/>
      <c r="O1868" s="65"/>
      <c r="P1868" s="20">
        <v>0.0</v>
      </c>
      <c r="Q1868" s="18"/>
      <c r="R1868" s="18"/>
      <c r="S1868" s="52"/>
      <c r="T1868" s="22"/>
    </row>
    <row r="1869">
      <c r="A1869" s="23" t="s">
        <v>13480</v>
      </c>
      <c r="B1869" s="58" t="s">
        <v>163</v>
      </c>
      <c r="C1869" s="41">
        <v>45429.0</v>
      </c>
      <c r="D1869" s="40" t="s">
        <v>13481</v>
      </c>
      <c r="E1869" s="41" t="s">
        <v>13482</v>
      </c>
      <c r="F1869" s="43" t="s">
        <v>13483</v>
      </c>
      <c r="G1869" s="43" t="s">
        <v>13484</v>
      </c>
      <c r="H1869" s="49" t="s">
        <v>10358</v>
      </c>
      <c r="I1869" s="25" t="str">
        <f>IFERROR(__xludf.DUMMYFUNCTION("GOOGLETRANSLATE(H1869,""EN"",""ES"")"),"Empleo")</f>
        <v>Empleo</v>
      </c>
      <c r="J1869" s="26" t="s">
        <v>27</v>
      </c>
      <c r="K1869" s="17">
        <v>0.0</v>
      </c>
      <c r="L1869" s="54"/>
      <c r="M1869" s="31"/>
      <c r="N1869" s="66"/>
      <c r="O1869" s="66"/>
      <c r="P1869" s="20">
        <v>0.0</v>
      </c>
      <c r="Q1869" s="31"/>
      <c r="R1869" s="31"/>
      <c r="S1869" s="53"/>
      <c r="T1869" s="32"/>
    </row>
    <row r="1870">
      <c r="A1870" s="33" t="s">
        <v>13485</v>
      </c>
      <c r="B1870" s="60" t="s">
        <v>1384</v>
      </c>
      <c r="C1870" s="41">
        <v>45429.0</v>
      </c>
      <c r="D1870" s="40" t="s">
        <v>13486</v>
      </c>
      <c r="E1870" s="41" t="s">
        <v>13487</v>
      </c>
      <c r="F1870" s="43" t="s">
        <v>13488</v>
      </c>
      <c r="G1870" s="43" t="s">
        <v>13489</v>
      </c>
      <c r="H1870" s="51" t="s">
        <v>408</v>
      </c>
      <c r="I1870" s="15" t="str">
        <f>IFERROR(__xludf.DUMMYFUNCTION("GOOGLETRANSLATE(H1870,""EN"",""ES"")"),"Legal")</f>
        <v>Legal</v>
      </c>
      <c r="J1870" s="16" t="s">
        <v>35</v>
      </c>
      <c r="K1870" s="48">
        <v>-0.7</v>
      </c>
      <c r="L1870" s="51" t="s">
        <v>9922</v>
      </c>
      <c r="M1870" s="34" t="s">
        <v>9923</v>
      </c>
      <c r="N1870" s="65" t="s">
        <v>13490</v>
      </c>
      <c r="O1870" s="65" t="str">
        <f>IFERROR(__xludf.DUMMYFUNCTION("GOOGLETRANSLATE(N1870,""EN"",""ES"")"),"El continuo escrutinio ambiental puede dañar la imagen pública de Repsol.")</f>
        <v>El continuo escrutinio ambiental puede dañar la imagen pública de Repsol.</v>
      </c>
      <c r="P1870" s="30">
        <v>-0.8</v>
      </c>
      <c r="Q1870" s="18" t="str">
        <f>IFERROR(__xludf.DUMMYFUNCTION("GOOGLETRANSLATE(R1870,""ES"",""EN"")"),"spill, question")</f>
        <v>spill, question</v>
      </c>
      <c r="R1870" s="34" t="s">
        <v>13491</v>
      </c>
      <c r="S1870" s="52" t="s">
        <v>13492</v>
      </c>
      <c r="T1870" s="22" t="s">
        <v>13493</v>
      </c>
    </row>
    <row r="1871">
      <c r="A1871" s="23" t="s">
        <v>13494</v>
      </c>
      <c r="B1871" s="58" t="s">
        <v>13495</v>
      </c>
      <c r="C1871" s="41">
        <v>45430.0</v>
      </c>
      <c r="D1871" s="40" t="s">
        <v>13496</v>
      </c>
      <c r="E1871" s="41" t="s">
        <v>13497</v>
      </c>
      <c r="F1871" s="43" t="s">
        <v>13498</v>
      </c>
      <c r="G1871" s="43" t="s">
        <v>13499</v>
      </c>
      <c r="H1871" s="49" t="s">
        <v>1975</v>
      </c>
      <c r="I1871" s="25" t="str">
        <f>IFERROR(__xludf.DUMMYFUNCTION("GOOGLETRANSLATE(H1871,""EN"",""ES"")"),"Política")</f>
        <v>Política</v>
      </c>
      <c r="J1871" s="26" t="s">
        <v>35</v>
      </c>
      <c r="K1871" s="48">
        <v>-0.6</v>
      </c>
      <c r="L1871" s="49" t="s">
        <v>13500</v>
      </c>
      <c r="M1871" s="28" t="s">
        <v>13501</v>
      </c>
      <c r="N1871" s="66" t="s">
        <v>13502</v>
      </c>
      <c r="O1871" s="66" t="str">
        <f>IFERROR(__xludf.DUMMYFUNCTION("GOOGLETRANSLATE(N1871,""EN"",""ES"")"),"Las asociaciones políticas pueden influir en la percepción pública de Repsol.")</f>
        <v>Las asociaciones políticas pueden influir en la percepción pública de Repsol.</v>
      </c>
      <c r="P1871" s="30">
        <v>-0.5</v>
      </c>
      <c r="Q1871" s="31" t="str">
        <f>IFERROR(__xludf.DUMMYFUNCTION("GOOGLETRANSLATE(R1871,""ES"",""EN"")"),"political protest")</f>
        <v>political protest</v>
      </c>
      <c r="R1871" s="28" t="s">
        <v>13503</v>
      </c>
      <c r="S1871" s="53" t="s">
        <v>13504</v>
      </c>
      <c r="T1871" s="32" t="s">
        <v>13505</v>
      </c>
    </row>
    <row r="1872">
      <c r="A1872" s="33" t="s">
        <v>13506</v>
      </c>
      <c r="B1872" s="60" t="s">
        <v>1970</v>
      </c>
      <c r="C1872" s="41">
        <v>45430.0</v>
      </c>
      <c r="D1872" s="40" t="s">
        <v>13507</v>
      </c>
      <c r="E1872" s="41" t="s">
        <v>13508</v>
      </c>
      <c r="F1872" s="43" t="s">
        <v>13509</v>
      </c>
      <c r="G1872" s="43" t="s">
        <v>13510</v>
      </c>
      <c r="H1872" s="51" t="s">
        <v>48</v>
      </c>
      <c r="I1872" s="15" t="str">
        <f>IFERROR(__xludf.DUMMYFUNCTION("GOOGLETRANSLATE(H1872,""EN"",""ES"")"),"Finanzas")</f>
        <v>Finanzas</v>
      </c>
      <c r="J1872" s="16" t="s">
        <v>27</v>
      </c>
      <c r="K1872" s="17">
        <v>0.0</v>
      </c>
      <c r="L1872" s="45"/>
      <c r="M1872" s="18"/>
      <c r="N1872" s="65"/>
      <c r="O1872" s="65"/>
      <c r="P1872" s="20">
        <v>0.0</v>
      </c>
      <c r="Q1872" s="18"/>
      <c r="R1872" s="18"/>
      <c r="S1872" s="52"/>
      <c r="T1872" s="22"/>
    </row>
    <row r="1873">
      <c r="A1873" s="23" t="s">
        <v>13511</v>
      </c>
      <c r="B1873" s="58" t="s">
        <v>1304</v>
      </c>
      <c r="C1873" s="41">
        <v>45430.0</v>
      </c>
      <c r="D1873" s="40" t="s">
        <v>13512</v>
      </c>
      <c r="E1873" s="41" t="s">
        <v>13513</v>
      </c>
      <c r="F1873" s="43" t="s">
        <v>13514</v>
      </c>
      <c r="G1873" s="43" t="s">
        <v>13515</v>
      </c>
      <c r="H1873" s="49" t="s">
        <v>408</v>
      </c>
      <c r="I1873" s="25" t="str">
        <f>IFERROR(__xludf.DUMMYFUNCTION("GOOGLETRANSLATE(H1873,""EN"",""ES"")"),"Legal")</f>
        <v>Legal</v>
      </c>
      <c r="J1873" s="26" t="s">
        <v>35</v>
      </c>
      <c r="K1873" s="48">
        <v>-0.7</v>
      </c>
      <c r="L1873" s="49" t="s">
        <v>13011</v>
      </c>
      <c r="M1873" s="28" t="s">
        <v>13012</v>
      </c>
      <c r="N1873" s="66" t="s">
        <v>13516</v>
      </c>
      <c r="O1873" s="66" t="str">
        <f>IFERROR(__xludf.DUMMYFUNCTION("GOOGLETRANSLATE(N1873,""EN"",""ES"")"),"Los retrasos en abordar la responsabilidad por los derrames de petróleo pueden afectar la reputación de Repsol.")</f>
        <v>Los retrasos en abordar la responsabilidad por los derrames de petróleo pueden afectar la reputación de Repsol.</v>
      </c>
      <c r="P1873" s="30">
        <v>-0.9</v>
      </c>
      <c r="Q1873" s="31" t="str">
        <f>IFERROR(__xludf.DUMMYFUNCTION("GOOGLETRANSLATE(R1873,""ES"",""EN"")"),"sea ​​spill")</f>
        <v>sea ​​spill</v>
      </c>
      <c r="R1873" s="28" t="s">
        <v>13517</v>
      </c>
      <c r="S1873" s="53" t="s">
        <v>13323</v>
      </c>
      <c r="T1873" s="32" t="s">
        <v>13324</v>
      </c>
    </row>
    <row r="1874">
      <c r="A1874" s="33" t="s">
        <v>13518</v>
      </c>
      <c r="B1874" s="60" t="s">
        <v>1192</v>
      </c>
      <c r="C1874" s="41">
        <v>45430.0</v>
      </c>
      <c r="D1874" s="40" t="s">
        <v>13519</v>
      </c>
      <c r="E1874" s="41" t="s">
        <v>13520</v>
      </c>
      <c r="F1874" s="43" t="s">
        <v>13521</v>
      </c>
      <c r="G1874" s="43" t="s">
        <v>13522</v>
      </c>
      <c r="H1874" s="51" t="s">
        <v>48</v>
      </c>
      <c r="I1874" s="15" t="str">
        <f>IFERROR(__xludf.DUMMYFUNCTION("GOOGLETRANSLATE(H1874,""EN"",""ES"")"),"Finanzas")</f>
        <v>Finanzas</v>
      </c>
      <c r="J1874" s="16" t="s">
        <v>27</v>
      </c>
      <c r="K1874" s="17">
        <v>0.0</v>
      </c>
      <c r="L1874" s="45"/>
      <c r="M1874" s="18"/>
      <c r="N1874" s="65"/>
      <c r="O1874" s="65"/>
      <c r="P1874" s="20">
        <v>0.0</v>
      </c>
      <c r="Q1874" s="18"/>
      <c r="R1874" s="18"/>
      <c r="S1874" s="52"/>
      <c r="T1874" s="22"/>
    </row>
    <row r="1875">
      <c r="A1875" s="23" t="s">
        <v>13523</v>
      </c>
      <c r="B1875" s="58" t="s">
        <v>1831</v>
      </c>
      <c r="C1875" s="41">
        <v>45430.0</v>
      </c>
      <c r="D1875" s="40" t="s">
        <v>13524</v>
      </c>
      <c r="E1875" s="41" t="s">
        <v>13525</v>
      </c>
      <c r="F1875" s="43" t="s">
        <v>13526</v>
      </c>
      <c r="G1875" s="43" t="s">
        <v>13527</v>
      </c>
      <c r="H1875" s="49" t="s">
        <v>1975</v>
      </c>
      <c r="I1875" s="25" t="str">
        <f>IFERROR(__xludf.DUMMYFUNCTION("GOOGLETRANSLATE(H1875,""EN"",""ES"")"),"Política")</f>
        <v>Política</v>
      </c>
      <c r="J1875" s="26" t="s">
        <v>27</v>
      </c>
      <c r="K1875" s="17">
        <v>0.0</v>
      </c>
      <c r="L1875" s="54"/>
      <c r="M1875" s="31"/>
      <c r="N1875" s="66"/>
      <c r="O1875" s="66"/>
      <c r="P1875" s="20">
        <v>0.0</v>
      </c>
      <c r="Q1875" s="31"/>
      <c r="R1875" s="31"/>
      <c r="S1875" s="53"/>
      <c r="T1875" s="32"/>
    </row>
    <row r="1876">
      <c r="A1876" s="33" t="s">
        <v>13528</v>
      </c>
      <c r="B1876" s="60" t="s">
        <v>3273</v>
      </c>
      <c r="C1876" s="41">
        <v>45430.0</v>
      </c>
      <c r="D1876" s="40" t="s">
        <v>13529</v>
      </c>
      <c r="E1876" s="41" t="s">
        <v>13530</v>
      </c>
      <c r="F1876" s="43" t="s">
        <v>13531</v>
      </c>
      <c r="G1876" s="43" t="s">
        <v>13532</v>
      </c>
      <c r="H1876" s="51" t="s">
        <v>55</v>
      </c>
      <c r="I1876" s="15" t="str">
        <f>IFERROR(__xludf.DUMMYFUNCTION("GOOGLETRANSLATE(H1876,""EN"",""ES"")"),"deportes de motor")</f>
        <v>deportes de motor</v>
      </c>
      <c r="J1876" s="16" t="s">
        <v>27</v>
      </c>
      <c r="K1876" s="17">
        <v>0.0</v>
      </c>
      <c r="L1876" s="45"/>
      <c r="M1876" s="18"/>
      <c r="N1876" s="65"/>
      <c r="O1876" s="65"/>
      <c r="P1876" s="20">
        <v>0.0</v>
      </c>
      <c r="Q1876" s="18"/>
      <c r="R1876" s="18"/>
      <c r="S1876" s="52"/>
      <c r="T1876" s="22"/>
    </row>
    <row r="1877">
      <c r="A1877" s="23" t="s">
        <v>13533</v>
      </c>
      <c r="B1877" s="58" t="s">
        <v>3992</v>
      </c>
      <c r="C1877" s="41">
        <v>45430.0</v>
      </c>
      <c r="D1877" s="40" t="s">
        <v>13534</v>
      </c>
      <c r="E1877" s="41" t="s">
        <v>13535</v>
      </c>
      <c r="F1877" s="43" t="s">
        <v>13536</v>
      </c>
      <c r="G1877" s="43" t="s">
        <v>13537</v>
      </c>
      <c r="H1877" s="49" t="s">
        <v>1975</v>
      </c>
      <c r="I1877" s="25" t="str">
        <f>IFERROR(__xludf.DUMMYFUNCTION("GOOGLETRANSLATE(H1877,""EN"",""ES"")"),"Política")</f>
        <v>Política</v>
      </c>
      <c r="J1877" s="26" t="s">
        <v>27</v>
      </c>
      <c r="K1877" s="17">
        <v>0.0</v>
      </c>
      <c r="L1877" s="54"/>
      <c r="M1877" s="31"/>
      <c r="N1877" s="66"/>
      <c r="O1877" s="66"/>
      <c r="P1877" s="20">
        <v>0.0</v>
      </c>
      <c r="Q1877" s="31"/>
      <c r="R1877" s="31"/>
      <c r="S1877" s="53"/>
      <c r="T1877" s="32"/>
    </row>
    <row r="1878">
      <c r="A1878" s="33" t="s">
        <v>13538</v>
      </c>
      <c r="B1878" s="60" t="s">
        <v>68</v>
      </c>
      <c r="C1878" s="41">
        <v>45430.0</v>
      </c>
      <c r="D1878" s="40" t="s">
        <v>13539</v>
      </c>
      <c r="E1878" s="41" t="s">
        <v>13540</v>
      </c>
      <c r="F1878" s="43" t="s">
        <v>13541</v>
      </c>
      <c r="G1878" s="43" t="s">
        <v>13542</v>
      </c>
      <c r="H1878" s="61" t="s">
        <v>55</v>
      </c>
      <c r="I1878" s="15" t="str">
        <f>IFERROR(__xludf.DUMMYFUNCTION("GOOGLETRANSLATE(H1878,""EN"",""ES"")"),"deportes de motor")</f>
        <v>deportes de motor</v>
      </c>
      <c r="J1878" s="16" t="s">
        <v>27</v>
      </c>
      <c r="K1878" s="17">
        <v>0.0</v>
      </c>
      <c r="L1878" s="45"/>
      <c r="M1878" s="18"/>
      <c r="N1878" s="44"/>
      <c r="O1878" s="44"/>
      <c r="P1878" s="20">
        <v>0.0</v>
      </c>
      <c r="Q1878" s="18"/>
      <c r="R1878" s="18"/>
      <c r="S1878" s="52"/>
      <c r="T1878" s="22"/>
    </row>
    <row r="1879">
      <c r="A1879" s="23" t="s">
        <v>13543</v>
      </c>
      <c r="B1879" s="58" t="s">
        <v>43</v>
      </c>
      <c r="C1879" s="41">
        <v>45430.0</v>
      </c>
      <c r="D1879" s="40" t="s">
        <v>13544</v>
      </c>
      <c r="E1879" s="41" t="s">
        <v>13545</v>
      </c>
      <c r="F1879" s="43" t="s">
        <v>13546</v>
      </c>
      <c r="G1879" s="43" t="s">
        <v>13547</v>
      </c>
      <c r="H1879" s="59" t="s">
        <v>148</v>
      </c>
      <c r="I1879" s="25" t="str">
        <f>IFERROR(__xludf.DUMMYFUNCTION("GOOGLETRANSLATE(H1879,""EN"",""ES"")"),"Gastronomía")</f>
        <v>Gastronomía</v>
      </c>
      <c r="J1879" s="26" t="s">
        <v>27</v>
      </c>
      <c r="K1879" s="17">
        <v>0.0</v>
      </c>
      <c r="L1879" s="54"/>
      <c r="M1879" s="31"/>
      <c r="N1879" s="47"/>
      <c r="O1879" s="47"/>
      <c r="P1879" s="20">
        <v>0.0</v>
      </c>
      <c r="Q1879" s="31"/>
      <c r="R1879" s="31"/>
      <c r="S1879" s="53"/>
      <c r="T1879" s="32"/>
    </row>
    <row r="1880">
      <c r="A1880" s="33" t="s">
        <v>13548</v>
      </c>
      <c r="B1880" s="60" t="s">
        <v>2944</v>
      </c>
      <c r="C1880" s="41">
        <v>45430.0</v>
      </c>
      <c r="D1880" s="40" t="s">
        <v>13549</v>
      </c>
      <c r="E1880" s="41" t="s">
        <v>13550</v>
      </c>
      <c r="F1880" s="43" t="s">
        <v>13551</v>
      </c>
      <c r="G1880" s="43" t="s">
        <v>13552</v>
      </c>
      <c r="H1880" s="61" t="s">
        <v>969</v>
      </c>
      <c r="I1880" s="15" t="str">
        <f>IFERROR(__xludf.DUMMYFUNCTION("GOOGLETRANSLATE(H1880,""EN"",""ES"")"),"Turismo")</f>
        <v>Turismo</v>
      </c>
      <c r="J1880" s="16" t="s">
        <v>27</v>
      </c>
      <c r="K1880" s="17">
        <v>0.0</v>
      </c>
      <c r="L1880" s="45"/>
      <c r="M1880" s="18"/>
      <c r="N1880" s="44"/>
      <c r="O1880" s="44"/>
      <c r="P1880" s="20">
        <v>0.0</v>
      </c>
      <c r="Q1880" s="18"/>
      <c r="R1880" s="18"/>
      <c r="S1880" s="52"/>
      <c r="T1880" s="22"/>
    </row>
    <row r="1881">
      <c r="A1881" s="23" t="s">
        <v>13553</v>
      </c>
      <c r="B1881" s="58" t="s">
        <v>1970</v>
      </c>
      <c r="C1881" s="41">
        <v>45431.0</v>
      </c>
      <c r="D1881" s="40" t="s">
        <v>13554</v>
      </c>
      <c r="E1881" s="41" t="s">
        <v>13555</v>
      </c>
      <c r="F1881" s="43" t="s">
        <v>13556</v>
      </c>
      <c r="G1881" s="43" t="s">
        <v>13557</v>
      </c>
      <c r="H1881" s="59" t="s">
        <v>661</v>
      </c>
      <c r="I1881" s="25" t="str">
        <f>IFERROR(__xludf.DUMMYFUNCTION("GOOGLETRANSLATE(H1881,""EN"",""ES"")"),"Estrategia empresarial")</f>
        <v>Estrategia empresarial</v>
      </c>
      <c r="J1881" s="26" t="s">
        <v>35</v>
      </c>
      <c r="K1881" s="48">
        <v>0.6</v>
      </c>
      <c r="L1881" s="49" t="s">
        <v>13558</v>
      </c>
      <c r="M1881" s="28" t="s">
        <v>13559</v>
      </c>
      <c r="N1881" s="47" t="s">
        <v>13560</v>
      </c>
      <c r="O1881" s="47" t="str">
        <f>IFERROR(__xludf.DUMMYFUNCTION("GOOGLETRANSLATE(N1881,""EN"",""ES"")"),"Equilibrar hidrocarburos y renovables apoya la transición energética de Repsol.")</f>
        <v>Equilibrar hidrocarburos y renovables apoya la transición energética de Repsol.</v>
      </c>
      <c r="P1881" s="30">
        <v>0.0</v>
      </c>
      <c r="Q1881" s="31"/>
      <c r="R1881" s="31"/>
      <c r="S1881" s="53" t="s">
        <v>13561</v>
      </c>
      <c r="T1881" s="32" t="s">
        <v>13562</v>
      </c>
    </row>
    <row r="1882">
      <c r="A1882" s="33" t="s">
        <v>13563</v>
      </c>
      <c r="B1882" s="60" t="s">
        <v>163</v>
      </c>
      <c r="C1882" s="41">
        <v>45431.0</v>
      </c>
      <c r="D1882" s="40" t="s">
        <v>13564</v>
      </c>
      <c r="E1882" s="41" t="s">
        <v>13565</v>
      </c>
      <c r="F1882" s="43" t="s">
        <v>13566</v>
      </c>
      <c r="G1882" s="43" t="s">
        <v>13567</v>
      </c>
      <c r="H1882" s="61" t="s">
        <v>1975</v>
      </c>
      <c r="I1882" s="15" t="str">
        <f>IFERROR(__xludf.DUMMYFUNCTION("GOOGLETRANSLATE(H1882,""EN"",""ES"")"),"Política")</f>
        <v>Política</v>
      </c>
      <c r="J1882" s="16" t="s">
        <v>35</v>
      </c>
      <c r="K1882" s="48">
        <v>-0.6</v>
      </c>
      <c r="L1882" s="51" t="s">
        <v>13500</v>
      </c>
      <c r="M1882" s="34" t="s">
        <v>13501</v>
      </c>
      <c r="N1882" s="44" t="s">
        <v>13568</v>
      </c>
      <c r="O1882" s="44" t="str">
        <f>IFERROR(__xludf.DUMMYFUNCTION("GOOGLETRANSLATE(N1882,""EN"",""ES"")"),"Las controversias políticas pueden afectar la imagen pública de Repsol.")</f>
        <v>Las controversias políticas pueden afectar la imagen pública de Repsol.</v>
      </c>
      <c r="P1882" s="30">
        <v>-0.3</v>
      </c>
      <c r="Q1882" s="18" t="str">
        <f>IFERROR(__xludf.DUMMYFUNCTION("GOOGLETRANSLATE(R1882,""ES"",""EN"")"),"-")</f>
        <v>-</v>
      </c>
      <c r="R1882" s="34" t="s">
        <v>11852</v>
      </c>
      <c r="S1882" s="52" t="s">
        <v>13504</v>
      </c>
      <c r="T1882" s="22" t="s">
        <v>13505</v>
      </c>
    </row>
    <row r="1883">
      <c r="A1883" s="23" t="s">
        <v>13569</v>
      </c>
      <c r="B1883" s="58" t="s">
        <v>431</v>
      </c>
      <c r="C1883" s="41">
        <v>45431.0</v>
      </c>
      <c r="D1883" s="40" t="s">
        <v>13570</v>
      </c>
      <c r="E1883" s="41" t="s">
        <v>13571</v>
      </c>
      <c r="F1883" s="43" t="s">
        <v>13572</v>
      </c>
      <c r="G1883" s="43" t="s">
        <v>13573</v>
      </c>
      <c r="H1883" s="59" t="s">
        <v>148</v>
      </c>
      <c r="I1883" s="25" t="str">
        <f>IFERROR(__xludf.DUMMYFUNCTION("GOOGLETRANSLATE(H1883,""EN"",""ES"")"),"Gastronomía")</f>
        <v>Gastronomía</v>
      </c>
      <c r="J1883" s="26" t="s">
        <v>27</v>
      </c>
      <c r="K1883" s="17">
        <v>0.0</v>
      </c>
      <c r="L1883" s="54"/>
      <c r="M1883" s="31"/>
      <c r="N1883" s="47"/>
      <c r="O1883" s="47"/>
      <c r="P1883" s="20">
        <v>0.0</v>
      </c>
      <c r="Q1883" s="31"/>
      <c r="R1883" s="31"/>
      <c r="S1883" s="53"/>
      <c r="T1883" s="32"/>
    </row>
    <row r="1884">
      <c r="A1884" s="33" t="s">
        <v>13574</v>
      </c>
      <c r="B1884" s="60" t="s">
        <v>4673</v>
      </c>
      <c r="C1884" s="41">
        <v>45431.0</v>
      </c>
      <c r="D1884" s="40" t="s">
        <v>13575</v>
      </c>
      <c r="E1884" s="41" t="s">
        <v>13576</v>
      </c>
      <c r="F1884" s="43" t="s">
        <v>13577</v>
      </c>
      <c r="G1884" s="43" t="s">
        <v>13578</v>
      </c>
      <c r="H1884" s="61" t="s">
        <v>62</v>
      </c>
      <c r="I1884" s="15" t="str">
        <f>IFERROR(__xludf.DUMMYFUNCTION("GOOGLETRANSLATE(H1884,""EN"",""ES"")"),"Energía")</f>
        <v>Energía</v>
      </c>
      <c r="J1884" s="16" t="s">
        <v>35</v>
      </c>
      <c r="K1884" s="48">
        <v>0.0</v>
      </c>
      <c r="L1884" s="45"/>
      <c r="M1884" s="18"/>
      <c r="N1884" s="44" t="s">
        <v>13579</v>
      </c>
      <c r="O1884" s="44" t="str">
        <f>IFERROR(__xludf.DUMMYFUNCTION("GOOGLETRANSLATE(N1884,""EN"",""ES"")"),"Los proyectos energéticos de otras compañías no impactan a Repsol.")</f>
        <v>Los proyectos energéticos de otras compañías no impactan a Repsol.</v>
      </c>
      <c r="P1884" s="30">
        <v>0.6</v>
      </c>
      <c r="Q1884" s="18" t="str">
        <f>IFERROR(__xludf.DUMMYFUNCTION("GOOGLETRANSLATE(R1884,""ES"",""EN"")"),"offshore wind")</f>
        <v>offshore wind</v>
      </c>
      <c r="R1884" s="34" t="s">
        <v>13580</v>
      </c>
      <c r="S1884" s="52" t="s">
        <v>13581</v>
      </c>
      <c r="T1884" s="22" t="s">
        <v>13582</v>
      </c>
    </row>
    <row r="1885">
      <c r="A1885" s="23" t="s">
        <v>13583</v>
      </c>
      <c r="B1885" s="58" t="s">
        <v>163</v>
      </c>
      <c r="C1885" s="41">
        <v>45431.0</v>
      </c>
      <c r="D1885" s="40" t="s">
        <v>13584</v>
      </c>
      <c r="E1885" s="41" t="s">
        <v>13585</v>
      </c>
      <c r="F1885" s="43" t="s">
        <v>13586</v>
      </c>
      <c r="G1885" s="43" t="s">
        <v>13587</v>
      </c>
      <c r="H1885" s="59" t="s">
        <v>55</v>
      </c>
      <c r="I1885" s="25" t="str">
        <f>IFERROR(__xludf.DUMMYFUNCTION("GOOGLETRANSLATE(H1885,""EN"",""ES"")"),"deportes de motor")</f>
        <v>deportes de motor</v>
      </c>
      <c r="J1885" s="26" t="s">
        <v>27</v>
      </c>
      <c r="K1885" s="17">
        <v>0.0</v>
      </c>
      <c r="L1885" s="54"/>
      <c r="M1885" s="31"/>
      <c r="N1885" s="47"/>
      <c r="O1885" s="47"/>
      <c r="P1885" s="20">
        <v>0.0</v>
      </c>
      <c r="Q1885" s="31"/>
      <c r="R1885" s="31"/>
      <c r="S1885" s="53"/>
      <c r="T1885" s="32"/>
    </row>
    <row r="1886">
      <c r="A1886" s="33" t="s">
        <v>13588</v>
      </c>
      <c r="B1886" s="60" t="s">
        <v>3233</v>
      </c>
      <c r="C1886" s="41">
        <v>45431.0</v>
      </c>
      <c r="D1886" s="40" t="s">
        <v>13589</v>
      </c>
      <c r="E1886" s="41" t="s">
        <v>13590</v>
      </c>
      <c r="F1886" s="43" t="s">
        <v>13591</v>
      </c>
      <c r="G1886" s="43" t="s">
        <v>13592</v>
      </c>
      <c r="H1886" s="61" t="s">
        <v>408</v>
      </c>
      <c r="I1886" s="15" t="str">
        <f>IFERROR(__xludf.DUMMYFUNCTION("GOOGLETRANSLATE(H1886,""EN"",""ES"")"),"Legal")</f>
        <v>Legal</v>
      </c>
      <c r="J1886" s="16" t="s">
        <v>35</v>
      </c>
      <c r="K1886" s="48">
        <v>-0.7</v>
      </c>
      <c r="L1886" s="51" t="s">
        <v>13011</v>
      </c>
      <c r="M1886" s="34" t="s">
        <v>13012</v>
      </c>
      <c r="N1886" s="44" t="s">
        <v>13593</v>
      </c>
      <c r="O1886" s="44" t="str">
        <f>IFERROR(__xludf.DUMMYFUNCTION("GOOGLETRANSLATE(N1886,""EN"",""ES"")"),"El escrutinio legal continuo sobre los daños ambientales puede dañar la reputación de Repsol.")</f>
        <v>El escrutinio legal continuo sobre los daños ambientales puede dañar la reputación de Repsol.</v>
      </c>
      <c r="P1886" s="30">
        <v>-0.9</v>
      </c>
      <c r="Q1886" s="18" t="str">
        <f>IFERROR(__xludf.DUMMYFUNCTION("GOOGLETRANSLATE(R1886,""ES"",""EN"")"),"spill, sanctions")</f>
        <v>spill, sanctions</v>
      </c>
      <c r="R1886" s="34" t="s">
        <v>13594</v>
      </c>
      <c r="S1886" s="52" t="s">
        <v>13323</v>
      </c>
      <c r="T1886" s="22" t="s">
        <v>13324</v>
      </c>
    </row>
    <row r="1887">
      <c r="A1887" s="23" t="s">
        <v>13595</v>
      </c>
      <c r="B1887" s="58" t="s">
        <v>3273</v>
      </c>
      <c r="C1887" s="41">
        <v>45431.0</v>
      </c>
      <c r="D1887" s="40" t="s">
        <v>13596</v>
      </c>
      <c r="E1887" s="41" t="s">
        <v>13597</v>
      </c>
      <c r="F1887" s="43" t="s">
        <v>13598</v>
      </c>
      <c r="G1887" s="43" t="s">
        <v>13599</v>
      </c>
      <c r="H1887" s="59" t="s">
        <v>55</v>
      </c>
      <c r="I1887" s="25" t="str">
        <f>IFERROR(__xludf.DUMMYFUNCTION("GOOGLETRANSLATE(H1887,""EN"",""ES"")"),"deportes de motor")</f>
        <v>deportes de motor</v>
      </c>
      <c r="J1887" s="26" t="s">
        <v>27</v>
      </c>
      <c r="K1887" s="17">
        <v>0.0</v>
      </c>
      <c r="L1887" s="54"/>
      <c r="M1887" s="31"/>
      <c r="N1887" s="47"/>
      <c r="O1887" s="47"/>
      <c r="P1887" s="20">
        <v>0.0</v>
      </c>
      <c r="Q1887" s="31"/>
      <c r="R1887" s="31"/>
      <c r="S1887" s="53"/>
      <c r="T1887" s="32"/>
    </row>
    <row r="1888">
      <c r="A1888" s="33" t="s">
        <v>13600</v>
      </c>
      <c r="B1888" s="60" t="s">
        <v>13601</v>
      </c>
      <c r="C1888" s="41">
        <v>45431.0</v>
      </c>
      <c r="D1888" s="40" t="s">
        <v>13602</v>
      </c>
      <c r="E1888" s="41" t="s">
        <v>13603</v>
      </c>
      <c r="F1888" s="43" t="s">
        <v>13604</v>
      </c>
      <c r="G1888" s="43" t="s">
        <v>13605</v>
      </c>
      <c r="H1888" s="61" t="s">
        <v>1975</v>
      </c>
      <c r="I1888" s="15" t="str">
        <f>IFERROR(__xludf.DUMMYFUNCTION("GOOGLETRANSLATE(H1888,""EN"",""ES"")"),"Política")</f>
        <v>Política</v>
      </c>
      <c r="J1888" s="16" t="s">
        <v>27</v>
      </c>
      <c r="K1888" s="17">
        <v>0.0</v>
      </c>
      <c r="L1888" s="45"/>
      <c r="M1888" s="18"/>
      <c r="N1888" s="44"/>
      <c r="O1888" s="44"/>
      <c r="P1888" s="20">
        <v>0.0</v>
      </c>
      <c r="Q1888" s="18"/>
      <c r="R1888" s="18"/>
      <c r="S1888" s="52"/>
      <c r="T1888" s="22"/>
    </row>
    <row r="1889">
      <c r="A1889" s="23" t="s">
        <v>13606</v>
      </c>
      <c r="B1889" s="58" t="s">
        <v>5959</v>
      </c>
      <c r="C1889" s="41">
        <v>45431.0</v>
      </c>
      <c r="D1889" s="40" t="s">
        <v>13607</v>
      </c>
      <c r="E1889" s="41" t="s">
        <v>13608</v>
      </c>
      <c r="F1889" s="43" t="s">
        <v>13609</v>
      </c>
      <c r="G1889" s="43" t="s">
        <v>13610</v>
      </c>
      <c r="H1889" s="59" t="s">
        <v>148</v>
      </c>
      <c r="I1889" s="25" t="str">
        <f>IFERROR(__xludf.DUMMYFUNCTION("GOOGLETRANSLATE(H1889,""EN"",""ES"")"),"Gastronomía")</f>
        <v>Gastronomía</v>
      </c>
      <c r="J1889" s="26" t="s">
        <v>27</v>
      </c>
      <c r="K1889" s="17">
        <v>0.0</v>
      </c>
      <c r="L1889" s="54"/>
      <c r="M1889" s="31"/>
      <c r="N1889" s="47"/>
      <c r="O1889" s="47"/>
      <c r="P1889" s="20">
        <v>0.0</v>
      </c>
      <c r="Q1889" s="31"/>
      <c r="R1889" s="31"/>
      <c r="S1889" s="53"/>
      <c r="T1889" s="32"/>
    </row>
    <row r="1890">
      <c r="A1890" s="33" t="s">
        <v>13611</v>
      </c>
      <c r="B1890" s="76" t="s">
        <v>239</v>
      </c>
      <c r="C1890" s="41">
        <v>45431.0</v>
      </c>
      <c r="D1890" s="40" t="s">
        <v>13612</v>
      </c>
      <c r="E1890" s="41" t="s">
        <v>13613</v>
      </c>
      <c r="F1890" s="43" t="s">
        <v>13614</v>
      </c>
      <c r="G1890" s="43" t="s">
        <v>13615</v>
      </c>
      <c r="H1890" s="61" t="s">
        <v>55</v>
      </c>
      <c r="I1890" s="15" t="str">
        <f>IFERROR(__xludf.DUMMYFUNCTION("GOOGLETRANSLATE(H1890,""EN"",""ES"")"),"deportes de motor")</f>
        <v>deportes de motor</v>
      </c>
      <c r="J1890" s="16" t="s">
        <v>27</v>
      </c>
      <c r="K1890" s="17">
        <v>0.0</v>
      </c>
      <c r="L1890" s="45"/>
      <c r="M1890" s="18"/>
      <c r="N1890" s="44"/>
      <c r="O1890" s="44"/>
      <c r="P1890" s="20">
        <v>0.0</v>
      </c>
      <c r="Q1890" s="18"/>
      <c r="R1890" s="18"/>
      <c r="S1890" s="52"/>
      <c r="T1890" s="22"/>
    </row>
    <row r="1891">
      <c r="A1891" s="23" t="s">
        <v>13616</v>
      </c>
      <c r="B1891" s="77" t="s">
        <v>1072</v>
      </c>
      <c r="C1891" s="41">
        <v>45432.0</v>
      </c>
      <c r="D1891" s="40" t="s">
        <v>13617</v>
      </c>
      <c r="E1891" s="41" t="s">
        <v>13618</v>
      </c>
      <c r="F1891" s="43" t="s">
        <v>13619</v>
      </c>
      <c r="G1891" s="43" t="s">
        <v>13620</v>
      </c>
      <c r="H1891" s="59" t="s">
        <v>661</v>
      </c>
      <c r="I1891" s="25" t="str">
        <f>IFERROR(__xludf.DUMMYFUNCTION("GOOGLETRANSLATE(H1891,""EN"",""ES"")"),"Estrategia empresarial")</f>
        <v>Estrategia empresarial</v>
      </c>
      <c r="J1891" s="26" t="s">
        <v>35</v>
      </c>
      <c r="K1891" s="48">
        <v>0.6</v>
      </c>
      <c r="L1891" s="49" t="s">
        <v>13621</v>
      </c>
      <c r="M1891" s="28" t="s">
        <v>13622</v>
      </c>
      <c r="N1891" s="47" t="s">
        <v>13623</v>
      </c>
      <c r="O1891" s="47" t="str">
        <f>IFERROR(__xludf.DUMMYFUNCTION("GOOGLETRANSLATE(N1891,""EN"",""ES"")"),"La expansión a los servicios de seguros diversifica el modelo de negocio de Repsol.")</f>
        <v>La expansión a los servicios de seguros diversifica el modelo de negocio de Repsol.</v>
      </c>
      <c r="P1891" s="30">
        <v>0.2</v>
      </c>
      <c r="Q1891" s="31" t="str">
        <f>IFERROR(__xludf.DUMMYFUNCTION("GOOGLETRANSLATE(R1891,""ES"",""EN"")"),"-")</f>
        <v>-</v>
      </c>
      <c r="R1891" s="28" t="s">
        <v>11852</v>
      </c>
      <c r="S1891" s="53" t="s">
        <v>13624</v>
      </c>
      <c r="T1891" s="32" t="s">
        <v>13625</v>
      </c>
    </row>
    <row r="1892">
      <c r="A1892" s="33" t="s">
        <v>13626</v>
      </c>
      <c r="B1892" s="76" t="s">
        <v>217</v>
      </c>
      <c r="C1892" s="41">
        <v>45432.0</v>
      </c>
      <c r="D1892" s="40" t="s">
        <v>13627</v>
      </c>
      <c r="E1892" s="41" t="s">
        <v>13628</v>
      </c>
      <c r="F1892" s="43" t="s">
        <v>13629</v>
      </c>
      <c r="G1892" s="43" t="s">
        <v>13630</v>
      </c>
      <c r="H1892" s="61" t="s">
        <v>661</v>
      </c>
      <c r="I1892" s="15" t="str">
        <f>IFERROR(__xludf.DUMMYFUNCTION("GOOGLETRANSLATE(H1892,""EN"",""ES"")"),"Estrategia empresarial")</f>
        <v>Estrategia empresarial</v>
      </c>
      <c r="J1892" s="16" t="s">
        <v>35</v>
      </c>
      <c r="K1892" s="48">
        <v>0.6</v>
      </c>
      <c r="L1892" s="51" t="s">
        <v>13631</v>
      </c>
      <c r="M1892" s="34" t="s">
        <v>13632</v>
      </c>
      <c r="N1892" s="44" t="s">
        <v>13633</v>
      </c>
      <c r="O1892" s="44" t="str">
        <f>IFERROR(__xludf.DUMMYFUNCTION("GOOGLETRANSLATE(N1892,""EN"",""ES"")"),"Ampliar los incentivos a los clientes mejora la competitividad de Repsol en el mercado.")</f>
        <v>Ampliar los incentivos a los clientes mejora la competitividad de Repsol en el mercado.</v>
      </c>
      <c r="P1892" s="30">
        <v>0.4</v>
      </c>
      <c r="Q1892" s="18" t="str">
        <f>IFERROR(__xludf.DUMMYFUNCTION("GOOGLETRANSLATE(R1892,""ES"",""EN"")"),"commercial alliance")</f>
        <v>commercial alliance</v>
      </c>
      <c r="R1892" s="34" t="s">
        <v>13634</v>
      </c>
      <c r="S1892" s="52" t="s">
        <v>13635</v>
      </c>
      <c r="T1892" s="22" t="s">
        <v>13636</v>
      </c>
    </row>
    <row r="1893">
      <c r="A1893" s="23" t="s">
        <v>13637</v>
      </c>
      <c r="B1893" s="77" t="s">
        <v>21</v>
      </c>
      <c r="C1893" s="41">
        <v>45432.0</v>
      </c>
      <c r="D1893" s="40" t="s">
        <v>13638</v>
      </c>
      <c r="E1893" s="41" t="s">
        <v>13639</v>
      </c>
      <c r="F1893" s="43" t="s">
        <v>13640</v>
      </c>
      <c r="G1893" s="43" t="s">
        <v>13641</v>
      </c>
      <c r="H1893" s="59" t="s">
        <v>148</v>
      </c>
      <c r="I1893" s="25" t="str">
        <f>IFERROR(__xludf.DUMMYFUNCTION("GOOGLETRANSLATE(H1893,""EN"",""ES"")"),"Gastronomía")</f>
        <v>Gastronomía</v>
      </c>
      <c r="J1893" s="26" t="s">
        <v>27</v>
      </c>
      <c r="K1893" s="17">
        <v>0.0</v>
      </c>
      <c r="L1893" s="54"/>
      <c r="M1893" s="31"/>
      <c r="N1893" s="47"/>
      <c r="O1893" s="47"/>
      <c r="P1893" s="20">
        <v>0.0</v>
      </c>
      <c r="Q1893" s="31"/>
      <c r="R1893" s="31"/>
      <c r="S1893" s="53"/>
      <c r="T1893" s="32"/>
    </row>
    <row r="1894">
      <c r="A1894" s="33" t="s">
        <v>13642</v>
      </c>
      <c r="B1894" s="76" t="s">
        <v>4038</v>
      </c>
      <c r="C1894" s="41">
        <v>45432.0</v>
      </c>
      <c r="D1894" s="40" t="s">
        <v>13643</v>
      </c>
      <c r="E1894" s="41" t="s">
        <v>13644</v>
      </c>
      <c r="F1894" s="43" t="s">
        <v>13645</v>
      </c>
      <c r="G1894" s="43" t="s">
        <v>13646</v>
      </c>
      <c r="H1894" s="61" t="s">
        <v>408</v>
      </c>
      <c r="I1894" s="15" t="str">
        <f>IFERROR(__xludf.DUMMYFUNCTION("GOOGLETRANSLATE(H1894,""EN"",""ES"")"),"Legal")</f>
        <v>Legal</v>
      </c>
      <c r="J1894" s="16" t="s">
        <v>35</v>
      </c>
      <c r="K1894" s="48">
        <v>-0.6</v>
      </c>
      <c r="L1894" s="51" t="s">
        <v>13647</v>
      </c>
      <c r="M1894" s="34" t="s">
        <v>13648</v>
      </c>
      <c r="N1894" s="44" t="s">
        <v>13649</v>
      </c>
      <c r="O1894" s="44" t="str">
        <f>IFERROR(__xludf.DUMMYFUNCTION("GOOGLETRANSLATE(N1894,""EN"",""ES"")"),"Los conflictos medioambientales pueden impactar negativamente en los proyectos de desarrollo de Repsol.")</f>
        <v>Los conflictos medioambientales pueden impactar negativamente en los proyectos de desarrollo de Repsol.</v>
      </c>
      <c r="P1894" s="30">
        <v>-0.3</v>
      </c>
      <c r="Q1894" s="18" t="str">
        <f>IFERROR(__xludf.DUMMYFUNCTION("GOOGLETRANSLATE(R1894,""ES"",""EN"")"),"-")</f>
        <v>-</v>
      </c>
      <c r="R1894" s="34" t="s">
        <v>11852</v>
      </c>
      <c r="S1894" s="52" t="s">
        <v>13650</v>
      </c>
      <c r="T1894" s="22" t="s">
        <v>13651</v>
      </c>
    </row>
    <row r="1895">
      <c r="A1895" s="23" t="s">
        <v>13652</v>
      </c>
      <c r="B1895" s="77" t="s">
        <v>6136</v>
      </c>
      <c r="C1895" s="41">
        <v>45432.0</v>
      </c>
      <c r="D1895" s="40" t="s">
        <v>13653</v>
      </c>
      <c r="E1895" s="41" t="s">
        <v>13654</v>
      </c>
      <c r="F1895" s="43" t="s">
        <v>13655</v>
      </c>
      <c r="G1895" s="43" t="s">
        <v>13656</v>
      </c>
      <c r="H1895" s="59" t="s">
        <v>148</v>
      </c>
      <c r="I1895" s="25" t="str">
        <f>IFERROR(__xludf.DUMMYFUNCTION("GOOGLETRANSLATE(H1895,""EN"",""ES"")"),"Gastronomía")</f>
        <v>Gastronomía</v>
      </c>
      <c r="J1895" s="26" t="s">
        <v>27</v>
      </c>
      <c r="K1895" s="17">
        <v>0.0</v>
      </c>
      <c r="L1895" s="54"/>
      <c r="M1895" s="31"/>
      <c r="N1895" s="47"/>
      <c r="O1895" s="47"/>
      <c r="P1895" s="20">
        <v>0.0</v>
      </c>
      <c r="Q1895" s="31"/>
      <c r="R1895" s="31"/>
      <c r="S1895" s="53"/>
      <c r="T1895" s="32"/>
    </row>
    <row r="1896">
      <c r="A1896" s="33" t="s">
        <v>13657</v>
      </c>
      <c r="B1896" s="76" t="s">
        <v>907</v>
      </c>
      <c r="C1896" s="41">
        <v>45432.0</v>
      </c>
      <c r="D1896" s="40" t="s">
        <v>13658</v>
      </c>
      <c r="E1896" s="41" t="s">
        <v>13659</v>
      </c>
      <c r="F1896" s="43" t="s">
        <v>13660</v>
      </c>
      <c r="G1896" s="43" t="s">
        <v>13661</v>
      </c>
      <c r="H1896" s="61" t="s">
        <v>155</v>
      </c>
      <c r="I1896" s="15" t="str">
        <f>IFERROR(__xludf.DUMMYFUNCTION("GOOGLETRANSLATE(H1896,""EN"",""ES"")"),"Marketing")</f>
        <v>Marketing</v>
      </c>
      <c r="J1896" s="16" t="s">
        <v>27</v>
      </c>
      <c r="K1896" s="17">
        <v>0.0</v>
      </c>
      <c r="L1896" s="45"/>
      <c r="M1896" s="18"/>
      <c r="N1896" s="44"/>
      <c r="O1896" s="44"/>
      <c r="P1896" s="20">
        <v>0.0</v>
      </c>
      <c r="Q1896" s="18"/>
      <c r="R1896" s="18"/>
      <c r="S1896" s="52"/>
      <c r="T1896" s="22"/>
    </row>
    <row r="1897">
      <c r="A1897" s="23" t="s">
        <v>13662</v>
      </c>
      <c r="B1897" s="77" t="s">
        <v>163</v>
      </c>
      <c r="C1897" s="41">
        <v>45432.0</v>
      </c>
      <c r="D1897" s="40" t="s">
        <v>13663</v>
      </c>
      <c r="E1897" s="41" t="s">
        <v>13664</v>
      </c>
      <c r="F1897" s="43" t="s">
        <v>13665</v>
      </c>
      <c r="G1897" s="43" t="s">
        <v>13666</v>
      </c>
      <c r="H1897" s="59" t="s">
        <v>55</v>
      </c>
      <c r="I1897" s="25" t="str">
        <f>IFERROR(__xludf.DUMMYFUNCTION("GOOGLETRANSLATE(H1897,""EN"",""ES"")"),"deportes de motor")</f>
        <v>deportes de motor</v>
      </c>
      <c r="J1897" s="26" t="s">
        <v>27</v>
      </c>
      <c r="K1897" s="17">
        <v>0.0</v>
      </c>
      <c r="L1897" s="54"/>
      <c r="M1897" s="31"/>
      <c r="N1897" s="47"/>
      <c r="O1897" s="47"/>
      <c r="P1897" s="20">
        <v>0.0</v>
      </c>
      <c r="Q1897" s="31"/>
      <c r="R1897" s="31"/>
      <c r="S1897" s="53"/>
      <c r="T1897" s="32"/>
    </row>
    <row r="1898">
      <c r="A1898" s="33" t="s">
        <v>13667</v>
      </c>
      <c r="B1898" s="76" t="s">
        <v>1005</v>
      </c>
      <c r="C1898" s="41">
        <v>45432.0</v>
      </c>
      <c r="D1898" s="40" t="s">
        <v>13668</v>
      </c>
      <c r="E1898" s="41" t="s">
        <v>13669</v>
      </c>
      <c r="F1898" s="43" t="s">
        <v>13670</v>
      </c>
      <c r="G1898" s="43" t="s">
        <v>13671</v>
      </c>
      <c r="H1898" s="61" t="s">
        <v>5878</v>
      </c>
      <c r="I1898" s="15" t="str">
        <f>IFERROR(__xludf.DUMMYFUNCTION("GOOGLETRANSLATE(H1898,""EN"",""ES"")"),"Entretenimiento")</f>
        <v>Entretenimiento</v>
      </c>
      <c r="J1898" s="16" t="s">
        <v>27</v>
      </c>
      <c r="K1898" s="17">
        <v>0.0</v>
      </c>
      <c r="L1898" s="45"/>
      <c r="M1898" s="18"/>
      <c r="N1898" s="44"/>
      <c r="O1898" s="44"/>
      <c r="P1898" s="20">
        <v>0.0</v>
      </c>
      <c r="Q1898" s="18"/>
      <c r="R1898" s="18"/>
      <c r="S1898" s="52"/>
      <c r="T1898" s="22"/>
    </row>
    <row r="1899">
      <c r="A1899" s="23" t="s">
        <v>13672</v>
      </c>
      <c r="B1899" s="77" t="s">
        <v>13673</v>
      </c>
      <c r="C1899" s="41">
        <v>45432.0</v>
      </c>
      <c r="D1899" s="40" t="s">
        <v>13674</v>
      </c>
      <c r="E1899" s="41" t="s">
        <v>13675</v>
      </c>
      <c r="F1899" s="43" t="s">
        <v>13676</v>
      </c>
      <c r="G1899" s="43" t="s">
        <v>13677</v>
      </c>
      <c r="H1899" s="59" t="s">
        <v>661</v>
      </c>
      <c r="I1899" s="25" t="str">
        <f>IFERROR(__xludf.DUMMYFUNCTION("GOOGLETRANSLATE(H1899,""EN"",""ES"")"),"Estrategia empresarial")</f>
        <v>Estrategia empresarial</v>
      </c>
      <c r="J1899" s="26" t="s">
        <v>35</v>
      </c>
      <c r="K1899" s="48">
        <v>0.5</v>
      </c>
      <c r="L1899" s="49" t="s">
        <v>13678</v>
      </c>
      <c r="M1899" s="28" t="s">
        <v>13679</v>
      </c>
      <c r="N1899" s="47" t="s">
        <v>13680</v>
      </c>
      <c r="O1899" s="47" t="str">
        <f>IFERROR(__xludf.DUMMYFUNCTION("GOOGLETRANSLATE(N1899,""EN"",""ES"")"),"Los cambios en el sector petrolero de Venezuela pueden presentar nuevas oportunidades para Repsol.")</f>
        <v>Los cambios en el sector petrolero de Venezuela pueden presentar nuevas oportunidades para Repsol.</v>
      </c>
      <c r="P1899" s="30">
        <v>0.3</v>
      </c>
      <c r="Q1899" s="31" t="str">
        <f>IFERROR(__xludf.DUMMYFUNCTION("GOOGLETRANSLATE(R1899,""ES"",""EN"")"),"-")</f>
        <v>-</v>
      </c>
      <c r="R1899" s="28" t="s">
        <v>11852</v>
      </c>
      <c r="S1899" s="53" t="s">
        <v>11616</v>
      </c>
      <c r="T1899" s="32" t="s">
        <v>11617</v>
      </c>
    </row>
    <row r="1900">
      <c r="A1900" s="33" t="s">
        <v>13681</v>
      </c>
      <c r="B1900" s="76" t="s">
        <v>13682</v>
      </c>
      <c r="C1900" s="41">
        <v>45432.0</v>
      </c>
      <c r="D1900" s="40" t="s">
        <v>13683</v>
      </c>
      <c r="E1900" s="41" t="s">
        <v>13684</v>
      </c>
      <c r="F1900" s="43" t="s">
        <v>13685</v>
      </c>
      <c r="G1900" s="43" t="s">
        <v>13686</v>
      </c>
      <c r="H1900" s="61" t="s">
        <v>408</v>
      </c>
      <c r="I1900" s="15" t="str">
        <f>IFERROR(__xludf.DUMMYFUNCTION("GOOGLETRANSLATE(H1900,""EN"",""ES"")"),"Legal")</f>
        <v>Legal</v>
      </c>
      <c r="J1900" s="16" t="s">
        <v>35</v>
      </c>
      <c r="K1900" s="48">
        <v>-0.6</v>
      </c>
      <c r="L1900" s="51" t="s">
        <v>12280</v>
      </c>
      <c r="M1900" s="34" t="s">
        <v>12281</v>
      </c>
      <c r="N1900" s="44" t="s">
        <v>13687</v>
      </c>
      <c r="O1900" s="44" t="str">
        <f>IFERROR(__xludf.DUMMYFUNCTION("GOOGLETRANSLATE(N1900,""EN"",""ES"")"),"Un mayor escrutinio legal puede afectar el mensaje de sostenibilidad de Repsol.")</f>
        <v>Un mayor escrutinio legal puede afectar el mensaje de sostenibilidad de Repsol.</v>
      </c>
      <c r="P1900" s="30">
        <v>-0.3</v>
      </c>
      <c r="Q1900" s="18" t="str">
        <f>IFERROR(__xludf.DUMMYFUNCTION("GOOGLETRANSLATE(R1900,""ES"",""EN"")"),"greenwashing, reputational risk")</f>
        <v>greenwashing, reputational risk</v>
      </c>
      <c r="R1900" s="34" t="s">
        <v>13688</v>
      </c>
      <c r="S1900" s="52" t="s">
        <v>13689</v>
      </c>
      <c r="T1900" s="22" t="s">
        <v>13690</v>
      </c>
    </row>
    <row r="1901">
      <c r="A1901" s="23" t="s">
        <v>13691</v>
      </c>
      <c r="B1901" s="77" t="s">
        <v>217</v>
      </c>
      <c r="C1901" s="41">
        <v>45433.0</v>
      </c>
      <c r="D1901" s="40" t="s">
        <v>13692</v>
      </c>
      <c r="E1901" s="41" t="s">
        <v>13693</v>
      </c>
      <c r="F1901" s="43" t="s">
        <v>13694</v>
      </c>
      <c r="G1901" s="43" t="s">
        <v>13695</v>
      </c>
      <c r="H1901" s="59" t="s">
        <v>130</v>
      </c>
      <c r="I1901" s="25" t="str">
        <f>IFERROR(__xludf.DUMMYFUNCTION("GOOGLETRANSLATE(H1901,""EN"",""ES"")"),"Sostenibilidad")</f>
        <v>Sostenibilidad</v>
      </c>
      <c r="J1901" s="26" t="s">
        <v>35</v>
      </c>
      <c r="K1901" s="48">
        <v>0.7</v>
      </c>
      <c r="L1901" s="49" t="s">
        <v>13696</v>
      </c>
      <c r="M1901" s="28" t="s">
        <v>13697</v>
      </c>
      <c r="N1901" s="47" t="s">
        <v>13698</v>
      </c>
      <c r="O1901" s="47" t="str">
        <f>IFERROR(__xludf.DUMMYFUNCTION("GOOGLETRANSLATE(N1901,""EN"",""ES"")"),"Impulsar la movilidad sostenible se alinea con los compromisos medioambientales de Repsol.")</f>
        <v>Impulsar la movilidad sostenible se alinea con los compromisos medioambientales de Repsol.</v>
      </c>
      <c r="P1901" s="30">
        <v>0.7</v>
      </c>
      <c r="Q1901" s="31" t="str">
        <f>IFERROR(__xludf.DUMMYFUNCTION("GOOGLETRANSLATE(R1901,""ES"",""EN"")"),"will boost, green hydrogen")</f>
        <v>will boost, green hydrogen</v>
      </c>
      <c r="R1901" s="28" t="s">
        <v>13699</v>
      </c>
      <c r="S1901" s="53" t="s">
        <v>13700</v>
      </c>
      <c r="T1901" s="32" t="s">
        <v>13701</v>
      </c>
    </row>
    <row r="1902">
      <c r="A1902" s="33" t="s">
        <v>13702</v>
      </c>
      <c r="B1902" s="76" t="s">
        <v>163</v>
      </c>
      <c r="C1902" s="41">
        <v>45433.0</v>
      </c>
      <c r="D1902" s="40" t="s">
        <v>13703</v>
      </c>
      <c r="E1902" s="41" t="s">
        <v>13704</v>
      </c>
      <c r="F1902" s="43" t="s">
        <v>13705</v>
      </c>
      <c r="G1902" s="43" t="s">
        <v>13706</v>
      </c>
      <c r="H1902" s="61" t="s">
        <v>130</v>
      </c>
      <c r="I1902" s="15" t="str">
        <f>IFERROR(__xludf.DUMMYFUNCTION("GOOGLETRANSLATE(H1902,""EN"",""ES"")"),"Sostenibilidad")</f>
        <v>Sostenibilidad</v>
      </c>
      <c r="J1902" s="16" t="s">
        <v>35</v>
      </c>
      <c r="K1902" s="48">
        <v>0.7</v>
      </c>
      <c r="L1902" s="51" t="s">
        <v>13707</v>
      </c>
      <c r="M1902" s="34" t="s">
        <v>13708</v>
      </c>
      <c r="N1902" s="44" t="s">
        <v>13709</v>
      </c>
      <c r="O1902" s="44" t="str">
        <f>IFERROR(__xludf.DUMMYFUNCTION("GOOGLETRANSLATE(N1902,""EN"",""ES"")"),"Invertir en sostenibilidad hídrica respalda la responsabilidad corporativa de Repsol.")</f>
        <v>Invertir en sostenibilidad hídrica respalda la responsabilidad corporativa de Repsol.</v>
      </c>
      <c r="P1902" s="30">
        <v>0.6</v>
      </c>
      <c r="Q1902" s="18" t="str">
        <f>IFERROR(__xludf.DUMMYFUNCTION("GOOGLETRANSLATE(R1902,""ES"",""EN"")"),"regenerative capacity")</f>
        <v>regenerative capacity</v>
      </c>
      <c r="R1902" s="34" t="s">
        <v>13710</v>
      </c>
      <c r="S1902" s="52" t="s">
        <v>13711</v>
      </c>
      <c r="T1902" s="22" t="s">
        <v>13712</v>
      </c>
    </row>
    <row r="1903">
      <c r="A1903" s="23" t="s">
        <v>13713</v>
      </c>
      <c r="B1903" s="77" t="s">
        <v>103</v>
      </c>
      <c r="C1903" s="41">
        <v>45433.0</v>
      </c>
      <c r="D1903" s="40" t="s">
        <v>13714</v>
      </c>
      <c r="E1903" s="41" t="s">
        <v>13715</v>
      </c>
      <c r="F1903" s="43" t="s">
        <v>13716</v>
      </c>
      <c r="G1903" s="43" t="s">
        <v>13717</v>
      </c>
      <c r="H1903" s="59" t="s">
        <v>661</v>
      </c>
      <c r="I1903" s="25" t="str">
        <f>IFERROR(__xludf.DUMMYFUNCTION("GOOGLETRANSLATE(H1903,""EN"",""ES"")"),"Estrategia empresarial")</f>
        <v>Estrategia empresarial</v>
      </c>
      <c r="J1903" s="26" t="s">
        <v>35</v>
      </c>
      <c r="K1903" s="48">
        <v>0.6</v>
      </c>
      <c r="L1903" s="49" t="s">
        <v>13718</v>
      </c>
      <c r="M1903" s="28" t="s">
        <v>13719</v>
      </c>
      <c r="N1903" s="47" t="s">
        <v>13720</v>
      </c>
      <c r="O1903" s="47" t="str">
        <f>IFERROR(__xludf.DUMMYFUNCTION("GOOGLETRANSLATE(N1903,""EN"",""ES"")"),"Reforzar las alianzas gubernamentales mejora la influencia de Repsol en el mercado.")</f>
        <v>Reforzar las alianzas gubernamentales mejora la influencia de Repsol en el mercado.</v>
      </c>
      <c r="P1903" s="30">
        <v>0.7</v>
      </c>
      <c r="Q1903" s="31" t="str">
        <f>IFERROR(__xludf.DUMMYFUNCTION("GOOGLETRANSLATE(R1903,""ES"",""EN"")"),"alliance, hydrogen")</f>
        <v>alliance, hydrogen</v>
      </c>
      <c r="R1903" s="28" t="s">
        <v>13721</v>
      </c>
      <c r="S1903" s="53" t="s">
        <v>13722</v>
      </c>
      <c r="T1903" s="32" t="s">
        <v>13723</v>
      </c>
    </row>
    <row r="1904">
      <c r="A1904" s="33" t="s">
        <v>13724</v>
      </c>
      <c r="B1904" s="76" t="s">
        <v>499</v>
      </c>
      <c r="C1904" s="41">
        <v>45433.0</v>
      </c>
      <c r="D1904" s="40" t="s">
        <v>13725</v>
      </c>
      <c r="E1904" s="41" t="s">
        <v>13726</v>
      </c>
      <c r="F1904" s="43" t="s">
        <v>13727</v>
      </c>
      <c r="G1904" s="43" t="s">
        <v>13728</v>
      </c>
      <c r="H1904" s="61" t="s">
        <v>130</v>
      </c>
      <c r="I1904" s="15" t="str">
        <f>IFERROR(__xludf.DUMMYFUNCTION("GOOGLETRANSLATE(H1904,""EN"",""ES"")"),"Sostenibilidad")</f>
        <v>Sostenibilidad</v>
      </c>
      <c r="J1904" s="16" t="s">
        <v>35</v>
      </c>
      <c r="K1904" s="48">
        <v>0.7</v>
      </c>
      <c r="L1904" s="51" t="s">
        <v>13729</v>
      </c>
      <c r="M1904" s="34" t="s">
        <v>13730</v>
      </c>
      <c r="N1904" s="44" t="s">
        <v>13731</v>
      </c>
      <c r="O1904" s="44" t="str">
        <f>IFERROR(__xludf.DUMMYFUNCTION("GOOGLETRANSLATE(N1904,""EN"",""ES"")"),"La expansión hacia la energía eólica marina respalda la transición energética de Repsol.")</f>
        <v>La expansión hacia la energía eólica marina respalda la transición energética de Repsol.</v>
      </c>
      <c r="P1904" s="30">
        <v>0.8</v>
      </c>
      <c r="Q1904" s="18" t="str">
        <f>IFERROR(__xludf.DUMMYFUNCTION("GOOGLETRANSLATE(R1904,""ES"",""EN"")"),"offshore wind, parks")</f>
        <v>offshore wind, parks</v>
      </c>
      <c r="R1904" s="34" t="s">
        <v>13732</v>
      </c>
      <c r="S1904" s="52" t="s">
        <v>13733</v>
      </c>
      <c r="T1904" s="22" t="s">
        <v>13734</v>
      </c>
    </row>
    <row r="1905">
      <c r="A1905" s="23" t="s">
        <v>13735</v>
      </c>
      <c r="B1905" s="77" t="s">
        <v>13736</v>
      </c>
      <c r="C1905" s="41">
        <v>45433.0</v>
      </c>
      <c r="D1905" s="40" t="s">
        <v>13737</v>
      </c>
      <c r="E1905" s="41" t="s">
        <v>13738</v>
      </c>
      <c r="F1905" s="43" t="s">
        <v>13739</v>
      </c>
      <c r="G1905" s="43" t="s">
        <v>13740</v>
      </c>
      <c r="H1905" s="59" t="s">
        <v>155</v>
      </c>
      <c r="I1905" s="25" t="str">
        <f>IFERROR(__xludf.DUMMYFUNCTION("GOOGLETRANSLATE(H1905,""EN"",""ES"")"),"Marketing")</f>
        <v>Marketing</v>
      </c>
      <c r="J1905" s="26" t="s">
        <v>27</v>
      </c>
      <c r="K1905" s="17">
        <v>0.0</v>
      </c>
      <c r="L1905" s="54"/>
      <c r="M1905" s="31"/>
      <c r="N1905" s="47"/>
      <c r="O1905" s="47"/>
      <c r="P1905" s="20">
        <v>0.0</v>
      </c>
      <c r="Q1905" s="31"/>
      <c r="R1905" s="31"/>
      <c r="S1905" s="53"/>
      <c r="T1905" s="32"/>
    </row>
    <row r="1906">
      <c r="A1906" s="33" t="s">
        <v>13741</v>
      </c>
      <c r="B1906" s="76" t="s">
        <v>1072</v>
      </c>
      <c r="C1906" s="41">
        <v>45433.0</v>
      </c>
      <c r="D1906" s="40" t="s">
        <v>13742</v>
      </c>
      <c r="E1906" s="41" t="s">
        <v>13743</v>
      </c>
      <c r="F1906" s="43" t="s">
        <v>13744</v>
      </c>
      <c r="G1906" s="43" t="s">
        <v>13745</v>
      </c>
      <c r="H1906" s="61" t="s">
        <v>661</v>
      </c>
      <c r="I1906" s="15" t="str">
        <f>IFERROR(__xludf.DUMMYFUNCTION("GOOGLETRANSLATE(H1906,""EN"",""ES"")"),"Estrategia empresarial")</f>
        <v>Estrategia empresarial</v>
      </c>
      <c r="J1906" s="16" t="s">
        <v>35</v>
      </c>
      <c r="K1906" s="48">
        <v>0.6</v>
      </c>
      <c r="L1906" s="51" t="s">
        <v>13746</v>
      </c>
      <c r="M1906" s="34" t="s">
        <v>13747</v>
      </c>
      <c r="N1906" s="44" t="s">
        <v>13748</v>
      </c>
      <c r="O1906" s="44" t="str">
        <f>IFERROR(__xludf.DUMMYFUNCTION("GOOGLETRANSLATE(N1906,""EN"",""ES"")"),"Abogar por la claridad regulatoria beneficia las iniciativas energéticas de Repsol.")</f>
        <v>Abogar por la claridad regulatoria beneficia las iniciativas energéticas de Repsol.</v>
      </c>
      <c r="P1906" s="30">
        <v>0.5</v>
      </c>
      <c r="Q1906" s="18" t="str">
        <f>IFERROR(__xludf.DUMMYFUNCTION("GOOGLETRANSLATE(R1906,""ES"",""EN"")"),"boost hydrogen")</f>
        <v>boost hydrogen</v>
      </c>
      <c r="R1906" s="34" t="s">
        <v>13749</v>
      </c>
      <c r="S1906" s="52" t="s">
        <v>13750</v>
      </c>
      <c r="T1906" s="22" t="s">
        <v>13751</v>
      </c>
    </row>
    <row r="1907">
      <c r="A1907" s="23" t="s">
        <v>13752</v>
      </c>
      <c r="B1907" s="77" t="s">
        <v>1568</v>
      </c>
      <c r="C1907" s="41">
        <v>45433.0</v>
      </c>
      <c r="D1907" s="40" t="s">
        <v>13753</v>
      </c>
      <c r="E1907" s="41" t="s">
        <v>13754</v>
      </c>
      <c r="F1907" s="43" t="s">
        <v>13755</v>
      </c>
      <c r="G1907" s="43" t="s">
        <v>13756</v>
      </c>
      <c r="H1907" s="59" t="s">
        <v>130</v>
      </c>
      <c r="I1907" s="25" t="str">
        <f>IFERROR(__xludf.DUMMYFUNCTION("GOOGLETRANSLATE(H1907,""EN"",""ES"")"),"Sostenibilidad")</f>
        <v>Sostenibilidad</v>
      </c>
      <c r="J1907" s="26" t="s">
        <v>35</v>
      </c>
      <c r="K1907" s="48">
        <v>0.7</v>
      </c>
      <c r="L1907" s="49" t="s">
        <v>13757</v>
      </c>
      <c r="M1907" s="28" t="s">
        <v>13758</v>
      </c>
      <c r="N1907" s="47" t="s">
        <v>13759</v>
      </c>
      <c r="O1907" s="47" t="str">
        <f>IFERROR(__xludf.DUMMYFUNCTION("GOOGLETRANSLATE(N1907,""EN"",""ES"")"),"La ampliación de las infraestructuras de carga eléctrica refuerza el compromiso de Repsol con la sostenibilidad.")</f>
        <v>La ampliación de las infraestructuras de carga eléctrica refuerza el compromiso de Repsol con la sostenibilidad.</v>
      </c>
      <c r="P1907" s="30">
        <v>0.7</v>
      </c>
      <c r="Q1907" s="31" t="str">
        <f>IFERROR(__xludf.DUMMYFUNCTION("GOOGLETRANSLATE(R1907,""ES"",""EN"")"),"electric recharge")</f>
        <v>electric recharge</v>
      </c>
      <c r="R1907" s="28" t="s">
        <v>13760</v>
      </c>
      <c r="S1907" s="53" t="s">
        <v>13761</v>
      </c>
      <c r="T1907" s="32" t="s">
        <v>13762</v>
      </c>
    </row>
    <row r="1908">
      <c r="A1908" s="33" t="s">
        <v>13763</v>
      </c>
      <c r="B1908" s="76" t="s">
        <v>6642</v>
      </c>
      <c r="C1908" s="41">
        <v>45433.0</v>
      </c>
      <c r="D1908" s="40" t="s">
        <v>13764</v>
      </c>
      <c r="E1908" s="41" t="s">
        <v>13765</v>
      </c>
      <c r="F1908" s="43" t="s">
        <v>13766</v>
      </c>
      <c r="G1908" s="43" t="s">
        <v>13767</v>
      </c>
      <c r="H1908" s="61" t="s">
        <v>148</v>
      </c>
      <c r="I1908" s="15" t="str">
        <f>IFERROR(__xludf.DUMMYFUNCTION("GOOGLETRANSLATE(H1908,""EN"",""ES"")"),"Gastronomía")</f>
        <v>Gastronomía</v>
      </c>
      <c r="J1908" s="16" t="s">
        <v>27</v>
      </c>
      <c r="K1908" s="17">
        <v>0.0</v>
      </c>
      <c r="L1908" s="45"/>
      <c r="M1908" s="18"/>
      <c r="N1908" s="44"/>
      <c r="O1908" s="44"/>
      <c r="P1908" s="20">
        <v>0.0</v>
      </c>
      <c r="Q1908" s="18"/>
      <c r="R1908" s="18"/>
      <c r="S1908" s="52"/>
      <c r="T1908" s="22"/>
    </row>
    <row r="1909">
      <c r="A1909" s="23" t="s">
        <v>13768</v>
      </c>
      <c r="B1909" s="77" t="s">
        <v>6297</v>
      </c>
      <c r="C1909" s="41">
        <v>45433.0</v>
      </c>
      <c r="D1909" s="40" t="s">
        <v>13769</v>
      </c>
      <c r="E1909" s="41" t="s">
        <v>13770</v>
      </c>
      <c r="F1909" s="43" t="s">
        <v>13771</v>
      </c>
      <c r="G1909" s="43" t="s">
        <v>13772</v>
      </c>
      <c r="H1909" s="59" t="s">
        <v>661</v>
      </c>
      <c r="I1909" s="25" t="str">
        <f>IFERROR(__xludf.DUMMYFUNCTION("GOOGLETRANSLATE(H1909,""EN"",""ES"")"),"Estrategia empresarial")</f>
        <v>Estrategia empresarial</v>
      </c>
      <c r="J1909" s="26" t="s">
        <v>35</v>
      </c>
      <c r="K1909" s="48">
        <v>0.6</v>
      </c>
      <c r="L1909" s="49" t="s">
        <v>13773</v>
      </c>
      <c r="M1909" s="28" t="s">
        <v>13774</v>
      </c>
      <c r="N1909" s="47" t="s">
        <v>13775</v>
      </c>
      <c r="O1909" s="47" t="str">
        <f>IFERROR(__xludf.DUMMYFUNCTION("GOOGLETRANSLATE(N1909,""EN"",""ES"")"),"La inversión en proyectos urbanos refuerza la estrategia de diversificación de Repsol.")</f>
        <v>La inversión en proyectos urbanos refuerza la estrategia de diversificación de Repsol.</v>
      </c>
      <c r="P1909" s="30">
        <v>0.2</v>
      </c>
      <c r="Q1909" s="31" t="str">
        <f>IFERROR(__xludf.DUMMYFUNCTION("GOOGLETRANSLATE(R1909,""ES"",""EN"")"),"gain momentum")</f>
        <v>gain momentum</v>
      </c>
      <c r="R1909" s="28" t="s">
        <v>13776</v>
      </c>
      <c r="S1909" s="53" t="s">
        <v>13777</v>
      </c>
      <c r="T1909" s="32" t="s">
        <v>13778</v>
      </c>
    </row>
    <row r="1910">
      <c r="A1910" s="33" t="s">
        <v>13779</v>
      </c>
      <c r="B1910" s="76" t="s">
        <v>163</v>
      </c>
      <c r="C1910" s="41">
        <v>45433.0</v>
      </c>
      <c r="D1910" s="40" t="s">
        <v>13780</v>
      </c>
      <c r="E1910" s="41" t="s">
        <v>13781</v>
      </c>
      <c r="F1910" s="43" t="s">
        <v>13782</v>
      </c>
      <c r="G1910" s="43" t="s">
        <v>13783</v>
      </c>
      <c r="H1910" s="61" t="s">
        <v>130</v>
      </c>
      <c r="I1910" s="15" t="str">
        <f>IFERROR(__xludf.DUMMYFUNCTION("GOOGLETRANSLATE(H1910,""EN"",""ES"")"),"Sostenibilidad")</f>
        <v>Sostenibilidad</v>
      </c>
      <c r="J1910" s="16" t="s">
        <v>27</v>
      </c>
      <c r="K1910" s="17">
        <v>0.0</v>
      </c>
      <c r="L1910" s="45"/>
      <c r="M1910" s="18"/>
      <c r="N1910" s="44"/>
      <c r="O1910" s="44"/>
      <c r="P1910" s="20">
        <v>0.0</v>
      </c>
      <c r="Q1910" s="18"/>
      <c r="R1910" s="18"/>
      <c r="S1910" s="52"/>
      <c r="T1910" s="22"/>
    </row>
    <row r="1911">
      <c r="A1911" s="23" t="s">
        <v>13784</v>
      </c>
      <c r="B1911" s="77" t="s">
        <v>217</v>
      </c>
      <c r="C1911" s="41">
        <v>45434.0</v>
      </c>
      <c r="D1911" s="40" t="s">
        <v>13785</v>
      </c>
      <c r="E1911" s="41" t="s">
        <v>13786</v>
      </c>
      <c r="F1911" s="43" t="s">
        <v>13787</v>
      </c>
      <c r="G1911" s="43" t="s">
        <v>13788</v>
      </c>
      <c r="H1911" s="59" t="s">
        <v>661</v>
      </c>
      <c r="I1911" s="25" t="str">
        <f>IFERROR(__xludf.DUMMYFUNCTION("GOOGLETRANSLATE(H1911,""EN"",""ES"")"),"Estrategia empresarial")</f>
        <v>Estrategia empresarial</v>
      </c>
      <c r="J1911" s="26" t="s">
        <v>27</v>
      </c>
      <c r="K1911" s="17">
        <v>0.0</v>
      </c>
      <c r="L1911" s="54"/>
      <c r="M1911" s="31"/>
      <c r="N1911" s="47"/>
      <c r="O1911" s="47"/>
      <c r="P1911" s="20">
        <v>0.0</v>
      </c>
      <c r="Q1911" s="31"/>
      <c r="R1911" s="31"/>
      <c r="S1911" s="53"/>
      <c r="T1911" s="32"/>
    </row>
    <row r="1912">
      <c r="A1912" s="33" t="s">
        <v>13789</v>
      </c>
      <c r="B1912" s="76" t="s">
        <v>13790</v>
      </c>
      <c r="C1912" s="41">
        <v>45434.0</v>
      </c>
      <c r="D1912" s="40" t="s">
        <v>13791</v>
      </c>
      <c r="E1912" s="41" t="s">
        <v>13792</v>
      </c>
      <c r="F1912" s="43" t="s">
        <v>13793</v>
      </c>
      <c r="G1912" s="43" t="s">
        <v>13794</v>
      </c>
      <c r="H1912" s="61" t="s">
        <v>34</v>
      </c>
      <c r="I1912" s="15" t="str">
        <f>IFERROR(__xludf.DUMMYFUNCTION("GOOGLETRANSLATE(H1912,""EN"",""ES"")"),"Responsabilidad Social Corporativa")</f>
        <v>Responsabilidad Social Corporativa</v>
      </c>
      <c r="J1912" s="16" t="s">
        <v>27</v>
      </c>
      <c r="K1912" s="17">
        <v>0.0</v>
      </c>
      <c r="L1912" s="45"/>
      <c r="M1912" s="18"/>
      <c r="N1912" s="44"/>
      <c r="O1912" s="44"/>
      <c r="P1912" s="20">
        <v>0.0</v>
      </c>
      <c r="Q1912" s="18"/>
      <c r="R1912" s="18"/>
      <c r="S1912" s="52"/>
      <c r="T1912" s="22"/>
    </row>
    <row r="1913">
      <c r="A1913" s="23" t="s">
        <v>13795</v>
      </c>
      <c r="B1913" s="77" t="s">
        <v>6835</v>
      </c>
      <c r="C1913" s="41">
        <v>45434.0</v>
      </c>
      <c r="D1913" s="40" t="s">
        <v>13796</v>
      </c>
      <c r="E1913" s="41" t="s">
        <v>13797</v>
      </c>
      <c r="F1913" s="43" t="s">
        <v>13798</v>
      </c>
      <c r="G1913" s="43" t="s">
        <v>13799</v>
      </c>
      <c r="H1913" s="59" t="s">
        <v>148</v>
      </c>
      <c r="I1913" s="25" t="str">
        <f>IFERROR(__xludf.DUMMYFUNCTION("GOOGLETRANSLATE(H1913,""EN"",""ES"")"),"Gastronomía")</f>
        <v>Gastronomía</v>
      </c>
      <c r="J1913" s="26" t="s">
        <v>27</v>
      </c>
      <c r="K1913" s="17">
        <v>0.0</v>
      </c>
      <c r="L1913" s="54"/>
      <c r="M1913" s="31"/>
      <c r="N1913" s="47"/>
      <c r="O1913" s="47"/>
      <c r="P1913" s="20">
        <v>0.0</v>
      </c>
      <c r="Q1913" s="31"/>
      <c r="R1913" s="31"/>
      <c r="S1913" s="53"/>
      <c r="T1913" s="32"/>
    </row>
    <row r="1914">
      <c r="A1914" s="33" t="s">
        <v>13800</v>
      </c>
      <c r="B1914" s="76" t="s">
        <v>21</v>
      </c>
      <c r="C1914" s="41">
        <v>45434.0</v>
      </c>
      <c r="D1914" s="40" t="s">
        <v>13801</v>
      </c>
      <c r="E1914" s="41" t="s">
        <v>13802</v>
      </c>
      <c r="F1914" s="43" t="s">
        <v>13803</v>
      </c>
      <c r="G1914" s="43" t="s">
        <v>13804</v>
      </c>
      <c r="H1914" s="61" t="s">
        <v>969</v>
      </c>
      <c r="I1914" s="15" t="str">
        <f>IFERROR(__xludf.DUMMYFUNCTION("GOOGLETRANSLATE(H1914,""EN"",""ES"")"),"Turismo")</f>
        <v>Turismo</v>
      </c>
      <c r="J1914" s="16" t="s">
        <v>27</v>
      </c>
      <c r="K1914" s="17">
        <v>0.0</v>
      </c>
      <c r="L1914" s="45"/>
      <c r="M1914" s="18"/>
      <c r="N1914" s="44"/>
      <c r="O1914" s="44"/>
      <c r="P1914" s="20">
        <v>0.0</v>
      </c>
      <c r="Q1914" s="18"/>
      <c r="R1914" s="18"/>
      <c r="S1914" s="52"/>
      <c r="T1914" s="22"/>
    </row>
    <row r="1915">
      <c r="A1915" s="23" t="s">
        <v>13805</v>
      </c>
      <c r="B1915" s="77" t="s">
        <v>3233</v>
      </c>
      <c r="C1915" s="41">
        <v>45434.0</v>
      </c>
      <c r="D1915" s="40" t="s">
        <v>13806</v>
      </c>
      <c r="E1915" s="41" t="s">
        <v>13807</v>
      </c>
      <c r="F1915" s="43" t="s">
        <v>13808</v>
      </c>
      <c r="G1915" s="43" t="s">
        <v>13809</v>
      </c>
      <c r="H1915" s="59" t="s">
        <v>408</v>
      </c>
      <c r="I1915" s="25" t="str">
        <f>IFERROR(__xludf.DUMMYFUNCTION("GOOGLETRANSLATE(H1915,""EN"",""ES"")"),"Legal")</f>
        <v>Legal</v>
      </c>
      <c r="J1915" s="26" t="s">
        <v>35</v>
      </c>
      <c r="K1915" s="48">
        <v>-0.7</v>
      </c>
      <c r="L1915" s="49" t="s">
        <v>9922</v>
      </c>
      <c r="M1915" s="28" t="s">
        <v>9923</v>
      </c>
      <c r="N1915" s="47" t="s">
        <v>13810</v>
      </c>
      <c r="O1915" s="47" t="str">
        <f>IFERROR(__xludf.DUMMYFUNCTION("GOOGLETRANSLATE(N1915,""EN"",""ES"")"),"Las continuas reclamaciones por daños medioambientales pueden afectar negativamente a la reputación de Repsol.")</f>
        <v>Las continuas reclamaciones por daños medioambientales pueden afectar negativamente a la reputación de Repsol.</v>
      </c>
      <c r="P1915" s="30">
        <v>-0.9</v>
      </c>
      <c r="Q1915" s="31" t="str">
        <f>IFERROR(__xludf.DUMMYFUNCTION("GOOGLETRANSLATE(R1915,""ES"",""EN"")"),"spill, consequences")</f>
        <v>spill, consequences</v>
      </c>
      <c r="R1915" s="28" t="s">
        <v>13811</v>
      </c>
      <c r="S1915" s="53" t="s">
        <v>10083</v>
      </c>
      <c r="T1915" s="32" t="s">
        <v>10084</v>
      </c>
    </row>
    <row r="1916">
      <c r="A1916" s="33" t="s">
        <v>13812</v>
      </c>
      <c r="B1916" s="76" t="s">
        <v>4866</v>
      </c>
      <c r="C1916" s="41">
        <v>45434.0</v>
      </c>
      <c r="D1916" s="40" t="s">
        <v>13813</v>
      </c>
      <c r="E1916" s="41" t="s">
        <v>13814</v>
      </c>
      <c r="F1916" s="43" t="s">
        <v>13815</v>
      </c>
      <c r="G1916" s="43" t="s">
        <v>13816</v>
      </c>
      <c r="H1916" s="61" t="s">
        <v>5878</v>
      </c>
      <c r="I1916" s="15" t="str">
        <f>IFERROR(__xludf.DUMMYFUNCTION("GOOGLETRANSLATE(H1916,""EN"",""ES"")"),"Entretenimiento")</f>
        <v>Entretenimiento</v>
      </c>
      <c r="J1916" s="16" t="s">
        <v>27</v>
      </c>
      <c r="K1916" s="17">
        <v>0.0</v>
      </c>
      <c r="L1916" s="45"/>
      <c r="M1916" s="18"/>
      <c r="N1916" s="44"/>
      <c r="O1916" s="44"/>
      <c r="P1916" s="20">
        <v>0.0</v>
      </c>
      <c r="Q1916" s="18"/>
      <c r="R1916" s="18"/>
      <c r="S1916" s="52"/>
      <c r="T1916" s="22"/>
    </row>
    <row r="1917">
      <c r="A1917" s="23" t="s">
        <v>13817</v>
      </c>
      <c r="B1917" s="77" t="s">
        <v>2248</v>
      </c>
      <c r="C1917" s="41">
        <v>45434.0</v>
      </c>
      <c r="D1917" s="40" t="s">
        <v>13818</v>
      </c>
      <c r="E1917" s="41" t="s">
        <v>13819</v>
      </c>
      <c r="F1917" s="43" t="s">
        <v>13820</v>
      </c>
      <c r="G1917" s="43" t="s">
        <v>13821</v>
      </c>
      <c r="H1917" s="59" t="s">
        <v>34</v>
      </c>
      <c r="I1917" s="25" t="str">
        <f>IFERROR(__xludf.DUMMYFUNCTION("GOOGLETRANSLATE(H1917,""EN"",""ES"")"),"Responsabilidad Social Corporativa")</f>
        <v>Responsabilidad Social Corporativa</v>
      </c>
      <c r="J1917" s="26" t="s">
        <v>27</v>
      </c>
      <c r="K1917" s="17">
        <v>0.0</v>
      </c>
      <c r="L1917" s="54"/>
      <c r="M1917" s="31"/>
      <c r="N1917" s="47"/>
      <c r="O1917" s="47"/>
      <c r="P1917" s="20">
        <v>0.0</v>
      </c>
      <c r="Q1917" s="31"/>
      <c r="R1917" s="31"/>
      <c r="S1917" s="53"/>
      <c r="T1917" s="32"/>
    </row>
    <row r="1918">
      <c r="A1918" s="33" t="s">
        <v>13822</v>
      </c>
      <c r="B1918" s="76" t="s">
        <v>2498</v>
      </c>
      <c r="C1918" s="41">
        <v>45434.0</v>
      </c>
      <c r="D1918" s="40" t="s">
        <v>13823</v>
      </c>
      <c r="E1918" s="41" t="s">
        <v>13824</v>
      </c>
      <c r="F1918" s="43" t="s">
        <v>13825</v>
      </c>
      <c r="G1918" s="43" t="s">
        <v>13826</v>
      </c>
      <c r="H1918" s="61" t="s">
        <v>62</v>
      </c>
      <c r="I1918" s="15" t="str">
        <f>IFERROR(__xludf.DUMMYFUNCTION("GOOGLETRANSLATE(H1918,""EN"",""ES"")"),"Energía")</f>
        <v>Energía</v>
      </c>
      <c r="J1918" s="16" t="s">
        <v>27</v>
      </c>
      <c r="K1918" s="17">
        <v>0.0</v>
      </c>
      <c r="L1918" s="45"/>
      <c r="M1918" s="18"/>
      <c r="N1918" s="44"/>
      <c r="O1918" s="44"/>
      <c r="P1918" s="20">
        <v>0.0</v>
      </c>
      <c r="Q1918" s="18"/>
      <c r="R1918" s="18"/>
      <c r="S1918" s="52"/>
      <c r="T1918" s="22"/>
    </row>
    <row r="1919">
      <c r="A1919" s="23" t="s">
        <v>13827</v>
      </c>
      <c r="B1919" s="77" t="s">
        <v>7322</v>
      </c>
      <c r="C1919" s="41">
        <v>45434.0</v>
      </c>
      <c r="D1919" s="40" t="s">
        <v>13828</v>
      </c>
      <c r="E1919" s="41" t="s">
        <v>13829</v>
      </c>
      <c r="F1919" s="43" t="s">
        <v>13830</v>
      </c>
      <c r="G1919" s="43" t="s">
        <v>13831</v>
      </c>
      <c r="H1919" s="59" t="s">
        <v>130</v>
      </c>
      <c r="I1919" s="25" t="str">
        <f>IFERROR(__xludf.DUMMYFUNCTION("GOOGLETRANSLATE(H1919,""EN"",""ES"")"),"Sostenibilidad")</f>
        <v>Sostenibilidad</v>
      </c>
      <c r="J1919" s="26" t="s">
        <v>35</v>
      </c>
      <c r="K1919" s="48">
        <v>0.8</v>
      </c>
      <c r="L1919" s="49" t="s">
        <v>12580</v>
      </c>
      <c r="M1919" s="28" t="s">
        <v>12581</v>
      </c>
      <c r="N1919" s="47" t="s">
        <v>13832</v>
      </c>
      <c r="O1919" s="47" t="str">
        <f>IFERROR(__xludf.DUMMYFUNCTION("GOOGLETRANSLATE(N1919,""EN"",""ES"")"),"La promoción de los combustibles renovables en el deporte se alinea con los objetivos de transición verde de Repsol.")</f>
        <v>La promoción de los combustibles renovables en el deporte se alinea con los objetivos de transición verde de Repsol.</v>
      </c>
      <c r="P1919" s="30">
        <v>0.4</v>
      </c>
      <c r="Q1919" s="31" t="str">
        <f>IFERROR(__xludf.DUMMYFUNCTION("GOOGLETRANSLATE(R1919,""ES"",""EN"")"),"renewable")</f>
        <v>renewable</v>
      </c>
      <c r="R1919" s="28" t="s">
        <v>13833</v>
      </c>
      <c r="S1919" s="53" t="s">
        <v>10595</v>
      </c>
      <c r="T1919" s="32" t="s">
        <v>10596</v>
      </c>
    </row>
    <row r="1920">
      <c r="A1920" s="33" t="s">
        <v>13834</v>
      </c>
      <c r="B1920" s="76" t="s">
        <v>499</v>
      </c>
      <c r="C1920" s="41">
        <v>45434.0</v>
      </c>
      <c r="D1920" s="40" t="s">
        <v>13835</v>
      </c>
      <c r="E1920" s="41" t="s">
        <v>13836</v>
      </c>
      <c r="F1920" s="43" t="s">
        <v>13837</v>
      </c>
      <c r="G1920" s="43" t="s">
        <v>13838</v>
      </c>
      <c r="H1920" s="61" t="s">
        <v>13839</v>
      </c>
      <c r="I1920" s="15" t="str">
        <f>IFERROR(__xludf.DUMMYFUNCTION("GOOGLETRANSLATE(H1920,""EN"",""ES"")"),"Comercio")</f>
        <v>Comercio</v>
      </c>
      <c r="J1920" s="16" t="s">
        <v>27</v>
      </c>
      <c r="K1920" s="17">
        <v>0.0</v>
      </c>
      <c r="L1920" s="45"/>
      <c r="M1920" s="18"/>
      <c r="N1920" s="44"/>
      <c r="O1920" s="44"/>
      <c r="P1920" s="20">
        <v>0.0</v>
      </c>
      <c r="Q1920" s="18"/>
      <c r="R1920" s="18"/>
      <c r="S1920" s="52"/>
      <c r="T1920" s="22"/>
    </row>
    <row r="1921">
      <c r="A1921" s="23" t="s">
        <v>13840</v>
      </c>
      <c r="B1921" s="77" t="s">
        <v>21</v>
      </c>
      <c r="C1921" s="41">
        <v>45435.0</v>
      </c>
      <c r="D1921" s="40" t="s">
        <v>13841</v>
      </c>
      <c r="E1921" s="41" t="s">
        <v>13842</v>
      </c>
      <c r="F1921" s="43" t="s">
        <v>13843</v>
      </c>
      <c r="G1921" s="43" t="s">
        <v>13844</v>
      </c>
      <c r="H1921" s="59" t="s">
        <v>969</v>
      </c>
      <c r="I1921" s="25" t="str">
        <f>IFERROR(__xludf.DUMMYFUNCTION("GOOGLETRANSLATE(H1921,""EN"",""ES"")"),"Turismo")</f>
        <v>Turismo</v>
      </c>
      <c r="J1921" s="26" t="s">
        <v>27</v>
      </c>
      <c r="K1921" s="17">
        <v>0.0</v>
      </c>
      <c r="L1921" s="54"/>
      <c r="M1921" s="31"/>
      <c r="N1921" s="47"/>
      <c r="O1921" s="47"/>
      <c r="P1921" s="20">
        <v>0.0</v>
      </c>
      <c r="Q1921" s="31"/>
      <c r="R1921" s="31"/>
      <c r="S1921" s="53"/>
      <c r="T1921" s="32"/>
    </row>
    <row r="1922">
      <c r="A1922" s="33" t="s">
        <v>13845</v>
      </c>
      <c r="B1922" s="76" t="s">
        <v>85</v>
      </c>
      <c r="C1922" s="41">
        <v>45435.0</v>
      </c>
      <c r="D1922" s="40" t="s">
        <v>13846</v>
      </c>
      <c r="E1922" s="41" t="s">
        <v>13847</v>
      </c>
      <c r="F1922" s="43" t="s">
        <v>13848</v>
      </c>
      <c r="G1922" s="43" t="s">
        <v>13849</v>
      </c>
      <c r="H1922" s="61" t="s">
        <v>148</v>
      </c>
      <c r="I1922" s="15" t="str">
        <f>IFERROR(__xludf.DUMMYFUNCTION("GOOGLETRANSLATE(H1922,""EN"",""ES"")"),"Gastronomía")</f>
        <v>Gastronomía</v>
      </c>
      <c r="J1922" s="16" t="s">
        <v>27</v>
      </c>
      <c r="K1922" s="17">
        <v>0.0</v>
      </c>
      <c r="L1922" s="45"/>
      <c r="M1922" s="18"/>
      <c r="N1922" s="44"/>
      <c r="O1922" s="44"/>
      <c r="P1922" s="20">
        <v>0.0</v>
      </c>
      <c r="Q1922" s="18"/>
      <c r="R1922" s="18"/>
      <c r="S1922" s="52"/>
      <c r="T1922" s="22"/>
    </row>
    <row r="1923">
      <c r="A1923" s="23" t="s">
        <v>13850</v>
      </c>
      <c r="B1923" s="77" t="s">
        <v>13851</v>
      </c>
      <c r="C1923" s="41">
        <v>45435.0</v>
      </c>
      <c r="D1923" s="40" t="s">
        <v>13852</v>
      </c>
      <c r="E1923" s="41" t="s">
        <v>13853</v>
      </c>
      <c r="F1923" s="43" t="s">
        <v>13854</v>
      </c>
      <c r="G1923" s="43" t="s">
        <v>13855</v>
      </c>
      <c r="H1923" s="59" t="s">
        <v>130</v>
      </c>
      <c r="I1923" s="25" t="str">
        <f>IFERROR(__xludf.DUMMYFUNCTION("GOOGLETRANSLATE(H1923,""EN"",""ES"")"),"Sostenibilidad")</f>
        <v>Sostenibilidad</v>
      </c>
      <c r="J1923" s="26" t="s">
        <v>27</v>
      </c>
      <c r="K1923" s="17">
        <v>0.0</v>
      </c>
      <c r="L1923" s="54"/>
      <c r="M1923" s="31"/>
      <c r="N1923" s="47"/>
      <c r="O1923" s="47"/>
      <c r="P1923" s="20">
        <v>0.0</v>
      </c>
      <c r="Q1923" s="31"/>
      <c r="R1923" s="31"/>
      <c r="S1923" s="53"/>
      <c r="T1923" s="32"/>
    </row>
    <row r="1924">
      <c r="A1924" s="33" t="s">
        <v>13856</v>
      </c>
      <c r="B1924" s="76" t="s">
        <v>13857</v>
      </c>
      <c r="C1924" s="41">
        <v>45435.0</v>
      </c>
      <c r="D1924" s="40" t="s">
        <v>13858</v>
      </c>
      <c r="E1924" s="41" t="s">
        <v>13859</v>
      </c>
      <c r="F1924" s="43" t="s">
        <v>13860</v>
      </c>
      <c r="G1924" s="43" t="s">
        <v>13861</v>
      </c>
      <c r="H1924" s="61" t="s">
        <v>661</v>
      </c>
      <c r="I1924" s="15" t="str">
        <f>IFERROR(__xludf.DUMMYFUNCTION("GOOGLETRANSLATE(H1924,""EN"",""ES"")"),"Estrategia empresarial")</f>
        <v>Estrategia empresarial</v>
      </c>
      <c r="J1924" s="16" t="s">
        <v>35</v>
      </c>
      <c r="K1924" s="48">
        <v>0.6</v>
      </c>
      <c r="L1924" s="51" t="s">
        <v>13678</v>
      </c>
      <c r="M1924" s="34" t="s">
        <v>13679</v>
      </c>
      <c r="N1924" s="44" t="s">
        <v>13862</v>
      </c>
      <c r="O1924" s="44" t="str">
        <f>IFERROR(__xludf.DUMMYFUNCTION("GOOGLETRANSLATE(N1924,""EN"",""ES"")"),"La obtención de licencias de explotación en Venezuela fortalece el negocio energético de Repsol.")</f>
        <v>La obtención de licencias de explotación en Venezuela fortalece el negocio energético de Repsol.</v>
      </c>
      <c r="P1924" s="30">
        <v>0.5</v>
      </c>
      <c r="Q1924" s="18" t="str">
        <f>IFERROR(__xludf.DUMMYFUNCTION("GOOGLETRANSLATE(R1924,""ES"",""EN"")"),"license, operating")</f>
        <v>license, operating</v>
      </c>
      <c r="R1924" s="34" t="s">
        <v>13863</v>
      </c>
      <c r="S1924" s="52" t="s">
        <v>13864</v>
      </c>
      <c r="T1924" s="22" t="s">
        <v>13865</v>
      </c>
    </row>
    <row r="1925">
      <c r="A1925" s="23" t="s">
        <v>13866</v>
      </c>
      <c r="B1925" s="77" t="s">
        <v>6407</v>
      </c>
      <c r="C1925" s="41">
        <v>45435.0</v>
      </c>
      <c r="D1925" s="40" t="s">
        <v>13867</v>
      </c>
      <c r="E1925" s="41" t="s">
        <v>13868</v>
      </c>
      <c r="F1925" s="43" t="s">
        <v>13869</v>
      </c>
      <c r="G1925" s="43" t="s">
        <v>13870</v>
      </c>
      <c r="H1925" s="59" t="s">
        <v>62</v>
      </c>
      <c r="I1925" s="25" t="str">
        <f>IFERROR(__xludf.DUMMYFUNCTION("GOOGLETRANSLATE(H1925,""EN"",""ES"")"),"Energía")</f>
        <v>Energía</v>
      </c>
      <c r="J1925" s="26" t="s">
        <v>27</v>
      </c>
      <c r="K1925" s="17">
        <v>0.0</v>
      </c>
      <c r="L1925" s="54"/>
      <c r="M1925" s="31"/>
      <c r="N1925" s="47"/>
      <c r="O1925" s="47"/>
      <c r="P1925" s="20">
        <v>0.0</v>
      </c>
      <c r="Q1925" s="31"/>
      <c r="R1925" s="31"/>
      <c r="S1925" s="53"/>
      <c r="T1925" s="32"/>
    </row>
    <row r="1926">
      <c r="A1926" s="33" t="s">
        <v>13871</v>
      </c>
      <c r="B1926" s="76" t="s">
        <v>13872</v>
      </c>
      <c r="C1926" s="41">
        <v>45435.0</v>
      </c>
      <c r="D1926" s="40" t="s">
        <v>13873</v>
      </c>
      <c r="E1926" s="41" t="s">
        <v>13874</v>
      </c>
      <c r="F1926" s="43" t="s">
        <v>13875</v>
      </c>
      <c r="G1926" s="43" t="s">
        <v>13876</v>
      </c>
      <c r="H1926" s="61" t="s">
        <v>661</v>
      </c>
      <c r="I1926" s="15" t="str">
        <f>IFERROR(__xludf.DUMMYFUNCTION("GOOGLETRANSLATE(H1926,""EN"",""ES"")"),"Estrategia empresarial")</f>
        <v>Estrategia empresarial</v>
      </c>
      <c r="J1926" s="16" t="s">
        <v>35</v>
      </c>
      <c r="K1926" s="48">
        <v>0.6</v>
      </c>
      <c r="L1926" s="51" t="s">
        <v>13678</v>
      </c>
      <c r="M1926" s="34" t="s">
        <v>13679</v>
      </c>
      <c r="N1926" s="44" t="s">
        <v>13877</v>
      </c>
      <c r="O1926" s="44" t="str">
        <f>IFERROR(__xludf.DUMMYFUNCTION("GOOGLETRANSLATE(N1926,""EN"",""ES"")"),"La renovación de las licencias energéticas internacionales respalda la expansión global de Repsol.")</f>
        <v>La renovación de las licencias energéticas internacionales respalda la expansión global de Repsol.</v>
      </c>
      <c r="P1926" s="30">
        <v>0.4</v>
      </c>
      <c r="Q1926" s="18" t="str">
        <f>IFERROR(__xludf.DUMMYFUNCTION("GOOGLETRANSLATE(R1926,""ES"",""EN"")"),"license")</f>
        <v>license</v>
      </c>
      <c r="R1926" s="34" t="s">
        <v>13878</v>
      </c>
      <c r="S1926" s="52" t="s">
        <v>13879</v>
      </c>
      <c r="T1926" s="22" t="s">
        <v>13880</v>
      </c>
    </row>
    <row r="1927">
      <c r="A1927" s="23" t="s">
        <v>13881</v>
      </c>
      <c r="B1927" s="77" t="s">
        <v>13882</v>
      </c>
      <c r="C1927" s="41">
        <v>45435.0</v>
      </c>
      <c r="D1927" s="40" t="s">
        <v>13883</v>
      </c>
      <c r="E1927" s="41" t="s">
        <v>13884</v>
      </c>
      <c r="F1927" s="43" t="s">
        <v>13885</v>
      </c>
      <c r="G1927" s="43" t="s">
        <v>13886</v>
      </c>
      <c r="H1927" s="59" t="s">
        <v>661</v>
      </c>
      <c r="I1927" s="25" t="str">
        <f>IFERROR(__xludf.DUMMYFUNCTION("GOOGLETRANSLATE(H1927,""EN"",""ES"")"),"Estrategia empresarial")</f>
        <v>Estrategia empresarial</v>
      </c>
      <c r="J1927" s="26" t="s">
        <v>35</v>
      </c>
      <c r="K1927" s="48">
        <v>0.6</v>
      </c>
      <c r="L1927" s="49" t="s">
        <v>13678</v>
      </c>
      <c r="M1927" s="28" t="s">
        <v>13679</v>
      </c>
      <c r="N1927" s="47" t="s">
        <v>13887</v>
      </c>
      <c r="O1927" s="47" t="str">
        <f>IFERROR(__xludf.DUMMYFUNCTION("GOOGLETRANSLATE(N1927,""EN"",""ES"")"),"La renovación de los derechos operativos en Venezuela refuerza la presencia de Repsol en el sector petrolero.")</f>
        <v>La renovación de los derechos operativos en Venezuela refuerza la presencia de Repsol en el sector petrolero.</v>
      </c>
      <c r="P1927" s="30">
        <v>0.5</v>
      </c>
      <c r="Q1927" s="31" t="str">
        <f>IFERROR(__xludf.DUMMYFUNCTION("GOOGLETRANSLATE(R1927,""ES"",""EN"")"),"license")</f>
        <v>license</v>
      </c>
      <c r="R1927" s="28" t="s">
        <v>13878</v>
      </c>
      <c r="S1927" s="53" t="s">
        <v>13888</v>
      </c>
      <c r="T1927" s="32" t="s">
        <v>13889</v>
      </c>
    </row>
    <row r="1928">
      <c r="A1928" s="33" t="s">
        <v>13890</v>
      </c>
      <c r="B1928" s="76" t="s">
        <v>11295</v>
      </c>
      <c r="C1928" s="41">
        <v>45435.0</v>
      </c>
      <c r="D1928" s="40" t="s">
        <v>13891</v>
      </c>
      <c r="E1928" s="41" t="s">
        <v>13892</v>
      </c>
      <c r="F1928" s="43" t="s">
        <v>13893</v>
      </c>
      <c r="G1928" s="43" t="s">
        <v>13894</v>
      </c>
      <c r="H1928" s="51" t="s">
        <v>661</v>
      </c>
      <c r="I1928" s="15" t="str">
        <f>IFERROR(__xludf.DUMMYFUNCTION("GOOGLETRANSLATE(H1928,""EN"",""ES"")"),"Estrategia empresarial")</f>
        <v>Estrategia empresarial</v>
      </c>
      <c r="J1928" s="16" t="s">
        <v>35</v>
      </c>
      <c r="K1928" s="48">
        <v>0.6</v>
      </c>
      <c r="L1928" s="51" t="s">
        <v>13895</v>
      </c>
      <c r="M1928" s="34" t="s">
        <v>13896</v>
      </c>
      <c r="N1928" s="65" t="s">
        <v>13897</v>
      </c>
      <c r="O1928" s="65" t="str">
        <f>IFERROR(__xludf.DUMMYFUNCTION("GOOGLETRANSLATE(N1928,""EN"",""ES"")"),"La obtención de una licencia estadounidense para continuar sus operaciones en Venezuela fortalece la estrategia energética global de Repsol.")</f>
        <v>La obtención de una licencia estadounidense para continuar sus operaciones en Venezuela fortalece la estrategia energética global de Repsol.</v>
      </c>
      <c r="P1928" s="30">
        <v>0.5</v>
      </c>
      <c r="Q1928" s="18" t="str">
        <f>IFERROR(__xludf.DUMMYFUNCTION("GOOGLETRANSLATE(R1928,""ES"",""EN"")"),"license")</f>
        <v>license</v>
      </c>
      <c r="R1928" s="34" t="s">
        <v>13878</v>
      </c>
      <c r="S1928" s="52" t="s">
        <v>13898</v>
      </c>
      <c r="T1928" s="22" t="s">
        <v>13899</v>
      </c>
    </row>
    <row r="1929">
      <c r="A1929" s="23" t="s">
        <v>13900</v>
      </c>
      <c r="B1929" s="77" t="s">
        <v>217</v>
      </c>
      <c r="C1929" s="41">
        <v>45435.0</v>
      </c>
      <c r="D1929" s="40" t="s">
        <v>13901</v>
      </c>
      <c r="E1929" s="41" t="s">
        <v>13902</v>
      </c>
      <c r="F1929" s="43" t="s">
        <v>13903</v>
      </c>
      <c r="G1929" s="43" t="s">
        <v>13904</v>
      </c>
      <c r="H1929" s="59" t="s">
        <v>130</v>
      </c>
      <c r="I1929" s="25" t="str">
        <f>IFERROR(__xludf.DUMMYFUNCTION("GOOGLETRANSLATE(H1929,""EN"",""ES"")"),"Sostenibilidad")</f>
        <v>Sostenibilidad</v>
      </c>
      <c r="J1929" s="26" t="s">
        <v>35</v>
      </c>
      <c r="K1929" s="48">
        <v>0.7</v>
      </c>
      <c r="L1929" s="49" t="s">
        <v>13729</v>
      </c>
      <c r="M1929" s="28" t="s">
        <v>13730</v>
      </c>
      <c r="N1929" s="47" t="s">
        <v>13905</v>
      </c>
      <c r="O1929" s="47" t="str">
        <f>IFERROR(__xludf.DUMMYFUNCTION("GOOGLETRANSLATE(N1929,""EN"",""ES"")"),"La ampliación de los proyectos eólicos marinos respalda la transición energética limpia de Repsol.")</f>
        <v>La ampliación de los proyectos eólicos marinos respalda la transición energética limpia de Repsol.</v>
      </c>
      <c r="P1929" s="30">
        <v>0.0</v>
      </c>
      <c r="Q1929" s="31"/>
      <c r="R1929" s="31"/>
      <c r="S1929" s="53" t="s">
        <v>469</v>
      </c>
      <c r="T1929" s="32" t="s">
        <v>470</v>
      </c>
    </row>
    <row r="1930">
      <c r="A1930" s="33" t="s">
        <v>13906</v>
      </c>
      <c r="B1930" s="76" t="s">
        <v>1072</v>
      </c>
      <c r="C1930" s="41">
        <v>45436.0</v>
      </c>
      <c r="D1930" s="40" t="s">
        <v>13907</v>
      </c>
      <c r="E1930" s="41" t="s">
        <v>13908</v>
      </c>
      <c r="F1930" s="43" t="s">
        <v>13909</v>
      </c>
      <c r="G1930" s="43" t="s">
        <v>13910</v>
      </c>
      <c r="H1930" s="61" t="s">
        <v>661</v>
      </c>
      <c r="I1930" s="15" t="str">
        <f>IFERROR(__xludf.DUMMYFUNCTION("GOOGLETRANSLATE(H1930,""EN"",""ES"")"),"Estrategia empresarial")</f>
        <v>Estrategia empresarial</v>
      </c>
      <c r="J1930" s="16" t="s">
        <v>35</v>
      </c>
      <c r="K1930" s="48">
        <v>0.6</v>
      </c>
      <c r="L1930" s="51" t="s">
        <v>13911</v>
      </c>
      <c r="M1930" s="34" t="s">
        <v>13912</v>
      </c>
      <c r="N1930" s="44" t="s">
        <v>13913</v>
      </c>
      <c r="O1930" s="44" t="str">
        <f>IFERROR(__xludf.DUMMYFUNCTION("GOOGLETRANSLATE(N1930,""EN"",""ES"")"),"Atraer inversiones en renovables refuerza los compromisos de sostenibilidad de Repsol.")</f>
        <v>Atraer inversiones en renovables refuerza los compromisos de sostenibilidad de Repsol.</v>
      </c>
      <c r="P1930" s="30">
        <v>0.6</v>
      </c>
      <c r="Q1930" s="18" t="str">
        <f>IFERROR(__xludf.DUMMYFUNCTION("GOOGLETRANSLATE(R1930,""ES"",""EN"")"),"Aramco, renewables")</f>
        <v>Aramco, renewables</v>
      </c>
      <c r="R1930" s="34" t="s">
        <v>13914</v>
      </c>
      <c r="S1930" s="52" t="s">
        <v>13915</v>
      </c>
      <c r="T1930" s="22" t="s">
        <v>13916</v>
      </c>
    </row>
    <row r="1931">
      <c r="A1931" s="23" t="s">
        <v>13917</v>
      </c>
      <c r="B1931" s="77" t="s">
        <v>1093</v>
      </c>
      <c r="C1931" s="41">
        <v>45436.0</v>
      </c>
      <c r="D1931" s="40" t="s">
        <v>13918</v>
      </c>
      <c r="E1931" s="41" t="s">
        <v>13919</v>
      </c>
      <c r="F1931" s="43" t="s">
        <v>13920</v>
      </c>
      <c r="G1931" s="43" t="s">
        <v>13921</v>
      </c>
      <c r="H1931" s="59" t="s">
        <v>130</v>
      </c>
      <c r="I1931" s="25" t="str">
        <f>IFERROR(__xludf.DUMMYFUNCTION("GOOGLETRANSLATE(H1931,""EN"",""ES"")"),"Sostenibilidad")</f>
        <v>Sostenibilidad</v>
      </c>
      <c r="J1931" s="26" t="s">
        <v>35</v>
      </c>
      <c r="K1931" s="48">
        <v>0.7</v>
      </c>
      <c r="L1931" s="49" t="s">
        <v>13922</v>
      </c>
      <c r="M1931" s="28" t="s">
        <v>13923</v>
      </c>
      <c r="N1931" s="47" t="s">
        <v>13924</v>
      </c>
      <c r="O1931" s="47" t="str">
        <f>IFERROR(__xludf.DUMMYFUNCTION("GOOGLETRANSLATE(N1931,""EN"",""ES"")"),"La ampliación de las operaciones del proyecto hidroeléctrico se alinea con las iniciativas verdes de Repsol.")</f>
        <v>La ampliación de las operaciones del proyecto hidroeléctrico se alinea con las iniciativas verdes de Repsol.</v>
      </c>
      <c r="P1931" s="30">
        <v>0.3</v>
      </c>
      <c r="Q1931" s="31" t="str">
        <f>IFERROR(__xludf.DUMMYFUNCTION("GOOGLETRANSLATE(R1931,""ES"",""EN"")"),"extend permission")</f>
        <v>extend permission</v>
      </c>
      <c r="R1931" s="28" t="s">
        <v>13925</v>
      </c>
      <c r="S1931" s="53" t="s">
        <v>13926</v>
      </c>
      <c r="T1931" s="32" t="s">
        <v>13927</v>
      </c>
    </row>
    <row r="1932">
      <c r="A1932" s="33" t="s">
        <v>13928</v>
      </c>
      <c r="B1932" s="76" t="s">
        <v>163</v>
      </c>
      <c r="C1932" s="41">
        <v>45436.0</v>
      </c>
      <c r="D1932" s="40" t="s">
        <v>13929</v>
      </c>
      <c r="E1932" s="41" t="s">
        <v>13930</v>
      </c>
      <c r="F1932" s="43" t="s">
        <v>13931</v>
      </c>
      <c r="G1932" s="43" t="s">
        <v>13932</v>
      </c>
      <c r="H1932" s="61" t="s">
        <v>62</v>
      </c>
      <c r="I1932" s="15" t="str">
        <f>IFERROR(__xludf.DUMMYFUNCTION("GOOGLETRANSLATE(H1932,""EN"",""ES"")"),"Energía")</f>
        <v>Energía</v>
      </c>
      <c r="J1932" s="16" t="s">
        <v>27</v>
      </c>
      <c r="K1932" s="17">
        <v>0.0</v>
      </c>
      <c r="L1932" s="45"/>
      <c r="M1932" s="18"/>
      <c r="N1932" s="44"/>
      <c r="O1932" s="44"/>
      <c r="P1932" s="20">
        <v>0.0</v>
      </c>
      <c r="Q1932" s="18"/>
      <c r="R1932" s="18"/>
      <c r="S1932" s="52"/>
      <c r="T1932" s="22"/>
    </row>
    <row r="1933">
      <c r="A1933" s="23" t="s">
        <v>13933</v>
      </c>
      <c r="B1933" s="77" t="s">
        <v>13934</v>
      </c>
      <c r="C1933" s="41">
        <v>45436.0</v>
      </c>
      <c r="D1933" s="40" t="s">
        <v>13935</v>
      </c>
      <c r="E1933" s="41" t="s">
        <v>13936</v>
      </c>
      <c r="F1933" s="43" t="s">
        <v>13937</v>
      </c>
      <c r="G1933" s="43" t="s">
        <v>13938</v>
      </c>
      <c r="H1933" s="59" t="s">
        <v>661</v>
      </c>
      <c r="I1933" s="25" t="str">
        <f>IFERROR(__xludf.DUMMYFUNCTION("GOOGLETRANSLATE(H1933,""EN"",""ES"")"),"Estrategia empresarial")</f>
        <v>Estrategia empresarial</v>
      </c>
      <c r="J1933" s="26" t="s">
        <v>35</v>
      </c>
      <c r="K1933" s="48">
        <v>0.6</v>
      </c>
      <c r="L1933" s="49" t="s">
        <v>13678</v>
      </c>
      <c r="M1933" s="28" t="s">
        <v>13679</v>
      </c>
      <c r="N1933" s="47" t="s">
        <v>13939</v>
      </c>
      <c r="O1933" s="47" t="str">
        <f>IFERROR(__xludf.DUMMYFUNCTION("GOOGLETRANSLATE(N1933,""EN"",""ES"")"),"Obtener una licencia indefinida en Venezuela asegura operaciones a largo plazo.")</f>
        <v>Obtener una licencia indefinida en Venezuela asegura operaciones a largo plazo.</v>
      </c>
      <c r="P1933" s="30">
        <v>0.5</v>
      </c>
      <c r="Q1933" s="31" t="str">
        <f>IFERROR(__xludf.DUMMYFUNCTION("GOOGLETRANSLATE(R1933,""ES"",""EN"")"),"license")</f>
        <v>license</v>
      </c>
      <c r="R1933" s="28" t="s">
        <v>13878</v>
      </c>
      <c r="S1933" s="53" t="s">
        <v>13898</v>
      </c>
      <c r="T1933" s="32" t="s">
        <v>13899</v>
      </c>
    </row>
    <row r="1934">
      <c r="A1934" s="33" t="s">
        <v>13940</v>
      </c>
      <c r="B1934" s="76" t="s">
        <v>163</v>
      </c>
      <c r="C1934" s="41">
        <v>45436.0</v>
      </c>
      <c r="D1934" s="40" t="s">
        <v>13941</v>
      </c>
      <c r="E1934" s="41" t="s">
        <v>13942</v>
      </c>
      <c r="F1934" s="43" t="s">
        <v>13943</v>
      </c>
      <c r="G1934" s="43" t="s">
        <v>13944</v>
      </c>
      <c r="H1934" s="61" t="s">
        <v>55</v>
      </c>
      <c r="I1934" s="15" t="str">
        <f>IFERROR(__xludf.DUMMYFUNCTION("GOOGLETRANSLATE(H1934,""EN"",""ES"")"),"deportes de motor")</f>
        <v>deportes de motor</v>
      </c>
      <c r="J1934" s="16" t="s">
        <v>27</v>
      </c>
      <c r="K1934" s="17">
        <v>0.0</v>
      </c>
      <c r="L1934" s="45"/>
      <c r="M1934" s="18"/>
      <c r="N1934" s="44"/>
      <c r="O1934" s="44"/>
      <c r="P1934" s="20">
        <v>0.0</v>
      </c>
      <c r="Q1934" s="18"/>
      <c r="R1934" s="18"/>
      <c r="S1934" s="52"/>
      <c r="T1934" s="22"/>
    </row>
    <row r="1935">
      <c r="A1935" s="23" t="s">
        <v>13945</v>
      </c>
      <c r="B1935" s="77" t="s">
        <v>1072</v>
      </c>
      <c r="C1935" s="41">
        <v>45436.0</v>
      </c>
      <c r="D1935" s="40" t="s">
        <v>13946</v>
      </c>
      <c r="E1935" s="41" t="s">
        <v>13947</v>
      </c>
      <c r="F1935" s="43" t="s">
        <v>13948</v>
      </c>
      <c r="G1935" s="43" t="s">
        <v>13949</v>
      </c>
      <c r="H1935" s="59" t="s">
        <v>48</v>
      </c>
      <c r="I1935" s="25" t="str">
        <f>IFERROR(__xludf.DUMMYFUNCTION("GOOGLETRANSLATE(H1935,""EN"",""ES"")"),"Finanzas")</f>
        <v>Finanzas</v>
      </c>
      <c r="J1935" s="26" t="s">
        <v>27</v>
      </c>
      <c r="K1935" s="17">
        <v>0.0</v>
      </c>
      <c r="L1935" s="54"/>
      <c r="M1935" s="31"/>
      <c r="N1935" s="47"/>
      <c r="O1935" s="47"/>
      <c r="P1935" s="20">
        <v>0.0</v>
      </c>
      <c r="Q1935" s="31"/>
      <c r="R1935" s="31"/>
      <c r="S1935" s="53"/>
      <c r="T1935" s="32"/>
    </row>
    <row r="1936">
      <c r="A1936" s="33" t="s">
        <v>13950</v>
      </c>
      <c r="B1936" s="76" t="s">
        <v>13951</v>
      </c>
      <c r="C1936" s="41">
        <v>45436.0</v>
      </c>
      <c r="D1936" s="40" t="s">
        <v>13952</v>
      </c>
      <c r="E1936" s="41" t="s">
        <v>13953</v>
      </c>
      <c r="F1936" s="43" t="s">
        <v>13954</v>
      </c>
      <c r="G1936" s="43" t="s">
        <v>13955</v>
      </c>
      <c r="H1936" s="61" t="s">
        <v>661</v>
      </c>
      <c r="I1936" s="15" t="str">
        <f>IFERROR(__xludf.DUMMYFUNCTION("GOOGLETRANSLATE(H1936,""EN"",""ES"")"),"Estrategia empresarial")</f>
        <v>Estrategia empresarial</v>
      </c>
      <c r="J1936" s="16" t="s">
        <v>35</v>
      </c>
      <c r="K1936" s="48">
        <v>0.6</v>
      </c>
      <c r="L1936" s="51" t="s">
        <v>13956</v>
      </c>
      <c r="M1936" s="34" t="s">
        <v>13957</v>
      </c>
      <c r="N1936" s="44" t="s">
        <v>13958</v>
      </c>
      <c r="O1936" s="44" t="str">
        <f>IFERROR(__xludf.DUMMYFUNCTION("GOOGLETRANSLATE(N1936,""EN"",""ES"")"),"El fortalecimiento de alianzas energéticas en Perú respalda la estrategia global de Repsol.")</f>
        <v>El fortalecimiento de alianzas energéticas en Perú respalda la estrategia global de Repsol.</v>
      </c>
      <c r="P1936" s="30">
        <v>0.4</v>
      </c>
      <c r="Q1936" s="18" t="str">
        <f>IFERROR(__xludf.DUMMYFUNCTION("GOOGLETRANSLATE(R1936,""ES"",""EN"")"),"agreement")</f>
        <v>agreement</v>
      </c>
      <c r="R1936" s="34" t="s">
        <v>13959</v>
      </c>
      <c r="S1936" s="52" t="s">
        <v>13960</v>
      </c>
      <c r="T1936" s="22" t="s">
        <v>13961</v>
      </c>
    </row>
    <row r="1937">
      <c r="A1937" s="23" t="s">
        <v>13962</v>
      </c>
      <c r="B1937" s="77" t="s">
        <v>5991</v>
      </c>
      <c r="C1937" s="41">
        <v>45436.0</v>
      </c>
      <c r="D1937" s="40" t="s">
        <v>13963</v>
      </c>
      <c r="E1937" s="41" t="s">
        <v>13964</v>
      </c>
      <c r="F1937" s="43" t="s">
        <v>13965</v>
      </c>
      <c r="G1937" s="43" t="s">
        <v>13966</v>
      </c>
      <c r="H1937" s="59" t="s">
        <v>661</v>
      </c>
      <c r="I1937" s="25" t="str">
        <f>IFERROR(__xludf.DUMMYFUNCTION("GOOGLETRANSLATE(H1937,""EN"",""ES"")"),"Estrategia empresarial")</f>
        <v>Estrategia empresarial</v>
      </c>
      <c r="J1937" s="26" t="s">
        <v>35</v>
      </c>
      <c r="K1937" s="48">
        <v>0.6</v>
      </c>
      <c r="L1937" s="49" t="s">
        <v>13678</v>
      </c>
      <c r="M1937" s="28" t="s">
        <v>13679</v>
      </c>
      <c r="N1937" s="47" t="s">
        <v>13967</v>
      </c>
      <c r="O1937" s="47" t="str">
        <f>IFERROR(__xludf.DUMMYFUNCTION("GOOGLETRANSLATE(N1937,""EN"",""ES"")"),"La ampliación de las licencias operativas en Venezuela refuerza el negocio petrolero de Repsol.")</f>
        <v>La ampliación de las licencias operativas en Venezuela refuerza el negocio petrolero de Repsol.</v>
      </c>
      <c r="P1937" s="30">
        <v>0.5</v>
      </c>
      <c r="Q1937" s="31" t="str">
        <f>IFERROR(__xludf.DUMMYFUNCTION("GOOGLETRANSLATE(R1937,""ES"",""EN"")"),"license")</f>
        <v>license</v>
      </c>
      <c r="R1937" s="28" t="s">
        <v>13878</v>
      </c>
      <c r="S1937" s="53" t="s">
        <v>13898</v>
      </c>
      <c r="T1937" s="32" t="s">
        <v>13899</v>
      </c>
    </row>
    <row r="1938">
      <c r="A1938" s="33" t="s">
        <v>13968</v>
      </c>
      <c r="B1938" s="76" t="s">
        <v>13969</v>
      </c>
      <c r="C1938" s="41">
        <v>45436.0</v>
      </c>
      <c r="D1938" s="40" t="s">
        <v>13970</v>
      </c>
      <c r="E1938" s="41" t="s">
        <v>13970</v>
      </c>
      <c r="F1938" s="43" t="s">
        <v>13971</v>
      </c>
      <c r="G1938" s="43" t="s">
        <v>13971</v>
      </c>
      <c r="H1938" s="61" t="s">
        <v>148</v>
      </c>
      <c r="I1938" s="15" t="str">
        <f>IFERROR(__xludf.DUMMYFUNCTION("GOOGLETRANSLATE(H1938,""EN"",""ES"")"),"Gastronomía")</f>
        <v>Gastronomía</v>
      </c>
      <c r="J1938" s="16" t="s">
        <v>27</v>
      </c>
      <c r="K1938" s="17">
        <v>0.0</v>
      </c>
      <c r="L1938" s="45"/>
      <c r="M1938" s="18"/>
      <c r="N1938" s="44"/>
      <c r="O1938" s="44"/>
      <c r="P1938" s="20">
        <v>0.0</v>
      </c>
      <c r="Q1938" s="18"/>
      <c r="R1938" s="18"/>
      <c r="S1938" s="52"/>
      <c r="T1938" s="22"/>
    </row>
    <row r="1939">
      <c r="A1939" s="23" t="s">
        <v>13972</v>
      </c>
      <c r="B1939" s="77" t="s">
        <v>4038</v>
      </c>
      <c r="C1939" s="41">
        <v>45436.0</v>
      </c>
      <c r="D1939" s="40" t="s">
        <v>13973</v>
      </c>
      <c r="E1939" s="41" t="s">
        <v>13974</v>
      </c>
      <c r="F1939" s="43" t="s">
        <v>13975</v>
      </c>
      <c r="G1939" s="43" t="s">
        <v>13976</v>
      </c>
      <c r="H1939" s="59" t="s">
        <v>148</v>
      </c>
      <c r="I1939" s="25" t="str">
        <f>IFERROR(__xludf.DUMMYFUNCTION("GOOGLETRANSLATE(H1939,""EN"",""ES"")"),"Gastronomía")</f>
        <v>Gastronomía</v>
      </c>
      <c r="J1939" s="26" t="s">
        <v>27</v>
      </c>
      <c r="K1939" s="17">
        <v>0.0</v>
      </c>
      <c r="L1939" s="54"/>
      <c r="M1939" s="31"/>
      <c r="N1939" s="47"/>
      <c r="O1939" s="47"/>
      <c r="P1939" s="20">
        <v>0.0</v>
      </c>
      <c r="Q1939" s="31"/>
      <c r="R1939" s="31"/>
      <c r="S1939" s="53"/>
      <c r="T1939" s="32"/>
    </row>
    <row r="1940">
      <c r="A1940" s="33" t="s">
        <v>13977</v>
      </c>
      <c r="B1940" s="76" t="s">
        <v>403</v>
      </c>
      <c r="C1940" s="41">
        <v>45437.0</v>
      </c>
      <c r="D1940" s="40" t="s">
        <v>13978</v>
      </c>
      <c r="E1940" s="41" t="s">
        <v>13979</v>
      </c>
      <c r="F1940" s="43" t="s">
        <v>13980</v>
      </c>
      <c r="G1940" s="43" t="s">
        <v>13981</v>
      </c>
      <c r="H1940" s="61" t="s">
        <v>130</v>
      </c>
      <c r="I1940" s="15" t="str">
        <f>IFERROR(__xludf.DUMMYFUNCTION("GOOGLETRANSLATE(H1940,""EN"",""ES"")"),"Sostenibilidad")</f>
        <v>Sostenibilidad</v>
      </c>
      <c r="J1940" s="16" t="s">
        <v>35</v>
      </c>
      <c r="K1940" s="48">
        <v>0.7</v>
      </c>
      <c r="L1940" s="51" t="s">
        <v>13982</v>
      </c>
      <c r="M1940" s="34" t="s">
        <v>13983</v>
      </c>
      <c r="N1940" s="44" t="s">
        <v>13984</v>
      </c>
      <c r="O1940" s="44" t="str">
        <f>IFERROR(__xludf.DUMMYFUNCTION("GOOGLETRANSLATE(N1940,""EN"",""ES"")"),"La ampliación de los proyectos eólicos marinos refuerza el compromiso de Repsol con las energías verdes.")</f>
        <v>La ampliación de los proyectos eólicos marinos refuerza el compromiso de Repsol con las energías verdes.</v>
      </c>
      <c r="P1940" s="30">
        <v>0.8</v>
      </c>
      <c r="Q1940" s="18" t="str">
        <f>IFERROR(__xludf.DUMMYFUNCTION("GOOGLETRANSLATE(R1940,""ES"",""EN"")"),"offshore wind, developer")</f>
        <v>offshore wind, developer</v>
      </c>
      <c r="R1940" s="34" t="s">
        <v>13985</v>
      </c>
      <c r="S1940" s="52" t="s">
        <v>13986</v>
      </c>
      <c r="T1940" s="22" t="s">
        <v>13987</v>
      </c>
    </row>
    <row r="1941">
      <c r="A1941" s="23" t="s">
        <v>13988</v>
      </c>
      <c r="B1941" s="77" t="s">
        <v>13989</v>
      </c>
      <c r="C1941" s="41">
        <v>45437.0</v>
      </c>
      <c r="D1941" s="40" t="s">
        <v>13990</v>
      </c>
      <c r="E1941" s="41" t="s">
        <v>13991</v>
      </c>
      <c r="F1941" s="43" t="s">
        <v>13992</v>
      </c>
      <c r="G1941" s="43" t="s">
        <v>13993</v>
      </c>
      <c r="H1941" s="59" t="s">
        <v>661</v>
      </c>
      <c r="I1941" s="25" t="str">
        <f>IFERROR(__xludf.DUMMYFUNCTION("GOOGLETRANSLATE(H1941,""EN"",""ES"")"),"Estrategia empresarial")</f>
        <v>Estrategia empresarial</v>
      </c>
      <c r="J1941" s="26" t="s">
        <v>35</v>
      </c>
      <c r="K1941" s="48">
        <v>0.6</v>
      </c>
      <c r="L1941" s="49" t="s">
        <v>13678</v>
      </c>
      <c r="M1941" s="28" t="s">
        <v>13679</v>
      </c>
      <c r="N1941" s="47" t="s">
        <v>13994</v>
      </c>
      <c r="O1941" s="47" t="str">
        <f>IFERROR(__xludf.DUMMYFUNCTION("GOOGLETRANSLATE(N1941,""EN"",""ES"")"),"La obtención de una licencia en Venezuela refuerza la presencia internacional de Repsol.")</f>
        <v>La obtención de una licencia en Venezuela refuerza la presencia internacional de Repsol.</v>
      </c>
      <c r="P1941" s="30">
        <v>0.5</v>
      </c>
      <c r="Q1941" s="31" t="str">
        <f>IFERROR(__xludf.DUMMYFUNCTION("GOOGLETRANSLATE(R1941,""ES"",""EN"")"),"license")</f>
        <v>license</v>
      </c>
      <c r="R1941" s="28" t="s">
        <v>13878</v>
      </c>
      <c r="S1941" s="53" t="s">
        <v>13898</v>
      </c>
      <c r="T1941" s="32" t="s">
        <v>13899</v>
      </c>
    </row>
    <row r="1942">
      <c r="A1942" s="33" t="s">
        <v>13995</v>
      </c>
      <c r="B1942" s="76" t="s">
        <v>1093</v>
      </c>
      <c r="C1942" s="41">
        <v>45437.0</v>
      </c>
      <c r="D1942" s="40" t="s">
        <v>13996</v>
      </c>
      <c r="E1942" s="41" t="s">
        <v>13997</v>
      </c>
      <c r="F1942" s="43" t="s">
        <v>13998</v>
      </c>
      <c r="G1942" s="43" t="s">
        <v>13999</v>
      </c>
      <c r="H1942" s="61" t="s">
        <v>48</v>
      </c>
      <c r="I1942" s="15" t="str">
        <f>IFERROR(__xludf.DUMMYFUNCTION("GOOGLETRANSLATE(H1942,""EN"",""ES"")"),"Finanzas")</f>
        <v>Finanzas</v>
      </c>
      <c r="J1942" s="16" t="s">
        <v>35</v>
      </c>
      <c r="K1942" s="48">
        <v>0.5</v>
      </c>
      <c r="L1942" s="51" t="s">
        <v>14000</v>
      </c>
      <c r="M1942" s="34" t="s">
        <v>14001</v>
      </c>
      <c r="N1942" s="44" t="s">
        <v>14002</v>
      </c>
      <c r="O1942" s="44" t="str">
        <f>IFERROR(__xludf.DUMMYFUNCTION("GOOGLETRANSLATE(N1942,""EN"",""ES"")"),"El pago de impuestos potencia la imagen de responsabilidad corporativa de Repsol.")</f>
        <v>El pago de impuestos potencia la imagen de responsabilidad corporativa de Repsol.</v>
      </c>
      <c r="P1942" s="30">
        <v>0.4</v>
      </c>
      <c r="Q1942" s="18" t="str">
        <f>IFERROR(__xludf.DUMMYFUNCTION("GOOGLETRANSLATE(R1942,""ES"",""EN"")"),"will enter, enlargement")</f>
        <v>will enter, enlargement</v>
      </c>
      <c r="R1942" s="34" t="s">
        <v>14003</v>
      </c>
      <c r="S1942" s="52" t="s">
        <v>14004</v>
      </c>
      <c r="T1942" s="22" t="s">
        <v>14005</v>
      </c>
    </row>
    <row r="1943">
      <c r="A1943" s="23" t="s">
        <v>14006</v>
      </c>
      <c r="B1943" s="77" t="s">
        <v>425</v>
      </c>
      <c r="C1943" s="41">
        <v>45437.0</v>
      </c>
      <c r="D1943" s="40" t="s">
        <v>14007</v>
      </c>
      <c r="E1943" s="41" t="s">
        <v>14008</v>
      </c>
      <c r="F1943" s="43" t="s">
        <v>14009</v>
      </c>
      <c r="G1943" s="43" t="s">
        <v>14010</v>
      </c>
      <c r="H1943" s="59" t="s">
        <v>55</v>
      </c>
      <c r="I1943" s="25" t="str">
        <f>IFERROR(__xludf.DUMMYFUNCTION("GOOGLETRANSLATE(H1943,""EN"",""ES"")"),"deportes de motor")</f>
        <v>deportes de motor</v>
      </c>
      <c r="J1943" s="26" t="s">
        <v>27</v>
      </c>
      <c r="K1943" s="17">
        <v>0.0</v>
      </c>
      <c r="L1943" s="54"/>
      <c r="M1943" s="31"/>
      <c r="N1943" s="47"/>
      <c r="O1943" s="47"/>
      <c r="P1943" s="20">
        <v>0.0</v>
      </c>
      <c r="Q1943" s="31"/>
      <c r="R1943" s="31"/>
      <c r="S1943" s="53"/>
      <c r="T1943" s="32"/>
    </row>
    <row r="1944">
      <c r="A1944" s="33" t="s">
        <v>14011</v>
      </c>
      <c r="B1944" s="76" t="s">
        <v>14012</v>
      </c>
      <c r="C1944" s="41">
        <v>45437.0</v>
      </c>
      <c r="D1944" s="40" t="s">
        <v>14013</v>
      </c>
      <c r="E1944" s="41" t="s">
        <v>14014</v>
      </c>
      <c r="F1944" s="43" t="s">
        <v>14015</v>
      </c>
      <c r="G1944" s="43" t="s">
        <v>14016</v>
      </c>
      <c r="H1944" s="61" t="s">
        <v>55</v>
      </c>
      <c r="I1944" s="15" t="str">
        <f>IFERROR(__xludf.DUMMYFUNCTION("GOOGLETRANSLATE(H1944,""EN"",""ES"")"),"deportes de motor")</f>
        <v>deportes de motor</v>
      </c>
      <c r="J1944" s="16" t="s">
        <v>27</v>
      </c>
      <c r="K1944" s="17">
        <v>0.0</v>
      </c>
      <c r="L1944" s="45"/>
      <c r="M1944" s="18"/>
      <c r="N1944" s="44"/>
      <c r="O1944" s="44"/>
      <c r="P1944" s="20">
        <v>0.0</v>
      </c>
      <c r="Q1944" s="18"/>
      <c r="R1944" s="18"/>
      <c r="S1944" s="52"/>
      <c r="T1944" s="22"/>
    </row>
    <row r="1945">
      <c r="A1945" s="23" t="s">
        <v>14017</v>
      </c>
      <c r="B1945" s="77" t="s">
        <v>260</v>
      </c>
      <c r="C1945" s="41">
        <v>45437.0</v>
      </c>
      <c r="D1945" s="40" t="s">
        <v>14018</v>
      </c>
      <c r="E1945" s="41" t="s">
        <v>14019</v>
      </c>
      <c r="F1945" s="43" t="s">
        <v>14020</v>
      </c>
      <c r="G1945" s="43" t="s">
        <v>14021</v>
      </c>
      <c r="H1945" s="59" t="s">
        <v>5878</v>
      </c>
      <c r="I1945" s="25" t="str">
        <f>IFERROR(__xludf.DUMMYFUNCTION("GOOGLETRANSLATE(H1945,""EN"",""ES"")"),"Entretenimiento")</f>
        <v>Entretenimiento</v>
      </c>
      <c r="J1945" s="26" t="s">
        <v>27</v>
      </c>
      <c r="K1945" s="17">
        <v>0.0</v>
      </c>
      <c r="L1945" s="54"/>
      <c r="M1945" s="31"/>
      <c r="N1945" s="47"/>
      <c r="O1945" s="47"/>
      <c r="P1945" s="20">
        <v>0.0</v>
      </c>
      <c r="Q1945" s="31"/>
      <c r="R1945" s="31"/>
      <c r="S1945" s="53"/>
      <c r="T1945" s="32"/>
    </row>
    <row r="1946">
      <c r="A1946" s="33" t="s">
        <v>14022</v>
      </c>
      <c r="B1946" s="76" t="s">
        <v>1081</v>
      </c>
      <c r="C1946" s="41">
        <v>45437.0</v>
      </c>
      <c r="D1946" s="40" t="s">
        <v>14023</v>
      </c>
      <c r="E1946" s="41" t="s">
        <v>14024</v>
      </c>
      <c r="F1946" s="43" t="s">
        <v>14025</v>
      </c>
      <c r="G1946" s="43" t="s">
        <v>14026</v>
      </c>
      <c r="H1946" s="61" t="s">
        <v>661</v>
      </c>
      <c r="I1946" s="15" t="str">
        <f>IFERROR(__xludf.DUMMYFUNCTION("GOOGLETRANSLATE(H1946,""EN"",""ES"")"),"Estrategia empresarial")</f>
        <v>Estrategia empresarial</v>
      </c>
      <c r="J1946" s="16" t="s">
        <v>35</v>
      </c>
      <c r="K1946" s="48">
        <v>0.6</v>
      </c>
      <c r="L1946" s="51" t="s">
        <v>14027</v>
      </c>
      <c r="M1946" s="34" t="s">
        <v>14028</v>
      </c>
      <c r="N1946" s="44" t="s">
        <v>13231</v>
      </c>
      <c r="O1946" s="44" t="str">
        <f>IFERROR(__xludf.DUMMYFUNCTION("GOOGLETRANSLATE(N1946,""EN"",""ES"")"),"La inversión en desarrollo suelo apoya la diversificación del negocio de Repsol.")</f>
        <v>La inversión en desarrollo suelo apoya la diversificación del negocio de Repsol.</v>
      </c>
      <c r="P1946" s="30">
        <v>0.0</v>
      </c>
      <c r="Q1946" s="18"/>
      <c r="R1946" s="18"/>
      <c r="S1946" s="52" t="s">
        <v>469</v>
      </c>
      <c r="T1946" s="22" t="s">
        <v>470</v>
      </c>
    </row>
    <row r="1947">
      <c r="A1947" s="23" t="s">
        <v>14029</v>
      </c>
      <c r="B1947" s="77" t="s">
        <v>85</v>
      </c>
      <c r="C1947" s="41">
        <v>45437.0</v>
      </c>
      <c r="D1947" s="40" t="s">
        <v>14030</v>
      </c>
      <c r="E1947" s="41" t="s">
        <v>14031</v>
      </c>
      <c r="F1947" s="43" t="s">
        <v>14032</v>
      </c>
      <c r="G1947" s="43" t="s">
        <v>14033</v>
      </c>
      <c r="H1947" s="59" t="s">
        <v>148</v>
      </c>
      <c r="I1947" s="25" t="str">
        <f>IFERROR(__xludf.DUMMYFUNCTION("GOOGLETRANSLATE(H1947,""EN"",""ES"")"),"Gastronomía")</f>
        <v>Gastronomía</v>
      </c>
      <c r="J1947" s="26" t="s">
        <v>27</v>
      </c>
      <c r="K1947" s="17">
        <v>0.0</v>
      </c>
      <c r="L1947" s="54"/>
      <c r="M1947" s="31"/>
      <c r="N1947" s="47"/>
      <c r="O1947" s="47"/>
      <c r="P1947" s="20">
        <v>0.0</v>
      </c>
      <c r="Q1947" s="31"/>
      <c r="R1947" s="31"/>
      <c r="S1947" s="53"/>
      <c r="T1947" s="32"/>
    </row>
    <row r="1948">
      <c r="A1948" s="33" t="s">
        <v>14034</v>
      </c>
      <c r="B1948" s="76" t="s">
        <v>1072</v>
      </c>
      <c r="C1948" s="41">
        <v>45437.0</v>
      </c>
      <c r="D1948" s="40" t="s">
        <v>14035</v>
      </c>
      <c r="E1948" s="41" t="s">
        <v>14036</v>
      </c>
      <c r="F1948" s="43" t="s">
        <v>14037</v>
      </c>
      <c r="G1948" s="43" t="s">
        <v>14038</v>
      </c>
      <c r="H1948" s="61" t="s">
        <v>48</v>
      </c>
      <c r="I1948" s="15" t="str">
        <f>IFERROR(__xludf.DUMMYFUNCTION("GOOGLETRANSLATE(H1948,""EN"",""ES"")"),"Finanzas")</f>
        <v>Finanzas</v>
      </c>
      <c r="J1948" s="16" t="s">
        <v>27</v>
      </c>
      <c r="K1948" s="17">
        <v>0.0</v>
      </c>
      <c r="L1948" s="45"/>
      <c r="M1948" s="18"/>
      <c r="N1948" s="44"/>
      <c r="O1948" s="44"/>
      <c r="P1948" s="20">
        <v>0.0</v>
      </c>
      <c r="Q1948" s="18"/>
      <c r="R1948" s="18"/>
      <c r="S1948" s="52"/>
      <c r="T1948" s="22"/>
    </row>
    <row r="1949">
      <c r="A1949" s="23" t="s">
        <v>14039</v>
      </c>
      <c r="B1949" s="77" t="s">
        <v>1993</v>
      </c>
      <c r="C1949" s="41">
        <v>45437.0</v>
      </c>
      <c r="D1949" s="40" t="s">
        <v>14040</v>
      </c>
      <c r="E1949" s="41" t="s">
        <v>14041</v>
      </c>
      <c r="F1949" s="43" t="s">
        <v>14042</v>
      </c>
      <c r="G1949" s="43" t="s">
        <v>14043</v>
      </c>
      <c r="H1949" s="59" t="s">
        <v>14044</v>
      </c>
      <c r="I1949" s="25" t="str">
        <f>IFERROR(__xludf.DUMMYFUNCTION("GOOGLETRANSLATE(H1949,""EN"",""ES"")"),"Celebridad")</f>
        <v>Celebridad</v>
      </c>
      <c r="J1949" s="26" t="s">
        <v>27</v>
      </c>
      <c r="K1949" s="17">
        <v>0.0</v>
      </c>
      <c r="L1949" s="54"/>
      <c r="M1949" s="31"/>
      <c r="N1949" s="47"/>
      <c r="O1949" s="47"/>
      <c r="P1949" s="20">
        <v>0.0</v>
      </c>
      <c r="Q1949" s="31"/>
      <c r="R1949" s="31"/>
      <c r="S1949" s="53"/>
      <c r="T1949" s="32"/>
    </row>
    <row r="1950">
      <c r="A1950" s="33" t="s">
        <v>14045</v>
      </c>
      <c r="B1950" s="76" t="s">
        <v>85</v>
      </c>
      <c r="C1950" s="41">
        <v>45438.0</v>
      </c>
      <c r="D1950" s="40" t="s">
        <v>14046</v>
      </c>
      <c r="E1950" s="41" t="s">
        <v>14047</v>
      </c>
      <c r="F1950" s="43" t="s">
        <v>14048</v>
      </c>
      <c r="G1950" s="43" t="s">
        <v>14049</v>
      </c>
      <c r="H1950" s="61" t="s">
        <v>62</v>
      </c>
      <c r="I1950" s="15" t="str">
        <f>IFERROR(__xludf.DUMMYFUNCTION("GOOGLETRANSLATE(H1950,""EN"",""ES"")"),"Energía")</f>
        <v>Energía</v>
      </c>
      <c r="J1950" s="16" t="s">
        <v>35</v>
      </c>
      <c r="K1950" s="48">
        <v>0.0</v>
      </c>
      <c r="L1950" s="45"/>
      <c r="M1950" s="18"/>
      <c r="N1950" s="44" t="s">
        <v>14050</v>
      </c>
      <c r="O1950" s="44" t="str">
        <f>IFERROR(__xludf.DUMMYFUNCTION("GOOGLETRANSLATE(N1950,""EN"",""ES"")"),"Los modelos de suscripción en recarga de vehículos eléctricos no impactan en el negocio de Repsol.")</f>
        <v>Los modelos de suscripción en recarga de vehículos eléctricos no impactan en el negocio de Repsol.</v>
      </c>
      <c r="P1950" s="30">
        <v>0.6</v>
      </c>
      <c r="Q1950" s="18" t="str">
        <f>IFERROR(__xludf.DUMMYFUNCTION("GOOGLETRANSLATE(R1950,""ES"",""EN"")"),"electric recharge")</f>
        <v>electric recharge</v>
      </c>
      <c r="R1950" s="34" t="s">
        <v>13760</v>
      </c>
      <c r="S1950" s="52" t="s">
        <v>14051</v>
      </c>
      <c r="T1950" s="22" t="s">
        <v>14052</v>
      </c>
    </row>
    <row r="1951">
      <c r="A1951" s="23" t="s">
        <v>14053</v>
      </c>
      <c r="B1951" s="77" t="s">
        <v>217</v>
      </c>
      <c r="C1951" s="41">
        <v>45438.0</v>
      </c>
      <c r="D1951" s="40" t="s">
        <v>14054</v>
      </c>
      <c r="E1951" s="41" t="s">
        <v>14055</v>
      </c>
      <c r="F1951" s="43" t="s">
        <v>14056</v>
      </c>
      <c r="G1951" s="43" t="s">
        <v>14057</v>
      </c>
      <c r="H1951" s="59" t="s">
        <v>48</v>
      </c>
      <c r="I1951" s="25" t="str">
        <f>IFERROR(__xludf.DUMMYFUNCTION("GOOGLETRANSLATE(H1951,""EN"",""ES"")"),"Finanzas")</f>
        <v>Finanzas</v>
      </c>
      <c r="J1951" s="26" t="s">
        <v>27</v>
      </c>
      <c r="K1951" s="17">
        <v>0.0</v>
      </c>
      <c r="L1951" s="54"/>
      <c r="M1951" s="31"/>
      <c r="N1951" s="47"/>
      <c r="O1951" s="47"/>
      <c r="P1951" s="20">
        <v>0.0</v>
      </c>
      <c r="Q1951" s="31"/>
      <c r="R1951" s="31"/>
      <c r="S1951" s="53"/>
      <c r="T1951" s="32"/>
    </row>
    <row r="1952">
      <c r="A1952" s="33" t="s">
        <v>14058</v>
      </c>
      <c r="B1952" s="76" t="s">
        <v>163</v>
      </c>
      <c r="C1952" s="41">
        <v>45438.0</v>
      </c>
      <c r="D1952" s="40" t="s">
        <v>14059</v>
      </c>
      <c r="E1952" s="41" t="s">
        <v>14060</v>
      </c>
      <c r="F1952" s="43" t="s">
        <v>14061</v>
      </c>
      <c r="G1952" s="43" t="s">
        <v>14062</v>
      </c>
      <c r="H1952" s="61" t="s">
        <v>55</v>
      </c>
      <c r="I1952" s="15" t="str">
        <f>IFERROR(__xludf.DUMMYFUNCTION("GOOGLETRANSLATE(H1952,""EN"",""ES"")"),"deportes de motor")</f>
        <v>deportes de motor</v>
      </c>
      <c r="J1952" s="16" t="s">
        <v>27</v>
      </c>
      <c r="K1952" s="17">
        <v>0.0</v>
      </c>
      <c r="L1952" s="45"/>
      <c r="M1952" s="18"/>
      <c r="N1952" s="44"/>
      <c r="O1952" s="44"/>
      <c r="P1952" s="20">
        <v>0.0</v>
      </c>
      <c r="Q1952" s="18"/>
      <c r="R1952" s="18"/>
      <c r="S1952" s="52"/>
      <c r="T1952" s="22"/>
    </row>
    <row r="1953">
      <c r="A1953" s="23" t="s">
        <v>14063</v>
      </c>
      <c r="B1953" s="77" t="s">
        <v>4750</v>
      </c>
      <c r="C1953" s="41">
        <v>45438.0</v>
      </c>
      <c r="D1953" s="40" t="s">
        <v>14064</v>
      </c>
      <c r="E1953" s="41" t="s">
        <v>14065</v>
      </c>
      <c r="F1953" s="43" t="s">
        <v>14066</v>
      </c>
      <c r="G1953" s="43" t="s">
        <v>14067</v>
      </c>
      <c r="H1953" s="59" t="s">
        <v>969</v>
      </c>
      <c r="I1953" s="25" t="str">
        <f>IFERROR(__xludf.DUMMYFUNCTION("GOOGLETRANSLATE(H1953,""EN"",""ES"")"),"Turismo")</f>
        <v>Turismo</v>
      </c>
      <c r="J1953" s="26" t="s">
        <v>27</v>
      </c>
      <c r="K1953" s="17">
        <v>0.0</v>
      </c>
      <c r="L1953" s="54"/>
      <c r="M1953" s="31"/>
      <c r="N1953" s="47"/>
      <c r="O1953" s="47"/>
      <c r="P1953" s="20">
        <v>0.0</v>
      </c>
      <c r="Q1953" s="31"/>
      <c r="R1953" s="31"/>
      <c r="S1953" s="53"/>
      <c r="T1953" s="32"/>
    </row>
    <row r="1954">
      <c r="A1954" s="33" t="s">
        <v>14068</v>
      </c>
      <c r="B1954" s="76" t="s">
        <v>1081</v>
      </c>
      <c r="C1954" s="41">
        <v>45438.0</v>
      </c>
      <c r="D1954" s="40" t="s">
        <v>14069</v>
      </c>
      <c r="E1954" s="41" t="s">
        <v>14070</v>
      </c>
      <c r="F1954" s="43" t="s">
        <v>14071</v>
      </c>
      <c r="G1954" s="43" t="s">
        <v>14072</v>
      </c>
      <c r="H1954" s="61" t="s">
        <v>62</v>
      </c>
      <c r="I1954" s="15" t="str">
        <f>IFERROR(__xludf.DUMMYFUNCTION("GOOGLETRANSLATE(H1954,""EN"",""ES"")"),"Energía")</f>
        <v>Energía</v>
      </c>
      <c r="J1954" s="16" t="s">
        <v>27</v>
      </c>
      <c r="K1954" s="17">
        <v>0.0</v>
      </c>
      <c r="L1954" s="45"/>
      <c r="M1954" s="18"/>
      <c r="N1954" s="44"/>
      <c r="O1954" s="44"/>
      <c r="P1954" s="20">
        <v>0.0</v>
      </c>
      <c r="Q1954" s="18"/>
      <c r="R1954" s="18"/>
      <c r="S1954" s="52"/>
      <c r="T1954" s="22"/>
    </row>
    <row r="1955">
      <c r="A1955" s="23" t="s">
        <v>14073</v>
      </c>
      <c r="B1955" s="77" t="s">
        <v>14074</v>
      </c>
      <c r="C1955" s="41">
        <v>45438.0</v>
      </c>
      <c r="D1955" s="40" t="s">
        <v>14075</v>
      </c>
      <c r="E1955" s="41" t="s">
        <v>14076</v>
      </c>
      <c r="F1955" s="43" t="s">
        <v>14077</v>
      </c>
      <c r="G1955" s="43" t="s">
        <v>14076</v>
      </c>
      <c r="H1955" s="59" t="s">
        <v>3985</v>
      </c>
      <c r="I1955" s="25" t="str">
        <f>IFERROR(__xludf.DUMMYFUNCTION("GOOGLETRANSLATE(H1955,""EN"",""ES"")"),"Deportes")</f>
        <v>Deportes</v>
      </c>
      <c r="J1955" s="26" t="s">
        <v>27</v>
      </c>
      <c r="K1955" s="17">
        <v>0.0</v>
      </c>
      <c r="L1955" s="54"/>
      <c r="M1955" s="31"/>
      <c r="N1955" s="47"/>
      <c r="O1955" s="47"/>
      <c r="P1955" s="20">
        <v>0.0</v>
      </c>
      <c r="Q1955" s="31"/>
      <c r="R1955" s="31"/>
      <c r="S1955" s="53"/>
      <c r="T1955" s="32"/>
    </row>
    <row r="1956">
      <c r="A1956" s="33" t="s">
        <v>14078</v>
      </c>
      <c r="B1956" s="76" t="s">
        <v>14079</v>
      </c>
      <c r="C1956" s="41">
        <v>45438.0</v>
      </c>
      <c r="D1956" s="40" t="s">
        <v>14080</v>
      </c>
      <c r="E1956" s="41" t="s">
        <v>14081</v>
      </c>
      <c r="F1956" s="43" t="s">
        <v>14082</v>
      </c>
      <c r="G1956" s="43" t="s">
        <v>14083</v>
      </c>
      <c r="H1956" s="61" t="s">
        <v>661</v>
      </c>
      <c r="I1956" s="15" t="str">
        <f>IFERROR(__xludf.DUMMYFUNCTION("GOOGLETRANSLATE(H1956,""EN"",""ES"")"),"Estrategia empresarial")</f>
        <v>Estrategia empresarial</v>
      </c>
      <c r="J1956" s="16" t="s">
        <v>27</v>
      </c>
      <c r="K1956" s="17">
        <v>0.0</v>
      </c>
      <c r="L1956" s="45"/>
      <c r="M1956" s="18"/>
      <c r="N1956" s="44"/>
      <c r="O1956" s="44"/>
      <c r="P1956" s="20">
        <v>0.0</v>
      </c>
      <c r="Q1956" s="18"/>
      <c r="R1956" s="18"/>
      <c r="S1956" s="52"/>
      <c r="T1956" s="22"/>
    </row>
    <row r="1957">
      <c r="A1957" s="23" t="s">
        <v>14084</v>
      </c>
      <c r="B1957" s="77" t="s">
        <v>499</v>
      </c>
      <c r="C1957" s="41">
        <v>45439.0</v>
      </c>
      <c r="D1957" s="40" t="s">
        <v>14085</v>
      </c>
      <c r="E1957" s="41" t="s">
        <v>14086</v>
      </c>
      <c r="F1957" s="43" t="s">
        <v>14087</v>
      </c>
      <c r="G1957" s="43" t="s">
        <v>14088</v>
      </c>
      <c r="H1957" s="59" t="s">
        <v>661</v>
      </c>
      <c r="I1957" s="25" t="str">
        <f>IFERROR(__xludf.DUMMYFUNCTION("GOOGLETRANSLATE(H1957,""EN"",""ES"")"),"Estrategia empresarial")</f>
        <v>Estrategia empresarial</v>
      </c>
      <c r="J1957" s="26" t="s">
        <v>35</v>
      </c>
      <c r="K1957" s="48">
        <v>0.6</v>
      </c>
      <c r="L1957" s="49" t="s">
        <v>14089</v>
      </c>
      <c r="M1957" s="28" t="s">
        <v>14090</v>
      </c>
      <c r="N1957" s="47" t="s">
        <v>14091</v>
      </c>
      <c r="O1957" s="47" t="str">
        <f>IFERROR(__xludf.DUMMYFUNCTION("GOOGLETRANSLATE(N1957,""EN"",""ES"")"),"La ampliación de las asociaciones minoristas mejora las fuentes de ingresos no relacionados con el combustible de Repsol.")</f>
        <v>La ampliación de las asociaciones minoristas mejora las fuentes de ingresos no relacionados con el combustible de Repsol.</v>
      </c>
      <c r="P1957" s="30">
        <v>0.5</v>
      </c>
      <c r="Q1957" s="31" t="str">
        <f>IFERROR(__xludf.DUMMYFUNCTION("GOOGLETRANSLATE(R1957,""ES"",""EN"")"),"returns, Amazon")</f>
        <v>returns, Amazon</v>
      </c>
      <c r="R1957" s="28" t="s">
        <v>14092</v>
      </c>
      <c r="S1957" s="53" t="s">
        <v>9424</v>
      </c>
      <c r="T1957" s="32" t="s">
        <v>9425</v>
      </c>
    </row>
    <row r="1958">
      <c r="A1958" s="33" t="s">
        <v>14093</v>
      </c>
      <c r="B1958" s="76" t="s">
        <v>163</v>
      </c>
      <c r="C1958" s="41">
        <v>45439.0</v>
      </c>
      <c r="D1958" s="40" t="s">
        <v>14094</v>
      </c>
      <c r="E1958" s="41" t="s">
        <v>14094</v>
      </c>
      <c r="F1958" s="43" t="s">
        <v>14095</v>
      </c>
      <c r="G1958" s="43" t="s">
        <v>14095</v>
      </c>
      <c r="H1958" s="61" t="s">
        <v>155</v>
      </c>
      <c r="I1958" s="15" t="str">
        <f>IFERROR(__xludf.DUMMYFUNCTION("GOOGLETRANSLATE(H1958,""EN"",""ES"")"),"Marketing")</f>
        <v>Marketing</v>
      </c>
      <c r="J1958" s="16" t="s">
        <v>35</v>
      </c>
      <c r="K1958" s="48">
        <v>0.6</v>
      </c>
      <c r="L1958" s="51" t="s">
        <v>14096</v>
      </c>
      <c r="M1958" s="34" t="s">
        <v>14097</v>
      </c>
      <c r="N1958" s="44" t="s">
        <v>14098</v>
      </c>
      <c r="O1958" s="44" t="str">
        <f>IFERROR(__xludf.DUMMYFUNCTION("GOOGLETRANSLATE(N1958,""EN"",""ES"")"),"Ofrecer descuentos en combustible refuerza la estrategia de retención de clientes de Repsol.")</f>
        <v>Ofrecer descuentos en combustible refuerza la estrategia de retención de clientes de Repsol.</v>
      </c>
      <c r="P1958" s="30">
        <v>0.6</v>
      </c>
      <c r="Q1958" s="18" t="str">
        <f>IFERROR(__xludf.DUMMYFUNCTION("GOOGLETRANSLATE(R1958,""ES"",""EN"")"),"give away balance")</f>
        <v>give away balance</v>
      </c>
      <c r="R1958" s="34" t="s">
        <v>14099</v>
      </c>
      <c r="S1958" s="52" t="s">
        <v>14100</v>
      </c>
      <c r="T1958" s="22" t="s">
        <v>14101</v>
      </c>
    </row>
    <row r="1959">
      <c r="A1959" s="23" t="s">
        <v>14102</v>
      </c>
      <c r="B1959" s="77" t="s">
        <v>666</v>
      </c>
      <c r="C1959" s="41">
        <v>45439.0</v>
      </c>
      <c r="D1959" s="40" t="s">
        <v>14103</v>
      </c>
      <c r="E1959" s="41" t="s">
        <v>14104</v>
      </c>
      <c r="F1959" s="43" t="s">
        <v>14105</v>
      </c>
      <c r="G1959" s="43" t="s">
        <v>14106</v>
      </c>
      <c r="H1959" s="59" t="s">
        <v>661</v>
      </c>
      <c r="I1959" s="25" t="str">
        <f>IFERROR(__xludf.DUMMYFUNCTION("GOOGLETRANSLATE(H1959,""EN"",""ES"")"),"Estrategia empresarial")</f>
        <v>Estrategia empresarial</v>
      </c>
      <c r="J1959" s="26" t="s">
        <v>27</v>
      </c>
      <c r="K1959" s="17">
        <v>0.0</v>
      </c>
      <c r="L1959" s="54"/>
      <c r="M1959" s="31"/>
      <c r="N1959" s="47"/>
      <c r="O1959" s="47"/>
      <c r="P1959" s="20">
        <v>0.0</v>
      </c>
      <c r="Q1959" s="31"/>
      <c r="R1959" s="31"/>
      <c r="S1959" s="53"/>
      <c r="T1959" s="32"/>
    </row>
    <row r="1960">
      <c r="A1960" s="33" t="s">
        <v>14107</v>
      </c>
      <c r="B1960" s="76" t="s">
        <v>217</v>
      </c>
      <c r="C1960" s="41">
        <v>45439.0</v>
      </c>
      <c r="D1960" s="40" t="s">
        <v>14108</v>
      </c>
      <c r="E1960" s="41" t="s">
        <v>14109</v>
      </c>
      <c r="F1960" s="43" t="s">
        <v>14110</v>
      </c>
      <c r="G1960" s="43" t="s">
        <v>14111</v>
      </c>
      <c r="H1960" s="61" t="s">
        <v>130</v>
      </c>
      <c r="I1960" s="15" t="str">
        <f>IFERROR(__xludf.DUMMYFUNCTION("GOOGLETRANSLATE(H1960,""EN"",""ES"")"),"Sostenibilidad")</f>
        <v>Sostenibilidad</v>
      </c>
      <c r="J1960" s="16" t="s">
        <v>35</v>
      </c>
      <c r="K1960" s="48">
        <v>0.7</v>
      </c>
      <c r="L1960" s="51" t="s">
        <v>14112</v>
      </c>
      <c r="M1960" s="34" t="s">
        <v>14113</v>
      </c>
      <c r="N1960" s="44" t="s">
        <v>14114</v>
      </c>
      <c r="O1960" s="44" t="str">
        <f>IFERROR(__xludf.DUMMYFUNCTION("GOOGLETRANSLATE(N1960,""EN"",""ES"")"),"La ampliación de los proyectos de energía solar se alinea con los esfuerzos de transición verde de Repsol.")</f>
        <v>La ampliación de los proyectos de energía solar se alinea con los esfuerzos de transición verde de Repsol.</v>
      </c>
      <c r="P1960" s="30">
        <v>0.7</v>
      </c>
      <c r="Q1960" s="18" t="str">
        <f>IFERROR(__xludf.DUMMYFUNCTION("GOOGLETRANSLATE(R1960,""ES"",""EN"")"),"solar self-consumption")</f>
        <v>solar self-consumption</v>
      </c>
      <c r="R1960" s="34" t="s">
        <v>14115</v>
      </c>
      <c r="S1960" s="52" t="s">
        <v>13986</v>
      </c>
      <c r="T1960" s="22" t="s">
        <v>13987</v>
      </c>
    </row>
    <row r="1961">
      <c r="A1961" s="23" t="s">
        <v>14116</v>
      </c>
      <c r="B1961" s="77" t="s">
        <v>977</v>
      </c>
      <c r="C1961" s="41">
        <v>45439.0</v>
      </c>
      <c r="D1961" s="40" t="s">
        <v>14117</v>
      </c>
      <c r="E1961" s="41" t="s">
        <v>14118</v>
      </c>
      <c r="F1961" s="43" t="s">
        <v>14119</v>
      </c>
      <c r="G1961" s="43" t="s">
        <v>14120</v>
      </c>
      <c r="H1961" s="59" t="s">
        <v>148</v>
      </c>
      <c r="I1961" s="25" t="str">
        <f>IFERROR(__xludf.DUMMYFUNCTION("GOOGLETRANSLATE(H1961,""EN"",""ES"")"),"Gastronomía")</f>
        <v>Gastronomía</v>
      </c>
      <c r="J1961" s="26" t="s">
        <v>27</v>
      </c>
      <c r="K1961" s="17">
        <v>0.0</v>
      </c>
      <c r="L1961" s="54"/>
      <c r="M1961" s="31"/>
      <c r="N1961" s="47"/>
      <c r="O1961" s="47"/>
      <c r="P1961" s="20">
        <v>0.0</v>
      </c>
      <c r="Q1961" s="31"/>
      <c r="R1961" s="31"/>
      <c r="S1961" s="53"/>
      <c r="T1961" s="32"/>
    </row>
    <row r="1962">
      <c r="A1962" s="33" t="s">
        <v>14121</v>
      </c>
      <c r="B1962" s="76" t="s">
        <v>1970</v>
      </c>
      <c r="C1962" s="41">
        <v>45439.0</v>
      </c>
      <c r="D1962" s="40" t="s">
        <v>14122</v>
      </c>
      <c r="E1962" s="41" t="s">
        <v>14123</v>
      </c>
      <c r="F1962" s="43" t="s">
        <v>14124</v>
      </c>
      <c r="G1962" s="43" t="s">
        <v>14125</v>
      </c>
      <c r="H1962" s="61" t="s">
        <v>155</v>
      </c>
      <c r="I1962" s="15" t="str">
        <f>IFERROR(__xludf.DUMMYFUNCTION("GOOGLETRANSLATE(H1962,""EN"",""ES"")"),"Marketing")</f>
        <v>Marketing</v>
      </c>
      <c r="J1962" s="16" t="s">
        <v>27</v>
      </c>
      <c r="K1962" s="17">
        <v>0.0</v>
      </c>
      <c r="L1962" s="45"/>
      <c r="M1962" s="18"/>
      <c r="N1962" s="44"/>
      <c r="O1962" s="44"/>
      <c r="P1962" s="20">
        <v>0.0</v>
      </c>
      <c r="Q1962" s="18"/>
      <c r="R1962" s="18"/>
      <c r="S1962" s="52"/>
      <c r="T1962" s="22"/>
    </row>
    <row r="1963">
      <c r="A1963" s="23" t="s">
        <v>14126</v>
      </c>
      <c r="B1963" s="77" t="s">
        <v>163</v>
      </c>
      <c r="C1963" s="41">
        <v>45439.0</v>
      </c>
      <c r="D1963" s="40" t="s">
        <v>14127</v>
      </c>
      <c r="E1963" s="41" t="s">
        <v>14128</v>
      </c>
      <c r="F1963" s="43" t="s">
        <v>14129</v>
      </c>
      <c r="G1963" s="43" t="s">
        <v>14130</v>
      </c>
      <c r="H1963" s="59" t="s">
        <v>55</v>
      </c>
      <c r="I1963" s="25" t="str">
        <f>IFERROR(__xludf.DUMMYFUNCTION("GOOGLETRANSLATE(H1963,""EN"",""ES"")"),"deportes de motor")</f>
        <v>deportes de motor</v>
      </c>
      <c r="J1963" s="26" t="s">
        <v>27</v>
      </c>
      <c r="K1963" s="17">
        <v>0.0</v>
      </c>
      <c r="L1963" s="54"/>
      <c r="M1963" s="31"/>
      <c r="N1963" s="47"/>
      <c r="O1963" s="47"/>
      <c r="P1963" s="20">
        <v>0.0</v>
      </c>
      <c r="Q1963" s="31"/>
      <c r="R1963" s="31"/>
      <c r="S1963" s="53"/>
      <c r="T1963" s="32"/>
    </row>
    <row r="1964">
      <c r="A1964" s="33" t="s">
        <v>14131</v>
      </c>
      <c r="B1964" s="76" t="s">
        <v>2175</v>
      </c>
      <c r="C1964" s="41">
        <v>45439.0</v>
      </c>
      <c r="D1964" s="40" t="s">
        <v>14132</v>
      </c>
      <c r="E1964" s="41" t="s">
        <v>14133</v>
      </c>
      <c r="F1964" s="43" t="s">
        <v>14134</v>
      </c>
      <c r="G1964" s="43" t="s">
        <v>14135</v>
      </c>
      <c r="H1964" s="61" t="s">
        <v>661</v>
      </c>
      <c r="I1964" s="15" t="str">
        <f>IFERROR(__xludf.DUMMYFUNCTION("GOOGLETRANSLATE(H1964,""EN"",""ES"")"),"Estrategia empresarial")</f>
        <v>Estrategia empresarial</v>
      </c>
      <c r="J1964" s="16" t="s">
        <v>35</v>
      </c>
      <c r="K1964" s="48">
        <v>-0.5</v>
      </c>
      <c r="L1964" s="51" t="s">
        <v>14136</v>
      </c>
      <c r="M1964" s="34" t="s">
        <v>14137</v>
      </c>
      <c r="N1964" s="44" t="s">
        <v>14138</v>
      </c>
      <c r="O1964" s="44" t="str">
        <f>IFERROR(__xludf.DUMMYFUNCTION("GOOGLETRANSLATE(N1964,""EN"",""ES"")"),"La creciente competencia de las estaciones de bajo coste puede afectar la cuota de mercado de Repsol.")</f>
        <v>La creciente competencia de las estaciones de bajo coste puede afectar la cuota de mercado de Repsol.</v>
      </c>
      <c r="P1964" s="30">
        <v>0.0</v>
      </c>
      <c r="Q1964" s="18"/>
      <c r="R1964" s="18"/>
      <c r="S1964" s="52" t="s">
        <v>469</v>
      </c>
      <c r="T1964" s="22" t="s">
        <v>470</v>
      </c>
    </row>
    <row r="1965">
      <c r="A1965" s="23" t="s">
        <v>14139</v>
      </c>
      <c r="B1965" s="77" t="s">
        <v>21</v>
      </c>
      <c r="C1965" s="41">
        <v>45439.0</v>
      </c>
      <c r="D1965" s="40" t="s">
        <v>14140</v>
      </c>
      <c r="E1965" s="41" t="s">
        <v>14141</v>
      </c>
      <c r="F1965" s="43" t="s">
        <v>14142</v>
      </c>
      <c r="G1965" s="43" t="s">
        <v>14143</v>
      </c>
      <c r="H1965" s="59" t="s">
        <v>969</v>
      </c>
      <c r="I1965" s="25" t="str">
        <f>IFERROR(__xludf.DUMMYFUNCTION("GOOGLETRANSLATE(H1965,""EN"",""ES"")"),"Turismo")</f>
        <v>Turismo</v>
      </c>
      <c r="J1965" s="26" t="s">
        <v>27</v>
      </c>
      <c r="K1965" s="17">
        <v>0.0</v>
      </c>
      <c r="L1965" s="54"/>
      <c r="M1965" s="31"/>
      <c r="N1965" s="47"/>
      <c r="O1965" s="47"/>
      <c r="P1965" s="20">
        <v>0.0</v>
      </c>
      <c r="Q1965" s="31"/>
      <c r="R1965" s="31"/>
      <c r="S1965" s="53"/>
      <c r="T1965" s="32"/>
    </row>
    <row r="1966">
      <c r="A1966" s="33" t="s">
        <v>14144</v>
      </c>
      <c r="B1966" s="76" t="s">
        <v>14145</v>
      </c>
      <c r="C1966" s="41">
        <v>45439.0</v>
      </c>
      <c r="D1966" s="40" t="s">
        <v>14146</v>
      </c>
      <c r="E1966" s="41" t="s">
        <v>14147</v>
      </c>
      <c r="F1966" s="43" t="s">
        <v>14148</v>
      </c>
      <c r="G1966" s="43" t="s">
        <v>14149</v>
      </c>
      <c r="H1966" s="61" t="s">
        <v>5878</v>
      </c>
      <c r="I1966" s="15" t="str">
        <f>IFERROR(__xludf.DUMMYFUNCTION("GOOGLETRANSLATE(H1966,""EN"",""ES"")"),"Entretenimiento")</f>
        <v>Entretenimiento</v>
      </c>
      <c r="J1966" s="16" t="s">
        <v>27</v>
      </c>
      <c r="K1966" s="17">
        <v>0.0</v>
      </c>
      <c r="L1966" s="45"/>
      <c r="M1966" s="18"/>
      <c r="N1966" s="44"/>
      <c r="O1966" s="44"/>
      <c r="P1966" s="20">
        <v>0.0</v>
      </c>
      <c r="Q1966" s="18"/>
      <c r="R1966" s="18"/>
      <c r="S1966" s="52"/>
      <c r="T1966" s="22"/>
    </row>
    <row r="1967">
      <c r="A1967" s="23" t="s">
        <v>14150</v>
      </c>
      <c r="B1967" s="77" t="s">
        <v>1072</v>
      </c>
      <c r="C1967" s="41">
        <v>45440.0</v>
      </c>
      <c r="D1967" s="40" t="s">
        <v>14151</v>
      </c>
      <c r="E1967" s="41" t="s">
        <v>14152</v>
      </c>
      <c r="F1967" s="43" t="s">
        <v>14153</v>
      </c>
      <c r="G1967" s="43" t="s">
        <v>14154</v>
      </c>
      <c r="H1967" s="59" t="s">
        <v>130</v>
      </c>
      <c r="I1967" s="25" t="str">
        <f>IFERROR(__xludf.DUMMYFUNCTION("GOOGLETRANSLATE(H1967,""EN"",""ES"")"),"Sostenibilidad")</f>
        <v>Sostenibilidad</v>
      </c>
      <c r="J1967" s="26" t="s">
        <v>35</v>
      </c>
      <c r="K1967" s="48">
        <v>0.7</v>
      </c>
      <c r="L1967" s="49" t="s">
        <v>14155</v>
      </c>
      <c r="M1967" s="28" t="s">
        <v>14156</v>
      </c>
      <c r="N1967" s="47" t="s">
        <v>14157</v>
      </c>
      <c r="O1967" s="47" t="str">
        <f>IFERROR(__xludf.DUMMYFUNCTION("GOOGLETRANSLATE(N1967,""EN"",""ES"")"),"Invertir en rotación de activos para financiar energías renovables fortalece la estrategia verde de Repsol.")</f>
        <v>Invertir en rotación de activos para financiar energías renovables fortalece la estrategia verde de Repsol.</v>
      </c>
      <c r="P1967" s="30">
        <v>0.6</v>
      </c>
      <c r="Q1967" s="31" t="str">
        <f>IFERROR(__xludf.DUMMYFUNCTION("GOOGLETRANSLATE(R1967,""ES"",""EN"")"),"search partner")</f>
        <v>search partner</v>
      </c>
      <c r="R1967" s="28" t="s">
        <v>14158</v>
      </c>
      <c r="S1967" s="53" t="s">
        <v>14159</v>
      </c>
      <c r="T1967" s="32" t="s">
        <v>14160</v>
      </c>
    </row>
    <row r="1968">
      <c r="A1968" s="33" t="s">
        <v>14161</v>
      </c>
      <c r="B1968" s="76" t="s">
        <v>14162</v>
      </c>
      <c r="C1968" s="41">
        <v>45440.0</v>
      </c>
      <c r="D1968" s="40" t="s">
        <v>14163</v>
      </c>
      <c r="E1968" s="41" t="s">
        <v>14164</v>
      </c>
      <c r="F1968" s="43" t="s">
        <v>14165</v>
      </c>
      <c r="G1968" s="43" t="s">
        <v>14166</v>
      </c>
      <c r="H1968" s="61" t="s">
        <v>661</v>
      </c>
      <c r="I1968" s="15" t="str">
        <f>IFERROR(__xludf.DUMMYFUNCTION("GOOGLETRANSLATE(H1968,""EN"",""ES"")"),"Estrategia empresarial")</f>
        <v>Estrategia empresarial</v>
      </c>
      <c r="J1968" s="16" t="s">
        <v>35</v>
      </c>
      <c r="K1968" s="48">
        <v>0.6</v>
      </c>
      <c r="L1968" s="51" t="s">
        <v>14089</v>
      </c>
      <c r="M1968" s="34" t="s">
        <v>14090</v>
      </c>
      <c r="N1968" s="44" t="s">
        <v>14167</v>
      </c>
      <c r="O1968" s="44" t="str">
        <f>IFERROR(__xludf.DUMMYFUNCTION("GOOGLETRANSLATE(N1968,""EN"",""ES"")"),"La ampliación de los servicios de recogida fortalece las fuentes de ingresos no relacionados con el combustible de Repsol.")</f>
        <v>La ampliación de los servicios de recogida fortalece las fuentes de ingresos no relacionados con el combustible de Repsol.</v>
      </c>
      <c r="P1968" s="30">
        <v>0.5</v>
      </c>
      <c r="Q1968" s="18" t="str">
        <f>IFERROR(__xludf.DUMMYFUNCTION("GOOGLETRANSLATE(R1968,""ES"",""EN"")"),"returns, Amazon")</f>
        <v>returns, Amazon</v>
      </c>
      <c r="R1968" s="34" t="s">
        <v>14092</v>
      </c>
      <c r="S1968" s="52" t="s">
        <v>14168</v>
      </c>
      <c r="T1968" s="22" t="s">
        <v>14169</v>
      </c>
    </row>
    <row r="1969">
      <c r="A1969" s="23" t="s">
        <v>14170</v>
      </c>
      <c r="B1969" s="77" t="s">
        <v>4634</v>
      </c>
      <c r="C1969" s="41">
        <v>45440.0</v>
      </c>
      <c r="D1969" s="40" t="s">
        <v>14171</v>
      </c>
      <c r="E1969" s="41" t="s">
        <v>14172</v>
      </c>
      <c r="F1969" s="43" t="s">
        <v>14173</v>
      </c>
      <c r="G1969" s="43" t="s">
        <v>14174</v>
      </c>
      <c r="H1969" s="59" t="s">
        <v>661</v>
      </c>
      <c r="I1969" s="25" t="str">
        <f>IFERROR(__xludf.DUMMYFUNCTION("GOOGLETRANSLATE(H1969,""EN"",""ES"")"),"Estrategia empresarial")</f>
        <v>Estrategia empresarial</v>
      </c>
      <c r="J1969" s="26" t="s">
        <v>35</v>
      </c>
      <c r="K1969" s="48">
        <v>0.6</v>
      </c>
      <c r="L1969" s="49" t="s">
        <v>14089</v>
      </c>
      <c r="M1969" s="28" t="s">
        <v>14090</v>
      </c>
      <c r="N1969" s="47" t="s">
        <v>14175</v>
      </c>
      <c r="O1969" s="47" t="str">
        <f>IFERROR(__xludf.DUMMYFUNCTION("GOOGLETRANSLATE(N1969,""EN"",""ES"")"),"La alianza con Amazon potencia la propuesta de valor de las estaciones de servicio de Repsol.")</f>
        <v>La alianza con Amazon potencia la propuesta de valor de las estaciones de servicio de Repsol.</v>
      </c>
      <c r="P1969" s="30">
        <v>0.5</v>
      </c>
      <c r="Q1969" s="31" t="str">
        <f>IFERROR(__xludf.DUMMYFUNCTION("GOOGLETRANSLATE(R1969,""ES"",""EN"")"),"return, Amazon")</f>
        <v>return, Amazon</v>
      </c>
      <c r="R1969" s="28" t="s">
        <v>14176</v>
      </c>
      <c r="S1969" s="53" t="s">
        <v>14168</v>
      </c>
      <c r="T1969" s="32" t="s">
        <v>14169</v>
      </c>
    </row>
    <row r="1970">
      <c r="A1970" s="33" t="s">
        <v>14177</v>
      </c>
      <c r="B1970" s="76" t="s">
        <v>403</v>
      </c>
      <c r="C1970" s="41">
        <v>45440.0</v>
      </c>
      <c r="D1970" s="40" t="s">
        <v>14178</v>
      </c>
      <c r="E1970" s="41" t="s">
        <v>14179</v>
      </c>
      <c r="F1970" s="43" t="s">
        <v>14180</v>
      </c>
      <c r="G1970" s="43" t="s">
        <v>14181</v>
      </c>
      <c r="H1970" s="61" t="s">
        <v>661</v>
      </c>
      <c r="I1970" s="15" t="str">
        <f>IFERROR(__xludf.DUMMYFUNCTION("GOOGLETRANSLATE(H1970,""EN"",""ES"")"),"Estrategia empresarial")</f>
        <v>Estrategia empresarial</v>
      </c>
      <c r="J1970" s="16" t="s">
        <v>35</v>
      </c>
      <c r="K1970" s="48">
        <v>0.6</v>
      </c>
      <c r="L1970" s="51" t="s">
        <v>14089</v>
      </c>
      <c r="M1970" s="34" t="s">
        <v>14090</v>
      </c>
      <c r="N1970" s="44" t="s">
        <v>14182</v>
      </c>
      <c r="O1970" s="44" t="str">
        <f>IFERROR(__xludf.DUMMYFUNCTION("GOOGLETRANSLATE(N1970,""EN"",""ES"")"),"La ampliación de los servicios minoristas aumenta el tráfico peatonal en las estaciones de Repsol.")</f>
        <v>La ampliación de los servicios minoristas aumenta el tráfico peatonal en las estaciones de Repsol.</v>
      </c>
      <c r="P1970" s="30">
        <v>0.5</v>
      </c>
      <c r="Q1970" s="18" t="str">
        <f>IFERROR(__xludf.DUMMYFUNCTION("GOOGLETRANSLATE(R1970,""ES"",""EN"")"),"return, Amazon")</f>
        <v>return, Amazon</v>
      </c>
      <c r="R1970" s="34" t="s">
        <v>14176</v>
      </c>
      <c r="S1970" s="52" t="s">
        <v>14168</v>
      </c>
      <c r="T1970" s="22" t="s">
        <v>14169</v>
      </c>
    </row>
    <row r="1971">
      <c r="A1971" s="23" t="s">
        <v>14183</v>
      </c>
      <c r="B1971" s="77" t="s">
        <v>374</v>
      </c>
      <c r="C1971" s="41">
        <v>45440.0</v>
      </c>
      <c r="D1971" s="40" t="s">
        <v>14184</v>
      </c>
      <c r="E1971" s="41" t="s">
        <v>14185</v>
      </c>
      <c r="F1971" s="43" t="s">
        <v>14186</v>
      </c>
      <c r="G1971" s="43" t="s">
        <v>14187</v>
      </c>
      <c r="H1971" s="59" t="s">
        <v>55</v>
      </c>
      <c r="I1971" s="25" t="str">
        <f>IFERROR(__xludf.DUMMYFUNCTION("GOOGLETRANSLATE(H1971,""EN"",""ES"")"),"deportes de motor")</f>
        <v>deportes de motor</v>
      </c>
      <c r="J1971" s="26" t="s">
        <v>35</v>
      </c>
      <c r="K1971" s="48">
        <v>-0.7</v>
      </c>
      <c r="L1971" s="49" t="s">
        <v>14188</v>
      </c>
      <c r="M1971" s="28" t="s">
        <v>14189</v>
      </c>
      <c r="N1971" s="47" t="s">
        <v>14190</v>
      </c>
      <c r="O1971" s="47" t="str">
        <f>IFERROR(__xludf.DUMMYFUNCTION("GOOGLETRANSLATE(N1971,""EN"",""ES"")"),"Perder un patrocinio de larga data puede reducir la visibilidad de Repsol en el automovilismo.")</f>
        <v>Perder un patrocinio de larga data puede reducir la visibilidad de Repsol en el automovilismo.</v>
      </c>
      <c r="P1971" s="30">
        <v>-0.4</v>
      </c>
      <c r="Q1971" s="31" t="str">
        <f>IFERROR(__xludf.DUMMYFUNCTION("GOOGLETRANSLATE(R1971,""ES"",""EN"")"),"they will not continue")</f>
        <v>they will not continue</v>
      </c>
      <c r="R1971" s="28" t="s">
        <v>14191</v>
      </c>
      <c r="S1971" s="53" t="s">
        <v>14192</v>
      </c>
      <c r="T1971" s="32" t="s">
        <v>14193</v>
      </c>
    </row>
    <row r="1972">
      <c r="A1972" s="33" t="s">
        <v>14194</v>
      </c>
      <c r="B1972" s="76" t="s">
        <v>14195</v>
      </c>
      <c r="C1972" s="41">
        <v>45440.0</v>
      </c>
      <c r="D1972" s="40" t="s">
        <v>14196</v>
      </c>
      <c r="E1972" s="41" t="s">
        <v>14197</v>
      </c>
      <c r="F1972" s="43" t="s">
        <v>14198</v>
      </c>
      <c r="G1972" s="43" t="s">
        <v>14199</v>
      </c>
      <c r="H1972" s="61" t="s">
        <v>661</v>
      </c>
      <c r="I1972" s="15" t="str">
        <f>IFERROR(__xludf.DUMMYFUNCTION("GOOGLETRANSLATE(H1972,""EN"",""ES"")"),"Estrategia empresarial")</f>
        <v>Estrategia empresarial</v>
      </c>
      <c r="J1972" s="16" t="s">
        <v>27</v>
      </c>
      <c r="K1972" s="17">
        <v>0.0</v>
      </c>
      <c r="L1972" s="45"/>
      <c r="M1972" s="18"/>
      <c r="N1972" s="44"/>
      <c r="O1972" s="44"/>
      <c r="P1972" s="20">
        <v>0.0</v>
      </c>
      <c r="Q1972" s="18"/>
      <c r="R1972" s="18"/>
      <c r="S1972" s="52"/>
      <c r="T1972" s="22"/>
    </row>
    <row r="1973">
      <c r="A1973" s="23" t="s">
        <v>14200</v>
      </c>
      <c r="B1973" s="77" t="s">
        <v>339</v>
      </c>
      <c r="C1973" s="41">
        <v>45440.0</v>
      </c>
      <c r="D1973" s="40" t="s">
        <v>14201</v>
      </c>
      <c r="E1973" s="41" t="s">
        <v>14202</v>
      </c>
      <c r="F1973" s="43" t="s">
        <v>14203</v>
      </c>
      <c r="G1973" s="43" t="s">
        <v>14204</v>
      </c>
      <c r="H1973" s="59" t="s">
        <v>130</v>
      </c>
      <c r="I1973" s="25" t="str">
        <f>IFERROR(__xludf.DUMMYFUNCTION("GOOGLETRANSLATE(H1973,""EN"",""ES"")"),"Sostenibilidad")</f>
        <v>Sostenibilidad</v>
      </c>
      <c r="J1973" s="26" t="s">
        <v>35</v>
      </c>
      <c r="K1973" s="48">
        <v>0.7</v>
      </c>
      <c r="L1973" s="49" t="s">
        <v>14205</v>
      </c>
      <c r="M1973" s="28" t="s">
        <v>14206</v>
      </c>
      <c r="N1973" s="47" t="s">
        <v>14207</v>
      </c>
      <c r="O1973" s="47" t="str">
        <f>IFERROR(__xludf.DUMMYFUNCTION("GOOGLETRANSLATE(N1973,""EN"",""ES"")"),"La ampliación de los esfuerzos en materia de energías renovables respalda la transición verde de Repsol.")</f>
        <v>La ampliación de los esfuerzos en materia de energías renovables respalda la transición verde de Repsol.</v>
      </c>
      <c r="P1973" s="30">
        <v>0.4</v>
      </c>
      <c r="Q1973" s="31" t="str">
        <f>IFERROR(__xludf.DUMMYFUNCTION("GOOGLETRANSLATE(R1973,""ES"",""EN"")"),"renewable")</f>
        <v>renewable</v>
      </c>
      <c r="R1973" s="28" t="s">
        <v>13833</v>
      </c>
      <c r="S1973" s="53" t="s">
        <v>14208</v>
      </c>
      <c r="T1973" s="32" t="s">
        <v>14209</v>
      </c>
    </row>
    <row r="1974">
      <c r="A1974" s="33" t="s">
        <v>14210</v>
      </c>
      <c r="B1974" s="76" t="s">
        <v>859</v>
      </c>
      <c r="C1974" s="41">
        <v>45440.0</v>
      </c>
      <c r="D1974" s="40" t="s">
        <v>14211</v>
      </c>
      <c r="E1974" s="41" t="s">
        <v>14212</v>
      </c>
      <c r="F1974" s="43" t="s">
        <v>14213</v>
      </c>
      <c r="G1974" s="43" t="s">
        <v>14214</v>
      </c>
      <c r="H1974" s="61" t="s">
        <v>661</v>
      </c>
      <c r="I1974" s="15" t="str">
        <f>IFERROR(__xludf.DUMMYFUNCTION("GOOGLETRANSLATE(H1974,""EN"",""ES"")"),"Estrategia empresarial")</f>
        <v>Estrategia empresarial</v>
      </c>
      <c r="J1974" s="16" t="s">
        <v>35</v>
      </c>
      <c r="K1974" s="48">
        <v>0.6</v>
      </c>
      <c r="L1974" s="51" t="s">
        <v>14089</v>
      </c>
      <c r="M1974" s="34" t="s">
        <v>14090</v>
      </c>
      <c r="N1974" s="44" t="s">
        <v>14215</v>
      </c>
      <c r="O1974" s="44" t="str">
        <f>IFERROR(__xludf.DUMMYFUNCTION("GOOGLETRANSLATE(N1974,""EN"",""ES"")"),"Las asociaciones minoristas diversifican las fuentes de ingresos de Repsol.")</f>
        <v>Las asociaciones minoristas diversifican las fuentes de ingresos de Repsol.</v>
      </c>
      <c r="P1974" s="30">
        <v>0.5</v>
      </c>
      <c r="Q1974" s="18" t="str">
        <f>IFERROR(__xludf.DUMMYFUNCTION("GOOGLETRANSLATE(R1974,""ES"",""EN"")"),"returns")</f>
        <v>returns</v>
      </c>
      <c r="R1974" s="34" t="s">
        <v>14216</v>
      </c>
      <c r="S1974" s="52" t="s">
        <v>14168</v>
      </c>
      <c r="T1974" s="22" t="s">
        <v>14169</v>
      </c>
    </row>
    <row r="1975">
      <c r="A1975" s="23" t="s">
        <v>14217</v>
      </c>
      <c r="B1975" s="77" t="s">
        <v>217</v>
      </c>
      <c r="C1975" s="41">
        <v>45440.0</v>
      </c>
      <c r="D1975" s="40" t="s">
        <v>14218</v>
      </c>
      <c r="E1975" s="41" t="s">
        <v>14219</v>
      </c>
      <c r="F1975" s="43" t="s">
        <v>14220</v>
      </c>
      <c r="G1975" s="43" t="s">
        <v>14221</v>
      </c>
      <c r="H1975" s="51" t="s">
        <v>130</v>
      </c>
      <c r="I1975" s="25" t="str">
        <f>IFERROR(__xludf.DUMMYFUNCTION("GOOGLETRANSLATE(H1975,""EN"",""ES"")"),"Sostenibilidad")</f>
        <v>Sostenibilidad</v>
      </c>
      <c r="J1975" s="26" t="s">
        <v>27</v>
      </c>
      <c r="K1975" s="17">
        <v>0.0</v>
      </c>
      <c r="L1975" s="54"/>
      <c r="M1975" s="31"/>
      <c r="N1975" s="66"/>
      <c r="O1975" s="66"/>
      <c r="P1975" s="20">
        <v>0.0</v>
      </c>
      <c r="Q1975" s="31"/>
      <c r="R1975" s="31"/>
      <c r="S1975" s="53"/>
      <c r="T1975" s="32"/>
    </row>
    <row r="1976">
      <c r="A1976" s="33" t="s">
        <v>14222</v>
      </c>
      <c r="B1976" s="76" t="s">
        <v>614</v>
      </c>
      <c r="C1976" s="41">
        <v>45440.0</v>
      </c>
      <c r="D1976" s="40" t="s">
        <v>14223</v>
      </c>
      <c r="E1976" s="41" t="s">
        <v>14224</v>
      </c>
      <c r="F1976" s="43" t="s">
        <v>14225</v>
      </c>
      <c r="G1976" s="43" t="s">
        <v>14226</v>
      </c>
      <c r="H1976" s="51" t="s">
        <v>130</v>
      </c>
      <c r="I1976" s="15" t="str">
        <f>IFERROR(__xludf.DUMMYFUNCTION("GOOGLETRANSLATE(H1976,""EN"",""ES"")"),"Sostenibilidad")</f>
        <v>Sostenibilidad</v>
      </c>
      <c r="J1976" s="16" t="s">
        <v>35</v>
      </c>
      <c r="K1976" s="48">
        <v>0.7</v>
      </c>
      <c r="L1976" s="51" t="s">
        <v>13418</v>
      </c>
      <c r="M1976" s="34" t="s">
        <v>13419</v>
      </c>
      <c r="N1976" s="65" t="s">
        <v>14227</v>
      </c>
      <c r="O1976" s="65" t="str">
        <f>IFERROR(__xludf.DUMMYFUNCTION("GOOGLETRANSLATE(N1976,""EN"",""ES"")"),"Fomentar la recogida de aceites usados ​​se alinea con la estrategia de energía verde de Repsol.")</f>
        <v>Fomentar la recogida de aceites usados ​​se alinea con la estrategia de energía verde de Repsol.</v>
      </c>
      <c r="P1976" s="30">
        <v>0.0</v>
      </c>
      <c r="Q1976" s="18"/>
      <c r="R1976" s="18"/>
      <c r="S1976" s="52" t="s">
        <v>469</v>
      </c>
      <c r="T1976" s="22" t="s">
        <v>470</v>
      </c>
    </row>
    <row r="1977">
      <c r="A1977" s="23" t="s">
        <v>14228</v>
      </c>
      <c r="B1977" s="77" t="s">
        <v>68</v>
      </c>
      <c r="C1977" s="41">
        <v>45440.0</v>
      </c>
      <c r="D1977" s="40" t="s">
        <v>14229</v>
      </c>
      <c r="E1977" s="41" t="s">
        <v>14230</v>
      </c>
      <c r="F1977" s="43" t="s">
        <v>14231</v>
      </c>
      <c r="G1977" s="43" t="s">
        <v>14232</v>
      </c>
      <c r="H1977" s="51" t="s">
        <v>55</v>
      </c>
      <c r="I1977" s="25" t="str">
        <f>IFERROR(__xludf.DUMMYFUNCTION("GOOGLETRANSLATE(H1977,""EN"",""ES"")"),"deportes de motor")</f>
        <v>deportes de motor</v>
      </c>
      <c r="J1977" s="26" t="s">
        <v>27</v>
      </c>
      <c r="K1977" s="17">
        <v>0.0</v>
      </c>
      <c r="L1977" s="54"/>
      <c r="M1977" s="31"/>
      <c r="N1977" s="66"/>
      <c r="O1977" s="66"/>
      <c r="P1977" s="20">
        <v>0.0</v>
      </c>
      <c r="Q1977" s="31"/>
      <c r="R1977" s="31"/>
      <c r="S1977" s="53"/>
      <c r="T1977" s="32"/>
    </row>
    <row r="1978">
      <c r="A1978" s="33" t="s">
        <v>14233</v>
      </c>
      <c r="B1978" s="76" t="s">
        <v>1072</v>
      </c>
      <c r="C1978" s="41">
        <v>45440.0</v>
      </c>
      <c r="D1978" s="40" t="s">
        <v>14234</v>
      </c>
      <c r="E1978" s="41" t="s">
        <v>14235</v>
      </c>
      <c r="F1978" s="43" t="s">
        <v>14236</v>
      </c>
      <c r="G1978" s="43" t="s">
        <v>14237</v>
      </c>
      <c r="H1978" s="51" t="s">
        <v>130</v>
      </c>
      <c r="I1978" s="15" t="str">
        <f>IFERROR(__xludf.DUMMYFUNCTION("GOOGLETRANSLATE(H1978,""EN"",""ES"")"),"Sostenibilidad")</f>
        <v>Sostenibilidad</v>
      </c>
      <c r="J1978" s="16" t="s">
        <v>35</v>
      </c>
      <c r="K1978" s="48">
        <v>0.7</v>
      </c>
      <c r="L1978" s="51" t="s">
        <v>13418</v>
      </c>
      <c r="M1978" s="34" t="s">
        <v>13419</v>
      </c>
      <c r="N1978" s="65" t="s">
        <v>14238</v>
      </c>
      <c r="O1978" s="65" t="str">
        <f>IFERROR(__xludf.DUMMYFUNCTION("GOOGLETRANSLATE(N1978,""EN"",""ES"")"),"Incentivar el reciclaje de petróleo apoya la transición energética limpia de Repsol.")</f>
        <v>Incentivar el reciclaje de petróleo apoya la transición energética limpia de Repsol.</v>
      </c>
      <c r="P1978" s="30">
        <v>0.6</v>
      </c>
      <c r="Q1978" s="18" t="str">
        <f>IFERROR(__xludf.DUMMYFUNCTION("GOOGLETRANSLATE(R1978,""ES"",""EN"")"),"give away")</f>
        <v>give away</v>
      </c>
      <c r="R1978" s="34" t="s">
        <v>14239</v>
      </c>
      <c r="S1978" s="52" t="s">
        <v>14100</v>
      </c>
      <c r="T1978" s="22" t="s">
        <v>14101</v>
      </c>
    </row>
    <row r="1979">
      <c r="A1979" s="23" t="s">
        <v>14240</v>
      </c>
      <c r="B1979" s="77" t="s">
        <v>14241</v>
      </c>
      <c r="C1979" s="41">
        <v>45440.0</v>
      </c>
      <c r="D1979" s="40" t="s">
        <v>14242</v>
      </c>
      <c r="E1979" s="41" t="s">
        <v>14243</v>
      </c>
      <c r="F1979" s="43" t="s">
        <v>14244</v>
      </c>
      <c r="G1979" s="43" t="s">
        <v>14245</v>
      </c>
      <c r="H1979" s="51" t="s">
        <v>661</v>
      </c>
      <c r="I1979" s="25" t="str">
        <f>IFERROR(__xludf.DUMMYFUNCTION("GOOGLETRANSLATE(H1979,""EN"",""ES"")"),"Estrategia empresarial")</f>
        <v>Estrategia empresarial</v>
      </c>
      <c r="J1979" s="26" t="s">
        <v>35</v>
      </c>
      <c r="K1979" s="48">
        <v>0.6</v>
      </c>
      <c r="L1979" s="49" t="s">
        <v>14089</v>
      </c>
      <c r="M1979" s="28" t="s">
        <v>14090</v>
      </c>
      <c r="N1979" s="66" t="s">
        <v>14246</v>
      </c>
      <c r="O1979" s="66" t="str">
        <f>IFERROR(__xludf.DUMMYFUNCTION("GOOGLETRANSLATE(N1979,""EN"",""ES"")"),"La ampliación de las alianzas comerciales aumenta el tráfico peatonal en las estaciones de Repsol.")</f>
        <v>La ampliación de las alianzas comerciales aumenta el tráfico peatonal en las estaciones de Repsol.</v>
      </c>
      <c r="P1979" s="30">
        <v>0.0</v>
      </c>
      <c r="Q1979" s="31"/>
      <c r="R1979" s="31"/>
      <c r="S1979" s="53" t="s">
        <v>469</v>
      </c>
      <c r="T1979" s="32" t="s">
        <v>470</v>
      </c>
    </row>
    <row r="1980">
      <c r="A1980" s="33" t="s">
        <v>14247</v>
      </c>
      <c r="B1980" s="76" t="s">
        <v>374</v>
      </c>
      <c r="C1980" s="41">
        <v>45440.0</v>
      </c>
      <c r="D1980" s="40" t="s">
        <v>14248</v>
      </c>
      <c r="E1980" s="41" t="s">
        <v>14249</v>
      </c>
      <c r="F1980" s="43" t="s">
        <v>14250</v>
      </c>
      <c r="G1980" s="43" t="s">
        <v>14251</v>
      </c>
      <c r="H1980" s="51" t="s">
        <v>55</v>
      </c>
      <c r="I1980" s="15" t="str">
        <f>IFERROR(__xludf.DUMMYFUNCTION("GOOGLETRANSLATE(H1980,""EN"",""ES"")"),"deportes de motor")</f>
        <v>deportes de motor</v>
      </c>
      <c r="J1980" s="16" t="s">
        <v>27</v>
      </c>
      <c r="K1980" s="17">
        <v>0.0</v>
      </c>
      <c r="L1980" s="45"/>
      <c r="M1980" s="18"/>
      <c r="N1980" s="65"/>
      <c r="O1980" s="65"/>
      <c r="P1980" s="20">
        <v>0.0</v>
      </c>
      <c r="Q1980" s="18"/>
      <c r="R1980" s="18"/>
      <c r="S1980" s="52"/>
      <c r="T1980" s="22"/>
    </row>
    <row r="1981">
      <c r="A1981" s="23" t="s">
        <v>14252</v>
      </c>
      <c r="B1981" s="77" t="s">
        <v>163</v>
      </c>
      <c r="C1981" s="41">
        <v>45440.0</v>
      </c>
      <c r="D1981" s="40" t="s">
        <v>14253</v>
      </c>
      <c r="E1981" s="41" t="s">
        <v>14254</v>
      </c>
      <c r="F1981" s="43" t="s">
        <v>14255</v>
      </c>
      <c r="G1981" s="43" t="s">
        <v>14256</v>
      </c>
      <c r="H1981" s="51" t="s">
        <v>55</v>
      </c>
      <c r="I1981" s="25" t="str">
        <f>IFERROR(__xludf.DUMMYFUNCTION("GOOGLETRANSLATE(H1981,""EN"",""ES"")"),"deportes de motor")</f>
        <v>deportes de motor</v>
      </c>
      <c r="J1981" s="26" t="s">
        <v>27</v>
      </c>
      <c r="K1981" s="17">
        <v>0.0</v>
      </c>
      <c r="L1981" s="54"/>
      <c r="M1981" s="31"/>
      <c r="N1981" s="66"/>
      <c r="O1981" s="66"/>
      <c r="P1981" s="20">
        <v>0.0</v>
      </c>
      <c r="Q1981" s="31"/>
      <c r="R1981" s="31"/>
      <c r="S1981" s="53"/>
      <c r="T1981" s="32"/>
    </row>
    <row r="1982">
      <c r="A1982" s="33" t="s">
        <v>14257</v>
      </c>
      <c r="B1982" s="76" t="s">
        <v>1316</v>
      </c>
      <c r="C1982" s="41">
        <v>45440.0</v>
      </c>
      <c r="D1982" s="40" t="s">
        <v>14258</v>
      </c>
      <c r="E1982" s="41" t="s">
        <v>14259</v>
      </c>
      <c r="F1982" s="43" t="s">
        <v>14260</v>
      </c>
      <c r="G1982" s="43" t="s">
        <v>14261</v>
      </c>
      <c r="H1982" s="51" t="s">
        <v>48</v>
      </c>
      <c r="I1982" s="15" t="str">
        <f>IFERROR(__xludf.DUMMYFUNCTION("GOOGLETRANSLATE(H1982,""EN"",""ES"")"),"Finanzas")</f>
        <v>Finanzas</v>
      </c>
      <c r="J1982" s="16" t="s">
        <v>35</v>
      </c>
      <c r="K1982" s="48">
        <v>0.6</v>
      </c>
      <c r="L1982" s="51" t="s">
        <v>14262</v>
      </c>
      <c r="M1982" s="34" t="s">
        <v>14263</v>
      </c>
      <c r="N1982" s="65" t="s">
        <v>14264</v>
      </c>
      <c r="O1982" s="65" t="str">
        <f>IFERROR(__xludf.DUMMYFUNCTION("GOOGLETRANSLATE(N1982,""EN"",""ES"")"),"Las recompras de bonos refuerzan la confianza de los inversores en la estabilidad financiera de Repsol.")</f>
        <v>Las recompras de bonos refuerzan la confianza de los inversores en la estabilidad financiera de Repsol.</v>
      </c>
      <c r="P1982" s="30">
        <v>0.6</v>
      </c>
      <c r="Q1982" s="18" t="str">
        <f>IFERROR(__xludf.DUMMYFUNCTION("GOOGLETRANSLATE(R1982,""ES"",""EN"")"),"search partner")</f>
        <v>search partner</v>
      </c>
      <c r="R1982" s="34" t="s">
        <v>14158</v>
      </c>
      <c r="S1982" s="52" t="s">
        <v>14265</v>
      </c>
      <c r="T1982" s="22" t="s">
        <v>14266</v>
      </c>
    </row>
    <row r="1983">
      <c r="A1983" s="23" t="s">
        <v>14267</v>
      </c>
      <c r="B1983" s="77" t="s">
        <v>12124</v>
      </c>
      <c r="C1983" s="41">
        <v>45440.0</v>
      </c>
      <c r="D1983" s="40" t="s">
        <v>14268</v>
      </c>
      <c r="E1983" s="41" t="s">
        <v>14269</v>
      </c>
      <c r="F1983" s="43" t="s">
        <v>14270</v>
      </c>
      <c r="G1983" s="43" t="s">
        <v>14271</v>
      </c>
      <c r="H1983" s="51" t="s">
        <v>661</v>
      </c>
      <c r="I1983" s="25" t="str">
        <f>IFERROR(__xludf.DUMMYFUNCTION("GOOGLETRANSLATE(H1983,""EN"",""ES"")"),"Estrategia empresarial")</f>
        <v>Estrategia empresarial</v>
      </c>
      <c r="J1983" s="26" t="s">
        <v>35</v>
      </c>
      <c r="K1983" s="48">
        <v>0.6</v>
      </c>
      <c r="L1983" s="49" t="s">
        <v>12776</v>
      </c>
      <c r="M1983" s="28" t="s">
        <v>12777</v>
      </c>
      <c r="N1983" s="66" t="s">
        <v>14272</v>
      </c>
      <c r="O1983" s="66" t="str">
        <f>IFERROR(__xludf.DUMMYFUNCTION("GOOGLETRANSLATE(N1983,""EN"",""ES"")"),"La expansión a la minería fortalece la red de distribución de combustibles de Repsol.")</f>
        <v>La expansión a la minería fortalece la red de distribución de combustibles de Repsol.</v>
      </c>
      <c r="P1983" s="30">
        <v>0.5</v>
      </c>
      <c r="Q1983" s="31" t="str">
        <f>IFERROR(__xludf.DUMMYFUNCTION("GOOGLETRANSLATE(R1983,""ES"",""EN"")"),"main supplier")</f>
        <v>main supplier</v>
      </c>
      <c r="R1983" s="28" t="s">
        <v>14273</v>
      </c>
      <c r="S1983" s="53" t="s">
        <v>10411</v>
      </c>
      <c r="T1983" s="32" t="s">
        <v>10412</v>
      </c>
    </row>
    <row r="1984">
      <c r="A1984" s="33" t="s">
        <v>14274</v>
      </c>
      <c r="B1984" s="76" t="s">
        <v>9715</v>
      </c>
      <c r="C1984" s="41">
        <v>45440.0</v>
      </c>
      <c r="D1984" s="40" t="s">
        <v>14268</v>
      </c>
      <c r="E1984" s="41" t="s">
        <v>14275</v>
      </c>
      <c r="F1984" s="43" t="s">
        <v>14270</v>
      </c>
      <c r="G1984" s="43" t="s">
        <v>14276</v>
      </c>
      <c r="H1984" s="51" t="s">
        <v>661</v>
      </c>
      <c r="I1984" s="15" t="str">
        <f>IFERROR(__xludf.DUMMYFUNCTION("GOOGLETRANSLATE(H1984,""EN"",""ES"")"),"Estrategia empresarial")</f>
        <v>Estrategia empresarial</v>
      </c>
      <c r="J1984" s="16" t="s">
        <v>35</v>
      </c>
      <c r="K1984" s="48">
        <v>0.6</v>
      </c>
      <c r="L1984" s="51" t="s">
        <v>12776</v>
      </c>
      <c r="M1984" s="34" t="s">
        <v>12777</v>
      </c>
      <c r="N1984" s="65" t="s">
        <v>14277</v>
      </c>
      <c r="O1984" s="65" t="str">
        <f>IFERROR(__xludf.DUMMYFUNCTION("GOOGLETRANSLATE(N1984,""EN"",""ES"")"),"Reforzar su presencia en el mercado minero refuerza el papel industrial de Repsol.")</f>
        <v>Reforzar su presencia en el mercado minero refuerza el papel industrial de Repsol.</v>
      </c>
      <c r="P1984" s="30">
        <v>0.5</v>
      </c>
      <c r="Q1984" s="18" t="str">
        <f>IFERROR(__xludf.DUMMYFUNCTION("GOOGLETRANSLATE(R1984,""ES"",""EN"")"),"main supplier")</f>
        <v>main supplier</v>
      </c>
      <c r="R1984" s="34" t="s">
        <v>14273</v>
      </c>
      <c r="S1984" s="52" t="s">
        <v>13898</v>
      </c>
      <c r="T1984" s="22" t="s">
        <v>13899</v>
      </c>
    </row>
    <row r="1985">
      <c r="A1985" s="23" t="s">
        <v>14278</v>
      </c>
      <c r="B1985" s="77" t="s">
        <v>14279</v>
      </c>
      <c r="C1985" s="41">
        <v>45440.0</v>
      </c>
      <c r="D1985" s="40" t="s">
        <v>14280</v>
      </c>
      <c r="E1985" s="41" t="s">
        <v>14281</v>
      </c>
      <c r="F1985" s="43" t="s">
        <v>14282</v>
      </c>
      <c r="G1985" s="43" t="s">
        <v>14283</v>
      </c>
      <c r="H1985" s="51" t="s">
        <v>661</v>
      </c>
      <c r="I1985" s="25" t="str">
        <f>IFERROR(__xludf.DUMMYFUNCTION("GOOGLETRANSLATE(H1985,""EN"",""ES"")"),"Estrategia empresarial")</f>
        <v>Estrategia empresarial</v>
      </c>
      <c r="J1985" s="26" t="s">
        <v>35</v>
      </c>
      <c r="K1985" s="48">
        <v>0.6</v>
      </c>
      <c r="L1985" s="49" t="s">
        <v>14089</v>
      </c>
      <c r="M1985" s="28" t="s">
        <v>14090</v>
      </c>
      <c r="N1985" s="66" t="s">
        <v>14284</v>
      </c>
      <c r="O1985" s="66" t="str">
        <f>IFERROR(__xludf.DUMMYFUNCTION("GOOGLETRANSLATE(N1985,""EN"",""ES"")"),"Las colaboraciones minoristas potencian la utilidad de las estaciones de servicio de Repsol.")</f>
        <v>Las colaboraciones minoristas potencian la utilidad de las estaciones de servicio de Repsol.</v>
      </c>
      <c r="P1985" s="30">
        <v>0.5</v>
      </c>
      <c r="Q1985" s="31" t="str">
        <f>IFERROR(__xludf.DUMMYFUNCTION("GOOGLETRANSLATE(R1985,""ES"",""EN"")"),"return, Amazon")</f>
        <v>return, Amazon</v>
      </c>
      <c r="R1985" s="28" t="s">
        <v>14176</v>
      </c>
      <c r="S1985" s="53" t="s">
        <v>14168</v>
      </c>
      <c r="T1985" s="32" t="s">
        <v>14169</v>
      </c>
    </row>
    <row r="1986">
      <c r="A1986" s="33" t="s">
        <v>14285</v>
      </c>
      <c r="B1986" s="76" t="s">
        <v>11267</v>
      </c>
      <c r="C1986" s="41">
        <v>45441.0</v>
      </c>
      <c r="D1986" s="40" t="s">
        <v>14286</v>
      </c>
      <c r="E1986" s="41" t="s">
        <v>14287</v>
      </c>
      <c r="F1986" s="43" t="s">
        <v>14288</v>
      </c>
      <c r="G1986" s="43" t="s">
        <v>14289</v>
      </c>
      <c r="H1986" s="51" t="s">
        <v>130</v>
      </c>
      <c r="I1986" s="15" t="str">
        <f>IFERROR(__xludf.DUMMYFUNCTION("GOOGLETRANSLATE(H1986,""EN"",""ES"")"),"Sostenibilidad")</f>
        <v>Sostenibilidad</v>
      </c>
      <c r="J1986" s="16" t="s">
        <v>35</v>
      </c>
      <c r="K1986" s="48">
        <v>0.8</v>
      </c>
      <c r="L1986" s="51" t="s">
        <v>12580</v>
      </c>
      <c r="M1986" s="34" t="s">
        <v>12581</v>
      </c>
      <c r="N1986" s="65" t="s">
        <v>14290</v>
      </c>
      <c r="O1986" s="65" t="str">
        <f>IFERROR(__xludf.DUMMYFUNCTION("GOOGLETRANSLATE(N1986,""EN"",""ES"")"),"El impulso a los combustibles renovables se alinea con los compromisos de energía verde de Repsol.")</f>
        <v>El impulso a los combustibles renovables se alinea con los compromisos de energía verde de Repsol.</v>
      </c>
      <c r="P1986" s="30">
        <v>0.8</v>
      </c>
      <c r="Q1986" s="18" t="str">
        <f>IFERROR(__xludf.DUMMYFUNCTION("GOOGLETRANSLATE(R1986,""ES"",""EN"")"),"100% renewable")</f>
        <v>100% renewable</v>
      </c>
      <c r="R1986" s="34" t="s">
        <v>14291</v>
      </c>
      <c r="S1986" s="52" t="s">
        <v>14292</v>
      </c>
      <c r="T1986" s="22" t="s">
        <v>14293</v>
      </c>
    </row>
    <row r="1987">
      <c r="A1987" s="23" t="s">
        <v>14294</v>
      </c>
      <c r="B1987" s="77" t="s">
        <v>5737</v>
      </c>
      <c r="C1987" s="41">
        <v>45441.0</v>
      </c>
      <c r="D1987" s="40" t="s">
        <v>14295</v>
      </c>
      <c r="E1987" s="41" t="s">
        <v>14296</v>
      </c>
      <c r="F1987" s="43" t="s">
        <v>14297</v>
      </c>
      <c r="G1987" s="43" t="s">
        <v>14298</v>
      </c>
      <c r="H1987" s="51" t="s">
        <v>130</v>
      </c>
      <c r="I1987" s="25" t="str">
        <f>IFERROR(__xludf.DUMMYFUNCTION("GOOGLETRANSLATE(H1987,""EN"",""ES"")"),"Sostenibilidad")</f>
        <v>Sostenibilidad</v>
      </c>
      <c r="J1987" s="26" t="s">
        <v>35</v>
      </c>
      <c r="K1987" s="48">
        <v>0.7</v>
      </c>
      <c r="L1987" s="49" t="s">
        <v>13418</v>
      </c>
      <c r="M1987" s="28" t="s">
        <v>13419</v>
      </c>
      <c r="N1987" s="66" t="s">
        <v>14299</v>
      </c>
      <c r="O1987" s="66" t="str">
        <f>IFERROR(__xludf.DUMMYFUNCTION("GOOGLETRANSLATE(N1987,""EN"",""ES"")"),"Incentivar el reciclaje de petróleo respalda los esfuerzos de sostenibilidad de Repsol.")</f>
        <v>Incentivar el reciclaje de petróleo respalda los esfuerzos de sostenibilidad de Repsol.</v>
      </c>
      <c r="P1987" s="30">
        <v>0.6</v>
      </c>
      <c r="Q1987" s="31" t="str">
        <f>IFERROR(__xludf.DUMMYFUNCTION("GOOGLETRANSLATE(R1987,""ES"",""EN"")"),"give money")</f>
        <v>give money</v>
      </c>
      <c r="R1987" s="28" t="s">
        <v>14300</v>
      </c>
      <c r="S1987" s="53" t="s">
        <v>14100</v>
      </c>
      <c r="T1987" s="32" t="s">
        <v>14101</v>
      </c>
    </row>
    <row r="1988">
      <c r="A1988" s="33" t="s">
        <v>14301</v>
      </c>
      <c r="B1988" s="76" t="s">
        <v>1742</v>
      </c>
      <c r="C1988" s="41">
        <v>45441.0</v>
      </c>
      <c r="D1988" s="40" t="s">
        <v>14302</v>
      </c>
      <c r="E1988" s="41" t="s">
        <v>14303</v>
      </c>
      <c r="F1988" s="43" t="s">
        <v>14304</v>
      </c>
      <c r="G1988" s="43" t="s">
        <v>14305</v>
      </c>
      <c r="H1988" s="51" t="s">
        <v>155</v>
      </c>
      <c r="I1988" s="15" t="str">
        <f>IFERROR(__xludf.DUMMYFUNCTION("GOOGLETRANSLATE(H1988,""EN"",""ES"")"),"Marketing")</f>
        <v>Marketing</v>
      </c>
      <c r="J1988" s="16" t="s">
        <v>35</v>
      </c>
      <c r="K1988" s="48">
        <v>0.6</v>
      </c>
      <c r="L1988" s="51" t="s">
        <v>14306</v>
      </c>
      <c r="M1988" s="34" t="s">
        <v>14307</v>
      </c>
      <c r="N1988" s="65" t="s">
        <v>14308</v>
      </c>
      <c r="O1988" s="65" t="str">
        <f>IFERROR(__xludf.DUMMYFUNCTION("GOOGLETRANSLATE(N1988,""EN"",""ES"")"),"Reforzar los mensajes de sostenibilidad refuerza la imagen ambiental de Repsol.")</f>
        <v>Reforzar los mensajes de sostenibilidad refuerza la imagen ambiental de Repsol.</v>
      </c>
      <c r="P1988" s="30">
        <v>0.3</v>
      </c>
      <c r="Q1988" s="18" t="str">
        <f>IFERROR(__xludf.DUMMYFUNCTION("GOOGLETRANSLATE(R1988,""ES"",""EN"")"),"None")</f>
        <v>None</v>
      </c>
      <c r="R1988" s="34" t="s">
        <v>14309</v>
      </c>
      <c r="S1988" s="52" t="s">
        <v>14310</v>
      </c>
      <c r="T1988" s="22" t="s">
        <v>14311</v>
      </c>
    </row>
    <row r="1989">
      <c r="A1989" s="23" t="s">
        <v>14312</v>
      </c>
      <c r="B1989" s="77" t="s">
        <v>1072</v>
      </c>
      <c r="C1989" s="41">
        <v>45441.0</v>
      </c>
      <c r="D1989" s="40" t="s">
        <v>14313</v>
      </c>
      <c r="E1989" s="41" t="s">
        <v>14314</v>
      </c>
      <c r="F1989" s="43" t="s">
        <v>14315</v>
      </c>
      <c r="G1989" s="43" t="s">
        <v>14316</v>
      </c>
      <c r="H1989" s="51" t="s">
        <v>48</v>
      </c>
      <c r="I1989" s="25" t="str">
        <f>IFERROR(__xludf.DUMMYFUNCTION("GOOGLETRANSLATE(H1989,""EN"",""ES"")"),"Finanzas")</f>
        <v>Finanzas</v>
      </c>
      <c r="J1989" s="26" t="s">
        <v>35</v>
      </c>
      <c r="K1989" s="48">
        <v>0.7</v>
      </c>
      <c r="L1989" s="49" t="s">
        <v>12529</v>
      </c>
      <c r="M1989" s="28" t="s">
        <v>12530</v>
      </c>
      <c r="N1989" s="66" t="s">
        <v>12531</v>
      </c>
      <c r="O1989" s="66" t="str">
        <f>IFERROR(__xludf.DUMMYFUNCTION("GOOGLETRANSLATE(N1989,""EN"",""ES"")"),"El anuncio de fuertes pagos de dividendos refuerza la confianza de los inversores en Repsol.")</f>
        <v>El anuncio de fuertes pagos de dividendos refuerza la confianza de los inversores en Repsol.</v>
      </c>
      <c r="P1989" s="30">
        <v>0.4</v>
      </c>
      <c r="Q1989" s="31" t="str">
        <f>IFERROR(__xludf.DUMMYFUNCTION("GOOGLETRANSLATE(R1989,""ES"",""EN"")"),"dividend")</f>
        <v>dividend</v>
      </c>
      <c r="R1989" s="28" t="s">
        <v>12532</v>
      </c>
      <c r="S1989" s="53" t="s">
        <v>14317</v>
      </c>
      <c r="T1989" s="32" t="s">
        <v>14318</v>
      </c>
    </row>
    <row r="1990">
      <c r="A1990" s="33" t="s">
        <v>14319</v>
      </c>
      <c r="B1990" s="76" t="s">
        <v>163</v>
      </c>
      <c r="C1990" s="41">
        <v>45441.0</v>
      </c>
      <c r="D1990" s="40" t="s">
        <v>14320</v>
      </c>
      <c r="E1990" s="41" t="s">
        <v>14321</v>
      </c>
      <c r="F1990" s="43" t="s">
        <v>14322</v>
      </c>
      <c r="G1990" s="43" t="s">
        <v>14323</v>
      </c>
      <c r="H1990" s="51" t="s">
        <v>130</v>
      </c>
      <c r="I1990" s="15" t="str">
        <f>IFERROR(__xludf.DUMMYFUNCTION("GOOGLETRANSLATE(H1990,""EN"",""ES"")"),"Sostenibilidad")</f>
        <v>Sostenibilidad</v>
      </c>
      <c r="J1990" s="16" t="s">
        <v>27</v>
      </c>
      <c r="K1990" s="17">
        <v>0.0</v>
      </c>
      <c r="L1990" s="45"/>
      <c r="M1990" s="18"/>
      <c r="N1990" s="65"/>
      <c r="O1990" s="65"/>
      <c r="P1990" s="20">
        <v>0.0</v>
      </c>
      <c r="Q1990" s="18"/>
      <c r="R1990" s="18"/>
      <c r="S1990" s="52"/>
      <c r="T1990" s="22"/>
    </row>
    <row r="1991">
      <c r="A1991" s="23" t="s">
        <v>14324</v>
      </c>
      <c r="B1991" s="77" t="s">
        <v>448</v>
      </c>
      <c r="C1991" s="41">
        <v>45441.0</v>
      </c>
      <c r="D1991" s="40" t="s">
        <v>14325</v>
      </c>
      <c r="E1991" s="41" t="s">
        <v>14326</v>
      </c>
      <c r="F1991" s="43" t="s">
        <v>14327</v>
      </c>
      <c r="G1991" s="43" t="s">
        <v>14328</v>
      </c>
      <c r="H1991" s="51" t="s">
        <v>661</v>
      </c>
      <c r="I1991" s="25" t="str">
        <f>IFERROR(__xludf.DUMMYFUNCTION("GOOGLETRANSLATE(H1991,""EN"",""ES"")"),"Estrategia empresarial")</f>
        <v>Estrategia empresarial</v>
      </c>
      <c r="J1991" s="26" t="s">
        <v>35</v>
      </c>
      <c r="K1991" s="48">
        <v>-0.5</v>
      </c>
      <c r="L1991" s="49" t="s">
        <v>11895</v>
      </c>
      <c r="M1991" s="28" t="s">
        <v>11896</v>
      </c>
      <c r="N1991" s="66" t="s">
        <v>14329</v>
      </c>
      <c r="O1991" s="66" t="str">
        <f>IFERROR(__xludf.DUMMYFUNCTION("GOOGLETRANSLATE(N1991,""EN"",""ES"")"),"La competencia de precios en electricidad puede afectar a la cuota de mercado de Repsol.")</f>
        <v>La competencia de precios en electricidad puede afectar a la cuota de mercado de Repsol.</v>
      </c>
      <c r="P1991" s="30">
        <v>-0.3</v>
      </c>
      <c r="Q1991" s="31" t="str">
        <f>IFERROR(__xludf.DUMMYFUNCTION("GOOGLETRANSLATE(R1991,""ES"",""EN"")"),"fight against")</f>
        <v>fight against</v>
      </c>
      <c r="R1991" s="28" t="s">
        <v>14330</v>
      </c>
      <c r="S1991" s="53" t="s">
        <v>14331</v>
      </c>
      <c r="T1991" s="32" t="s">
        <v>14332</v>
      </c>
    </row>
    <row r="1992">
      <c r="A1992" s="33" t="s">
        <v>14333</v>
      </c>
      <c r="B1992" s="76" t="s">
        <v>14334</v>
      </c>
      <c r="C1992" s="41">
        <v>45441.0</v>
      </c>
      <c r="D1992" s="40" t="s">
        <v>14335</v>
      </c>
      <c r="E1992" s="41" t="s">
        <v>14336</v>
      </c>
      <c r="F1992" s="43" t="s">
        <v>14337</v>
      </c>
      <c r="G1992" s="43" t="s">
        <v>14338</v>
      </c>
      <c r="H1992" s="51" t="s">
        <v>155</v>
      </c>
      <c r="I1992" s="15" t="str">
        <f>IFERROR(__xludf.DUMMYFUNCTION("GOOGLETRANSLATE(H1992,""EN"",""ES"")"),"Marketing")</f>
        <v>Marketing</v>
      </c>
      <c r="J1992" s="16" t="s">
        <v>35</v>
      </c>
      <c r="K1992" s="48">
        <v>0.6</v>
      </c>
      <c r="L1992" s="51" t="s">
        <v>14306</v>
      </c>
      <c r="M1992" s="34" t="s">
        <v>14307</v>
      </c>
      <c r="N1992" s="65" t="s">
        <v>14339</v>
      </c>
      <c r="O1992" s="65" t="str">
        <f>IFERROR(__xludf.DUMMYFUNCTION("GOOGLETRANSLATE(N1992,""EN"",""ES"")"),"Reforzar los mensajes de sostenibilidad mejora la reputación ambiental de Repsol.")</f>
        <v>Reforzar los mensajes de sostenibilidad mejora la reputación ambiental de Repsol.</v>
      </c>
      <c r="P1992" s="30">
        <v>0.3</v>
      </c>
      <c r="Q1992" s="18" t="str">
        <f>IFERROR(__xludf.DUMMYFUNCTION("GOOGLETRANSLATE(R1992,""ES"",""EN"")"),"None")</f>
        <v>None</v>
      </c>
      <c r="R1992" s="34" t="s">
        <v>14309</v>
      </c>
      <c r="S1992" s="52" t="s">
        <v>14310</v>
      </c>
      <c r="T1992" s="22" t="s">
        <v>14311</v>
      </c>
    </row>
    <row r="1993">
      <c r="A1993" s="23" t="s">
        <v>14340</v>
      </c>
      <c r="B1993" s="77" t="s">
        <v>14341</v>
      </c>
      <c r="C1993" s="41">
        <v>45441.0</v>
      </c>
      <c r="D1993" s="40" t="s">
        <v>14342</v>
      </c>
      <c r="E1993" s="41" t="s">
        <v>14343</v>
      </c>
      <c r="F1993" s="43" t="s">
        <v>14344</v>
      </c>
      <c r="G1993" s="43" t="s">
        <v>14345</v>
      </c>
      <c r="H1993" s="51" t="s">
        <v>130</v>
      </c>
      <c r="I1993" s="25" t="str">
        <f>IFERROR(__xludf.DUMMYFUNCTION("GOOGLETRANSLATE(H1993,""EN"",""ES"")"),"Sostenibilidad")</f>
        <v>Sostenibilidad</v>
      </c>
      <c r="J1993" s="26" t="s">
        <v>27</v>
      </c>
      <c r="K1993" s="17">
        <v>0.0</v>
      </c>
      <c r="L1993" s="54"/>
      <c r="M1993" s="31"/>
      <c r="N1993" s="66"/>
      <c r="O1993" s="66"/>
      <c r="P1993" s="20">
        <v>0.0</v>
      </c>
      <c r="Q1993" s="31"/>
      <c r="R1993" s="31"/>
      <c r="S1993" s="53"/>
      <c r="T1993" s="32"/>
    </row>
    <row r="1994">
      <c r="A1994" s="33" t="s">
        <v>14346</v>
      </c>
      <c r="B1994" s="76" t="s">
        <v>14347</v>
      </c>
      <c r="C1994" s="41">
        <v>45441.0</v>
      </c>
      <c r="D1994" s="40" t="s">
        <v>14348</v>
      </c>
      <c r="E1994" s="41" t="s">
        <v>14349</v>
      </c>
      <c r="F1994" s="43" t="s">
        <v>14350</v>
      </c>
      <c r="G1994" s="43" t="s">
        <v>14351</v>
      </c>
      <c r="H1994" s="51" t="s">
        <v>130</v>
      </c>
      <c r="I1994" s="15" t="str">
        <f>IFERROR(__xludf.DUMMYFUNCTION("GOOGLETRANSLATE(H1994,""EN"",""ES"")"),"Sostenibilidad")</f>
        <v>Sostenibilidad</v>
      </c>
      <c r="J1994" s="16" t="s">
        <v>35</v>
      </c>
      <c r="K1994" s="48">
        <v>0.7</v>
      </c>
      <c r="L1994" s="51" t="s">
        <v>13418</v>
      </c>
      <c r="M1994" s="34" t="s">
        <v>13419</v>
      </c>
      <c r="N1994" s="65" t="s">
        <v>14352</v>
      </c>
      <c r="O1994" s="65" t="str">
        <f>IFERROR(__xludf.DUMMYFUNCTION("GOOGLETRANSLATE(N1994,""EN"",""ES"")"),"Fomentar el reciclaje del petróleo apoya la transición energética limpia de Repsol.")</f>
        <v>Fomentar el reciclaje del petróleo apoya la transición energética limpia de Repsol.</v>
      </c>
      <c r="P1994" s="30">
        <v>0.6</v>
      </c>
      <c r="Q1994" s="18" t="str">
        <f>IFERROR(__xludf.DUMMYFUNCTION("GOOGLETRANSLATE(R1994,""ES"",""EN"")"),"will give away")</f>
        <v>will give away</v>
      </c>
      <c r="R1994" s="34" t="s">
        <v>14353</v>
      </c>
      <c r="S1994" s="52" t="s">
        <v>14354</v>
      </c>
      <c r="T1994" s="22" t="s">
        <v>14355</v>
      </c>
    </row>
    <row r="1995">
      <c r="A1995" s="23" t="s">
        <v>14356</v>
      </c>
      <c r="B1995" s="77" t="s">
        <v>4432</v>
      </c>
      <c r="C1995" s="41">
        <v>45441.0</v>
      </c>
      <c r="D1995" s="40" t="s">
        <v>14357</v>
      </c>
      <c r="E1995" s="41" t="s">
        <v>14358</v>
      </c>
      <c r="F1995" s="43" t="s">
        <v>14359</v>
      </c>
      <c r="G1995" s="43" t="s">
        <v>14360</v>
      </c>
      <c r="H1995" s="51" t="s">
        <v>55</v>
      </c>
      <c r="I1995" s="25" t="str">
        <f>IFERROR(__xludf.DUMMYFUNCTION("GOOGLETRANSLATE(H1995,""EN"",""ES"")"),"deportes de motor")</f>
        <v>deportes de motor</v>
      </c>
      <c r="J1995" s="26" t="s">
        <v>35</v>
      </c>
      <c r="K1995" s="48">
        <v>-0.7</v>
      </c>
      <c r="L1995" s="49" t="s">
        <v>14188</v>
      </c>
      <c r="M1995" s="28" t="s">
        <v>14189</v>
      </c>
      <c r="N1995" s="66" t="s">
        <v>14361</v>
      </c>
      <c r="O1995" s="66" t="str">
        <f>IFERROR(__xludf.DUMMYFUNCTION("GOOGLETRANSLATE(N1995,""EN"",""ES"")"),"Poner fin a un patrocinio histórico puede afectar a la marca Repsol en MotoGP.")</f>
        <v>Poner fin a un patrocinio histórico puede afectar a la marca Repsol en MotoGP.</v>
      </c>
      <c r="P1995" s="30">
        <v>-0.4</v>
      </c>
      <c r="Q1995" s="31" t="str">
        <f>IFERROR(__xludf.DUMMYFUNCTION("GOOGLETRANSLATE(R1995,""ES"",""EN"")"),"bye")</f>
        <v>bye</v>
      </c>
      <c r="R1995" s="28" t="s">
        <v>14362</v>
      </c>
      <c r="S1995" s="53" t="s">
        <v>14363</v>
      </c>
      <c r="T1995" s="32" t="s">
        <v>14364</v>
      </c>
    </row>
    <row r="1996">
      <c r="A1996" s="33" t="s">
        <v>14365</v>
      </c>
      <c r="B1996" s="76" t="s">
        <v>1128</v>
      </c>
      <c r="C1996" s="41">
        <v>45441.0</v>
      </c>
      <c r="D1996" s="40" t="s">
        <v>14366</v>
      </c>
      <c r="E1996" s="41" t="s">
        <v>14367</v>
      </c>
      <c r="F1996" s="43" t="s">
        <v>14368</v>
      </c>
      <c r="G1996" s="43" t="s">
        <v>14369</v>
      </c>
      <c r="H1996" s="51" t="s">
        <v>130</v>
      </c>
      <c r="I1996" s="15" t="str">
        <f>IFERROR(__xludf.DUMMYFUNCTION("GOOGLETRANSLATE(H1996,""EN"",""ES"")"),"Sostenibilidad")</f>
        <v>Sostenibilidad</v>
      </c>
      <c r="J1996" s="16" t="s">
        <v>35</v>
      </c>
      <c r="K1996" s="48">
        <v>0.7</v>
      </c>
      <c r="L1996" s="51" t="s">
        <v>13418</v>
      </c>
      <c r="M1996" s="34" t="s">
        <v>13419</v>
      </c>
      <c r="N1996" s="65" t="s">
        <v>14370</v>
      </c>
      <c r="O1996" s="65" t="str">
        <f>IFERROR(__xludf.DUMMYFUNCTION("GOOGLETRANSLATE(N1996,""EN"",""ES"")"),"La ampliación de los servicios de reciclaje de petróleo refuerza la transición verde de Repsol.")</f>
        <v>La ampliación de los servicios de reciclaje de petróleo refuerza la transición verde de Repsol.</v>
      </c>
      <c r="P1996" s="30">
        <v>0.0</v>
      </c>
      <c r="Q1996" s="18"/>
      <c r="R1996" s="18"/>
      <c r="S1996" s="52" t="s">
        <v>469</v>
      </c>
      <c r="T1996" s="22" t="s">
        <v>470</v>
      </c>
    </row>
    <row r="1997">
      <c r="A1997" s="23" t="s">
        <v>14371</v>
      </c>
      <c r="B1997" s="77" t="s">
        <v>2696</v>
      </c>
      <c r="C1997" s="41">
        <v>45441.0</v>
      </c>
      <c r="D1997" s="40" t="s">
        <v>14372</v>
      </c>
      <c r="E1997" s="41" t="s">
        <v>14373</v>
      </c>
      <c r="F1997" s="43" t="s">
        <v>14374</v>
      </c>
      <c r="G1997" s="43" t="s">
        <v>14375</v>
      </c>
      <c r="H1997" s="51" t="s">
        <v>130</v>
      </c>
      <c r="I1997" s="25" t="str">
        <f>IFERROR(__xludf.DUMMYFUNCTION("GOOGLETRANSLATE(H1997,""EN"",""ES"")"),"Sostenibilidad")</f>
        <v>Sostenibilidad</v>
      </c>
      <c r="J1997" s="26" t="s">
        <v>27</v>
      </c>
      <c r="K1997" s="17">
        <v>0.0</v>
      </c>
      <c r="L1997" s="54"/>
      <c r="M1997" s="31"/>
      <c r="N1997" s="66"/>
      <c r="O1997" s="66"/>
      <c r="P1997" s="20">
        <v>0.0</v>
      </c>
      <c r="Q1997" s="31"/>
      <c r="R1997" s="31"/>
      <c r="S1997" s="53"/>
      <c r="T1997" s="32"/>
    </row>
    <row r="1998">
      <c r="A1998" s="33" t="s">
        <v>14376</v>
      </c>
      <c r="B1998" s="76" t="s">
        <v>21</v>
      </c>
      <c r="C1998" s="41">
        <v>45441.0</v>
      </c>
      <c r="D1998" s="40" t="s">
        <v>14377</v>
      </c>
      <c r="E1998" s="41" t="s">
        <v>14377</v>
      </c>
      <c r="F1998" s="43" t="s">
        <v>14378</v>
      </c>
      <c r="G1998" s="43" t="s">
        <v>14378</v>
      </c>
      <c r="H1998" s="51" t="s">
        <v>148</v>
      </c>
      <c r="I1998" s="15" t="str">
        <f>IFERROR(__xludf.DUMMYFUNCTION("GOOGLETRANSLATE(H1998,""EN"",""ES"")"),"Gastronomía")</f>
        <v>Gastronomía</v>
      </c>
      <c r="J1998" s="16" t="s">
        <v>27</v>
      </c>
      <c r="K1998" s="17">
        <v>0.0</v>
      </c>
      <c r="L1998" s="45"/>
      <c r="M1998" s="18"/>
      <c r="N1998" s="65"/>
      <c r="O1998" s="65"/>
      <c r="P1998" s="20">
        <v>0.0</v>
      </c>
      <c r="Q1998" s="18"/>
      <c r="R1998" s="18"/>
      <c r="S1998" s="52"/>
      <c r="T1998" s="22"/>
    </row>
    <row r="1999">
      <c r="A1999" s="23" t="s">
        <v>14379</v>
      </c>
      <c r="B1999" s="77" t="s">
        <v>14380</v>
      </c>
      <c r="C1999" s="41">
        <v>45441.0</v>
      </c>
      <c r="D1999" s="40" t="s">
        <v>14381</v>
      </c>
      <c r="E1999" s="41" t="s">
        <v>14382</v>
      </c>
      <c r="F1999" s="43" t="s">
        <v>14383</v>
      </c>
      <c r="G1999" s="43" t="s">
        <v>14384</v>
      </c>
      <c r="H1999" s="51" t="s">
        <v>130</v>
      </c>
      <c r="I1999" s="25" t="str">
        <f>IFERROR(__xludf.DUMMYFUNCTION("GOOGLETRANSLATE(H1999,""EN"",""ES"")"),"Sostenibilidad")</f>
        <v>Sostenibilidad</v>
      </c>
      <c r="J1999" s="26" t="s">
        <v>27</v>
      </c>
      <c r="K1999" s="17">
        <v>0.0</v>
      </c>
      <c r="L1999" s="54"/>
      <c r="M1999" s="31"/>
      <c r="N1999" s="66"/>
      <c r="O1999" s="66"/>
      <c r="P1999" s="20">
        <v>0.0</v>
      </c>
      <c r="Q1999" s="31"/>
      <c r="R1999" s="31"/>
      <c r="S1999" s="53"/>
      <c r="T1999" s="32"/>
    </row>
    <row r="2000">
      <c r="A2000" s="33" t="s">
        <v>14385</v>
      </c>
      <c r="B2000" s="76" t="s">
        <v>1005</v>
      </c>
      <c r="C2000" s="41">
        <v>45441.0</v>
      </c>
      <c r="D2000" s="40" t="s">
        <v>14386</v>
      </c>
      <c r="E2000" s="41" t="s">
        <v>14387</v>
      </c>
      <c r="F2000" s="43" t="s">
        <v>14388</v>
      </c>
      <c r="G2000" s="43" t="s">
        <v>14389</v>
      </c>
      <c r="H2000" s="51" t="s">
        <v>130</v>
      </c>
      <c r="I2000" s="15" t="str">
        <f>IFERROR(__xludf.DUMMYFUNCTION("GOOGLETRANSLATE(H2000,""EN"",""ES"")"),"Sostenibilidad")</f>
        <v>Sostenibilidad</v>
      </c>
      <c r="J2000" s="16" t="s">
        <v>27</v>
      </c>
      <c r="K2000" s="17">
        <v>0.0</v>
      </c>
      <c r="L2000" s="45"/>
      <c r="M2000" s="18"/>
      <c r="N2000" s="65"/>
      <c r="O2000" s="65"/>
      <c r="P2000" s="20">
        <v>0.0</v>
      </c>
      <c r="Q2000" s="18"/>
      <c r="R2000" s="18"/>
      <c r="S2000" s="52"/>
      <c r="T2000" s="22"/>
    </row>
    <row r="2001">
      <c r="A2001" s="23" t="s">
        <v>14390</v>
      </c>
      <c r="B2001" s="77" t="s">
        <v>431</v>
      </c>
      <c r="C2001" s="41">
        <v>45441.0</v>
      </c>
      <c r="D2001" s="40" t="s">
        <v>14391</v>
      </c>
      <c r="E2001" s="41" t="s">
        <v>14392</v>
      </c>
      <c r="F2001" s="43" t="s">
        <v>14393</v>
      </c>
      <c r="G2001" s="43" t="s">
        <v>14394</v>
      </c>
      <c r="H2001" s="51" t="s">
        <v>661</v>
      </c>
      <c r="I2001" s="25" t="str">
        <f>IFERROR(__xludf.DUMMYFUNCTION("GOOGLETRANSLATE(H2001,""EN"",""ES"")"),"Estrategia empresarial")</f>
        <v>Estrategia empresarial</v>
      </c>
      <c r="J2001" s="26" t="s">
        <v>35</v>
      </c>
      <c r="K2001" s="48">
        <v>0.6</v>
      </c>
      <c r="L2001" s="49" t="s">
        <v>14395</v>
      </c>
      <c r="M2001" s="28" t="s">
        <v>14396</v>
      </c>
      <c r="N2001" s="66" t="s">
        <v>14397</v>
      </c>
      <c r="O2001" s="66" t="str">
        <f>IFERROR(__xludf.DUMMYFUNCTION("GOOGLETRANSLATE(N2001,""EN"",""ES"")"),"La ampliación de líneas de negocio y la creación de empleo fortalecen la presencia industrial de Repsol.")</f>
        <v>La ampliación de líneas de negocio y la creación de empleo fortalecen la presencia industrial de Repsol.</v>
      </c>
      <c r="P2001" s="30">
        <v>0.0</v>
      </c>
      <c r="Q2001" s="31"/>
      <c r="R2001" s="31"/>
      <c r="S2001" s="53" t="s">
        <v>11665</v>
      </c>
      <c r="T2001" s="32" t="s">
        <v>11666</v>
      </c>
    </row>
    <row r="2002">
      <c r="A2002" s="33" t="s">
        <v>14398</v>
      </c>
      <c r="B2002" s="76" t="s">
        <v>977</v>
      </c>
      <c r="C2002" s="41">
        <v>45441.0</v>
      </c>
      <c r="D2002" s="40" t="s">
        <v>14399</v>
      </c>
      <c r="E2002" s="41" t="s">
        <v>14400</v>
      </c>
      <c r="F2002" s="43" t="s">
        <v>14401</v>
      </c>
      <c r="G2002" s="43" t="s">
        <v>14402</v>
      </c>
      <c r="H2002" s="51" t="s">
        <v>408</v>
      </c>
      <c r="I2002" s="15" t="str">
        <f>IFERROR(__xludf.DUMMYFUNCTION("GOOGLETRANSLATE(H2002,""EN"",""ES"")"),"Legal")</f>
        <v>Legal</v>
      </c>
      <c r="J2002" s="16" t="s">
        <v>35</v>
      </c>
      <c r="K2002" s="48">
        <v>-0.7</v>
      </c>
      <c r="L2002" s="51" t="s">
        <v>9922</v>
      </c>
      <c r="M2002" s="34" t="s">
        <v>9923</v>
      </c>
      <c r="N2002" s="65" t="s">
        <v>14403</v>
      </c>
      <c r="O2002" s="65" t="str">
        <f>IFERROR(__xludf.DUMMYFUNCTION("GOOGLETRANSLATE(N2002,""EN"",""ES"")"),"Los informes sobre derrames de petróleo y las advertencias de las ONG pueden dañar la reputación de Repsol.")</f>
        <v>Los informes sobre derrames de petróleo y las advertencias de las ONG pueden dañar la reputación de Repsol.</v>
      </c>
      <c r="P2002" s="30">
        <v>-0.8</v>
      </c>
      <c r="Q2002" s="18" t="str">
        <f>IFERROR(__xludf.DUMMYFUNCTION("GOOGLETRANSLATE(R2002,""ES"",""EN"")"),"beach oil")</f>
        <v>beach oil</v>
      </c>
      <c r="R2002" s="34" t="s">
        <v>14404</v>
      </c>
      <c r="S2002" s="52" t="s">
        <v>14405</v>
      </c>
      <c r="T2002" s="22" t="s">
        <v>14406</v>
      </c>
    </row>
    <row r="2003">
      <c r="A2003" s="23" t="s">
        <v>14407</v>
      </c>
      <c r="B2003" s="77" t="s">
        <v>4634</v>
      </c>
      <c r="C2003" s="41">
        <v>45442.0</v>
      </c>
      <c r="D2003" s="40" t="s">
        <v>14408</v>
      </c>
      <c r="E2003" s="41" t="s">
        <v>14409</v>
      </c>
      <c r="F2003" s="43" t="s">
        <v>14410</v>
      </c>
      <c r="G2003" s="43" t="s">
        <v>14411</v>
      </c>
      <c r="H2003" s="51" t="s">
        <v>130</v>
      </c>
      <c r="I2003" s="25" t="str">
        <f>IFERROR(__xludf.DUMMYFUNCTION("GOOGLETRANSLATE(H2003,""EN"",""ES"")"),"Sostenibilidad")</f>
        <v>Sostenibilidad</v>
      </c>
      <c r="J2003" s="26" t="s">
        <v>35</v>
      </c>
      <c r="K2003" s="48">
        <v>0.7</v>
      </c>
      <c r="L2003" s="49" t="s">
        <v>14412</v>
      </c>
      <c r="M2003" s="28" t="s">
        <v>14413</v>
      </c>
      <c r="N2003" s="66" t="s">
        <v>14414</v>
      </c>
      <c r="O2003" s="66" t="str">
        <f>IFERROR(__xludf.DUMMYFUNCTION("GOOGLETRANSLATE(N2003,""EN"",""ES"")"),"Impulsar incentivos al reciclaje potencia el compromiso medioambiental de Repsol.")</f>
        <v>Impulsar incentivos al reciclaje potencia el compromiso medioambiental de Repsol.</v>
      </c>
      <c r="P2003" s="30">
        <v>0.5</v>
      </c>
      <c r="Q2003" s="31" t="str">
        <f>IFERROR(__xludf.DUMMYFUNCTION("GOOGLETRANSLATE(R2003,""ES"",""EN"")"),"pay used oil")</f>
        <v>pay used oil</v>
      </c>
      <c r="R2003" s="28" t="s">
        <v>14415</v>
      </c>
      <c r="S2003" s="53" t="s">
        <v>14416</v>
      </c>
      <c r="T2003" s="32" t="s">
        <v>14417</v>
      </c>
    </row>
    <row r="2004">
      <c r="A2004" s="33" t="s">
        <v>14418</v>
      </c>
      <c r="B2004" s="76" t="s">
        <v>85</v>
      </c>
      <c r="C2004" s="41">
        <v>45442.0</v>
      </c>
      <c r="D2004" s="40" t="s">
        <v>14419</v>
      </c>
      <c r="E2004" s="41" t="s">
        <v>14420</v>
      </c>
      <c r="F2004" s="43" t="s">
        <v>14421</v>
      </c>
      <c r="G2004" s="43" t="s">
        <v>14422</v>
      </c>
      <c r="H2004" s="51" t="s">
        <v>130</v>
      </c>
      <c r="I2004" s="15" t="str">
        <f>IFERROR(__xludf.DUMMYFUNCTION("GOOGLETRANSLATE(H2004,""EN"",""ES"")"),"Sostenibilidad")</f>
        <v>Sostenibilidad</v>
      </c>
      <c r="J2004" s="16" t="s">
        <v>35</v>
      </c>
      <c r="K2004" s="48">
        <v>0.7</v>
      </c>
      <c r="L2004" s="51" t="s">
        <v>14423</v>
      </c>
      <c r="M2004" s="34" t="s">
        <v>14424</v>
      </c>
      <c r="N2004" s="65" t="s">
        <v>14425</v>
      </c>
      <c r="O2004" s="65" t="str">
        <f>IFERROR(__xludf.DUMMYFUNCTION("GOOGLETRANSLATE(N2004,""EN"",""ES"")"),"Fomentar la gestión sostenible de residuos se alinea con las iniciativas de energías limpias de Repsol.")</f>
        <v>Fomentar la gestión sostenible de residuos se alinea con las iniciativas de energías limpias de Repsol.</v>
      </c>
      <c r="P2004" s="30">
        <v>0.7</v>
      </c>
      <c r="Q2004" s="18" t="str">
        <f>IFERROR(__xludf.DUMMYFUNCTION("GOOGLETRANSLATE(R2004,""ES"",""EN"")"),"give away money, used oil")</f>
        <v>give away money, used oil</v>
      </c>
      <c r="R2004" s="34" t="s">
        <v>14426</v>
      </c>
      <c r="S2004" s="52" t="s">
        <v>11820</v>
      </c>
      <c r="T2004" s="22" t="s">
        <v>11821</v>
      </c>
    </row>
    <row r="2005">
      <c r="A2005" s="23" t="s">
        <v>14427</v>
      </c>
      <c r="B2005" s="77" t="s">
        <v>50</v>
      </c>
      <c r="C2005" s="41">
        <v>45442.0</v>
      </c>
      <c r="D2005" s="40" t="s">
        <v>14428</v>
      </c>
      <c r="E2005" s="41" t="s">
        <v>14429</v>
      </c>
      <c r="F2005" s="43" t="s">
        <v>14430</v>
      </c>
      <c r="G2005" s="43" t="s">
        <v>14431</v>
      </c>
      <c r="H2005" s="51" t="s">
        <v>130</v>
      </c>
      <c r="I2005" s="25" t="str">
        <f>IFERROR(__xludf.DUMMYFUNCTION("GOOGLETRANSLATE(H2005,""EN"",""ES"")"),"Sostenibilidad")</f>
        <v>Sostenibilidad</v>
      </c>
      <c r="J2005" s="26" t="s">
        <v>35</v>
      </c>
      <c r="K2005" s="48">
        <v>0.7</v>
      </c>
      <c r="L2005" s="49" t="s">
        <v>13418</v>
      </c>
      <c r="M2005" s="28" t="s">
        <v>13419</v>
      </c>
      <c r="N2005" s="66" t="s">
        <v>14432</v>
      </c>
      <c r="O2005" s="66" t="str">
        <f>IFERROR(__xludf.DUMMYFUNCTION("GOOGLETRANSLATE(N2005,""EN"",""ES"")"),"Fomentar el reciclaje del petróleo apoya la transición energética verde de Repsol.")</f>
        <v>Fomentar el reciclaje del petróleo apoya la transición energética verde de Repsol.</v>
      </c>
      <c r="P2005" s="30">
        <v>0.7</v>
      </c>
      <c r="Q2005" s="31" t="str">
        <f>IFERROR(__xludf.DUMMYFUNCTION("GOOGLETRANSLATE(R2005,""ES"",""EN"")"),"recycling incentive")</f>
        <v>recycling incentive</v>
      </c>
      <c r="R2005" s="28" t="s">
        <v>14433</v>
      </c>
      <c r="S2005" s="53" t="s">
        <v>11820</v>
      </c>
      <c r="T2005" s="32" t="s">
        <v>11821</v>
      </c>
    </row>
    <row r="2006">
      <c r="A2006" s="33" t="s">
        <v>14434</v>
      </c>
      <c r="B2006" s="76" t="s">
        <v>558</v>
      </c>
      <c r="C2006" s="41">
        <v>45442.0</v>
      </c>
      <c r="D2006" s="40" t="s">
        <v>14435</v>
      </c>
      <c r="E2006" s="41" t="s">
        <v>14436</v>
      </c>
      <c r="F2006" s="43" t="s">
        <v>14437</v>
      </c>
      <c r="G2006" s="43" t="s">
        <v>14438</v>
      </c>
      <c r="H2006" s="51" t="s">
        <v>48</v>
      </c>
      <c r="I2006" s="15" t="str">
        <f>IFERROR(__xludf.DUMMYFUNCTION("GOOGLETRANSLATE(H2006,""EN"",""ES"")"),"Finanzas")</f>
        <v>Finanzas</v>
      </c>
      <c r="J2006" s="16" t="s">
        <v>35</v>
      </c>
      <c r="K2006" s="48">
        <v>0.7</v>
      </c>
      <c r="L2006" s="51" t="s">
        <v>12529</v>
      </c>
      <c r="M2006" s="34" t="s">
        <v>12530</v>
      </c>
      <c r="N2006" s="65" t="s">
        <v>14439</v>
      </c>
      <c r="O2006" s="65" t="str">
        <f>IFERROR(__xludf.DUMMYFUNCTION("GOOGLETRANSLATE(N2006,""EN"",""ES"")"),"Los fuertes pagos de dividendos refuerzan la confianza de los inversores en Repsol.")</f>
        <v>Los fuertes pagos de dividendos refuerzan la confianza de los inversores en Repsol.</v>
      </c>
      <c r="P2006" s="30">
        <v>0.4</v>
      </c>
      <c r="Q2006" s="18" t="str">
        <f>IFERROR(__xludf.DUMMYFUNCTION("GOOGLETRANSLATE(R2006,""ES"",""EN"")"),"dividend")</f>
        <v>dividend</v>
      </c>
      <c r="R2006" s="34" t="s">
        <v>12532</v>
      </c>
      <c r="S2006" s="52" t="s">
        <v>14440</v>
      </c>
      <c r="T2006" s="22" t="s">
        <v>14441</v>
      </c>
    </row>
    <row r="2007">
      <c r="A2007" s="23" t="s">
        <v>14442</v>
      </c>
      <c r="B2007" s="77" t="s">
        <v>103</v>
      </c>
      <c r="C2007" s="41">
        <v>45442.0</v>
      </c>
      <c r="D2007" s="40" t="s">
        <v>14443</v>
      </c>
      <c r="E2007" s="41" t="s">
        <v>14444</v>
      </c>
      <c r="F2007" s="43" t="s">
        <v>14445</v>
      </c>
      <c r="G2007" s="43" t="s">
        <v>14446</v>
      </c>
      <c r="H2007" s="51" t="s">
        <v>408</v>
      </c>
      <c r="I2007" s="25" t="str">
        <f>IFERROR(__xludf.DUMMYFUNCTION("GOOGLETRANSLATE(H2007,""EN"",""ES"")"),"Legal")</f>
        <v>Legal</v>
      </c>
      <c r="J2007" s="26" t="s">
        <v>35</v>
      </c>
      <c r="K2007" s="48">
        <v>0.0</v>
      </c>
      <c r="L2007" s="54"/>
      <c r="M2007" s="31"/>
      <c r="N2007" s="66" t="s">
        <v>14447</v>
      </c>
      <c r="O2007" s="66" t="str">
        <f>IFERROR(__xludf.DUMMYFUNCTION("GOOGLETRANSLATE(N2007,""EN"",""ES"")"),"Las disputas fiscales individuales no impactan en la percepción corporativa de Repsol.")</f>
        <v>Las disputas fiscales individuales no impactan en la percepción corporativa de Repsol.</v>
      </c>
      <c r="P2007" s="30">
        <v>0.0</v>
      </c>
      <c r="Q2007" s="31"/>
      <c r="R2007" s="31"/>
      <c r="S2007" s="53" t="s">
        <v>14448</v>
      </c>
      <c r="T2007" s="32" t="s">
        <v>14449</v>
      </c>
    </row>
    <row r="2008">
      <c r="A2008" s="33" t="s">
        <v>14450</v>
      </c>
      <c r="B2008" s="76" t="s">
        <v>14451</v>
      </c>
      <c r="C2008" s="41">
        <v>45442.0</v>
      </c>
      <c r="D2008" s="40" t="s">
        <v>14452</v>
      </c>
      <c r="E2008" s="41" t="s">
        <v>14453</v>
      </c>
      <c r="F2008" s="43" t="s">
        <v>14454</v>
      </c>
      <c r="G2008" s="43" t="s">
        <v>14455</v>
      </c>
      <c r="H2008" s="51" t="s">
        <v>130</v>
      </c>
      <c r="I2008" s="15" t="str">
        <f>IFERROR(__xludf.DUMMYFUNCTION("GOOGLETRANSLATE(H2008,""EN"",""ES"")"),"Sostenibilidad")</f>
        <v>Sostenibilidad</v>
      </c>
      <c r="J2008" s="16" t="s">
        <v>35</v>
      </c>
      <c r="K2008" s="48">
        <v>0.7</v>
      </c>
      <c r="L2008" s="51" t="s">
        <v>12082</v>
      </c>
      <c r="M2008" s="34" t="s">
        <v>12083</v>
      </c>
      <c r="N2008" s="65" t="s">
        <v>14456</v>
      </c>
      <c r="O2008" s="65" t="str">
        <f>IFERROR(__xludf.DUMMYFUNCTION("GOOGLETRANSLATE(N2008,""EN"",""ES"")"),"Apoyar iniciativas de sostenibilidad mejora la reputación medioambiental de Repsol.")</f>
        <v>Apoyar iniciativas de sostenibilidad mejora la reputación medioambiental de Repsol.</v>
      </c>
      <c r="P2008" s="30">
        <v>0.6</v>
      </c>
      <c r="Q2008" s="18" t="str">
        <f>IFERROR(__xludf.DUMMYFUNCTION("GOOGLETRANSLATE(R2008,""ES"",""EN"")"),"transition awards")</f>
        <v>transition awards</v>
      </c>
      <c r="R2008" s="34" t="s">
        <v>14457</v>
      </c>
      <c r="S2008" s="52" t="s">
        <v>14458</v>
      </c>
      <c r="T2008" s="22" t="s">
        <v>14459</v>
      </c>
    </row>
    <row r="2009">
      <c r="A2009" s="23" t="s">
        <v>14460</v>
      </c>
      <c r="B2009" s="77" t="s">
        <v>91</v>
      </c>
      <c r="C2009" s="41">
        <v>45442.0</v>
      </c>
      <c r="D2009" s="40" t="s">
        <v>14461</v>
      </c>
      <c r="E2009" s="41" t="s">
        <v>14462</v>
      </c>
      <c r="F2009" s="43" t="s">
        <v>14463</v>
      </c>
      <c r="G2009" s="43" t="s">
        <v>14464</v>
      </c>
      <c r="H2009" s="51" t="s">
        <v>130</v>
      </c>
      <c r="I2009" s="25" t="str">
        <f>IFERROR(__xludf.DUMMYFUNCTION("GOOGLETRANSLATE(H2009,""EN"",""ES"")"),"Sostenibilidad")</f>
        <v>Sostenibilidad</v>
      </c>
      <c r="J2009" s="26" t="s">
        <v>35</v>
      </c>
      <c r="K2009" s="48">
        <v>0.7</v>
      </c>
      <c r="L2009" s="49" t="s">
        <v>14465</v>
      </c>
      <c r="M2009" s="28" t="s">
        <v>14466</v>
      </c>
      <c r="N2009" s="66" t="s">
        <v>14467</v>
      </c>
      <c r="O2009" s="66" t="str">
        <f>IFERROR(__xludf.DUMMYFUNCTION("GOOGLETRANSLATE(N2009,""EN"",""ES"")"),"Reforzar las alianzas con vehículos eléctricos se alinea con la estrategia de energías limpias de Repsol.")</f>
        <v>Reforzar las alianzas con vehículos eléctricos se alinea con la estrategia de energías limpias de Repsol.</v>
      </c>
      <c r="P2009" s="30">
        <v>0.5</v>
      </c>
      <c r="Q2009" s="31" t="str">
        <f>IFERROR(__xludf.DUMMYFUNCTION("GOOGLETRANSLATE(R2009,""ES"",""EN"")"),"electric alliance")</f>
        <v>electric alliance</v>
      </c>
      <c r="R2009" s="28" t="s">
        <v>14468</v>
      </c>
      <c r="S2009" s="53" t="s">
        <v>14469</v>
      </c>
      <c r="T2009" s="32" t="s">
        <v>14470</v>
      </c>
    </row>
    <row r="2010">
      <c r="A2010" s="33" t="s">
        <v>14471</v>
      </c>
      <c r="B2010" s="76" t="s">
        <v>1869</v>
      </c>
      <c r="C2010" s="41">
        <v>45442.0</v>
      </c>
      <c r="D2010" s="40" t="s">
        <v>14472</v>
      </c>
      <c r="E2010" s="41" t="s">
        <v>14473</v>
      </c>
      <c r="F2010" s="43" t="s">
        <v>14474</v>
      </c>
      <c r="G2010" s="43" t="s">
        <v>14475</v>
      </c>
      <c r="H2010" s="51" t="s">
        <v>55</v>
      </c>
      <c r="I2010" s="15" t="str">
        <f>IFERROR(__xludf.DUMMYFUNCTION("GOOGLETRANSLATE(H2010,""EN"",""ES"")"),"deportes de motor")</f>
        <v>deportes de motor</v>
      </c>
      <c r="J2010" s="16" t="s">
        <v>35</v>
      </c>
      <c r="K2010" s="48">
        <v>-0.7</v>
      </c>
      <c r="L2010" s="51" t="s">
        <v>14188</v>
      </c>
      <c r="M2010" s="34" t="s">
        <v>14189</v>
      </c>
      <c r="N2010" s="65" t="s">
        <v>14476</v>
      </c>
      <c r="O2010" s="65" t="str">
        <f>IFERROR(__xludf.DUMMYFUNCTION("GOOGLETRANSLATE(N2010,""EN"",""ES"")"),"Poner fin a un patrocinio de larga data puede reducir la visibilidad de Repsol en los deportes de motor.")</f>
        <v>Poner fin a un patrocinio de larga data puede reducir la visibilidad de Repsol en los deportes de motor.</v>
      </c>
      <c r="P2010" s="30">
        <v>-0.2</v>
      </c>
      <c r="Q2010" s="18" t="str">
        <f>IFERROR(__xludf.DUMMYFUNCTION("GOOGLETRANSLATE(R2010,""ES"",""EN"")"),"-")</f>
        <v>-</v>
      </c>
      <c r="R2010" s="34" t="s">
        <v>11852</v>
      </c>
      <c r="S2010" s="52" t="s">
        <v>14477</v>
      </c>
      <c r="T2010" s="22" t="s">
        <v>14478</v>
      </c>
    </row>
    <row r="2011">
      <c r="A2011" s="23" t="s">
        <v>14479</v>
      </c>
      <c r="B2011" s="77" t="s">
        <v>2002</v>
      </c>
      <c r="C2011" s="41">
        <v>45442.0</v>
      </c>
      <c r="D2011" s="40" t="s">
        <v>14480</v>
      </c>
      <c r="E2011" s="41" t="s">
        <v>14481</v>
      </c>
      <c r="F2011" s="43" t="s">
        <v>14482</v>
      </c>
      <c r="G2011" s="43" t="s">
        <v>14483</v>
      </c>
      <c r="H2011" s="51" t="s">
        <v>155</v>
      </c>
      <c r="I2011" s="25" t="str">
        <f>IFERROR(__xludf.DUMMYFUNCTION("GOOGLETRANSLATE(H2011,""EN"",""ES"")"),"Marketing")</f>
        <v>Marketing</v>
      </c>
      <c r="J2011" s="26" t="s">
        <v>35</v>
      </c>
      <c r="K2011" s="48">
        <v>0.6</v>
      </c>
      <c r="L2011" s="49" t="s">
        <v>14484</v>
      </c>
      <c r="M2011" s="28" t="s">
        <v>14485</v>
      </c>
      <c r="N2011" s="66" t="s">
        <v>14486</v>
      </c>
      <c r="O2011" s="66" t="str">
        <f>IFERROR(__xludf.DUMMYFUNCTION("GOOGLETRANSLATE(N2011,""EN"",""ES"")"),"Reforzar la marca del deporte del motor refuerza el compromiso público de Repsol.")</f>
        <v>Reforzar la marca del deporte del motor refuerza el compromiso público de Repsol.</v>
      </c>
      <c r="P2011" s="30">
        <v>0.1</v>
      </c>
      <c r="Q2011" s="31" t="str">
        <f>IFERROR(__xludf.DUMMYFUNCTION("GOOGLETRANSLATE(R2011,""ES"",""EN"")"),"-")</f>
        <v>-</v>
      </c>
      <c r="R2011" s="28" t="s">
        <v>11852</v>
      </c>
      <c r="S2011" s="53" t="s">
        <v>14487</v>
      </c>
      <c r="T2011" s="32" t="s">
        <v>14488</v>
      </c>
    </row>
    <row r="2012">
      <c r="A2012" s="33" t="s">
        <v>14489</v>
      </c>
      <c r="B2012" s="76" t="s">
        <v>9506</v>
      </c>
      <c r="C2012" s="41">
        <v>45442.0</v>
      </c>
      <c r="D2012" s="40" t="s">
        <v>14490</v>
      </c>
      <c r="E2012" s="41" t="s">
        <v>14491</v>
      </c>
      <c r="F2012" s="43" t="s">
        <v>14492</v>
      </c>
      <c r="G2012" s="43" t="s">
        <v>14493</v>
      </c>
      <c r="H2012" s="51" t="s">
        <v>782</v>
      </c>
      <c r="I2012" s="15" t="str">
        <f>IFERROR(__xludf.DUMMYFUNCTION("GOOGLETRANSLATE(H2012,""EN"",""ES"")"),"Tecnología")</f>
        <v>Tecnología</v>
      </c>
      <c r="J2012" s="16" t="s">
        <v>27</v>
      </c>
      <c r="K2012" s="17">
        <v>0.0</v>
      </c>
      <c r="L2012" s="45"/>
      <c r="M2012" s="18"/>
      <c r="N2012" s="65"/>
      <c r="O2012" s="65"/>
      <c r="P2012" s="20">
        <v>0.0</v>
      </c>
      <c r="Q2012" s="18"/>
      <c r="R2012" s="18"/>
      <c r="S2012" s="52"/>
      <c r="T2012" s="22"/>
    </row>
    <row r="2013">
      <c r="A2013" s="23" t="s">
        <v>14494</v>
      </c>
      <c r="B2013" s="77" t="s">
        <v>2442</v>
      </c>
      <c r="C2013" s="41">
        <v>45442.0</v>
      </c>
      <c r="D2013" s="40" t="s">
        <v>14495</v>
      </c>
      <c r="E2013" s="41" t="s">
        <v>14496</v>
      </c>
      <c r="F2013" s="43" t="s">
        <v>14497</v>
      </c>
      <c r="G2013" s="43" t="s">
        <v>14498</v>
      </c>
      <c r="H2013" s="51" t="s">
        <v>408</v>
      </c>
      <c r="I2013" s="25" t="str">
        <f>IFERROR(__xludf.DUMMYFUNCTION("GOOGLETRANSLATE(H2013,""EN"",""ES"")"),"Legal")</f>
        <v>Legal</v>
      </c>
      <c r="J2013" s="26" t="s">
        <v>35</v>
      </c>
      <c r="K2013" s="48">
        <v>-0.6</v>
      </c>
      <c r="L2013" s="49" t="s">
        <v>14499</v>
      </c>
      <c r="M2013" s="28" t="s">
        <v>14500</v>
      </c>
      <c r="N2013" s="66" t="s">
        <v>14501</v>
      </c>
      <c r="O2013" s="66" t="str">
        <f>IFERROR(__xludf.DUMMYFUNCTION("GOOGLETRANSLATE(N2013,""EN"",""ES"")"),"Los vertidos medioambientales pueden impactar negativamente en la imagen pública de Repsol.")</f>
        <v>Los vertidos medioambientales pueden impactar negativamente en la imagen pública de Repsol.</v>
      </c>
      <c r="P2013" s="30">
        <v>0.0</v>
      </c>
      <c r="Q2013" s="31"/>
      <c r="R2013" s="31"/>
      <c r="S2013" s="53" t="s">
        <v>14502</v>
      </c>
      <c r="T2013" s="32" t="s">
        <v>14503</v>
      </c>
    </row>
    <row r="2014">
      <c r="A2014" s="33" t="s">
        <v>14504</v>
      </c>
      <c r="B2014" s="76" t="s">
        <v>74</v>
      </c>
      <c r="C2014" s="41">
        <v>45442.0</v>
      </c>
      <c r="D2014" s="40" t="s">
        <v>14505</v>
      </c>
      <c r="E2014" s="41" t="s">
        <v>14506</v>
      </c>
      <c r="F2014" s="43" t="s">
        <v>14507</v>
      </c>
      <c r="G2014" s="43" t="s">
        <v>14508</v>
      </c>
      <c r="H2014" s="51" t="s">
        <v>148</v>
      </c>
      <c r="I2014" s="15" t="str">
        <f>IFERROR(__xludf.DUMMYFUNCTION("GOOGLETRANSLATE(H2014,""EN"",""ES"")"),"Gastronomía")</f>
        <v>Gastronomía</v>
      </c>
      <c r="J2014" s="16" t="s">
        <v>27</v>
      </c>
      <c r="K2014" s="17">
        <v>0.0</v>
      </c>
      <c r="L2014" s="45"/>
      <c r="M2014" s="18"/>
      <c r="N2014" s="65"/>
      <c r="O2014" s="65"/>
      <c r="P2014" s="20">
        <v>0.0</v>
      </c>
      <c r="Q2014" s="18"/>
      <c r="R2014" s="18"/>
      <c r="S2014" s="52"/>
      <c r="T2014" s="22"/>
    </row>
    <row r="2015">
      <c r="A2015" s="23" t="s">
        <v>14509</v>
      </c>
      <c r="B2015" s="77" t="s">
        <v>2696</v>
      </c>
      <c r="C2015" s="41">
        <v>45442.0</v>
      </c>
      <c r="D2015" s="40" t="s">
        <v>14510</v>
      </c>
      <c r="E2015" s="41" t="s">
        <v>14511</v>
      </c>
      <c r="F2015" s="43" t="s">
        <v>14512</v>
      </c>
      <c r="G2015" s="43" t="s">
        <v>14513</v>
      </c>
      <c r="H2015" s="51" t="s">
        <v>5878</v>
      </c>
      <c r="I2015" s="25" t="str">
        <f>IFERROR(__xludf.DUMMYFUNCTION("GOOGLETRANSLATE(H2015,""EN"",""ES"")"),"Entretenimiento")</f>
        <v>Entretenimiento</v>
      </c>
      <c r="J2015" s="26" t="s">
        <v>27</v>
      </c>
      <c r="K2015" s="17">
        <v>0.0</v>
      </c>
      <c r="L2015" s="54"/>
      <c r="M2015" s="31"/>
      <c r="N2015" s="66"/>
      <c r="O2015" s="66"/>
      <c r="P2015" s="20">
        <v>0.0</v>
      </c>
      <c r="Q2015" s="31"/>
      <c r="R2015" s="31"/>
      <c r="S2015" s="53"/>
      <c r="T2015" s="32"/>
    </row>
    <row r="2016">
      <c r="A2016" s="33" t="s">
        <v>14514</v>
      </c>
      <c r="B2016" s="76" t="s">
        <v>977</v>
      </c>
      <c r="C2016" s="41">
        <v>45442.0</v>
      </c>
      <c r="D2016" s="40" t="s">
        <v>14515</v>
      </c>
      <c r="E2016" s="41" t="s">
        <v>14516</v>
      </c>
      <c r="F2016" s="43" t="s">
        <v>14517</v>
      </c>
      <c r="G2016" s="43" t="s">
        <v>14518</v>
      </c>
      <c r="H2016" s="51" t="s">
        <v>148</v>
      </c>
      <c r="I2016" s="15" t="str">
        <f>IFERROR(__xludf.DUMMYFUNCTION("GOOGLETRANSLATE(H2016,""EN"",""ES"")"),"Gastronomía")</f>
        <v>Gastronomía</v>
      </c>
      <c r="J2016" s="16" t="s">
        <v>27</v>
      </c>
      <c r="K2016" s="17">
        <v>0.0</v>
      </c>
      <c r="L2016" s="45"/>
      <c r="M2016" s="18"/>
      <c r="N2016" s="65"/>
      <c r="O2016" s="65"/>
      <c r="P2016" s="20">
        <v>0.0</v>
      </c>
      <c r="Q2016" s="18"/>
      <c r="R2016" s="18"/>
      <c r="S2016" s="52"/>
      <c r="T2016" s="22"/>
    </row>
    <row r="2017">
      <c r="A2017" s="23" t="s">
        <v>14519</v>
      </c>
      <c r="B2017" s="77" t="s">
        <v>9217</v>
      </c>
      <c r="C2017" s="41">
        <v>45442.0</v>
      </c>
      <c r="D2017" s="40" t="s">
        <v>14520</v>
      </c>
      <c r="E2017" s="41" t="s">
        <v>14521</v>
      </c>
      <c r="F2017" s="43" t="s">
        <v>14522</v>
      </c>
      <c r="G2017" s="43" t="s">
        <v>14523</v>
      </c>
      <c r="H2017" s="51" t="s">
        <v>5878</v>
      </c>
      <c r="I2017" s="25" t="str">
        <f>IFERROR(__xludf.DUMMYFUNCTION("GOOGLETRANSLATE(H2017,""EN"",""ES"")"),"Entretenimiento")</f>
        <v>Entretenimiento</v>
      </c>
      <c r="J2017" s="26" t="s">
        <v>27</v>
      </c>
      <c r="K2017" s="17">
        <v>0.0</v>
      </c>
      <c r="L2017" s="54"/>
      <c r="M2017" s="31"/>
      <c r="N2017" s="66"/>
      <c r="O2017" s="66"/>
      <c r="P2017" s="20">
        <v>0.0</v>
      </c>
      <c r="Q2017" s="31"/>
      <c r="R2017" s="31"/>
      <c r="S2017" s="53"/>
      <c r="T2017" s="32"/>
    </row>
    <row r="2018">
      <c r="A2018" s="33" t="s">
        <v>14524</v>
      </c>
      <c r="B2018" s="76" t="s">
        <v>1869</v>
      </c>
      <c r="C2018" s="41">
        <v>45442.0</v>
      </c>
      <c r="D2018" s="40" t="s">
        <v>14525</v>
      </c>
      <c r="E2018" s="41" t="s">
        <v>14526</v>
      </c>
      <c r="F2018" s="43" t="s">
        <v>14527</v>
      </c>
      <c r="G2018" s="43" t="s">
        <v>14528</v>
      </c>
      <c r="H2018" s="51" t="s">
        <v>55</v>
      </c>
      <c r="I2018" s="15" t="str">
        <f>IFERROR(__xludf.DUMMYFUNCTION("GOOGLETRANSLATE(H2018,""EN"",""ES"")"),"deportes de motor")</f>
        <v>deportes de motor</v>
      </c>
      <c r="J2018" s="16" t="s">
        <v>27</v>
      </c>
      <c r="K2018" s="17">
        <v>0.0</v>
      </c>
      <c r="L2018" s="45"/>
      <c r="M2018" s="18"/>
      <c r="N2018" s="65"/>
      <c r="O2018" s="65"/>
      <c r="P2018" s="20">
        <v>0.0</v>
      </c>
      <c r="Q2018" s="18"/>
      <c r="R2018" s="18"/>
      <c r="S2018" s="52"/>
      <c r="T2018" s="22"/>
    </row>
    <row r="2019">
      <c r="A2019" s="23" t="s">
        <v>14529</v>
      </c>
      <c r="B2019" s="77" t="s">
        <v>14530</v>
      </c>
      <c r="C2019" s="41">
        <v>45442.0</v>
      </c>
      <c r="D2019" s="40" t="s">
        <v>14531</v>
      </c>
      <c r="E2019" s="41" t="s">
        <v>14532</v>
      </c>
      <c r="F2019" s="43" t="s">
        <v>14533</v>
      </c>
      <c r="G2019" s="43" t="s">
        <v>14534</v>
      </c>
      <c r="H2019" s="51" t="s">
        <v>5878</v>
      </c>
      <c r="I2019" s="25" t="str">
        <f>IFERROR(__xludf.DUMMYFUNCTION("GOOGLETRANSLATE(H2019,""EN"",""ES"")"),"Entretenimiento")</f>
        <v>Entretenimiento</v>
      </c>
      <c r="J2019" s="26" t="s">
        <v>27</v>
      </c>
      <c r="K2019" s="17">
        <v>0.0</v>
      </c>
      <c r="L2019" s="54"/>
      <c r="M2019" s="31"/>
      <c r="N2019" s="66"/>
      <c r="O2019" s="66"/>
      <c r="P2019" s="20">
        <v>0.0</v>
      </c>
      <c r="Q2019" s="31"/>
      <c r="R2019" s="31"/>
      <c r="S2019" s="53"/>
      <c r="T2019" s="32"/>
    </row>
    <row r="2020">
      <c r="A2020" s="33" t="s">
        <v>14535</v>
      </c>
      <c r="B2020" s="76" t="s">
        <v>217</v>
      </c>
      <c r="C2020" s="41">
        <v>45443.0</v>
      </c>
      <c r="D2020" s="40" t="s">
        <v>14536</v>
      </c>
      <c r="E2020" s="41" t="s">
        <v>14537</v>
      </c>
      <c r="F2020" s="43" t="s">
        <v>14538</v>
      </c>
      <c r="G2020" s="43" t="s">
        <v>14539</v>
      </c>
      <c r="H2020" s="51" t="s">
        <v>34</v>
      </c>
      <c r="I2020" s="15" t="str">
        <f>IFERROR(__xludf.DUMMYFUNCTION("GOOGLETRANSLATE(H2020,""EN"",""ES"")"),"Responsabilidad Social Corporativa")</f>
        <v>Responsabilidad Social Corporativa</v>
      </c>
      <c r="J2020" s="16" t="s">
        <v>35</v>
      </c>
      <c r="K2020" s="48">
        <v>0.6</v>
      </c>
      <c r="L2020" s="51" t="s">
        <v>14540</v>
      </c>
      <c r="M2020" s="34" t="s">
        <v>14541</v>
      </c>
      <c r="N2020" s="65" t="s">
        <v>14542</v>
      </c>
      <c r="O2020" s="65" t="str">
        <f>IFERROR(__xludf.DUMMYFUNCTION("GOOGLETRANSLATE(N2020,""EN"",""ES"")"),"Poner en valor la diversidad de la plantilla potencia la marca empleadora de Repsol.")</f>
        <v>Poner en valor la diversidad de la plantilla potencia la marca empleadora de Repsol.</v>
      </c>
      <c r="P2020" s="30">
        <v>0.3</v>
      </c>
      <c r="Q2020" s="18" t="str">
        <f>IFERROR(__xludf.DUMMYFUNCTION("GOOGLETRANSLATE(R2020,""ES"",""EN"")"),"employment")</f>
        <v>employment</v>
      </c>
      <c r="R2020" s="34" t="s">
        <v>14543</v>
      </c>
      <c r="S2020" s="52" t="s">
        <v>14544</v>
      </c>
      <c r="T2020" s="22" t="s">
        <v>14545</v>
      </c>
    </row>
    <row r="2021">
      <c r="A2021" s="23" t="s">
        <v>14546</v>
      </c>
      <c r="B2021" s="77" t="s">
        <v>12007</v>
      </c>
      <c r="C2021" s="41">
        <v>45443.0</v>
      </c>
      <c r="D2021" s="40" t="s">
        <v>14547</v>
      </c>
      <c r="E2021" s="41" t="s">
        <v>14548</v>
      </c>
      <c r="F2021" s="43" t="s">
        <v>14549</v>
      </c>
      <c r="G2021" s="43" t="s">
        <v>14550</v>
      </c>
      <c r="H2021" s="51" t="s">
        <v>130</v>
      </c>
      <c r="I2021" s="25" t="str">
        <f>IFERROR(__xludf.DUMMYFUNCTION("GOOGLETRANSLATE(H2021,""EN"",""ES"")"),"Sostenibilidad")</f>
        <v>Sostenibilidad</v>
      </c>
      <c r="J2021" s="26" t="s">
        <v>35</v>
      </c>
      <c r="K2021" s="48">
        <v>0.7</v>
      </c>
      <c r="L2021" s="49" t="s">
        <v>12082</v>
      </c>
      <c r="M2021" s="28" t="s">
        <v>12083</v>
      </c>
      <c r="N2021" s="66" t="s">
        <v>14456</v>
      </c>
      <c r="O2021" s="66" t="str">
        <f>IFERROR(__xludf.DUMMYFUNCTION("GOOGLETRANSLATE(N2021,""EN"",""ES"")"),"Apoyar iniciativas de sostenibilidad mejora la reputación medioambiental de Repsol.")</f>
        <v>Apoyar iniciativas de sostenibilidad mejora la reputación medioambiental de Repsol.</v>
      </c>
      <c r="P2021" s="30">
        <v>0.5</v>
      </c>
      <c r="Q2021" s="31" t="str">
        <f>IFERROR(__xludf.DUMMYFUNCTION("GOOGLETRANSLATE(R2021,""ES"",""EN"")"),"sustainability awards")</f>
        <v>sustainability awards</v>
      </c>
      <c r="R2021" s="28" t="s">
        <v>14551</v>
      </c>
      <c r="S2021" s="53" t="s">
        <v>14552</v>
      </c>
      <c r="T2021" s="32" t="s">
        <v>14553</v>
      </c>
    </row>
    <row r="2022">
      <c r="A2022" s="33" t="s">
        <v>14554</v>
      </c>
      <c r="B2022" s="76" t="s">
        <v>674</v>
      </c>
      <c r="C2022" s="41">
        <v>45443.0</v>
      </c>
      <c r="D2022" s="40" t="s">
        <v>14555</v>
      </c>
      <c r="E2022" s="41" t="s">
        <v>14556</v>
      </c>
      <c r="F2022" s="43" t="s">
        <v>14557</v>
      </c>
      <c r="G2022" s="43" t="s">
        <v>14558</v>
      </c>
      <c r="H2022" s="51" t="s">
        <v>130</v>
      </c>
      <c r="I2022" s="15" t="str">
        <f>IFERROR(__xludf.DUMMYFUNCTION("GOOGLETRANSLATE(H2022,""EN"",""ES"")"),"Sostenibilidad")</f>
        <v>Sostenibilidad</v>
      </c>
      <c r="J2022" s="16" t="s">
        <v>35</v>
      </c>
      <c r="K2022" s="48">
        <v>0.7</v>
      </c>
      <c r="L2022" s="51" t="s">
        <v>14465</v>
      </c>
      <c r="M2022" s="34" t="s">
        <v>14466</v>
      </c>
      <c r="N2022" s="65" t="s">
        <v>14559</v>
      </c>
      <c r="O2022" s="65" t="str">
        <f>IFERROR(__xludf.DUMMYFUNCTION("GOOGLETRANSLATE(N2022,""EN"",""ES"")"),"La ampliación de los incentivos a los vehículos eléctricos fortalece las iniciativas de energía limpia de Repsol.")</f>
        <v>La ampliación de los incentivos a los vehículos eléctricos fortalece las iniciativas de energía limpia de Repsol.</v>
      </c>
      <c r="P2022" s="30">
        <v>0.0</v>
      </c>
      <c r="Q2022" s="18"/>
      <c r="R2022" s="18"/>
      <c r="S2022" s="52" t="s">
        <v>155</v>
      </c>
      <c r="T2022" s="22" t="s">
        <v>155</v>
      </c>
    </row>
    <row r="2023">
      <c r="A2023" s="23" t="s">
        <v>14560</v>
      </c>
      <c r="B2023" s="77" t="s">
        <v>3233</v>
      </c>
      <c r="C2023" s="41">
        <v>45443.0</v>
      </c>
      <c r="D2023" s="40" t="s">
        <v>14561</v>
      </c>
      <c r="E2023" s="41" t="s">
        <v>14562</v>
      </c>
      <c r="F2023" s="43" t="s">
        <v>14563</v>
      </c>
      <c r="G2023" s="43" t="s">
        <v>14564</v>
      </c>
      <c r="H2023" s="51" t="s">
        <v>408</v>
      </c>
      <c r="I2023" s="25" t="str">
        <f>IFERROR(__xludf.DUMMYFUNCTION("GOOGLETRANSLATE(H2023,""EN"",""ES"")"),"Legal")</f>
        <v>Legal</v>
      </c>
      <c r="J2023" s="26" t="s">
        <v>35</v>
      </c>
      <c r="K2023" s="48">
        <v>-0.8</v>
      </c>
      <c r="L2023" s="49" t="s">
        <v>9922</v>
      </c>
      <c r="M2023" s="28" t="s">
        <v>9923</v>
      </c>
      <c r="N2023" s="66" t="s">
        <v>13490</v>
      </c>
      <c r="O2023" s="66" t="str">
        <f>IFERROR(__xludf.DUMMYFUNCTION("GOOGLETRANSLATE(N2023,""EN"",""ES"")"),"El continuo escrutinio ambiental puede dañar la imagen pública de Repsol.")</f>
        <v>El continuo escrutinio ambiental puede dañar la imagen pública de Repsol.</v>
      </c>
      <c r="P2023" s="30">
        <v>-0.9</v>
      </c>
      <c r="Q2023" s="31" t="str">
        <f>IFERROR(__xludf.DUMMYFUNCTION("GOOGLETRANSLATE(R2023,""ES"",""EN"")"),"spill aftereffects")</f>
        <v>spill aftereffects</v>
      </c>
      <c r="R2023" s="28" t="s">
        <v>14565</v>
      </c>
      <c r="S2023" s="53" t="s">
        <v>13323</v>
      </c>
      <c r="T2023" s="32" t="s">
        <v>13324</v>
      </c>
    </row>
    <row r="2024">
      <c r="A2024" s="33" t="s">
        <v>14566</v>
      </c>
      <c r="B2024" s="76" t="s">
        <v>239</v>
      </c>
      <c r="C2024" s="41">
        <v>45443.0</v>
      </c>
      <c r="D2024" s="40" t="s">
        <v>14567</v>
      </c>
      <c r="E2024" s="41" t="s">
        <v>14568</v>
      </c>
      <c r="F2024" s="43" t="s">
        <v>14569</v>
      </c>
      <c r="G2024" s="43" t="s">
        <v>14570</v>
      </c>
      <c r="H2024" s="51" t="s">
        <v>55</v>
      </c>
      <c r="I2024" s="15" t="str">
        <f>IFERROR(__xludf.DUMMYFUNCTION("GOOGLETRANSLATE(H2024,""EN"",""ES"")"),"deportes de motor")</f>
        <v>deportes de motor</v>
      </c>
      <c r="J2024" s="16" t="s">
        <v>35</v>
      </c>
      <c r="K2024" s="48">
        <v>-0.7</v>
      </c>
      <c r="L2024" s="51" t="s">
        <v>14188</v>
      </c>
      <c r="M2024" s="34" t="s">
        <v>14189</v>
      </c>
      <c r="N2024" s="65" t="s">
        <v>14571</v>
      </c>
      <c r="O2024" s="65" t="str">
        <f>IFERROR(__xludf.DUMMYFUNCTION("GOOGLETRANSLATE(N2024,""EN"",""ES"")"),"Poner fin a un patrocinio de alto perfil puede afectar la marca de deportes de motor de Repsol.")</f>
        <v>Poner fin a un patrocinio de alto perfil puede afectar la marca de deportes de motor de Repsol.</v>
      </c>
      <c r="P2024" s="30">
        <v>-0.3</v>
      </c>
      <c r="Q2024" s="18" t="str">
        <f>IFERROR(__xludf.DUMMYFUNCTION("GOOGLETRANSLATE(R2024,""ES"",""EN"")"),"-")</f>
        <v>-</v>
      </c>
      <c r="R2024" s="34" t="s">
        <v>11852</v>
      </c>
      <c r="S2024" s="52" t="s">
        <v>14572</v>
      </c>
      <c r="T2024" s="22" t="s">
        <v>14573</v>
      </c>
    </row>
    <row r="2025">
      <c r="A2025" s="23" t="s">
        <v>14574</v>
      </c>
      <c r="B2025" s="77" t="s">
        <v>217</v>
      </c>
      <c r="C2025" s="41">
        <v>45443.0</v>
      </c>
      <c r="D2025" s="40" t="s">
        <v>14575</v>
      </c>
      <c r="E2025" s="41" t="s">
        <v>14576</v>
      </c>
      <c r="F2025" s="43" t="s">
        <v>14577</v>
      </c>
      <c r="G2025" s="43" t="s">
        <v>14578</v>
      </c>
      <c r="H2025" s="51" t="s">
        <v>130</v>
      </c>
      <c r="I2025" s="25" t="str">
        <f>IFERROR(__xludf.DUMMYFUNCTION("GOOGLETRANSLATE(H2025,""EN"",""ES"")"),"Sostenibilidad")</f>
        <v>Sostenibilidad</v>
      </c>
      <c r="J2025" s="26" t="s">
        <v>35</v>
      </c>
      <c r="K2025" s="48">
        <v>0.7</v>
      </c>
      <c r="L2025" s="49" t="s">
        <v>14579</v>
      </c>
      <c r="M2025" s="28" t="s">
        <v>14580</v>
      </c>
      <c r="N2025" s="66" t="s">
        <v>14581</v>
      </c>
      <c r="O2025" s="66" t="str">
        <f>IFERROR(__xludf.DUMMYFUNCTION("GOOGLETRANSLATE(N2025,""EN"",""ES"")"),"Asociarse con estrellas globales mejora el mensaje de sostenibilidad de Repsol.")</f>
        <v>Asociarse con estrellas globales mejora el mensaje de sostenibilidad de Repsol.</v>
      </c>
      <c r="P2025" s="30">
        <v>0.6</v>
      </c>
      <c r="Q2025" s="31" t="str">
        <f>IFERROR(__xludf.DUMMYFUNCTION("GOOGLETRANSLATE(R2025,""ES"",""EN"")"),"renewable fuel")</f>
        <v>renewable fuel</v>
      </c>
      <c r="R2025" s="28" t="s">
        <v>10542</v>
      </c>
      <c r="S2025" s="53" t="s">
        <v>11791</v>
      </c>
      <c r="T2025" s="32" t="s">
        <v>11792</v>
      </c>
    </row>
    <row r="2026">
      <c r="A2026" s="33" t="s">
        <v>14582</v>
      </c>
      <c r="B2026" s="76" t="s">
        <v>425</v>
      </c>
      <c r="C2026" s="41">
        <v>45443.0</v>
      </c>
      <c r="D2026" s="40" t="s">
        <v>14583</v>
      </c>
      <c r="E2026" s="41" t="s">
        <v>14584</v>
      </c>
      <c r="F2026" s="43" t="s">
        <v>14585</v>
      </c>
      <c r="G2026" s="43" t="s">
        <v>14586</v>
      </c>
      <c r="H2026" s="51" t="s">
        <v>55</v>
      </c>
      <c r="I2026" s="15" t="str">
        <f>IFERROR(__xludf.DUMMYFUNCTION("GOOGLETRANSLATE(H2026,""EN"",""ES"")"),"deportes de motor")</f>
        <v>deportes de motor</v>
      </c>
      <c r="J2026" s="16" t="s">
        <v>27</v>
      </c>
      <c r="K2026" s="17">
        <v>0.0</v>
      </c>
      <c r="L2026" s="45"/>
      <c r="M2026" s="18"/>
      <c r="N2026" s="65"/>
      <c r="O2026" s="65"/>
      <c r="P2026" s="20">
        <v>0.0</v>
      </c>
      <c r="Q2026" s="18"/>
      <c r="R2026" s="18"/>
      <c r="S2026" s="52"/>
      <c r="T2026" s="22"/>
    </row>
    <row r="2027">
      <c r="A2027" s="23" t="s">
        <v>14587</v>
      </c>
      <c r="B2027" s="77" t="s">
        <v>14588</v>
      </c>
      <c r="C2027" s="41">
        <v>45443.0</v>
      </c>
      <c r="D2027" s="40" t="s">
        <v>14589</v>
      </c>
      <c r="E2027" s="41" t="s">
        <v>14590</v>
      </c>
      <c r="F2027" s="43" t="s">
        <v>14591</v>
      </c>
      <c r="G2027" s="43" t="s">
        <v>14592</v>
      </c>
      <c r="H2027" s="51" t="s">
        <v>34</v>
      </c>
      <c r="I2027" s="25" t="str">
        <f>IFERROR(__xludf.DUMMYFUNCTION("GOOGLETRANSLATE(H2027,""EN"",""ES"")"),"Responsabilidad Social Corporativa")</f>
        <v>Responsabilidad Social Corporativa</v>
      </c>
      <c r="J2027" s="26" t="s">
        <v>35</v>
      </c>
      <c r="K2027" s="48">
        <v>0.7</v>
      </c>
      <c r="L2027" s="49" t="s">
        <v>14593</v>
      </c>
      <c r="M2027" s="28" t="s">
        <v>14594</v>
      </c>
      <c r="N2027" s="66" t="s">
        <v>14595</v>
      </c>
      <c r="O2027" s="66" t="str">
        <f>IFERROR(__xludf.DUMMYFUNCTION("GOOGLETRANSLATE(N2027,""EN"",""ES"")"),"El apoyo a iniciativas sanitarias mejora la reputación de responsabilidad social de Repsol.")</f>
        <v>El apoyo a iniciativas sanitarias mejora la reputación de responsabilidad social de Repsol.</v>
      </c>
      <c r="P2027" s="30">
        <v>0.2</v>
      </c>
      <c r="Q2027" s="31" t="str">
        <f>IFERROR(__xludf.DUMMYFUNCTION("GOOGLETRANSLATE(R2027,""ES"",""EN"")"),"-")</f>
        <v>-</v>
      </c>
      <c r="R2027" s="28" t="s">
        <v>11852</v>
      </c>
      <c r="S2027" s="53" t="s">
        <v>14596</v>
      </c>
      <c r="T2027" s="32" t="s">
        <v>14597</v>
      </c>
    </row>
    <row r="2028">
      <c r="A2028" s="33" t="s">
        <v>14598</v>
      </c>
      <c r="B2028" s="76" t="s">
        <v>21</v>
      </c>
      <c r="C2028" s="41">
        <v>45444.0</v>
      </c>
      <c r="D2028" s="40" t="s">
        <v>14599</v>
      </c>
      <c r="E2028" s="41" t="s">
        <v>14600</v>
      </c>
      <c r="F2028" s="43" t="s">
        <v>14601</v>
      </c>
      <c r="G2028" s="43" t="s">
        <v>14602</v>
      </c>
      <c r="H2028" s="51" t="s">
        <v>148</v>
      </c>
      <c r="I2028" s="15" t="str">
        <f>IFERROR(__xludf.DUMMYFUNCTION("GOOGLETRANSLATE(H2028,""EN"",""ES"")"),"Gastronomía")</f>
        <v>Gastronomía</v>
      </c>
      <c r="J2028" s="16" t="s">
        <v>27</v>
      </c>
      <c r="K2028" s="17">
        <v>0.0</v>
      </c>
      <c r="L2028" s="45"/>
      <c r="M2028" s="18"/>
      <c r="N2028" s="65"/>
      <c r="O2028" s="65"/>
      <c r="P2028" s="20">
        <v>0.0</v>
      </c>
      <c r="Q2028" s="18"/>
      <c r="R2028" s="18"/>
      <c r="S2028" s="52"/>
      <c r="T2028" s="22"/>
    </row>
    <row r="2029">
      <c r="A2029" s="23" t="s">
        <v>14603</v>
      </c>
      <c r="B2029" s="77" t="s">
        <v>85</v>
      </c>
      <c r="C2029" s="41">
        <v>45444.0</v>
      </c>
      <c r="D2029" s="40" t="s">
        <v>14604</v>
      </c>
      <c r="E2029" s="41" t="s">
        <v>14605</v>
      </c>
      <c r="F2029" s="43" t="s">
        <v>14606</v>
      </c>
      <c r="G2029" s="43" t="s">
        <v>14607</v>
      </c>
      <c r="H2029" s="51" t="s">
        <v>969</v>
      </c>
      <c r="I2029" s="25" t="str">
        <f>IFERROR(__xludf.DUMMYFUNCTION("GOOGLETRANSLATE(H2029,""EN"",""ES"")"),"Turismo")</f>
        <v>Turismo</v>
      </c>
      <c r="J2029" s="26" t="s">
        <v>27</v>
      </c>
      <c r="K2029" s="17">
        <v>0.0</v>
      </c>
      <c r="L2029" s="54"/>
      <c r="M2029" s="31"/>
      <c r="N2029" s="66"/>
      <c r="O2029" s="66"/>
      <c r="P2029" s="20">
        <v>0.0</v>
      </c>
      <c r="Q2029" s="31"/>
      <c r="R2029" s="31"/>
      <c r="S2029" s="53"/>
      <c r="T2029" s="32"/>
    </row>
    <row r="2030">
      <c r="A2030" s="33" t="s">
        <v>14608</v>
      </c>
      <c r="B2030" s="76" t="s">
        <v>217</v>
      </c>
      <c r="C2030" s="41">
        <v>45444.0</v>
      </c>
      <c r="D2030" s="40" t="s">
        <v>14609</v>
      </c>
      <c r="E2030" s="41" t="s">
        <v>14610</v>
      </c>
      <c r="F2030" s="43" t="s">
        <v>14611</v>
      </c>
      <c r="G2030" s="43" t="s">
        <v>14612</v>
      </c>
      <c r="H2030" s="51" t="s">
        <v>661</v>
      </c>
      <c r="I2030" s="15" t="str">
        <f>IFERROR(__xludf.DUMMYFUNCTION("GOOGLETRANSLATE(H2030,""EN"",""ES"")"),"Estrategia empresarial")</f>
        <v>Estrategia empresarial</v>
      </c>
      <c r="J2030" s="16" t="s">
        <v>27</v>
      </c>
      <c r="K2030" s="17">
        <v>0.0</v>
      </c>
      <c r="L2030" s="45"/>
      <c r="M2030" s="18"/>
      <c r="N2030" s="65"/>
      <c r="O2030" s="65"/>
      <c r="P2030" s="20">
        <v>0.0</v>
      </c>
      <c r="Q2030" s="18"/>
      <c r="R2030" s="18"/>
      <c r="S2030" s="52"/>
      <c r="T2030" s="22"/>
    </row>
    <row r="2031">
      <c r="A2031" s="23" t="s">
        <v>14613</v>
      </c>
      <c r="B2031" s="77" t="s">
        <v>85</v>
      </c>
      <c r="C2031" s="41">
        <v>45444.0</v>
      </c>
      <c r="D2031" s="40" t="s">
        <v>14614</v>
      </c>
      <c r="E2031" s="41" t="s">
        <v>14615</v>
      </c>
      <c r="F2031" s="43" t="s">
        <v>14616</v>
      </c>
      <c r="G2031" s="43" t="s">
        <v>14617</v>
      </c>
      <c r="H2031" s="51" t="s">
        <v>782</v>
      </c>
      <c r="I2031" s="25" t="str">
        <f>IFERROR(__xludf.DUMMYFUNCTION("GOOGLETRANSLATE(H2031,""EN"",""ES"")"),"Tecnología")</f>
        <v>Tecnología</v>
      </c>
      <c r="J2031" s="26" t="s">
        <v>27</v>
      </c>
      <c r="K2031" s="17">
        <v>0.0</v>
      </c>
      <c r="L2031" s="54"/>
      <c r="M2031" s="31"/>
      <c r="N2031" s="66"/>
      <c r="O2031" s="66"/>
      <c r="P2031" s="20">
        <v>0.0</v>
      </c>
      <c r="Q2031" s="31"/>
      <c r="R2031" s="31"/>
      <c r="S2031" s="53"/>
      <c r="T2031" s="32"/>
    </row>
    <row r="2032">
      <c r="A2032" s="33" t="s">
        <v>14618</v>
      </c>
      <c r="B2032" s="76" t="s">
        <v>368</v>
      </c>
      <c r="C2032" s="41">
        <v>45444.0</v>
      </c>
      <c r="D2032" s="40" t="s">
        <v>14619</v>
      </c>
      <c r="E2032" s="41" t="s">
        <v>14620</v>
      </c>
      <c r="F2032" s="43" t="s">
        <v>14621</v>
      </c>
      <c r="G2032" s="43" t="s">
        <v>14622</v>
      </c>
      <c r="H2032" s="51" t="s">
        <v>148</v>
      </c>
      <c r="I2032" s="15" t="str">
        <f>IFERROR(__xludf.DUMMYFUNCTION("GOOGLETRANSLATE(H2032,""EN"",""ES"")"),"Gastronomía")</f>
        <v>Gastronomía</v>
      </c>
      <c r="J2032" s="16" t="s">
        <v>27</v>
      </c>
      <c r="K2032" s="17">
        <v>0.0</v>
      </c>
      <c r="L2032" s="45"/>
      <c r="M2032" s="18"/>
      <c r="N2032" s="65"/>
      <c r="O2032" s="65"/>
      <c r="P2032" s="20">
        <v>0.0</v>
      </c>
      <c r="Q2032" s="18"/>
      <c r="R2032" s="18"/>
      <c r="S2032" s="52"/>
      <c r="T2032" s="22"/>
    </row>
    <row r="2033">
      <c r="A2033" s="23" t="s">
        <v>14623</v>
      </c>
      <c r="B2033" s="77" t="s">
        <v>14624</v>
      </c>
      <c r="C2033" s="41">
        <v>45444.0</v>
      </c>
      <c r="D2033" s="40" t="s">
        <v>14625</v>
      </c>
      <c r="E2033" s="41" t="s">
        <v>14626</v>
      </c>
      <c r="F2033" s="43" t="s">
        <v>14627</v>
      </c>
      <c r="G2033" s="43" t="s">
        <v>14628</v>
      </c>
      <c r="H2033" s="51" t="s">
        <v>408</v>
      </c>
      <c r="I2033" s="25" t="str">
        <f>IFERROR(__xludf.DUMMYFUNCTION("GOOGLETRANSLATE(H2033,""EN"",""ES"")"),"Legal")</f>
        <v>Legal</v>
      </c>
      <c r="J2033" s="26" t="s">
        <v>27</v>
      </c>
      <c r="K2033" s="17">
        <v>0.0</v>
      </c>
      <c r="L2033" s="54"/>
      <c r="M2033" s="31"/>
      <c r="N2033" s="66"/>
      <c r="O2033" s="66"/>
      <c r="P2033" s="20">
        <v>0.0</v>
      </c>
      <c r="Q2033" s="31"/>
      <c r="R2033" s="31"/>
      <c r="S2033" s="53"/>
      <c r="T2033" s="32"/>
    </row>
    <row r="2034">
      <c r="A2034" s="33" t="s">
        <v>14629</v>
      </c>
      <c r="B2034" s="76" t="s">
        <v>217</v>
      </c>
      <c r="C2034" s="41">
        <v>45445.0</v>
      </c>
      <c r="D2034" s="40" t="s">
        <v>14630</v>
      </c>
      <c r="E2034" s="41" t="s">
        <v>14631</v>
      </c>
      <c r="F2034" s="43" t="s">
        <v>14632</v>
      </c>
      <c r="G2034" s="43" t="s">
        <v>14633</v>
      </c>
      <c r="H2034" s="51" t="s">
        <v>130</v>
      </c>
      <c r="I2034" s="15" t="str">
        <f>IFERROR(__xludf.DUMMYFUNCTION("GOOGLETRANSLATE(H2034,""EN"",""ES"")"),"Sostenibilidad")</f>
        <v>Sostenibilidad</v>
      </c>
      <c r="J2034" s="16" t="s">
        <v>35</v>
      </c>
      <c r="K2034" s="48">
        <v>0.7</v>
      </c>
      <c r="L2034" s="51" t="s">
        <v>14634</v>
      </c>
      <c r="M2034" s="34" t="s">
        <v>14635</v>
      </c>
      <c r="N2034" s="65" t="s">
        <v>14636</v>
      </c>
      <c r="O2034" s="65" t="str">
        <f>IFERROR(__xludf.DUMMYFUNCTION("GOOGLETRANSLATE(N2034,""EN"",""ES"")"),"La ampliación de las asociaciones solares respalda la transición energética verde de Repsol.")</f>
        <v>La ampliación de las asociaciones solares respalda la transición energética verde de Repsol.</v>
      </c>
      <c r="P2034" s="30">
        <v>-0.4</v>
      </c>
      <c r="Q2034" s="18" t="str">
        <f>IFERROR(__xludf.DUMMYFUNCTION("GOOGLETRANSLATE(R2034,""ES"",""EN"")"),"losses")</f>
        <v>losses</v>
      </c>
      <c r="R2034" s="34" t="s">
        <v>14637</v>
      </c>
      <c r="S2034" s="52" t="s">
        <v>14638</v>
      </c>
      <c r="T2034" s="22" t="s">
        <v>14639</v>
      </c>
    </row>
    <row r="2035">
      <c r="A2035" s="23" t="s">
        <v>14640</v>
      </c>
      <c r="B2035" s="77" t="s">
        <v>163</v>
      </c>
      <c r="C2035" s="41">
        <v>45445.0</v>
      </c>
      <c r="D2035" s="40" t="s">
        <v>14641</v>
      </c>
      <c r="E2035" s="41" t="s">
        <v>14642</v>
      </c>
      <c r="F2035" s="43" t="s">
        <v>14643</v>
      </c>
      <c r="G2035" s="43" t="s">
        <v>14644</v>
      </c>
      <c r="H2035" s="51" t="s">
        <v>55</v>
      </c>
      <c r="I2035" s="25" t="str">
        <f>IFERROR(__xludf.DUMMYFUNCTION("GOOGLETRANSLATE(H2035,""EN"",""ES"")"),"deportes de motor")</f>
        <v>deportes de motor</v>
      </c>
      <c r="J2035" s="26" t="s">
        <v>27</v>
      </c>
      <c r="K2035" s="17">
        <v>0.0</v>
      </c>
      <c r="L2035" s="54"/>
      <c r="M2035" s="31"/>
      <c r="N2035" s="66"/>
      <c r="O2035" s="66"/>
      <c r="P2035" s="20">
        <v>0.0</v>
      </c>
      <c r="Q2035" s="31"/>
      <c r="R2035" s="31"/>
      <c r="S2035" s="53"/>
      <c r="T2035" s="32"/>
    </row>
    <row r="2036">
      <c r="A2036" s="33" t="s">
        <v>14645</v>
      </c>
      <c r="B2036" s="76" t="s">
        <v>2352</v>
      </c>
      <c r="C2036" s="41">
        <v>45445.0</v>
      </c>
      <c r="D2036" s="40" t="s">
        <v>14646</v>
      </c>
      <c r="E2036" s="41" t="s">
        <v>14647</v>
      </c>
      <c r="F2036" s="43" t="s">
        <v>14648</v>
      </c>
      <c r="G2036" s="43" t="s">
        <v>14649</v>
      </c>
      <c r="H2036" s="51" t="s">
        <v>408</v>
      </c>
      <c r="I2036" s="15" t="str">
        <f>IFERROR(__xludf.DUMMYFUNCTION("GOOGLETRANSLATE(H2036,""EN"",""ES"")"),"Legal")</f>
        <v>Legal</v>
      </c>
      <c r="J2036" s="16" t="s">
        <v>35</v>
      </c>
      <c r="K2036" s="48">
        <v>-0.8</v>
      </c>
      <c r="L2036" s="51" t="s">
        <v>9922</v>
      </c>
      <c r="M2036" s="34" t="s">
        <v>9923</v>
      </c>
      <c r="N2036" s="65" t="s">
        <v>14650</v>
      </c>
      <c r="O2036" s="65" t="str">
        <f>IFERROR(__xludf.DUMMYFUNCTION("GOOGLETRANSLATE(N2036,""EN"",""ES"")"),"Las investigaciones en curso sobre derrames de petróleo pueden dañar la reputación de Repsol.")</f>
        <v>Las investigaciones en curso sobre derrames de petróleo pueden dañar la reputación de Repsol.</v>
      </c>
      <c r="P2036" s="30">
        <v>-0.5</v>
      </c>
      <c r="Q2036" s="18" t="str">
        <f>IFERROR(__xludf.DUMMYFUNCTION("GOOGLETRANSLATE(R2036,""ES"",""EN"")"),"spill vs income")</f>
        <v>spill vs income</v>
      </c>
      <c r="R2036" s="34" t="s">
        <v>14651</v>
      </c>
      <c r="S2036" s="52" t="s">
        <v>14652</v>
      </c>
      <c r="T2036" s="22" t="s">
        <v>14653</v>
      </c>
    </row>
    <row r="2037">
      <c r="A2037" s="23" t="s">
        <v>14654</v>
      </c>
      <c r="B2037" s="77" t="s">
        <v>3067</v>
      </c>
      <c r="C2037" s="41">
        <v>45445.0</v>
      </c>
      <c r="D2037" s="40" t="s">
        <v>14655</v>
      </c>
      <c r="E2037" s="41" t="s">
        <v>14656</v>
      </c>
      <c r="F2037" s="43" t="s">
        <v>14657</v>
      </c>
      <c r="G2037" s="43" t="s">
        <v>14658</v>
      </c>
      <c r="H2037" s="51" t="s">
        <v>130</v>
      </c>
      <c r="I2037" s="25" t="str">
        <f>IFERROR(__xludf.DUMMYFUNCTION("GOOGLETRANSLATE(H2037,""EN"",""ES"")"),"Sostenibilidad")</f>
        <v>Sostenibilidad</v>
      </c>
      <c r="J2037" s="26" t="s">
        <v>35</v>
      </c>
      <c r="K2037" s="48">
        <v>0.7</v>
      </c>
      <c r="L2037" s="49" t="s">
        <v>13418</v>
      </c>
      <c r="M2037" s="28" t="s">
        <v>13419</v>
      </c>
      <c r="N2037" s="66" t="s">
        <v>14659</v>
      </c>
      <c r="O2037" s="66" t="str">
        <f>IFERROR(__xludf.DUMMYFUNCTION("GOOGLETRANSLATE(N2037,""EN"",""ES"")"),"Fomentar el reciclaje del petróleo respalda la estrategia medioambiental de Repsol.")</f>
        <v>Fomentar el reciclaje del petróleo respalda la estrategia medioambiental de Repsol.</v>
      </c>
      <c r="P2037" s="30">
        <v>0.6</v>
      </c>
      <c r="Q2037" s="31" t="str">
        <f>IFERROR(__xludf.DUMMYFUNCTION("GOOGLETRANSLATE(R2037,""ES"",""EN"")"),"recycling incentive")</f>
        <v>recycling incentive</v>
      </c>
      <c r="R2037" s="28" t="s">
        <v>14433</v>
      </c>
      <c r="S2037" s="53" t="s">
        <v>11791</v>
      </c>
      <c r="T2037" s="32" t="s">
        <v>11792</v>
      </c>
    </row>
    <row r="2038">
      <c r="A2038" s="33" t="s">
        <v>14660</v>
      </c>
      <c r="B2038" s="76" t="s">
        <v>85</v>
      </c>
      <c r="C2038" s="41">
        <v>45445.0</v>
      </c>
      <c r="D2038" s="40" t="s">
        <v>14661</v>
      </c>
      <c r="E2038" s="41" t="s">
        <v>14662</v>
      </c>
      <c r="F2038" s="43" t="s">
        <v>14663</v>
      </c>
      <c r="G2038" s="43" t="s">
        <v>14664</v>
      </c>
      <c r="H2038" s="51" t="s">
        <v>148</v>
      </c>
      <c r="I2038" s="15" t="str">
        <f>IFERROR(__xludf.DUMMYFUNCTION("GOOGLETRANSLATE(H2038,""EN"",""ES"")"),"Gastronomía")</f>
        <v>Gastronomía</v>
      </c>
      <c r="J2038" s="16" t="s">
        <v>27</v>
      </c>
      <c r="K2038" s="17">
        <v>0.0</v>
      </c>
      <c r="L2038" s="45"/>
      <c r="M2038" s="18"/>
      <c r="N2038" s="65"/>
      <c r="O2038" s="65"/>
      <c r="P2038" s="20">
        <v>0.0</v>
      </c>
      <c r="Q2038" s="18"/>
      <c r="R2038" s="18"/>
      <c r="S2038" s="52"/>
      <c r="T2038" s="22"/>
    </row>
    <row r="2039">
      <c r="A2039" s="23" t="s">
        <v>14665</v>
      </c>
      <c r="B2039" s="77" t="s">
        <v>1970</v>
      </c>
      <c r="C2039" s="41">
        <v>45445.0</v>
      </c>
      <c r="D2039" s="40" t="s">
        <v>14666</v>
      </c>
      <c r="E2039" s="41" t="s">
        <v>14667</v>
      </c>
      <c r="F2039" s="43" t="s">
        <v>14668</v>
      </c>
      <c r="G2039" s="43" t="s">
        <v>14669</v>
      </c>
      <c r="H2039" s="51" t="s">
        <v>148</v>
      </c>
      <c r="I2039" s="25" t="str">
        <f>IFERROR(__xludf.DUMMYFUNCTION("GOOGLETRANSLATE(H2039,""EN"",""ES"")"),"Gastronomía")</f>
        <v>Gastronomía</v>
      </c>
      <c r="J2039" s="26" t="s">
        <v>27</v>
      </c>
      <c r="K2039" s="17">
        <v>0.0</v>
      </c>
      <c r="L2039" s="54"/>
      <c r="M2039" s="31"/>
      <c r="N2039" s="66"/>
      <c r="O2039" s="66"/>
      <c r="P2039" s="20">
        <v>0.0</v>
      </c>
      <c r="Q2039" s="31"/>
      <c r="R2039" s="31"/>
      <c r="S2039" s="53"/>
      <c r="T2039" s="32"/>
    </row>
    <row r="2040">
      <c r="A2040" s="33" t="s">
        <v>14670</v>
      </c>
      <c r="B2040" s="76" t="s">
        <v>14671</v>
      </c>
      <c r="C2040" s="41">
        <v>45445.0</v>
      </c>
      <c r="D2040" s="40" t="s">
        <v>14672</v>
      </c>
      <c r="E2040" s="41" t="s">
        <v>14673</v>
      </c>
      <c r="F2040" s="43" t="s">
        <v>14674</v>
      </c>
      <c r="G2040" s="43" t="s">
        <v>14675</v>
      </c>
      <c r="H2040" s="51" t="s">
        <v>661</v>
      </c>
      <c r="I2040" s="15" t="str">
        <f>IFERROR(__xludf.DUMMYFUNCTION("GOOGLETRANSLATE(H2040,""EN"",""ES"")"),"Estrategia empresarial")</f>
        <v>Estrategia empresarial</v>
      </c>
      <c r="J2040" s="16" t="s">
        <v>27</v>
      </c>
      <c r="K2040" s="17">
        <v>0.0</v>
      </c>
      <c r="L2040" s="45"/>
      <c r="M2040" s="18"/>
      <c r="N2040" s="65"/>
      <c r="O2040" s="65"/>
      <c r="P2040" s="20">
        <v>0.0</v>
      </c>
      <c r="Q2040" s="18"/>
      <c r="R2040" s="18"/>
      <c r="S2040" s="52"/>
      <c r="T2040" s="22"/>
    </row>
    <row r="2041">
      <c r="A2041" s="23" t="s">
        <v>14676</v>
      </c>
      <c r="B2041" s="77" t="s">
        <v>6940</v>
      </c>
      <c r="C2041" s="41">
        <v>45445.0</v>
      </c>
      <c r="D2041" s="40" t="s">
        <v>14677</v>
      </c>
      <c r="E2041" s="41" t="s">
        <v>14678</v>
      </c>
      <c r="F2041" s="43" t="s">
        <v>14679</v>
      </c>
      <c r="G2041" s="43" t="s">
        <v>14680</v>
      </c>
      <c r="H2041" s="51" t="s">
        <v>3871</v>
      </c>
      <c r="I2041" s="25" t="str">
        <f>IFERROR(__xludf.DUMMYFUNCTION("GOOGLETRANSLATE(H2041,""EN"",""ES"")"),"Educación")</f>
        <v>Educación</v>
      </c>
      <c r="J2041" s="26" t="s">
        <v>27</v>
      </c>
      <c r="K2041" s="17">
        <v>0.0</v>
      </c>
      <c r="L2041" s="54"/>
      <c r="M2041" s="31"/>
      <c r="N2041" s="66"/>
      <c r="O2041" s="66"/>
      <c r="P2041" s="20">
        <v>0.0</v>
      </c>
      <c r="Q2041" s="31"/>
      <c r="R2041" s="31"/>
      <c r="S2041" s="53"/>
      <c r="T2041" s="32"/>
    </row>
    <row r="2042">
      <c r="A2042" s="33" t="s">
        <v>14681</v>
      </c>
      <c r="B2042" s="76" t="s">
        <v>14682</v>
      </c>
      <c r="C2042" s="41">
        <v>45445.0</v>
      </c>
      <c r="D2042" s="40" t="s">
        <v>14683</v>
      </c>
      <c r="E2042" s="41" t="s">
        <v>14684</v>
      </c>
      <c r="F2042" s="43" t="s">
        <v>14685</v>
      </c>
      <c r="G2042" s="43" t="s">
        <v>14686</v>
      </c>
      <c r="H2042" s="51" t="s">
        <v>55</v>
      </c>
      <c r="I2042" s="15" t="str">
        <f>IFERROR(__xludf.DUMMYFUNCTION("GOOGLETRANSLATE(H2042,""EN"",""ES"")"),"deportes de motor")</f>
        <v>deportes de motor</v>
      </c>
      <c r="J2042" s="16" t="s">
        <v>27</v>
      </c>
      <c r="K2042" s="17">
        <v>0.0</v>
      </c>
      <c r="L2042" s="45"/>
      <c r="M2042" s="18"/>
      <c r="N2042" s="65"/>
      <c r="O2042" s="65"/>
      <c r="P2042" s="20">
        <v>0.0</v>
      </c>
      <c r="Q2042" s="18"/>
      <c r="R2042" s="18"/>
      <c r="S2042" s="52"/>
      <c r="T2042" s="22"/>
    </row>
    <row r="2043">
      <c r="A2043" s="23" t="s">
        <v>14687</v>
      </c>
      <c r="B2043" s="77" t="s">
        <v>207</v>
      </c>
      <c r="C2043" s="41">
        <v>45446.0</v>
      </c>
      <c r="D2043" s="40" t="s">
        <v>14688</v>
      </c>
      <c r="E2043" s="41" t="s">
        <v>14689</v>
      </c>
      <c r="F2043" s="43" t="s">
        <v>14690</v>
      </c>
      <c r="G2043" s="43" t="s">
        <v>14691</v>
      </c>
      <c r="H2043" s="51" t="s">
        <v>130</v>
      </c>
      <c r="I2043" s="25" t="str">
        <f>IFERROR(__xludf.DUMMYFUNCTION("GOOGLETRANSLATE(H2043,""EN"",""ES"")"),"Sostenibilidad")</f>
        <v>Sostenibilidad</v>
      </c>
      <c r="J2043" s="26" t="s">
        <v>35</v>
      </c>
      <c r="K2043" s="48">
        <v>0.7</v>
      </c>
      <c r="L2043" s="49" t="s">
        <v>14634</v>
      </c>
      <c r="M2043" s="28" t="s">
        <v>14635</v>
      </c>
      <c r="N2043" s="66" t="s">
        <v>14636</v>
      </c>
      <c r="O2043" s="66" t="str">
        <f>IFERROR(__xludf.DUMMYFUNCTION("GOOGLETRANSLATE(N2043,""EN"",""ES"")"),"La ampliación de las asociaciones solares respalda la transición energética verde de Repsol.")</f>
        <v>La ampliación de las asociaciones solares respalda la transición energética verde de Repsol.</v>
      </c>
      <c r="P2043" s="30">
        <v>-0.3</v>
      </c>
      <c r="Q2043" s="31" t="str">
        <f>IFERROR(__xludf.DUMMYFUNCTION("GOOGLETRANSLATE(R2043,""ES"",""EN"")"),"-")</f>
        <v>-</v>
      </c>
      <c r="R2043" s="28" t="s">
        <v>11852</v>
      </c>
      <c r="S2043" s="53" t="s">
        <v>14692</v>
      </c>
      <c r="T2043" s="32" t="s">
        <v>14693</v>
      </c>
    </row>
    <row r="2044">
      <c r="A2044" s="33" t="s">
        <v>14694</v>
      </c>
      <c r="B2044" s="76" t="s">
        <v>3320</v>
      </c>
      <c r="C2044" s="41">
        <v>45446.0</v>
      </c>
      <c r="D2044" s="40" t="s">
        <v>14695</v>
      </c>
      <c r="E2044" s="41" t="s">
        <v>14696</v>
      </c>
      <c r="F2044" s="43" t="s">
        <v>14697</v>
      </c>
      <c r="G2044" s="43" t="s">
        <v>14698</v>
      </c>
      <c r="H2044" s="51" t="s">
        <v>130</v>
      </c>
      <c r="I2044" s="15" t="str">
        <f>IFERROR(__xludf.DUMMYFUNCTION("GOOGLETRANSLATE(H2044,""EN"",""ES"")"),"Sostenibilidad")</f>
        <v>Sostenibilidad</v>
      </c>
      <c r="J2044" s="16" t="s">
        <v>35</v>
      </c>
      <c r="K2044" s="48">
        <v>0.7</v>
      </c>
      <c r="L2044" s="51" t="s">
        <v>12082</v>
      </c>
      <c r="M2044" s="34" t="s">
        <v>12083</v>
      </c>
      <c r="N2044" s="65" t="s">
        <v>14456</v>
      </c>
      <c r="O2044" s="65" t="str">
        <f>IFERROR(__xludf.DUMMYFUNCTION("GOOGLETRANSLATE(N2044,""EN"",""ES"")"),"Apoyar iniciativas de sostenibilidad mejora la reputación medioambiental de Repsol.")</f>
        <v>Apoyar iniciativas de sostenibilidad mejora la reputación medioambiental de Repsol.</v>
      </c>
      <c r="P2044" s="30">
        <v>0.4</v>
      </c>
      <c r="Q2044" s="18" t="str">
        <f>IFERROR(__xludf.DUMMYFUNCTION("GOOGLETRANSLATE(R2044,""ES"",""EN"")"),"awards")</f>
        <v>awards</v>
      </c>
      <c r="R2044" s="34" t="s">
        <v>14699</v>
      </c>
      <c r="S2044" s="52" t="s">
        <v>14552</v>
      </c>
      <c r="T2044" s="22" t="s">
        <v>14553</v>
      </c>
    </row>
    <row r="2045">
      <c r="A2045" s="23" t="s">
        <v>14700</v>
      </c>
      <c r="B2045" s="77" t="s">
        <v>217</v>
      </c>
      <c r="C2045" s="41">
        <v>45446.0</v>
      </c>
      <c r="D2045" s="40" t="s">
        <v>14701</v>
      </c>
      <c r="E2045" s="41" t="s">
        <v>14702</v>
      </c>
      <c r="F2045" s="43" t="s">
        <v>14703</v>
      </c>
      <c r="G2045" s="43" t="s">
        <v>14704</v>
      </c>
      <c r="H2045" s="51" t="s">
        <v>661</v>
      </c>
      <c r="I2045" s="25" t="str">
        <f>IFERROR(__xludf.DUMMYFUNCTION("GOOGLETRANSLATE(H2045,""EN"",""ES"")"),"Estrategia empresarial")</f>
        <v>Estrategia empresarial</v>
      </c>
      <c r="J2045" s="26" t="s">
        <v>35</v>
      </c>
      <c r="K2045" s="48">
        <v>0.6</v>
      </c>
      <c r="L2045" s="49" t="s">
        <v>14705</v>
      </c>
      <c r="M2045" s="28" t="s">
        <v>14706</v>
      </c>
      <c r="N2045" s="66" t="s">
        <v>14707</v>
      </c>
      <c r="O2045" s="66" t="str">
        <f>IFERROR(__xludf.DUMMYFUNCTION("GOOGLETRANSLATE(N2045,""EN"",""ES"")"),"La ampliación de los servicios digitales refuerza los programas de fidelización de consumidores de Repsol.")</f>
        <v>La ampliación de los servicios digitales refuerza los programas de fidelización de consumidores de Repsol.</v>
      </c>
      <c r="P2045" s="30">
        <v>0.5</v>
      </c>
      <c r="Q2045" s="31" t="str">
        <f>IFERROR(__xludf.DUMMYFUNCTION("GOOGLETRANSLATE(R2045,""ES"",""EN"")"),"user growth")</f>
        <v>user growth</v>
      </c>
      <c r="R2045" s="28" t="s">
        <v>14708</v>
      </c>
      <c r="S2045" s="53" t="s">
        <v>14709</v>
      </c>
      <c r="T2045" s="32" t="s">
        <v>14710</v>
      </c>
    </row>
    <row r="2046">
      <c r="A2046" s="33" t="s">
        <v>14711</v>
      </c>
      <c r="B2046" s="76" t="s">
        <v>952</v>
      </c>
      <c r="C2046" s="41">
        <v>45448.0</v>
      </c>
      <c r="D2046" s="40" t="s">
        <v>14712</v>
      </c>
      <c r="E2046" s="41" t="s">
        <v>14713</v>
      </c>
      <c r="F2046" s="43" t="s">
        <v>14714</v>
      </c>
      <c r="G2046" s="43" t="s">
        <v>14715</v>
      </c>
      <c r="H2046" s="51" t="s">
        <v>395</v>
      </c>
      <c r="I2046" s="15" t="str">
        <f>IFERROR(__xludf.DUMMYFUNCTION("GOOGLETRANSLATE(H2046,""EN"",""ES"")"),"Ambiente")</f>
        <v>Ambiente</v>
      </c>
      <c r="J2046" s="16" t="s">
        <v>35</v>
      </c>
      <c r="K2046" s="48">
        <v>0.0</v>
      </c>
      <c r="L2046" s="45"/>
      <c r="M2046" s="18"/>
      <c r="N2046" s="65" t="s">
        <v>14716</v>
      </c>
      <c r="O2046" s="65" t="str">
        <f>IFERROR(__xludf.DUMMYFUNCTION("GOOGLETRANSLATE(N2046,""EN"",""ES"")"),"Las medidas medioambientales no impactan directamente en Repsol.")</f>
        <v>Las medidas medioambientales no impactan directamente en Repsol.</v>
      </c>
      <c r="P2046" s="30">
        <v>0.0</v>
      </c>
      <c r="Q2046" s="18"/>
      <c r="R2046" s="18"/>
      <c r="S2046" s="52" t="s">
        <v>14502</v>
      </c>
      <c r="T2046" s="22" t="s">
        <v>14503</v>
      </c>
    </row>
    <row r="2047">
      <c r="A2047" s="23" t="s">
        <v>14717</v>
      </c>
      <c r="B2047" s="77" t="s">
        <v>14718</v>
      </c>
      <c r="C2047" s="41">
        <v>45446.0</v>
      </c>
      <c r="D2047" s="40" t="s">
        <v>14719</v>
      </c>
      <c r="E2047" s="41" t="s">
        <v>14720</v>
      </c>
      <c r="F2047" s="43" t="s">
        <v>14721</v>
      </c>
      <c r="G2047" s="43" t="s">
        <v>14722</v>
      </c>
      <c r="H2047" s="51" t="s">
        <v>130</v>
      </c>
      <c r="I2047" s="25" t="str">
        <f>IFERROR(__xludf.DUMMYFUNCTION("GOOGLETRANSLATE(H2047,""EN"",""ES"")"),"Sostenibilidad")</f>
        <v>Sostenibilidad</v>
      </c>
      <c r="J2047" s="26" t="s">
        <v>35</v>
      </c>
      <c r="K2047" s="48">
        <v>0.7</v>
      </c>
      <c r="L2047" s="49" t="s">
        <v>14465</v>
      </c>
      <c r="M2047" s="28" t="s">
        <v>14466</v>
      </c>
      <c r="N2047" s="66" t="s">
        <v>14723</v>
      </c>
      <c r="O2047" s="66" t="str">
        <f>IFERROR(__xludf.DUMMYFUNCTION("GOOGLETRANSLATE(N2047,""EN"",""ES"")"),"La ampliación de los incentivos a los vehículos eléctricos se alinea con la estrategia de energías limpias de Repsol.")</f>
        <v>La ampliación de los incentivos a los vehículos eléctricos se alinea con la estrategia de energías limpias de Repsol.</v>
      </c>
      <c r="P2047" s="30">
        <v>0.5</v>
      </c>
      <c r="Q2047" s="31" t="str">
        <f>IFERROR(__xludf.DUMMYFUNCTION("GOOGLETRANSLATE(R2047,""ES"",""EN"")"),"free recharge")</f>
        <v>free recharge</v>
      </c>
      <c r="R2047" s="28" t="s">
        <v>14724</v>
      </c>
      <c r="S2047" s="53" t="s">
        <v>14725</v>
      </c>
      <c r="T2047" s="32" t="s">
        <v>14726</v>
      </c>
    </row>
    <row r="2048">
      <c r="A2048" s="33" t="s">
        <v>14727</v>
      </c>
      <c r="B2048" s="76" t="s">
        <v>21</v>
      </c>
      <c r="C2048" s="41">
        <v>45446.0</v>
      </c>
      <c r="D2048" s="40" t="s">
        <v>14728</v>
      </c>
      <c r="E2048" s="41" t="s">
        <v>14729</v>
      </c>
      <c r="F2048" s="43" t="s">
        <v>14730</v>
      </c>
      <c r="G2048" s="43" t="s">
        <v>14731</v>
      </c>
      <c r="H2048" s="51" t="s">
        <v>969</v>
      </c>
      <c r="I2048" s="15" t="str">
        <f>IFERROR(__xludf.DUMMYFUNCTION("GOOGLETRANSLATE(H2048,""EN"",""ES"")"),"Turismo")</f>
        <v>Turismo</v>
      </c>
      <c r="J2048" s="16" t="s">
        <v>27</v>
      </c>
      <c r="K2048" s="17">
        <v>0.0</v>
      </c>
      <c r="L2048" s="45"/>
      <c r="M2048" s="18"/>
      <c r="N2048" s="65"/>
      <c r="O2048" s="65"/>
      <c r="P2048" s="20">
        <v>0.0</v>
      </c>
      <c r="Q2048" s="18"/>
      <c r="R2048" s="18"/>
      <c r="S2048" s="52"/>
      <c r="T2048" s="22"/>
    </row>
    <row r="2049">
      <c r="A2049" s="23" t="s">
        <v>14732</v>
      </c>
      <c r="B2049" s="77" t="s">
        <v>4393</v>
      </c>
      <c r="C2049" s="41">
        <v>45446.0</v>
      </c>
      <c r="D2049" s="40" t="s">
        <v>14733</v>
      </c>
      <c r="E2049" s="41" t="s">
        <v>14734</v>
      </c>
      <c r="F2049" s="43" t="s">
        <v>14735</v>
      </c>
      <c r="G2049" s="43" t="s">
        <v>14736</v>
      </c>
      <c r="H2049" s="51" t="s">
        <v>2447</v>
      </c>
      <c r="I2049" s="25" t="str">
        <f>IFERROR(__xludf.DUMMYFUNCTION("GOOGLETRANSLATE(H2049,""EN"",""ES"")"),"Asuntos del Consumidor")</f>
        <v>Asuntos del Consumidor</v>
      </c>
      <c r="J2049" s="26" t="s">
        <v>27</v>
      </c>
      <c r="K2049" s="17">
        <v>0.0</v>
      </c>
      <c r="L2049" s="54"/>
      <c r="M2049" s="31"/>
      <c r="N2049" s="66"/>
      <c r="O2049" s="66"/>
      <c r="P2049" s="20">
        <v>0.0</v>
      </c>
      <c r="Q2049" s="31"/>
      <c r="R2049" s="31"/>
      <c r="S2049" s="53"/>
      <c r="T2049" s="32"/>
    </row>
    <row r="2050">
      <c r="A2050" s="33" t="s">
        <v>14737</v>
      </c>
      <c r="B2050" s="76" t="s">
        <v>8815</v>
      </c>
      <c r="C2050" s="41">
        <v>45446.0</v>
      </c>
      <c r="D2050" s="40" t="s">
        <v>14738</v>
      </c>
      <c r="E2050" s="41" t="s">
        <v>14739</v>
      </c>
      <c r="F2050" s="43" t="s">
        <v>14740</v>
      </c>
      <c r="G2050" s="43" t="s">
        <v>14741</v>
      </c>
      <c r="H2050" s="51" t="s">
        <v>661</v>
      </c>
      <c r="I2050" s="15" t="str">
        <f>IFERROR(__xludf.DUMMYFUNCTION("GOOGLETRANSLATE(H2050,""EN"",""ES"")"),"Estrategia empresarial")</f>
        <v>Estrategia empresarial</v>
      </c>
      <c r="J2050" s="16" t="s">
        <v>27</v>
      </c>
      <c r="K2050" s="17">
        <v>0.0</v>
      </c>
      <c r="L2050" s="45"/>
      <c r="M2050" s="18"/>
      <c r="N2050" s="65"/>
      <c r="O2050" s="65"/>
      <c r="P2050" s="20">
        <v>0.0</v>
      </c>
      <c r="Q2050" s="18"/>
      <c r="R2050" s="18"/>
      <c r="S2050" s="52"/>
      <c r="T2050" s="22"/>
    </row>
    <row r="2051">
      <c r="A2051" s="23" t="s">
        <v>14742</v>
      </c>
      <c r="B2051" s="77" t="s">
        <v>499</v>
      </c>
      <c r="C2051" s="41">
        <v>45446.0</v>
      </c>
      <c r="D2051" s="40" t="s">
        <v>14743</v>
      </c>
      <c r="E2051" s="41" t="s">
        <v>14744</v>
      </c>
      <c r="F2051" s="43" t="s">
        <v>14745</v>
      </c>
      <c r="G2051" s="43" t="s">
        <v>14746</v>
      </c>
      <c r="H2051" s="51" t="s">
        <v>8756</v>
      </c>
      <c r="I2051" s="25" t="str">
        <f>IFERROR(__xludf.DUMMYFUNCTION("GOOGLETRANSLATE(H2051,""EN"",""ES"")"),"Automotor")</f>
        <v>Automotor</v>
      </c>
      <c r="J2051" s="26" t="s">
        <v>27</v>
      </c>
      <c r="K2051" s="17">
        <v>0.0</v>
      </c>
      <c r="L2051" s="54"/>
      <c r="M2051" s="31"/>
      <c r="N2051" s="66"/>
      <c r="O2051" s="66"/>
      <c r="P2051" s="20">
        <v>0.0</v>
      </c>
      <c r="Q2051" s="31"/>
      <c r="R2051" s="31"/>
      <c r="S2051" s="53"/>
      <c r="T2051" s="32"/>
    </row>
    <row r="2052">
      <c r="A2052" s="33" t="s">
        <v>14747</v>
      </c>
      <c r="B2052" s="76" t="s">
        <v>14748</v>
      </c>
      <c r="C2052" s="41">
        <v>45446.0</v>
      </c>
      <c r="D2052" s="40" t="s">
        <v>14749</v>
      </c>
      <c r="E2052" s="41" t="s">
        <v>14750</v>
      </c>
      <c r="F2052" s="43" t="s">
        <v>14751</v>
      </c>
      <c r="G2052" s="43" t="s">
        <v>14752</v>
      </c>
      <c r="H2052" s="51" t="s">
        <v>55</v>
      </c>
      <c r="I2052" s="15" t="str">
        <f>IFERROR(__xludf.DUMMYFUNCTION("GOOGLETRANSLATE(H2052,""EN"",""ES"")"),"deportes de motor")</f>
        <v>deportes de motor</v>
      </c>
      <c r="J2052" s="16" t="s">
        <v>27</v>
      </c>
      <c r="K2052" s="17">
        <v>0.0</v>
      </c>
      <c r="L2052" s="45"/>
      <c r="M2052" s="18"/>
      <c r="N2052" s="65"/>
      <c r="O2052" s="65"/>
      <c r="P2052" s="20">
        <v>0.0</v>
      </c>
      <c r="Q2052" s="18"/>
      <c r="R2052" s="18"/>
      <c r="S2052" s="52"/>
      <c r="T2052" s="22"/>
    </row>
    <row r="2053">
      <c r="A2053" s="23" t="s">
        <v>14753</v>
      </c>
      <c r="B2053" s="77" t="s">
        <v>14754</v>
      </c>
      <c r="C2053" s="41">
        <v>45447.0</v>
      </c>
      <c r="D2053" s="40" t="s">
        <v>14755</v>
      </c>
      <c r="E2053" s="41" t="s">
        <v>14756</v>
      </c>
      <c r="F2053" s="43" t="s">
        <v>14757</v>
      </c>
      <c r="G2053" s="43" t="s">
        <v>14758</v>
      </c>
      <c r="H2053" s="51" t="s">
        <v>130</v>
      </c>
      <c r="I2053" s="25" t="str">
        <f>IFERROR(__xludf.DUMMYFUNCTION("GOOGLETRANSLATE(H2053,""EN"",""ES"")"),"Sostenibilidad")</f>
        <v>Sostenibilidad</v>
      </c>
      <c r="J2053" s="26" t="s">
        <v>35</v>
      </c>
      <c r="K2053" s="48">
        <v>0.7</v>
      </c>
      <c r="L2053" s="49" t="s">
        <v>14759</v>
      </c>
      <c r="M2053" s="28" t="s">
        <v>14760</v>
      </c>
      <c r="N2053" s="66" t="s">
        <v>14761</v>
      </c>
      <c r="O2053" s="66" t="str">
        <f>IFERROR(__xludf.DUMMYFUNCTION("GOOGLETRANSLATE(N2053,""EN"",""ES"")"),"La ampliación de los servicios de movilidad eléctrica se alinea con la estrategia de energías limpias de Repsol.")</f>
        <v>La ampliación de los servicios de movilidad eléctrica se alinea con la estrategia de energías limpias de Repsol.</v>
      </c>
      <c r="P2053" s="30">
        <v>0.1</v>
      </c>
      <c r="Q2053" s="31" t="str">
        <f>IFERROR(__xludf.DUMMYFUNCTION("GOOGLETRANSLATE(R2053,""ES"",""EN"")"),"-")</f>
        <v>-</v>
      </c>
      <c r="R2053" s="28" t="s">
        <v>11852</v>
      </c>
      <c r="S2053" s="53" t="s">
        <v>14762</v>
      </c>
      <c r="T2053" s="32" t="s">
        <v>14763</v>
      </c>
    </row>
    <row r="2054">
      <c r="A2054" s="33" t="s">
        <v>14764</v>
      </c>
      <c r="B2054" s="76" t="s">
        <v>163</v>
      </c>
      <c r="C2054" s="41">
        <v>45447.0</v>
      </c>
      <c r="D2054" s="40" t="s">
        <v>14765</v>
      </c>
      <c r="E2054" s="41" t="s">
        <v>14766</v>
      </c>
      <c r="F2054" s="43" t="s">
        <v>14767</v>
      </c>
      <c r="G2054" s="43" t="s">
        <v>14768</v>
      </c>
      <c r="H2054" s="51" t="s">
        <v>661</v>
      </c>
      <c r="I2054" s="15" t="str">
        <f>IFERROR(__xludf.DUMMYFUNCTION("GOOGLETRANSLATE(H2054,""EN"",""ES"")"),"Estrategia empresarial")</f>
        <v>Estrategia empresarial</v>
      </c>
      <c r="J2054" s="16" t="s">
        <v>35</v>
      </c>
      <c r="K2054" s="48">
        <v>0.6</v>
      </c>
      <c r="L2054" s="51" t="s">
        <v>14769</v>
      </c>
      <c r="M2054" s="34" t="s">
        <v>14770</v>
      </c>
      <c r="N2054" s="65" t="s">
        <v>14771</v>
      </c>
      <c r="O2054" s="65" t="str">
        <f>IFERROR(__xludf.DUMMYFUNCTION("GOOGLETRANSLATE(N2054,""EN"",""ES"")"),"La mejora de los servicios digitales fortalece el compromiso de Repsol con el consumidor.")</f>
        <v>La mejora de los servicios digitales fortalece el compromiso de Repsol con el consumidor.</v>
      </c>
      <c r="P2054" s="30">
        <v>0.1</v>
      </c>
      <c r="Q2054" s="18" t="str">
        <f>IFERROR(__xludf.DUMMYFUNCTION("GOOGLETRANSLATE(R2054,""ES"",""EN"")"),"-")</f>
        <v>-</v>
      </c>
      <c r="R2054" s="34" t="s">
        <v>11852</v>
      </c>
      <c r="S2054" s="52" t="s">
        <v>14762</v>
      </c>
      <c r="T2054" s="22" t="s">
        <v>14763</v>
      </c>
    </row>
    <row r="2055">
      <c r="A2055" s="23" t="s">
        <v>14772</v>
      </c>
      <c r="B2055" s="77" t="s">
        <v>163</v>
      </c>
      <c r="C2055" s="41">
        <v>45447.0</v>
      </c>
      <c r="D2055" s="40" t="s">
        <v>14773</v>
      </c>
      <c r="E2055" s="41" t="s">
        <v>14774</v>
      </c>
      <c r="F2055" s="43" t="s">
        <v>14775</v>
      </c>
      <c r="G2055" s="43" t="s">
        <v>14776</v>
      </c>
      <c r="H2055" s="51" t="s">
        <v>661</v>
      </c>
      <c r="I2055" s="25" t="str">
        <f>IFERROR(__xludf.DUMMYFUNCTION("GOOGLETRANSLATE(H2055,""EN"",""ES"")"),"Estrategia empresarial")</f>
        <v>Estrategia empresarial</v>
      </c>
      <c r="J2055" s="26" t="s">
        <v>35</v>
      </c>
      <c r="K2055" s="48">
        <v>0.6</v>
      </c>
      <c r="L2055" s="49" t="s">
        <v>14705</v>
      </c>
      <c r="M2055" s="28" t="s">
        <v>14706</v>
      </c>
      <c r="N2055" s="66" t="s">
        <v>14777</v>
      </c>
      <c r="O2055" s="66" t="str">
        <f>IFERROR(__xludf.DUMMYFUNCTION("GOOGLETRANSLATE(N2055,""EN"",""ES"")"),"Impulsar las herramientas digitales fortalece la experiencia del cliente de Repsol.")</f>
        <v>Impulsar las herramientas digitales fortalece la experiencia del cliente de Repsol.</v>
      </c>
      <c r="P2055" s="30">
        <v>0.1</v>
      </c>
      <c r="Q2055" s="31" t="str">
        <f>IFERROR(__xludf.DUMMYFUNCTION("GOOGLETRANSLATE(R2055,""ES"",""EN"")"),"-")</f>
        <v>-</v>
      </c>
      <c r="R2055" s="28" t="s">
        <v>11852</v>
      </c>
      <c r="S2055" s="53" t="s">
        <v>14762</v>
      </c>
      <c r="T2055" s="32" t="s">
        <v>14763</v>
      </c>
    </row>
    <row r="2056">
      <c r="A2056" s="33" t="s">
        <v>14778</v>
      </c>
      <c r="B2056" s="76" t="s">
        <v>163</v>
      </c>
      <c r="C2056" s="41">
        <v>45447.0</v>
      </c>
      <c r="D2056" s="40" t="s">
        <v>14779</v>
      </c>
      <c r="E2056" s="41" t="s">
        <v>14780</v>
      </c>
      <c r="F2056" s="43" t="s">
        <v>14781</v>
      </c>
      <c r="G2056" s="43" t="s">
        <v>14782</v>
      </c>
      <c r="H2056" s="51" t="s">
        <v>661</v>
      </c>
      <c r="I2056" s="15" t="str">
        <f>IFERROR(__xludf.DUMMYFUNCTION("GOOGLETRANSLATE(H2056,""EN"",""ES"")"),"Estrategia empresarial")</f>
        <v>Estrategia empresarial</v>
      </c>
      <c r="J2056" s="16" t="s">
        <v>35</v>
      </c>
      <c r="K2056" s="48">
        <v>0.6</v>
      </c>
      <c r="L2056" s="51" t="s">
        <v>14783</v>
      </c>
      <c r="M2056" s="34" t="s">
        <v>14784</v>
      </c>
      <c r="N2056" s="65" t="s">
        <v>14785</v>
      </c>
      <c r="O2056" s="65" t="str">
        <f>IFERROR(__xludf.DUMMYFUNCTION("GOOGLETRANSLATE(N2056,""EN"",""ES"")"),"La ampliación de las soluciones de combustible refuerza la presencia de Repsol en el mercado.")</f>
        <v>La ampliación de las soluciones de combustible refuerza la presencia de Repsol en el mercado.</v>
      </c>
      <c r="P2056" s="30">
        <v>0.0</v>
      </c>
      <c r="Q2056" s="18"/>
      <c r="R2056" s="18"/>
      <c r="S2056" s="52" t="s">
        <v>14786</v>
      </c>
      <c r="T2056" s="22" t="s">
        <v>14786</v>
      </c>
    </row>
    <row r="2057">
      <c r="A2057" s="23" t="s">
        <v>14787</v>
      </c>
      <c r="B2057" s="77" t="s">
        <v>163</v>
      </c>
      <c r="C2057" s="41">
        <v>45447.0</v>
      </c>
      <c r="D2057" s="40" t="s">
        <v>14788</v>
      </c>
      <c r="E2057" s="41" t="s">
        <v>14789</v>
      </c>
      <c r="F2057" s="43" t="s">
        <v>14790</v>
      </c>
      <c r="G2057" s="43" t="s">
        <v>14791</v>
      </c>
      <c r="H2057" s="51" t="s">
        <v>661</v>
      </c>
      <c r="I2057" s="25" t="str">
        <f>IFERROR(__xludf.DUMMYFUNCTION("GOOGLETRANSLATE(H2057,""EN"",""ES"")"),"Estrategia empresarial")</f>
        <v>Estrategia empresarial</v>
      </c>
      <c r="J2057" s="26" t="s">
        <v>35</v>
      </c>
      <c r="K2057" s="48">
        <v>0.6</v>
      </c>
      <c r="L2057" s="49" t="s">
        <v>14792</v>
      </c>
      <c r="M2057" s="28" t="s">
        <v>14793</v>
      </c>
      <c r="N2057" s="66" t="s">
        <v>14794</v>
      </c>
      <c r="O2057" s="66" t="str">
        <f>IFERROR(__xludf.DUMMYFUNCTION("GOOGLETRANSLATE(N2057,""EN"",""ES"")"),"La expansión de las soluciones digitales respalda la estrategia de participación del consumidor de Repsol.")</f>
        <v>La expansión de las soluciones digitales respalda la estrategia de participación del consumidor de Repsol.</v>
      </c>
      <c r="P2057" s="30">
        <v>0.1</v>
      </c>
      <c r="Q2057" s="31" t="str">
        <f>IFERROR(__xludf.DUMMYFUNCTION("GOOGLETRANSLATE(R2057,""ES"",""EN"")"),"-")</f>
        <v>-</v>
      </c>
      <c r="R2057" s="28" t="s">
        <v>11852</v>
      </c>
      <c r="S2057" s="53" t="s">
        <v>14762</v>
      </c>
      <c r="T2057" s="32" t="s">
        <v>14763</v>
      </c>
    </row>
    <row r="2058">
      <c r="A2058" s="33" t="s">
        <v>14795</v>
      </c>
      <c r="B2058" s="76" t="s">
        <v>163</v>
      </c>
      <c r="C2058" s="41">
        <v>45447.0</v>
      </c>
      <c r="D2058" s="40" t="s">
        <v>14796</v>
      </c>
      <c r="E2058" s="41" t="s">
        <v>14797</v>
      </c>
      <c r="F2058" s="43" t="s">
        <v>14798</v>
      </c>
      <c r="G2058" s="43" t="s">
        <v>14799</v>
      </c>
      <c r="H2058" s="51" t="s">
        <v>661</v>
      </c>
      <c r="I2058" s="15" t="str">
        <f>IFERROR(__xludf.DUMMYFUNCTION("GOOGLETRANSLATE(H2058,""EN"",""ES"")"),"Estrategia empresarial")</f>
        <v>Estrategia empresarial</v>
      </c>
      <c r="J2058" s="16" t="s">
        <v>35</v>
      </c>
      <c r="K2058" s="48">
        <v>0.6</v>
      </c>
      <c r="L2058" s="51" t="s">
        <v>14800</v>
      </c>
      <c r="M2058" s="34" t="s">
        <v>14801</v>
      </c>
      <c r="N2058" s="65" t="s">
        <v>14802</v>
      </c>
      <c r="O2058" s="65" t="str">
        <f>IFERROR(__xludf.DUMMYFUNCTION("GOOGLETRANSLATE(N2058,""EN"",""ES"")"),"El refuerzo de los servicios de movilidad se alinea con el crecimiento estratégico de Repsol.")</f>
        <v>El refuerzo de los servicios de movilidad se alinea con el crecimiento estratégico de Repsol.</v>
      </c>
      <c r="P2058" s="30">
        <v>0.0</v>
      </c>
      <c r="Q2058" s="18"/>
      <c r="R2058" s="18"/>
      <c r="S2058" s="52" t="s">
        <v>14786</v>
      </c>
      <c r="T2058" s="22" t="s">
        <v>14786</v>
      </c>
    </row>
    <row r="2059">
      <c r="A2059" s="23" t="s">
        <v>14803</v>
      </c>
      <c r="B2059" s="77" t="s">
        <v>163</v>
      </c>
      <c r="C2059" s="41">
        <v>45447.0</v>
      </c>
      <c r="D2059" s="40" t="s">
        <v>14804</v>
      </c>
      <c r="E2059" s="41" t="s">
        <v>14805</v>
      </c>
      <c r="F2059" s="43" t="s">
        <v>14806</v>
      </c>
      <c r="G2059" s="43" t="s">
        <v>14807</v>
      </c>
      <c r="H2059" s="51" t="s">
        <v>130</v>
      </c>
      <c r="I2059" s="25" t="str">
        <f>IFERROR(__xludf.DUMMYFUNCTION("GOOGLETRANSLATE(H2059,""EN"",""ES"")"),"Sostenibilidad")</f>
        <v>Sostenibilidad</v>
      </c>
      <c r="J2059" s="26" t="s">
        <v>35</v>
      </c>
      <c r="K2059" s="48">
        <v>0.7</v>
      </c>
      <c r="L2059" s="49" t="s">
        <v>14759</v>
      </c>
      <c r="M2059" s="28" t="s">
        <v>14760</v>
      </c>
      <c r="N2059" s="66" t="s">
        <v>14808</v>
      </c>
      <c r="O2059" s="66" t="str">
        <f>IFERROR(__xludf.DUMMYFUNCTION("GOOGLETRANSLATE(N2059,""EN"",""ES"")"),"La inversión en infraestructuras de movilidad eléctrica apoya la transición verde de Repsol.")</f>
        <v>La inversión en infraestructuras de movilidad eléctrica apoya la transición verde de Repsol.</v>
      </c>
      <c r="P2059" s="30">
        <v>0.2</v>
      </c>
      <c r="Q2059" s="31" t="str">
        <f>IFERROR(__xludf.DUMMYFUNCTION("GOOGLETRANSLATE(R2059,""ES"",""EN"")"),"-")</f>
        <v>-</v>
      </c>
      <c r="R2059" s="28" t="s">
        <v>11852</v>
      </c>
      <c r="S2059" s="53" t="s">
        <v>14809</v>
      </c>
      <c r="T2059" s="32" t="s">
        <v>14810</v>
      </c>
    </row>
    <row r="2060">
      <c r="A2060" s="33" t="s">
        <v>14811</v>
      </c>
      <c r="B2060" s="76" t="s">
        <v>163</v>
      </c>
      <c r="C2060" s="41">
        <v>45447.0</v>
      </c>
      <c r="D2060" s="40" t="s">
        <v>14812</v>
      </c>
      <c r="E2060" s="41" t="s">
        <v>14813</v>
      </c>
      <c r="F2060" s="43" t="s">
        <v>14814</v>
      </c>
      <c r="G2060" s="43" t="s">
        <v>14815</v>
      </c>
      <c r="H2060" s="51" t="s">
        <v>130</v>
      </c>
      <c r="I2060" s="15" t="str">
        <f>IFERROR(__xludf.DUMMYFUNCTION("GOOGLETRANSLATE(H2060,""EN"",""ES"")"),"Sostenibilidad")</f>
        <v>Sostenibilidad</v>
      </c>
      <c r="J2060" s="16" t="s">
        <v>35</v>
      </c>
      <c r="K2060" s="48">
        <v>0.7</v>
      </c>
      <c r="L2060" s="51" t="s">
        <v>14816</v>
      </c>
      <c r="M2060" s="34" t="s">
        <v>14817</v>
      </c>
      <c r="N2060" s="65" t="s">
        <v>14818</v>
      </c>
      <c r="O2060" s="65" t="str">
        <f>IFERROR(__xludf.DUMMYFUNCTION("GOOGLETRANSLATE(N2060,""EN"",""ES"")"),"El refuerzo de los servicios de movilidad digital se alinea con los esfuerzos de Repsol en materia de energías limpias.")</f>
        <v>El refuerzo de los servicios de movilidad digital se alinea con los esfuerzos de Repsol en materia de energías limpias.</v>
      </c>
      <c r="P2060" s="30">
        <v>0.2</v>
      </c>
      <c r="Q2060" s="18" t="str">
        <f>IFERROR(__xludf.DUMMYFUNCTION("GOOGLETRANSLATE(R2060,""ES"",""EN"")"),"-")</f>
        <v>-</v>
      </c>
      <c r="R2060" s="34" t="s">
        <v>11852</v>
      </c>
      <c r="S2060" s="52" t="s">
        <v>14809</v>
      </c>
      <c r="T2060" s="22" t="s">
        <v>14810</v>
      </c>
    </row>
    <row r="2061">
      <c r="A2061" s="23" t="s">
        <v>14819</v>
      </c>
      <c r="B2061" s="77" t="s">
        <v>2165</v>
      </c>
      <c r="C2061" s="41">
        <v>45447.0</v>
      </c>
      <c r="D2061" s="40" t="s">
        <v>14820</v>
      </c>
      <c r="E2061" s="41" t="s">
        <v>14821</v>
      </c>
      <c r="F2061" s="43" t="s">
        <v>14822</v>
      </c>
      <c r="G2061" s="43" t="s">
        <v>14823</v>
      </c>
      <c r="H2061" s="51" t="s">
        <v>408</v>
      </c>
      <c r="I2061" s="25" t="str">
        <f>IFERROR(__xludf.DUMMYFUNCTION("GOOGLETRANSLATE(H2061,""EN"",""ES"")"),"Legal")</f>
        <v>Legal</v>
      </c>
      <c r="J2061" s="26" t="s">
        <v>35</v>
      </c>
      <c r="K2061" s="48">
        <v>-0.5</v>
      </c>
      <c r="L2061" s="49" t="s">
        <v>14824</v>
      </c>
      <c r="M2061" s="28" t="s">
        <v>14825</v>
      </c>
      <c r="N2061" s="66" t="s">
        <v>14826</v>
      </c>
      <c r="O2061" s="66" t="str">
        <f>IFERROR(__xludf.DUMMYFUNCTION("GOOGLETRANSLATE(N2061,""EN"",""ES"")"),"Los conflictos legales sobre prácticas publicitarias pueden afectar la imagen pública de Repsol.")</f>
        <v>Los conflictos legales sobre prácticas publicitarias pueden afectar la imagen pública de Repsol.</v>
      </c>
      <c r="P2061" s="30">
        <v>-0.7</v>
      </c>
      <c r="Q2061" s="31" t="str">
        <f>IFERROR(__xludf.DUMMYFUNCTION("GOOGLETRANSLATE(R2061,""ES"",""EN"")"),"greenwashing")</f>
        <v>greenwashing</v>
      </c>
      <c r="R2061" s="28" t="s">
        <v>11135</v>
      </c>
      <c r="S2061" s="53" t="s">
        <v>14827</v>
      </c>
      <c r="T2061" s="32" t="s">
        <v>14828</v>
      </c>
    </row>
    <row r="2062">
      <c r="A2062" s="33" t="s">
        <v>14829</v>
      </c>
      <c r="B2062" s="76" t="s">
        <v>21</v>
      </c>
      <c r="C2062" s="41">
        <v>45447.0</v>
      </c>
      <c r="D2062" s="40" t="s">
        <v>14830</v>
      </c>
      <c r="E2062" s="41" t="s">
        <v>14831</v>
      </c>
      <c r="F2062" s="43" t="s">
        <v>14832</v>
      </c>
      <c r="G2062" s="43" t="s">
        <v>14833</v>
      </c>
      <c r="H2062" s="51" t="s">
        <v>148</v>
      </c>
      <c r="I2062" s="15" t="str">
        <f>IFERROR(__xludf.DUMMYFUNCTION("GOOGLETRANSLATE(H2062,""EN"",""ES"")"),"Gastronomía")</f>
        <v>Gastronomía</v>
      </c>
      <c r="J2062" s="16" t="s">
        <v>27</v>
      </c>
      <c r="K2062" s="17">
        <v>0.0</v>
      </c>
      <c r="L2062" s="45"/>
      <c r="M2062" s="18"/>
      <c r="N2062" s="65"/>
      <c r="O2062" s="65"/>
      <c r="P2062" s="20">
        <v>0.0</v>
      </c>
      <c r="Q2062" s="18"/>
      <c r="R2062" s="18"/>
      <c r="S2062" s="52"/>
      <c r="T2062" s="22"/>
    </row>
    <row r="2063">
      <c r="A2063" s="23" t="s">
        <v>14834</v>
      </c>
      <c r="B2063" s="77" t="s">
        <v>21</v>
      </c>
      <c r="C2063" s="41">
        <v>45447.0</v>
      </c>
      <c r="D2063" s="40" t="s">
        <v>14835</v>
      </c>
      <c r="E2063" s="41" t="s">
        <v>14836</v>
      </c>
      <c r="F2063" s="43" t="s">
        <v>14837</v>
      </c>
      <c r="G2063" s="43" t="s">
        <v>14838</v>
      </c>
      <c r="H2063" s="51" t="s">
        <v>14839</v>
      </c>
      <c r="I2063" s="25" t="str">
        <f>IFERROR(__xludf.DUMMYFUNCTION("GOOGLETRANSLATE(H2063,""EN"",""ES"")"),"Herencia cultural")</f>
        <v>Herencia cultural</v>
      </c>
      <c r="J2063" s="26" t="s">
        <v>27</v>
      </c>
      <c r="K2063" s="17">
        <v>0.0</v>
      </c>
      <c r="L2063" s="54"/>
      <c r="M2063" s="31"/>
      <c r="N2063" s="66"/>
      <c r="O2063" s="66"/>
      <c r="P2063" s="20">
        <v>0.0</v>
      </c>
      <c r="Q2063" s="31"/>
      <c r="R2063" s="31"/>
      <c r="S2063" s="53"/>
      <c r="T2063" s="32"/>
    </row>
    <row r="2064">
      <c r="A2064" s="33" t="s">
        <v>14840</v>
      </c>
      <c r="B2064" s="76" t="s">
        <v>1093</v>
      </c>
      <c r="C2064" s="41">
        <v>45447.0</v>
      </c>
      <c r="D2064" s="40" t="s">
        <v>14841</v>
      </c>
      <c r="E2064" s="41" t="s">
        <v>14842</v>
      </c>
      <c r="F2064" s="43" t="s">
        <v>14843</v>
      </c>
      <c r="G2064" s="43" t="s">
        <v>14844</v>
      </c>
      <c r="H2064" s="51" t="s">
        <v>130</v>
      </c>
      <c r="I2064" s="15" t="str">
        <f>IFERROR(__xludf.DUMMYFUNCTION("GOOGLETRANSLATE(H2064,""EN"",""ES"")"),"Sostenibilidad")</f>
        <v>Sostenibilidad</v>
      </c>
      <c r="J2064" s="16" t="s">
        <v>35</v>
      </c>
      <c r="K2064" s="48">
        <v>0.7</v>
      </c>
      <c r="L2064" s="51" t="s">
        <v>12082</v>
      </c>
      <c r="M2064" s="34" t="s">
        <v>12083</v>
      </c>
      <c r="N2064" s="65" t="s">
        <v>14456</v>
      </c>
      <c r="O2064" s="65" t="str">
        <f>IFERROR(__xludf.DUMMYFUNCTION("GOOGLETRANSLATE(N2064,""EN"",""ES"")"),"Apoyar iniciativas de sostenibilidad mejora la reputación medioambiental de Repsol.")</f>
        <v>Apoyar iniciativas de sostenibilidad mejora la reputación medioambiental de Repsol.</v>
      </c>
      <c r="P2064" s="30">
        <v>0.5</v>
      </c>
      <c r="Q2064" s="18" t="str">
        <f>IFERROR(__xludf.DUMMYFUNCTION("GOOGLETRANSLATE(R2064,""ES"",""EN"")"),"education award")</f>
        <v>education award</v>
      </c>
      <c r="R2064" s="34" t="s">
        <v>14845</v>
      </c>
      <c r="S2064" s="52" t="s">
        <v>14552</v>
      </c>
      <c r="T2064" s="22" t="s">
        <v>14553</v>
      </c>
    </row>
    <row r="2065">
      <c r="A2065" s="23" t="s">
        <v>14846</v>
      </c>
      <c r="B2065" s="77" t="s">
        <v>85</v>
      </c>
      <c r="C2065" s="41">
        <v>45447.0</v>
      </c>
      <c r="D2065" s="40" t="s">
        <v>14847</v>
      </c>
      <c r="E2065" s="41" t="s">
        <v>14848</v>
      </c>
      <c r="F2065" s="43" t="s">
        <v>14849</v>
      </c>
      <c r="G2065" s="43" t="s">
        <v>14850</v>
      </c>
      <c r="H2065" s="51" t="s">
        <v>148</v>
      </c>
      <c r="I2065" s="25" t="str">
        <f>IFERROR(__xludf.DUMMYFUNCTION("GOOGLETRANSLATE(H2065,""EN"",""ES"")"),"Gastronomía")</f>
        <v>Gastronomía</v>
      </c>
      <c r="J2065" s="26" t="s">
        <v>27</v>
      </c>
      <c r="K2065" s="17">
        <v>0.0</v>
      </c>
      <c r="L2065" s="54"/>
      <c r="M2065" s="31"/>
      <c r="N2065" s="66"/>
      <c r="O2065" s="66"/>
      <c r="P2065" s="20">
        <v>0.0</v>
      </c>
      <c r="Q2065" s="31"/>
      <c r="R2065" s="31"/>
      <c r="S2065" s="53"/>
      <c r="T2065" s="32"/>
    </row>
    <row r="2066">
      <c r="A2066" s="33" t="s">
        <v>14851</v>
      </c>
      <c r="B2066" s="76" t="s">
        <v>14852</v>
      </c>
      <c r="C2066" s="41">
        <v>45447.0</v>
      </c>
      <c r="D2066" s="40" t="s">
        <v>14853</v>
      </c>
      <c r="E2066" s="41" t="s">
        <v>14854</v>
      </c>
      <c r="F2066" s="43" t="s">
        <v>14855</v>
      </c>
      <c r="G2066" s="43" t="s">
        <v>14856</v>
      </c>
      <c r="H2066" s="51" t="s">
        <v>661</v>
      </c>
      <c r="I2066" s="15" t="str">
        <f>IFERROR(__xludf.DUMMYFUNCTION("GOOGLETRANSLATE(H2066,""EN"",""ES"")"),"Estrategia empresarial")</f>
        <v>Estrategia empresarial</v>
      </c>
      <c r="J2066" s="16" t="s">
        <v>35</v>
      </c>
      <c r="K2066" s="48">
        <v>0.6</v>
      </c>
      <c r="L2066" s="51" t="s">
        <v>14857</v>
      </c>
      <c r="M2066" s="34" t="s">
        <v>14858</v>
      </c>
      <c r="N2066" s="65" t="s">
        <v>14859</v>
      </c>
      <c r="O2066" s="65" t="str">
        <f>IFERROR(__xludf.DUMMYFUNCTION("GOOGLETRANSLATE(N2066,""EN"",""ES"")"),"Reforzar su presencia en Colombia refuerza la posición de mercado de Repsol.")</f>
        <v>Reforzar su presencia en Colombia refuerza la posición de mercado de Repsol.</v>
      </c>
      <c r="P2066" s="30">
        <v>0.0</v>
      </c>
      <c r="Q2066" s="18"/>
      <c r="R2066" s="18"/>
      <c r="S2066" s="52" t="s">
        <v>14860</v>
      </c>
      <c r="T2066" s="22" t="s">
        <v>14861</v>
      </c>
    </row>
    <row r="2067">
      <c r="A2067" s="23" t="s">
        <v>14862</v>
      </c>
      <c r="B2067" s="77" t="s">
        <v>14863</v>
      </c>
      <c r="C2067" s="41">
        <v>45448.0</v>
      </c>
      <c r="D2067" s="40" t="s">
        <v>12565</v>
      </c>
      <c r="E2067" s="41" t="s">
        <v>14864</v>
      </c>
      <c r="F2067" s="43" t="s">
        <v>12567</v>
      </c>
      <c r="G2067" s="43" t="s">
        <v>14865</v>
      </c>
      <c r="H2067" s="51" t="s">
        <v>130</v>
      </c>
      <c r="I2067" s="25" t="str">
        <f>IFERROR(__xludf.DUMMYFUNCTION("GOOGLETRANSLATE(H2067,""EN"",""ES"")"),"Sostenibilidad")</f>
        <v>Sostenibilidad</v>
      </c>
      <c r="J2067" s="26" t="s">
        <v>35</v>
      </c>
      <c r="K2067" s="48">
        <v>0.7</v>
      </c>
      <c r="L2067" s="49" t="s">
        <v>12580</v>
      </c>
      <c r="M2067" s="28" t="s">
        <v>12581</v>
      </c>
      <c r="N2067" s="66" t="s">
        <v>14866</v>
      </c>
      <c r="O2067" s="66" t="str">
        <f>IFERROR(__xludf.DUMMYFUNCTION("GOOGLETRANSLATE(N2067,""EN"",""ES"")"),"Ampliar las asociaciones de combustibles renovables mejora la transición verde de Repsol.")</f>
        <v>Ampliar las asociaciones de combustibles renovables mejora la transición verde de Repsol.</v>
      </c>
      <c r="P2067" s="30">
        <v>0.7</v>
      </c>
      <c r="Q2067" s="31" t="str">
        <f>IFERROR(__xludf.DUMMYFUNCTION("GOOGLETRANSLATE(R2067,""ES"",""EN"")"),"renewable fuel")</f>
        <v>renewable fuel</v>
      </c>
      <c r="R2067" s="28" t="s">
        <v>10542</v>
      </c>
      <c r="S2067" s="53" t="s">
        <v>11820</v>
      </c>
      <c r="T2067" s="32" t="s">
        <v>11821</v>
      </c>
    </row>
    <row r="2068">
      <c r="A2068" s="33" t="s">
        <v>14867</v>
      </c>
      <c r="B2068" s="76" t="s">
        <v>499</v>
      </c>
      <c r="C2068" s="41">
        <v>45448.0</v>
      </c>
      <c r="D2068" s="40" t="s">
        <v>14868</v>
      </c>
      <c r="E2068" s="41" t="s">
        <v>14869</v>
      </c>
      <c r="F2068" s="43" t="s">
        <v>14870</v>
      </c>
      <c r="G2068" s="43" t="s">
        <v>14871</v>
      </c>
      <c r="H2068" s="51" t="s">
        <v>130</v>
      </c>
      <c r="I2068" s="15" t="str">
        <f>IFERROR(__xludf.DUMMYFUNCTION("GOOGLETRANSLATE(H2068,""EN"",""ES"")"),"Sostenibilidad")</f>
        <v>Sostenibilidad</v>
      </c>
      <c r="J2068" s="16" t="s">
        <v>35</v>
      </c>
      <c r="K2068" s="48">
        <v>0.7</v>
      </c>
      <c r="L2068" s="51" t="s">
        <v>14872</v>
      </c>
      <c r="M2068" s="34" t="s">
        <v>14873</v>
      </c>
      <c r="N2068" s="65" t="s">
        <v>14874</v>
      </c>
      <c r="O2068" s="65" t="str">
        <f>IFERROR(__xludf.DUMMYFUNCTION("GOOGLETRANSLATE(N2068,""EN"",""ES"")"),"El aumento de la capacidad solar refuerza la apuesta de Repsol por las energías limpias.")</f>
        <v>El aumento de la capacidad solar refuerza la apuesta de Repsol por las energías limpias.</v>
      </c>
      <c r="P2068" s="30">
        <v>0.6</v>
      </c>
      <c r="Q2068" s="18" t="str">
        <f>IFERROR(__xludf.DUMMYFUNCTION("GOOGLETRANSLATE(R2068,""ES"",""EN"")"),"solar energy")</f>
        <v>solar energy</v>
      </c>
      <c r="R2068" s="34" t="s">
        <v>14875</v>
      </c>
      <c r="S2068" s="52" t="s">
        <v>14876</v>
      </c>
      <c r="T2068" s="22" t="s">
        <v>14877</v>
      </c>
    </row>
    <row r="2069">
      <c r="A2069" s="23" t="s">
        <v>14878</v>
      </c>
      <c r="B2069" s="77" t="s">
        <v>14879</v>
      </c>
      <c r="C2069" s="41">
        <v>45448.0</v>
      </c>
      <c r="D2069" s="40" t="s">
        <v>14880</v>
      </c>
      <c r="E2069" s="41" t="s">
        <v>14881</v>
      </c>
      <c r="F2069" s="43" t="s">
        <v>14882</v>
      </c>
      <c r="G2069" s="43" t="s">
        <v>14883</v>
      </c>
      <c r="H2069" s="51" t="s">
        <v>148</v>
      </c>
      <c r="I2069" s="25" t="str">
        <f>IFERROR(__xludf.DUMMYFUNCTION("GOOGLETRANSLATE(H2069,""EN"",""ES"")"),"Gastronomía")</f>
        <v>Gastronomía</v>
      </c>
      <c r="J2069" s="26" t="s">
        <v>27</v>
      </c>
      <c r="K2069" s="17">
        <v>0.0</v>
      </c>
      <c r="L2069" s="54"/>
      <c r="M2069" s="31"/>
      <c r="N2069" s="66"/>
      <c r="O2069" s="66"/>
      <c r="P2069" s="20">
        <v>0.0</v>
      </c>
      <c r="Q2069" s="31"/>
      <c r="R2069" s="31"/>
      <c r="S2069" s="53"/>
      <c r="T2069" s="32"/>
    </row>
    <row r="2070">
      <c r="A2070" s="33" t="s">
        <v>14884</v>
      </c>
      <c r="B2070" s="76" t="s">
        <v>7246</v>
      </c>
      <c r="C2070" s="41">
        <v>45448.0</v>
      </c>
      <c r="D2070" s="40" t="s">
        <v>7249</v>
      </c>
      <c r="E2070" s="41" t="s">
        <v>14885</v>
      </c>
      <c r="F2070" s="43" t="s">
        <v>7249</v>
      </c>
      <c r="G2070" s="43" t="s">
        <v>14885</v>
      </c>
      <c r="H2070" s="51" t="s">
        <v>148</v>
      </c>
      <c r="I2070" s="15" t="str">
        <f>IFERROR(__xludf.DUMMYFUNCTION("GOOGLETRANSLATE(H2070,""EN"",""ES"")"),"Gastronomía")</f>
        <v>Gastronomía</v>
      </c>
      <c r="J2070" s="16" t="s">
        <v>27</v>
      </c>
      <c r="K2070" s="17">
        <v>0.0</v>
      </c>
      <c r="L2070" s="45"/>
      <c r="M2070" s="18"/>
      <c r="N2070" s="65"/>
      <c r="O2070" s="65"/>
      <c r="P2070" s="20">
        <v>0.0</v>
      </c>
      <c r="Q2070" s="18"/>
      <c r="R2070" s="18"/>
      <c r="S2070" s="52"/>
      <c r="T2070" s="22"/>
    </row>
    <row r="2071">
      <c r="A2071" s="23" t="s">
        <v>14886</v>
      </c>
      <c r="B2071" s="77" t="s">
        <v>558</v>
      </c>
      <c r="C2071" s="41">
        <v>45448.0</v>
      </c>
      <c r="D2071" s="40" t="s">
        <v>14887</v>
      </c>
      <c r="E2071" s="41" t="s">
        <v>14888</v>
      </c>
      <c r="F2071" s="43" t="s">
        <v>14889</v>
      </c>
      <c r="G2071" s="43" t="s">
        <v>14890</v>
      </c>
      <c r="H2071" s="51" t="s">
        <v>48</v>
      </c>
      <c r="I2071" s="25" t="str">
        <f>IFERROR(__xludf.DUMMYFUNCTION("GOOGLETRANSLATE(H2071,""EN"",""ES"")"),"Finanzas")</f>
        <v>Finanzas</v>
      </c>
      <c r="J2071" s="26" t="s">
        <v>27</v>
      </c>
      <c r="K2071" s="17">
        <v>0.0</v>
      </c>
      <c r="L2071" s="54"/>
      <c r="M2071" s="31"/>
      <c r="N2071" s="66"/>
      <c r="O2071" s="66"/>
      <c r="P2071" s="20">
        <v>0.0</v>
      </c>
      <c r="Q2071" s="31"/>
      <c r="R2071" s="31"/>
      <c r="S2071" s="53"/>
      <c r="T2071" s="32"/>
    </row>
    <row r="2072">
      <c r="A2072" s="33" t="s">
        <v>14891</v>
      </c>
      <c r="B2072" s="76" t="s">
        <v>513</v>
      </c>
      <c r="C2072" s="41">
        <v>45448.0</v>
      </c>
      <c r="D2072" s="40" t="s">
        <v>14892</v>
      </c>
      <c r="E2072" s="41" t="s">
        <v>14893</v>
      </c>
      <c r="F2072" s="43" t="s">
        <v>14894</v>
      </c>
      <c r="G2072" s="43" t="s">
        <v>14895</v>
      </c>
      <c r="H2072" s="51" t="s">
        <v>55</v>
      </c>
      <c r="I2072" s="15" t="str">
        <f>IFERROR(__xludf.DUMMYFUNCTION("GOOGLETRANSLATE(H2072,""EN"",""ES"")"),"deportes de motor")</f>
        <v>deportes de motor</v>
      </c>
      <c r="J2072" s="16" t="s">
        <v>35</v>
      </c>
      <c r="K2072" s="48">
        <v>-0.6</v>
      </c>
      <c r="L2072" s="51" t="s">
        <v>14896</v>
      </c>
      <c r="M2072" s="34" t="s">
        <v>14897</v>
      </c>
      <c r="N2072" s="65" t="s">
        <v>14898</v>
      </c>
      <c r="O2072" s="65" t="str">
        <f>IFERROR(__xludf.DUMMYFUNCTION("GOOGLETRANSLATE(N2072,""EN"",""ES"")"),"El mal desempeño de Honda puede afectar el valor del patrocinio de Repsol.")</f>
        <v>El mal desempeño de Honda puede afectar el valor del patrocinio de Repsol.</v>
      </c>
      <c r="P2072" s="30">
        <v>-0.4</v>
      </c>
      <c r="Q2072" s="18" t="str">
        <f>IFERROR(__xludf.DUMMYFUNCTION("GOOGLETRANSLATE(R2072,""ES"",""EN"")"),"-")</f>
        <v>-</v>
      </c>
      <c r="R2072" s="34" t="s">
        <v>11852</v>
      </c>
      <c r="S2072" s="52" t="s">
        <v>14899</v>
      </c>
      <c r="T2072" s="22" t="s">
        <v>14900</v>
      </c>
    </row>
    <row r="2073">
      <c r="A2073" s="23" t="s">
        <v>14901</v>
      </c>
      <c r="B2073" s="77" t="s">
        <v>448</v>
      </c>
      <c r="C2073" s="41">
        <v>45448.0</v>
      </c>
      <c r="D2073" s="40" t="s">
        <v>14902</v>
      </c>
      <c r="E2073" s="41" t="s">
        <v>14903</v>
      </c>
      <c r="F2073" s="43" t="s">
        <v>14904</v>
      </c>
      <c r="G2073" s="43" t="s">
        <v>14905</v>
      </c>
      <c r="H2073" s="51" t="s">
        <v>661</v>
      </c>
      <c r="I2073" s="25" t="str">
        <f>IFERROR(__xludf.DUMMYFUNCTION("GOOGLETRANSLATE(H2073,""EN"",""ES"")"),"Estrategia empresarial")</f>
        <v>Estrategia empresarial</v>
      </c>
      <c r="J2073" s="26" t="s">
        <v>35</v>
      </c>
      <c r="K2073" s="48">
        <v>-0.5</v>
      </c>
      <c r="L2073" s="49" t="s">
        <v>14906</v>
      </c>
      <c r="M2073" s="28" t="s">
        <v>14907</v>
      </c>
      <c r="N2073" s="66" t="s">
        <v>14908</v>
      </c>
      <c r="O2073" s="66" t="str">
        <f>IFERROR(__xludf.DUMMYFUNCTION("GOOGLETRANSLATE(N2073,""EN"",""ES"")"),"La mayor competencia de precios en la electricidad puede afectar los márgenes de beneficio de Repsol.")</f>
        <v>La mayor competencia de precios en la electricidad puede afectar los márgenes de beneficio de Repsol.</v>
      </c>
      <c r="P2073" s="30">
        <v>0.0</v>
      </c>
      <c r="Q2073" s="31"/>
      <c r="R2073" s="31"/>
      <c r="S2073" s="53" t="s">
        <v>4509</v>
      </c>
      <c r="T2073" s="32" t="s">
        <v>14909</v>
      </c>
    </row>
    <row r="2074">
      <c r="A2074" s="33" t="s">
        <v>14910</v>
      </c>
      <c r="B2074" s="76" t="s">
        <v>14911</v>
      </c>
      <c r="C2074" s="41">
        <v>45448.0</v>
      </c>
      <c r="D2074" s="40" t="s">
        <v>14912</v>
      </c>
      <c r="E2074" s="41" t="s">
        <v>14913</v>
      </c>
      <c r="F2074" s="43" t="s">
        <v>14914</v>
      </c>
      <c r="G2074" s="43" t="s">
        <v>14915</v>
      </c>
      <c r="H2074" s="51" t="s">
        <v>148</v>
      </c>
      <c r="I2074" s="15" t="str">
        <f>IFERROR(__xludf.DUMMYFUNCTION("GOOGLETRANSLATE(H2074,""EN"",""ES"")"),"Gastronomía")</f>
        <v>Gastronomía</v>
      </c>
      <c r="J2074" s="16" t="s">
        <v>27</v>
      </c>
      <c r="K2074" s="17">
        <v>0.0</v>
      </c>
      <c r="L2074" s="45"/>
      <c r="M2074" s="18"/>
      <c r="N2074" s="65"/>
      <c r="O2074" s="65"/>
      <c r="P2074" s="20">
        <v>0.0</v>
      </c>
      <c r="Q2074" s="18"/>
      <c r="R2074" s="18"/>
      <c r="S2074" s="52"/>
      <c r="T2074" s="22"/>
    </row>
    <row r="2075">
      <c r="A2075" s="23" t="s">
        <v>14916</v>
      </c>
      <c r="B2075" s="77" t="s">
        <v>614</v>
      </c>
      <c r="C2075" s="41">
        <v>45448.0</v>
      </c>
      <c r="D2075" s="40" t="s">
        <v>14917</v>
      </c>
      <c r="E2075" s="41" t="s">
        <v>14918</v>
      </c>
      <c r="F2075" s="43" t="s">
        <v>14919</v>
      </c>
      <c r="G2075" s="43" t="s">
        <v>14920</v>
      </c>
      <c r="H2075" s="51" t="s">
        <v>130</v>
      </c>
      <c r="I2075" s="25" t="str">
        <f>IFERROR(__xludf.DUMMYFUNCTION("GOOGLETRANSLATE(H2075,""EN"",""ES"")"),"Sostenibilidad")</f>
        <v>Sostenibilidad</v>
      </c>
      <c r="J2075" s="26" t="s">
        <v>27</v>
      </c>
      <c r="K2075" s="17">
        <v>0.0</v>
      </c>
      <c r="L2075" s="54"/>
      <c r="M2075" s="31"/>
      <c r="N2075" s="66"/>
      <c r="O2075" s="66"/>
      <c r="P2075" s="20">
        <v>0.0</v>
      </c>
      <c r="Q2075" s="31"/>
      <c r="R2075" s="31"/>
      <c r="S2075" s="53"/>
      <c r="T2075" s="32"/>
    </row>
    <row r="2076">
      <c r="A2076" s="33" t="s">
        <v>14921</v>
      </c>
      <c r="B2076" s="76" t="s">
        <v>2283</v>
      </c>
      <c r="C2076" s="41">
        <v>45448.0</v>
      </c>
      <c r="D2076" s="40" t="s">
        <v>14922</v>
      </c>
      <c r="E2076" s="41" t="s">
        <v>2285</v>
      </c>
      <c r="F2076" s="43" t="s">
        <v>14923</v>
      </c>
      <c r="G2076" s="43" t="s">
        <v>2287</v>
      </c>
      <c r="H2076" s="51" t="s">
        <v>55</v>
      </c>
      <c r="I2076" s="15" t="str">
        <f>IFERROR(__xludf.DUMMYFUNCTION("GOOGLETRANSLATE(H2076,""EN"",""ES"")"),"deportes de motor")</f>
        <v>deportes de motor</v>
      </c>
      <c r="J2076" s="16" t="s">
        <v>27</v>
      </c>
      <c r="K2076" s="17">
        <v>0.0</v>
      </c>
      <c r="L2076" s="45"/>
      <c r="M2076" s="18"/>
      <c r="N2076" s="65"/>
      <c r="O2076" s="65"/>
      <c r="P2076" s="20">
        <v>0.0</v>
      </c>
      <c r="Q2076" s="18"/>
      <c r="R2076" s="18"/>
      <c r="S2076" s="52"/>
      <c r="T2076" s="22"/>
    </row>
    <row r="2077">
      <c r="A2077" s="37" t="s">
        <v>14924</v>
      </c>
      <c r="B2077" s="77" t="s">
        <v>14925</v>
      </c>
      <c r="C2077" s="41">
        <v>45448.0</v>
      </c>
      <c r="D2077" s="40" t="s">
        <v>14926</v>
      </c>
      <c r="E2077" s="41" t="s">
        <v>14927</v>
      </c>
      <c r="F2077" s="43" t="s">
        <v>14928</v>
      </c>
      <c r="G2077" s="43" t="s">
        <v>14929</v>
      </c>
      <c r="H2077" s="51" t="s">
        <v>62</v>
      </c>
      <c r="I2077" s="25" t="str">
        <f>IFERROR(__xludf.DUMMYFUNCTION("GOOGLETRANSLATE(H2077,""EN"",""ES"")"),"Energía")</f>
        <v>Energía</v>
      </c>
      <c r="J2077" s="26" t="s">
        <v>27</v>
      </c>
      <c r="K2077" s="17">
        <v>0.0</v>
      </c>
      <c r="L2077" s="54"/>
      <c r="M2077" s="31"/>
      <c r="N2077" s="66"/>
      <c r="O2077" s="66"/>
      <c r="P2077" s="20">
        <v>0.0</v>
      </c>
      <c r="Q2077" s="31"/>
      <c r="R2077" s="31"/>
      <c r="S2077" s="53"/>
      <c r="T2077" s="32"/>
    </row>
    <row r="2078">
      <c r="A2078" s="33" t="s">
        <v>14930</v>
      </c>
      <c r="B2078" s="76" t="s">
        <v>103</v>
      </c>
      <c r="C2078" s="41">
        <v>45449.0</v>
      </c>
      <c r="D2078" s="40" t="s">
        <v>14931</v>
      </c>
      <c r="E2078" s="41" t="s">
        <v>14932</v>
      </c>
      <c r="F2078" s="43" t="s">
        <v>14933</v>
      </c>
      <c r="G2078" s="43" t="s">
        <v>14934</v>
      </c>
      <c r="H2078" s="51" t="s">
        <v>130</v>
      </c>
      <c r="I2078" s="15" t="str">
        <f>IFERROR(__xludf.DUMMYFUNCTION("GOOGLETRANSLATE(H2078,""EN"",""ES"")"),"Sostenibilidad")</f>
        <v>Sostenibilidad</v>
      </c>
      <c r="J2078" s="16" t="s">
        <v>35</v>
      </c>
      <c r="K2078" s="48">
        <v>0.7</v>
      </c>
      <c r="L2078" s="51" t="s">
        <v>14935</v>
      </c>
      <c r="M2078" s="34" t="s">
        <v>14936</v>
      </c>
      <c r="N2078" s="65" t="s">
        <v>14937</v>
      </c>
      <c r="O2078" s="65" t="str">
        <f>IFERROR(__xludf.DUMMYFUNCTION("GOOGLETRANSLATE(N2078,""EN"",""ES"")"),"La captación de fondos para proyectos sostenibles fortalece la estrategia ambiental de Repsol.")</f>
        <v>La captación de fondos para proyectos sostenibles fortalece la estrategia ambiental de Repsol.</v>
      </c>
      <c r="P2078" s="30">
        <v>0.6</v>
      </c>
      <c r="Q2078" s="18" t="str">
        <f>IFERROR(__xludf.DUMMYFUNCTION("GOOGLETRANSLATE(R2078,""ES"",""EN"")"),"startup investment")</f>
        <v>startup investment</v>
      </c>
      <c r="R2078" s="34" t="s">
        <v>14938</v>
      </c>
      <c r="S2078" s="52" t="s">
        <v>14939</v>
      </c>
      <c r="T2078" s="22" t="s">
        <v>14940</v>
      </c>
    </row>
    <row r="2079">
      <c r="A2079" s="23" t="s">
        <v>14941</v>
      </c>
      <c r="B2079" s="77" t="s">
        <v>2696</v>
      </c>
      <c r="C2079" s="41">
        <v>45449.0</v>
      </c>
      <c r="D2079" s="40" t="s">
        <v>14942</v>
      </c>
      <c r="E2079" s="41" t="s">
        <v>14943</v>
      </c>
      <c r="F2079" s="43" t="s">
        <v>14944</v>
      </c>
      <c r="G2079" s="43" t="s">
        <v>14945</v>
      </c>
      <c r="H2079" s="51" t="s">
        <v>130</v>
      </c>
      <c r="I2079" s="25" t="str">
        <f>IFERROR(__xludf.DUMMYFUNCTION("GOOGLETRANSLATE(H2079,""EN"",""ES"")"),"Sostenibilidad")</f>
        <v>Sostenibilidad</v>
      </c>
      <c r="J2079" s="26" t="s">
        <v>35</v>
      </c>
      <c r="K2079" s="48">
        <v>0.7</v>
      </c>
      <c r="L2079" s="49" t="s">
        <v>14946</v>
      </c>
      <c r="M2079" s="28" t="s">
        <v>14947</v>
      </c>
      <c r="N2079" s="66" t="s">
        <v>14948</v>
      </c>
      <c r="O2079" s="66" t="str">
        <f>IFERROR(__xludf.DUMMYFUNCTION("GOOGLETRANSLATE(N2079,""EN"",""ES"")"),"El aumento de las inversiones en sostenibilidad se alinea con la transición energética verde de Repsol.")</f>
        <v>El aumento de las inversiones en sostenibilidad se alinea con la transición energética verde de Repsol.</v>
      </c>
      <c r="P2079" s="30">
        <v>0.6</v>
      </c>
      <c r="Q2079" s="31" t="str">
        <f>IFERROR(__xludf.DUMMYFUNCTION("GOOGLETRANSLATE(R2079,""ES"",""EN"")"),"green investment")</f>
        <v>green investment</v>
      </c>
      <c r="R2079" s="28" t="s">
        <v>14949</v>
      </c>
      <c r="S2079" s="53" t="s">
        <v>11791</v>
      </c>
      <c r="T2079" s="32" t="s">
        <v>11792</v>
      </c>
    </row>
    <row r="2080">
      <c r="A2080" s="33" t="s">
        <v>14950</v>
      </c>
      <c r="B2080" s="76" t="s">
        <v>14951</v>
      </c>
      <c r="C2080" s="41">
        <v>45449.0</v>
      </c>
      <c r="D2080" s="40" t="s">
        <v>14952</v>
      </c>
      <c r="E2080" s="41" t="s">
        <v>14953</v>
      </c>
      <c r="F2080" s="43" t="s">
        <v>14954</v>
      </c>
      <c r="G2080" s="43" t="s">
        <v>14955</v>
      </c>
      <c r="H2080" s="51" t="s">
        <v>661</v>
      </c>
      <c r="I2080" s="15" t="str">
        <f>IFERROR(__xludf.DUMMYFUNCTION("GOOGLETRANSLATE(H2080,""EN"",""ES"")"),"Estrategia empresarial")</f>
        <v>Estrategia empresarial</v>
      </c>
      <c r="J2080" s="16" t="s">
        <v>35</v>
      </c>
      <c r="K2080" s="48">
        <v>-0.5</v>
      </c>
      <c r="L2080" s="51" t="s">
        <v>14956</v>
      </c>
      <c r="M2080" s="34" t="s">
        <v>14957</v>
      </c>
      <c r="N2080" s="65" t="s">
        <v>14958</v>
      </c>
      <c r="O2080" s="65" t="str">
        <f>IFERROR(__xludf.DUMMYFUNCTION("GOOGLETRANSLATE(N2080,""EN"",""ES"")"),"Los conflictos comerciales con Iberdrola pueden afectar a la imagen pública de Repsol.")</f>
        <v>Los conflictos comerciales con Iberdrola pueden afectar a la imagen pública de Repsol.</v>
      </c>
      <c r="P2080" s="30">
        <v>-0.5</v>
      </c>
      <c r="Q2080" s="18" t="str">
        <f>IFERROR(__xludf.DUMMYFUNCTION("GOOGLETRANSLATE(R2080,""ES"",""EN"")"),"-")</f>
        <v>-</v>
      </c>
      <c r="R2080" s="34" t="s">
        <v>11852</v>
      </c>
      <c r="S2080" s="52" t="s">
        <v>14959</v>
      </c>
      <c r="T2080" s="22" t="s">
        <v>14960</v>
      </c>
    </row>
    <row r="2081">
      <c r="A2081" s="23" t="s">
        <v>14961</v>
      </c>
      <c r="B2081" s="77" t="s">
        <v>14962</v>
      </c>
      <c r="C2081" s="41">
        <v>45449.0</v>
      </c>
      <c r="D2081" s="40" t="s">
        <v>14963</v>
      </c>
      <c r="E2081" s="41" t="s">
        <v>14964</v>
      </c>
      <c r="F2081" s="43" t="s">
        <v>14965</v>
      </c>
      <c r="G2081" s="43" t="s">
        <v>14966</v>
      </c>
      <c r="H2081" s="51" t="s">
        <v>55</v>
      </c>
      <c r="I2081" s="25" t="str">
        <f>IFERROR(__xludf.DUMMYFUNCTION("GOOGLETRANSLATE(H2081,""EN"",""ES"")"),"deportes de motor")</f>
        <v>deportes de motor</v>
      </c>
      <c r="J2081" s="26" t="s">
        <v>35</v>
      </c>
      <c r="K2081" s="48">
        <v>-0.7</v>
      </c>
      <c r="L2081" s="49" t="s">
        <v>14188</v>
      </c>
      <c r="M2081" s="28" t="s">
        <v>14189</v>
      </c>
      <c r="N2081" s="66" t="s">
        <v>14967</v>
      </c>
      <c r="O2081" s="66" t="str">
        <f>IFERROR(__xludf.DUMMYFUNCTION("GOOGLETRANSLATE(N2081,""EN"",""ES"")"),"Poner fin a una asociación histórica puede afectar al reconocimiento de marca de Repsol en MotoGP.")</f>
        <v>Poner fin a una asociación histórica puede afectar al reconocimiento de marca de Repsol en MotoGP.</v>
      </c>
      <c r="P2081" s="30">
        <v>-0.4</v>
      </c>
      <c r="Q2081" s="31" t="str">
        <f>IFERROR(__xludf.DUMMYFUNCTION("GOOGLETRANSLATE(R2081,""ES"",""EN"")"),"-")</f>
        <v>-</v>
      </c>
      <c r="R2081" s="28" t="s">
        <v>11852</v>
      </c>
      <c r="S2081" s="53" t="s">
        <v>14899</v>
      </c>
      <c r="T2081" s="32" t="s">
        <v>14900</v>
      </c>
    </row>
    <row r="2082">
      <c r="A2082" s="33" t="s">
        <v>14968</v>
      </c>
      <c r="B2082" s="76" t="s">
        <v>21</v>
      </c>
      <c r="C2082" s="41">
        <v>45449.0</v>
      </c>
      <c r="D2082" s="40" t="s">
        <v>14969</v>
      </c>
      <c r="E2082" s="41" t="s">
        <v>14970</v>
      </c>
      <c r="F2082" s="43" t="s">
        <v>14971</v>
      </c>
      <c r="G2082" s="43" t="s">
        <v>14972</v>
      </c>
      <c r="H2082" s="51" t="s">
        <v>14973</v>
      </c>
      <c r="I2082" s="15" t="str">
        <f>IFERROR(__xludf.DUMMYFUNCTION("GOOGLETRANSLATE(H2082,""EN"",""ES"")"),"Literatura")</f>
        <v>Literatura</v>
      </c>
      <c r="J2082" s="16" t="s">
        <v>27</v>
      </c>
      <c r="K2082" s="17">
        <v>0.0</v>
      </c>
      <c r="L2082" s="45"/>
      <c r="M2082" s="18"/>
      <c r="N2082" s="65"/>
      <c r="O2082" s="65"/>
      <c r="P2082" s="20">
        <v>0.0</v>
      </c>
      <c r="Q2082" s="18"/>
      <c r="R2082" s="18"/>
      <c r="S2082" s="52"/>
      <c r="T2082" s="22"/>
    </row>
    <row r="2083">
      <c r="A2083" s="23" t="s">
        <v>14974</v>
      </c>
      <c r="B2083" s="77" t="s">
        <v>43</v>
      </c>
      <c r="C2083" s="41">
        <v>45449.0</v>
      </c>
      <c r="D2083" s="40" t="s">
        <v>14975</v>
      </c>
      <c r="E2083" s="41" t="s">
        <v>14976</v>
      </c>
      <c r="F2083" s="43" t="s">
        <v>14977</v>
      </c>
      <c r="G2083" s="43" t="s">
        <v>14978</v>
      </c>
      <c r="H2083" s="51" t="s">
        <v>55</v>
      </c>
      <c r="I2083" s="25" t="str">
        <f>IFERROR(__xludf.DUMMYFUNCTION("GOOGLETRANSLATE(H2083,""EN"",""ES"")"),"deportes de motor")</f>
        <v>deportes de motor</v>
      </c>
      <c r="J2083" s="26" t="s">
        <v>27</v>
      </c>
      <c r="K2083" s="17">
        <v>0.0</v>
      </c>
      <c r="L2083" s="54"/>
      <c r="M2083" s="31"/>
      <c r="N2083" s="66"/>
      <c r="O2083" s="66"/>
      <c r="P2083" s="20">
        <v>0.0</v>
      </c>
      <c r="Q2083" s="31"/>
      <c r="R2083" s="31"/>
      <c r="S2083" s="53"/>
      <c r="T2083" s="32"/>
    </row>
    <row r="2084">
      <c r="A2084" s="33" t="s">
        <v>14979</v>
      </c>
      <c r="B2084" s="76" t="s">
        <v>1192</v>
      </c>
      <c r="C2084" s="41">
        <v>45449.0</v>
      </c>
      <c r="D2084" s="40" t="s">
        <v>14980</v>
      </c>
      <c r="E2084" s="41" t="s">
        <v>14981</v>
      </c>
      <c r="F2084" s="43" t="s">
        <v>14982</v>
      </c>
      <c r="G2084" s="43" t="s">
        <v>14983</v>
      </c>
      <c r="H2084" s="51" t="s">
        <v>148</v>
      </c>
      <c r="I2084" s="15" t="str">
        <f>IFERROR(__xludf.DUMMYFUNCTION("GOOGLETRANSLATE(H2084,""EN"",""ES"")"),"Gastronomía")</f>
        <v>Gastronomía</v>
      </c>
      <c r="J2084" s="16" t="s">
        <v>27</v>
      </c>
      <c r="K2084" s="17">
        <v>0.0</v>
      </c>
      <c r="L2084" s="45"/>
      <c r="M2084" s="18"/>
      <c r="N2084" s="65"/>
      <c r="O2084" s="65"/>
      <c r="P2084" s="20">
        <v>0.0</v>
      </c>
      <c r="Q2084" s="18"/>
      <c r="R2084" s="18"/>
      <c r="S2084" s="52"/>
      <c r="T2084" s="22"/>
    </row>
    <row r="2085">
      <c r="A2085" s="23" t="s">
        <v>14984</v>
      </c>
      <c r="B2085" s="77" t="s">
        <v>7436</v>
      </c>
      <c r="C2085" s="41">
        <v>45449.0</v>
      </c>
      <c r="D2085" s="40" t="s">
        <v>14985</v>
      </c>
      <c r="E2085" s="41" t="s">
        <v>14986</v>
      </c>
      <c r="F2085" s="43" t="s">
        <v>14987</v>
      </c>
      <c r="G2085" s="43" t="s">
        <v>14988</v>
      </c>
      <c r="H2085" s="51" t="s">
        <v>148</v>
      </c>
      <c r="I2085" s="25" t="str">
        <f>IFERROR(__xludf.DUMMYFUNCTION("GOOGLETRANSLATE(H2085,""EN"",""ES"")"),"Gastronomía")</f>
        <v>Gastronomía</v>
      </c>
      <c r="J2085" s="26" t="s">
        <v>27</v>
      </c>
      <c r="K2085" s="17">
        <v>0.0</v>
      </c>
      <c r="L2085" s="54"/>
      <c r="M2085" s="31"/>
      <c r="N2085" s="66"/>
      <c r="O2085" s="66"/>
      <c r="P2085" s="20">
        <v>0.0</v>
      </c>
      <c r="Q2085" s="31"/>
      <c r="R2085" s="31"/>
      <c r="S2085" s="53"/>
      <c r="T2085" s="32"/>
    </row>
    <row r="2086">
      <c r="A2086" s="33" t="s">
        <v>14989</v>
      </c>
      <c r="B2086" s="76" t="s">
        <v>1072</v>
      </c>
      <c r="C2086" s="41">
        <v>45449.0</v>
      </c>
      <c r="D2086" s="40" t="s">
        <v>14990</v>
      </c>
      <c r="E2086" s="41" t="s">
        <v>14991</v>
      </c>
      <c r="F2086" s="43" t="s">
        <v>14992</v>
      </c>
      <c r="G2086" s="43" t="s">
        <v>14993</v>
      </c>
      <c r="H2086" s="51" t="s">
        <v>48</v>
      </c>
      <c r="I2086" s="15" t="str">
        <f>IFERROR(__xludf.DUMMYFUNCTION("GOOGLETRANSLATE(H2086,""EN"",""ES"")"),"Finanzas")</f>
        <v>Finanzas</v>
      </c>
      <c r="J2086" s="16" t="s">
        <v>27</v>
      </c>
      <c r="K2086" s="17">
        <v>0.0</v>
      </c>
      <c r="L2086" s="45"/>
      <c r="M2086" s="18"/>
      <c r="N2086" s="65"/>
      <c r="O2086" s="65"/>
      <c r="P2086" s="20">
        <v>0.0</v>
      </c>
      <c r="Q2086" s="18"/>
      <c r="R2086" s="18"/>
      <c r="S2086" s="52"/>
      <c r="T2086" s="22"/>
    </row>
    <row r="2087">
      <c r="A2087" s="23" t="s">
        <v>14994</v>
      </c>
      <c r="B2087" s="77" t="s">
        <v>91</v>
      </c>
      <c r="C2087" s="41">
        <v>45449.0</v>
      </c>
      <c r="D2087" s="40" t="s">
        <v>14995</v>
      </c>
      <c r="E2087" s="41" t="s">
        <v>14996</v>
      </c>
      <c r="F2087" s="43" t="s">
        <v>14997</v>
      </c>
      <c r="G2087" s="43" t="s">
        <v>14998</v>
      </c>
      <c r="H2087" s="51" t="s">
        <v>14999</v>
      </c>
      <c r="I2087" s="25" t="str">
        <f>IFERROR(__xludf.DUMMYFUNCTION("GOOGLETRANSLATE(H2087,""EN"",""ES"")"),"Ambiental")</f>
        <v>Ambiental</v>
      </c>
      <c r="J2087" s="26" t="s">
        <v>27</v>
      </c>
      <c r="K2087" s="17">
        <v>0.0</v>
      </c>
      <c r="L2087" s="54"/>
      <c r="M2087" s="31"/>
      <c r="N2087" s="66"/>
      <c r="O2087" s="66"/>
      <c r="P2087" s="20">
        <v>0.0</v>
      </c>
      <c r="Q2087" s="31"/>
      <c r="R2087" s="31"/>
      <c r="S2087" s="53"/>
      <c r="T2087" s="32"/>
    </row>
    <row r="2088">
      <c r="A2088" s="33" t="s">
        <v>15000</v>
      </c>
      <c r="B2088" s="76" t="s">
        <v>2713</v>
      </c>
      <c r="C2088" s="41">
        <v>45450.0</v>
      </c>
      <c r="D2088" s="40" t="s">
        <v>15001</v>
      </c>
      <c r="E2088" s="41" t="s">
        <v>15002</v>
      </c>
      <c r="F2088" s="43" t="s">
        <v>15003</v>
      </c>
      <c r="G2088" s="43" t="s">
        <v>15004</v>
      </c>
      <c r="H2088" s="51" t="s">
        <v>661</v>
      </c>
      <c r="I2088" s="15" t="str">
        <f>IFERROR(__xludf.DUMMYFUNCTION("GOOGLETRANSLATE(H2088,""EN"",""ES"")"),"Estrategia empresarial")</f>
        <v>Estrategia empresarial</v>
      </c>
      <c r="J2088" s="16" t="s">
        <v>35</v>
      </c>
      <c r="K2088" s="48">
        <v>0.7</v>
      </c>
      <c r="L2088" s="51" t="s">
        <v>15005</v>
      </c>
      <c r="M2088" s="34" t="s">
        <v>15006</v>
      </c>
      <c r="N2088" s="65" t="s">
        <v>15007</v>
      </c>
      <c r="O2088" s="65" t="str">
        <f>IFERROR(__xludf.DUMMYFUNCTION("GOOGLETRANSLATE(N2088,""EN"",""ES"")"),"Los altos rankings de reputación refuerzan la credibilidad corporativa de Repsol.")</f>
        <v>Los altos rankings de reputación refuerzan la credibilidad corporativa de Repsol.</v>
      </c>
      <c r="P2088" s="30">
        <v>0.5</v>
      </c>
      <c r="Q2088" s="18" t="str">
        <f>IFERROR(__xludf.DUMMYFUNCTION("GOOGLETRANSLATE(R2088,""ES"",""EN"")"),"best employer")</f>
        <v>best employer</v>
      </c>
      <c r="R2088" s="34" t="s">
        <v>15008</v>
      </c>
      <c r="S2088" s="52" t="s">
        <v>15009</v>
      </c>
      <c r="T2088" s="22" t="s">
        <v>15010</v>
      </c>
    </row>
    <row r="2089">
      <c r="A2089" s="23" t="s">
        <v>15011</v>
      </c>
      <c r="B2089" s="77" t="s">
        <v>448</v>
      </c>
      <c r="C2089" s="41">
        <v>45450.0</v>
      </c>
      <c r="D2089" s="40" t="s">
        <v>15012</v>
      </c>
      <c r="E2089" s="41" t="s">
        <v>15013</v>
      </c>
      <c r="F2089" s="43" t="s">
        <v>15014</v>
      </c>
      <c r="G2089" s="43" t="s">
        <v>15015</v>
      </c>
      <c r="H2089" s="51" t="s">
        <v>661</v>
      </c>
      <c r="I2089" s="25" t="str">
        <f>IFERROR(__xludf.DUMMYFUNCTION("GOOGLETRANSLATE(H2089,""EN"",""ES"")"),"Estrategia empresarial")</f>
        <v>Estrategia empresarial</v>
      </c>
      <c r="J2089" s="26" t="s">
        <v>35</v>
      </c>
      <c r="K2089" s="48">
        <v>-0.5</v>
      </c>
      <c r="L2089" s="49" t="s">
        <v>15016</v>
      </c>
      <c r="M2089" s="28" t="s">
        <v>15017</v>
      </c>
      <c r="N2089" s="66" t="s">
        <v>15018</v>
      </c>
      <c r="O2089" s="66" t="str">
        <f>IFERROR(__xludf.DUMMYFUNCTION("GOOGLETRANSLATE(N2089,""EN"",""ES"")"),"La creciente competencia de bajo coste puede afectar la cuota de mercado de combustibles de Repsol.")</f>
        <v>La creciente competencia de bajo coste puede afectar la cuota de mercado de combustibles de Repsol.</v>
      </c>
      <c r="P2089" s="30">
        <v>0.0</v>
      </c>
      <c r="Q2089" s="31"/>
      <c r="R2089" s="31"/>
      <c r="S2089" s="53" t="s">
        <v>4509</v>
      </c>
      <c r="T2089" s="32" t="s">
        <v>14909</v>
      </c>
    </row>
    <row r="2090">
      <c r="A2090" s="33" t="s">
        <v>15019</v>
      </c>
      <c r="B2090" s="76" t="s">
        <v>163</v>
      </c>
      <c r="C2090" s="41">
        <v>45450.0</v>
      </c>
      <c r="D2090" s="40" t="s">
        <v>15020</v>
      </c>
      <c r="E2090" s="41" t="s">
        <v>15021</v>
      </c>
      <c r="F2090" s="43" t="s">
        <v>15022</v>
      </c>
      <c r="G2090" s="43" t="s">
        <v>15023</v>
      </c>
      <c r="H2090" s="51" t="s">
        <v>10358</v>
      </c>
      <c r="I2090" s="15" t="str">
        <f>IFERROR(__xludf.DUMMYFUNCTION("GOOGLETRANSLATE(H2090,""EN"",""ES"")"),"Empleo")</f>
        <v>Empleo</v>
      </c>
      <c r="J2090" s="16" t="s">
        <v>27</v>
      </c>
      <c r="K2090" s="17">
        <v>0.0</v>
      </c>
      <c r="L2090" s="45"/>
      <c r="M2090" s="18"/>
      <c r="N2090" s="65"/>
      <c r="O2090" s="65"/>
      <c r="P2090" s="20">
        <v>0.0</v>
      </c>
      <c r="Q2090" s="18"/>
      <c r="R2090" s="18"/>
      <c r="S2090" s="52"/>
      <c r="T2090" s="22"/>
    </row>
    <row r="2091">
      <c r="A2091" s="23" t="s">
        <v>15024</v>
      </c>
      <c r="B2091" s="77" t="s">
        <v>175</v>
      </c>
      <c r="C2091" s="41">
        <v>45450.0</v>
      </c>
      <c r="D2091" s="40" t="s">
        <v>15025</v>
      </c>
      <c r="E2091" s="41" t="s">
        <v>15026</v>
      </c>
      <c r="F2091" s="43" t="s">
        <v>15027</v>
      </c>
      <c r="G2091" s="43" t="s">
        <v>15028</v>
      </c>
      <c r="H2091" s="51" t="s">
        <v>130</v>
      </c>
      <c r="I2091" s="25" t="str">
        <f>IFERROR(__xludf.DUMMYFUNCTION("GOOGLETRANSLATE(H2091,""EN"",""ES"")"),"Sostenibilidad")</f>
        <v>Sostenibilidad</v>
      </c>
      <c r="J2091" s="26" t="s">
        <v>35</v>
      </c>
      <c r="K2091" s="48">
        <v>0.7</v>
      </c>
      <c r="L2091" s="49" t="s">
        <v>14935</v>
      </c>
      <c r="M2091" s="28" t="s">
        <v>14936</v>
      </c>
      <c r="N2091" s="66" t="s">
        <v>14937</v>
      </c>
      <c r="O2091" s="66" t="str">
        <f>IFERROR(__xludf.DUMMYFUNCTION("GOOGLETRANSLATE(N2091,""EN"",""ES"")"),"La captación de fondos para proyectos sostenibles fortalece la estrategia ambiental de Repsol.")</f>
        <v>La captación de fondos para proyectos sostenibles fortalece la estrategia ambiental de Repsol.</v>
      </c>
      <c r="P2091" s="30">
        <v>0.6</v>
      </c>
      <c r="Q2091" s="31" t="str">
        <f>IFERROR(__xludf.DUMMYFUNCTION("GOOGLETRANSLATE(R2091,""ES"",""EN"")"),"energy investment")</f>
        <v>energy investment</v>
      </c>
      <c r="R2091" s="28" t="s">
        <v>15029</v>
      </c>
      <c r="S2091" s="53" t="s">
        <v>11791</v>
      </c>
      <c r="T2091" s="32" t="s">
        <v>11792</v>
      </c>
    </row>
    <row r="2092">
      <c r="A2092" s="33" t="s">
        <v>15030</v>
      </c>
      <c r="B2092" s="76" t="s">
        <v>14195</v>
      </c>
      <c r="C2092" s="41">
        <v>45450.0</v>
      </c>
      <c r="D2092" s="40" t="s">
        <v>15031</v>
      </c>
      <c r="E2092" s="41" t="s">
        <v>15032</v>
      </c>
      <c r="F2092" s="43" t="s">
        <v>15033</v>
      </c>
      <c r="G2092" s="43" t="s">
        <v>15034</v>
      </c>
      <c r="H2092" s="51" t="s">
        <v>782</v>
      </c>
      <c r="I2092" s="15" t="str">
        <f>IFERROR(__xludf.DUMMYFUNCTION("GOOGLETRANSLATE(H2092,""EN"",""ES"")"),"Tecnología")</f>
        <v>Tecnología</v>
      </c>
      <c r="J2092" s="16" t="s">
        <v>27</v>
      </c>
      <c r="K2092" s="17">
        <v>0.0</v>
      </c>
      <c r="L2092" s="45"/>
      <c r="M2092" s="18"/>
      <c r="N2092" s="65"/>
      <c r="O2092" s="65"/>
      <c r="P2092" s="20">
        <v>0.0</v>
      </c>
      <c r="Q2092" s="18"/>
      <c r="R2092" s="18"/>
      <c r="S2092" s="52"/>
      <c r="T2092" s="22"/>
    </row>
    <row r="2093">
      <c r="A2093" s="23" t="s">
        <v>15035</v>
      </c>
      <c r="B2093" s="77" t="s">
        <v>11061</v>
      </c>
      <c r="C2093" s="41">
        <v>45450.0</v>
      </c>
      <c r="D2093" s="40" t="s">
        <v>15036</v>
      </c>
      <c r="E2093" s="41" t="s">
        <v>15037</v>
      </c>
      <c r="F2093" s="43" t="s">
        <v>15038</v>
      </c>
      <c r="G2093" s="43" t="s">
        <v>15039</v>
      </c>
      <c r="H2093" s="51" t="s">
        <v>408</v>
      </c>
      <c r="I2093" s="25" t="str">
        <f>IFERROR(__xludf.DUMMYFUNCTION("GOOGLETRANSLATE(H2093,""EN"",""ES"")"),"Legal")</f>
        <v>Legal</v>
      </c>
      <c r="J2093" s="26" t="s">
        <v>35</v>
      </c>
      <c r="K2093" s="48">
        <v>-0.6</v>
      </c>
      <c r="L2093" s="49" t="s">
        <v>15040</v>
      </c>
      <c r="M2093" s="28" t="s">
        <v>15041</v>
      </c>
      <c r="N2093" s="66" t="s">
        <v>15042</v>
      </c>
      <c r="O2093" s="66" t="str">
        <f>IFERROR(__xludf.DUMMYFUNCTION("GOOGLETRANSLATE(N2093,""EN"",""ES"")"),"Las acusaciones de greenwashing pueden impactar negativamente en la imagen pública de Repsol.")</f>
        <v>Las acusaciones de greenwashing pueden impactar negativamente en la imagen pública de Repsol.</v>
      </c>
      <c r="P2093" s="30">
        <v>-0.5</v>
      </c>
      <c r="Q2093" s="31" t="str">
        <f>IFERROR(__xludf.DUMMYFUNCTION("GOOGLETRANSLATE(R2093,""ES"",""EN"")"),"-")</f>
        <v>-</v>
      </c>
      <c r="R2093" s="28" t="s">
        <v>11852</v>
      </c>
      <c r="S2093" s="53" t="s">
        <v>15043</v>
      </c>
      <c r="T2093" s="32" t="s">
        <v>15044</v>
      </c>
    </row>
    <row r="2094">
      <c r="A2094" s="33" t="s">
        <v>15045</v>
      </c>
      <c r="B2094" s="76" t="s">
        <v>163</v>
      </c>
      <c r="C2094" s="41">
        <v>45450.0</v>
      </c>
      <c r="D2094" s="40" t="s">
        <v>15046</v>
      </c>
      <c r="E2094" s="41" t="s">
        <v>15047</v>
      </c>
      <c r="F2094" s="43" t="s">
        <v>15048</v>
      </c>
      <c r="G2094" s="43" t="s">
        <v>15049</v>
      </c>
      <c r="H2094" s="51" t="s">
        <v>62</v>
      </c>
      <c r="I2094" s="15" t="str">
        <f>IFERROR(__xludf.DUMMYFUNCTION("GOOGLETRANSLATE(H2094,""EN"",""ES"")"),"Energía")</f>
        <v>Energía</v>
      </c>
      <c r="J2094" s="16" t="s">
        <v>27</v>
      </c>
      <c r="K2094" s="17">
        <v>0.0</v>
      </c>
      <c r="L2094" s="45"/>
      <c r="M2094" s="18"/>
      <c r="N2094" s="65"/>
      <c r="O2094" s="65"/>
      <c r="P2094" s="20">
        <v>0.0</v>
      </c>
      <c r="Q2094" s="18"/>
      <c r="R2094" s="18"/>
      <c r="S2094" s="52"/>
      <c r="T2094" s="22"/>
    </row>
    <row r="2095">
      <c r="A2095" s="23" t="s">
        <v>15050</v>
      </c>
      <c r="B2095" s="77" t="s">
        <v>9304</v>
      </c>
      <c r="C2095" s="41">
        <v>45450.0</v>
      </c>
      <c r="D2095" s="40" t="s">
        <v>15051</v>
      </c>
      <c r="E2095" s="41" t="s">
        <v>15052</v>
      </c>
      <c r="F2095" s="43" t="s">
        <v>15053</v>
      </c>
      <c r="G2095" s="43" t="s">
        <v>15054</v>
      </c>
      <c r="H2095" s="51" t="s">
        <v>661</v>
      </c>
      <c r="I2095" s="25" t="str">
        <f>IFERROR(__xludf.DUMMYFUNCTION("GOOGLETRANSLATE(H2095,""EN"",""ES"")"),"Estrategia empresarial")</f>
        <v>Estrategia empresarial</v>
      </c>
      <c r="J2095" s="26" t="s">
        <v>27</v>
      </c>
      <c r="K2095" s="17">
        <v>0.0</v>
      </c>
      <c r="L2095" s="54"/>
      <c r="M2095" s="31"/>
      <c r="N2095" s="66"/>
      <c r="O2095" s="66"/>
      <c r="P2095" s="20">
        <v>0.0</v>
      </c>
      <c r="Q2095" s="31"/>
      <c r="R2095" s="31"/>
      <c r="S2095" s="53"/>
      <c r="T2095" s="32"/>
    </row>
    <row r="2096">
      <c r="A2096" s="33" t="s">
        <v>15055</v>
      </c>
      <c r="B2096" s="76" t="s">
        <v>163</v>
      </c>
      <c r="C2096" s="41">
        <v>45450.0</v>
      </c>
      <c r="D2096" s="40" t="s">
        <v>15056</v>
      </c>
      <c r="E2096" s="41" t="s">
        <v>15057</v>
      </c>
      <c r="F2096" s="43" t="s">
        <v>15058</v>
      </c>
      <c r="G2096" s="43" t="s">
        <v>15059</v>
      </c>
      <c r="H2096" s="51" t="s">
        <v>8756</v>
      </c>
      <c r="I2096" s="15" t="str">
        <f>IFERROR(__xludf.DUMMYFUNCTION("GOOGLETRANSLATE(H2096,""EN"",""ES"")"),"Automotor")</f>
        <v>Automotor</v>
      </c>
      <c r="J2096" s="16" t="s">
        <v>27</v>
      </c>
      <c r="K2096" s="17">
        <v>0.0</v>
      </c>
      <c r="L2096" s="45"/>
      <c r="M2096" s="18"/>
      <c r="N2096" s="65"/>
      <c r="O2096" s="65"/>
      <c r="P2096" s="20">
        <v>0.0</v>
      </c>
      <c r="Q2096" s="18"/>
      <c r="R2096" s="18"/>
      <c r="S2096" s="52"/>
      <c r="T2096" s="22"/>
    </row>
    <row r="2097">
      <c r="A2097" s="23" t="s">
        <v>15060</v>
      </c>
      <c r="B2097" s="77" t="s">
        <v>15061</v>
      </c>
      <c r="C2097" s="41">
        <v>45450.0</v>
      </c>
      <c r="D2097" s="40" t="s">
        <v>15062</v>
      </c>
      <c r="E2097" s="41" t="s">
        <v>15063</v>
      </c>
      <c r="F2097" s="43" t="s">
        <v>15064</v>
      </c>
      <c r="G2097" s="43" t="s">
        <v>15065</v>
      </c>
      <c r="H2097" s="51" t="s">
        <v>969</v>
      </c>
      <c r="I2097" s="25" t="str">
        <f>IFERROR(__xludf.DUMMYFUNCTION("GOOGLETRANSLATE(H2097,""EN"",""ES"")"),"Turismo")</f>
        <v>Turismo</v>
      </c>
      <c r="J2097" s="26" t="s">
        <v>27</v>
      </c>
      <c r="K2097" s="17">
        <v>0.0</v>
      </c>
      <c r="L2097" s="54"/>
      <c r="M2097" s="31"/>
      <c r="N2097" s="66"/>
      <c r="O2097" s="66"/>
      <c r="P2097" s="20">
        <v>0.0</v>
      </c>
      <c r="Q2097" s="31"/>
      <c r="R2097" s="31"/>
      <c r="S2097" s="53"/>
      <c r="T2097" s="32"/>
    </row>
    <row r="2098">
      <c r="A2098" s="33" t="s">
        <v>15066</v>
      </c>
      <c r="B2098" s="76" t="s">
        <v>3992</v>
      </c>
      <c r="C2098" s="41">
        <v>45450.0</v>
      </c>
      <c r="D2098" s="40" t="s">
        <v>15067</v>
      </c>
      <c r="E2098" s="41" t="s">
        <v>15068</v>
      </c>
      <c r="F2098" s="43" t="s">
        <v>15069</v>
      </c>
      <c r="G2098" s="43" t="s">
        <v>15070</v>
      </c>
      <c r="H2098" s="51" t="s">
        <v>48</v>
      </c>
      <c r="I2098" s="15" t="str">
        <f>IFERROR(__xludf.DUMMYFUNCTION("GOOGLETRANSLATE(H2098,""EN"",""ES"")"),"Finanzas")</f>
        <v>Finanzas</v>
      </c>
      <c r="J2098" s="16" t="s">
        <v>27</v>
      </c>
      <c r="K2098" s="17">
        <v>0.0</v>
      </c>
      <c r="L2098" s="45"/>
      <c r="M2098" s="18"/>
      <c r="N2098" s="65"/>
      <c r="O2098" s="65"/>
      <c r="P2098" s="20">
        <v>0.0</v>
      </c>
      <c r="Q2098" s="18"/>
      <c r="R2098" s="18"/>
      <c r="S2098" s="52"/>
      <c r="T2098" s="22"/>
    </row>
    <row r="2099">
      <c r="A2099" s="23" t="s">
        <v>15071</v>
      </c>
      <c r="B2099" s="77" t="s">
        <v>1072</v>
      </c>
      <c r="C2099" s="41">
        <v>45450.0</v>
      </c>
      <c r="D2099" s="40" t="s">
        <v>15072</v>
      </c>
      <c r="E2099" s="41" t="s">
        <v>15073</v>
      </c>
      <c r="F2099" s="43" t="s">
        <v>15074</v>
      </c>
      <c r="G2099" s="43" t="s">
        <v>15075</v>
      </c>
      <c r="H2099" s="51" t="s">
        <v>408</v>
      </c>
      <c r="I2099" s="25" t="str">
        <f>IFERROR(__xludf.DUMMYFUNCTION("GOOGLETRANSLATE(H2099,""EN"",""ES"")"),"Legal")</f>
        <v>Legal</v>
      </c>
      <c r="J2099" s="26" t="s">
        <v>35</v>
      </c>
      <c r="K2099" s="48">
        <v>-0.6</v>
      </c>
      <c r="L2099" s="49" t="s">
        <v>15076</v>
      </c>
      <c r="M2099" s="28" t="s">
        <v>15077</v>
      </c>
      <c r="N2099" s="66" t="s">
        <v>15078</v>
      </c>
      <c r="O2099" s="66" t="str">
        <f>IFERROR(__xludf.DUMMYFUNCTION("GOOGLETRANSLATE(N2099,""EN"",""ES"")"),"Las acusaciones de greenwashing pueden afectar negativamente a la imagen pública de Repsol.")</f>
        <v>Las acusaciones de greenwashing pueden afectar negativamente a la imagen pública de Repsol.</v>
      </c>
      <c r="P2099" s="30">
        <v>-0.7</v>
      </c>
      <c r="Q2099" s="31" t="str">
        <f>IFERROR(__xludf.DUMMYFUNCTION("GOOGLETRANSLATE(R2099,""ES"",""EN"")"),"greenwashing")</f>
        <v>greenwashing</v>
      </c>
      <c r="R2099" s="28" t="s">
        <v>11135</v>
      </c>
      <c r="S2099" s="53" t="s">
        <v>14827</v>
      </c>
      <c r="T2099" s="32" t="s">
        <v>14828</v>
      </c>
    </row>
    <row r="2100">
      <c r="A2100" s="33" t="s">
        <v>15079</v>
      </c>
      <c r="B2100" s="76" t="s">
        <v>15080</v>
      </c>
      <c r="C2100" s="41">
        <v>45451.0</v>
      </c>
      <c r="D2100" s="40" t="s">
        <v>15081</v>
      </c>
      <c r="E2100" s="41" t="s">
        <v>15082</v>
      </c>
      <c r="F2100" s="43" t="s">
        <v>15083</v>
      </c>
      <c r="G2100" s="43" t="s">
        <v>15084</v>
      </c>
      <c r="H2100" s="51" t="s">
        <v>130</v>
      </c>
      <c r="I2100" s="15" t="str">
        <f>IFERROR(__xludf.DUMMYFUNCTION("GOOGLETRANSLATE(H2100,""EN"",""ES"")"),"Sostenibilidad")</f>
        <v>Sostenibilidad</v>
      </c>
      <c r="J2100" s="16" t="s">
        <v>35</v>
      </c>
      <c r="K2100" s="48">
        <v>0.7</v>
      </c>
      <c r="L2100" s="51" t="s">
        <v>13418</v>
      </c>
      <c r="M2100" s="34" t="s">
        <v>13419</v>
      </c>
      <c r="N2100" s="65" t="s">
        <v>14659</v>
      </c>
      <c r="O2100" s="65" t="str">
        <f>IFERROR(__xludf.DUMMYFUNCTION("GOOGLETRANSLATE(N2100,""EN"",""ES"")"),"Fomentar el reciclaje del petróleo respalda la estrategia medioambiental de Repsol.")</f>
        <v>Fomentar el reciclaje del petróleo respalda la estrategia medioambiental de Repsol.</v>
      </c>
      <c r="P2100" s="30">
        <v>0.6</v>
      </c>
      <c r="Q2100" s="18" t="str">
        <f>IFERROR(__xludf.DUMMYFUNCTION("GOOGLETRANSLATE(R2100,""ES"",""EN"")"),"discount, used oil")</f>
        <v>discount, used oil</v>
      </c>
      <c r="R2100" s="34" t="s">
        <v>791</v>
      </c>
      <c r="S2100" s="52" t="s">
        <v>15085</v>
      </c>
      <c r="T2100" s="22" t="s">
        <v>15086</v>
      </c>
    </row>
    <row r="2101">
      <c r="A2101" s="23" t="s">
        <v>15087</v>
      </c>
      <c r="B2101" s="77" t="s">
        <v>260</v>
      </c>
      <c r="C2101" s="41">
        <v>45451.0</v>
      </c>
      <c r="D2101" s="40" t="s">
        <v>15088</v>
      </c>
      <c r="E2101" s="41" t="s">
        <v>15089</v>
      </c>
      <c r="F2101" s="43" t="s">
        <v>15090</v>
      </c>
      <c r="G2101" s="43" t="s">
        <v>15091</v>
      </c>
      <c r="H2101" s="51" t="s">
        <v>15092</v>
      </c>
      <c r="I2101" s="25" t="str">
        <f>IFERROR(__xludf.DUMMYFUNCTION("GOOGLETRANSLATE(H2101,""EN"",""ES"")"),"Transporte")</f>
        <v>Transporte</v>
      </c>
      <c r="J2101" s="26" t="s">
        <v>27</v>
      </c>
      <c r="K2101" s="17">
        <v>0.0</v>
      </c>
      <c r="L2101" s="54"/>
      <c r="M2101" s="31"/>
      <c r="N2101" s="66"/>
      <c r="O2101" s="66"/>
      <c r="P2101" s="20">
        <v>0.0</v>
      </c>
      <c r="Q2101" s="31"/>
      <c r="R2101" s="31"/>
      <c r="S2101" s="53"/>
      <c r="T2101" s="32"/>
    </row>
    <row r="2102">
      <c r="A2102" s="33" t="s">
        <v>15093</v>
      </c>
      <c r="B2102" s="76" t="s">
        <v>85</v>
      </c>
      <c r="C2102" s="41">
        <v>45451.0</v>
      </c>
      <c r="D2102" s="40" t="s">
        <v>15094</v>
      </c>
      <c r="E2102" s="41" t="s">
        <v>15095</v>
      </c>
      <c r="F2102" s="43" t="s">
        <v>15096</v>
      </c>
      <c r="G2102" s="43" t="s">
        <v>15097</v>
      </c>
      <c r="H2102" s="51" t="s">
        <v>148</v>
      </c>
      <c r="I2102" s="15" t="str">
        <f>IFERROR(__xludf.DUMMYFUNCTION("GOOGLETRANSLATE(H2102,""EN"",""ES"")"),"Gastronomía")</f>
        <v>Gastronomía</v>
      </c>
      <c r="J2102" s="16" t="s">
        <v>27</v>
      </c>
      <c r="K2102" s="17">
        <v>0.0</v>
      </c>
      <c r="L2102" s="45"/>
      <c r="M2102" s="18"/>
      <c r="N2102" s="65"/>
      <c r="O2102" s="65"/>
      <c r="P2102" s="20">
        <v>0.0</v>
      </c>
      <c r="Q2102" s="18"/>
      <c r="R2102" s="18"/>
      <c r="S2102" s="52"/>
      <c r="T2102" s="22"/>
    </row>
    <row r="2103">
      <c r="A2103" s="23" t="s">
        <v>15098</v>
      </c>
      <c r="B2103" s="77" t="s">
        <v>91</v>
      </c>
      <c r="C2103" s="41">
        <v>45451.0</v>
      </c>
      <c r="D2103" s="40" t="s">
        <v>15099</v>
      </c>
      <c r="E2103" s="41" t="s">
        <v>15100</v>
      </c>
      <c r="F2103" s="43" t="s">
        <v>15101</v>
      </c>
      <c r="G2103" s="43" t="s">
        <v>15102</v>
      </c>
      <c r="H2103" s="51" t="s">
        <v>395</v>
      </c>
      <c r="I2103" s="25" t="str">
        <f>IFERROR(__xludf.DUMMYFUNCTION("GOOGLETRANSLATE(H2103,""EN"",""ES"")"),"Ambiente")</f>
        <v>Ambiente</v>
      </c>
      <c r="J2103" s="26" t="s">
        <v>27</v>
      </c>
      <c r="K2103" s="17">
        <v>0.0</v>
      </c>
      <c r="L2103" s="54"/>
      <c r="M2103" s="31"/>
      <c r="N2103" s="66"/>
      <c r="O2103" s="66"/>
      <c r="P2103" s="20">
        <v>0.0</v>
      </c>
      <c r="Q2103" s="31"/>
      <c r="R2103" s="31"/>
      <c r="S2103" s="53"/>
      <c r="T2103" s="32"/>
    </row>
    <row r="2104">
      <c r="A2104" s="33" t="s">
        <v>15103</v>
      </c>
      <c r="B2104" s="76" t="s">
        <v>15104</v>
      </c>
      <c r="C2104" s="41">
        <v>45451.0</v>
      </c>
      <c r="D2104" s="40" t="s">
        <v>15105</v>
      </c>
      <c r="E2104" s="41" t="s">
        <v>15106</v>
      </c>
      <c r="F2104" s="43" t="s">
        <v>15107</v>
      </c>
      <c r="G2104" s="43" t="s">
        <v>15108</v>
      </c>
      <c r="H2104" s="51" t="s">
        <v>148</v>
      </c>
      <c r="I2104" s="15" t="str">
        <f>IFERROR(__xludf.DUMMYFUNCTION("GOOGLETRANSLATE(H2104,""EN"",""ES"")"),"Gastronomía")</f>
        <v>Gastronomía</v>
      </c>
      <c r="J2104" s="16" t="s">
        <v>27</v>
      </c>
      <c r="K2104" s="17">
        <v>0.0</v>
      </c>
      <c r="L2104" s="45"/>
      <c r="M2104" s="18"/>
      <c r="N2104" s="65"/>
      <c r="O2104" s="65"/>
      <c r="P2104" s="20">
        <v>0.0</v>
      </c>
      <c r="Q2104" s="18"/>
      <c r="R2104" s="18"/>
      <c r="S2104" s="52"/>
      <c r="T2104" s="22"/>
    </row>
    <row r="2105">
      <c r="A2105" s="23" t="s">
        <v>15109</v>
      </c>
      <c r="B2105" s="77" t="s">
        <v>85</v>
      </c>
      <c r="C2105" s="41">
        <v>45452.0</v>
      </c>
      <c r="D2105" s="40" t="s">
        <v>15110</v>
      </c>
      <c r="E2105" s="41" t="s">
        <v>15111</v>
      </c>
      <c r="F2105" s="43" t="s">
        <v>15112</v>
      </c>
      <c r="G2105" s="43" t="s">
        <v>15113</v>
      </c>
      <c r="H2105" s="51" t="s">
        <v>130</v>
      </c>
      <c r="I2105" s="25" t="str">
        <f>IFERROR(__xludf.DUMMYFUNCTION("GOOGLETRANSLATE(H2105,""EN"",""ES"")"),"Sostenibilidad")</f>
        <v>Sostenibilidad</v>
      </c>
      <c r="J2105" s="26" t="s">
        <v>35</v>
      </c>
      <c r="K2105" s="48">
        <v>0.7</v>
      </c>
      <c r="L2105" s="49" t="s">
        <v>14759</v>
      </c>
      <c r="M2105" s="28" t="s">
        <v>14760</v>
      </c>
      <c r="N2105" s="66" t="s">
        <v>15114</v>
      </c>
      <c r="O2105" s="66" t="str">
        <f>IFERROR(__xludf.DUMMYFUNCTION("GOOGLETRANSLATE(N2105,""EN"",""ES"")"),"El aumento de las estaciones de carga de vehículos eléctricos respalda la estrategia de energías limpias de Repsol.")</f>
        <v>El aumento de las estaciones de carga de vehículos eléctricos respalda la estrategia de energías limpias de Repsol.</v>
      </c>
      <c r="P2105" s="30">
        <v>0.7</v>
      </c>
      <c r="Q2105" s="31" t="str">
        <f>IFERROR(__xludf.DUMMYFUNCTION("GOOGLETRANSLATE(R2105,""ES"",""EN"")"),"growing, leading")</f>
        <v>growing, leading</v>
      </c>
      <c r="R2105" s="28" t="s">
        <v>15115</v>
      </c>
      <c r="S2105" s="53" t="s">
        <v>15116</v>
      </c>
      <c r="T2105" s="32" t="s">
        <v>15117</v>
      </c>
    </row>
    <row r="2106">
      <c r="A2106" s="33" t="s">
        <v>15118</v>
      </c>
      <c r="B2106" s="76" t="s">
        <v>3402</v>
      </c>
      <c r="C2106" s="41">
        <v>45452.0</v>
      </c>
      <c r="D2106" s="40" t="s">
        <v>15119</v>
      </c>
      <c r="E2106" s="41" t="s">
        <v>15120</v>
      </c>
      <c r="F2106" s="43" t="s">
        <v>15121</v>
      </c>
      <c r="G2106" s="43" t="s">
        <v>15122</v>
      </c>
      <c r="H2106" s="51" t="s">
        <v>155</v>
      </c>
      <c r="I2106" s="15" t="str">
        <f>IFERROR(__xludf.DUMMYFUNCTION("GOOGLETRANSLATE(H2106,""EN"",""ES"")"),"Marketing")</f>
        <v>Marketing</v>
      </c>
      <c r="J2106" s="16" t="s">
        <v>35</v>
      </c>
      <c r="K2106" s="48">
        <v>-0.5</v>
      </c>
      <c r="L2106" s="51" t="s">
        <v>15123</v>
      </c>
      <c r="M2106" s="34" t="s">
        <v>15124</v>
      </c>
      <c r="N2106" s="65" t="s">
        <v>15125</v>
      </c>
      <c r="O2106" s="65" t="str">
        <f>IFERROR(__xludf.DUMMYFUNCTION("GOOGLETRANSLATE(N2106,""EN"",""ES"")"),"Las críticas públicas a los patrocinios pueden impactar negativamente en la marca Repsol.")</f>
        <v>Las críticas públicas a los patrocinios pueden impactar negativamente en la marca Repsol.</v>
      </c>
      <c r="P2106" s="30">
        <v>-0.7</v>
      </c>
      <c r="Q2106" s="18" t="str">
        <f>IFERROR(__xludf.DUMMYFUNCTION("GOOGLETRANSLATE(R2106,""ES"",""EN"")"),"puddle, greenwashing")</f>
        <v>puddle, greenwashing</v>
      </c>
      <c r="R2106" s="34" t="s">
        <v>15126</v>
      </c>
      <c r="S2106" s="52" t="s">
        <v>15127</v>
      </c>
      <c r="T2106" s="22" t="s">
        <v>15128</v>
      </c>
    </row>
    <row r="2107">
      <c r="A2107" s="23" t="s">
        <v>15129</v>
      </c>
      <c r="B2107" s="77" t="s">
        <v>163</v>
      </c>
      <c r="C2107" s="41">
        <v>45452.0</v>
      </c>
      <c r="D2107" s="40" t="s">
        <v>15130</v>
      </c>
      <c r="E2107" s="41" t="s">
        <v>15131</v>
      </c>
      <c r="F2107" s="43" t="s">
        <v>15132</v>
      </c>
      <c r="G2107" s="43" t="s">
        <v>15133</v>
      </c>
      <c r="H2107" s="51" t="s">
        <v>55</v>
      </c>
      <c r="I2107" s="25" t="str">
        <f>IFERROR(__xludf.DUMMYFUNCTION("GOOGLETRANSLATE(H2107,""EN"",""ES"")"),"deportes de motor")</f>
        <v>deportes de motor</v>
      </c>
      <c r="J2107" s="26" t="s">
        <v>27</v>
      </c>
      <c r="K2107" s="17">
        <v>0.0</v>
      </c>
      <c r="L2107" s="54"/>
      <c r="M2107" s="31"/>
      <c r="N2107" s="66"/>
      <c r="O2107" s="66"/>
      <c r="P2107" s="20">
        <v>0.0</v>
      </c>
      <c r="Q2107" s="31"/>
      <c r="R2107" s="31"/>
      <c r="S2107" s="53"/>
      <c r="T2107" s="32"/>
    </row>
    <row r="2108">
      <c r="A2108" s="33" t="s">
        <v>15134</v>
      </c>
      <c r="B2108" s="76" t="s">
        <v>103</v>
      </c>
      <c r="C2108" s="41">
        <v>45452.0</v>
      </c>
      <c r="D2108" s="40" t="s">
        <v>15135</v>
      </c>
      <c r="E2108" s="41" t="s">
        <v>15136</v>
      </c>
      <c r="F2108" s="43" t="s">
        <v>15137</v>
      </c>
      <c r="G2108" s="43" t="s">
        <v>15138</v>
      </c>
      <c r="H2108" s="51" t="s">
        <v>661</v>
      </c>
      <c r="I2108" s="15" t="str">
        <f>IFERROR(__xludf.DUMMYFUNCTION("GOOGLETRANSLATE(H2108,""EN"",""ES"")"),"Estrategia empresarial")</f>
        <v>Estrategia empresarial</v>
      </c>
      <c r="J2108" s="16" t="s">
        <v>27</v>
      </c>
      <c r="K2108" s="17">
        <v>0.0</v>
      </c>
      <c r="L2108" s="45"/>
      <c r="M2108" s="18"/>
      <c r="N2108" s="65"/>
      <c r="O2108" s="65"/>
      <c r="P2108" s="20">
        <v>0.0</v>
      </c>
      <c r="Q2108" s="18"/>
      <c r="R2108" s="18"/>
      <c r="S2108" s="52"/>
      <c r="T2108" s="22"/>
    </row>
    <row r="2109">
      <c r="A2109" s="23" t="s">
        <v>15139</v>
      </c>
      <c r="B2109" s="77" t="s">
        <v>91</v>
      </c>
      <c r="C2109" s="41">
        <v>45452.0</v>
      </c>
      <c r="D2109" s="40" t="s">
        <v>15140</v>
      </c>
      <c r="E2109" s="41" t="s">
        <v>15141</v>
      </c>
      <c r="F2109" s="43" t="s">
        <v>15142</v>
      </c>
      <c r="G2109" s="43" t="s">
        <v>15143</v>
      </c>
      <c r="H2109" s="51" t="s">
        <v>130</v>
      </c>
      <c r="I2109" s="25" t="str">
        <f>IFERROR(__xludf.DUMMYFUNCTION("GOOGLETRANSLATE(H2109,""EN"",""ES"")"),"Sostenibilidad")</f>
        <v>Sostenibilidad</v>
      </c>
      <c r="J2109" s="26" t="s">
        <v>27</v>
      </c>
      <c r="K2109" s="17">
        <v>0.0</v>
      </c>
      <c r="L2109" s="54"/>
      <c r="M2109" s="31"/>
      <c r="N2109" s="66"/>
      <c r="O2109" s="66"/>
      <c r="P2109" s="20">
        <v>0.0</v>
      </c>
      <c r="Q2109" s="31"/>
      <c r="R2109" s="31"/>
      <c r="S2109" s="53"/>
      <c r="T2109" s="32"/>
    </row>
    <row r="2110">
      <c r="A2110" s="33" t="s">
        <v>15144</v>
      </c>
      <c r="B2110" s="76" t="s">
        <v>85</v>
      </c>
      <c r="C2110" s="41">
        <v>45452.0</v>
      </c>
      <c r="D2110" s="40" t="s">
        <v>15145</v>
      </c>
      <c r="E2110" s="41" t="s">
        <v>15146</v>
      </c>
      <c r="F2110" s="43" t="s">
        <v>15147</v>
      </c>
      <c r="G2110" s="43" t="s">
        <v>15148</v>
      </c>
      <c r="H2110" s="51" t="s">
        <v>148</v>
      </c>
      <c r="I2110" s="15" t="str">
        <f>IFERROR(__xludf.DUMMYFUNCTION("GOOGLETRANSLATE(H2110,""EN"",""ES"")"),"Gastronomía")</f>
        <v>Gastronomía</v>
      </c>
      <c r="J2110" s="16" t="s">
        <v>27</v>
      </c>
      <c r="K2110" s="17">
        <v>0.0</v>
      </c>
      <c r="L2110" s="45"/>
      <c r="M2110" s="18"/>
      <c r="N2110" s="65"/>
      <c r="O2110" s="65"/>
      <c r="P2110" s="20">
        <v>0.0</v>
      </c>
      <c r="Q2110" s="18"/>
      <c r="R2110" s="18"/>
      <c r="S2110" s="52"/>
      <c r="T2110" s="22"/>
    </row>
    <row r="2111">
      <c r="A2111" s="23" t="s">
        <v>15149</v>
      </c>
      <c r="B2111" s="77" t="s">
        <v>91</v>
      </c>
      <c r="C2111" s="41">
        <v>45452.0</v>
      </c>
      <c r="D2111" s="40" t="s">
        <v>15150</v>
      </c>
      <c r="E2111" s="41" t="s">
        <v>15151</v>
      </c>
      <c r="F2111" s="43" t="s">
        <v>15152</v>
      </c>
      <c r="G2111" s="43" t="s">
        <v>15153</v>
      </c>
      <c r="H2111" s="51" t="s">
        <v>8756</v>
      </c>
      <c r="I2111" s="25" t="str">
        <f>IFERROR(__xludf.DUMMYFUNCTION("GOOGLETRANSLATE(H2111,""EN"",""ES"")"),"Automotor")</f>
        <v>Automotor</v>
      </c>
      <c r="J2111" s="26" t="s">
        <v>27</v>
      </c>
      <c r="K2111" s="17">
        <v>0.0</v>
      </c>
      <c r="L2111" s="54"/>
      <c r="M2111" s="31"/>
      <c r="N2111" s="66"/>
      <c r="O2111" s="66"/>
      <c r="P2111" s="20">
        <v>0.0</v>
      </c>
      <c r="Q2111" s="31"/>
      <c r="R2111" s="31"/>
      <c r="S2111" s="53"/>
      <c r="T2111" s="32"/>
    </row>
    <row r="2112">
      <c r="A2112" s="33" t="s">
        <v>15154</v>
      </c>
      <c r="B2112" s="76" t="s">
        <v>91</v>
      </c>
      <c r="C2112" s="41">
        <v>45452.0</v>
      </c>
      <c r="D2112" s="40" t="s">
        <v>15155</v>
      </c>
      <c r="E2112" s="41" t="s">
        <v>15156</v>
      </c>
      <c r="F2112" s="43" t="s">
        <v>15157</v>
      </c>
      <c r="G2112" s="43" t="s">
        <v>15158</v>
      </c>
      <c r="H2112" s="51" t="s">
        <v>14973</v>
      </c>
      <c r="I2112" s="15" t="str">
        <f>IFERROR(__xludf.DUMMYFUNCTION("GOOGLETRANSLATE(H2112,""EN"",""ES"")"),"Literatura")</f>
        <v>Literatura</v>
      </c>
      <c r="J2112" s="16" t="s">
        <v>27</v>
      </c>
      <c r="K2112" s="17">
        <v>0.0</v>
      </c>
      <c r="L2112" s="45"/>
      <c r="M2112" s="18"/>
      <c r="N2112" s="65"/>
      <c r="O2112" s="65"/>
      <c r="P2112" s="20">
        <v>0.0</v>
      </c>
      <c r="Q2112" s="18"/>
      <c r="R2112" s="18"/>
      <c r="S2112" s="52"/>
      <c r="T2112" s="22"/>
    </row>
    <row r="2113">
      <c r="A2113" s="23" t="s">
        <v>15159</v>
      </c>
      <c r="B2113" s="77" t="s">
        <v>163</v>
      </c>
      <c r="C2113" s="41">
        <v>45453.0</v>
      </c>
      <c r="D2113" s="40" t="s">
        <v>15160</v>
      </c>
      <c r="E2113" s="41" t="s">
        <v>15161</v>
      </c>
      <c r="F2113" s="43" t="s">
        <v>15162</v>
      </c>
      <c r="G2113" s="43" t="s">
        <v>15163</v>
      </c>
      <c r="H2113" s="51" t="s">
        <v>661</v>
      </c>
      <c r="I2113" s="25" t="str">
        <f>IFERROR(__xludf.DUMMYFUNCTION("GOOGLETRANSLATE(H2113,""EN"",""ES"")"),"Estrategia empresarial")</f>
        <v>Estrategia empresarial</v>
      </c>
      <c r="J2113" s="26" t="s">
        <v>35</v>
      </c>
      <c r="K2113" s="48">
        <v>0.6</v>
      </c>
      <c r="L2113" s="49" t="s">
        <v>14705</v>
      </c>
      <c r="M2113" s="28" t="s">
        <v>14706</v>
      </c>
      <c r="N2113" s="66" t="s">
        <v>15164</v>
      </c>
      <c r="O2113" s="66" t="str">
        <f>IFERROR(__xludf.DUMMYFUNCTION("GOOGLETRANSLATE(N2113,""EN"",""ES"")"),"El fortalecimiento de las plataformas digitales mejora el compromiso del consumidor de Repsol.")</f>
        <v>El fortalecimiento de las plataformas digitales mejora el compromiso del consumidor de Repsol.</v>
      </c>
      <c r="P2113" s="30">
        <v>0.1</v>
      </c>
      <c r="Q2113" s="31" t="str">
        <f>IFERROR(__xludf.DUMMYFUNCTION("GOOGLETRANSLATE(R2113,""ES"",""EN"")"),"None")</f>
        <v>None</v>
      </c>
      <c r="R2113" s="28" t="s">
        <v>14309</v>
      </c>
      <c r="S2113" s="53" t="s">
        <v>15165</v>
      </c>
      <c r="T2113" s="32" t="s">
        <v>15166</v>
      </c>
    </row>
    <row r="2114">
      <c r="A2114" s="33" t="s">
        <v>15167</v>
      </c>
      <c r="B2114" s="76" t="s">
        <v>85</v>
      </c>
      <c r="C2114" s="41">
        <v>45453.0</v>
      </c>
      <c r="D2114" s="40" t="s">
        <v>15168</v>
      </c>
      <c r="E2114" s="41" t="s">
        <v>15169</v>
      </c>
      <c r="F2114" s="43" t="s">
        <v>15170</v>
      </c>
      <c r="G2114" s="43" t="s">
        <v>15171</v>
      </c>
      <c r="H2114" s="51" t="s">
        <v>661</v>
      </c>
      <c r="I2114" s="15" t="str">
        <f>IFERROR(__xludf.DUMMYFUNCTION("GOOGLETRANSLATE(H2114,""EN"",""ES"")"),"Estrategia empresarial")</f>
        <v>Estrategia empresarial</v>
      </c>
      <c r="J2114" s="16" t="s">
        <v>35</v>
      </c>
      <c r="K2114" s="48">
        <v>0.6</v>
      </c>
      <c r="L2114" s="51" t="s">
        <v>15172</v>
      </c>
      <c r="M2114" s="34" t="s">
        <v>15173</v>
      </c>
      <c r="N2114" s="65" t="s">
        <v>15174</v>
      </c>
      <c r="O2114" s="65" t="str">
        <f>IFERROR(__xludf.DUMMYFUNCTION("GOOGLETRANSLATE(N2114,""EN"",""ES"")"),"La ampliación de alianzas estratégicas mejora el alcance de Repsol en el mercado.")</f>
        <v>La ampliación de alianzas estratégicas mejora el alcance de Repsol en el mercado.</v>
      </c>
      <c r="P2114" s="30">
        <v>0.6</v>
      </c>
      <c r="Q2114" s="18" t="str">
        <f>IFERROR(__xludf.DUMMYFUNCTION("GOOGLETRANSLATE(R2114,""ES"",""EN"")"),"coupons, fuel")</f>
        <v>coupons, fuel</v>
      </c>
      <c r="R2114" s="34" t="s">
        <v>15175</v>
      </c>
      <c r="S2114" s="52" t="s">
        <v>15176</v>
      </c>
      <c r="T2114" s="22" t="s">
        <v>15177</v>
      </c>
    </row>
    <row r="2115">
      <c r="A2115" s="23" t="s">
        <v>15178</v>
      </c>
      <c r="B2115" s="77" t="s">
        <v>163</v>
      </c>
      <c r="C2115" s="41">
        <v>45453.0</v>
      </c>
      <c r="D2115" s="40" t="s">
        <v>15179</v>
      </c>
      <c r="E2115" s="41" t="s">
        <v>15180</v>
      </c>
      <c r="F2115" s="43" t="s">
        <v>15181</v>
      </c>
      <c r="G2115" s="43" t="s">
        <v>15182</v>
      </c>
      <c r="H2115" s="51" t="s">
        <v>148</v>
      </c>
      <c r="I2115" s="25" t="str">
        <f>IFERROR(__xludf.DUMMYFUNCTION("GOOGLETRANSLATE(H2115,""EN"",""ES"")"),"Gastronomía")</f>
        <v>Gastronomía</v>
      </c>
      <c r="J2115" s="26" t="s">
        <v>27</v>
      </c>
      <c r="K2115" s="17">
        <v>0.0</v>
      </c>
      <c r="L2115" s="54"/>
      <c r="M2115" s="31"/>
      <c r="N2115" s="66"/>
      <c r="O2115" s="66"/>
      <c r="P2115" s="20">
        <v>0.0</v>
      </c>
      <c r="Q2115" s="31"/>
      <c r="R2115" s="31"/>
      <c r="S2115" s="53"/>
      <c r="T2115" s="32"/>
    </row>
    <row r="2116">
      <c r="A2116" s="33" t="s">
        <v>15183</v>
      </c>
      <c r="B2116" s="76" t="s">
        <v>21</v>
      </c>
      <c r="C2116" s="41">
        <v>45453.0</v>
      </c>
      <c r="D2116" s="40" t="s">
        <v>15184</v>
      </c>
      <c r="E2116" s="41" t="s">
        <v>15185</v>
      </c>
      <c r="F2116" s="43" t="s">
        <v>15186</v>
      </c>
      <c r="G2116" s="43" t="s">
        <v>15187</v>
      </c>
      <c r="H2116" s="51" t="s">
        <v>148</v>
      </c>
      <c r="I2116" s="15" t="str">
        <f>IFERROR(__xludf.DUMMYFUNCTION("GOOGLETRANSLATE(H2116,""EN"",""ES"")"),"Gastronomía")</f>
        <v>Gastronomía</v>
      </c>
      <c r="J2116" s="16" t="s">
        <v>27</v>
      </c>
      <c r="K2116" s="17">
        <v>0.0</v>
      </c>
      <c r="L2116" s="45"/>
      <c r="M2116" s="18"/>
      <c r="N2116" s="65"/>
      <c r="O2116" s="65"/>
      <c r="P2116" s="20">
        <v>0.0</v>
      </c>
      <c r="Q2116" s="18"/>
      <c r="R2116" s="18"/>
      <c r="S2116" s="52"/>
      <c r="T2116" s="22"/>
    </row>
    <row r="2117">
      <c r="A2117" s="23" t="s">
        <v>15188</v>
      </c>
      <c r="B2117" s="77" t="s">
        <v>3992</v>
      </c>
      <c r="C2117" s="41">
        <v>45453.0</v>
      </c>
      <c r="D2117" s="40" t="s">
        <v>15189</v>
      </c>
      <c r="E2117" s="41" t="s">
        <v>15190</v>
      </c>
      <c r="F2117" s="43" t="s">
        <v>15191</v>
      </c>
      <c r="G2117" s="43" t="s">
        <v>15192</v>
      </c>
      <c r="H2117" s="51" t="s">
        <v>130</v>
      </c>
      <c r="I2117" s="25" t="str">
        <f>IFERROR(__xludf.DUMMYFUNCTION("GOOGLETRANSLATE(H2117,""EN"",""ES"")"),"Sostenibilidad")</f>
        <v>Sostenibilidad</v>
      </c>
      <c r="J2117" s="26" t="s">
        <v>35</v>
      </c>
      <c r="K2117" s="48">
        <v>0.7</v>
      </c>
      <c r="L2117" s="49" t="s">
        <v>14634</v>
      </c>
      <c r="M2117" s="28" t="s">
        <v>14635</v>
      </c>
      <c r="N2117" s="66" t="s">
        <v>15193</v>
      </c>
      <c r="O2117" s="66" t="str">
        <f>IFERROR(__xludf.DUMMYFUNCTION("GOOGLETRANSLATE(N2117,""EN"",""ES"")"),"El impulso de la energía solar se alinea con las iniciativas de energías limpias de Repsol.")</f>
        <v>El impulso de la energía solar se alinea con las iniciativas de energías limpias de Repsol.</v>
      </c>
      <c r="P2117" s="30">
        <v>0.8</v>
      </c>
      <c r="Q2117" s="31" t="str">
        <f>IFERROR(__xludf.DUMMYFUNCTION("GOOGLETRANSLATE(R2117,""ES"",""EN"")"),"revolutionize, energy market")</f>
        <v>revolutionize, energy market</v>
      </c>
      <c r="R2117" s="28" t="s">
        <v>15194</v>
      </c>
      <c r="S2117" s="53" t="s">
        <v>15195</v>
      </c>
      <c r="T2117" s="32" t="s">
        <v>15196</v>
      </c>
    </row>
    <row r="2118">
      <c r="A2118" s="33" t="s">
        <v>15197</v>
      </c>
      <c r="B2118" s="76" t="s">
        <v>1970</v>
      </c>
      <c r="C2118" s="41">
        <v>45453.0</v>
      </c>
      <c r="D2118" s="40" t="s">
        <v>15198</v>
      </c>
      <c r="E2118" s="41" t="s">
        <v>15199</v>
      </c>
      <c r="F2118" s="43" t="s">
        <v>15200</v>
      </c>
      <c r="G2118" s="43" t="s">
        <v>15201</v>
      </c>
      <c r="H2118" s="51" t="s">
        <v>155</v>
      </c>
      <c r="I2118" s="15" t="str">
        <f>IFERROR(__xludf.DUMMYFUNCTION("GOOGLETRANSLATE(H2118,""EN"",""ES"")"),"Marketing")</f>
        <v>Marketing</v>
      </c>
      <c r="J2118" s="16" t="s">
        <v>27</v>
      </c>
      <c r="K2118" s="17">
        <v>0.0</v>
      </c>
      <c r="L2118" s="45"/>
      <c r="M2118" s="18"/>
      <c r="N2118" s="65"/>
      <c r="O2118" s="65"/>
      <c r="P2118" s="20">
        <v>0.0</v>
      </c>
      <c r="Q2118" s="18"/>
      <c r="R2118" s="18"/>
      <c r="S2118" s="52"/>
      <c r="T2118" s="22"/>
    </row>
    <row r="2119">
      <c r="A2119" s="23" t="s">
        <v>15202</v>
      </c>
      <c r="B2119" s="77" t="s">
        <v>163</v>
      </c>
      <c r="C2119" s="41">
        <v>45453.0</v>
      </c>
      <c r="D2119" s="40" t="s">
        <v>15203</v>
      </c>
      <c r="E2119" s="41" t="s">
        <v>15204</v>
      </c>
      <c r="F2119" s="43" t="s">
        <v>15205</v>
      </c>
      <c r="G2119" s="43" t="s">
        <v>15206</v>
      </c>
      <c r="H2119" s="51" t="s">
        <v>661</v>
      </c>
      <c r="I2119" s="25" t="str">
        <f>IFERROR(__xludf.DUMMYFUNCTION("GOOGLETRANSLATE(H2119,""EN"",""ES"")"),"Estrategia empresarial")</f>
        <v>Estrategia empresarial</v>
      </c>
      <c r="J2119" s="26" t="s">
        <v>35</v>
      </c>
      <c r="K2119" s="48">
        <v>0.6</v>
      </c>
      <c r="L2119" s="49" t="s">
        <v>15207</v>
      </c>
      <c r="M2119" s="28" t="s">
        <v>15208</v>
      </c>
      <c r="N2119" s="66" t="s">
        <v>15209</v>
      </c>
      <c r="O2119" s="66" t="str">
        <f>IFERROR(__xludf.DUMMYFUNCTION("GOOGLETRANSLATE(N2119,""EN"",""ES"")"),"Las estrategias de precios competitivos mejoran el posicionamiento de Repsol en el mercado.")</f>
        <v>Las estrategias de precios competitivos mejoran el posicionamiento de Repsol en el mercado.</v>
      </c>
      <c r="P2119" s="30">
        <v>0.4</v>
      </c>
      <c r="Q2119" s="31" t="str">
        <f>IFERROR(__xludf.DUMMYFUNCTION("GOOGLETRANSLATE(R2119,""ES"",""EN"")"),"improvement, price")</f>
        <v>improvement, price</v>
      </c>
      <c r="R2119" s="28" t="s">
        <v>15210</v>
      </c>
      <c r="S2119" s="53" t="s">
        <v>15211</v>
      </c>
      <c r="T2119" s="32" t="s">
        <v>15212</v>
      </c>
    </row>
    <row r="2120">
      <c r="A2120" s="33" t="s">
        <v>15213</v>
      </c>
      <c r="B2120" s="76" t="s">
        <v>3233</v>
      </c>
      <c r="C2120" s="41">
        <v>45453.0</v>
      </c>
      <c r="D2120" s="40" t="s">
        <v>15214</v>
      </c>
      <c r="E2120" s="41" t="s">
        <v>15215</v>
      </c>
      <c r="F2120" s="43" t="s">
        <v>15216</v>
      </c>
      <c r="G2120" s="43" t="s">
        <v>15217</v>
      </c>
      <c r="H2120" s="51" t="s">
        <v>408</v>
      </c>
      <c r="I2120" s="15" t="str">
        <f>IFERROR(__xludf.DUMMYFUNCTION("GOOGLETRANSLATE(H2120,""EN"",""ES"")"),"Legal")</f>
        <v>Legal</v>
      </c>
      <c r="J2120" s="16" t="s">
        <v>35</v>
      </c>
      <c r="K2120" s="48">
        <v>-0.8</v>
      </c>
      <c r="L2120" s="51" t="s">
        <v>9922</v>
      </c>
      <c r="M2120" s="34" t="s">
        <v>9923</v>
      </c>
      <c r="N2120" s="65" t="s">
        <v>15218</v>
      </c>
      <c r="O2120" s="65" t="str">
        <f>IFERROR(__xludf.DUMMYFUNCTION("GOOGLETRANSLATE(N2120,""EN"",""ES"")"),"El escrutinio continuo de los derrames de petróleo puede dañar la reputación de Repsol.")</f>
        <v>El escrutinio continuo de los derrames de petróleo puede dañar la reputación de Repsol.</v>
      </c>
      <c r="P2120" s="30">
        <v>-0.9</v>
      </c>
      <c r="Q2120" s="18" t="str">
        <f>IFERROR(__xludf.DUMMYFUNCTION("GOOGLETRANSLATE(R2120,""ES"",""EN"")"),"spill, consequences")</f>
        <v>spill, consequences</v>
      </c>
      <c r="R2120" s="34" t="s">
        <v>13811</v>
      </c>
      <c r="S2120" s="52" t="s">
        <v>15219</v>
      </c>
      <c r="T2120" s="22" t="s">
        <v>15220</v>
      </c>
    </row>
    <row r="2121">
      <c r="A2121" s="23" t="s">
        <v>15221</v>
      </c>
      <c r="B2121" s="77" t="s">
        <v>499</v>
      </c>
      <c r="C2121" s="41">
        <v>45453.0</v>
      </c>
      <c r="D2121" s="40" t="s">
        <v>15222</v>
      </c>
      <c r="E2121" s="41" t="s">
        <v>15223</v>
      </c>
      <c r="F2121" s="43" t="s">
        <v>15224</v>
      </c>
      <c r="G2121" s="43" t="s">
        <v>15225</v>
      </c>
      <c r="H2121" s="51" t="s">
        <v>661</v>
      </c>
      <c r="I2121" s="25" t="str">
        <f>IFERROR(__xludf.DUMMYFUNCTION("GOOGLETRANSLATE(H2121,""EN"",""ES"")"),"Estrategia empresarial")</f>
        <v>Estrategia empresarial</v>
      </c>
      <c r="J2121" s="26" t="s">
        <v>27</v>
      </c>
      <c r="K2121" s="17">
        <v>0.0</v>
      </c>
      <c r="L2121" s="54"/>
      <c r="M2121" s="31"/>
      <c r="N2121" s="66"/>
      <c r="O2121" s="66"/>
      <c r="P2121" s="20">
        <v>0.0</v>
      </c>
      <c r="Q2121" s="31"/>
      <c r="R2121" s="31"/>
      <c r="S2121" s="53"/>
      <c r="T2121" s="32"/>
    </row>
    <row r="2122">
      <c r="A2122" s="33" t="s">
        <v>15226</v>
      </c>
      <c r="B2122" s="76" t="s">
        <v>6297</v>
      </c>
      <c r="C2122" s="41">
        <v>45453.0</v>
      </c>
      <c r="D2122" s="40" t="s">
        <v>15227</v>
      </c>
      <c r="E2122" s="41" t="s">
        <v>15228</v>
      </c>
      <c r="F2122" s="43" t="s">
        <v>15229</v>
      </c>
      <c r="G2122" s="43" t="s">
        <v>15230</v>
      </c>
      <c r="H2122" s="51" t="s">
        <v>15231</v>
      </c>
      <c r="I2122" s="15" t="str">
        <f>IFERROR(__xludf.DUMMYFUNCTION("GOOGLETRANSLATE(H2122,""EN"",""ES"")"),"Accidentes")</f>
        <v>Accidentes</v>
      </c>
      <c r="J2122" s="16" t="s">
        <v>27</v>
      </c>
      <c r="K2122" s="17">
        <v>0.0</v>
      </c>
      <c r="L2122" s="45"/>
      <c r="M2122" s="18"/>
      <c r="N2122" s="65"/>
      <c r="O2122" s="65"/>
      <c r="P2122" s="20">
        <v>0.0</v>
      </c>
      <c r="Q2122" s="18"/>
      <c r="R2122" s="18"/>
      <c r="S2122" s="52"/>
      <c r="T2122" s="22"/>
    </row>
    <row r="2123">
      <c r="A2123" s="23" t="s">
        <v>15232</v>
      </c>
      <c r="B2123" s="77" t="s">
        <v>2442</v>
      </c>
      <c r="C2123" s="41">
        <v>45453.0</v>
      </c>
      <c r="D2123" s="40" t="s">
        <v>15233</v>
      </c>
      <c r="E2123" s="41" t="s">
        <v>15234</v>
      </c>
      <c r="F2123" s="43" t="s">
        <v>15235</v>
      </c>
      <c r="G2123" s="43" t="s">
        <v>15236</v>
      </c>
      <c r="H2123" s="51" t="s">
        <v>48</v>
      </c>
      <c r="I2123" s="25" t="str">
        <f>IFERROR(__xludf.DUMMYFUNCTION("GOOGLETRANSLATE(H2123,""EN"",""ES"")"),"Finanzas")</f>
        <v>Finanzas</v>
      </c>
      <c r="J2123" s="26" t="s">
        <v>27</v>
      </c>
      <c r="K2123" s="17">
        <v>0.0</v>
      </c>
      <c r="L2123" s="54"/>
      <c r="M2123" s="31"/>
      <c r="N2123" s="66"/>
      <c r="O2123" s="66"/>
      <c r="P2123" s="20">
        <v>0.0</v>
      </c>
      <c r="Q2123" s="31"/>
      <c r="R2123" s="31"/>
      <c r="S2123" s="53"/>
      <c r="T2123" s="32"/>
    </row>
    <row r="2124">
      <c r="A2124" s="33" t="s">
        <v>15237</v>
      </c>
      <c r="B2124" s="76" t="s">
        <v>5959</v>
      </c>
      <c r="C2124" s="41">
        <v>45453.0</v>
      </c>
      <c r="D2124" s="40" t="s">
        <v>15238</v>
      </c>
      <c r="E2124" s="41" t="s">
        <v>15239</v>
      </c>
      <c r="F2124" s="43" t="s">
        <v>15240</v>
      </c>
      <c r="G2124" s="43" t="s">
        <v>15241</v>
      </c>
      <c r="H2124" s="51" t="s">
        <v>661</v>
      </c>
      <c r="I2124" s="15" t="str">
        <f>IFERROR(__xludf.DUMMYFUNCTION("GOOGLETRANSLATE(H2124,""EN"",""ES"")"),"Estrategia empresarial")</f>
        <v>Estrategia empresarial</v>
      </c>
      <c r="J2124" s="16" t="s">
        <v>27</v>
      </c>
      <c r="K2124" s="17">
        <v>0.0</v>
      </c>
      <c r="L2124" s="45"/>
      <c r="M2124" s="18"/>
      <c r="N2124" s="65"/>
      <c r="O2124" s="65"/>
      <c r="P2124" s="20">
        <v>0.0</v>
      </c>
      <c r="Q2124" s="18"/>
      <c r="R2124" s="18"/>
      <c r="S2124" s="52"/>
      <c r="T2124" s="22"/>
    </row>
    <row r="2125">
      <c r="A2125" s="23" t="s">
        <v>15242</v>
      </c>
      <c r="B2125" s="77" t="s">
        <v>2072</v>
      </c>
      <c r="C2125" s="41">
        <v>45453.0</v>
      </c>
      <c r="D2125" s="40" t="s">
        <v>15243</v>
      </c>
      <c r="E2125" s="41" t="s">
        <v>15244</v>
      </c>
      <c r="F2125" s="43" t="s">
        <v>15245</v>
      </c>
      <c r="G2125" s="43" t="s">
        <v>15246</v>
      </c>
      <c r="H2125" s="51" t="s">
        <v>9676</v>
      </c>
      <c r="I2125" s="25" t="str">
        <f>IFERROR(__xludf.DUMMYFUNCTION("GOOGLETRANSLATE(H2125,""EN"",""ES"")"),"Infraestructura")</f>
        <v>Infraestructura</v>
      </c>
      <c r="J2125" s="26" t="s">
        <v>27</v>
      </c>
      <c r="K2125" s="17">
        <v>0.0</v>
      </c>
      <c r="L2125" s="54"/>
      <c r="M2125" s="31"/>
      <c r="N2125" s="66"/>
      <c r="O2125" s="66"/>
      <c r="P2125" s="20">
        <v>0.0</v>
      </c>
      <c r="Q2125" s="31"/>
      <c r="R2125" s="31"/>
      <c r="S2125" s="53"/>
      <c r="T2125" s="32"/>
    </row>
    <row r="2126">
      <c r="A2126" s="33" t="s">
        <v>15247</v>
      </c>
      <c r="B2126" s="76" t="s">
        <v>3045</v>
      </c>
      <c r="C2126" s="41">
        <v>45453.0</v>
      </c>
      <c r="D2126" s="40" t="s">
        <v>15248</v>
      </c>
      <c r="E2126" s="41" t="s">
        <v>15249</v>
      </c>
      <c r="F2126" s="43" t="s">
        <v>15250</v>
      </c>
      <c r="G2126" s="43" t="s">
        <v>15251</v>
      </c>
      <c r="H2126" s="51" t="s">
        <v>148</v>
      </c>
      <c r="I2126" s="15" t="str">
        <f>IFERROR(__xludf.DUMMYFUNCTION("GOOGLETRANSLATE(H2126,""EN"",""ES"")"),"Gastronomía")</f>
        <v>Gastronomía</v>
      </c>
      <c r="J2126" s="16" t="s">
        <v>27</v>
      </c>
      <c r="K2126" s="17">
        <v>0.0</v>
      </c>
      <c r="L2126" s="45"/>
      <c r="M2126" s="18"/>
      <c r="N2126" s="65"/>
      <c r="O2126" s="65"/>
      <c r="P2126" s="20">
        <v>0.0</v>
      </c>
      <c r="Q2126" s="18"/>
      <c r="R2126" s="18"/>
      <c r="S2126" s="52"/>
      <c r="T2126" s="22"/>
    </row>
    <row r="2127">
      <c r="A2127" s="23" t="s">
        <v>15252</v>
      </c>
      <c r="B2127" s="77" t="s">
        <v>163</v>
      </c>
      <c r="C2127" s="41">
        <v>45454.0</v>
      </c>
      <c r="D2127" s="40" t="s">
        <v>15253</v>
      </c>
      <c r="E2127" s="41" t="s">
        <v>15254</v>
      </c>
      <c r="F2127" s="43" t="s">
        <v>15255</v>
      </c>
      <c r="G2127" s="43" t="s">
        <v>15256</v>
      </c>
      <c r="H2127" s="51" t="s">
        <v>130</v>
      </c>
      <c r="I2127" s="25" t="str">
        <f>IFERROR(__xludf.DUMMYFUNCTION("GOOGLETRANSLATE(H2127,""EN"",""ES"")"),"Sostenibilidad")</f>
        <v>Sostenibilidad</v>
      </c>
      <c r="J2127" s="26" t="s">
        <v>35</v>
      </c>
      <c r="K2127" s="48">
        <v>0.7</v>
      </c>
      <c r="L2127" s="49" t="s">
        <v>14634</v>
      </c>
      <c r="M2127" s="28" t="s">
        <v>14635</v>
      </c>
      <c r="N2127" s="66" t="s">
        <v>15257</v>
      </c>
      <c r="O2127" s="66" t="str">
        <f>IFERROR(__xludf.DUMMYFUNCTION("GOOGLETRANSLATE(N2127,""EN"",""ES"")"),"La ampliación de las alianzas a largo plazo en materia de energías renovables respalda la estrategia de energía limpia de Repsol.")</f>
        <v>La ampliación de las alianzas a largo plazo en materia de energías renovables respalda la estrategia de energía limpia de Repsol.</v>
      </c>
      <c r="P2127" s="30">
        <v>0.8</v>
      </c>
      <c r="Q2127" s="31" t="str">
        <f>IFERROR(__xludf.DUMMYFUNCTION("GOOGLETRANSLATE(R2127,""ES"",""EN"")"),"renewable, Microsoft")</f>
        <v>renewable, Microsoft</v>
      </c>
      <c r="R2127" s="28" t="s">
        <v>15258</v>
      </c>
      <c r="S2127" s="53" t="s">
        <v>15259</v>
      </c>
      <c r="T2127" s="32" t="s">
        <v>15260</v>
      </c>
    </row>
    <row r="2128">
      <c r="A2128" s="33" t="s">
        <v>15261</v>
      </c>
      <c r="B2128" s="76" t="s">
        <v>103</v>
      </c>
      <c r="C2128" s="41">
        <v>45454.0</v>
      </c>
      <c r="D2128" s="40" t="s">
        <v>15262</v>
      </c>
      <c r="E2128" s="41" t="s">
        <v>15263</v>
      </c>
      <c r="F2128" s="43" t="s">
        <v>15264</v>
      </c>
      <c r="G2128" s="43" t="s">
        <v>15265</v>
      </c>
      <c r="H2128" s="51" t="s">
        <v>130</v>
      </c>
      <c r="I2128" s="15" t="str">
        <f>IFERROR(__xludf.DUMMYFUNCTION("GOOGLETRANSLATE(H2128,""EN"",""ES"")"),"Sostenibilidad")</f>
        <v>Sostenibilidad</v>
      </c>
      <c r="J2128" s="16" t="s">
        <v>35</v>
      </c>
      <c r="K2128" s="48">
        <v>0.7</v>
      </c>
      <c r="L2128" s="51" t="s">
        <v>14634</v>
      </c>
      <c r="M2128" s="34" t="s">
        <v>14635</v>
      </c>
      <c r="N2128" s="65" t="s">
        <v>15266</v>
      </c>
      <c r="O2128" s="65" t="str">
        <f>IFERROR(__xludf.DUMMYFUNCTION("GOOGLETRANSLATE(N2128,""EN"",""ES"")"),"Reforzar las alianzas corporativas en energías renovables se alinea con los objetivos de sostenibilidad de Repsol.")</f>
        <v>Reforzar las alianzas corporativas en energías renovables se alinea con los objetivos de sostenibilidad de Repsol.</v>
      </c>
      <c r="P2128" s="30">
        <v>0.8</v>
      </c>
      <c r="Q2128" s="18" t="str">
        <f>IFERROR(__xludf.DUMMYFUNCTION("GOOGLETRANSLATE(R2128,""ES"",""EN"")"),"renewable, Microsoft")</f>
        <v>renewable, Microsoft</v>
      </c>
      <c r="R2128" s="34" t="s">
        <v>15258</v>
      </c>
      <c r="S2128" s="52" t="s">
        <v>15267</v>
      </c>
      <c r="T2128" s="22" t="s">
        <v>15268</v>
      </c>
    </row>
    <row r="2129">
      <c r="A2129" s="23" t="s">
        <v>15269</v>
      </c>
      <c r="B2129" s="77" t="s">
        <v>558</v>
      </c>
      <c r="C2129" s="41">
        <v>45454.0</v>
      </c>
      <c r="D2129" s="40" t="s">
        <v>15270</v>
      </c>
      <c r="E2129" s="41" t="s">
        <v>15271</v>
      </c>
      <c r="F2129" s="43" t="s">
        <v>15272</v>
      </c>
      <c r="G2129" s="43" t="s">
        <v>15273</v>
      </c>
      <c r="H2129" s="51" t="s">
        <v>130</v>
      </c>
      <c r="I2129" s="25" t="str">
        <f>IFERROR(__xludf.DUMMYFUNCTION("GOOGLETRANSLATE(H2129,""EN"",""ES"")"),"Sostenibilidad")</f>
        <v>Sostenibilidad</v>
      </c>
      <c r="J2129" s="26" t="s">
        <v>35</v>
      </c>
      <c r="K2129" s="48">
        <v>0.7</v>
      </c>
      <c r="L2129" s="49" t="s">
        <v>14634</v>
      </c>
      <c r="M2129" s="28" t="s">
        <v>14635</v>
      </c>
      <c r="N2129" s="66" t="s">
        <v>15274</v>
      </c>
      <c r="O2129" s="66" t="str">
        <f>IFERROR(__xludf.DUMMYFUNCTION("GOOGLETRANSLATE(N2129,""EN"",""ES"")"),"El aumento de los acuerdos corporativos sobre energías renovables refuerza la transición hacia energías limpias de Repsol.")</f>
        <v>El aumento de los acuerdos corporativos sobre energías renovables refuerza la transición hacia energías limpias de Repsol.</v>
      </c>
      <c r="P2129" s="30">
        <v>0.8</v>
      </c>
      <c r="Q2129" s="31" t="str">
        <f>IFERROR(__xludf.DUMMYFUNCTION("GOOGLETRANSLATE(R2129,""ES"",""EN"")"),"renewable, Microsoft")</f>
        <v>renewable, Microsoft</v>
      </c>
      <c r="R2129" s="28" t="s">
        <v>15258</v>
      </c>
      <c r="S2129" s="53" t="s">
        <v>15267</v>
      </c>
      <c r="T2129" s="32" t="s">
        <v>15268</v>
      </c>
    </row>
    <row r="2130">
      <c r="A2130" s="33" t="s">
        <v>15275</v>
      </c>
      <c r="B2130" s="76" t="s">
        <v>21</v>
      </c>
      <c r="C2130" s="41">
        <v>45454.0</v>
      </c>
      <c r="D2130" s="40" t="s">
        <v>15276</v>
      </c>
      <c r="E2130" s="41" t="s">
        <v>15277</v>
      </c>
      <c r="F2130" s="43" t="s">
        <v>15278</v>
      </c>
      <c r="G2130" s="43" t="s">
        <v>15279</v>
      </c>
      <c r="H2130" s="51" t="s">
        <v>969</v>
      </c>
      <c r="I2130" s="15" t="str">
        <f>IFERROR(__xludf.DUMMYFUNCTION("GOOGLETRANSLATE(H2130,""EN"",""ES"")"),"Turismo")</f>
        <v>Turismo</v>
      </c>
      <c r="J2130" s="16" t="s">
        <v>27</v>
      </c>
      <c r="K2130" s="17">
        <v>0.0</v>
      </c>
      <c r="L2130" s="45"/>
      <c r="M2130" s="18"/>
      <c r="N2130" s="65"/>
      <c r="O2130" s="65"/>
      <c r="P2130" s="20">
        <v>0.0</v>
      </c>
      <c r="Q2130" s="18"/>
      <c r="R2130" s="18"/>
      <c r="S2130" s="52"/>
      <c r="T2130" s="22"/>
    </row>
    <row r="2131">
      <c r="A2131" s="23" t="s">
        <v>15280</v>
      </c>
      <c r="B2131" s="77" t="s">
        <v>43</v>
      </c>
      <c r="C2131" s="41">
        <v>45454.0</v>
      </c>
      <c r="D2131" s="40" t="s">
        <v>15281</v>
      </c>
      <c r="E2131" s="41" t="s">
        <v>15282</v>
      </c>
      <c r="F2131" s="43" t="s">
        <v>15283</v>
      </c>
      <c r="G2131" s="43" t="s">
        <v>15284</v>
      </c>
      <c r="H2131" s="51" t="s">
        <v>782</v>
      </c>
      <c r="I2131" s="25" t="str">
        <f>IFERROR(__xludf.DUMMYFUNCTION("GOOGLETRANSLATE(H2131,""EN"",""ES"")"),"Tecnología")</f>
        <v>Tecnología</v>
      </c>
      <c r="J2131" s="26" t="s">
        <v>27</v>
      </c>
      <c r="K2131" s="17">
        <v>0.0</v>
      </c>
      <c r="L2131" s="54"/>
      <c r="M2131" s="31"/>
      <c r="N2131" s="66"/>
      <c r="O2131" s="66"/>
      <c r="P2131" s="20">
        <v>0.0</v>
      </c>
      <c r="Q2131" s="31"/>
      <c r="R2131" s="31"/>
      <c r="S2131" s="53"/>
      <c r="T2131" s="32"/>
    </row>
    <row r="2132">
      <c r="A2132" s="33" t="s">
        <v>15285</v>
      </c>
      <c r="B2132" s="76" t="s">
        <v>1970</v>
      </c>
      <c r="C2132" s="41">
        <v>45454.0</v>
      </c>
      <c r="D2132" s="40" t="s">
        <v>15286</v>
      </c>
      <c r="E2132" s="41" t="s">
        <v>15287</v>
      </c>
      <c r="F2132" s="43" t="s">
        <v>15288</v>
      </c>
      <c r="G2132" s="43" t="s">
        <v>15289</v>
      </c>
      <c r="H2132" s="51" t="s">
        <v>661</v>
      </c>
      <c r="I2132" s="15" t="str">
        <f>IFERROR(__xludf.DUMMYFUNCTION("GOOGLETRANSLATE(H2132,""EN"",""ES"")"),"Estrategia empresarial")</f>
        <v>Estrategia empresarial</v>
      </c>
      <c r="J2132" s="16" t="s">
        <v>35</v>
      </c>
      <c r="K2132" s="48">
        <v>0.6</v>
      </c>
      <c r="L2132" s="51" t="s">
        <v>14769</v>
      </c>
      <c r="M2132" s="34" t="s">
        <v>14770</v>
      </c>
      <c r="N2132" s="65" t="s">
        <v>15290</v>
      </c>
      <c r="O2132" s="65" t="str">
        <f>IFERROR(__xludf.DUMMYFUNCTION("GOOGLETRANSLATE(N2132,""EN"",""ES"")"),"La ampliación de los programas de recompensas digitales fortalece el compromiso de Repsol con el consumidor.")</f>
        <v>La ampliación de los programas de recompensas digitales fortalece el compromiso de Repsol con el consumidor.</v>
      </c>
      <c r="P2132" s="30">
        <v>0.5</v>
      </c>
      <c r="Q2132" s="18" t="str">
        <f>IFERROR(__xludf.DUMMYFUNCTION("GOOGLETRANSLATE(R2132,""ES"",""EN"")"),"Discounts")</f>
        <v>Discounts</v>
      </c>
      <c r="R2132" s="34" t="s">
        <v>15291</v>
      </c>
      <c r="S2132" s="52" t="s">
        <v>15211</v>
      </c>
      <c r="T2132" s="22" t="s">
        <v>15212</v>
      </c>
    </row>
    <row r="2133">
      <c r="A2133" s="23" t="s">
        <v>15292</v>
      </c>
      <c r="B2133" s="77" t="s">
        <v>21</v>
      </c>
      <c r="C2133" s="41">
        <v>45454.0</v>
      </c>
      <c r="D2133" s="40" t="s">
        <v>15293</v>
      </c>
      <c r="E2133" s="41" t="s">
        <v>15294</v>
      </c>
      <c r="F2133" s="43" t="s">
        <v>15295</v>
      </c>
      <c r="G2133" s="43" t="s">
        <v>15296</v>
      </c>
      <c r="H2133" s="51" t="s">
        <v>969</v>
      </c>
      <c r="I2133" s="25" t="str">
        <f>IFERROR(__xludf.DUMMYFUNCTION("GOOGLETRANSLATE(H2133,""EN"",""ES"")"),"Turismo")</f>
        <v>Turismo</v>
      </c>
      <c r="J2133" s="26" t="s">
        <v>27</v>
      </c>
      <c r="K2133" s="17">
        <v>0.0</v>
      </c>
      <c r="L2133" s="54"/>
      <c r="M2133" s="31"/>
      <c r="N2133" s="66"/>
      <c r="O2133" s="66"/>
      <c r="P2133" s="20">
        <v>0.0</v>
      </c>
      <c r="Q2133" s="31"/>
      <c r="R2133" s="31"/>
      <c r="S2133" s="53"/>
      <c r="T2133" s="32"/>
    </row>
    <row r="2134">
      <c r="A2134" s="33" t="s">
        <v>15297</v>
      </c>
      <c r="B2134" s="76" t="s">
        <v>239</v>
      </c>
      <c r="C2134" s="41">
        <v>45454.0</v>
      </c>
      <c r="D2134" s="40" t="s">
        <v>15298</v>
      </c>
      <c r="E2134" s="41" t="s">
        <v>15299</v>
      </c>
      <c r="F2134" s="43" t="s">
        <v>15300</v>
      </c>
      <c r="G2134" s="43" t="s">
        <v>15301</v>
      </c>
      <c r="H2134" s="51" t="s">
        <v>55</v>
      </c>
      <c r="I2134" s="15" t="str">
        <f>IFERROR(__xludf.DUMMYFUNCTION("GOOGLETRANSLATE(H2134,""EN"",""ES"")"),"deportes de motor")</f>
        <v>deportes de motor</v>
      </c>
      <c r="J2134" s="16" t="s">
        <v>27</v>
      </c>
      <c r="K2134" s="17">
        <v>0.0</v>
      </c>
      <c r="L2134" s="45"/>
      <c r="M2134" s="18"/>
      <c r="N2134" s="65"/>
      <c r="O2134" s="65"/>
      <c r="P2134" s="20">
        <v>0.0</v>
      </c>
      <c r="Q2134" s="18"/>
      <c r="R2134" s="18"/>
      <c r="S2134" s="52"/>
      <c r="T2134" s="22"/>
    </row>
    <row r="2135">
      <c r="A2135" s="23" t="s">
        <v>15302</v>
      </c>
      <c r="B2135" s="77" t="s">
        <v>21</v>
      </c>
      <c r="C2135" s="41">
        <v>45454.0</v>
      </c>
      <c r="D2135" s="40" t="s">
        <v>15303</v>
      </c>
      <c r="E2135" s="41" t="s">
        <v>15304</v>
      </c>
      <c r="F2135" s="43" t="s">
        <v>15305</v>
      </c>
      <c r="G2135" s="43" t="s">
        <v>15306</v>
      </c>
      <c r="H2135" s="51" t="s">
        <v>15307</v>
      </c>
      <c r="I2135" s="25" t="str">
        <f>IFERROR(__xludf.DUMMYFUNCTION("GOOGLETRANSLATE(H2135,""EN"",""ES"")"),"Industria alimentaria")</f>
        <v>Industria alimentaria</v>
      </c>
      <c r="J2135" s="26" t="s">
        <v>27</v>
      </c>
      <c r="K2135" s="17">
        <v>0.0</v>
      </c>
      <c r="L2135" s="54"/>
      <c r="M2135" s="31"/>
      <c r="N2135" s="66"/>
      <c r="O2135" s="66"/>
      <c r="P2135" s="20">
        <v>0.0</v>
      </c>
      <c r="Q2135" s="31"/>
      <c r="R2135" s="31"/>
      <c r="S2135" s="53"/>
      <c r="T2135" s="32"/>
    </row>
    <row r="2136">
      <c r="A2136" s="33" t="s">
        <v>15308</v>
      </c>
      <c r="B2136" s="76" t="s">
        <v>15309</v>
      </c>
      <c r="C2136" s="41">
        <v>45454.0</v>
      </c>
      <c r="D2136" s="40" t="s">
        <v>15310</v>
      </c>
      <c r="E2136" s="41" t="s">
        <v>15311</v>
      </c>
      <c r="F2136" s="43" t="s">
        <v>15312</v>
      </c>
      <c r="G2136" s="43" t="s">
        <v>15313</v>
      </c>
      <c r="H2136" s="51" t="s">
        <v>661</v>
      </c>
      <c r="I2136" s="15" t="str">
        <f>IFERROR(__xludf.DUMMYFUNCTION("GOOGLETRANSLATE(H2136,""EN"",""ES"")"),"Estrategia empresarial")</f>
        <v>Estrategia empresarial</v>
      </c>
      <c r="J2136" s="16" t="s">
        <v>27</v>
      </c>
      <c r="K2136" s="17">
        <v>0.0</v>
      </c>
      <c r="L2136" s="45"/>
      <c r="M2136" s="18"/>
      <c r="N2136" s="65"/>
      <c r="O2136" s="65"/>
      <c r="P2136" s="20">
        <v>0.0</v>
      </c>
      <c r="Q2136" s="18"/>
      <c r="R2136" s="18"/>
      <c r="S2136" s="52"/>
      <c r="T2136" s="22"/>
    </row>
    <row r="2137">
      <c r="A2137" s="23" t="s">
        <v>15314</v>
      </c>
      <c r="B2137" s="77" t="s">
        <v>614</v>
      </c>
      <c r="C2137" s="41">
        <v>45455.0</v>
      </c>
      <c r="D2137" s="40" t="s">
        <v>15315</v>
      </c>
      <c r="E2137" s="41" t="s">
        <v>15316</v>
      </c>
      <c r="F2137" s="43" t="s">
        <v>15317</v>
      </c>
      <c r="G2137" s="43" t="s">
        <v>15318</v>
      </c>
      <c r="H2137" s="51" t="s">
        <v>661</v>
      </c>
      <c r="I2137" s="25" t="str">
        <f>IFERROR(__xludf.DUMMYFUNCTION("GOOGLETRANSLATE(H2137,""EN"",""ES"")"),"Estrategia empresarial")</f>
        <v>Estrategia empresarial</v>
      </c>
      <c r="J2137" s="26" t="s">
        <v>35</v>
      </c>
      <c r="K2137" s="48">
        <v>0.6</v>
      </c>
      <c r="L2137" s="49" t="s">
        <v>15172</v>
      </c>
      <c r="M2137" s="28" t="s">
        <v>15173</v>
      </c>
      <c r="N2137" s="66" t="s">
        <v>15319</v>
      </c>
      <c r="O2137" s="66" t="str">
        <f>IFERROR(__xludf.DUMMYFUNCTION("GOOGLETRANSLATE(N2137,""EN"",""ES"")"),"La ampliación de las asociaciones minoristas aumenta el compromiso de Repsol con los consumidores.")</f>
        <v>La ampliación de las asociaciones minoristas aumenta el compromiso de Repsol con los consumidores.</v>
      </c>
      <c r="P2137" s="30">
        <v>0.6</v>
      </c>
      <c r="Q2137" s="31" t="str">
        <f>IFERROR(__xludf.DUMMYFUNCTION("GOOGLETRANSLATE(R2137,""ES"",""EN"")"),"discount, Amazon")</f>
        <v>discount, Amazon</v>
      </c>
      <c r="R2137" s="28" t="s">
        <v>15320</v>
      </c>
      <c r="S2137" s="53" t="s">
        <v>15176</v>
      </c>
      <c r="T2137" s="32" t="s">
        <v>15177</v>
      </c>
    </row>
    <row r="2138">
      <c r="A2138" s="33" t="s">
        <v>15321</v>
      </c>
      <c r="B2138" s="76" t="s">
        <v>15322</v>
      </c>
      <c r="C2138" s="41">
        <v>45455.0</v>
      </c>
      <c r="D2138" s="40" t="s">
        <v>15323</v>
      </c>
      <c r="E2138" s="41" t="s">
        <v>15324</v>
      </c>
      <c r="F2138" s="43" t="s">
        <v>15325</v>
      </c>
      <c r="G2138" s="43" t="s">
        <v>15326</v>
      </c>
      <c r="H2138" s="51" t="s">
        <v>155</v>
      </c>
      <c r="I2138" s="15" t="str">
        <f>IFERROR(__xludf.DUMMYFUNCTION("GOOGLETRANSLATE(H2138,""EN"",""ES"")"),"Marketing")</f>
        <v>Marketing</v>
      </c>
      <c r="J2138" s="16" t="s">
        <v>27</v>
      </c>
      <c r="K2138" s="17">
        <v>0.0</v>
      </c>
      <c r="L2138" s="45"/>
      <c r="M2138" s="18"/>
      <c r="N2138" s="65"/>
      <c r="O2138" s="65"/>
      <c r="P2138" s="20">
        <v>0.0</v>
      </c>
      <c r="Q2138" s="18"/>
      <c r="R2138" s="18"/>
      <c r="S2138" s="52"/>
      <c r="T2138" s="22"/>
    </row>
    <row r="2139">
      <c r="A2139" s="23" t="s">
        <v>15327</v>
      </c>
      <c r="B2139" s="77" t="s">
        <v>175</v>
      </c>
      <c r="C2139" s="41">
        <v>45455.0</v>
      </c>
      <c r="D2139" s="40" t="s">
        <v>15328</v>
      </c>
      <c r="E2139" s="41" t="s">
        <v>15329</v>
      </c>
      <c r="F2139" s="43" t="s">
        <v>15330</v>
      </c>
      <c r="G2139" s="43" t="s">
        <v>15331</v>
      </c>
      <c r="H2139" s="51" t="s">
        <v>130</v>
      </c>
      <c r="I2139" s="25" t="str">
        <f>IFERROR(__xludf.DUMMYFUNCTION("GOOGLETRANSLATE(H2139,""EN"",""ES"")"),"Sostenibilidad")</f>
        <v>Sostenibilidad</v>
      </c>
      <c r="J2139" s="26" t="s">
        <v>35</v>
      </c>
      <c r="K2139" s="48">
        <v>0.7</v>
      </c>
      <c r="L2139" s="49" t="s">
        <v>14634</v>
      </c>
      <c r="M2139" s="28" t="s">
        <v>14635</v>
      </c>
      <c r="N2139" s="66" t="s">
        <v>15332</v>
      </c>
      <c r="O2139" s="66" t="str">
        <f>IFERROR(__xludf.DUMMYFUNCTION("GOOGLETRANSLATE(N2139,""EN"",""ES"")"),"Reforzar las colaboraciones en energías renovables se alinea con la estrategia verde de Repsol.")</f>
        <v>Reforzar las colaboraciones en energías renovables se alinea con la estrategia verde de Repsol.</v>
      </c>
      <c r="P2139" s="30">
        <v>0.7</v>
      </c>
      <c r="Q2139" s="31" t="str">
        <f>IFERROR(__xludf.DUMMYFUNCTION("GOOGLETRANSLATE(R2139,""ES"",""EN"")"),"Microsoft, energy")</f>
        <v>Microsoft, energy</v>
      </c>
      <c r="R2139" s="28" t="s">
        <v>15333</v>
      </c>
      <c r="S2139" s="53" t="s">
        <v>15334</v>
      </c>
      <c r="T2139" s="32" t="s">
        <v>15335</v>
      </c>
    </row>
    <row r="2140">
      <c r="A2140" s="33" t="s">
        <v>15336</v>
      </c>
      <c r="B2140" s="76" t="s">
        <v>163</v>
      </c>
      <c r="C2140" s="41">
        <v>45455.0</v>
      </c>
      <c r="D2140" s="40" t="s">
        <v>15337</v>
      </c>
      <c r="E2140" s="41" t="s">
        <v>15338</v>
      </c>
      <c r="F2140" s="43" t="s">
        <v>15339</v>
      </c>
      <c r="G2140" s="43" t="s">
        <v>15340</v>
      </c>
      <c r="H2140" s="51" t="s">
        <v>130</v>
      </c>
      <c r="I2140" s="15" t="str">
        <f>IFERROR(__xludf.DUMMYFUNCTION("GOOGLETRANSLATE(H2140,""EN"",""ES"")"),"Sostenibilidad")</f>
        <v>Sostenibilidad</v>
      </c>
      <c r="J2140" s="16" t="s">
        <v>27</v>
      </c>
      <c r="K2140" s="17">
        <v>0.0</v>
      </c>
      <c r="L2140" s="45"/>
      <c r="M2140" s="18"/>
      <c r="N2140" s="65"/>
      <c r="O2140" s="65"/>
      <c r="P2140" s="20">
        <v>0.0</v>
      </c>
      <c r="Q2140" s="18"/>
      <c r="R2140" s="18"/>
      <c r="S2140" s="52"/>
      <c r="T2140" s="22"/>
    </row>
    <row r="2141">
      <c r="A2141" s="23" t="s">
        <v>15341</v>
      </c>
      <c r="B2141" s="77" t="s">
        <v>1105</v>
      </c>
      <c r="C2141" s="41">
        <v>45455.0</v>
      </c>
      <c r="D2141" s="40" t="s">
        <v>15342</v>
      </c>
      <c r="E2141" s="41" t="s">
        <v>15343</v>
      </c>
      <c r="F2141" s="43" t="s">
        <v>15344</v>
      </c>
      <c r="G2141" s="43" t="s">
        <v>15345</v>
      </c>
      <c r="H2141" s="51" t="s">
        <v>661</v>
      </c>
      <c r="I2141" s="25" t="str">
        <f>IFERROR(__xludf.DUMMYFUNCTION("GOOGLETRANSLATE(H2141,""EN"",""ES"")"),"Estrategia empresarial")</f>
        <v>Estrategia empresarial</v>
      </c>
      <c r="J2141" s="26" t="s">
        <v>35</v>
      </c>
      <c r="K2141" s="48">
        <v>0.6</v>
      </c>
      <c r="L2141" s="49" t="s">
        <v>15346</v>
      </c>
      <c r="M2141" s="28" t="s">
        <v>15347</v>
      </c>
      <c r="N2141" s="66" t="s">
        <v>15348</v>
      </c>
      <c r="O2141" s="66" t="str">
        <f>IFERROR(__xludf.DUMMYFUNCTION("GOOGLETRANSLATE(N2141,""EN"",""ES"")"),"El cierre de terminales de combustible obsoletas se alinea con la modernización estratégica de Repsol.")</f>
        <v>El cierre de terminales de combustible obsoletas se alinea con la modernización estratégica de Repsol.</v>
      </c>
      <c r="P2141" s="30">
        <v>-0.2</v>
      </c>
      <c r="Q2141" s="31" t="str">
        <f>IFERROR(__xludf.DUMMYFUNCTION("GOOGLETRANSLATE(R2141,""ES"",""EN"")"),"dismantling")</f>
        <v>dismantling</v>
      </c>
      <c r="R2141" s="28" t="s">
        <v>15349</v>
      </c>
      <c r="S2141" s="53" t="s">
        <v>15350</v>
      </c>
      <c r="T2141" s="32" t="s">
        <v>15351</v>
      </c>
    </row>
    <row r="2142">
      <c r="A2142" s="33" t="s">
        <v>15352</v>
      </c>
      <c r="B2142" s="76" t="s">
        <v>260</v>
      </c>
      <c r="C2142" s="41">
        <v>45455.0</v>
      </c>
      <c r="D2142" s="40" t="s">
        <v>15353</v>
      </c>
      <c r="E2142" s="41" t="s">
        <v>15354</v>
      </c>
      <c r="F2142" s="43" t="s">
        <v>15355</v>
      </c>
      <c r="G2142" s="43" t="s">
        <v>15356</v>
      </c>
      <c r="H2142" s="51" t="s">
        <v>661</v>
      </c>
      <c r="I2142" s="15" t="str">
        <f>IFERROR(__xludf.DUMMYFUNCTION("GOOGLETRANSLATE(H2142,""EN"",""ES"")"),"Estrategia empresarial")</f>
        <v>Estrategia empresarial</v>
      </c>
      <c r="J2142" s="16" t="s">
        <v>35</v>
      </c>
      <c r="K2142" s="48">
        <v>0.6</v>
      </c>
      <c r="L2142" s="51" t="s">
        <v>15357</v>
      </c>
      <c r="M2142" s="34" t="s">
        <v>15358</v>
      </c>
      <c r="N2142" s="65" t="s">
        <v>15359</v>
      </c>
      <c r="O2142" s="65" t="str">
        <f>IFERROR(__xludf.DUMMYFUNCTION("GOOGLETRANSLATE(N2142,""EN"",""ES"")"),"La obtención de importantes contratos de suministro energético refuerza la posición de Repsol en el mercado.")</f>
        <v>La obtención de importantes contratos de suministro energético refuerza la posición de Repsol en el mercado.</v>
      </c>
      <c r="P2142" s="30">
        <v>0.5</v>
      </c>
      <c r="Q2142" s="18" t="str">
        <f>IFERROR(__xludf.DUMMYFUNCTION("GOOGLETRANSLATE(R2142,""ES"",""EN"")"),"mega contract")</f>
        <v>mega contract</v>
      </c>
      <c r="R2142" s="34" t="s">
        <v>15360</v>
      </c>
      <c r="S2142" s="52" t="s">
        <v>15361</v>
      </c>
      <c r="T2142" s="22" t="s">
        <v>15362</v>
      </c>
    </row>
    <row r="2143">
      <c r="A2143" s="23" t="s">
        <v>15363</v>
      </c>
      <c r="B2143" s="77" t="s">
        <v>21</v>
      </c>
      <c r="C2143" s="41">
        <v>45455.0</v>
      </c>
      <c r="D2143" s="40" t="s">
        <v>15364</v>
      </c>
      <c r="E2143" s="41" t="s">
        <v>15365</v>
      </c>
      <c r="F2143" s="43" t="s">
        <v>15366</v>
      </c>
      <c r="G2143" s="43" t="s">
        <v>15367</v>
      </c>
      <c r="H2143" s="51" t="s">
        <v>148</v>
      </c>
      <c r="I2143" s="25" t="str">
        <f>IFERROR(__xludf.DUMMYFUNCTION("GOOGLETRANSLATE(H2143,""EN"",""ES"")"),"Gastronomía")</f>
        <v>Gastronomía</v>
      </c>
      <c r="J2143" s="26" t="s">
        <v>27</v>
      </c>
      <c r="K2143" s="17">
        <v>0.0</v>
      </c>
      <c r="L2143" s="54"/>
      <c r="M2143" s="31"/>
      <c r="N2143" s="66"/>
      <c r="O2143" s="66"/>
      <c r="P2143" s="20">
        <v>0.0</v>
      </c>
      <c r="Q2143" s="31"/>
      <c r="R2143" s="31"/>
      <c r="S2143" s="53"/>
      <c r="T2143" s="32"/>
    </row>
    <row r="2144">
      <c r="A2144" s="33" t="s">
        <v>15368</v>
      </c>
      <c r="B2144" s="76" t="s">
        <v>4393</v>
      </c>
      <c r="C2144" s="41">
        <v>45455.0</v>
      </c>
      <c r="D2144" s="40" t="s">
        <v>15369</v>
      </c>
      <c r="E2144" s="41" t="s">
        <v>15370</v>
      </c>
      <c r="F2144" s="43" t="s">
        <v>15371</v>
      </c>
      <c r="G2144" s="43" t="s">
        <v>15372</v>
      </c>
      <c r="H2144" s="51" t="s">
        <v>2447</v>
      </c>
      <c r="I2144" s="15" t="str">
        <f>IFERROR(__xludf.DUMMYFUNCTION("GOOGLETRANSLATE(H2144,""EN"",""ES"")"),"Asuntos del Consumidor")</f>
        <v>Asuntos del Consumidor</v>
      </c>
      <c r="J2144" s="16" t="s">
        <v>35</v>
      </c>
      <c r="K2144" s="48">
        <v>0.0</v>
      </c>
      <c r="L2144" s="45"/>
      <c r="M2144" s="18"/>
      <c r="N2144" s="65" t="s">
        <v>15373</v>
      </c>
      <c r="O2144" s="65" t="str">
        <f>IFERROR(__xludf.DUMMYFUNCTION("GOOGLETRANSLATE(N2144,""EN"",""ES"")"),"Las advertencias sobre el precio de los combustibles no impactan en la percepción corporativa de Repsol.")</f>
        <v>Las advertencias sobre el precio de los combustibles no impactan en la percepción corporativa de Repsol.</v>
      </c>
      <c r="P2144" s="30">
        <v>0.0</v>
      </c>
      <c r="Q2144" s="18"/>
      <c r="R2144" s="18"/>
      <c r="S2144" s="52" t="s">
        <v>12139</v>
      </c>
      <c r="T2144" s="22" t="s">
        <v>12140</v>
      </c>
    </row>
    <row r="2145">
      <c r="A2145" s="23" t="s">
        <v>15374</v>
      </c>
      <c r="B2145" s="77" t="s">
        <v>43</v>
      </c>
      <c r="C2145" s="41">
        <v>45455.0</v>
      </c>
      <c r="D2145" s="40" t="s">
        <v>15375</v>
      </c>
      <c r="E2145" s="41" t="s">
        <v>15376</v>
      </c>
      <c r="F2145" s="43" t="s">
        <v>15377</v>
      </c>
      <c r="G2145" s="43" t="s">
        <v>15378</v>
      </c>
      <c r="H2145" s="51" t="s">
        <v>148</v>
      </c>
      <c r="I2145" s="25" t="str">
        <f>IFERROR(__xludf.DUMMYFUNCTION("GOOGLETRANSLATE(H2145,""EN"",""ES"")"),"Gastronomía")</f>
        <v>Gastronomía</v>
      </c>
      <c r="J2145" s="26" t="s">
        <v>27</v>
      </c>
      <c r="K2145" s="17">
        <v>0.0</v>
      </c>
      <c r="L2145" s="54"/>
      <c r="M2145" s="31"/>
      <c r="N2145" s="66"/>
      <c r="O2145" s="66"/>
      <c r="P2145" s="20">
        <v>0.0</v>
      </c>
      <c r="Q2145" s="31"/>
      <c r="R2145" s="31"/>
      <c r="S2145" s="53"/>
      <c r="T2145" s="32"/>
    </row>
    <row r="2146">
      <c r="A2146" s="33" t="s">
        <v>15379</v>
      </c>
      <c r="B2146" s="76" t="s">
        <v>513</v>
      </c>
      <c r="C2146" s="41">
        <v>45455.0</v>
      </c>
      <c r="D2146" s="40" t="s">
        <v>15380</v>
      </c>
      <c r="E2146" s="41" t="s">
        <v>15381</v>
      </c>
      <c r="F2146" s="43" t="s">
        <v>15382</v>
      </c>
      <c r="G2146" s="43" t="s">
        <v>15383</v>
      </c>
      <c r="H2146" s="51" t="s">
        <v>55</v>
      </c>
      <c r="I2146" s="15" t="str">
        <f>IFERROR(__xludf.DUMMYFUNCTION("GOOGLETRANSLATE(H2146,""EN"",""ES"")"),"deportes de motor")</f>
        <v>deportes de motor</v>
      </c>
      <c r="J2146" s="16" t="s">
        <v>27</v>
      </c>
      <c r="K2146" s="17">
        <v>0.0</v>
      </c>
      <c r="L2146" s="45"/>
      <c r="M2146" s="18"/>
      <c r="N2146" s="65"/>
      <c r="O2146" s="65"/>
      <c r="P2146" s="20">
        <v>0.0</v>
      </c>
      <c r="Q2146" s="18"/>
      <c r="R2146" s="18"/>
      <c r="S2146" s="52"/>
      <c r="T2146" s="22"/>
    </row>
    <row r="2147">
      <c r="A2147" s="23" t="s">
        <v>15384</v>
      </c>
      <c r="B2147" s="77" t="s">
        <v>163</v>
      </c>
      <c r="C2147" s="41">
        <v>45456.0</v>
      </c>
      <c r="D2147" s="40" t="s">
        <v>15385</v>
      </c>
      <c r="E2147" s="41" t="s">
        <v>15386</v>
      </c>
      <c r="F2147" s="43" t="s">
        <v>15387</v>
      </c>
      <c r="G2147" s="43" t="s">
        <v>15388</v>
      </c>
      <c r="H2147" s="51" t="s">
        <v>661</v>
      </c>
      <c r="I2147" s="25" t="str">
        <f>IFERROR(__xludf.DUMMYFUNCTION("GOOGLETRANSLATE(H2147,""EN"",""ES"")"),"Estrategia empresarial")</f>
        <v>Estrategia empresarial</v>
      </c>
      <c r="J2147" s="26" t="s">
        <v>35</v>
      </c>
      <c r="K2147" s="48">
        <v>0.6</v>
      </c>
      <c r="L2147" s="49" t="s">
        <v>15389</v>
      </c>
      <c r="M2147" s="28" t="s">
        <v>15390</v>
      </c>
      <c r="N2147" s="66" t="s">
        <v>15391</v>
      </c>
      <c r="O2147" s="66" t="str">
        <f>IFERROR(__xludf.DUMMYFUNCTION("GOOGLETRANSLATE(N2147,""EN"",""ES"")"),"La ampliación de los incentivos promocionales refuerza la retención de consumidores de Repsol.")</f>
        <v>La ampliación de los incentivos promocionales refuerza la retención de consumidores de Repsol.</v>
      </c>
      <c r="P2147" s="30">
        <v>0.6</v>
      </c>
      <c r="Q2147" s="31" t="str">
        <f>IFERROR(__xludf.DUMMYFUNCTION("GOOGLETRANSLATE(R2147,""ES"",""EN"")"),"give away fuel")</f>
        <v>give away fuel</v>
      </c>
      <c r="R2147" s="28" t="s">
        <v>15392</v>
      </c>
      <c r="S2147" s="53" t="s">
        <v>15176</v>
      </c>
      <c r="T2147" s="32" t="s">
        <v>15177</v>
      </c>
    </row>
    <row r="2148">
      <c r="A2148" s="33" t="s">
        <v>15393</v>
      </c>
      <c r="B2148" s="76" t="s">
        <v>163</v>
      </c>
      <c r="C2148" s="41">
        <v>45456.0</v>
      </c>
      <c r="D2148" s="40" t="s">
        <v>15394</v>
      </c>
      <c r="E2148" s="41" t="s">
        <v>15395</v>
      </c>
      <c r="F2148" s="43" t="s">
        <v>15396</v>
      </c>
      <c r="G2148" s="43" t="s">
        <v>15397</v>
      </c>
      <c r="H2148" s="51" t="s">
        <v>130</v>
      </c>
      <c r="I2148" s="15" t="str">
        <f>IFERROR(__xludf.DUMMYFUNCTION("GOOGLETRANSLATE(H2148,""EN"",""ES"")"),"Sostenibilidad")</f>
        <v>Sostenibilidad</v>
      </c>
      <c r="J2148" s="16" t="s">
        <v>27</v>
      </c>
      <c r="K2148" s="17">
        <v>0.0</v>
      </c>
      <c r="L2148" s="45"/>
      <c r="M2148" s="18"/>
      <c r="N2148" s="65"/>
      <c r="O2148" s="65"/>
      <c r="P2148" s="20">
        <v>0.0</v>
      </c>
      <c r="Q2148" s="18"/>
      <c r="R2148" s="18"/>
      <c r="S2148" s="52"/>
      <c r="T2148" s="22"/>
    </row>
    <row r="2149">
      <c r="A2149" s="23" t="s">
        <v>15398</v>
      </c>
      <c r="B2149" s="77" t="s">
        <v>163</v>
      </c>
      <c r="C2149" s="41">
        <v>45456.0</v>
      </c>
      <c r="D2149" s="40" t="s">
        <v>15399</v>
      </c>
      <c r="E2149" s="41" t="s">
        <v>15400</v>
      </c>
      <c r="F2149" s="43" t="s">
        <v>15401</v>
      </c>
      <c r="G2149" s="43" t="s">
        <v>15402</v>
      </c>
      <c r="H2149" s="51" t="s">
        <v>155</v>
      </c>
      <c r="I2149" s="25" t="str">
        <f>IFERROR(__xludf.DUMMYFUNCTION("GOOGLETRANSLATE(H2149,""EN"",""ES"")"),"Marketing")</f>
        <v>Marketing</v>
      </c>
      <c r="J2149" s="26" t="s">
        <v>35</v>
      </c>
      <c r="K2149" s="48">
        <v>0.6</v>
      </c>
      <c r="L2149" s="49" t="s">
        <v>15403</v>
      </c>
      <c r="M2149" s="28" t="s">
        <v>15404</v>
      </c>
      <c r="N2149" s="66" t="s">
        <v>15405</v>
      </c>
      <c r="O2149" s="66" t="str">
        <f>IFERROR(__xludf.DUMMYFUNCTION("GOOGLETRANSLATE(N2149,""EN"",""ES"")"),"La ampliación de los programas de fidelización refuerza la retención de clientes de Repsol.")</f>
        <v>La ampliación de los programas de fidelización refuerza la retención de clientes de Repsol.</v>
      </c>
      <c r="P2149" s="30">
        <v>0.6</v>
      </c>
      <c r="Q2149" s="31" t="str">
        <f>IFERROR(__xludf.DUMMYFUNCTION("GOOGLETRANSLATE(R2149,""ES"",""EN"")"),"gift, gasoline")</f>
        <v>gift, gasoline</v>
      </c>
      <c r="R2149" s="28" t="s">
        <v>15406</v>
      </c>
      <c r="S2149" s="53" t="s">
        <v>15176</v>
      </c>
      <c r="T2149" s="32" t="s">
        <v>15177</v>
      </c>
    </row>
    <row r="2150">
      <c r="A2150" s="33" t="s">
        <v>15407</v>
      </c>
      <c r="B2150" s="76" t="s">
        <v>2696</v>
      </c>
      <c r="C2150" s="41">
        <v>45456.0</v>
      </c>
      <c r="D2150" s="40" t="s">
        <v>15408</v>
      </c>
      <c r="E2150" s="41" t="s">
        <v>15409</v>
      </c>
      <c r="F2150" s="43" t="s">
        <v>15410</v>
      </c>
      <c r="G2150" s="43" t="s">
        <v>15411</v>
      </c>
      <c r="H2150" s="51" t="s">
        <v>130</v>
      </c>
      <c r="I2150" s="15" t="str">
        <f>IFERROR(__xludf.DUMMYFUNCTION("GOOGLETRANSLATE(H2150,""EN"",""ES"")"),"Sostenibilidad")</f>
        <v>Sostenibilidad</v>
      </c>
      <c r="J2150" s="16" t="s">
        <v>27</v>
      </c>
      <c r="K2150" s="17">
        <v>0.0</v>
      </c>
      <c r="L2150" s="45"/>
      <c r="M2150" s="18"/>
      <c r="N2150" s="65"/>
      <c r="O2150" s="65"/>
      <c r="P2150" s="20">
        <v>0.0</v>
      </c>
      <c r="Q2150" s="18"/>
      <c r="R2150" s="18"/>
      <c r="S2150" s="52"/>
      <c r="T2150" s="22"/>
    </row>
    <row r="2151">
      <c r="A2151" s="23" t="s">
        <v>15412</v>
      </c>
      <c r="B2151" s="77" t="s">
        <v>163</v>
      </c>
      <c r="C2151" s="41">
        <v>45456.0</v>
      </c>
      <c r="D2151" s="40" t="s">
        <v>15413</v>
      </c>
      <c r="E2151" s="41" t="s">
        <v>15414</v>
      </c>
      <c r="F2151" s="43" t="s">
        <v>15415</v>
      </c>
      <c r="G2151" s="43" t="s">
        <v>15416</v>
      </c>
      <c r="H2151" s="51" t="s">
        <v>8756</v>
      </c>
      <c r="I2151" s="25" t="str">
        <f>IFERROR(__xludf.DUMMYFUNCTION("GOOGLETRANSLATE(H2151,""EN"",""ES"")"),"Automotor")</f>
        <v>Automotor</v>
      </c>
      <c r="J2151" s="26" t="s">
        <v>27</v>
      </c>
      <c r="K2151" s="17">
        <v>0.0</v>
      </c>
      <c r="L2151" s="54"/>
      <c r="M2151" s="31"/>
      <c r="N2151" s="66"/>
      <c r="O2151" s="66"/>
      <c r="P2151" s="20">
        <v>0.0</v>
      </c>
      <c r="Q2151" s="31"/>
      <c r="R2151" s="31"/>
      <c r="S2151" s="53"/>
      <c r="T2151" s="32"/>
    </row>
    <row r="2152">
      <c r="A2152" s="33" t="s">
        <v>15417</v>
      </c>
      <c r="B2152" s="76" t="s">
        <v>977</v>
      </c>
      <c r="C2152" s="41">
        <v>45456.0</v>
      </c>
      <c r="D2152" s="40" t="s">
        <v>15418</v>
      </c>
      <c r="E2152" s="41" t="s">
        <v>15419</v>
      </c>
      <c r="F2152" s="43" t="s">
        <v>15420</v>
      </c>
      <c r="G2152" s="43" t="s">
        <v>1365</v>
      </c>
      <c r="H2152" s="51" t="s">
        <v>408</v>
      </c>
      <c r="I2152" s="15" t="str">
        <f>IFERROR(__xludf.DUMMYFUNCTION("GOOGLETRANSLATE(H2152,""EN"",""ES"")"),"Legal")</f>
        <v>Legal</v>
      </c>
      <c r="J2152" s="16" t="s">
        <v>35</v>
      </c>
      <c r="K2152" s="48">
        <v>-0.8</v>
      </c>
      <c r="L2152" s="51" t="s">
        <v>9922</v>
      </c>
      <c r="M2152" s="34" t="s">
        <v>9923</v>
      </c>
      <c r="N2152" s="65" t="s">
        <v>13013</v>
      </c>
      <c r="O2152" s="65" t="str">
        <f>IFERROR(__xludf.DUMMYFUNCTION("GOOGLETRANSLATE(N2152,""EN"",""ES"")"),"Los litigios ambientales en curso pueden dañar la reputación de Repsol.")</f>
        <v>Los litigios ambientales en curso pueden dañar la reputación de Repsol.</v>
      </c>
      <c r="P2152" s="30">
        <v>-0.9</v>
      </c>
      <c r="Q2152" s="18" t="str">
        <f>IFERROR(__xludf.DUMMYFUNCTION("GOOGLETRANSLATE(R2152,""ES"",""EN"")"),"Spill, environmental disaster")</f>
        <v>Spill, environmental disaster</v>
      </c>
      <c r="R2152" s="34" t="s">
        <v>15421</v>
      </c>
      <c r="S2152" s="52" t="s">
        <v>15422</v>
      </c>
      <c r="T2152" s="22" t="s">
        <v>15423</v>
      </c>
    </row>
    <row r="2153">
      <c r="A2153" s="23" t="s">
        <v>15424</v>
      </c>
      <c r="B2153" s="77" t="s">
        <v>163</v>
      </c>
      <c r="C2153" s="41">
        <v>45456.0</v>
      </c>
      <c r="D2153" s="40" t="s">
        <v>15425</v>
      </c>
      <c r="E2153" s="41" t="s">
        <v>15426</v>
      </c>
      <c r="F2153" s="43" t="s">
        <v>15427</v>
      </c>
      <c r="G2153" s="43" t="s">
        <v>15428</v>
      </c>
      <c r="H2153" s="51" t="s">
        <v>782</v>
      </c>
      <c r="I2153" s="25" t="str">
        <f>IFERROR(__xludf.DUMMYFUNCTION("GOOGLETRANSLATE(H2153,""EN"",""ES"")"),"Tecnología")</f>
        <v>Tecnología</v>
      </c>
      <c r="J2153" s="26" t="s">
        <v>27</v>
      </c>
      <c r="K2153" s="17">
        <v>0.0</v>
      </c>
      <c r="L2153" s="54"/>
      <c r="M2153" s="31"/>
      <c r="N2153" s="66"/>
      <c r="O2153" s="66"/>
      <c r="P2153" s="20">
        <v>0.0</v>
      </c>
      <c r="Q2153" s="31"/>
      <c r="R2153" s="31"/>
      <c r="S2153" s="53"/>
      <c r="T2153" s="32"/>
    </row>
    <row r="2154">
      <c r="A2154" s="33" t="s">
        <v>15429</v>
      </c>
      <c r="B2154" s="76" t="s">
        <v>15430</v>
      </c>
      <c r="C2154" s="41">
        <v>45456.0</v>
      </c>
      <c r="D2154" s="40" t="s">
        <v>15431</v>
      </c>
      <c r="E2154" s="41" t="s">
        <v>15432</v>
      </c>
      <c r="F2154" s="43" t="s">
        <v>15433</v>
      </c>
      <c r="G2154" s="43" t="s">
        <v>15434</v>
      </c>
      <c r="H2154" s="51" t="s">
        <v>661</v>
      </c>
      <c r="I2154" s="15" t="str">
        <f>IFERROR(__xludf.DUMMYFUNCTION("GOOGLETRANSLATE(H2154,""EN"",""ES"")"),"Estrategia empresarial")</f>
        <v>Estrategia empresarial</v>
      </c>
      <c r="J2154" s="16" t="s">
        <v>27</v>
      </c>
      <c r="K2154" s="17">
        <v>0.0</v>
      </c>
      <c r="L2154" s="45"/>
      <c r="M2154" s="18"/>
      <c r="N2154" s="65"/>
      <c r="O2154" s="65"/>
      <c r="P2154" s="20">
        <v>0.0</v>
      </c>
      <c r="Q2154" s="18"/>
      <c r="R2154" s="18"/>
      <c r="S2154" s="52"/>
      <c r="T2154" s="22"/>
    </row>
    <row r="2155">
      <c r="A2155" s="23" t="s">
        <v>15435</v>
      </c>
      <c r="B2155" s="77" t="s">
        <v>85</v>
      </c>
      <c r="C2155" s="41">
        <v>45456.0</v>
      </c>
      <c r="D2155" s="40" t="s">
        <v>15436</v>
      </c>
      <c r="E2155" s="41" t="s">
        <v>15437</v>
      </c>
      <c r="F2155" s="43" t="s">
        <v>15438</v>
      </c>
      <c r="G2155" s="43" t="s">
        <v>15439</v>
      </c>
      <c r="H2155" s="51" t="s">
        <v>15440</v>
      </c>
      <c r="I2155" s="25" t="str">
        <f>IFERROR(__xludf.DUMMYFUNCTION("GOOGLETRANSLATE(H2155,""EN"",""ES"")"),"Periodismo")</f>
        <v>Periodismo</v>
      </c>
      <c r="J2155" s="26" t="s">
        <v>27</v>
      </c>
      <c r="K2155" s="17">
        <v>0.0</v>
      </c>
      <c r="L2155" s="54"/>
      <c r="M2155" s="31"/>
      <c r="N2155" s="66"/>
      <c r="O2155" s="66"/>
      <c r="P2155" s="20">
        <v>0.0</v>
      </c>
      <c r="Q2155" s="31"/>
      <c r="R2155" s="31"/>
      <c r="S2155" s="53"/>
      <c r="T2155" s="32"/>
    </row>
    <row r="2156">
      <c r="A2156" s="33" t="s">
        <v>15441</v>
      </c>
      <c r="B2156" s="76" t="s">
        <v>1005</v>
      </c>
      <c r="C2156" s="41">
        <v>45456.0</v>
      </c>
      <c r="D2156" s="40" t="s">
        <v>15442</v>
      </c>
      <c r="E2156" s="41" t="s">
        <v>15443</v>
      </c>
      <c r="F2156" s="43" t="s">
        <v>15444</v>
      </c>
      <c r="G2156" s="43" t="s">
        <v>15445</v>
      </c>
      <c r="H2156" s="51" t="s">
        <v>62</v>
      </c>
      <c r="I2156" s="15" t="str">
        <f>IFERROR(__xludf.DUMMYFUNCTION("GOOGLETRANSLATE(H2156,""EN"",""ES"")"),"Energía")</f>
        <v>Energía</v>
      </c>
      <c r="J2156" s="16" t="s">
        <v>27</v>
      </c>
      <c r="K2156" s="17">
        <v>0.0</v>
      </c>
      <c r="L2156" s="45"/>
      <c r="M2156" s="18"/>
      <c r="N2156" s="65"/>
      <c r="O2156" s="65"/>
      <c r="P2156" s="20">
        <v>0.0</v>
      </c>
      <c r="Q2156" s="18"/>
      <c r="R2156" s="18"/>
      <c r="S2156" s="52"/>
      <c r="T2156" s="22"/>
    </row>
    <row r="2157">
      <c r="A2157" s="23" t="s">
        <v>15446</v>
      </c>
      <c r="B2157" s="77" t="s">
        <v>15447</v>
      </c>
      <c r="C2157" s="41">
        <v>45457.0</v>
      </c>
      <c r="D2157" s="40" t="s">
        <v>15448</v>
      </c>
      <c r="E2157" s="41" t="s">
        <v>15449</v>
      </c>
      <c r="F2157" s="43" t="s">
        <v>15450</v>
      </c>
      <c r="G2157" s="43" t="s">
        <v>15451</v>
      </c>
      <c r="H2157" s="51" t="s">
        <v>661</v>
      </c>
      <c r="I2157" s="25" t="str">
        <f>IFERROR(__xludf.DUMMYFUNCTION("GOOGLETRANSLATE(H2157,""EN"",""ES"")"),"Estrategia empresarial")</f>
        <v>Estrategia empresarial</v>
      </c>
      <c r="J2157" s="26" t="s">
        <v>35</v>
      </c>
      <c r="K2157" s="78">
        <v>0.5</v>
      </c>
      <c r="L2157" s="49" t="s">
        <v>15452</v>
      </c>
      <c r="M2157" s="28" t="s">
        <v>15453</v>
      </c>
      <c r="N2157" s="66" t="s">
        <v>15454</v>
      </c>
      <c r="O2157" s="66" t="str">
        <f>IFERROR(__xludf.DUMMYFUNCTION("GOOGLETRANSLATE(N2157,""EN"",""ES"")"),"Mantener a los inversores informados sobre la evolución de Repsol respalda la confianza del mercado.")</f>
        <v>Mantener a los inversores informados sobre la evolución de Repsol respalda la confianza del mercado.</v>
      </c>
      <c r="P2157" s="30">
        <v>0.0</v>
      </c>
      <c r="Q2157" s="31"/>
      <c r="R2157" s="31"/>
      <c r="S2157" s="53" t="s">
        <v>15455</v>
      </c>
      <c r="T2157" s="32" t="s">
        <v>15456</v>
      </c>
    </row>
    <row r="2158">
      <c r="A2158" s="33" t="s">
        <v>15457</v>
      </c>
      <c r="B2158" s="76" t="s">
        <v>1072</v>
      </c>
      <c r="C2158" s="41">
        <v>45457.0</v>
      </c>
      <c r="D2158" s="40" t="s">
        <v>15458</v>
      </c>
      <c r="E2158" s="41" t="s">
        <v>15459</v>
      </c>
      <c r="F2158" s="43" t="s">
        <v>15460</v>
      </c>
      <c r="G2158" s="43" t="s">
        <v>15461</v>
      </c>
      <c r="H2158" s="51" t="s">
        <v>130</v>
      </c>
      <c r="I2158" s="15" t="str">
        <f>IFERROR(__xludf.DUMMYFUNCTION("GOOGLETRANSLATE(H2158,""EN"",""ES"")"),"Sostenibilidad")</f>
        <v>Sostenibilidad</v>
      </c>
      <c r="J2158" s="16" t="s">
        <v>35</v>
      </c>
      <c r="K2158" s="48">
        <v>0.6</v>
      </c>
      <c r="L2158" s="51" t="s">
        <v>13911</v>
      </c>
      <c r="M2158" s="34" t="s">
        <v>13912</v>
      </c>
      <c r="N2158" s="65" t="s">
        <v>15462</v>
      </c>
      <c r="O2158" s="65" t="str">
        <f>IFERROR(__xludf.DUMMYFUNCTION("GOOGLETRANSLATE(N2158,""EN"",""ES"")"),"Atraer inversión extranjera en renovables refuerza los planes de sostenibilidad de Repsol.")</f>
        <v>Atraer inversión extranjera en renovables refuerza los planes de sostenibilidad de Repsol.</v>
      </c>
      <c r="P2158" s="30">
        <v>0.6</v>
      </c>
      <c r="Q2158" s="18" t="str">
        <f>IFERROR(__xludf.DUMMYFUNCTION("GOOGLETRANSLATE(R2158,""ES"",""EN"")"),"Aramco, Renewables")</f>
        <v>Aramco, Renewables</v>
      </c>
      <c r="R2158" s="34" t="s">
        <v>15463</v>
      </c>
      <c r="S2158" s="52" t="s">
        <v>15464</v>
      </c>
      <c r="T2158" s="22" t="s">
        <v>15465</v>
      </c>
    </row>
    <row r="2159">
      <c r="A2159" s="23" t="s">
        <v>15466</v>
      </c>
      <c r="B2159" s="77" t="s">
        <v>217</v>
      </c>
      <c r="C2159" s="41">
        <v>45457.0</v>
      </c>
      <c r="D2159" s="40" t="s">
        <v>15467</v>
      </c>
      <c r="E2159" s="41" t="s">
        <v>15468</v>
      </c>
      <c r="F2159" s="43" t="s">
        <v>15469</v>
      </c>
      <c r="G2159" s="43" t="s">
        <v>15470</v>
      </c>
      <c r="H2159" s="51" t="s">
        <v>661</v>
      </c>
      <c r="I2159" s="25" t="str">
        <f>IFERROR(__xludf.DUMMYFUNCTION("GOOGLETRANSLATE(H2159,""EN"",""ES"")"),"Estrategia empresarial")</f>
        <v>Estrategia empresarial</v>
      </c>
      <c r="J2159" s="26" t="s">
        <v>35</v>
      </c>
      <c r="K2159" s="48">
        <v>0.6</v>
      </c>
      <c r="L2159" s="49" t="s">
        <v>15471</v>
      </c>
      <c r="M2159" s="28" t="s">
        <v>15472</v>
      </c>
      <c r="N2159" s="66" t="s">
        <v>15473</v>
      </c>
      <c r="O2159" s="66" t="str">
        <f>IFERROR(__xludf.DUMMYFUNCTION("GOOGLETRANSLATE(N2159,""EN"",""ES"")"),"Abogar por políticas proenergéticas se alinea con los intereses de crecimiento de Repsol.")</f>
        <v>Abogar por políticas proenergéticas se alinea con los intereses de crecimiento de Repsol.</v>
      </c>
      <c r="P2159" s="30">
        <v>0.2</v>
      </c>
      <c r="Q2159" s="31" t="str">
        <f>IFERROR(__xludf.DUMMYFUNCTION("GOOGLETRANSLATE(R2159,""ES"",""EN"")"),"None")</f>
        <v>None</v>
      </c>
      <c r="R2159" s="28" t="s">
        <v>14309</v>
      </c>
      <c r="S2159" s="53" t="s">
        <v>15474</v>
      </c>
      <c r="T2159" s="32" t="s">
        <v>15475</v>
      </c>
    </row>
    <row r="2160">
      <c r="A2160" s="33" t="s">
        <v>15476</v>
      </c>
      <c r="B2160" s="76" t="s">
        <v>1602</v>
      </c>
      <c r="C2160" s="41">
        <v>45457.0</v>
      </c>
      <c r="D2160" s="40" t="s">
        <v>15477</v>
      </c>
      <c r="E2160" s="41" t="s">
        <v>15478</v>
      </c>
      <c r="F2160" s="43" t="s">
        <v>15479</v>
      </c>
      <c r="G2160" s="43" t="s">
        <v>15480</v>
      </c>
      <c r="H2160" s="51" t="s">
        <v>130</v>
      </c>
      <c r="I2160" s="15" t="str">
        <f>IFERROR(__xludf.DUMMYFUNCTION("GOOGLETRANSLATE(H2160,""EN"",""ES"")"),"Sostenibilidad")</f>
        <v>Sostenibilidad</v>
      </c>
      <c r="J2160" s="16" t="s">
        <v>35</v>
      </c>
      <c r="K2160" s="48">
        <v>0.6</v>
      </c>
      <c r="L2160" s="51" t="s">
        <v>13911</v>
      </c>
      <c r="M2160" s="34" t="s">
        <v>13912</v>
      </c>
      <c r="N2160" s="65" t="s">
        <v>15481</v>
      </c>
      <c r="O2160" s="65" t="str">
        <f>IFERROR(__xludf.DUMMYFUNCTION("GOOGLETRANSLATE(N2160,""EN"",""ES"")"),"La ampliación de la inversión en energías renovables respalda la transición energética limpia de Repsol.")</f>
        <v>La ampliación de la inversión en energías renovables respalda la transición energética limpia de Repsol.</v>
      </c>
      <c r="P2160" s="30">
        <v>0.6</v>
      </c>
      <c r="Q2160" s="18" t="str">
        <f>IFERROR(__xludf.DUMMYFUNCTION("GOOGLETRANSLATE(R2160,""ES"",""EN"")"),"Aramco, Renewables")</f>
        <v>Aramco, Renewables</v>
      </c>
      <c r="R2160" s="34" t="s">
        <v>15463</v>
      </c>
      <c r="S2160" s="52" t="s">
        <v>15464</v>
      </c>
      <c r="T2160" s="22" t="s">
        <v>15465</v>
      </c>
    </row>
    <row r="2161">
      <c r="A2161" s="23" t="s">
        <v>15482</v>
      </c>
      <c r="B2161" s="77" t="s">
        <v>4559</v>
      </c>
      <c r="C2161" s="41">
        <v>45457.0</v>
      </c>
      <c r="D2161" s="40" t="s">
        <v>15483</v>
      </c>
      <c r="E2161" s="41" t="s">
        <v>15484</v>
      </c>
      <c r="F2161" s="43" t="s">
        <v>15485</v>
      </c>
      <c r="G2161" s="43" t="s">
        <v>15486</v>
      </c>
      <c r="H2161" s="51" t="s">
        <v>34</v>
      </c>
      <c r="I2161" s="25" t="str">
        <f>IFERROR(__xludf.DUMMYFUNCTION("GOOGLETRANSLATE(H2161,""EN"",""ES"")"),"Responsabilidad Social Corporativa")</f>
        <v>Responsabilidad Social Corporativa</v>
      </c>
      <c r="J2161" s="26" t="s">
        <v>35</v>
      </c>
      <c r="K2161" s="48">
        <v>0.7</v>
      </c>
      <c r="L2161" s="49" t="s">
        <v>15487</v>
      </c>
      <c r="M2161" s="28" t="s">
        <v>15488</v>
      </c>
      <c r="N2161" s="66" t="s">
        <v>15489</v>
      </c>
      <c r="O2161" s="66" t="str">
        <f>IFERROR(__xludf.DUMMYFUNCTION("GOOGLETRANSLATE(N2161,""EN"",""ES"")"),"Apoyar iniciativas de inclusión fortalece la imagen corporativa de Repsol.")</f>
        <v>Apoyar iniciativas de inclusión fortalece la imagen corporativa de Repsol.</v>
      </c>
      <c r="P2161" s="30">
        <v>0.3</v>
      </c>
      <c r="Q2161" s="31" t="str">
        <f>IFERROR(__xludf.DUMMYFUNCTION("GOOGLETRANSLATE(R2161,""ES"",""EN"")"),"None")</f>
        <v>None</v>
      </c>
      <c r="R2161" s="28" t="s">
        <v>14309</v>
      </c>
      <c r="S2161" s="53" t="s">
        <v>15490</v>
      </c>
      <c r="T2161" s="32" t="s">
        <v>15491</v>
      </c>
    </row>
    <row r="2162">
      <c r="A2162" s="33" t="s">
        <v>15492</v>
      </c>
      <c r="B2162" s="76" t="s">
        <v>43</v>
      </c>
      <c r="C2162" s="41">
        <v>45457.0</v>
      </c>
      <c r="D2162" s="40" t="s">
        <v>15493</v>
      </c>
      <c r="E2162" s="41" t="s">
        <v>15494</v>
      </c>
      <c r="F2162" s="43" t="s">
        <v>15495</v>
      </c>
      <c r="G2162" s="43" t="s">
        <v>15496</v>
      </c>
      <c r="H2162" s="51" t="s">
        <v>661</v>
      </c>
      <c r="I2162" s="15" t="str">
        <f>IFERROR(__xludf.DUMMYFUNCTION("GOOGLETRANSLATE(H2162,""EN"",""ES"")"),"Estrategia empresarial")</f>
        <v>Estrategia empresarial</v>
      </c>
      <c r="J2162" s="16" t="s">
        <v>35</v>
      </c>
      <c r="K2162" s="48">
        <v>0.6</v>
      </c>
      <c r="L2162" s="51" t="s">
        <v>15207</v>
      </c>
      <c r="M2162" s="34" t="s">
        <v>15208</v>
      </c>
      <c r="N2162" s="65" t="s">
        <v>15497</v>
      </c>
      <c r="O2162" s="65" t="str">
        <f>IFERROR(__xludf.DUMMYFUNCTION("GOOGLETRANSLATE(N2162,""EN"",""ES"")"),"La ampliación de los programas de fidelización de clientes mejora el atractivo de la marca Repsol.")</f>
        <v>La ampliación de los programas de fidelización de clientes mejora el atractivo de la marca Repsol.</v>
      </c>
      <c r="P2162" s="30">
        <v>0.5</v>
      </c>
      <c r="Q2162" s="18" t="str">
        <f>IFERROR(__xludf.DUMMYFUNCTION("GOOGLETRANSLATE(R2162,""ES"",""EN"")"),"discount")</f>
        <v>discount</v>
      </c>
      <c r="R2162" s="34" t="s">
        <v>15498</v>
      </c>
      <c r="S2162" s="52" t="s">
        <v>15211</v>
      </c>
      <c r="T2162" s="22" t="s">
        <v>15212</v>
      </c>
    </row>
    <row r="2163">
      <c r="A2163" s="23" t="s">
        <v>15499</v>
      </c>
      <c r="B2163" s="77" t="s">
        <v>163</v>
      </c>
      <c r="C2163" s="41">
        <v>45457.0</v>
      </c>
      <c r="D2163" s="40" t="s">
        <v>15500</v>
      </c>
      <c r="E2163" s="41" t="s">
        <v>15501</v>
      </c>
      <c r="F2163" s="43" t="s">
        <v>15502</v>
      </c>
      <c r="G2163" s="43" t="s">
        <v>15503</v>
      </c>
      <c r="H2163" s="51" t="s">
        <v>2447</v>
      </c>
      <c r="I2163" s="25" t="str">
        <f>IFERROR(__xludf.DUMMYFUNCTION("GOOGLETRANSLATE(H2163,""EN"",""ES"")"),"Asuntos del Consumidor")</f>
        <v>Asuntos del Consumidor</v>
      </c>
      <c r="J2163" s="26" t="s">
        <v>27</v>
      </c>
      <c r="K2163" s="17">
        <v>0.0</v>
      </c>
      <c r="L2163" s="54"/>
      <c r="M2163" s="31"/>
      <c r="N2163" s="66"/>
      <c r="O2163" s="66"/>
      <c r="P2163" s="20">
        <v>0.0</v>
      </c>
      <c r="Q2163" s="31"/>
      <c r="R2163" s="31"/>
      <c r="S2163" s="53"/>
      <c r="T2163" s="32"/>
    </row>
    <row r="2164">
      <c r="A2164" s="33" t="s">
        <v>15504</v>
      </c>
      <c r="B2164" s="76" t="s">
        <v>2792</v>
      </c>
      <c r="C2164" s="41">
        <v>45457.0</v>
      </c>
      <c r="D2164" s="40" t="s">
        <v>15505</v>
      </c>
      <c r="E2164" s="41" t="s">
        <v>15506</v>
      </c>
      <c r="F2164" s="43" t="s">
        <v>15507</v>
      </c>
      <c r="G2164" s="43" t="s">
        <v>15508</v>
      </c>
      <c r="H2164" s="51" t="s">
        <v>148</v>
      </c>
      <c r="I2164" s="15" t="str">
        <f>IFERROR(__xludf.DUMMYFUNCTION("GOOGLETRANSLATE(H2164,""EN"",""ES"")"),"Gastronomía")</f>
        <v>Gastronomía</v>
      </c>
      <c r="J2164" s="16" t="s">
        <v>27</v>
      </c>
      <c r="K2164" s="17">
        <v>0.0</v>
      </c>
      <c r="L2164" s="45"/>
      <c r="M2164" s="18"/>
      <c r="N2164" s="65"/>
      <c r="O2164" s="65"/>
      <c r="P2164" s="20">
        <v>0.0</v>
      </c>
      <c r="Q2164" s="18"/>
      <c r="R2164" s="18"/>
      <c r="S2164" s="52"/>
      <c r="T2164" s="22"/>
    </row>
    <row r="2165">
      <c r="A2165" s="23" t="s">
        <v>15509</v>
      </c>
      <c r="B2165" s="77" t="s">
        <v>103</v>
      </c>
      <c r="C2165" s="41">
        <v>45457.0</v>
      </c>
      <c r="D2165" s="40" t="s">
        <v>15510</v>
      </c>
      <c r="E2165" s="41" t="s">
        <v>15511</v>
      </c>
      <c r="F2165" s="43" t="s">
        <v>15512</v>
      </c>
      <c r="G2165" s="43" t="s">
        <v>15513</v>
      </c>
      <c r="H2165" s="51" t="s">
        <v>48</v>
      </c>
      <c r="I2165" s="25" t="str">
        <f>IFERROR(__xludf.DUMMYFUNCTION("GOOGLETRANSLATE(H2165,""EN"",""ES"")"),"Finanzas")</f>
        <v>Finanzas</v>
      </c>
      <c r="J2165" s="26" t="s">
        <v>27</v>
      </c>
      <c r="K2165" s="17">
        <v>0.0</v>
      </c>
      <c r="L2165" s="54"/>
      <c r="M2165" s="31"/>
      <c r="N2165" s="66"/>
      <c r="O2165" s="66"/>
      <c r="P2165" s="20">
        <v>0.0</v>
      </c>
      <c r="Q2165" s="31"/>
      <c r="R2165" s="31"/>
      <c r="S2165" s="53"/>
      <c r="T2165" s="32"/>
    </row>
    <row r="2166">
      <c r="A2166" s="33" t="s">
        <v>15514</v>
      </c>
      <c r="B2166" s="76" t="s">
        <v>7295</v>
      </c>
      <c r="C2166" s="41">
        <v>45457.0</v>
      </c>
      <c r="D2166" s="40" t="s">
        <v>15515</v>
      </c>
      <c r="E2166" s="41" t="s">
        <v>15516</v>
      </c>
      <c r="F2166" s="43" t="s">
        <v>15517</v>
      </c>
      <c r="G2166" s="43" t="s">
        <v>15518</v>
      </c>
      <c r="H2166" s="51" t="s">
        <v>148</v>
      </c>
      <c r="I2166" s="15" t="str">
        <f>IFERROR(__xludf.DUMMYFUNCTION("GOOGLETRANSLATE(H2166,""EN"",""ES"")"),"Gastronomía")</f>
        <v>Gastronomía</v>
      </c>
      <c r="J2166" s="16" t="s">
        <v>27</v>
      </c>
      <c r="K2166" s="17">
        <v>0.0</v>
      </c>
      <c r="L2166" s="45"/>
      <c r="M2166" s="18"/>
      <c r="N2166" s="65"/>
      <c r="O2166" s="65"/>
      <c r="P2166" s="20">
        <v>0.0</v>
      </c>
      <c r="Q2166" s="18"/>
      <c r="R2166" s="18"/>
      <c r="S2166" s="52"/>
      <c r="T2166" s="22"/>
    </row>
    <row r="2167">
      <c r="A2167" s="23" t="s">
        <v>15519</v>
      </c>
      <c r="B2167" s="77" t="s">
        <v>85</v>
      </c>
      <c r="C2167" s="41">
        <v>45458.0</v>
      </c>
      <c r="D2167" s="40" t="s">
        <v>15520</v>
      </c>
      <c r="E2167" s="41" t="s">
        <v>15521</v>
      </c>
      <c r="F2167" s="43" t="s">
        <v>15522</v>
      </c>
      <c r="G2167" s="43" t="s">
        <v>15523</v>
      </c>
      <c r="H2167" s="51" t="s">
        <v>148</v>
      </c>
      <c r="I2167" s="25" t="str">
        <f>IFERROR(__xludf.DUMMYFUNCTION("GOOGLETRANSLATE(H2167,""EN"",""ES"")"),"Gastronomía")</f>
        <v>Gastronomía</v>
      </c>
      <c r="J2167" s="26" t="s">
        <v>27</v>
      </c>
      <c r="K2167" s="17">
        <v>0.0</v>
      </c>
      <c r="L2167" s="54"/>
      <c r="M2167" s="31"/>
      <c r="N2167" s="66"/>
      <c r="O2167" s="66"/>
      <c r="P2167" s="20">
        <v>0.0</v>
      </c>
      <c r="Q2167" s="31"/>
      <c r="R2167" s="31"/>
      <c r="S2167" s="53"/>
      <c r="T2167" s="32"/>
    </row>
    <row r="2168">
      <c r="A2168" s="33" t="s">
        <v>15524</v>
      </c>
      <c r="B2168" s="76" t="s">
        <v>8884</v>
      </c>
      <c r="C2168" s="41">
        <v>45458.0</v>
      </c>
      <c r="D2168" s="40" t="s">
        <v>15525</v>
      </c>
      <c r="E2168" s="41" t="s">
        <v>15526</v>
      </c>
      <c r="F2168" s="43" t="s">
        <v>15527</v>
      </c>
      <c r="G2168" s="43" t="s">
        <v>15528</v>
      </c>
      <c r="H2168" s="51" t="s">
        <v>48</v>
      </c>
      <c r="I2168" s="15" t="str">
        <f>IFERROR(__xludf.DUMMYFUNCTION("GOOGLETRANSLATE(H2168,""EN"",""ES"")"),"Finanzas")</f>
        <v>Finanzas</v>
      </c>
      <c r="J2168" s="16" t="s">
        <v>27</v>
      </c>
      <c r="K2168" s="17">
        <v>0.0</v>
      </c>
      <c r="L2168" s="45"/>
      <c r="M2168" s="18"/>
      <c r="N2168" s="65"/>
      <c r="O2168" s="65"/>
      <c r="P2168" s="20">
        <v>0.0</v>
      </c>
      <c r="Q2168" s="18"/>
      <c r="R2168" s="18"/>
      <c r="S2168" s="52"/>
      <c r="T2168" s="22"/>
    </row>
    <row r="2169">
      <c r="A2169" s="23" t="s">
        <v>15529</v>
      </c>
      <c r="B2169" s="77" t="s">
        <v>1081</v>
      </c>
      <c r="C2169" s="41">
        <v>45458.0</v>
      </c>
      <c r="D2169" s="40" t="s">
        <v>15530</v>
      </c>
      <c r="E2169" s="41" t="s">
        <v>15531</v>
      </c>
      <c r="F2169" s="43" t="s">
        <v>15532</v>
      </c>
      <c r="G2169" s="43" t="s">
        <v>15533</v>
      </c>
      <c r="H2169" s="51" t="s">
        <v>10358</v>
      </c>
      <c r="I2169" s="25" t="str">
        <f>IFERROR(__xludf.DUMMYFUNCTION("GOOGLETRANSLATE(H2169,""EN"",""ES"")"),"Empleo")</f>
        <v>Empleo</v>
      </c>
      <c r="J2169" s="26" t="s">
        <v>27</v>
      </c>
      <c r="K2169" s="17">
        <v>0.0</v>
      </c>
      <c r="L2169" s="54"/>
      <c r="M2169" s="31"/>
      <c r="N2169" s="66"/>
      <c r="O2169" s="66"/>
      <c r="P2169" s="20">
        <v>0.0</v>
      </c>
      <c r="Q2169" s="31"/>
      <c r="R2169" s="31"/>
      <c r="S2169" s="53"/>
      <c r="T2169" s="32"/>
    </row>
    <row r="2170">
      <c r="A2170" s="33" t="s">
        <v>15534</v>
      </c>
      <c r="B2170" s="76" t="s">
        <v>43</v>
      </c>
      <c r="C2170" s="41">
        <v>45458.0</v>
      </c>
      <c r="D2170" s="40" t="s">
        <v>15535</v>
      </c>
      <c r="E2170" s="41" t="s">
        <v>15536</v>
      </c>
      <c r="F2170" s="43" t="s">
        <v>15537</v>
      </c>
      <c r="G2170" s="43" t="s">
        <v>15538</v>
      </c>
      <c r="H2170" s="51" t="s">
        <v>15539</v>
      </c>
      <c r="I2170" s="15" t="str">
        <f>IFERROR(__xludf.DUMMYFUNCTION("GOOGLETRANSLATE(H2170,""EN"",""ES"")"),"Economía global")</f>
        <v>Economía global</v>
      </c>
      <c r="J2170" s="16" t="s">
        <v>27</v>
      </c>
      <c r="K2170" s="17">
        <v>0.0</v>
      </c>
      <c r="L2170" s="45"/>
      <c r="M2170" s="18"/>
      <c r="N2170" s="65"/>
      <c r="O2170" s="65"/>
      <c r="P2170" s="20">
        <v>0.0</v>
      </c>
      <c r="Q2170" s="18"/>
      <c r="R2170" s="18"/>
      <c r="S2170" s="52"/>
      <c r="T2170" s="22"/>
    </row>
    <row r="2171">
      <c r="A2171" s="23" t="s">
        <v>15540</v>
      </c>
      <c r="B2171" s="77" t="s">
        <v>260</v>
      </c>
      <c r="C2171" s="41">
        <v>45458.0</v>
      </c>
      <c r="D2171" s="40" t="s">
        <v>15541</v>
      </c>
      <c r="E2171" s="41" t="s">
        <v>15542</v>
      </c>
      <c r="F2171" s="43" t="s">
        <v>15543</v>
      </c>
      <c r="G2171" s="43" t="s">
        <v>15544</v>
      </c>
      <c r="H2171" s="51" t="s">
        <v>395</v>
      </c>
      <c r="I2171" s="25" t="str">
        <f>IFERROR(__xludf.DUMMYFUNCTION("GOOGLETRANSLATE(H2171,""EN"",""ES"")"),"Ambiente")</f>
        <v>Ambiente</v>
      </c>
      <c r="J2171" s="26" t="s">
        <v>27</v>
      </c>
      <c r="K2171" s="17">
        <v>0.0</v>
      </c>
      <c r="L2171" s="54"/>
      <c r="M2171" s="31"/>
      <c r="N2171" s="66"/>
      <c r="O2171" s="66"/>
      <c r="P2171" s="20">
        <v>0.0</v>
      </c>
      <c r="Q2171" s="31"/>
      <c r="R2171" s="31"/>
      <c r="S2171" s="53"/>
      <c r="T2171" s="32"/>
    </row>
    <row r="2172">
      <c r="A2172" s="33" t="s">
        <v>15545</v>
      </c>
      <c r="B2172" s="76" t="s">
        <v>1081</v>
      </c>
      <c r="C2172" s="41">
        <v>45458.0</v>
      </c>
      <c r="D2172" s="40" t="s">
        <v>15546</v>
      </c>
      <c r="E2172" s="41" t="s">
        <v>15547</v>
      </c>
      <c r="F2172" s="43" t="s">
        <v>15548</v>
      </c>
      <c r="G2172" s="43" t="s">
        <v>15549</v>
      </c>
      <c r="H2172" s="51" t="s">
        <v>148</v>
      </c>
      <c r="I2172" s="15" t="str">
        <f>IFERROR(__xludf.DUMMYFUNCTION("GOOGLETRANSLATE(H2172,""EN"",""ES"")"),"Gastronomía")</f>
        <v>Gastronomía</v>
      </c>
      <c r="J2172" s="16" t="s">
        <v>27</v>
      </c>
      <c r="K2172" s="17">
        <v>0.0</v>
      </c>
      <c r="L2172" s="45"/>
      <c r="M2172" s="18"/>
      <c r="N2172" s="65"/>
      <c r="O2172" s="65"/>
      <c r="P2172" s="20">
        <v>0.0</v>
      </c>
      <c r="Q2172" s="18"/>
      <c r="R2172" s="18"/>
      <c r="S2172" s="52"/>
      <c r="T2172" s="22"/>
    </row>
    <row r="2173">
      <c r="A2173" s="23" t="s">
        <v>15550</v>
      </c>
      <c r="B2173" s="77" t="s">
        <v>558</v>
      </c>
      <c r="C2173" s="41">
        <v>45459.0</v>
      </c>
      <c r="D2173" s="40" t="s">
        <v>15551</v>
      </c>
      <c r="E2173" s="41" t="s">
        <v>15552</v>
      </c>
      <c r="F2173" s="43" t="s">
        <v>15553</v>
      </c>
      <c r="G2173" s="43" t="s">
        <v>15554</v>
      </c>
      <c r="H2173" s="51" t="s">
        <v>661</v>
      </c>
      <c r="I2173" s="25" t="str">
        <f>IFERROR(__xludf.DUMMYFUNCTION("GOOGLETRANSLATE(H2173,""EN"",""ES"")"),"Estrategia empresarial")</f>
        <v>Estrategia empresarial</v>
      </c>
      <c r="J2173" s="26" t="s">
        <v>35</v>
      </c>
      <c r="K2173" s="48">
        <v>-0.5</v>
      </c>
      <c r="L2173" s="49" t="s">
        <v>15555</v>
      </c>
      <c r="M2173" s="28" t="s">
        <v>15556</v>
      </c>
      <c r="N2173" s="66" t="s">
        <v>15557</v>
      </c>
      <c r="O2173" s="66" t="str">
        <f>IFERROR(__xludf.DUMMYFUNCTION("GOOGLETRANSLATE(N2173,""EN"",""ES"")"),"El sentimiento negativo del mercado podría afectar al desempeño financiero de Repsol.")</f>
        <v>El sentimiento negativo del mercado podría afectar al desempeño financiero de Repsol.</v>
      </c>
      <c r="P2173" s="30">
        <v>-0.4</v>
      </c>
      <c r="Q2173" s="31" t="str">
        <f>IFERROR(__xludf.DUMMYFUNCTION("GOOGLETRANSLATE(R2173,""ES"",""EN"")"),"he has it raw")</f>
        <v>he has it raw</v>
      </c>
      <c r="R2173" s="28" t="s">
        <v>15558</v>
      </c>
      <c r="S2173" s="53" t="s">
        <v>15559</v>
      </c>
      <c r="T2173" s="32" t="s">
        <v>15560</v>
      </c>
    </row>
    <row r="2174">
      <c r="A2174" s="33" t="s">
        <v>15561</v>
      </c>
      <c r="B2174" s="76" t="s">
        <v>5525</v>
      </c>
      <c r="C2174" s="41">
        <v>45459.0</v>
      </c>
      <c r="D2174" s="40" t="s">
        <v>15562</v>
      </c>
      <c r="E2174" s="41" t="s">
        <v>15563</v>
      </c>
      <c r="F2174" s="43" t="s">
        <v>15564</v>
      </c>
      <c r="G2174" s="43" t="s">
        <v>15565</v>
      </c>
      <c r="H2174" s="51" t="s">
        <v>48</v>
      </c>
      <c r="I2174" s="15" t="str">
        <f>IFERROR(__xludf.DUMMYFUNCTION("GOOGLETRANSLATE(H2174,""EN"",""ES"")"),"Finanzas")</f>
        <v>Finanzas</v>
      </c>
      <c r="J2174" s="16" t="s">
        <v>27</v>
      </c>
      <c r="K2174" s="17">
        <v>0.0</v>
      </c>
      <c r="L2174" s="45"/>
      <c r="M2174" s="18"/>
      <c r="N2174" s="65"/>
      <c r="O2174" s="65"/>
      <c r="P2174" s="20">
        <v>0.0</v>
      </c>
      <c r="Q2174" s="18"/>
      <c r="R2174" s="18"/>
      <c r="S2174" s="52"/>
      <c r="T2174" s="22"/>
    </row>
    <row r="2175">
      <c r="A2175" s="23" t="s">
        <v>15566</v>
      </c>
      <c r="B2175" s="77" t="s">
        <v>15567</v>
      </c>
      <c r="C2175" s="41">
        <v>45459.0</v>
      </c>
      <c r="D2175" s="40" t="s">
        <v>15568</v>
      </c>
      <c r="E2175" s="41" t="s">
        <v>15569</v>
      </c>
      <c r="F2175" s="43" t="s">
        <v>15570</v>
      </c>
      <c r="G2175" s="43" t="s">
        <v>15571</v>
      </c>
      <c r="H2175" s="51" t="s">
        <v>130</v>
      </c>
      <c r="I2175" s="25" t="str">
        <f>IFERROR(__xludf.DUMMYFUNCTION("GOOGLETRANSLATE(H2175,""EN"",""ES"")"),"Sostenibilidad")</f>
        <v>Sostenibilidad</v>
      </c>
      <c r="J2175" s="26" t="s">
        <v>27</v>
      </c>
      <c r="K2175" s="17">
        <v>0.0</v>
      </c>
      <c r="L2175" s="54"/>
      <c r="M2175" s="31"/>
      <c r="N2175" s="66"/>
      <c r="O2175" s="66"/>
      <c r="P2175" s="20">
        <v>0.0</v>
      </c>
      <c r="Q2175" s="31"/>
      <c r="R2175" s="31"/>
      <c r="S2175" s="53"/>
      <c r="T2175" s="32"/>
    </row>
    <row r="2176">
      <c r="A2176" s="33" t="s">
        <v>15572</v>
      </c>
      <c r="B2176" s="76" t="s">
        <v>43</v>
      </c>
      <c r="C2176" s="41">
        <v>45459.0</v>
      </c>
      <c r="D2176" s="40" t="s">
        <v>15573</v>
      </c>
      <c r="E2176" s="41" t="s">
        <v>15574</v>
      </c>
      <c r="F2176" s="43" t="s">
        <v>15575</v>
      </c>
      <c r="G2176" s="43" t="s">
        <v>15576</v>
      </c>
      <c r="H2176" s="51" t="s">
        <v>148</v>
      </c>
      <c r="I2176" s="15" t="str">
        <f>IFERROR(__xludf.DUMMYFUNCTION("GOOGLETRANSLATE(H2176,""EN"",""ES"")"),"Gastronomía")</f>
        <v>Gastronomía</v>
      </c>
      <c r="J2176" s="16" t="s">
        <v>27</v>
      </c>
      <c r="K2176" s="17">
        <v>0.0</v>
      </c>
      <c r="L2176" s="45"/>
      <c r="M2176" s="18"/>
      <c r="N2176" s="65"/>
      <c r="O2176" s="65"/>
      <c r="P2176" s="20">
        <v>0.0</v>
      </c>
      <c r="Q2176" s="18"/>
      <c r="R2176" s="18"/>
      <c r="S2176" s="52"/>
      <c r="T2176" s="22"/>
    </row>
    <row r="2177">
      <c r="A2177" s="23" t="s">
        <v>15577</v>
      </c>
      <c r="B2177" s="77" t="s">
        <v>2378</v>
      </c>
      <c r="C2177" s="41">
        <v>45459.0</v>
      </c>
      <c r="D2177" s="40" t="s">
        <v>15578</v>
      </c>
      <c r="E2177" s="41" t="s">
        <v>15579</v>
      </c>
      <c r="F2177" s="43" t="s">
        <v>15580</v>
      </c>
      <c r="G2177" s="43" t="s">
        <v>15581</v>
      </c>
      <c r="H2177" s="51" t="s">
        <v>15582</v>
      </c>
      <c r="I2177" s="25" t="str">
        <f>IFERROR(__xludf.DUMMYFUNCTION("GOOGLETRANSLATE(H2177,""EN"",""ES"")"),"Hospitalidad")</f>
        <v>Hospitalidad</v>
      </c>
      <c r="J2177" s="26" t="s">
        <v>27</v>
      </c>
      <c r="K2177" s="17">
        <v>0.0</v>
      </c>
      <c r="L2177" s="54"/>
      <c r="M2177" s="31"/>
      <c r="N2177" s="66"/>
      <c r="O2177" s="66"/>
      <c r="P2177" s="20">
        <v>0.0</v>
      </c>
      <c r="Q2177" s="31"/>
      <c r="R2177" s="31"/>
      <c r="S2177" s="53"/>
      <c r="T2177" s="32"/>
    </row>
    <row r="2178">
      <c r="A2178" s="33" t="s">
        <v>15583</v>
      </c>
      <c r="B2178" s="76" t="s">
        <v>977</v>
      </c>
      <c r="C2178" s="41">
        <v>45459.0</v>
      </c>
      <c r="D2178" s="40" t="s">
        <v>15584</v>
      </c>
      <c r="E2178" s="41" t="s">
        <v>15585</v>
      </c>
      <c r="F2178" s="43" t="s">
        <v>15586</v>
      </c>
      <c r="G2178" s="43" t="s">
        <v>15587</v>
      </c>
      <c r="H2178" s="51" t="s">
        <v>48</v>
      </c>
      <c r="I2178" s="15" t="str">
        <f>IFERROR(__xludf.DUMMYFUNCTION("GOOGLETRANSLATE(H2178,""EN"",""ES"")"),"Finanzas")</f>
        <v>Finanzas</v>
      </c>
      <c r="J2178" s="16" t="s">
        <v>27</v>
      </c>
      <c r="K2178" s="17">
        <v>0.0</v>
      </c>
      <c r="L2178" s="45"/>
      <c r="M2178" s="18"/>
      <c r="N2178" s="65"/>
      <c r="O2178" s="65"/>
      <c r="P2178" s="20">
        <v>0.0</v>
      </c>
      <c r="Q2178" s="18"/>
      <c r="R2178" s="18"/>
      <c r="S2178" s="52"/>
      <c r="T2178" s="22"/>
    </row>
    <row r="2179">
      <c r="A2179" s="23" t="s">
        <v>15588</v>
      </c>
      <c r="B2179" s="77" t="s">
        <v>85</v>
      </c>
      <c r="C2179" s="41">
        <v>45459.0</v>
      </c>
      <c r="D2179" s="40" t="s">
        <v>15589</v>
      </c>
      <c r="E2179" s="41" t="s">
        <v>15590</v>
      </c>
      <c r="F2179" s="43" t="s">
        <v>15591</v>
      </c>
      <c r="G2179" s="43" t="s">
        <v>15592</v>
      </c>
      <c r="H2179" s="51" t="s">
        <v>148</v>
      </c>
      <c r="I2179" s="25" t="str">
        <f>IFERROR(__xludf.DUMMYFUNCTION("GOOGLETRANSLATE(H2179,""EN"",""ES"")"),"Gastronomía")</f>
        <v>Gastronomía</v>
      </c>
      <c r="J2179" s="26" t="s">
        <v>27</v>
      </c>
      <c r="K2179" s="17">
        <v>0.0</v>
      </c>
      <c r="L2179" s="54"/>
      <c r="M2179" s="31"/>
      <c r="N2179" s="66"/>
      <c r="O2179" s="66"/>
      <c r="P2179" s="20">
        <v>0.0</v>
      </c>
      <c r="Q2179" s="31"/>
      <c r="R2179" s="31"/>
      <c r="S2179" s="53"/>
      <c r="T2179" s="32"/>
    </row>
    <row r="2180">
      <c r="A2180" s="33" t="s">
        <v>15593</v>
      </c>
      <c r="B2180" s="76" t="s">
        <v>2378</v>
      </c>
      <c r="C2180" s="41">
        <v>45459.0</v>
      </c>
      <c r="D2180" s="40" t="s">
        <v>15594</v>
      </c>
      <c r="E2180" s="41" t="s">
        <v>15579</v>
      </c>
      <c r="F2180" s="43" t="s">
        <v>15595</v>
      </c>
      <c r="G2180" s="43" t="s">
        <v>15581</v>
      </c>
      <c r="H2180" s="51" t="s">
        <v>15582</v>
      </c>
      <c r="I2180" s="15" t="str">
        <f>IFERROR(__xludf.DUMMYFUNCTION("GOOGLETRANSLATE(H2180,""EN"",""ES"")"),"Hospitalidad")</f>
        <v>Hospitalidad</v>
      </c>
      <c r="J2180" s="16" t="s">
        <v>27</v>
      </c>
      <c r="K2180" s="17">
        <v>0.0</v>
      </c>
      <c r="L2180" s="45"/>
      <c r="M2180" s="18"/>
      <c r="N2180" s="65"/>
      <c r="O2180" s="65"/>
      <c r="P2180" s="20">
        <v>0.0</v>
      </c>
      <c r="Q2180" s="18"/>
      <c r="R2180" s="18"/>
      <c r="S2180" s="52"/>
      <c r="T2180" s="22"/>
    </row>
    <row r="2181">
      <c r="A2181" s="23" t="s">
        <v>15596</v>
      </c>
      <c r="B2181" s="77" t="s">
        <v>10158</v>
      </c>
      <c r="C2181" s="41">
        <v>45460.0</v>
      </c>
      <c r="D2181" s="40" t="s">
        <v>15597</v>
      </c>
      <c r="E2181" s="41" t="s">
        <v>15598</v>
      </c>
      <c r="F2181" s="43" t="s">
        <v>15599</v>
      </c>
      <c r="G2181" s="43" t="s">
        <v>15600</v>
      </c>
      <c r="H2181" s="51" t="s">
        <v>661</v>
      </c>
      <c r="I2181" s="25" t="str">
        <f>IFERROR(__xludf.DUMMYFUNCTION("GOOGLETRANSLATE(H2181,""EN"",""ES"")"),"Estrategia empresarial")</f>
        <v>Estrategia empresarial</v>
      </c>
      <c r="J2181" s="26" t="s">
        <v>35</v>
      </c>
      <c r="K2181" s="48">
        <v>0.6</v>
      </c>
      <c r="L2181" s="49" t="s">
        <v>11490</v>
      </c>
      <c r="M2181" s="28" t="s">
        <v>11491</v>
      </c>
      <c r="N2181" s="66" t="s">
        <v>15601</v>
      </c>
      <c r="O2181" s="66" t="str">
        <f>IFERROR(__xludf.DUMMYFUNCTION("GOOGLETRANSLATE(N2181,""EN"",""ES"")"),"El aumento de los flujos de ingresos no relacionados con el combustible mejora la diversificación de Repsol.")</f>
        <v>El aumento de los flujos de ingresos no relacionados con el combustible mejora la diversificación de Repsol.</v>
      </c>
      <c r="P2181" s="30">
        <v>0.4</v>
      </c>
      <c r="Q2181" s="31" t="str">
        <f>IFERROR(__xludf.DUMMYFUNCTION("GOOGLETRANSLATE(R2181,""ES"",""EN"")"),"Supercor Stop &amp; Go")</f>
        <v>Supercor Stop &amp; Go</v>
      </c>
      <c r="R2181" s="28" t="s">
        <v>15602</v>
      </c>
      <c r="S2181" s="53" t="s">
        <v>15603</v>
      </c>
      <c r="T2181" s="32" t="s">
        <v>15604</v>
      </c>
    </row>
    <row r="2182">
      <c r="A2182" s="33" t="s">
        <v>15605</v>
      </c>
      <c r="B2182" s="76" t="s">
        <v>21</v>
      </c>
      <c r="C2182" s="41">
        <v>45460.0</v>
      </c>
      <c r="D2182" s="40" t="s">
        <v>15606</v>
      </c>
      <c r="E2182" s="41" t="s">
        <v>15607</v>
      </c>
      <c r="F2182" s="43" t="s">
        <v>15608</v>
      </c>
      <c r="G2182" s="43" t="s">
        <v>15609</v>
      </c>
      <c r="H2182" s="51" t="s">
        <v>5878</v>
      </c>
      <c r="I2182" s="15" t="str">
        <f>IFERROR(__xludf.DUMMYFUNCTION("GOOGLETRANSLATE(H2182,""EN"",""ES"")"),"Entretenimiento")</f>
        <v>Entretenimiento</v>
      </c>
      <c r="J2182" s="16" t="s">
        <v>27</v>
      </c>
      <c r="K2182" s="17">
        <v>0.0</v>
      </c>
      <c r="L2182" s="45"/>
      <c r="M2182" s="18"/>
      <c r="N2182" s="65"/>
      <c r="O2182" s="65"/>
      <c r="P2182" s="20">
        <v>0.0</v>
      </c>
      <c r="Q2182" s="18"/>
      <c r="R2182" s="18"/>
      <c r="S2182" s="52"/>
      <c r="T2182" s="22"/>
    </row>
    <row r="2183">
      <c r="A2183" s="23" t="s">
        <v>15610</v>
      </c>
      <c r="B2183" s="77" t="s">
        <v>15611</v>
      </c>
      <c r="C2183" s="41">
        <v>45460.0</v>
      </c>
      <c r="D2183" s="40" t="s">
        <v>15612</v>
      </c>
      <c r="E2183" s="41" t="s">
        <v>15613</v>
      </c>
      <c r="F2183" s="43" t="s">
        <v>15614</v>
      </c>
      <c r="G2183" s="43" t="s">
        <v>15615</v>
      </c>
      <c r="H2183" s="51" t="s">
        <v>3985</v>
      </c>
      <c r="I2183" s="25" t="str">
        <f>IFERROR(__xludf.DUMMYFUNCTION("GOOGLETRANSLATE(H2183,""EN"",""ES"")"),"Deportes")</f>
        <v>Deportes</v>
      </c>
      <c r="J2183" s="26" t="s">
        <v>27</v>
      </c>
      <c r="K2183" s="17">
        <v>0.0</v>
      </c>
      <c r="L2183" s="54"/>
      <c r="M2183" s="31"/>
      <c r="N2183" s="66"/>
      <c r="O2183" s="66"/>
      <c r="P2183" s="20">
        <v>0.0</v>
      </c>
      <c r="Q2183" s="31"/>
      <c r="R2183" s="31"/>
      <c r="S2183" s="53"/>
      <c r="T2183" s="32"/>
    </row>
    <row r="2184">
      <c r="A2184" s="33" t="s">
        <v>15616</v>
      </c>
      <c r="B2184" s="76" t="s">
        <v>15617</v>
      </c>
      <c r="C2184" s="41">
        <v>45460.0</v>
      </c>
      <c r="D2184" s="40" t="s">
        <v>15618</v>
      </c>
      <c r="E2184" s="41" t="s">
        <v>15619</v>
      </c>
      <c r="F2184" s="43" t="s">
        <v>15620</v>
      </c>
      <c r="G2184" s="43" t="s">
        <v>15621</v>
      </c>
      <c r="H2184" s="51" t="s">
        <v>34</v>
      </c>
      <c r="I2184" s="15" t="str">
        <f>IFERROR(__xludf.DUMMYFUNCTION("GOOGLETRANSLATE(H2184,""EN"",""ES"")"),"Responsabilidad Social Corporativa")</f>
        <v>Responsabilidad Social Corporativa</v>
      </c>
      <c r="J2184" s="16" t="s">
        <v>35</v>
      </c>
      <c r="K2184" s="48">
        <v>0.7</v>
      </c>
      <c r="L2184" s="51" t="s">
        <v>15622</v>
      </c>
      <c r="M2184" s="34" t="s">
        <v>15623</v>
      </c>
      <c r="N2184" s="65" t="s">
        <v>15624</v>
      </c>
      <c r="O2184" s="65" t="str">
        <f>IFERROR(__xludf.DUMMYFUNCTION("GOOGLETRANSLATE(N2184,""EN"",""ES"")"),"Reconocer el liderazgo en seguridad fortalece la reputación industrial de Repsol.")</f>
        <v>Reconocer el liderazgo en seguridad fortalece la reputación industrial de Repsol.</v>
      </c>
      <c r="P2184" s="30">
        <v>0.3</v>
      </c>
      <c r="Q2184" s="18" t="str">
        <f>IFERROR(__xludf.DUMMYFUNCTION("GOOGLETRANSLATE(R2184,""ES"",""EN"")"),"Prize")</f>
        <v>Prize</v>
      </c>
      <c r="R2184" s="34" t="s">
        <v>15625</v>
      </c>
      <c r="S2184" s="52" t="s">
        <v>15626</v>
      </c>
      <c r="T2184" s="22" t="s">
        <v>15627</v>
      </c>
    </row>
    <row r="2185">
      <c r="A2185" s="23" t="s">
        <v>15628</v>
      </c>
      <c r="B2185" s="77" t="s">
        <v>21</v>
      </c>
      <c r="C2185" s="41">
        <v>45460.0</v>
      </c>
      <c r="D2185" s="40" t="s">
        <v>15629</v>
      </c>
      <c r="E2185" s="41" t="s">
        <v>15630</v>
      </c>
      <c r="F2185" s="43" t="s">
        <v>15631</v>
      </c>
      <c r="G2185" s="43" t="s">
        <v>15632</v>
      </c>
      <c r="H2185" s="51" t="s">
        <v>148</v>
      </c>
      <c r="I2185" s="25" t="str">
        <f>IFERROR(__xludf.DUMMYFUNCTION("GOOGLETRANSLATE(H2185,""EN"",""ES"")"),"Gastronomía")</f>
        <v>Gastronomía</v>
      </c>
      <c r="J2185" s="26" t="s">
        <v>27</v>
      </c>
      <c r="K2185" s="17">
        <v>0.0</v>
      </c>
      <c r="L2185" s="54"/>
      <c r="M2185" s="31"/>
      <c r="N2185" s="66"/>
      <c r="O2185" s="66"/>
      <c r="P2185" s="20">
        <v>0.0</v>
      </c>
      <c r="Q2185" s="31"/>
      <c r="R2185" s="31"/>
      <c r="S2185" s="53"/>
      <c r="T2185" s="32"/>
    </row>
    <row r="2186">
      <c r="A2186" s="33" t="s">
        <v>15633</v>
      </c>
      <c r="B2186" s="76" t="s">
        <v>2384</v>
      </c>
      <c r="C2186" s="41">
        <v>45460.0</v>
      </c>
      <c r="D2186" s="40" t="s">
        <v>15634</v>
      </c>
      <c r="E2186" s="41" t="s">
        <v>15635</v>
      </c>
      <c r="F2186" s="43" t="s">
        <v>15636</v>
      </c>
      <c r="G2186" s="43" t="s">
        <v>15637</v>
      </c>
      <c r="H2186" s="51" t="s">
        <v>130</v>
      </c>
      <c r="I2186" s="15" t="str">
        <f>IFERROR(__xludf.DUMMYFUNCTION("GOOGLETRANSLATE(H2186,""EN"",""ES"")"),"Sostenibilidad")</f>
        <v>Sostenibilidad</v>
      </c>
      <c r="J2186" s="16" t="s">
        <v>27</v>
      </c>
      <c r="K2186" s="17">
        <v>0.0</v>
      </c>
      <c r="L2186" s="45"/>
      <c r="M2186" s="18"/>
      <c r="N2186" s="65"/>
      <c r="O2186" s="65"/>
      <c r="P2186" s="20">
        <v>0.0</v>
      </c>
      <c r="Q2186" s="18"/>
      <c r="R2186" s="18"/>
      <c r="S2186" s="52"/>
      <c r="T2186" s="22"/>
    </row>
    <row r="2187">
      <c r="A2187" s="23" t="s">
        <v>15638</v>
      </c>
      <c r="B2187" s="77" t="s">
        <v>871</v>
      </c>
      <c r="C2187" s="41">
        <v>45460.0</v>
      </c>
      <c r="D2187" s="40" t="s">
        <v>15639</v>
      </c>
      <c r="E2187" s="41" t="s">
        <v>15640</v>
      </c>
      <c r="F2187" s="43" t="s">
        <v>15641</v>
      </c>
      <c r="G2187" s="43" t="s">
        <v>15642</v>
      </c>
      <c r="H2187" s="51" t="s">
        <v>10358</v>
      </c>
      <c r="I2187" s="25" t="str">
        <f>IFERROR(__xludf.DUMMYFUNCTION("GOOGLETRANSLATE(H2187,""EN"",""ES"")"),"Empleo")</f>
        <v>Empleo</v>
      </c>
      <c r="J2187" s="26" t="s">
        <v>27</v>
      </c>
      <c r="K2187" s="17">
        <v>0.0</v>
      </c>
      <c r="L2187" s="54"/>
      <c r="M2187" s="31"/>
      <c r="N2187" s="66"/>
      <c r="O2187" s="66"/>
      <c r="P2187" s="20">
        <v>0.0</v>
      </c>
      <c r="Q2187" s="31"/>
      <c r="R2187" s="31"/>
      <c r="S2187" s="53"/>
      <c r="T2187" s="32"/>
    </row>
    <row r="2188">
      <c r="A2188" s="33" t="s">
        <v>15643</v>
      </c>
      <c r="B2188" s="76" t="s">
        <v>3402</v>
      </c>
      <c r="C2188" s="41">
        <v>45460.0</v>
      </c>
      <c r="D2188" s="40" t="s">
        <v>15644</v>
      </c>
      <c r="E2188" s="41" t="s">
        <v>15645</v>
      </c>
      <c r="F2188" s="43" t="s">
        <v>15646</v>
      </c>
      <c r="G2188" s="43" t="s">
        <v>15647</v>
      </c>
      <c r="H2188" s="51" t="s">
        <v>62</v>
      </c>
      <c r="I2188" s="15" t="str">
        <f>IFERROR(__xludf.DUMMYFUNCTION("GOOGLETRANSLATE(H2188,""EN"",""ES"")"),"Energía")</f>
        <v>Energía</v>
      </c>
      <c r="J2188" s="16" t="s">
        <v>27</v>
      </c>
      <c r="K2188" s="17">
        <v>0.0</v>
      </c>
      <c r="L2188" s="45"/>
      <c r="M2188" s="18"/>
      <c r="N2188" s="65"/>
      <c r="O2188" s="65"/>
      <c r="P2188" s="20">
        <v>0.0</v>
      </c>
      <c r="Q2188" s="18"/>
      <c r="R2188" s="18"/>
      <c r="S2188" s="52"/>
      <c r="T2188" s="22"/>
    </row>
    <row r="2189">
      <c r="A2189" s="23" t="s">
        <v>15648</v>
      </c>
      <c r="B2189" s="77" t="s">
        <v>91</v>
      </c>
      <c r="C2189" s="41">
        <v>45460.0</v>
      </c>
      <c r="D2189" s="40" t="s">
        <v>15649</v>
      </c>
      <c r="E2189" s="41" t="s">
        <v>15650</v>
      </c>
      <c r="F2189" s="43" t="s">
        <v>15651</v>
      </c>
      <c r="G2189" s="43" t="s">
        <v>15652</v>
      </c>
      <c r="H2189" s="51" t="s">
        <v>408</v>
      </c>
      <c r="I2189" s="25" t="str">
        <f>IFERROR(__xludf.DUMMYFUNCTION("GOOGLETRANSLATE(H2189,""EN"",""ES"")"),"Legal")</f>
        <v>Legal</v>
      </c>
      <c r="J2189" s="26" t="s">
        <v>27</v>
      </c>
      <c r="K2189" s="17">
        <v>0.0</v>
      </c>
      <c r="L2189" s="54"/>
      <c r="M2189" s="31"/>
      <c r="N2189" s="66"/>
      <c r="O2189" s="66"/>
      <c r="P2189" s="20">
        <v>0.0</v>
      </c>
      <c r="Q2189" s="31"/>
      <c r="R2189" s="31"/>
      <c r="S2189" s="53"/>
      <c r="T2189" s="32"/>
    </row>
    <row r="2190">
      <c r="A2190" s="33" t="s">
        <v>15653</v>
      </c>
      <c r="B2190" s="76" t="s">
        <v>15654</v>
      </c>
      <c r="C2190" s="41">
        <v>45460.0</v>
      </c>
      <c r="D2190" s="40" t="s">
        <v>15655</v>
      </c>
      <c r="E2190" s="41" t="s">
        <v>15656</v>
      </c>
      <c r="F2190" s="43" t="s">
        <v>15657</v>
      </c>
      <c r="G2190" s="43" t="s">
        <v>15658</v>
      </c>
      <c r="H2190" s="51" t="s">
        <v>130</v>
      </c>
      <c r="I2190" s="15" t="str">
        <f>IFERROR(__xludf.DUMMYFUNCTION("GOOGLETRANSLATE(H2190,""EN"",""ES"")"),"Sostenibilidad")</f>
        <v>Sostenibilidad</v>
      </c>
      <c r="J2190" s="16" t="s">
        <v>35</v>
      </c>
      <c r="K2190" s="48">
        <v>0.7</v>
      </c>
      <c r="L2190" s="51" t="s">
        <v>15659</v>
      </c>
      <c r="M2190" s="34" t="s">
        <v>15660</v>
      </c>
      <c r="N2190" s="65" t="s">
        <v>15661</v>
      </c>
      <c r="O2190" s="65" t="str">
        <f>IFERROR(__xludf.DUMMYFUNCTION("GOOGLETRANSLATE(N2190,""EN"",""ES"")"),"El uso de energías renovables se alinea con la transición verde de Repsol.")</f>
        <v>El uso de energías renovables se alinea con la transición verde de Repsol.</v>
      </c>
      <c r="P2190" s="30">
        <v>0.0</v>
      </c>
      <c r="Q2190" s="18"/>
      <c r="R2190" s="18"/>
      <c r="S2190" s="52" t="s">
        <v>12139</v>
      </c>
      <c r="T2190" s="22" t="s">
        <v>12140</v>
      </c>
    </row>
    <row r="2191">
      <c r="A2191" s="23" t="s">
        <v>15662</v>
      </c>
      <c r="B2191" s="77" t="s">
        <v>15663</v>
      </c>
      <c r="C2191" s="41">
        <v>45461.0</v>
      </c>
      <c r="D2191" s="40" t="s">
        <v>15664</v>
      </c>
      <c r="E2191" s="41" t="s">
        <v>15665</v>
      </c>
      <c r="F2191" s="43" t="s">
        <v>15666</v>
      </c>
      <c r="G2191" s="43" t="s">
        <v>15667</v>
      </c>
      <c r="H2191" s="51" t="s">
        <v>661</v>
      </c>
      <c r="I2191" s="25" t="str">
        <f>IFERROR(__xludf.DUMMYFUNCTION("GOOGLETRANSLATE(H2191,""EN"",""ES"")"),"Estrategia empresarial")</f>
        <v>Estrategia empresarial</v>
      </c>
      <c r="J2191" s="26" t="s">
        <v>35</v>
      </c>
      <c r="K2191" s="48">
        <v>0.6</v>
      </c>
      <c r="L2191" s="49" t="s">
        <v>15668</v>
      </c>
      <c r="M2191" s="28" t="s">
        <v>15669</v>
      </c>
      <c r="N2191" s="66" t="s">
        <v>15670</v>
      </c>
      <c r="O2191" s="66" t="str">
        <f>IFERROR(__xludf.DUMMYFUNCTION("GOOGLETRANSLATE(N2191,""EN"",""ES"")"),"La implementación de soluciones de IA apoya la transformación digital de Repsol.")</f>
        <v>La implementación de soluciones de IA apoya la transformación digital de Repsol.</v>
      </c>
      <c r="P2191" s="30">
        <v>0.4</v>
      </c>
      <c r="Q2191" s="31" t="str">
        <f>IFERROR(__xludf.DUMMYFUNCTION("GOOGLETRANSLATE(R2191,""ES"",""EN"")"),"Generative AI")</f>
        <v>Generative AI</v>
      </c>
      <c r="R2191" s="28" t="s">
        <v>15671</v>
      </c>
      <c r="S2191" s="53" t="s">
        <v>15672</v>
      </c>
      <c r="T2191" s="32" t="s">
        <v>15673</v>
      </c>
    </row>
    <row r="2192">
      <c r="A2192" s="33" t="s">
        <v>15674</v>
      </c>
      <c r="B2192" s="76" t="s">
        <v>2442</v>
      </c>
      <c r="C2192" s="41">
        <v>45461.0</v>
      </c>
      <c r="D2192" s="40" t="s">
        <v>15675</v>
      </c>
      <c r="E2192" s="41" t="s">
        <v>15676</v>
      </c>
      <c r="F2192" s="43" t="s">
        <v>15677</v>
      </c>
      <c r="G2192" s="43" t="s">
        <v>15678</v>
      </c>
      <c r="H2192" s="51" t="s">
        <v>15679</v>
      </c>
      <c r="I2192" s="15" t="str">
        <f>IFERROR(__xludf.DUMMYFUNCTION("GOOGLETRANSLATE(H2192,""EN"",""ES"")"),"Desarrollo Social")</f>
        <v>Desarrollo Social</v>
      </c>
      <c r="J2192" s="16" t="s">
        <v>27</v>
      </c>
      <c r="K2192" s="17">
        <v>0.0</v>
      </c>
      <c r="L2192" s="45"/>
      <c r="M2192" s="18"/>
      <c r="N2192" s="65"/>
      <c r="O2192" s="65"/>
      <c r="P2192" s="20">
        <v>0.0</v>
      </c>
      <c r="Q2192" s="18"/>
      <c r="R2192" s="18"/>
      <c r="S2192" s="52"/>
      <c r="T2192" s="22"/>
    </row>
    <row r="2193">
      <c r="A2193" s="23" t="s">
        <v>15680</v>
      </c>
      <c r="B2193" s="77" t="s">
        <v>4190</v>
      </c>
      <c r="C2193" s="41">
        <v>45461.0</v>
      </c>
      <c r="D2193" s="40" t="s">
        <v>15681</v>
      </c>
      <c r="E2193" s="41" t="s">
        <v>15682</v>
      </c>
      <c r="F2193" s="43" t="s">
        <v>15683</v>
      </c>
      <c r="G2193" s="43" t="s">
        <v>15684</v>
      </c>
      <c r="H2193" s="51" t="s">
        <v>55</v>
      </c>
      <c r="I2193" s="25" t="str">
        <f>IFERROR(__xludf.DUMMYFUNCTION("GOOGLETRANSLATE(H2193,""EN"",""ES"")"),"deportes de motor")</f>
        <v>deportes de motor</v>
      </c>
      <c r="J2193" s="26" t="s">
        <v>35</v>
      </c>
      <c r="K2193" s="48">
        <v>0.5</v>
      </c>
      <c r="L2193" s="49" t="s">
        <v>15685</v>
      </c>
      <c r="M2193" s="28" t="s">
        <v>15686</v>
      </c>
      <c r="N2193" s="66" t="s">
        <v>15687</v>
      </c>
      <c r="O2193" s="66" t="str">
        <f>IFERROR(__xludf.DUMMYFUNCTION("GOOGLETRANSLATE(N2193,""EN"",""ES"")"),"Mantener pilotos de primer nivel fortalece la presencia de Repsol en MotoGP.")</f>
        <v>Mantener pilotos de primer nivel fortalece la presencia de Repsol en MotoGP.</v>
      </c>
      <c r="P2193" s="30">
        <v>0.0</v>
      </c>
      <c r="Q2193" s="31"/>
      <c r="R2193" s="31"/>
      <c r="S2193" s="53" t="s">
        <v>15688</v>
      </c>
      <c r="T2193" s="32" t="s">
        <v>15689</v>
      </c>
    </row>
    <row r="2194">
      <c r="A2194" s="33" t="s">
        <v>15690</v>
      </c>
      <c r="B2194" s="76" t="s">
        <v>125</v>
      </c>
      <c r="C2194" s="41">
        <v>45461.0</v>
      </c>
      <c r="D2194" s="40" t="s">
        <v>15691</v>
      </c>
      <c r="E2194" s="41" t="s">
        <v>15692</v>
      </c>
      <c r="F2194" s="43" t="s">
        <v>15693</v>
      </c>
      <c r="G2194" s="43" t="s">
        <v>15694</v>
      </c>
      <c r="H2194" s="51" t="s">
        <v>10358</v>
      </c>
      <c r="I2194" s="15" t="str">
        <f>IFERROR(__xludf.DUMMYFUNCTION("GOOGLETRANSLATE(H2194,""EN"",""ES"")"),"Empleo")</f>
        <v>Empleo</v>
      </c>
      <c r="J2194" s="16" t="s">
        <v>27</v>
      </c>
      <c r="K2194" s="17">
        <v>0.0</v>
      </c>
      <c r="L2194" s="45"/>
      <c r="M2194" s="18"/>
      <c r="N2194" s="65"/>
      <c r="O2194" s="65"/>
      <c r="P2194" s="20">
        <v>0.0</v>
      </c>
      <c r="Q2194" s="18"/>
      <c r="R2194" s="18"/>
      <c r="S2194" s="52"/>
      <c r="T2194" s="22"/>
    </row>
    <row r="2195">
      <c r="A2195" s="23" t="s">
        <v>15695</v>
      </c>
      <c r="B2195" s="77" t="s">
        <v>85</v>
      </c>
      <c r="C2195" s="41">
        <v>45461.0</v>
      </c>
      <c r="D2195" s="40" t="s">
        <v>15696</v>
      </c>
      <c r="E2195" s="41" t="s">
        <v>15697</v>
      </c>
      <c r="F2195" s="43" t="s">
        <v>15698</v>
      </c>
      <c r="G2195" s="43" t="s">
        <v>15699</v>
      </c>
      <c r="H2195" s="51" t="s">
        <v>148</v>
      </c>
      <c r="I2195" s="25" t="str">
        <f>IFERROR(__xludf.DUMMYFUNCTION("GOOGLETRANSLATE(H2195,""EN"",""ES"")"),"Gastronomía")</f>
        <v>Gastronomía</v>
      </c>
      <c r="J2195" s="26" t="s">
        <v>27</v>
      </c>
      <c r="K2195" s="17">
        <v>0.0</v>
      </c>
      <c r="L2195" s="54"/>
      <c r="M2195" s="31"/>
      <c r="N2195" s="66"/>
      <c r="O2195" s="66"/>
      <c r="P2195" s="20">
        <v>0.0</v>
      </c>
      <c r="Q2195" s="31"/>
      <c r="R2195" s="31"/>
      <c r="S2195" s="53"/>
      <c r="T2195" s="32"/>
    </row>
    <row r="2196">
      <c r="A2196" s="33" t="s">
        <v>15700</v>
      </c>
      <c r="B2196" s="76" t="s">
        <v>1192</v>
      </c>
      <c r="C2196" s="41">
        <v>45461.0</v>
      </c>
      <c r="D2196" s="40" t="s">
        <v>15701</v>
      </c>
      <c r="E2196" s="41" t="s">
        <v>15702</v>
      </c>
      <c r="F2196" s="43" t="s">
        <v>15703</v>
      </c>
      <c r="G2196" s="43" t="s">
        <v>15704</v>
      </c>
      <c r="H2196" s="51" t="s">
        <v>148</v>
      </c>
      <c r="I2196" s="15" t="str">
        <f>IFERROR(__xludf.DUMMYFUNCTION("GOOGLETRANSLATE(H2196,""EN"",""ES"")"),"Gastronomía")</f>
        <v>Gastronomía</v>
      </c>
      <c r="J2196" s="16" t="s">
        <v>27</v>
      </c>
      <c r="K2196" s="17">
        <v>0.0</v>
      </c>
      <c r="L2196" s="45"/>
      <c r="M2196" s="18"/>
      <c r="N2196" s="65"/>
      <c r="O2196" s="65"/>
      <c r="P2196" s="20">
        <v>0.0</v>
      </c>
      <c r="Q2196" s="18"/>
      <c r="R2196" s="18"/>
      <c r="S2196" s="52"/>
      <c r="T2196" s="22"/>
    </row>
    <row r="2197">
      <c r="A2197" s="23" t="s">
        <v>15705</v>
      </c>
      <c r="B2197" s="77" t="s">
        <v>6835</v>
      </c>
      <c r="C2197" s="41">
        <v>45461.0</v>
      </c>
      <c r="D2197" s="40" t="s">
        <v>15706</v>
      </c>
      <c r="E2197" s="41" t="s">
        <v>15707</v>
      </c>
      <c r="F2197" s="43" t="s">
        <v>15708</v>
      </c>
      <c r="G2197" s="43" t="s">
        <v>15709</v>
      </c>
      <c r="H2197" s="51" t="s">
        <v>148</v>
      </c>
      <c r="I2197" s="25" t="str">
        <f>IFERROR(__xludf.DUMMYFUNCTION("GOOGLETRANSLATE(H2197,""EN"",""ES"")"),"Gastronomía")</f>
        <v>Gastronomía</v>
      </c>
      <c r="J2197" s="26" t="s">
        <v>27</v>
      </c>
      <c r="K2197" s="17">
        <v>0.0</v>
      </c>
      <c r="L2197" s="54"/>
      <c r="M2197" s="31"/>
      <c r="N2197" s="66"/>
      <c r="O2197" s="66"/>
      <c r="P2197" s="20">
        <v>0.0</v>
      </c>
      <c r="Q2197" s="31"/>
      <c r="R2197" s="31"/>
      <c r="S2197" s="53"/>
      <c r="T2197" s="32"/>
    </row>
    <row r="2198">
      <c r="A2198" s="33" t="s">
        <v>15710</v>
      </c>
      <c r="B2198" s="76" t="s">
        <v>1993</v>
      </c>
      <c r="C2198" s="41">
        <v>45461.0</v>
      </c>
      <c r="D2198" s="40" t="s">
        <v>15711</v>
      </c>
      <c r="E2198" s="41" t="s">
        <v>15712</v>
      </c>
      <c r="F2198" s="43" t="s">
        <v>15713</v>
      </c>
      <c r="G2198" s="43" t="s">
        <v>15714</v>
      </c>
      <c r="H2198" s="51" t="s">
        <v>148</v>
      </c>
      <c r="I2198" s="15" t="str">
        <f>IFERROR(__xludf.DUMMYFUNCTION("GOOGLETRANSLATE(H2198,""EN"",""ES"")"),"Gastronomía")</f>
        <v>Gastronomía</v>
      </c>
      <c r="J2198" s="16" t="s">
        <v>27</v>
      </c>
      <c r="K2198" s="17">
        <v>0.0</v>
      </c>
      <c r="L2198" s="45"/>
      <c r="M2198" s="18"/>
      <c r="N2198" s="65"/>
      <c r="O2198" s="65"/>
      <c r="P2198" s="20">
        <v>0.0</v>
      </c>
      <c r="Q2198" s="18"/>
      <c r="R2198" s="18"/>
      <c r="S2198" s="52"/>
      <c r="T2198" s="22"/>
    </row>
    <row r="2199">
      <c r="A2199" s="23" t="s">
        <v>15715</v>
      </c>
      <c r="B2199" s="77" t="s">
        <v>91</v>
      </c>
      <c r="C2199" s="41">
        <v>45461.0</v>
      </c>
      <c r="D2199" s="40" t="s">
        <v>15716</v>
      </c>
      <c r="E2199" s="41" t="s">
        <v>15717</v>
      </c>
      <c r="F2199" s="43" t="s">
        <v>15718</v>
      </c>
      <c r="G2199" s="43" t="s">
        <v>15719</v>
      </c>
      <c r="H2199" s="51" t="s">
        <v>2447</v>
      </c>
      <c r="I2199" s="25" t="str">
        <f>IFERROR(__xludf.DUMMYFUNCTION("GOOGLETRANSLATE(H2199,""EN"",""ES"")"),"Asuntos del Consumidor")</f>
        <v>Asuntos del Consumidor</v>
      </c>
      <c r="J2199" s="26" t="s">
        <v>27</v>
      </c>
      <c r="K2199" s="17">
        <v>0.0</v>
      </c>
      <c r="L2199" s="54"/>
      <c r="M2199" s="31"/>
      <c r="N2199" s="66"/>
      <c r="O2199" s="66"/>
      <c r="P2199" s="20">
        <v>0.0</v>
      </c>
      <c r="Q2199" s="31"/>
      <c r="R2199" s="31"/>
      <c r="S2199" s="53"/>
      <c r="T2199" s="32"/>
    </row>
    <row r="2200">
      <c r="A2200" s="33" t="s">
        <v>15720</v>
      </c>
      <c r="B2200" s="76" t="s">
        <v>21</v>
      </c>
      <c r="C2200" s="41">
        <v>45462.0</v>
      </c>
      <c r="D2200" s="68" t="s">
        <v>15721</v>
      </c>
      <c r="E2200" s="41" t="s">
        <v>15722</v>
      </c>
      <c r="F2200" s="43" t="s">
        <v>15723</v>
      </c>
      <c r="G2200" s="43" t="s">
        <v>15723</v>
      </c>
      <c r="H2200" s="51" t="s">
        <v>5878</v>
      </c>
      <c r="I2200" s="15" t="str">
        <f>IFERROR(__xludf.DUMMYFUNCTION("GOOGLETRANSLATE(H2200,""EN"",""ES"")"),"Entretenimiento")</f>
        <v>Entretenimiento</v>
      </c>
      <c r="J2200" s="16" t="s">
        <v>27</v>
      </c>
      <c r="K2200" s="17">
        <v>0.0</v>
      </c>
      <c r="L2200" s="45"/>
      <c r="M2200" s="18"/>
      <c r="N2200" s="65"/>
      <c r="O2200" s="65"/>
      <c r="P2200" s="20">
        <v>0.0</v>
      </c>
      <c r="Q2200" s="18"/>
      <c r="R2200" s="18"/>
      <c r="S2200" s="52"/>
      <c r="T2200" s="22"/>
    </row>
    <row r="2201">
      <c r="A2201" s="23" t="s">
        <v>15724</v>
      </c>
      <c r="B2201" s="77" t="s">
        <v>15725</v>
      </c>
      <c r="C2201" s="41">
        <v>45462.0</v>
      </c>
      <c r="D2201" s="40" t="s">
        <v>15726</v>
      </c>
      <c r="E2201" s="41" t="s">
        <v>15727</v>
      </c>
      <c r="F2201" s="43" t="s">
        <v>15728</v>
      </c>
      <c r="G2201" s="43" t="s">
        <v>15729</v>
      </c>
      <c r="H2201" s="51" t="s">
        <v>661</v>
      </c>
      <c r="I2201" s="25" t="str">
        <f>IFERROR(__xludf.DUMMYFUNCTION("GOOGLETRANSLATE(H2201,""EN"",""ES"")"),"Estrategia empresarial")</f>
        <v>Estrategia empresarial</v>
      </c>
      <c r="J2201" s="26" t="s">
        <v>35</v>
      </c>
      <c r="K2201" s="48">
        <v>-0.6</v>
      </c>
      <c r="L2201" s="49" t="s">
        <v>15730</v>
      </c>
      <c r="M2201" s="28" t="s">
        <v>15731</v>
      </c>
      <c r="N2201" s="66" t="s">
        <v>15732</v>
      </c>
      <c r="O2201" s="66" t="str">
        <f>IFERROR(__xludf.DUMMYFUNCTION("GOOGLETRANSLATE(N2201,""EN"",""ES"")"),"La salida del mercado mexicano de combustibles puede impactar la estrategia global de Repsol.")</f>
        <v>La salida del mercado mexicano de combustibles puede impactar la estrategia global de Repsol.</v>
      </c>
      <c r="P2201" s="30">
        <v>0.0</v>
      </c>
      <c r="Q2201" s="31"/>
      <c r="R2201" s="31"/>
      <c r="S2201" s="79"/>
      <c r="T2201" s="32"/>
    </row>
    <row r="2202">
      <c r="A2202" s="33" t="s">
        <v>15733</v>
      </c>
      <c r="B2202" s="76" t="s">
        <v>21</v>
      </c>
      <c r="C2202" s="41">
        <v>45462.0</v>
      </c>
      <c r="D2202" s="40" t="s">
        <v>15734</v>
      </c>
      <c r="E2202" s="41" t="s">
        <v>15735</v>
      </c>
      <c r="F2202" s="43" t="s">
        <v>15736</v>
      </c>
      <c r="G2202" s="43" t="s">
        <v>15737</v>
      </c>
      <c r="H2202" s="51" t="s">
        <v>148</v>
      </c>
      <c r="I2202" s="15" t="str">
        <f>IFERROR(__xludf.DUMMYFUNCTION("GOOGLETRANSLATE(H2202,""EN"",""ES"")"),"Gastronomía")</f>
        <v>Gastronomía</v>
      </c>
      <c r="J2202" s="16" t="s">
        <v>27</v>
      </c>
      <c r="K2202" s="17">
        <v>0.0</v>
      </c>
      <c r="L2202" s="45"/>
      <c r="M2202" s="18"/>
      <c r="N2202" s="65"/>
      <c r="O2202" s="65"/>
      <c r="P2202" s="20">
        <v>0.0</v>
      </c>
      <c r="Q2202" s="18"/>
      <c r="R2202" s="18"/>
      <c r="S2202" s="80"/>
      <c r="T2202" s="22"/>
    </row>
    <row r="2203">
      <c r="A2203" s="23" t="s">
        <v>15738</v>
      </c>
      <c r="B2203" s="77" t="s">
        <v>5669</v>
      </c>
      <c r="C2203" s="41">
        <v>45462.0</v>
      </c>
      <c r="D2203" s="40" t="s">
        <v>15739</v>
      </c>
      <c r="E2203" s="41" t="s">
        <v>15740</v>
      </c>
      <c r="F2203" s="43" t="s">
        <v>15741</v>
      </c>
      <c r="G2203" s="43" t="s">
        <v>15742</v>
      </c>
      <c r="H2203" s="51" t="s">
        <v>62</v>
      </c>
      <c r="I2203" s="25" t="str">
        <f>IFERROR(__xludf.DUMMYFUNCTION("GOOGLETRANSLATE(H2203,""EN"",""ES"")"),"Energía")</f>
        <v>Energía</v>
      </c>
      <c r="J2203" s="26" t="s">
        <v>27</v>
      </c>
      <c r="K2203" s="17">
        <v>0.0</v>
      </c>
      <c r="L2203" s="54"/>
      <c r="M2203" s="31"/>
      <c r="N2203" s="66"/>
      <c r="O2203" s="66"/>
      <c r="P2203" s="20">
        <v>0.0</v>
      </c>
      <c r="Q2203" s="31"/>
      <c r="R2203" s="31"/>
      <c r="S2203" s="79"/>
      <c r="T2203" s="32"/>
    </row>
    <row r="2204">
      <c r="A2204" s="33" t="s">
        <v>15743</v>
      </c>
      <c r="B2204" s="76" t="s">
        <v>6555</v>
      </c>
      <c r="C2204" s="41">
        <v>45462.0</v>
      </c>
      <c r="D2204" s="40" t="s">
        <v>15744</v>
      </c>
      <c r="E2204" s="41" t="s">
        <v>15745</v>
      </c>
      <c r="F2204" s="43" t="s">
        <v>15746</v>
      </c>
      <c r="G2204" s="43" t="s">
        <v>15747</v>
      </c>
      <c r="H2204" s="51" t="s">
        <v>148</v>
      </c>
      <c r="I2204" s="15" t="str">
        <f>IFERROR(__xludf.DUMMYFUNCTION("GOOGLETRANSLATE(H2204,""EN"",""ES"")"),"Gastronomía")</f>
        <v>Gastronomía</v>
      </c>
      <c r="J2204" s="16" t="s">
        <v>27</v>
      </c>
      <c r="K2204" s="17">
        <v>0.0</v>
      </c>
      <c r="L2204" s="45"/>
      <c r="M2204" s="18"/>
      <c r="N2204" s="65"/>
      <c r="O2204" s="65"/>
      <c r="P2204" s="20">
        <v>0.0</v>
      </c>
      <c r="Q2204" s="18"/>
      <c r="R2204" s="18"/>
      <c r="S2204" s="80"/>
      <c r="T2204" s="22"/>
    </row>
    <row r="2205">
      <c r="A2205" s="23" t="s">
        <v>15748</v>
      </c>
      <c r="B2205" s="77" t="s">
        <v>15749</v>
      </c>
      <c r="C2205" s="41">
        <v>45462.0</v>
      </c>
      <c r="D2205" s="40" t="s">
        <v>15750</v>
      </c>
      <c r="E2205" s="41" t="s">
        <v>15751</v>
      </c>
      <c r="F2205" s="43" t="s">
        <v>15752</v>
      </c>
      <c r="G2205" s="43" t="s">
        <v>15753</v>
      </c>
      <c r="H2205" s="51" t="s">
        <v>5878</v>
      </c>
      <c r="I2205" s="25" t="str">
        <f>IFERROR(__xludf.DUMMYFUNCTION("GOOGLETRANSLATE(H2205,""EN"",""ES"")"),"Entretenimiento")</f>
        <v>Entretenimiento</v>
      </c>
      <c r="J2205" s="26" t="s">
        <v>27</v>
      </c>
      <c r="K2205" s="17">
        <v>0.0</v>
      </c>
      <c r="L2205" s="54"/>
      <c r="M2205" s="31"/>
      <c r="N2205" s="66"/>
      <c r="O2205" s="66"/>
      <c r="P2205" s="20">
        <v>0.0</v>
      </c>
      <c r="Q2205" s="31"/>
      <c r="R2205" s="31"/>
      <c r="S2205" s="79"/>
      <c r="T2205" s="32"/>
    </row>
    <row r="2206">
      <c r="A2206" s="33" t="s">
        <v>15754</v>
      </c>
      <c r="B2206" s="76" t="s">
        <v>2384</v>
      </c>
      <c r="C2206" s="41">
        <v>45462.0</v>
      </c>
      <c r="D2206" s="40" t="s">
        <v>15755</v>
      </c>
      <c r="E2206" s="41" t="s">
        <v>15756</v>
      </c>
      <c r="F2206" s="43" t="s">
        <v>15757</v>
      </c>
      <c r="G2206" s="43" t="s">
        <v>15758</v>
      </c>
      <c r="H2206" s="51" t="s">
        <v>48</v>
      </c>
      <c r="I2206" s="15" t="str">
        <f>IFERROR(__xludf.DUMMYFUNCTION("GOOGLETRANSLATE(H2206,""EN"",""ES"")"),"Finanzas")</f>
        <v>Finanzas</v>
      </c>
      <c r="J2206" s="16" t="s">
        <v>27</v>
      </c>
      <c r="K2206" s="17">
        <v>0.0</v>
      </c>
      <c r="L2206" s="45"/>
      <c r="M2206" s="18"/>
      <c r="N2206" s="65"/>
      <c r="O2206" s="65"/>
      <c r="P2206" s="20">
        <v>0.0</v>
      </c>
      <c r="Q2206" s="18"/>
      <c r="R2206" s="18"/>
      <c r="S2206" s="80"/>
      <c r="T2206" s="22"/>
    </row>
    <row r="2207">
      <c r="A2207" s="23" t="s">
        <v>15759</v>
      </c>
      <c r="B2207" s="77" t="s">
        <v>1005</v>
      </c>
      <c r="C2207" s="41">
        <v>45462.0</v>
      </c>
      <c r="D2207" s="40" t="s">
        <v>15760</v>
      </c>
      <c r="E2207" s="41" t="s">
        <v>15761</v>
      </c>
      <c r="F2207" s="43" t="s">
        <v>15762</v>
      </c>
      <c r="G2207" s="43" t="s">
        <v>15763</v>
      </c>
      <c r="H2207" s="51" t="s">
        <v>15679</v>
      </c>
      <c r="I2207" s="25" t="str">
        <f>IFERROR(__xludf.DUMMYFUNCTION("GOOGLETRANSLATE(H2207,""EN"",""ES"")"),"Desarrollo Social")</f>
        <v>Desarrollo Social</v>
      </c>
      <c r="J2207" s="26" t="s">
        <v>27</v>
      </c>
      <c r="K2207" s="17">
        <v>0.0</v>
      </c>
      <c r="L2207" s="54"/>
      <c r="M2207" s="31"/>
      <c r="N2207" s="66"/>
      <c r="O2207" s="66"/>
      <c r="P2207" s="20">
        <v>0.0</v>
      </c>
      <c r="Q2207" s="31"/>
      <c r="R2207" s="31"/>
      <c r="S2207" s="79"/>
      <c r="T2207" s="32"/>
    </row>
    <row r="2208">
      <c r="A2208" s="33" t="s">
        <v>15764</v>
      </c>
      <c r="B2208" s="76" t="s">
        <v>91</v>
      </c>
      <c r="C2208" s="41">
        <v>45462.0</v>
      </c>
      <c r="D2208" s="40" t="s">
        <v>15765</v>
      </c>
      <c r="E2208" s="41" t="s">
        <v>15766</v>
      </c>
      <c r="F2208" s="43" t="s">
        <v>15767</v>
      </c>
      <c r="G2208" s="43" t="s">
        <v>15768</v>
      </c>
      <c r="H2208" s="51" t="s">
        <v>15769</v>
      </c>
      <c r="I2208" s="15" t="str">
        <f>IFERROR(__xludf.DUMMYFUNCTION("GOOGLETRANSLATE(H2208,""EN"",""ES"")"),"Ley")</f>
        <v>Ley</v>
      </c>
      <c r="J2208" s="16" t="s">
        <v>27</v>
      </c>
      <c r="K2208" s="17">
        <v>0.0</v>
      </c>
      <c r="L2208" s="45"/>
      <c r="M2208" s="18"/>
      <c r="N2208" s="65"/>
      <c r="O2208" s="65"/>
      <c r="P2208" s="20">
        <v>0.0</v>
      </c>
      <c r="Q2208" s="18"/>
      <c r="R2208" s="18"/>
      <c r="S2208" s="80"/>
      <c r="T2208" s="22"/>
    </row>
    <row r="2209">
      <c r="A2209" s="23" t="s">
        <v>15770</v>
      </c>
      <c r="B2209" s="77" t="s">
        <v>239</v>
      </c>
      <c r="C2209" s="41">
        <v>45462.0</v>
      </c>
      <c r="D2209" s="40" t="s">
        <v>15771</v>
      </c>
      <c r="E2209" s="41" t="s">
        <v>15772</v>
      </c>
      <c r="F2209" s="43" t="s">
        <v>15773</v>
      </c>
      <c r="G2209" s="43" t="s">
        <v>15774</v>
      </c>
      <c r="H2209" s="51" t="s">
        <v>55</v>
      </c>
      <c r="I2209" s="25" t="str">
        <f>IFERROR(__xludf.DUMMYFUNCTION("GOOGLETRANSLATE(H2209,""EN"",""ES"")"),"deportes de motor")</f>
        <v>deportes de motor</v>
      </c>
      <c r="J2209" s="26" t="s">
        <v>27</v>
      </c>
      <c r="K2209" s="17">
        <v>0.0</v>
      </c>
      <c r="L2209" s="54"/>
      <c r="M2209" s="31"/>
      <c r="N2209" s="66"/>
      <c r="O2209" s="66"/>
      <c r="P2209" s="20">
        <v>0.0</v>
      </c>
      <c r="Q2209" s="31"/>
      <c r="R2209" s="31"/>
      <c r="S2209" s="79"/>
      <c r="T2209" s="32"/>
    </row>
    <row r="2210">
      <c r="A2210" s="33" t="s">
        <v>15775</v>
      </c>
      <c r="B2210" s="76" t="s">
        <v>6011</v>
      </c>
      <c r="C2210" s="41">
        <v>45463.0</v>
      </c>
      <c r="D2210" s="40" t="s">
        <v>15776</v>
      </c>
      <c r="E2210" s="41" t="s">
        <v>15777</v>
      </c>
      <c r="F2210" s="43" t="s">
        <v>15778</v>
      </c>
      <c r="G2210" s="43" t="s">
        <v>15779</v>
      </c>
      <c r="H2210" s="51" t="s">
        <v>34</v>
      </c>
      <c r="I2210" s="15" t="str">
        <f>IFERROR(__xludf.DUMMYFUNCTION("GOOGLETRANSLATE(H2210,""EN"",""ES"")"),"Responsabilidad Social Corporativa")</f>
        <v>Responsabilidad Social Corporativa</v>
      </c>
      <c r="J2210" s="16" t="s">
        <v>27</v>
      </c>
      <c r="K2210" s="17">
        <v>0.0</v>
      </c>
      <c r="L2210" s="45"/>
      <c r="M2210" s="18"/>
      <c r="N2210" s="65"/>
      <c r="O2210" s="65"/>
      <c r="P2210" s="20">
        <v>0.0</v>
      </c>
      <c r="Q2210" s="18"/>
      <c r="R2210" s="18"/>
      <c r="S2210" s="80"/>
      <c r="T2210" s="22"/>
    </row>
    <row r="2211">
      <c r="A2211" s="23" t="s">
        <v>15780</v>
      </c>
      <c r="B2211" s="77" t="s">
        <v>163</v>
      </c>
      <c r="C2211" s="41">
        <v>45463.0</v>
      </c>
      <c r="D2211" s="40" t="s">
        <v>15781</v>
      </c>
      <c r="E2211" s="41" t="s">
        <v>15782</v>
      </c>
      <c r="F2211" s="43" t="s">
        <v>15783</v>
      </c>
      <c r="G2211" s="43" t="s">
        <v>15784</v>
      </c>
      <c r="H2211" s="51" t="s">
        <v>130</v>
      </c>
      <c r="I2211" s="25" t="str">
        <f>IFERROR(__xludf.DUMMYFUNCTION("GOOGLETRANSLATE(H2211,""EN"",""ES"")"),"Sostenibilidad")</f>
        <v>Sostenibilidad</v>
      </c>
      <c r="J2211" s="26" t="s">
        <v>35</v>
      </c>
      <c r="K2211" s="48">
        <v>0.7</v>
      </c>
      <c r="L2211" s="49" t="s">
        <v>15785</v>
      </c>
      <c r="M2211" s="28" t="s">
        <v>15786</v>
      </c>
      <c r="N2211" s="66" t="s">
        <v>15787</v>
      </c>
      <c r="O2211" s="66" t="str">
        <f>IFERROR(__xludf.DUMMYFUNCTION("GOOGLETRANSLATE(N2211,""EN"",""ES"")"),"Mejorar la sostenibilidad de los productos se alinea con las iniciativas verdes de Repsol.")</f>
        <v>Mejorar la sostenibilidad de los productos se alinea con las iniciativas verdes de Repsol.</v>
      </c>
      <c r="P2211" s="30">
        <v>0.0</v>
      </c>
      <c r="Q2211" s="31"/>
      <c r="R2211" s="31"/>
      <c r="S2211" s="79"/>
      <c r="T2211" s="32"/>
    </row>
    <row r="2212">
      <c r="A2212" s="33" t="s">
        <v>15788</v>
      </c>
      <c r="B2212" s="76" t="s">
        <v>8884</v>
      </c>
      <c r="C2212" s="41">
        <v>45463.0</v>
      </c>
      <c r="D2212" s="40" t="s">
        <v>15789</v>
      </c>
      <c r="E2212" s="41" t="s">
        <v>15790</v>
      </c>
      <c r="F2212" s="43" t="s">
        <v>15791</v>
      </c>
      <c r="G2212" s="43" t="s">
        <v>15792</v>
      </c>
      <c r="H2212" s="51" t="s">
        <v>408</v>
      </c>
      <c r="I2212" s="15" t="str">
        <f>IFERROR(__xludf.DUMMYFUNCTION("GOOGLETRANSLATE(H2212,""EN"",""ES"")"),"Legal")</f>
        <v>Legal</v>
      </c>
      <c r="J2212" s="16" t="s">
        <v>35</v>
      </c>
      <c r="K2212" s="48">
        <v>-0.5</v>
      </c>
      <c r="L2212" s="51" t="s">
        <v>15793</v>
      </c>
      <c r="M2212" s="34" t="s">
        <v>15794</v>
      </c>
      <c r="N2212" s="65" t="s">
        <v>15795</v>
      </c>
      <c r="O2212" s="65" t="str">
        <f>IFERROR(__xludf.DUMMYFUNCTION("GOOGLETRANSLATE(N2212,""EN"",""ES"")"),"Evitar debates sobre el lavado verde puede generar preocupaciones sobre la transparencia de Repsol.")</f>
        <v>Evitar debates sobre el lavado verde puede generar preocupaciones sobre la transparencia de Repsol.</v>
      </c>
      <c r="P2212" s="30">
        <v>0.0</v>
      </c>
      <c r="Q2212" s="18"/>
      <c r="R2212" s="18"/>
      <c r="S2212" s="80"/>
      <c r="T2212" s="22"/>
    </row>
    <row r="2213">
      <c r="A2213" s="23" t="s">
        <v>15796</v>
      </c>
      <c r="B2213" s="77" t="s">
        <v>85</v>
      </c>
      <c r="C2213" s="41">
        <v>45463.0</v>
      </c>
      <c r="D2213" s="40" t="s">
        <v>15797</v>
      </c>
      <c r="E2213" s="41" t="s">
        <v>15798</v>
      </c>
      <c r="F2213" s="43" t="s">
        <v>15799</v>
      </c>
      <c r="G2213" s="43" t="s">
        <v>15800</v>
      </c>
      <c r="H2213" s="51" t="s">
        <v>130</v>
      </c>
      <c r="I2213" s="25" t="str">
        <f>IFERROR(__xludf.DUMMYFUNCTION("GOOGLETRANSLATE(H2213,""EN"",""ES"")"),"Sostenibilidad")</f>
        <v>Sostenibilidad</v>
      </c>
      <c r="J2213" s="26" t="s">
        <v>35</v>
      </c>
      <c r="K2213" s="48">
        <v>0.5</v>
      </c>
      <c r="L2213" s="49" t="s">
        <v>15801</v>
      </c>
      <c r="M2213" s="28" t="s">
        <v>15802</v>
      </c>
      <c r="N2213" s="66" t="s">
        <v>15803</v>
      </c>
      <c r="O2213" s="66" t="str">
        <f>IFERROR(__xludf.DUMMYFUNCTION("GOOGLETRANSLATE(N2213,""EN"",""ES"")"),"Manifestar cautela con la energía del hidrógeno puede afectar la imagen renovable de Repsol.")</f>
        <v>Manifestar cautela con la energía del hidrógeno puede afectar la imagen renovable de Repsol.</v>
      </c>
      <c r="P2213" s="30">
        <v>0.0</v>
      </c>
      <c r="Q2213" s="31"/>
      <c r="R2213" s="31"/>
      <c r="S2213" s="79"/>
      <c r="T2213" s="32"/>
    </row>
    <row r="2214">
      <c r="A2214" s="33" t="s">
        <v>15804</v>
      </c>
      <c r="B2214" s="76" t="s">
        <v>15805</v>
      </c>
      <c r="C2214" s="41">
        <v>45463.0</v>
      </c>
      <c r="D2214" s="40" t="s">
        <v>15806</v>
      </c>
      <c r="E2214" s="41" t="s">
        <v>15807</v>
      </c>
      <c r="F2214" s="43" t="s">
        <v>15808</v>
      </c>
      <c r="G2214" s="43" t="s">
        <v>15809</v>
      </c>
      <c r="H2214" s="51" t="s">
        <v>155</v>
      </c>
      <c r="I2214" s="15" t="str">
        <f>IFERROR(__xludf.DUMMYFUNCTION("GOOGLETRANSLATE(H2214,""EN"",""ES"")"),"Marketing")</f>
        <v>Marketing</v>
      </c>
      <c r="J2214" s="16" t="s">
        <v>27</v>
      </c>
      <c r="K2214" s="17">
        <v>0.0</v>
      </c>
      <c r="L2214" s="45"/>
      <c r="M2214" s="18"/>
      <c r="N2214" s="65"/>
      <c r="O2214" s="65"/>
      <c r="P2214" s="20">
        <v>0.0</v>
      </c>
      <c r="Q2214" s="18"/>
      <c r="R2214" s="18"/>
      <c r="S2214" s="80"/>
      <c r="T2214" s="22"/>
    </row>
    <row r="2215">
      <c r="A2215" s="23" t="s">
        <v>15810</v>
      </c>
      <c r="B2215" s="77" t="s">
        <v>499</v>
      </c>
      <c r="C2215" s="41">
        <v>45463.0</v>
      </c>
      <c r="D2215" s="40" t="s">
        <v>15811</v>
      </c>
      <c r="E2215" s="41" t="s">
        <v>15812</v>
      </c>
      <c r="F2215" s="43" t="s">
        <v>15813</v>
      </c>
      <c r="G2215" s="43" t="s">
        <v>15814</v>
      </c>
      <c r="H2215" s="51" t="s">
        <v>661</v>
      </c>
      <c r="I2215" s="25" t="str">
        <f>IFERROR(__xludf.DUMMYFUNCTION("GOOGLETRANSLATE(H2215,""EN"",""ES"")"),"Estrategia empresarial")</f>
        <v>Estrategia empresarial</v>
      </c>
      <c r="J2215" s="26" t="s">
        <v>35</v>
      </c>
      <c r="K2215" s="48">
        <v>0.6</v>
      </c>
      <c r="L2215" s="49" t="s">
        <v>15815</v>
      </c>
      <c r="M2215" s="28" t="s">
        <v>15816</v>
      </c>
      <c r="N2215" s="66" t="s">
        <v>15817</v>
      </c>
      <c r="O2215" s="66" t="str">
        <f>IFERROR(__xludf.DUMMYFUNCTION("GOOGLETRANSLATE(N2215,""EN"",""ES"")"),"Impulsar la inversión en los mercados nacionales se alinea con la estrategia económica de Repsol.")</f>
        <v>Impulsar la inversión en los mercados nacionales se alinea con la estrategia económica de Repsol.</v>
      </c>
      <c r="P2215" s="30">
        <v>0.0</v>
      </c>
      <c r="Q2215" s="31"/>
      <c r="R2215" s="31"/>
      <c r="S2215" s="79"/>
      <c r="T2215" s="32"/>
    </row>
    <row r="2216">
      <c r="A2216" s="33" t="s">
        <v>15818</v>
      </c>
      <c r="B2216" s="76" t="s">
        <v>626</v>
      </c>
      <c r="C2216" s="41">
        <v>45463.0</v>
      </c>
      <c r="D2216" s="40" t="s">
        <v>15819</v>
      </c>
      <c r="E2216" s="41" t="s">
        <v>15820</v>
      </c>
      <c r="F2216" s="43" t="s">
        <v>15821</v>
      </c>
      <c r="G2216" s="43" t="s">
        <v>15822</v>
      </c>
      <c r="H2216" s="51" t="s">
        <v>408</v>
      </c>
      <c r="I2216" s="15" t="str">
        <f>IFERROR(__xludf.DUMMYFUNCTION("GOOGLETRANSLATE(H2216,""EN"",""ES"")"),"Legal")</f>
        <v>Legal</v>
      </c>
      <c r="J2216" s="16" t="s">
        <v>35</v>
      </c>
      <c r="K2216" s="48">
        <v>-0.5</v>
      </c>
      <c r="L2216" s="51" t="s">
        <v>15823</v>
      </c>
      <c r="M2216" s="34" t="s">
        <v>15824</v>
      </c>
      <c r="N2216" s="65" t="s">
        <v>15825</v>
      </c>
      <c r="O2216" s="65" t="str">
        <f>IFERROR(__xludf.DUMMYFUNCTION("GOOGLETRANSLATE(N2216,""EN"",""ES"")"),"Los enfrentamientos políticos pueden generar publicidad negativa para Repsol.")</f>
        <v>Los enfrentamientos políticos pueden generar publicidad negativa para Repsol.</v>
      </c>
      <c r="P2216" s="30">
        <v>0.0</v>
      </c>
      <c r="Q2216" s="18"/>
      <c r="R2216" s="18"/>
      <c r="S2216" s="80"/>
      <c r="T2216" s="22"/>
    </row>
    <row r="2217">
      <c r="A2217" s="23" t="s">
        <v>15826</v>
      </c>
      <c r="B2217" s="77" t="s">
        <v>15827</v>
      </c>
      <c r="C2217" s="41">
        <v>45463.0</v>
      </c>
      <c r="D2217" s="40" t="s">
        <v>15828</v>
      </c>
      <c r="E2217" s="41" t="s">
        <v>15829</v>
      </c>
      <c r="F2217" s="43" t="s">
        <v>15830</v>
      </c>
      <c r="G2217" s="43" t="s">
        <v>15831</v>
      </c>
      <c r="H2217" s="51" t="s">
        <v>661</v>
      </c>
      <c r="I2217" s="25" t="str">
        <f>IFERROR(__xludf.DUMMYFUNCTION("GOOGLETRANSLATE(H2217,""EN"",""ES"")"),"Estrategia empresarial")</f>
        <v>Estrategia empresarial</v>
      </c>
      <c r="J2217" s="26" t="s">
        <v>27</v>
      </c>
      <c r="K2217" s="17">
        <v>0.0</v>
      </c>
      <c r="L2217" s="54"/>
      <c r="M2217" s="31"/>
      <c r="N2217" s="66"/>
      <c r="O2217" s="66"/>
      <c r="P2217" s="20">
        <v>0.0</v>
      </c>
      <c r="Q2217" s="31"/>
      <c r="R2217" s="31"/>
      <c r="S2217" s="79"/>
      <c r="T2217" s="32"/>
    </row>
    <row r="2218">
      <c r="A2218" s="33" t="s">
        <v>15832</v>
      </c>
      <c r="B2218" s="76" t="s">
        <v>1831</v>
      </c>
      <c r="C2218" s="41">
        <v>45463.0</v>
      </c>
      <c r="D2218" s="40" t="s">
        <v>15833</v>
      </c>
      <c r="E2218" s="41" t="s">
        <v>15834</v>
      </c>
      <c r="F2218" s="43" t="s">
        <v>15835</v>
      </c>
      <c r="G2218" s="43" t="s">
        <v>15836</v>
      </c>
      <c r="H2218" s="51" t="s">
        <v>661</v>
      </c>
      <c r="I2218" s="15" t="str">
        <f>IFERROR(__xludf.DUMMYFUNCTION("GOOGLETRANSLATE(H2218,""EN"",""ES"")"),"Estrategia empresarial")</f>
        <v>Estrategia empresarial</v>
      </c>
      <c r="J2218" s="16" t="s">
        <v>35</v>
      </c>
      <c r="K2218" s="48">
        <v>0.5</v>
      </c>
      <c r="L2218" s="51" t="s">
        <v>15837</v>
      </c>
      <c r="M2218" s="34" t="s">
        <v>15838</v>
      </c>
      <c r="N2218" s="65" t="s">
        <v>15839</v>
      </c>
      <c r="O2218" s="65" t="str">
        <f>IFERROR(__xludf.DUMMYFUNCTION("GOOGLETRANSLATE(N2218,""EN"",""ES"")"),"Destacar las preocupaciones regulatorias respalda los esfuerzos de lobby de Repsol.")</f>
        <v>Destacar las preocupaciones regulatorias respalda los esfuerzos de lobby de Repsol.</v>
      </c>
      <c r="P2218" s="30">
        <v>0.0</v>
      </c>
      <c r="Q2218" s="18"/>
      <c r="R2218" s="18"/>
      <c r="S2218" s="80"/>
      <c r="T2218" s="22"/>
    </row>
    <row r="2219">
      <c r="A2219" s="23" t="s">
        <v>15840</v>
      </c>
      <c r="B2219" s="77" t="s">
        <v>614</v>
      </c>
      <c r="C2219" s="41">
        <v>45463.0</v>
      </c>
      <c r="D2219" s="40" t="s">
        <v>15841</v>
      </c>
      <c r="E2219" s="41" t="s">
        <v>15842</v>
      </c>
      <c r="F2219" s="43" t="s">
        <v>15843</v>
      </c>
      <c r="G2219" s="43" t="s">
        <v>15844</v>
      </c>
      <c r="H2219" s="51" t="s">
        <v>130</v>
      </c>
      <c r="I2219" s="25" t="str">
        <f>IFERROR(__xludf.DUMMYFUNCTION("GOOGLETRANSLATE(H2219,""EN"",""ES"")"),"Sostenibilidad")</f>
        <v>Sostenibilidad</v>
      </c>
      <c r="J2219" s="26" t="s">
        <v>35</v>
      </c>
      <c r="K2219" s="48">
        <v>0.6</v>
      </c>
      <c r="L2219" s="49" t="s">
        <v>12857</v>
      </c>
      <c r="M2219" s="28" t="s">
        <v>12858</v>
      </c>
      <c r="N2219" s="66" t="s">
        <v>15845</v>
      </c>
      <c r="O2219" s="66" t="str">
        <f>IFERROR(__xludf.DUMMYFUNCTION("GOOGLETRANSLATE(N2219,""EN"",""ES"")"),"Abogar por soluciones energéticas diversas se alinea con los objetivos de transición de Repsol.")</f>
        <v>Abogar por soluciones energéticas diversas se alinea con los objetivos de transición de Repsol.</v>
      </c>
      <c r="P2219" s="30">
        <v>0.0</v>
      </c>
      <c r="Q2219" s="31"/>
      <c r="R2219" s="31"/>
      <c r="S2219" s="79"/>
      <c r="T2219" s="32"/>
    </row>
    <row r="2220">
      <c r="A2220" s="71" t="s">
        <v>15846</v>
      </c>
      <c r="B2220" s="76" t="s">
        <v>11766</v>
      </c>
      <c r="C2220" s="41">
        <v>45463.0</v>
      </c>
      <c r="D2220" s="40" t="s">
        <v>15847</v>
      </c>
      <c r="E2220" s="41" t="s">
        <v>15848</v>
      </c>
      <c r="F2220" s="43" t="s">
        <v>15849</v>
      </c>
      <c r="G2220" s="43" t="s">
        <v>15850</v>
      </c>
      <c r="H2220" s="51" t="s">
        <v>34</v>
      </c>
      <c r="I2220" s="15" t="str">
        <f>IFERROR(__xludf.DUMMYFUNCTION("GOOGLETRANSLATE(H2220,""EN"",""ES"")"),"Responsabilidad Social Corporativa")</f>
        <v>Responsabilidad Social Corporativa</v>
      </c>
      <c r="J2220" s="16" t="s">
        <v>27</v>
      </c>
      <c r="K2220" s="17">
        <v>0.0</v>
      </c>
      <c r="L2220" s="45"/>
      <c r="M2220" s="18"/>
      <c r="N2220" s="65"/>
      <c r="O2220" s="65"/>
      <c r="P2220" s="20">
        <v>0.0</v>
      </c>
      <c r="Q2220" s="18"/>
      <c r="R2220" s="18"/>
      <c r="S2220" s="80"/>
      <c r="T2220" s="22"/>
    </row>
    <row r="2221">
      <c r="A2221" s="23" t="s">
        <v>15851</v>
      </c>
      <c r="B2221" s="77" t="s">
        <v>2672</v>
      </c>
      <c r="C2221" s="41">
        <v>45464.0</v>
      </c>
      <c r="D2221" s="40" t="s">
        <v>15852</v>
      </c>
      <c r="E2221" s="41" t="s">
        <v>15853</v>
      </c>
      <c r="F2221" s="43" t="s">
        <v>15854</v>
      </c>
      <c r="G2221" s="43" t="s">
        <v>15855</v>
      </c>
      <c r="H2221" s="51" t="s">
        <v>34</v>
      </c>
      <c r="I2221" s="25" t="str">
        <f>IFERROR(__xludf.DUMMYFUNCTION("GOOGLETRANSLATE(H2221,""EN"",""ES"")"),"Responsabilidad Social Corporativa")</f>
        <v>Responsabilidad Social Corporativa</v>
      </c>
      <c r="J2221" s="26" t="s">
        <v>27</v>
      </c>
      <c r="K2221" s="17">
        <v>0.0</v>
      </c>
      <c r="L2221" s="54"/>
      <c r="M2221" s="31"/>
      <c r="N2221" s="66"/>
      <c r="O2221" s="66"/>
      <c r="P2221" s="20">
        <v>0.0</v>
      </c>
      <c r="Q2221" s="31"/>
      <c r="R2221" s="31"/>
      <c r="S2221" s="79"/>
      <c r="T2221" s="32"/>
    </row>
    <row r="2222">
      <c r="A2222" s="33" t="s">
        <v>15856</v>
      </c>
      <c r="B2222" s="76" t="s">
        <v>15857</v>
      </c>
      <c r="C2222" s="41">
        <v>45464.0</v>
      </c>
      <c r="D2222" s="40" t="s">
        <v>15858</v>
      </c>
      <c r="E2222" s="41" t="s">
        <v>15859</v>
      </c>
      <c r="F2222" s="43" t="s">
        <v>15860</v>
      </c>
      <c r="G2222" s="43" t="s">
        <v>15861</v>
      </c>
      <c r="H2222" s="51" t="s">
        <v>130</v>
      </c>
      <c r="I2222" s="15" t="str">
        <f>IFERROR(__xludf.DUMMYFUNCTION("GOOGLETRANSLATE(H2222,""EN"",""ES"")"),"Sostenibilidad")</f>
        <v>Sostenibilidad</v>
      </c>
      <c r="J2222" s="16" t="s">
        <v>35</v>
      </c>
      <c r="K2222" s="48">
        <v>0.7</v>
      </c>
      <c r="L2222" s="51" t="s">
        <v>12580</v>
      </c>
      <c r="M2222" s="34" t="s">
        <v>12581</v>
      </c>
      <c r="N2222" s="65" t="s">
        <v>15862</v>
      </c>
      <c r="O2222" s="65" t="str">
        <f>IFERROR(__xludf.DUMMYFUNCTION("GOOGLETRANSLATE(N2222,""EN"",""ES"")"),"Avanzar en los ensayos de combustibles renovables refuerza la estrategia de energías limpias de Repsol.")</f>
        <v>Avanzar en los ensayos de combustibles renovables refuerza la estrategia de energías limpias de Repsol.</v>
      </c>
      <c r="P2222" s="30">
        <v>0.0</v>
      </c>
      <c r="Q2222" s="18"/>
      <c r="R2222" s="18"/>
      <c r="S2222" s="80"/>
      <c r="T2222" s="22"/>
    </row>
    <row r="2223">
      <c r="A2223" s="23" t="s">
        <v>15863</v>
      </c>
      <c r="B2223" s="77" t="s">
        <v>952</v>
      </c>
      <c r="C2223" s="41">
        <v>45464.0</v>
      </c>
      <c r="D2223" s="40" t="s">
        <v>15864</v>
      </c>
      <c r="E2223" s="41" t="s">
        <v>15865</v>
      </c>
      <c r="F2223" s="43" t="s">
        <v>15866</v>
      </c>
      <c r="G2223" s="43" t="s">
        <v>15867</v>
      </c>
      <c r="H2223" s="51" t="s">
        <v>34</v>
      </c>
      <c r="I2223" s="25" t="str">
        <f>IFERROR(__xludf.DUMMYFUNCTION("GOOGLETRANSLATE(H2223,""EN"",""ES"")"),"Responsabilidad Social Corporativa")</f>
        <v>Responsabilidad Social Corporativa</v>
      </c>
      <c r="J2223" s="26" t="s">
        <v>27</v>
      </c>
      <c r="K2223" s="17">
        <v>0.0</v>
      </c>
      <c r="L2223" s="54"/>
      <c r="M2223" s="31"/>
      <c r="N2223" s="66"/>
      <c r="O2223" s="66"/>
      <c r="P2223" s="20">
        <v>0.0</v>
      </c>
      <c r="Q2223" s="31"/>
      <c r="R2223" s="31"/>
      <c r="S2223" s="79"/>
      <c r="T2223" s="32"/>
    </row>
    <row r="2224">
      <c r="A2224" s="33" t="s">
        <v>15868</v>
      </c>
      <c r="B2224" s="76" t="s">
        <v>499</v>
      </c>
      <c r="C2224" s="41">
        <v>45464.0</v>
      </c>
      <c r="D2224" s="40" t="s">
        <v>15869</v>
      </c>
      <c r="E2224" s="41" t="s">
        <v>15870</v>
      </c>
      <c r="F2224" s="43" t="s">
        <v>15871</v>
      </c>
      <c r="G2224" s="43" t="s">
        <v>15872</v>
      </c>
      <c r="H2224" s="51" t="s">
        <v>661</v>
      </c>
      <c r="I2224" s="15" t="str">
        <f>IFERROR(__xludf.DUMMYFUNCTION("GOOGLETRANSLATE(H2224,""EN"",""ES"")"),"Estrategia empresarial")</f>
        <v>Estrategia empresarial</v>
      </c>
      <c r="J2224" s="16" t="s">
        <v>35</v>
      </c>
      <c r="K2224" s="48">
        <v>0.5</v>
      </c>
      <c r="L2224" s="51" t="s">
        <v>15873</v>
      </c>
      <c r="M2224" s="34" t="s">
        <v>15874</v>
      </c>
      <c r="N2224" s="65" t="s">
        <v>15875</v>
      </c>
      <c r="O2224" s="65" t="str">
        <f>IFERROR(__xludf.DUMMYFUNCTION("GOOGLETRANSLATE(N2224,""EN"",""ES"")"),"Abordar las preocupaciones industriales se alinea con la defensa económica de Repsol.")</f>
        <v>Abordar las preocupaciones industriales se alinea con la defensa económica de Repsol.</v>
      </c>
      <c r="P2224" s="30">
        <v>0.0</v>
      </c>
      <c r="Q2224" s="18"/>
      <c r="R2224" s="18"/>
      <c r="S2224" s="80"/>
      <c r="T2224" s="22"/>
    </row>
    <row r="2225">
      <c r="A2225" s="23" t="s">
        <v>15876</v>
      </c>
      <c r="B2225" s="77" t="s">
        <v>5525</v>
      </c>
      <c r="C2225" s="41">
        <v>45464.0</v>
      </c>
      <c r="D2225" s="40" t="s">
        <v>15877</v>
      </c>
      <c r="E2225" s="41" t="s">
        <v>15878</v>
      </c>
      <c r="F2225" s="43" t="s">
        <v>15879</v>
      </c>
      <c r="G2225" s="43" t="s">
        <v>15880</v>
      </c>
      <c r="H2225" s="51" t="s">
        <v>48</v>
      </c>
      <c r="I2225" s="25" t="str">
        <f>IFERROR(__xludf.DUMMYFUNCTION("GOOGLETRANSLATE(H2225,""EN"",""ES"")"),"Finanzas")</f>
        <v>Finanzas</v>
      </c>
      <c r="J2225" s="26" t="s">
        <v>35</v>
      </c>
      <c r="K2225" s="48">
        <v>0.7</v>
      </c>
      <c r="L2225" s="49" t="s">
        <v>15881</v>
      </c>
      <c r="M2225" s="28" t="s">
        <v>15882</v>
      </c>
      <c r="N2225" s="66" t="s">
        <v>15883</v>
      </c>
      <c r="O2225" s="66" t="str">
        <f>IFERROR(__xludf.DUMMYFUNCTION("GOOGLETRANSLATE(N2225,""EN"",""ES"")"),"La positiva evolución del mercado refuerza la estabilidad financiera de Repsol.")</f>
        <v>La positiva evolución del mercado refuerza la estabilidad financiera de Repsol.</v>
      </c>
      <c r="P2225" s="30">
        <v>0.0</v>
      </c>
      <c r="Q2225" s="31"/>
      <c r="R2225" s="31"/>
      <c r="S2225" s="79"/>
      <c r="T2225" s="32"/>
    </row>
    <row r="2226">
      <c r="A2226" s="33" t="s">
        <v>15884</v>
      </c>
      <c r="B2226" s="76" t="s">
        <v>1660</v>
      </c>
      <c r="C2226" s="41">
        <v>45464.0</v>
      </c>
      <c r="D2226" s="40" t="s">
        <v>15885</v>
      </c>
      <c r="E2226" s="41" t="s">
        <v>15886</v>
      </c>
      <c r="F2226" s="43" t="s">
        <v>15887</v>
      </c>
      <c r="G2226" s="43" t="s">
        <v>15888</v>
      </c>
      <c r="H2226" s="51" t="s">
        <v>130</v>
      </c>
      <c r="I2226" s="15" t="str">
        <f>IFERROR(__xludf.DUMMYFUNCTION("GOOGLETRANSLATE(H2226,""EN"",""ES"")"),"Sostenibilidad")</f>
        <v>Sostenibilidad</v>
      </c>
      <c r="J2226" s="16" t="s">
        <v>35</v>
      </c>
      <c r="K2226" s="48">
        <v>0.7</v>
      </c>
      <c r="L2226" s="51" t="s">
        <v>12580</v>
      </c>
      <c r="M2226" s="34" t="s">
        <v>12581</v>
      </c>
      <c r="N2226" s="65" t="s">
        <v>15889</v>
      </c>
      <c r="O2226" s="65" t="str">
        <f>IFERROR(__xludf.DUMMYFUNCTION("GOOGLETRANSLATE(N2226,""EN"",""ES"")"),"Ser pioneros en la descarbonización marítima se alinea con los compromisos de energías limpias de Repsol.")</f>
        <v>Ser pioneros en la descarbonización marítima se alinea con los compromisos de energías limpias de Repsol.</v>
      </c>
      <c r="P2226" s="30">
        <v>0.0</v>
      </c>
      <c r="Q2226" s="18"/>
      <c r="R2226" s="18"/>
      <c r="S2226" s="80"/>
      <c r="T2226" s="22"/>
    </row>
    <row r="2227">
      <c r="A2227" s="23" t="s">
        <v>15890</v>
      </c>
      <c r="B2227" s="77" t="s">
        <v>1005</v>
      </c>
      <c r="C2227" s="41">
        <v>45464.0</v>
      </c>
      <c r="D2227" s="40" t="s">
        <v>15891</v>
      </c>
      <c r="E2227" s="41" t="s">
        <v>15892</v>
      </c>
      <c r="F2227" s="43" t="s">
        <v>15893</v>
      </c>
      <c r="G2227" s="43" t="s">
        <v>15894</v>
      </c>
      <c r="H2227" s="51" t="s">
        <v>34</v>
      </c>
      <c r="I2227" s="25" t="str">
        <f>IFERROR(__xludf.DUMMYFUNCTION("GOOGLETRANSLATE(H2227,""EN"",""ES"")"),"Responsabilidad Social Corporativa")</f>
        <v>Responsabilidad Social Corporativa</v>
      </c>
      <c r="J2227" s="26" t="s">
        <v>27</v>
      </c>
      <c r="K2227" s="17">
        <v>0.0</v>
      </c>
      <c r="L2227" s="54"/>
      <c r="M2227" s="31"/>
      <c r="N2227" s="66"/>
      <c r="O2227" s="66"/>
      <c r="P2227" s="20">
        <v>0.0</v>
      </c>
      <c r="Q2227" s="31"/>
      <c r="R2227" s="31"/>
      <c r="S2227" s="79"/>
      <c r="T2227" s="32"/>
    </row>
    <row r="2228">
      <c r="A2228" s="33" t="s">
        <v>15895</v>
      </c>
      <c r="B2228" s="76" t="s">
        <v>9404</v>
      </c>
      <c r="C2228" s="41">
        <v>45464.0</v>
      </c>
      <c r="D2228" s="40" t="s">
        <v>15896</v>
      </c>
      <c r="E2228" s="41" t="s">
        <v>15897</v>
      </c>
      <c r="F2228" s="43" t="s">
        <v>15898</v>
      </c>
      <c r="G2228" s="43" t="s">
        <v>15899</v>
      </c>
      <c r="H2228" s="51" t="s">
        <v>661</v>
      </c>
      <c r="I2228" s="15" t="str">
        <f>IFERROR(__xludf.DUMMYFUNCTION("GOOGLETRANSLATE(H2228,""EN"",""ES"")"),"Estrategia empresarial")</f>
        <v>Estrategia empresarial</v>
      </c>
      <c r="J2228" s="16" t="s">
        <v>35</v>
      </c>
      <c r="K2228" s="48">
        <v>0.6</v>
      </c>
      <c r="L2228" s="51" t="s">
        <v>15900</v>
      </c>
      <c r="M2228" s="34" t="s">
        <v>15901</v>
      </c>
      <c r="N2228" s="65" t="s">
        <v>15902</v>
      </c>
      <c r="O2228" s="65" t="str">
        <f>IFERROR(__xludf.DUMMYFUNCTION("GOOGLETRANSLATE(N2228,""EN"",""ES"")"),"La inversión en expansión industrial refuerza la presencia de Repsol en el mercado.")</f>
        <v>La inversión en expansión industrial refuerza la presencia de Repsol en el mercado.</v>
      </c>
      <c r="P2228" s="30">
        <v>0.0</v>
      </c>
      <c r="Q2228" s="18"/>
      <c r="R2228" s="18"/>
      <c r="S2228" s="80"/>
      <c r="T2228" s="22"/>
    </row>
    <row r="2229">
      <c r="A2229" s="23" t="s">
        <v>15903</v>
      </c>
      <c r="B2229" s="77" t="s">
        <v>21</v>
      </c>
      <c r="C2229" s="41">
        <v>45464.0</v>
      </c>
      <c r="D2229" s="40" t="s">
        <v>15904</v>
      </c>
      <c r="E2229" s="41" t="s">
        <v>6574</v>
      </c>
      <c r="F2229" s="43" t="s">
        <v>15905</v>
      </c>
      <c r="G2229" s="43" t="s">
        <v>6576</v>
      </c>
      <c r="H2229" s="51" t="s">
        <v>5878</v>
      </c>
      <c r="I2229" s="25" t="str">
        <f>IFERROR(__xludf.DUMMYFUNCTION("GOOGLETRANSLATE(H2229,""EN"",""ES"")"),"Entretenimiento")</f>
        <v>Entretenimiento</v>
      </c>
      <c r="J2229" s="26" t="s">
        <v>27</v>
      </c>
      <c r="K2229" s="17">
        <v>0.0</v>
      </c>
      <c r="L2229" s="54"/>
      <c r="M2229" s="31"/>
      <c r="N2229" s="66"/>
      <c r="O2229" s="66"/>
      <c r="P2229" s="20">
        <v>0.0</v>
      </c>
      <c r="Q2229" s="31"/>
      <c r="R2229" s="31"/>
      <c r="S2229" s="79"/>
      <c r="T2229" s="32"/>
    </row>
    <row r="2230">
      <c r="A2230" s="33" t="s">
        <v>15906</v>
      </c>
      <c r="B2230" s="76" t="s">
        <v>626</v>
      </c>
      <c r="C2230" s="41">
        <v>45464.0</v>
      </c>
      <c r="D2230" s="40" t="s">
        <v>15907</v>
      </c>
      <c r="E2230" s="41" t="s">
        <v>15908</v>
      </c>
      <c r="F2230" s="43" t="s">
        <v>15909</v>
      </c>
      <c r="G2230" s="43" t="s">
        <v>15910</v>
      </c>
      <c r="H2230" s="51" t="s">
        <v>661</v>
      </c>
      <c r="I2230" s="15" t="str">
        <f>IFERROR(__xludf.DUMMYFUNCTION("GOOGLETRANSLATE(H2230,""EN"",""ES"")"),"Estrategia empresarial")</f>
        <v>Estrategia empresarial</v>
      </c>
      <c r="J2230" s="16" t="s">
        <v>35</v>
      </c>
      <c r="K2230" s="48">
        <v>0.5</v>
      </c>
      <c r="L2230" s="51" t="s">
        <v>15911</v>
      </c>
      <c r="M2230" s="34" t="s">
        <v>15912</v>
      </c>
      <c r="N2230" s="65" t="s">
        <v>15913</v>
      </c>
      <c r="O2230" s="65" t="str">
        <f>IFERROR(__xludf.DUMMYFUNCTION("GOOGLETRANSLATE(N2230,""EN"",""ES"")"),"Abogar por políticas económicas se alinea con los intereses corporativos de Repsol.")</f>
        <v>Abogar por políticas económicas se alinea con los intereses corporativos de Repsol.</v>
      </c>
      <c r="P2230" s="30">
        <v>0.0</v>
      </c>
      <c r="Q2230" s="18"/>
      <c r="R2230" s="18"/>
      <c r="S2230" s="80"/>
      <c r="T2230" s="22"/>
    </row>
    <row r="2231">
      <c r="A2231" s="37" t="s">
        <v>15914</v>
      </c>
      <c r="B2231" s="77" t="s">
        <v>3320</v>
      </c>
      <c r="C2231" s="41">
        <v>45464.0</v>
      </c>
      <c r="D2231" s="40" t="s">
        <v>15915</v>
      </c>
      <c r="E2231" s="41" t="s">
        <v>15916</v>
      </c>
      <c r="F2231" s="43" t="s">
        <v>15917</v>
      </c>
      <c r="G2231" s="43" t="s">
        <v>15918</v>
      </c>
      <c r="H2231" s="51" t="s">
        <v>661</v>
      </c>
      <c r="I2231" s="25" t="str">
        <f>IFERROR(__xludf.DUMMYFUNCTION("GOOGLETRANSLATE(H2231,""EN"",""ES"")"),"Estrategia empresarial")</f>
        <v>Estrategia empresarial</v>
      </c>
      <c r="J2231" s="26" t="s">
        <v>27</v>
      </c>
      <c r="K2231" s="17">
        <v>0.0</v>
      </c>
      <c r="L2231" s="54"/>
      <c r="M2231" s="31"/>
      <c r="N2231" s="66"/>
      <c r="O2231" s="66"/>
      <c r="P2231" s="20">
        <v>0.0</v>
      </c>
      <c r="Q2231" s="31"/>
      <c r="R2231" s="31"/>
      <c r="S2231" s="79"/>
      <c r="T2231" s="32"/>
    </row>
    <row r="2232">
      <c r="A2232" s="33" t="s">
        <v>15919</v>
      </c>
      <c r="B2232" s="76" t="s">
        <v>15920</v>
      </c>
      <c r="C2232" s="41">
        <v>45465.0</v>
      </c>
      <c r="D2232" s="40" t="s">
        <v>15921</v>
      </c>
      <c r="E2232" s="41" t="s">
        <v>15922</v>
      </c>
      <c r="F2232" s="43" t="s">
        <v>15923</v>
      </c>
      <c r="G2232" s="43" t="s">
        <v>15924</v>
      </c>
      <c r="H2232" s="51" t="s">
        <v>130</v>
      </c>
      <c r="I2232" s="15" t="str">
        <f>IFERROR(__xludf.DUMMYFUNCTION("GOOGLETRANSLATE(H2232,""EN"",""ES"")"),"Sostenibilidad")</f>
        <v>Sostenibilidad</v>
      </c>
      <c r="J2232" s="16" t="s">
        <v>35</v>
      </c>
      <c r="K2232" s="48">
        <v>0.7</v>
      </c>
      <c r="L2232" s="51" t="s">
        <v>12580</v>
      </c>
      <c r="M2232" s="34" t="s">
        <v>12581</v>
      </c>
      <c r="N2232" s="65" t="s">
        <v>15925</v>
      </c>
      <c r="O2232" s="65" t="str">
        <f>IFERROR(__xludf.DUMMYFUNCTION("GOOGLETRANSLATE(N2232,""EN"",""ES"")"),"Liderar la descarbonización marítima se alinea con los objetivos de sostenibilidad de Repsol.")</f>
        <v>Liderar la descarbonización marítima se alinea con los objetivos de sostenibilidad de Repsol.</v>
      </c>
      <c r="P2232" s="30">
        <v>0.0</v>
      </c>
      <c r="Q2232" s="18"/>
      <c r="R2232" s="18"/>
      <c r="S2232" s="80"/>
      <c r="T2232" s="22"/>
    </row>
    <row r="2233">
      <c r="A2233" s="23" t="s">
        <v>15926</v>
      </c>
      <c r="B2233" s="77" t="s">
        <v>21</v>
      </c>
      <c r="C2233" s="41">
        <v>45465.0</v>
      </c>
      <c r="D2233" s="40" t="s">
        <v>15927</v>
      </c>
      <c r="E2233" s="41" t="s">
        <v>15928</v>
      </c>
      <c r="F2233" s="43" t="s">
        <v>15929</v>
      </c>
      <c r="G2233" s="43" t="s">
        <v>15930</v>
      </c>
      <c r="H2233" s="51" t="s">
        <v>148</v>
      </c>
      <c r="I2233" s="25" t="str">
        <f>IFERROR(__xludf.DUMMYFUNCTION("GOOGLETRANSLATE(H2233,""EN"",""ES"")"),"Gastronomía")</f>
        <v>Gastronomía</v>
      </c>
      <c r="J2233" s="26" t="s">
        <v>27</v>
      </c>
      <c r="K2233" s="17">
        <v>0.0</v>
      </c>
      <c r="L2233" s="54"/>
      <c r="M2233" s="31"/>
      <c r="N2233" s="66"/>
      <c r="O2233" s="66"/>
      <c r="P2233" s="20">
        <v>0.0</v>
      </c>
      <c r="Q2233" s="31"/>
      <c r="R2233" s="31"/>
      <c r="S2233" s="79"/>
      <c r="T2233" s="32"/>
    </row>
    <row r="2234">
      <c r="A2234" s="33" t="s">
        <v>15931</v>
      </c>
      <c r="B2234" s="76" t="s">
        <v>735</v>
      </c>
      <c r="C2234" s="41">
        <v>45465.0</v>
      </c>
      <c r="D2234" s="40" t="s">
        <v>15932</v>
      </c>
      <c r="E2234" s="41" t="s">
        <v>15933</v>
      </c>
      <c r="F2234" s="43" t="s">
        <v>15934</v>
      </c>
      <c r="G2234" s="43" t="s">
        <v>15935</v>
      </c>
      <c r="H2234" s="51" t="s">
        <v>55</v>
      </c>
      <c r="I2234" s="15" t="str">
        <f>IFERROR(__xludf.DUMMYFUNCTION("GOOGLETRANSLATE(H2234,""EN"",""ES"")"),"deportes de motor")</f>
        <v>deportes de motor</v>
      </c>
      <c r="J2234" s="16" t="s">
        <v>27</v>
      </c>
      <c r="K2234" s="17">
        <v>0.0</v>
      </c>
      <c r="L2234" s="45"/>
      <c r="M2234" s="18"/>
      <c r="N2234" s="65"/>
      <c r="O2234" s="65"/>
      <c r="P2234" s="20">
        <v>0.0</v>
      </c>
      <c r="Q2234" s="18"/>
      <c r="R2234" s="18"/>
      <c r="S2234" s="80"/>
      <c r="T2234" s="22"/>
    </row>
    <row r="2235">
      <c r="A2235" s="23" t="s">
        <v>15936</v>
      </c>
      <c r="B2235" s="77" t="s">
        <v>91</v>
      </c>
      <c r="C2235" s="41">
        <v>45465.0</v>
      </c>
      <c r="D2235" s="40" t="s">
        <v>15937</v>
      </c>
      <c r="E2235" s="41" t="s">
        <v>15938</v>
      </c>
      <c r="F2235" s="43" t="s">
        <v>15939</v>
      </c>
      <c r="G2235" s="43" t="s">
        <v>15940</v>
      </c>
      <c r="H2235" s="51" t="s">
        <v>148</v>
      </c>
      <c r="I2235" s="25" t="str">
        <f>IFERROR(__xludf.DUMMYFUNCTION("GOOGLETRANSLATE(H2235,""EN"",""ES"")"),"Gastronomía")</f>
        <v>Gastronomía</v>
      </c>
      <c r="J2235" s="26" t="s">
        <v>27</v>
      </c>
      <c r="K2235" s="17">
        <v>0.0</v>
      </c>
      <c r="L2235" s="54"/>
      <c r="M2235" s="31"/>
      <c r="N2235" s="66"/>
      <c r="O2235" s="66"/>
      <c r="P2235" s="20">
        <v>0.0</v>
      </c>
      <c r="Q2235" s="31"/>
      <c r="R2235" s="31"/>
      <c r="S2235" s="79"/>
      <c r="T2235" s="32"/>
    </row>
    <row r="2236">
      <c r="A2236" s="33" t="s">
        <v>15941</v>
      </c>
      <c r="B2236" s="76" t="s">
        <v>14241</v>
      </c>
      <c r="C2236" s="41">
        <v>45465.0</v>
      </c>
      <c r="D2236" s="40" t="s">
        <v>15942</v>
      </c>
      <c r="E2236" s="41" t="s">
        <v>15943</v>
      </c>
      <c r="F2236" s="43" t="s">
        <v>15944</v>
      </c>
      <c r="G2236" s="43" t="s">
        <v>15945</v>
      </c>
      <c r="H2236" s="51" t="s">
        <v>5878</v>
      </c>
      <c r="I2236" s="15" t="str">
        <f>IFERROR(__xludf.DUMMYFUNCTION("GOOGLETRANSLATE(H2236,""EN"",""ES"")"),"Entretenimiento")</f>
        <v>Entretenimiento</v>
      </c>
      <c r="J2236" s="16" t="s">
        <v>27</v>
      </c>
      <c r="K2236" s="17">
        <v>0.0</v>
      </c>
      <c r="L2236" s="45"/>
      <c r="M2236" s="18"/>
      <c r="N2236" s="65"/>
      <c r="O2236" s="65"/>
      <c r="P2236" s="20">
        <v>0.0</v>
      </c>
      <c r="Q2236" s="18"/>
      <c r="R2236" s="18"/>
      <c r="S2236" s="80"/>
      <c r="T2236" s="22"/>
    </row>
    <row r="2237">
      <c r="A2237" s="23" t="s">
        <v>15946</v>
      </c>
      <c r="B2237" s="77" t="s">
        <v>15947</v>
      </c>
      <c r="C2237" s="41">
        <v>45466.0</v>
      </c>
      <c r="D2237" s="40" t="s">
        <v>15948</v>
      </c>
      <c r="E2237" s="41" t="s">
        <v>15949</v>
      </c>
      <c r="F2237" s="43" t="s">
        <v>15950</v>
      </c>
      <c r="G2237" s="43" t="s">
        <v>15951</v>
      </c>
      <c r="H2237" s="51" t="s">
        <v>148</v>
      </c>
      <c r="I2237" s="25" t="str">
        <f>IFERROR(__xludf.DUMMYFUNCTION("GOOGLETRANSLATE(H2237,""EN"",""ES"")"),"Gastronomía")</f>
        <v>Gastronomía</v>
      </c>
      <c r="J2237" s="26" t="s">
        <v>27</v>
      </c>
      <c r="K2237" s="17">
        <v>0.0</v>
      </c>
      <c r="L2237" s="54"/>
      <c r="M2237" s="31"/>
      <c r="N2237" s="66"/>
      <c r="O2237" s="66"/>
      <c r="P2237" s="20">
        <v>0.0</v>
      </c>
      <c r="Q2237" s="31"/>
      <c r="R2237" s="31"/>
      <c r="S2237" s="79"/>
      <c r="T2237" s="32"/>
    </row>
    <row r="2238">
      <c r="A2238" s="33" t="s">
        <v>15952</v>
      </c>
      <c r="B2238" s="76" t="s">
        <v>7561</v>
      </c>
      <c r="C2238" s="41">
        <v>45466.0</v>
      </c>
      <c r="D2238" s="40" t="s">
        <v>15953</v>
      </c>
      <c r="E2238" s="41" t="s">
        <v>15954</v>
      </c>
      <c r="F2238" s="43" t="s">
        <v>15955</v>
      </c>
      <c r="G2238" s="43" t="s">
        <v>15956</v>
      </c>
      <c r="H2238" s="51" t="s">
        <v>130</v>
      </c>
      <c r="I2238" s="15" t="str">
        <f>IFERROR(__xludf.DUMMYFUNCTION("GOOGLETRANSLATE(H2238,""EN"",""ES"")"),"Sostenibilidad")</f>
        <v>Sostenibilidad</v>
      </c>
      <c r="J2238" s="16" t="s">
        <v>35</v>
      </c>
      <c r="K2238" s="48">
        <v>0.7</v>
      </c>
      <c r="L2238" s="51" t="s">
        <v>12580</v>
      </c>
      <c r="M2238" s="34" t="s">
        <v>12581</v>
      </c>
      <c r="N2238" s="65" t="s">
        <v>15957</v>
      </c>
      <c r="O2238" s="65" t="str">
        <f>IFERROR(__xludf.DUMMYFUNCTION("GOOGLETRANSLATE(N2238,""EN"",""ES"")"),"Ampliar la adopción de combustibles renovables mejora la estrategia de energía limpia de Repsol.")</f>
        <v>Ampliar la adopción de combustibles renovables mejora la estrategia de energía limpia de Repsol.</v>
      </c>
      <c r="P2238" s="30">
        <v>0.0</v>
      </c>
      <c r="Q2238" s="18"/>
      <c r="R2238" s="18"/>
      <c r="S2238" s="80"/>
      <c r="T2238" s="22"/>
    </row>
    <row r="2239">
      <c r="A2239" s="23" t="s">
        <v>15958</v>
      </c>
      <c r="B2239" s="77" t="s">
        <v>6835</v>
      </c>
      <c r="C2239" s="41">
        <v>45466.0</v>
      </c>
      <c r="D2239" s="40" t="s">
        <v>15959</v>
      </c>
      <c r="E2239" s="41" t="s">
        <v>15960</v>
      </c>
      <c r="F2239" s="43" t="s">
        <v>15961</v>
      </c>
      <c r="G2239" s="43" t="s">
        <v>15962</v>
      </c>
      <c r="H2239" s="51" t="s">
        <v>148</v>
      </c>
      <c r="I2239" s="25" t="str">
        <f>IFERROR(__xludf.DUMMYFUNCTION("GOOGLETRANSLATE(H2239,""EN"",""ES"")"),"Gastronomía")</f>
        <v>Gastronomía</v>
      </c>
      <c r="J2239" s="26" t="s">
        <v>27</v>
      </c>
      <c r="K2239" s="17">
        <v>0.0</v>
      </c>
      <c r="L2239" s="54"/>
      <c r="M2239" s="31"/>
      <c r="N2239" s="66"/>
      <c r="O2239" s="66"/>
      <c r="P2239" s="20">
        <v>0.0</v>
      </c>
      <c r="Q2239" s="31"/>
      <c r="R2239" s="31"/>
      <c r="S2239" s="79"/>
      <c r="T2239" s="32"/>
    </row>
    <row r="2240">
      <c r="A2240" s="33" t="s">
        <v>15963</v>
      </c>
      <c r="B2240" s="76" t="s">
        <v>21</v>
      </c>
      <c r="C2240" s="41">
        <v>45466.0</v>
      </c>
      <c r="D2240" s="40" t="s">
        <v>15964</v>
      </c>
      <c r="E2240" s="41" t="s">
        <v>15965</v>
      </c>
      <c r="F2240" s="43" t="s">
        <v>15966</v>
      </c>
      <c r="G2240" s="43" t="s">
        <v>15967</v>
      </c>
      <c r="H2240" s="51" t="s">
        <v>148</v>
      </c>
      <c r="I2240" s="15" t="str">
        <f>IFERROR(__xludf.DUMMYFUNCTION("GOOGLETRANSLATE(H2240,""EN"",""ES"")"),"Gastronomía")</f>
        <v>Gastronomía</v>
      </c>
      <c r="J2240" s="16" t="s">
        <v>27</v>
      </c>
      <c r="K2240" s="17">
        <v>0.0</v>
      </c>
      <c r="L2240" s="45"/>
      <c r="M2240" s="18"/>
      <c r="N2240" s="65"/>
      <c r="O2240" s="65"/>
      <c r="P2240" s="20">
        <v>0.0</v>
      </c>
      <c r="Q2240" s="18"/>
      <c r="R2240" s="18"/>
      <c r="S2240" s="80"/>
      <c r="T2240" s="22"/>
    </row>
    <row r="2241">
      <c r="A2241" s="23" t="s">
        <v>15968</v>
      </c>
      <c r="B2241" s="77" t="s">
        <v>15969</v>
      </c>
      <c r="C2241" s="41">
        <v>45466.0</v>
      </c>
      <c r="D2241" s="40" t="s">
        <v>15970</v>
      </c>
      <c r="E2241" s="41" t="s">
        <v>15971</v>
      </c>
      <c r="F2241" s="43" t="s">
        <v>15972</v>
      </c>
      <c r="G2241" s="43" t="s">
        <v>15973</v>
      </c>
      <c r="H2241" s="51" t="s">
        <v>661</v>
      </c>
      <c r="I2241" s="25" t="str">
        <f>IFERROR(__xludf.DUMMYFUNCTION("GOOGLETRANSLATE(H2241,""EN"",""ES"")"),"Estrategia empresarial")</f>
        <v>Estrategia empresarial</v>
      </c>
      <c r="J2241" s="26" t="s">
        <v>35</v>
      </c>
      <c r="K2241" s="48">
        <v>0.6</v>
      </c>
      <c r="L2241" s="49" t="s">
        <v>15974</v>
      </c>
      <c r="M2241" s="28" t="s">
        <v>15975</v>
      </c>
      <c r="N2241" s="66" t="s">
        <v>15976</v>
      </c>
      <c r="O2241" s="66" t="str">
        <f>IFERROR(__xludf.DUMMYFUNCTION("GOOGLETRANSLATE(N2241,""EN"",""ES"")"),"El fortalecimiento de las alianzas energéticas en América del Sur respalda la expansión global de Repsol.")</f>
        <v>El fortalecimiento de las alianzas energéticas en América del Sur respalda la expansión global de Repsol.</v>
      </c>
      <c r="P2241" s="30">
        <v>0.0</v>
      </c>
      <c r="Q2241" s="31"/>
      <c r="R2241" s="31"/>
      <c r="S2241" s="79"/>
      <c r="T2241" s="32"/>
    </row>
    <row r="2242">
      <c r="A2242" s="33" t="s">
        <v>15977</v>
      </c>
      <c r="B2242" s="76" t="s">
        <v>103</v>
      </c>
      <c r="C2242" s="41">
        <v>45466.0</v>
      </c>
      <c r="D2242" s="40" t="s">
        <v>15978</v>
      </c>
      <c r="E2242" s="41" t="s">
        <v>15979</v>
      </c>
      <c r="F2242" s="43" t="s">
        <v>15980</v>
      </c>
      <c r="G2242" s="43" t="s">
        <v>15981</v>
      </c>
      <c r="H2242" s="51" t="s">
        <v>48</v>
      </c>
      <c r="I2242" s="15" t="str">
        <f>IFERROR(__xludf.DUMMYFUNCTION("GOOGLETRANSLATE(H2242,""EN"",""ES"")"),"Finanzas")</f>
        <v>Finanzas</v>
      </c>
      <c r="J2242" s="16" t="s">
        <v>35</v>
      </c>
      <c r="K2242" s="48">
        <v>0.7</v>
      </c>
      <c r="L2242" s="51" t="s">
        <v>12440</v>
      </c>
      <c r="M2242" s="34" t="s">
        <v>12441</v>
      </c>
      <c r="N2242" s="65" t="s">
        <v>12531</v>
      </c>
      <c r="O2242" s="65" t="str">
        <f>IFERROR(__xludf.DUMMYFUNCTION("GOOGLETRANSLATE(N2242,""EN"",""ES"")"),"El anuncio de fuertes pagos de dividendos refuerza la confianza de los inversores en Repsol.")</f>
        <v>El anuncio de fuertes pagos de dividendos refuerza la confianza de los inversores en Repsol.</v>
      </c>
      <c r="P2242" s="30">
        <v>0.0</v>
      </c>
      <c r="Q2242" s="18"/>
      <c r="R2242" s="18"/>
      <c r="S2242" s="80"/>
      <c r="T2242" s="22"/>
    </row>
    <row r="2243">
      <c r="A2243" s="23" t="s">
        <v>15982</v>
      </c>
      <c r="B2243" s="77" t="s">
        <v>9223</v>
      </c>
      <c r="C2243" s="41">
        <v>45466.0</v>
      </c>
      <c r="D2243" s="40" t="s">
        <v>15983</v>
      </c>
      <c r="E2243" s="41" t="s">
        <v>15984</v>
      </c>
      <c r="F2243" s="43" t="s">
        <v>15985</v>
      </c>
      <c r="G2243" s="43" t="s">
        <v>15986</v>
      </c>
      <c r="H2243" s="51" t="s">
        <v>148</v>
      </c>
      <c r="I2243" s="25" t="str">
        <f>IFERROR(__xludf.DUMMYFUNCTION("GOOGLETRANSLATE(H2243,""EN"",""ES"")"),"Gastronomía")</f>
        <v>Gastronomía</v>
      </c>
      <c r="J2243" s="26" t="s">
        <v>27</v>
      </c>
      <c r="K2243" s="17">
        <v>0.0</v>
      </c>
      <c r="L2243" s="54"/>
      <c r="M2243" s="31"/>
      <c r="N2243" s="66"/>
      <c r="O2243" s="66"/>
      <c r="P2243" s="20">
        <v>0.0</v>
      </c>
      <c r="Q2243" s="31"/>
      <c r="R2243" s="31"/>
      <c r="S2243" s="79"/>
      <c r="T2243" s="32"/>
    </row>
    <row r="2244">
      <c r="A2244" s="33" t="s">
        <v>15987</v>
      </c>
      <c r="B2244" s="76" t="s">
        <v>43</v>
      </c>
      <c r="C2244" s="41">
        <v>45466.0</v>
      </c>
      <c r="D2244" s="40" t="s">
        <v>15988</v>
      </c>
      <c r="E2244" s="41" t="s">
        <v>15989</v>
      </c>
      <c r="F2244" s="43" t="s">
        <v>15990</v>
      </c>
      <c r="G2244" s="43" t="s">
        <v>15991</v>
      </c>
      <c r="H2244" s="51" t="s">
        <v>148</v>
      </c>
      <c r="I2244" s="15" t="str">
        <f>IFERROR(__xludf.DUMMYFUNCTION("GOOGLETRANSLATE(H2244,""EN"",""ES"")"),"Gastronomía")</f>
        <v>Gastronomía</v>
      </c>
      <c r="J2244" s="16" t="s">
        <v>27</v>
      </c>
      <c r="K2244" s="17">
        <v>0.0</v>
      </c>
      <c r="L2244" s="45"/>
      <c r="M2244" s="18"/>
      <c r="N2244" s="65"/>
      <c r="O2244" s="65"/>
      <c r="P2244" s="20">
        <v>0.0</v>
      </c>
      <c r="Q2244" s="18"/>
      <c r="R2244" s="18"/>
      <c r="S2244" s="80"/>
      <c r="T2244" s="22"/>
    </row>
    <row r="2245">
      <c r="A2245" s="23" t="s">
        <v>15992</v>
      </c>
      <c r="B2245" s="77" t="s">
        <v>1970</v>
      </c>
      <c r="C2245" s="41">
        <v>45466.0</v>
      </c>
      <c r="D2245" s="40" t="s">
        <v>15993</v>
      </c>
      <c r="E2245" s="41" t="s">
        <v>15994</v>
      </c>
      <c r="F2245" s="43" t="s">
        <v>15995</v>
      </c>
      <c r="G2245" s="43" t="s">
        <v>15996</v>
      </c>
      <c r="H2245" s="51" t="s">
        <v>148</v>
      </c>
      <c r="I2245" s="25" t="str">
        <f>IFERROR(__xludf.DUMMYFUNCTION("GOOGLETRANSLATE(H2245,""EN"",""ES"")"),"Gastronomía")</f>
        <v>Gastronomía</v>
      </c>
      <c r="J2245" s="26" t="s">
        <v>27</v>
      </c>
      <c r="K2245" s="17">
        <v>0.0</v>
      </c>
      <c r="L2245" s="54"/>
      <c r="M2245" s="31"/>
      <c r="N2245" s="66"/>
      <c r="O2245" s="66"/>
      <c r="P2245" s="20">
        <v>0.0</v>
      </c>
      <c r="Q2245" s="31"/>
      <c r="R2245" s="31"/>
      <c r="S2245" s="79"/>
      <c r="T2245" s="32"/>
    </row>
    <row r="2246">
      <c r="A2246" s="33" t="s">
        <v>15997</v>
      </c>
      <c r="B2246" s="76" t="s">
        <v>1072</v>
      </c>
      <c r="C2246" s="41">
        <v>45467.0</v>
      </c>
      <c r="D2246" s="40" t="s">
        <v>15998</v>
      </c>
      <c r="E2246" s="41" t="s">
        <v>15999</v>
      </c>
      <c r="F2246" s="43" t="s">
        <v>16000</v>
      </c>
      <c r="G2246" s="43" t="s">
        <v>16001</v>
      </c>
      <c r="H2246" s="51" t="s">
        <v>48</v>
      </c>
      <c r="I2246" s="15" t="str">
        <f>IFERROR(__xludf.DUMMYFUNCTION("GOOGLETRANSLATE(H2246,""EN"",""ES"")"),"Finanzas")</f>
        <v>Finanzas</v>
      </c>
      <c r="J2246" s="16" t="s">
        <v>35</v>
      </c>
      <c r="K2246" s="48">
        <v>0.6</v>
      </c>
      <c r="L2246" s="51" t="s">
        <v>15881</v>
      </c>
      <c r="M2246" s="34" t="s">
        <v>15882</v>
      </c>
      <c r="N2246" s="65" t="s">
        <v>16002</v>
      </c>
      <c r="O2246" s="65" t="str">
        <f>IFERROR(__xludf.DUMMYFUNCTION("GOOGLETRANSLATE(N2246,""EN"",""ES"")"),"La positiva evolución de las acciones respalda la confianza de los inversores de Repsol.")</f>
        <v>La positiva evolución de las acciones respalda la confianza de los inversores de Repsol.</v>
      </c>
      <c r="P2246" s="30">
        <v>0.0</v>
      </c>
      <c r="Q2246" s="18"/>
      <c r="R2246" s="18"/>
      <c r="S2246" s="80"/>
      <c r="T2246" s="22"/>
    </row>
    <row r="2247">
      <c r="A2247" s="23" t="s">
        <v>16003</v>
      </c>
      <c r="B2247" s="77" t="s">
        <v>163</v>
      </c>
      <c r="C2247" s="41">
        <v>45467.0</v>
      </c>
      <c r="D2247" s="40" t="s">
        <v>16004</v>
      </c>
      <c r="E2247" s="41" t="s">
        <v>16005</v>
      </c>
      <c r="F2247" s="43" t="s">
        <v>16006</v>
      </c>
      <c r="G2247" s="43" t="s">
        <v>16007</v>
      </c>
      <c r="H2247" s="51" t="s">
        <v>130</v>
      </c>
      <c r="I2247" s="25" t="str">
        <f>IFERROR(__xludf.DUMMYFUNCTION("GOOGLETRANSLATE(H2247,""EN"",""ES"")"),"Sostenibilidad")</f>
        <v>Sostenibilidad</v>
      </c>
      <c r="J2247" s="26" t="s">
        <v>35</v>
      </c>
      <c r="K2247" s="48">
        <v>0.7</v>
      </c>
      <c r="L2247" s="49" t="s">
        <v>15785</v>
      </c>
      <c r="M2247" s="28" t="s">
        <v>15786</v>
      </c>
      <c r="N2247" s="66" t="s">
        <v>16008</v>
      </c>
      <c r="O2247" s="66" t="str">
        <f>IFERROR(__xludf.DUMMYFUNCTION("GOOGLETRANSLATE(N2247,""EN"",""ES"")"),"Mejorar la sostenibilidad de los productos se alinea con la transición verde de Repsol.")</f>
        <v>Mejorar la sostenibilidad de los productos se alinea con la transición verde de Repsol.</v>
      </c>
      <c r="P2247" s="30">
        <v>0.0</v>
      </c>
      <c r="Q2247" s="31"/>
      <c r="R2247" s="31"/>
      <c r="S2247" s="79"/>
      <c r="T2247" s="32"/>
    </row>
    <row r="2248">
      <c r="A2248" s="33" t="s">
        <v>16009</v>
      </c>
      <c r="B2248" s="76" t="s">
        <v>16010</v>
      </c>
      <c r="C2248" s="41">
        <v>45467.0</v>
      </c>
      <c r="D2248" s="40" t="s">
        <v>16011</v>
      </c>
      <c r="E2248" s="41" t="s">
        <v>16012</v>
      </c>
      <c r="F2248" s="43" t="s">
        <v>16013</v>
      </c>
      <c r="G2248" s="43" t="s">
        <v>16014</v>
      </c>
      <c r="H2248" s="51" t="s">
        <v>34</v>
      </c>
      <c r="I2248" s="15" t="str">
        <f>IFERROR(__xludf.DUMMYFUNCTION("GOOGLETRANSLATE(H2248,""EN"",""ES"")"),"Responsabilidad Social Corporativa")</f>
        <v>Responsabilidad Social Corporativa</v>
      </c>
      <c r="J2248" s="16" t="s">
        <v>35</v>
      </c>
      <c r="K2248" s="48">
        <v>0.7</v>
      </c>
      <c r="L2248" s="51" t="s">
        <v>16015</v>
      </c>
      <c r="M2248" s="34" t="s">
        <v>16016</v>
      </c>
      <c r="N2248" s="65" t="s">
        <v>16017</v>
      </c>
      <c r="O2248" s="65" t="str">
        <f>IFERROR(__xludf.DUMMYFUNCTION("GOOGLETRANSLATE(N2248,""EN"",""ES"")"),"Reconocer las iniciativas en seguridad refuerza la imagen corporativa responsable de Repsol.")</f>
        <v>Reconocer las iniciativas en seguridad refuerza la imagen corporativa responsable de Repsol.</v>
      </c>
      <c r="P2248" s="30">
        <v>0.0</v>
      </c>
      <c r="Q2248" s="18"/>
      <c r="R2248" s="18"/>
      <c r="S2248" s="80"/>
      <c r="T2248" s="22"/>
    </row>
    <row r="2249">
      <c r="A2249" s="23" t="s">
        <v>16018</v>
      </c>
      <c r="B2249" s="77" t="s">
        <v>6835</v>
      </c>
      <c r="C2249" s="41">
        <v>45467.0</v>
      </c>
      <c r="D2249" s="40" t="s">
        <v>16019</v>
      </c>
      <c r="E2249" s="41" t="s">
        <v>16020</v>
      </c>
      <c r="F2249" s="43" t="s">
        <v>16021</v>
      </c>
      <c r="G2249" s="43" t="s">
        <v>16022</v>
      </c>
      <c r="H2249" s="51" t="s">
        <v>148</v>
      </c>
      <c r="I2249" s="25" t="str">
        <f>IFERROR(__xludf.DUMMYFUNCTION("GOOGLETRANSLATE(H2249,""EN"",""ES"")"),"Gastronomía")</f>
        <v>Gastronomía</v>
      </c>
      <c r="J2249" s="26" t="s">
        <v>27</v>
      </c>
      <c r="K2249" s="17">
        <v>0.0</v>
      </c>
      <c r="L2249" s="54"/>
      <c r="M2249" s="31"/>
      <c r="N2249" s="66"/>
      <c r="O2249" s="66"/>
      <c r="P2249" s="20">
        <v>0.0</v>
      </c>
      <c r="Q2249" s="31"/>
      <c r="R2249" s="31"/>
      <c r="S2249" s="79"/>
      <c r="T2249" s="32"/>
    </row>
    <row r="2250">
      <c r="A2250" s="33" t="s">
        <v>16023</v>
      </c>
      <c r="B2250" s="76" t="s">
        <v>16024</v>
      </c>
      <c r="C2250" s="41">
        <v>45467.0</v>
      </c>
      <c r="D2250" s="40" t="s">
        <v>16025</v>
      </c>
      <c r="E2250" s="41" t="s">
        <v>16026</v>
      </c>
      <c r="F2250" s="43" t="s">
        <v>16027</v>
      </c>
      <c r="G2250" s="43" t="s">
        <v>16028</v>
      </c>
      <c r="H2250" s="51" t="s">
        <v>661</v>
      </c>
      <c r="I2250" s="15" t="str">
        <f>IFERROR(__xludf.DUMMYFUNCTION("GOOGLETRANSLATE(H2250,""EN"",""ES"")"),"Estrategia empresarial")</f>
        <v>Estrategia empresarial</v>
      </c>
      <c r="J2250" s="16" t="s">
        <v>35</v>
      </c>
      <c r="K2250" s="48">
        <v>0.0</v>
      </c>
      <c r="L2250" s="45"/>
      <c r="M2250" s="18"/>
      <c r="N2250" s="65" t="s">
        <v>16029</v>
      </c>
      <c r="O2250" s="65" t="str">
        <f>IFERROR(__xludf.DUMMYFUNCTION("GOOGLETRANSLATE(N2250,""EN"",""ES"")"),"Los foros del sector no impactan directamente en Repsol.")</f>
        <v>Los foros del sector no impactan directamente en Repsol.</v>
      </c>
      <c r="P2250" s="30">
        <v>0.0</v>
      </c>
      <c r="Q2250" s="18"/>
      <c r="R2250" s="18"/>
      <c r="S2250" s="80"/>
      <c r="T2250" s="22"/>
    </row>
    <row r="2251">
      <c r="A2251" s="23" t="s">
        <v>16030</v>
      </c>
      <c r="B2251" s="77" t="s">
        <v>6458</v>
      </c>
      <c r="C2251" s="41">
        <v>45467.0</v>
      </c>
      <c r="D2251" s="40" t="s">
        <v>16031</v>
      </c>
      <c r="E2251" s="41" t="s">
        <v>16032</v>
      </c>
      <c r="F2251" s="43" t="s">
        <v>16033</v>
      </c>
      <c r="G2251" s="43" t="s">
        <v>16034</v>
      </c>
      <c r="H2251" s="51" t="s">
        <v>148</v>
      </c>
      <c r="I2251" s="25" t="str">
        <f>IFERROR(__xludf.DUMMYFUNCTION("GOOGLETRANSLATE(H2251,""EN"",""ES"")"),"Gastronomía")</f>
        <v>Gastronomía</v>
      </c>
      <c r="J2251" s="26" t="s">
        <v>27</v>
      </c>
      <c r="K2251" s="17">
        <v>0.0</v>
      </c>
      <c r="L2251" s="54"/>
      <c r="M2251" s="31"/>
      <c r="N2251" s="66"/>
      <c r="O2251" s="66"/>
      <c r="P2251" s="20">
        <v>0.0</v>
      </c>
      <c r="Q2251" s="31"/>
      <c r="R2251" s="31"/>
      <c r="S2251" s="79"/>
      <c r="T2251" s="32"/>
    </row>
    <row r="2252">
      <c r="A2252" s="33" t="s">
        <v>16035</v>
      </c>
      <c r="B2252" s="76" t="s">
        <v>16036</v>
      </c>
      <c r="C2252" s="41">
        <v>45467.0</v>
      </c>
      <c r="D2252" s="40" t="s">
        <v>16037</v>
      </c>
      <c r="E2252" s="41" t="s">
        <v>16038</v>
      </c>
      <c r="F2252" s="43" t="s">
        <v>16039</v>
      </c>
      <c r="G2252" s="43" t="s">
        <v>16040</v>
      </c>
      <c r="H2252" s="51" t="s">
        <v>661</v>
      </c>
      <c r="I2252" s="15" t="str">
        <f>IFERROR(__xludf.DUMMYFUNCTION("GOOGLETRANSLATE(H2252,""EN"",""ES"")"),"Estrategia empresarial")</f>
        <v>Estrategia empresarial</v>
      </c>
      <c r="J2252" s="16" t="s">
        <v>27</v>
      </c>
      <c r="K2252" s="17">
        <v>0.0</v>
      </c>
      <c r="L2252" s="45"/>
      <c r="M2252" s="18"/>
      <c r="N2252" s="65"/>
      <c r="O2252" s="65"/>
      <c r="P2252" s="20">
        <v>0.0</v>
      </c>
      <c r="Q2252" s="18"/>
      <c r="R2252" s="18"/>
      <c r="S2252" s="80"/>
      <c r="T2252" s="22"/>
    </row>
    <row r="2253">
      <c r="A2253" s="23" t="s">
        <v>16041</v>
      </c>
      <c r="B2253" s="77" t="s">
        <v>15080</v>
      </c>
      <c r="C2253" s="41">
        <v>45467.0</v>
      </c>
      <c r="D2253" s="40" t="s">
        <v>16042</v>
      </c>
      <c r="E2253" s="41" t="s">
        <v>16043</v>
      </c>
      <c r="F2253" s="43" t="s">
        <v>16044</v>
      </c>
      <c r="G2253" s="43" t="s">
        <v>16045</v>
      </c>
      <c r="H2253" s="51" t="s">
        <v>130</v>
      </c>
      <c r="I2253" s="25" t="str">
        <f>IFERROR(__xludf.DUMMYFUNCTION("GOOGLETRANSLATE(H2253,""EN"",""ES"")"),"Sostenibilidad")</f>
        <v>Sostenibilidad</v>
      </c>
      <c r="J2253" s="26" t="s">
        <v>27</v>
      </c>
      <c r="K2253" s="17">
        <v>0.0</v>
      </c>
      <c r="L2253" s="54"/>
      <c r="M2253" s="31"/>
      <c r="N2253" s="66"/>
      <c r="O2253" s="66"/>
      <c r="P2253" s="20">
        <v>0.0</v>
      </c>
      <c r="Q2253" s="31"/>
      <c r="R2253" s="31"/>
      <c r="S2253" s="79"/>
      <c r="T2253" s="32"/>
    </row>
    <row r="2254">
      <c r="A2254" s="33" t="s">
        <v>16046</v>
      </c>
      <c r="B2254" s="76" t="s">
        <v>91</v>
      </c>
      <c r="C2254" s="41">
        <v>45467.0</v>
      </c>
      <c r="D2254" s="40" t="s">
        <v>16047</v>
      </c>
      <c r="E2254" s="41" t="s">
        <v>16048</v>
      </c>
      <c r="F2254" s="43" t="s">
        <v>16049</v>
      </c>
      <c r="G2254" s="43" t="s">
        <v>16050</v>
      </c>
      <c r="H2254" s="51" t="s">
        <v>3985</v>
      </c>
      <c r="I2254" s="15" t="str">
        <f>IFERROR(__xludf.DUMMYFUNCTION("GOOGLETRANSLATE(H2254,""EN"",""ES"")"),"Deportes")</f>
        <v>Deportes</v>
      </c>
      <c r="J2254" s="16" t="s">
        <v>27</v>
      </c>
      <c r="K2254" s="17">
        <v>0.0</v>
      </c>
      <c r="L2254" s="45"/>
      <c r="M2254" s="18"/>
      <c r="N2254" s="65"/>
      <c r="O2254" s="65"/>
      <c r="P2254" s="20">
        <v>0.0</v>
      </c>
      <c r="Q2254" s="18"/>
      <c r="R2254" s="18"/>
      <c r="S2254" s="80"/>
      <c r="T2254" s="22"/>
    </row>
    <row r="2255">
      <c r="A2255" s="23" t="s">
        <v>16051</v>
      </c>
      <c r="B2255" s="77" t="s">
        <v>91</v>
      </c>
      <c r="C2255" s="41">
        <v>45467.0</v>
      </c>
      <c r="D2255" s="40" t="s">
        <v>16052</v>
      </c>
      <c r="E2255" s="41" t="s">
        <v>16053</v>
      </c>
      <c r="F2255" s="43" t="s">
        <v>16054</v>
      </c>
      <c r="G2255" s="43" t="s">
        <v>16055</v>
      </c>
      <c r="H2255" s="51" t="s">
        <v>408</v>
      </c>
      <c r="I2255" s="25" t="str">
        <f>IFERROR(__xludf.DUMMYFUNCTION("GOOGLETRANSLATE(H2255,""EN"",""ES"")"),"Legal")</f>
        <v>Legal</v>
      </c>
      <c r="J2255" s="26" t="s">
        <v>27</v>
      </c>
      <c r="K2255" s="17">
        <v>0.0</v>
      </c>
      <c r="L2255" s="54"/>
      <c r="M2255" s="31"/>
      <c r="N2255" s="66"/>
      <c r="O2255" s="66"/>
      <c r="P2255" s="20">
        <v>0.0</v>
      </c>
      <c r="Q2255" s="31"/>
      <c r="R2255" s="31"/>
      <c r="S2255" s="79"/>
      <c r="T2255" s="32"/>
    </row>
    <row r="2256">
      <c r="A2256" s="33" t="s">
        <v>16056</v>
      </c>
      <c r="B2256" s="76" t="s">
        <v>21</v>
      </c>
      <c r="C2256" s="41">
        <v>45468.0</v>
      </c>
      <c r="D2256" s="40" t="s">
        <v>16057</v>
      </c>
      <c r="E2256" s="41" t="s">
        <v>16058</v>
      </c>
      <c r="F2256" s="43" t="s">
        <v>16059</v>
      </c>
      <c r="G2256" s="43" t="s">
        <v>16060</v>
      </c>
      <c r="H2256" s="51" t="s">
        <v>148</v>
      </c>
      <c r="I2256" s="15" t="str">
        <f>IFERROR(__xludf.DUMMYFUNCTION("GOOGLETRANSLATE(H2256,""EN"",""ES"")"),"Gastronomía")</f>
        <v>Gastronomía</v>
      </c>
      <c r="J2256" s="16" t="s">
        <v>27</v>
      </c>
      <c r="K2256" s="17">
        <v>0.0</v>
      </c>
      <c r="L2256" s="45"/>
      <c r="M2256" s="18"/>
      <c r="N2256" s="65"/>
      <c r="O2256" s="65"/>
      <c r="P2256" s="20">
        <v>0.0</v>
      </c>
      <c r="Q2256" s="18"/>
      <c r="R2256" s="18"/>
      <c r="S2256" s="80"/>
      <c r="T2256" s="22"/>
    </row>
    <row r="2257">
      <c r="A2257" s="23" t="s">
        <v>16061</v>
      </c>
      <c r="B2257" s="77" t="s">
        <v>2442</v>
      </c>
      <c r="C2257" s="41">
        <v>45468.0</v>
      </c>
      <c r="D2257" s="40" t="s">
        <v>16062</v>
      </c>
      <c r="E2257" s="41" t="s">
        <v>16063</v>
      </c>
      <c r="F2257" s="43" t="s">
        <v>16064</v>
      </c>
      <c r="G2257" s="43" t="s">
        <v>16065</v>
      </c>
      <c r="H2257" s="51" t="s">
        <v>661</v>
      </c>
      <c r="I2257" s="25" t="str">
        <f>IFERROR(__xludf.DUMMYFUNCTION("GOOGLETRANSLATE(H2257,""EN"",""ES"")"),"Estrategia empresarial")</f>
        <v>Estrategia empresarial</v>
      </c>
      <c r="J2257" s="26" t="s">
        <v>35</v>
      </c>
      <c r="K2257" s="48">
        <v>0.6</v>
      </c>
      <c r="L2257" s="49" t="s">
        <v>16066</v>
      </c>
      <c r="M2257" s="28" t="s">
        <v>16067</v>
      </c>
      <c r="N2257" s="66" t="s">
        <v>16068</v>
      </c>
      <c r="O2257" s="66" t="str">
        <f>IFERROR(__xludf.DUMMYFUNCTION("GOOGLETRANSLATE(N2257,""EN"",""ES"")"),"La ampliación de los programas de fidelización mejora la implicación del cliente de Repsol.")</f>
        <v>La ampliación de los programas de fidelización mejora la implicación del cliente de Repsol.</v>
      </c>
      <c r="P2257" s="30">
        <v>0.0</v>
      </c>
      <c r="Q2257" s="31"/>
      <c r="R2257" s="31"/>
      <c r="S2257" s="79"/>
      <c r="T2257" s="32"/>
    </row>
    <row r="2258">
      <c r="A2258" s="33" t="s">
        <v>16069</v>
      </c>
      <c r="B2258" s="76" t="s">
        <v>11267</v>
      </c>
      <c r="C2258" s="41">
        <v>45468.0</v>
      </c>
      <c r="D2258" s="40" t="s">
        <v>16070</v>
      </c>
      <c r="E2258" s="41" t="s">
        <v>16071</v>
      </c>
      <c r="F2258" s="43" t="s">
        <v>16072</v>
      </c>
      <c r="G2258" s="43" t="s">
        <v>16073</v>
      </c>
      <c r="H2258" s="51" t="s">
        <v>48</v>
      </c>
      <c r="I2258" s="15" t="str">
        <f>IFERROR(__xludf.DUMMYFUNCTION("GOOGLETRANSLATE(H2258,""EN"",""ES"")"),"Finanzas")</f>
        <v>Finanzas</v>
      </c>
      <c r="J2258" s="16" t="s">
        <v>27</v>
      </c>
      <c r="K2258" s="17">
        <v>0.0</v>
      </c>
      <c r="L2258" s="45"/>
      <c r="M2258" s="18"/>
      <c r="N2258" s="65"/>
      <c r="O2258" s="65"/>
      <c r="P2258" s="20">
        <v>0.0</v>
      </c>
      <c r="Q2258" s="18"/>
      <c r="R2258" s="18"/>
      <c r="S2258" s="80"/>
      <c r="T2258" s="22"/>
    </row>
    <row r="2259">
      <c r="A2259" s="23" t="s">
        <v>16074</v>
      </c>
      <c r="B2259" s="77" t="s">
        <v>43</v>
      </c>
      <c r="C2259" s="41">
        <v>45468.0</v>
      </c>
      <c r="D2259" s="40" t="s">
        <v>16075</v>
      </c>
      <c r="E2259" s="41" t="s">
        <v>16076</v>
      </c>
      <c r="F2259" s="43" t="s">
        <v>16077</v>
      </c>
      <c r="G2259" s="43" t="s">
        <v>16078</v>
      </c>
      <c r="H2259" s="51" t="s">
        <v>661</v>
      </c>
      <c r="I2259" s="25" t="str">
        <f>IFERROR(__xludf.DUMMYFUNCTION("GOOGLETRANSLATE(H2259,""EN"",""ES"")"),"Estrategia empresarial")</f>
        <v>Estrategia empresarial</v>
      </c>
      <c r="J2259" s="26" t="s">
        <v>35</v>
      </c>
      <c r="K2259" s="48">
        <v>0.6</v>
      </c>
      <c r="L2259" s="49" t="s">
        <v>16066</v>
      </c>
      <c r="M2259" s="28" t="s">
        <v>16067</v>
      </c>
      <c r="N2259" s="66" t="s">
        <v>16079</v>
      </c>
      <c r="O2259" s="66" t="str">
        <f>IFERROR(__xludf.DUMMYFUNCTION("GOOGLETRANSLATE(N2259,""EN"",""ES"")"),"El fortalecimiento de alianzas estratégicas aumenta el alcance de Repsol en el mercado.")</f>
        <v>El fortalecimiento de alianzas estratégicas aumenta el alcance de Repsol en el mercado.</v>
      </c>
      <c r="P2259" s="30">
        <v>0.0</v>
      </c>
      <c r="Q2259" s="31"/>
      <c r="R2259" s="31"/>
      <c r="S2259" s="79"/>
      <c r="T2259" s="32"/>
    </row>
    <row r="2260">
      <c r="A2260" s="33" t="s">
        <v>16080</v>
      </c>
      <c r="B2260" s="76" t="s">
        <v>163</v>
      </c>
      <c r="C2260" s="41">
        <v>45468.0</v>
      </c>
      <c r="D2260" s="40" t="s">
        <v>16081</v>
      </c>
      <c r="E2260" s="41" t="s">
        <v>16082</v>
      </c>
      <c r="F2260" s="43" t="s">
        <v>16083</v>
      </c>
      <c r="G2260" s="43" t="s">
        <v>16084</v>
      </c>
      <c r="H2260" s="51" t="s">
        <v>661</v>
      </c>
      <c r="I2260" s="15" t="str">
        <f>IFERROR(__xludf.DUMMYFUNCTION("GOOGLETRANSLATE(H2260,""EN"",""ES"")"),"Estrategia empresarial")</f>
        <v>Estrategia empresarial</v>
      </c>
      <c r="J2260" s="16" t="s">
        <v>35</v>
      </c>
      <c r="K2260" s="48">
        <v>0.6</v>
      </c>
      <c r="L2260" s="51" t="s">
        <v>16085</v>
      </c>
      <c r="M2260" s="34" t="s">
        <v>16086</v>
      </c>
      <c r="N2260" s="65" t="s">
        <v>16087</v>
      </c>
      <c r="O2260" s="65" t="str">
        <f>IFERROR(__xludf.DUMMYFUNCTION("GOOGLETRANSLATE(N2260,""EN"",""ES"")"),"Las transiciones de liderazgo pueden influir en las estrategias operativas de Repsol.")</f>
        <v>Las transiciones de liderazgo pueden influir en las estrategias operativas de Repsol.</v>
      </c>
      <c r="P2260" s="30">
        <v>0.0</v>
      </c>
      <c r="Q2260" s="18"/>
      <c r="R2260" s="18"/>
      <c r="S2260" s="80"/>
      <c r="T2260" s="22"/>
    </row>
    <row r="2261">
      <c r="A2261" s="23" t="s">
        <v>16088</v>
      </c>
      <c r="B2261" s="77" t="s">
        <v>9506</v>
      </c>
      <c r="C2261" s="41">
        <v>45468.0</v>
      </c>
      <c r="D2261" s="40" t="s">
        <v>16089</v>
      </c>
      <c r="E2261" s="41" t="s">
        <v>16090</v>
      </c>
      <c r="F2261" s="43" t="s">
        <v>16091</v>
      </c>
      <c r="G2261" s="43" t="s">
        <v>16092</v>
      </c>
      <c r="H2261" s="51" t="s">
        <v>130</v>
      </c>
      <c r="I2261" s="25" t="str">
        <f>IFERROR(__xludf.DUMMYFUNCTION("GOOGLETRANSLATE(H2261,""EN"",""ES"")"),"Sostenibilidad")</f>
        <v>Sostenibilidad</v>
      </c>
      <c r="J2261" s="26" t="s">
        <v>35</v>
      </c>
      <c r="K2261" s="48">
        <v>0.6</v>
      </c>
      <c r="L2261" s="49" t="s">
        <v>15346</v>
      </c>
      <c r="M2261" s="28" t="s">
        <v>15347</v>
      </c>
      <c r="N2261" s="66" t="s">
        <v>16093</v>
      </c>
      <c r="O2261" s="66" t="str">
        <f>IFERROR(__xludf.DUMMYFUNCTION("GOOGLETRANSLATE(N2261,""EN"",""ES"")"),"El cierre de infraestructuras de carbón obsoletas se alinea con la transición a energías limpias de Repsol.")</f>
        <v>El cierre de infraestructuras de carbón obsoletas se alinea con la transición a energías limpias de Repsol.</v>
      </c>
      <c r="P2261" s="30">
        <v>0.0</v>
      </c>
      <c r="Q2261" s="31"/>
      <c r="R2261" s="31"/>
      <c r="S2261" s="79"/>
      <c r="T2261" s="32"/>
    </row>
    <row r="2262">
      <c r="A2262" s="33" t="s">
        <v>16094</v>
      </c>
      <c r="B2262" s="76" t="s">
        <v>8815</v>
      </c>
      <c r="C2262" s="41">
        <v>45468.0</v>
      </c>
      <c r="D2262" s="40" t="s">
        <v>16095</v>
      </c>
      <c r="E2262" s="41" t="s">
        <v>16096</v>
      </c>
      <c r="F2262" s="43" t="s">
        <v>16097</v>
      </c>
      <c r="G2262" s="43" t="s">
        <v>16098</v>
      </c>
      <c r="H2262" s="51" t="s">
        <v>155</v>
      </c>
      <c r="I2262" s="15" t="str">
        <f>IFERROR(__xludf.DUMMYFUNCTION("GOOGLETRANSLATE(H2262,""EN"",""ES"")"),"Marketing")</f>
        <v>Marketing</v>
      </c>
      <c r="J2262" s="16" t="s">
        <v>27</v>
      </c>
      <c r="K2262" s="17">
        <v>0.0</v>
      </c>
      <c r="L2262" s="45"/>
      <c r="M2262" s="18"/>
      <c r="N2262" s="65"/>
      <c r="O2262" s="65"/>
      <c r="P2262" s="20">
        <v>0.0</v>
      </c>
      <c r="Q2262" s="18"/>
      <c r="R2262" s="18"/>
      <c r="S2262" s="80"/>
      <c r="T2262" s="22"/>
    </row>
    <row r="2263">
      <c r="A2263" s="23" t="s">
        <v>16099</v>
      </c>
      <c r="B2263" s="77" t="s">
        <v>16100</v>
      </c>
      <c r="C2263" s="41">
        <v>45468.0</v>
      </c>
      <c r="D2263" s="40" t="s">
        <v>16101</v>
      </c>
      <c r="E2263" s="41" t="s">
        <v>16102</v>
      </c>
      <c r="F2263" s="43" t="s">
        <v>16103</v>
      </c>
      <c r="G2263" s="43" t="s">
        <v>16104</v>
      </c>
      <c r="H2263" s="51" t="s">
        <v>661</v>
      </c>
      <c r="I2263" s="25" t="str">
        <f>IFERROR(__xludf.DUMMYFUNCTION("GOOGLETRANSLATE(H2263,""EN"",""ES"")"),"Estrategia empresarial")</f>
        <v>Estrategia empresarial</v>
      </c>
      <c r="J2263" s="26" t="s">
        <v>35</v>
      </c>
      <c r="K2263" s="48">
        <v>0.6</v>
      </c>
      <c r="L2263" s="49" t="s">
        <v>15172</v>
      </c>
      <c r="M2263" s="28" t="s">
        <v>15173</v>
      </c>
      <c r="N2263" s="66" t="s">
        <v>16105</v>
      </c>
      <c r="O2263" s="66" t="str">
        <f>IFERROR(__xludf.DUMMYFUNCTION("GOOGLETRANSLATE(N2263,""EN"",""ES"")"),"La ampliación de los incentivos a la fidelización digital refuerza la presencia de Repsol en el mercado.")</f>
        <v>La ampliación de los incentivos a la fidelización digital refuerza la presencia de Repsol en el mercado.</v>
      </c>
      <c r="P2263" s="30">
        <v>0.0</v>
      </c>
      <c r="Q2263" s="31"/>
      <c r="R2263" s="31"/>
      <c r="S2263" s="79"/>
      <c r="T2263" s="32"/>
    </row>
    <row r="2264">
      <c r="A2264" s="33" t="s">
        <v>16106</v>
      </c>
      <c r="B2264" s="76" t="s">
        <v>163</v>
      </c>
      <c r="C2264" s="41">
        <v>45468.0</v>
      </c>
      <c r="D2264" s="40" t="s">
        <v>16107</v>
      </c>
      <c r="E2264" s="41" t="s">
        <v>16108</v>
      </c>
      <c r="F2264" s="43" t="s">
        <v>16109</v>
      </c>
      <c r="G2264" s="43" t="s">
        <v>16110</v>
      </c>
      <c r="H2264" s="51" t="s">
        <v>55</v>
      </c>
      <c r="I2264" s="15" t="str">
        <f>IFERROR(__xludf.DUMMYFUNCTION("GOOGLETRANSLATE(H2264,""EN"",""ES"")"),"deportes de motor")</f>
        <v>deportes de motor</v>
      </c>
      <c r="J2264" s="16" t="s">
        <v>27</v>
      </c>
      <c r="K2264" s="17">
        <v>0.0</v>
      </c>
      <c r="L2264" s="45"/>
      <c r="M2264" s="18"/>
      <c r="N2264" s="65"/>
      <c r="O2264" s="65"/>
      <c r="P2264" s="20">
        <v>0.0</v>
      </c>
      <c r="Q2264" s="18"/>
      <c r="R2264" s="18"/>
      <c r="S2264" s="80"/>
      <c r="T2264" s="22"/>
    </row>
    <row r="2265">
      <c r="A2265" s="23" t="s">
        <v>16111</v>
      </c>
      <c r="B2265" s="77" t="s">
        <v>21</v>
      </c>
      <c r="C2265" s="41">
        <v>45468.0</v>
      </c>
      <c r="D2265" s="40" t="s">
        <v>16112</v>
      </c>
      <c r="E2265" s="41" t="s">
        <v>16113</v>
      </c>
      <c r="F2265" s="43" t="s">
        <v>16114</v>
      </c>
      <c r="G2265" s="43" t="s">
        <v>16115</v>
      </c>
      <c r="H2265" s="51" t="s">
        <v>148</v>
      </c>
      <c r="I2265" s="25" t="str">
        <f>IFERROR(__xludf.DUMMYFUNCTION("GOOGLETRANSLATE(H2265,""EN"",""ES"")"),"Gastronomía")</f>
        <v>Gastronomía</v>
      </c>
      <c r="J2265" s="26" t="s">
        <v>27</v>
      </c>
      <c r="K2265" s="17">
        <v>0.0</v>
      </c>
      <c r="L2265" s="54"/>
      <c r="M2265" s="31"/>
      <c r="N2265" s="66"/>
      <c r="O2265" s="66"/>
      <c r="P2265" s="20">
        <v>0.0</v>
      </c>
      <c r="Q2265" s="31"/>
      <c r="R2265" s="31"/>
      <c r="S2265" s="79"/>
      <c r="T2265" s="32"/>
    </row>
    <row r="2266">
      <c r="A2266" s="33" t="s">
        <v>16116</v>
      </c>
      <c r="B2266" s="76" t="s">
        <v>43</v>
      </c>
      <c r="C2266" s="41">
        <v>45468.0</v>
      </c>
      <c r="D2266" s="40" t="s">
        <v>16117</v>
      </c>
      <c r="E2266" s="41" t="s">
        <v>16118</v>
      </c>
      <c r="F2266" s="43" t="s">
        <v>16119</v>
      </c>
      <c r="G2266" s="43" t="s">
        <v>16120</v>
      </c>
      <c r="H2266" s="51" t="s">
        <v>148</v>
      </c>
      <c r="I2266" s="15" t="str">
        <f>IFERROR(__xludf.DUMMYFUNCTION("GOOGLETRANSLATE(H2266,""EN"",""ES"")"),"Gastronomía")</f>
        <v>Gastronomía</v>
      </c>
      <c r="J2266" s="16" t="s">
        <v>27</v>
      </c>
      <c r="K2266" s="17">
        <v>0.0</v>
      </c>
      <c r="L2266" s="45"/>
      <c r="M2266" s="18"/>
      <c r="N2266" s="65"/>
      <c r="O2266" s="65"/>
      <c r="P2266" s="20">
        <v>0.0</v>
      </c>
      <c r="Q2266" s="18"/>
      <c r="R2266" s="18"/>
      <c r="S2266" s="80"/>
      <c r="T2266" s="22"/>
    </row>
    <row r="2267">
      <c r="A2267" s="23" t="s">
        <v>16121</v>
      </c>
      <c r="B2267" s="77" t="s">
        <v>21</v>
      </c>
      <c r="C2267" s="41">
        <v>45468.0</v>
      </c>
      <c r="D2267" s="40" t="s">
        <v>16122</v>
      </c>
      <c r="E2267" s="41" t="s">
        <v>16123</v>
      </c>
      <c r="F2267" s="43" t="s">
        <v>16124</v>
      </c>
      <c r="G2267" s="43" t="s">
        <v>16125</v>
      </c>
      <c r="H2267" s="51" t="s">
        <v>148</v>
      </c>
      <c r="I2267" s="25" t="str">
        <f>IFERROR(__xludf.DUMMYFUNCTION("GOOGLETRANSLATE(H2267,""EN"",""ES"")"),"Gastronomía")</f>
        <v>Gastronomía</v>
      </c>
      <c r="J2267" s="26" t="s">
        <v>27</v>
      </c>
      <c r="K2267" s="17">
        <v>0.0</v>
      </c>
      <c r="L2267" s="54"/>
      <c r="M2267" s="31"/>
      <c r="N2267" s="66"/>
      <c r="O2267" s="66"/>
      <c r="P2267" s="20">
        <v>0.0</v>
      </c>
      <c r="Q2267" s="31"/>
      <c r="R2267" s="31"/>
      <c r="S2267" s="79"/>
      <c r="T2267" s="32"/>
    </row>
    <row r="2268">
      <c r="A2268" s="33" t="s">
        <v>16126</v>
      </c>
      <c r="B2268" s="76" t="s">
        <v>16127</v>
      </c>
      <c r="C2268" s="41">
        <v>45469.0</v>
      </c>
      <c r="D2268" s="40" t="s">
        <v>16128</v>
      </c>
      <c r="E2268" s="41" t="s">
        <v>16129</v>
      </c>
      <c r="F2268" s="43" t="s">
        <v>16130</v>
      </c>
      <c r="G2268" s="43" t="s">
        <v>16131</v>
      </c>
      <c r="H2268" s="51" t="s">
        <v>148</v>
      </c>
      <c r="I2268" s="15" t="str">
        <f>IFERROR(__xludf.DUMMYFUNCTION("GOOGLETRANSLATE(H2268,""EN"",""ES"")"),"Gastronomía")</f>
        <v>Gastronomía</v>
      </c>
      <c r="J2268" s="16" t="s">
        <v>27</v>
      </c>
      <c r="K2268" s="17">
        <v>0.0</v>
      </c>
      <c r="L2268" s="45"/>
      <c r="M2268" s="18"/>
      <c r="N2268" s="65"/>
      <c r="O2268" s="65"/>
      <c r="P2268" s="20">
        <v>0.0</v>
      </c>
      <c r="Q2268" s="18"/>
      <c r="R2268" s="18"/>
      <c r="S2268" s="80"/>
      <c r="T2268" s="22"/>
    </row>
    <row r="2269">
      <c r="A2269" s="23" t="s">
        <v>16132</v>
      </c>
      <c r="B2269" s="77" t="s">
        <v>163</v>
      </c>
      <c r="C2269" s="41">
        <v>45469.0</v>
      </c>
      <c r="D2269" s="40" t="s">
        <v>16133</v>
      </c>
      <c r="E2269" s="41" t="s">
        <v>16134</v>
      </c>
      <c r="F2269" s="43" t="s">
        <v>16135</v>
      </c>
      <c r="G2269" s="43" t="s">
        <v>16136</v>
      </c>
      <c r="H2269" s="51" t="s">
        <v>130</v>
      </c>
      <c r="I2269" s="25" t="str">
        <f>IFERROR(__xludf.DUMMYFUNCTION("GOOGLETRANSLATE(H2269,""EN"",""ES"")"),"Sostenibilidad")</f>
        <v>Sostenibilidad</v>
      </c>
      <c r="J2269" s="26" t="s">
        <v>35</v>
      </c>
      <c r="K2269" s="48">
        <v>0.7</v>
      </c>
      <c r="L2269" s="49" t="s">
        <v>14759</v>
      </c>
      <c r="M2269" s="28" t="s">
        <v>14760</v>
      </c>
      <c r="N2269" s="66" t="s">
        <v>16137</v>
      </c>
      <c r="O2269" s="66" t="str">
        <f>IFERROR(__xludf.DUMMYFUNCTION("GOOGLETRANSLATE(N2269,""EN"",""ES"")"),"La ampliación de la infraestructura de carga de vehículos eléctricos respalda la transición a energías limpias de Repsol.")</f>
        <v>La ampliación de la infraestructura de carga de vehículos eléctricos respalda la transición a energías limpias de Repsol.</v>
      </c>
      <c r="P2269" s="30">
        <v>0.0</v>
      </c>
      <c r="Q2269" s="31"/>
      <c r="R2269" s="31"/>
      <c r="S2269" s="79"/>
      <c r="T2269" s="32"/>
    </row>
    <row r="2270">
      <c r="A2270" s="33" t="s">
        <v>16138</v>
      </c>
      <c r="B2270" s="76" t="s">
        <v>6429</v>
      </c>
      <c r="C2270" s="41">
        <v>45469.0</v>
      </c>
      <c r="D2270" s="40" t="s">
        <v>16139</v>
      </c>
      <c r="E2270" s="41" t="s">
        <v>16140</v>
      </c>
      <c r="F2270" s="43" t="s">
        <v>16141</v>
      </c>
      <c r="G2270" s="43" t="s">
        <v>16142</v>
      </c>
      <c r="H2270" s="51" t="s">
        <v>148</v>
      </c>
      <c r="I2270" s="15" t="str">
        <f>IFERROR(__xludf.DUMMYFUNCTION("GOOGLETRANSLATE(H2270,""EN"",""ES"")"),"Gastronomía")</f>
        <v>Gastronomía</v>
      </c>
      <c r="J2270" s="16" t="s">
        <v>27</v>
      </c>
      <c r="K2270" s="17">
        <v>0.0</v>
      </c>
      <c r="L2270" s="45"/>
      <c r="M2270" s="18"/>
      <c r="N2270" s="65"/>
      <c r="O2270" s="65"/>
      <c r="P2270" s="20">
        <v>0.0</v>
      </c>
      <c r="Q2270" s="18"/>
      <c r="R2270" s="18"/>
      <c r="S2270" s="80"/>
      <c r="T2270" s="22"/>
    </row>
    <row r="2271">
      <c r="A2271" s="23" t="s">
        <v>16143</v>
      </c>
      <c r="B2271" s="77" t="s">
        <v>2442</v>
      </c>
      <c r="C2271" s="41">
        <v>45469.0</v>
      </c>
      <c r="D2271" s="40" t="s">
        <v>16144</v>
      </c>
      <c r="E2271" s="41" t="s">
        <v>16145</v>
      </c>
      <c r="F2271" s="43" t="s">
        <v>16146</v>
      </c>
      <c r="G2271" s="43" t="s">
        <v>16147</v>
      </c>
      <c r="H2271" s="51" t="s">
        <v>148</v>
      </c>
      <c r="I2271" s="25" t="str">
        <f>IFERROR(__xludf.DUMMYFUNCTION("GOOGLETRANSLATE(H2271,""EN"",""ES"")"),"Gastronomía")</f>
        <v>Gastronomía</v>
      </c>
      <c r="J2271" s="26" t="s">
        <v>27</v>
      </c>
      <c r="K2271" s="17">
        <v>0.0</v>
      </c>
      <c r="L2271" s="54"/>
      <c r="M2271" s="31"/>
      <c r="N2271" s="66"/>
      <c r="O2271" s="66"/>
      <c r="P2271" s="20">
        <v>0.0</v>
      </c>
      <c r="Q2271" s="31"/>
      <c r="R2271" s="31"/>
      <c r="S2271" s="79"/>
      <c r="T2271" s="32"/>
    </row>
    <row r="2272">
      <c r="A2272" s="33" t="s">
        <v>16148</v>
      </c>
      <c r="B2272" s="76" t="s">
        <v>1970</v>
      </c>
      <c r="C2272" s="41">
        <v>45469.0</v>
      </c>
      <c r="D2272" s="40" t="s">
        <v>16149</v>
      </c>
      <c r="E2272" s="41" t="s">
        <v>16150</v>
      </c>
      <c r="F2272" s="43" t="s">
        <v>16151</v>
      </c>
      <c r="G2272" s="43" t="s">
        <v>16152</v>
      </c>
      <c r="H2272" s="51" t="s">
        <v>148</v>
      </c>
      <c r="I2272" s="15" t="str">
        <f>IFERROR(__xludf.DUMMYFUNCTION("GOOGLETRANSLATE(H2272,""EN"",""ES"")"),"Gastronomía")</f>
        <v>Gastronomía</v>
      </c>
      <c r="J2272" s="16" t="s">
        <v>27</v>
      </c>
      <c r="K2272" s="17">
        <v>0.0</v>
      </c>
      <c r="L2272" s="45"/>
      <c r="M2272" s="18"/>
      <c r="N2272" s="65"/>
      <c r="O2272" s="65"/>
      <c r="P2272" s="20">
        <v>0.0</v>
      </c>
      <c r="Q2272" s="18"/>
      <c r="R2272" s="18"/>
      <c r="S2272" s="80"/>
      <c r="T2272" s="22"/>
    </row>
    <row r="2273">
      <c r="A2273" s="23" t="s">
        <v>16153</v>
      </c>
      <c r="B2273" s="77" t="s">
        <v>85</v>
      </c>
      <c r="C2273" s="41">
        <v>45469.0</v>
      </c>
      <c r="D2273" s="40" t="s">
        <v>16154</v>
      </c>
      <c r="E2273" s="41" t="s">
        <v>16155</v>
      </c>
      <c r="F2273" s="43" t="s">
        <v>16156</v>
      </c>
      <c r="G2273" s="43" t="s">
        <v>16157</v>
      </c>
      <c r="H2273" s="51" t="s">
        <v>148</v>
      </c>
      <c r="I2273" s="25" t="str">
        <f>IFERROR(__xludf.DUMMYFUNCTION("GOOGLETRANSLATE(H2273,""EN"",""ES"")"),"Gastronomía")</f>
        <v>Gastronomía</v>
      </c>
      <c r="J2273" s="26" t="s">
        <v>27</v>
      </c>
      <c r="K2273" s="17">
        <v>0.0</v>
      </c>
      <c r="L2273" s="54"/>
      <c r="M2273" s="31"/>
      <c r="N2273" s="66"/>
      <c r="O2273" s="66"/>
      <c r="P2273" s="20">
        <v>0.0</v>
      </c>
      <c r="Q2273" s="31"/>
      <c r="R2273" s="31"/>
      <c r="S2273" s="79"/>
      <c r="T2273" s="32"/>
    </row>
    <row r="2274">
      <c r="A2274" s="33" t="s">
        <v>16158</v>
      </c>
      <c r="B2274" s="76" t="s">
        <v>16159</v>
      </c>
      <c r="C2274" s="41">
        <v>45469.0</v>
      </c>
      <c r="D2274" s="40" t="s">
        <v>16160</v>
      </c>
      <c r="E2274" s="41" t="s">
        <v>16161</v>
      </c>
      <c r="F2274" s="43" t="s">
        <v>16162</v>
      </c>
      <c r="G2274" s="43" t="s">
        <v>16163</v>
      </c>
      <c r="H2274" s="51" t="s">
        <v>130</v>
      </c>
      <c r="I2274" s="15" t="str">
        <f>IFERROR(__xludf.DUMMYFUNCTION("GOOGLETRANSLATE(H2274,""EN"",""ES"")"),"Sostenibilidad")</f>
        <v>Sostenibilidad</v>
      </c>
      <c r="J2274" s="16" t="s">
        <v>35</v>
      </c>
      <c r="K2274" s="48">
        <v>0.6</v>
      </c>
      <c r="L2274" s="51" t="s">
        <v>13558</v>
      </c>
      <c r="M2274" s="34" t="s">
        <v>13559</v>
      </c>
      <c r="N2274" s="65" t="s">
        <v>16164</v>
      </c>
      <c r="O2274" s="65" t="str">
        <f>IFERROR(__xludf.DUMMYFUNCTION("GOOGLETRANSLATE(N2274,""EN"",""ES"")"),"Apoyar una transición energética equilibrada se alinea con la visión estratégica de Repsol.")</f>
        <v>Apoyar una transición energética equilibrada se alinea con la visión estratégica de Repsol.</v>
      </c>
      <c r="P2274" s="30">
        <v>0.0</v>
      </c>
      <c r="Q2274" s="18"/>
      <c r="R2274" s="18"/>
      <c r="S2274" s="80"/>
      <c r="T2274" s="22"/>
    </row>
    <row r="2275">
      <c r="A2275" s="23" t="s">
        <v>16165</v>
      </c>
      <c r="B2275" s="77" t="s">
        <v>163</v>
      </c>
      <c r="C2275" s="41">
        <v>45469.0</v>
      </c>
      <c r="D2275" s="40" t="s">
        <v>16166</v>
      </c>
      <c r="E2275" s="41" t="s">
        <v>16167</v>
      </c>
      <c r="F2275" s="43" t="s">
        <v>16168</v>
      </c>
      <c r="G2275" s="43" t="s">
        <v>16169</v>
      </c>
      <c r="H2275" s="51" t="s">
        <v>661</v>
      </c>
      <c r="I2275" s="25" t="str">
        <f>IFERROR(__xludf.DUMMYFUNCTION("GOOGLETRANSLATE(H2275,""EN"",""ES"")"),"Estrategia empresarial")</f>
        <v>Estrategia empresarial</v>
      </c>
      <c r="J2275" s="26" t="s">
        <v>35</v>
      </c>
      <c r="K2275" s="48">
        <v>0.6</v>
      </c>
      <c r="L2275" s="49" t="s">
        <v>16170</v>
      </c>
      <c r="M2275" s="28" t="s">
        <v>16171</v>
      </c>
      <c r="N2275" s="66" t="s">
        <v>16172</v>
      </c>
      <c r="O2275" s="66" t="str">
        <f>IFERROR(__xludf.DUMMYFUNCTION("GOOGLETRANSLATE(N2275,""EN"",""ES"")"),"El avance de las soluciones tecnológicas refuerza el liderazgo de Repsol en innovación energética.")</f>
        <v>El avance de las soluciones tecnológicas refuerza el liderazgo de Repsol en innovación energética.</v>
      </c>
      <c r="P2275" s="30">
        <v>0.0</v>
      </c>
      <c r="Q2275" s="31"/>
      <c r="R2275" s="31"/>
      <c r="S2275" s="79"/>
      <c r="T2275" s="32"/>
    </row>
    <row r="2276">
      <c r="A2276" s="33" t="s">
        <v>16173</v>
      </c>
      <c r="B2276" s="76" t="s">
        <v>2008</v>
      </c>
      <c r="C2276" s="41">
        <v>45469.0</v>
      </c>
      <c r="D2276" s="40" t="s">
        <v>16174</v>
      </c>
      <c r="E2276" s="41" t="s">
        <v>16175</v>
      </c>
      <c r="F2276" s="43" t="s">
        <v>16176</v>
      </c>
      <c r="G2276" s="43" t="s">
        <v>16177</v>
      </c>
      <c r="H2276" s="51" t="s">
        <v>148</v>
      </c>
      <c r="I2276" s="15" t="str">
        <f>IFERROR(__xludf.DUMMYFUNCTION("GOOGLETRANSLATE(H2276,""EN"",""ES"")"),"Gastronomía")</f>
        <v>Gastronomía</v>
      </c>
      <c r="J2276" s="16" t="s">
        <v>27</v>
      </c>
      <c r="K2276" s="17">
        <v>0.0</v>
      </c>
      <c r="L2276" s="45"/>
      <c r="M2276" s="18"/>
      <c r="N2276" s="65"/>
      <c r="O2276" s="65"/>
      <c r="P2276" s="20">
        <v>0.0</v>
      </c>
      <c r="Q2276" s="18"/>
      <c r="R2276" s="18"/>
      <c r="S2276" s="80"/>
      <c r="T2276" s="22"/>
    </row>
    <row r="2277">
      <c r="A2277" s="23" t="s">
        <v>16178</v>
      </c>
      <c r="B2277" s="77" t="s">
        <v>16179</v>
      </c>
      <c r="C2277" s="41">
        <v>45469.0</v>
      </c>
      <c r="D2277" s="40" t="s">
        <v>16180</v>
      </c>
      <c r="E2277" s="41" t="s">
        <v>16181</v>
      </c>
      <c r="F2277" s="43" t="s">
        <v>16182</v>
      </c>
      <c r="G2277" s="43" t="s">
        <v>16183</v>
      </c>
      <c r="H2277" s="51" t="s">
        <v>148</v>
      </c>
      <c r="I2277" s="25" t="str">
        <f>IFERROR(__xludf.DUMMYFUNCTION("GOOGLETRANSLATE(H2277,""EN"",""ES"")"),"Gastronomía")</f>
        <v>Gastronomía</v>
      </c>
      <c r="J2277" s="26" t="s">
        <v>27</v>
      </c>
      <c r="K2277" s="17">
        <v>0.0</v>
      </c>
      <c r="L2277" s="54"/>
      <c r="M2277" s="31"/>
      <c r="N2277" s="66"/>
      <c r="O2277" s="66"/>
      <c r="P2277" s="20">
        <v>0.0</v>
      </c>
      <c r="Q2277" s="31"/>
      <c r="R2277" s="31"/>
      <c r="S2277" s="79"/>
      <c r="T2277" s="32"/>
    </row>
    <row r="2278">
      <c r="A2278" s="33" t="s">
        <v>16184</v>
      </c>
      <c r="B2278" s="76" t="s">
        <v>1005</v>
      </c>
      <c r="C2278" s="41">
        <v>45469.0</v>
      </c>
      <c r="D2278" s="40" t="s">
        <v>16185</v>
      </c>
      <c r="E2278" s="41" t="s">
        <v>16186</v>
      </c>
      <c r="F2278" s="43" t="s">
        <v>16187</v>
      </c>
      <c r="G2278" s="43" t="s">
        <v>16188</v>
      </c>
      <c r="H2278" s="51" t="s">
        <v>148</v>
      </c>
      <c r="I2278" s="15" t="str">
        <f>IFERROR(__xludf.DUMMYFUNCTION("GOOGLETRANSLATE(H2278,""EN"",""ES"")"),"Gastronomía")</f>
        <v>Gastronomía</v>
      </c>
      <c r="J2278" s="16" t="s">
        <v>27</v>
      </c>
      <c r="K2278" s="17">
        <v>0.0</v>
      </c>
      <c r="L2278" s="45"/>
      <c r="M2278" s="18"/>
      <c r="N2278" s="65"/>
      <c r="O2278" s="65"/>
      <c r="P2278" s="20">
        <v>0.0</v>
      </c>
      <c r="Q2278" s="18"/>
      <c r="R2278" s="18"/>
      <c r="S2278" s="80"/>
      <c r="T2278" s="22"/>
    </row>
    <row r="2279">
      <c r="A2279" s="23" t="s">
        <v>16189</v>
      </c>
      <c r="B2279" s="77" t="s">
        <v>6297</v>
      </c>
      <c r="C2279" s="41">
        <v>45469.0</v>
      </c>
      <c r="D2279" s="40" t="s">
        <v>16190</v>
      </c>
      <c r="E2279" s="41" t="s">
        <v>16191</v>
      </c>
      <c r="F2279" s="43" t="s">
        <v>16192</v>
      </c>
      <c r="G2279" s="43" t="s">
        <v>16193</v>
      </c>
      <c r="H2279" s="51" t="s">
        <v>148</v>
      </c>
      <c r="I2279" s="25" t="str">
        <f>IFERROR(__xludf.DUMMYFUNCTION("GOOGLETRANSLATE(H2279,""EN"",""ES"")"),"Gastronomía")</f>
        <v>Gastronomía</v>
      </c>
      <c r="J2279" s="26" t="s">
        <v>27</v>
      </c>
      <c r="K2279" s="17">
        <v>0.0</v>
      </c>
      <c r="L2279" s="54"/>
      <c r="M2279" s="31"/>
      <c r="N2279" s="66"/>
      <c r="O2279" s="66"/>
      <c r="P2279" s="20">
        <v>0.0</v>
      </c>
      <c r="Q2279" s="31"/>
      <c r="R2279" s="31"/>
      <c r="S2279" s="79"/>
      <c r="T2279" s="32"/>
    </row>
    <row r="2280">
      <c r="A2280" s="33" t="s">
        <v>16194</v>
      </c>
      <c r="B2280" s="76" t="s">
        <v>8214</v>
      </c>
      <c r="C2280" s="41">
        <v>45469.0</v>
      </c>
      <c r="D2280" s="40" t="s">
        <v>16195</v>
      </c>
      <c r="E2280" s="41" t="s">
        <v>16196</v>
      </c>
      <c r="F2280" s="43" t="s">
        <v>16197</v>
      </c>
      <c r="G2280" s="43" t="s">
        <v>16198</v>
      </c>
      <c r="H2280" s="51" t="s">
        <v>148</v>
      </c>
      <c r="I2280" s="15" t="str">
        <f>IFERROR(__xludf.DUMMYFUNCTION("GOOGLETRANSLATE(H2280,""EN"",""ES"")"),"Gastronomía")</f>
        <v>Gastronomía</v>
      </c>
      <c r="J2280" s="16" t="s">
        <v>27</v>
      </c>
      <c r="K2280" s="17">
        <v>0.0</v>
      </c>
      <c r="L2280" s="45"/>
      <c r="M2280" s="18"/>
      <c r="N2280" s="65"/>
      <c r="O2280" s="65"/>
      <c r="P2280" s="20">
        <v>0.0</v>
      </c>
      <c r="Q2280" s="18"/>
      <c r="R2280" s="18"/>
      <c r="S2280" s="80"/>
      <c r="T2280" s="22"/>
    </row>
    <row r="2281">
      <c r="A2281" s="23" t="s">
        <v>16199</v>
      </c>
      <c r="B2281" s="77" t="s">
        <v>6685</v>
      </c>
      <c r="C2281" s="41">
        <v>45469.0</v>
      </c>
      <c r="D2281" s="40" t="s">
        <v>16200</v>
      </c>
      <c r="E2281" s="41" t="s">
        <v>16201</v>
      </c>
      <c r="F2281" s="43" t="s">
        <v>16202</v>
      </c>
      <c r="G2281" s="43" t="s">
        <v>16203</v>
      </c>
      <c r="H2281" s="51" t="s">
        <v>148</v>
      </c>
      <c r="I2281" s="25" t="str">
        <f>IFERROR(__xludf.DUMMYFUNCTION("GOOGLETRANSLATE(H2281,""EN"",""ES"")"),"Gastronomía")</f>
        <v>Gastronomía</v>
      </c>
      <c r="J2281" s="26" t="s">
        <v>27</v>
      </c>
      <c r="K2281" s="17">
        <v>0.0</v>
      </c>
      <c r="L2281" s="54"/>
      <c r="M2281" s="31"/>
      <c r="N2281" s="66"/>
      <c r="O2281" s="66"/>
      <c r="P2281" s="20">
        <v>0.0</v>
      </c>
      <c r="Q2281" s="31"/>
      <c r="R2281" s="31"/>
      <c r="S2281" s="79"/>
      <c r="T2281" s="32"/>
    </row>
    <row r="2282">
      <c r="A2282" s="33" t="s">
        <v>16204</v>
      </c>
      <c r="B2282" s="76" t="s">
        <v>3734</v>
      </c>
      <c r="C2282" s="41">
        <v>45469.0</v>
      </c>
      <c r="D2282" s="40" t="s">
        <v>16205</v>
      </c>
      <c r="E2282" s="41" t="s">
        <v>16206</v>
      </c>
      <c r="F2282" s="43" t="s">
        <v>16207</v>
      </c>
      <c r="G2282" s="43" t="s">
        <v>16208</v>
      </c>
      <c r="H2282" s="51" t="s">
        <v>148</v>
      </c>
      <c r="I2282" s="15" t="str">
        <f>IFERROR(__xludf.DUMMYFUNCTION("GOOGLETRANSLATE(H2282,""EN"",""ES"")"),"Gastronomía")</f>
        <v>Gastronomía</v>
      </c>
      <c r="J2282" s="16" t="s">
        <v>27</v>
      </c>
      <c r="K2282" s="17">
        <v>0.0</v>
      </c>
      <c r="L2282" s="45"/>
      <c r="M2282" s="18"/>
      <c r="N2282" s="65"/>
      <c r="O2282" s="65"/>
      <c r="P2282" s="20">
        <v>0.0</v>
      </c>
      <c r="Q2282" s="18"/>
      <c r="R2282" s="18"/>
      <c r="S2282" s="80"/>
      <c r="T2282" s="22"/>
    </row>
    <row r="2283">
      <c r="A2283" s="23" t="s">
        <v>16209</v>
      </c>
      <c r="B2283" s="77" t="s">
        <v>4849</v>
      </c>
      <c r="C2283" s="41">
        <v>45469.0</v>
      </c>
      <c r="D2283" s="40" t="s">
        <v>16210</v>
      </c>
      <c r="E2283" s="41" t="s">
        <v>16211</v>
      </c>
      <c r="F2283" s="43" t="s">
        <v>16212</v>
      </c>
      <c r="G2283" s="43" t="s">
        <v>16213</v>
      </c>
      <c r="H2283" s="51" t="s">
        <v>148</v>
      </c>
      <c r="I2283" s="25" t="str">
        <f>IFERROR(__xludf.DUMMYFUNCTION("GOOGLETRANSLATE(H2283,""EN"",""ES"")"),"Gastronomía")</f>
        <v>Gastronomía</v>
      </c>
      <c r="J2283" s="26" t="s">
        <v>27</v>
      </c>
      <c r="K2283" s="17">
        <v>0.0</v>
      </c>
      <c r="L2283" s="54"/>
      <c r="M2283" s="31"/>
      <c r="N2283" s="66"/>
      <c r="O2283" s="66"/>
      <c r="P2283" s="20">
        <v>0.0</v>
      </c>
      <c r="Q2283" s="31"/>
      <c r="R2283" s="31"/>
      <c r="S2283" s="79"/>
      <c r="T2283" s="32"/>
    </row>
    <row r="2284">
      <c r="A2284" s="33" t="s">
        <v>16214</v>
      </c>
      <c r="B2284" s="76" t="s">
        <v>16215</v>
      </c>
      <c r="C2284" s="41">
        <v>45469.0</v>
      </c>
      <c r="D2284" s="40" t="s">
        <v>16216</v>
      </c>
      <c r="E2284" s="41" t="s">
        <v>16217</v>
      </c>
      <c r="F2284" s="43" t="s">
        <v>16218</v>
      </c>
      <c r="G2284" s="43" t="s">
        <v>16219</v>
      </c>
      <c r="H2284" s="51" t="s">
        <v>148</v>
      </c>
      <c r="I2284" s="15" t="str">
        <f>IFERROR(__xludf.DUMMYFUNCTION("GOOGLETRANSLATE(H2284,""EN"",""ES"")"),"Gastronomía")</f>
        <v>Gastronomía</v>
      </c>
      <c r="J2284" s="16" t="s">
        <v>27</v>
      </c>
      <c r="K2284" s="17">
        <v>0.0</v>
      </c>
      <c r="L2284" s="45"/>
      <c r="M2284" s="18"/>
      <c r="N2284" s="65"/>
      <c r="O2284" s="65"/>
      <c r="P2284" s="20">
        <v>0.0</v>
      </c>
      <c r="Q2284" s="18"/>
      <c r="R2284" s="18"/>
      <c r="S2284" s="80"/>
      <c r="T2284" s="22"/>
    </row>
    <row r="2285">
      <c r="A2285" s="23" t="s">
        <v>16220</v>
      </c>
      <c r="B2285" s="77" t="s">
        <v>16221</v>
      </c>
      <c r="C2285" s="41">
        <v>45469.0</v>
      </c>
      <c r="D2285" s="40" t="s">
        <v>16222</v>
      </c>
      <c r="E2285" s="41" t="s">
        <v>16223</v>
      </c>
      <c r="F2285" s="43" t="s">
        <v>16224</v>
      </c>
      <c r="G2285" s="43" t="s">
        <v>16225</v>
      </c>
      <c r="H2285" s="51" t="s">
        <v>148</v>
      </c>
      <c r="I2285" s="25" t="str">
        <f>IFERROR(__xludf.DUMMYFUNCTION("GOOGLETRANSLATE(H2285,""EN"",""ES"")"),"Gastronomía")</f>
        <v>Gastronomía</v>
      </c>
      <c r="J2285" s="26" t="s">
        <v>27</v>
      </c>
      <c r="K2285" s="17">
        <v>0.0</v>
      </c>
      <c r="L2285" s="54"/>
      <c r="M2285" s="31"/>
      <c r="N2285" s="66"/>
      <c r="O2285" s="66"/>
      <c r="P2285" s="20">
        <v>0.0</v>
      </c>
      <c r="Q2285" s="31"/>
      <c r="R2285" s="31"/>
      <c r="S2285" s="79"/>
      <c r="T2285" s="32"/>
    </row>
    <row r="2286">
      <c r="A2286" s="33" t="s">
        <v>16226</v>
      </c>
      <c r="B2286" s="76" t="s">
        <v>85</v>
      </c>
      <c r="C2286" s="41">
        <v>45469.0</v>
      </c>
      <c r="D2286" s="40" t="s">
        <v>16227</v>
      </c>
      <c r="E2286" s="41" t="s">
        <v>16228</v>
      </c>
      <c r="F2286" s="43" t="s">
        <v>16229</v>
      </c>
      <c r="G2286" s="43" t="s">
        <v>16230</v>
      </c>
      <c r="H2286" s="51" t="s">
        <v>148</v>
      </c>
      <c r="I2286" s="15" t="str">
        <f>IFERROR(__xludf.DUMMYFUNCTION("GOOGLETRANSLATE(H2286,""EN"",""ES"")"),"Gastronomía")</f>
        <v>Gastronomía</v>
      </c>
      <c r="J2286" s="16" t="s">
        <v>27</v>
      </c>
      <c r="K2286" s="17">
        <v>0.0</v>
      </c>
      <c r="L2286" s="45"/>
      <c r="M2286" s="18"/>
      <c r="N2286" s="65"/>
      <c r="O2286" s="65"/>
      <c r="P2286" s="20">
        <v>0.0</v>
      </c>
      <c r="Q2286" s="18"/>
      <c r="R2286" s="18"/>
      <c r="S2286" s="80"/>
      <c r="T2286" s="22"/>
    </row>
    <row r="2287">
      <c r="A2287" s="23" t="s">
        <v>16231</v>
      </c>
      <c r="B2287" s="77" t="s">
        <v>85</v>
      </c>
      <c r="C2287" s="41">
        <v>45469.0</v>
      </c>
      <c r="D2287" s="40" t="s">
        <v>16232</v>
      </c>
      <c r="E2287" s="41" t="s">
        <v>16233</v>
      </c>
      <c r="F2287" s="43" t="s">
        <v>16234</v>
      </c>
      <c r="G2287" s="43" t="s">
        <v>16235</v>
      </c>
      <c r="H2287" s="51" t="s">
        <v>148</v>
      </c>
      <c r="I2287" s="25" t="str">
        <f>IFERROR(__xludf.DUMMYFUNCTION("GOOGLETRANSLATE(H2287,""EN"",""ES"")"),"Gastronomía")</f>
        <v>Gastronomía</v>
      </c>
      <c r="J2287" s="26" t="s">
        <v>27</v>
      </c>
      <c r="K2287" s="17">
        <v>0.0</v>
      </c>
      <c r="L2287" s="54"/>
      <c r="M2287" s="31"/>
      <c r="N2287" s="66"/>
      <c r="O2287" s="66"/>
      <c r="P2287" s="20">
        <v>0.0</v>
      </c>
      <c r="Q2287" s="31"/>
      <c r="R2287" s="31"/>
      <c r="S2287" s="79"/>
      <c r="T2287" s="32"/>
    </row>
    <row r="2288">
      <c r="A2288" s="33" t="s">
        <v>16236</v>
      </c>
      <c r="B2288" s="76" t="s">
        <v>16237</v>
      </c>
      <c r="C2288" s="41">
        <v>45469.0</v>
      </c>
      <c r="D2288" s="40" t="s">
        <v>16238</v>
      </c>
      <c r="E2288" s="41" t="s">
        <v>16239</v>
      </c>
      <c r="F2288" s="43" t="s">
        <v>16240</v>
      </c>
      <c r="G2288" s="43" t="s">
        <v>16241</v>
      </c>
      <c r="H2288" s="51" t="s">
        <v>148</v>
      </c>
      <c r="I2288" s="15" t="str">
        <f>IFERROR(__xludf.DUMMYFUNCTION("GOOGLETRANSLATE(H2288,""EN"",""ES"")"),"Gastronomía")</f>
        <v>Gastronomía</v>
      </c>
      <c r="J2288" s="16" t="s">
        <v>27</v>
      </c>
      <c r="K2288" s="17">
        <v>0.0</v>
      </c>
      <c r="L2288" s="45"/>
      <c r="M2288" s="18"/>
      <c r="N2288" s="65"/>
      <c r="O2288" s="65"/>
      <c r="P2288" s="20">
        <v>0.0</v>
      </c>
      <c r="Q2288" s="18"/>
      <c r="R2288" s="18"/>
      <c r="S2288" s="80"/>
      <c r="T2288" s="22"/>
    </row>
    <row r="2289">
      <c r="A2289" s="23" t="s">
        <v>16242</v>
      </c>
      <c r="B2289" s="77" t="s">
        <v>881</v>
      </c>
      <c r="C2289" s="41">
        <v>45469.0</v>
      </c>
      <c r="D2289" s="40" t="s">
        <v>16243</v>
      </c>
      <c r="E2289" s="41" t="s">
        <v>16244</v>
      </c>
      <c r="F2289" s="43" t="s">
        <v>16245</v>
      </c>
      <c r="G2289" s="43" t="s">
        <v>16246</v>
      </c>
      <c r="H2289" s="51" t="s">
        <v>148</v>
      </c>
      <c r="I2289" s="25" t="str">
        <f>IFERROR(__xludf.DUMMYFUNCTION("GOOGLETRANSLATE(H2289,""EN"",""ES"")"),"Gastronomía")</f>
        <v>Gastronomía</v>
      </c>
      <c r="J2289" s="26" t="s">
        <v>27</v>
      </c>
      <c r="K2289" s="17">
        <v>0.0</v>
      </c>
      <c r="L2289" s="54"/>
      <c r="M2289" s="31"/>
      <c r="N2289" s="66"/>
      <c r="O2289" s="66"/>
      <c r="P2289" s="20">
        <v>0.0</v>
      </c>
      <c r="Q2289" s="31"/>
      <c r="R2289" s="31"/>
      <c r="S2289" s="79"/>
      <c r="T2289" s="32"/>
    </row>
    <row r="2290">
      <c r="A2290" s="33" t="s">
        <v>16247</v>
      </c>
      <c r="B2290" s="76" t="s">
        <v>16248</v>
      </c>
      <c r="C2290" s="41">
        <v>45469.0</v>
      </c>
      <c r="D2290" s="40" t="s">
        <v>16249</v>
      </c>
      <c r="E2290" s="41" t="s">
        <v>16250</v>
      </c>
      <c r="F2290" s="43" t="s">
        <v>16251</v>
      </c>
      <c r="G2290" s="43" t="s">
        <v>16252</v>
      </c>
      <c r="H2290" s="51" t="s">
        <v>148</v>
      </c>
      <c r="I2290" s="15" t="str">
        <f>IFERROR(__xludf.DUMMYFUNCTION("GOOGLETRANSLATE(H2290,""EN"",""ES"")"),"Gastronomía")</f>
        <v>Gastronomía</v>
      </c>
      <c r="J2290" s="16" t="s">
        <v>27</v>
      </c>
      <c r="K2290" s="17">
        <v>0.0</v>
      </c>
      <c r="L2290" s="45"/>
      <c r="M2290" s="18"/>
      <c r="N2290" s="65"/>
      <c r="O2290" s="65"/>
      <c r="P2290" s="20">
        <v>0.0</v>
      </c>
      <c r="Q2290" s="18"/>
      <c r="R2290" s="18"/>
      <c r="S2290" s="80"/>
      <c r="T2290" s="22"/>
    </row>
    <row r="2291">
      <c r="A2291" s="23" t="s">
        <v>16253</v>
      </c>
      <c r="B2291" s="77" t="s">
        <v>16254</v>
      </c>
      <c r="C2291" s="41">
        <v>45469.0</v>
      </c>
      <c r="D2291" s="40" t="s">
        <v>16255</v>
      </c>
      <c r="E2291" s="41" t="s">
        <v>16256</v>
      </c>
      <c r="F2291" s="43" t="s">
        <v>16257</v>
      </c>
      <c r="G2291" s="43" t="s">
        <v>16258</v>
      </c>
      <c r="H2291" s="51" t="s">
        <v>148</v>
      </c>
      <c r="I2291" s="25" t="str">
        <f>IFERROR(__xludf.DUMMYFUNCTION("GOOGLETRANSLATE(H2291,""EN"",""ES"")"),"Gastronomía")</f>
        <v>Gastronomía</v>
      </c>
      <c r="J2291" s="26" t="s">
        <v>27</v>
      </c>
      <c r="K2291" s="17">
        <v>0.0</v>
      </c>
      <c r="L2291" s="54"/>
      <c r="M2291" s="31"/>
      <c r="N2291" s="66"/>
      <c r="O2291" s="66"/>
      <c r="P2291" s="20">
        <v>0.0</v>
      </c>
      <c r="Q2291" s="31"/>
      <c r="R2291" s="31"/>
      <c r="S2291" s="79"/>
      <c r="T2291" s="32"/>
    </row>
    <row r="2292">
      <c r="A2292" s="33" t="s">
        <v>16259</v>
      </c>
      <c r="B2292" s="76" t="s">
        <v>977</v>
      </c>
      <c r="C2292" s="41">
        <v>45469.0</v>
      </c>
      <c r="D2292" s="40" t="s">
        <v>16260</v>
      </c>
      <c r="E2292" s="41" t="s">
        <v>16261</v>
      </c>
      <c r="F2292" s="43" t="s">
        <v>16262</v>
      </c>
      <c r="G2292" s="43" t="s">
        <v>16263</v>
      </c>
      <c r="H2292" s="51" t="s">
        <v>148</v>
      </c>
      <c r="I2292" s="15" t="str">
        <f>IFERROR(__xludf.DUMMYFUNCTION("GOOGLETRANSLATE(H2292,""EN"",""ES"")"),"Gastronomía")</f>
        <v>Gastronomía</v>
      </c>
      <c r="J2292" s="16" t="s">
        <v>27</v>
      </c>
      <c r="K2292" s="17">
        <v>0.0</v>
      </c>
      <c r="L2292" s="45"/>
      <c r="M2292" s="18"/>
      <c r="N2292" s="65"/>
      <c r="O2292" s="65"/>
      <c r="P2292" s="20">
        <v>0.0</v>
      </c>
      <c r="Q2292" s="18"/>
      <c r="R2292" s="18"/>
      <c r="S2292" s="80"/>
      <c r="T2292" s="22"/>
    </row>
    <row r="2293">
      <c r="A2293" s="23" t="s">
        <v>16264</v>
      </c>
      <c r="B2293" s="77" t="s">
        <v>2944</v>
      </c>
      <c r="C2293" s="41">
        <v>45469.0</v>
      </c>
      <c r="D2293" s="40" t="s">
        <v>16265</v>
      </c>
      <c r="E2293" s="41" t="s">
        <v>16266</v>
      </c>
      <c r="F2293" s="43" t="s">
        <v>16267</v>
      </c>
      <c r="G2293" s="43" t="s">
        <v>16268</v>
      </c>
      <c r="H2293" s="51" t="s">
        <v>148</v>
      </c>
      <c r="I2293" s="25" t="str">
        <f>IFERROR(__xludf.DUMMYFUNCTION("GOOGLETRANSLATE(H2293,""EN"",""ES"")"),"Gastronomía")</f>
        <v>Gastronomía</v>
      </c>
      <c r="J2293" s="26" t="s">
        <v>27</v>
      </c>
      <c r="K2293" s="17">
        <v>0.0</v>
      </c>
      <c r="L2293" s="54"/>
      <c r="M2293" s="31"/>
      <c r="N2293" s="66"/>
      <c r="O2293" s="66"/>
      <c r="P2293" s="20">
        <v>0.0</v>
      </c>
      <c r="Q2293" s="31"/>
      <c r="R2293" s="31"/>
      <c r="S2293" s="79"/>
      <c r="T2293" s="32"/>
    </row>
    <row r="2294">
      <c r="A2294" s="33" t="s">
        <v>16269</v>
      </c>
      <c r="B2294" s="76" t="s">
        <v>21</v>
      </c>
      <c r="C2294" s="41">
        <v>45469.0</v>
      </c>
      <c r="D2294" s="40" t="s">
        <v>16270</v>
      </c>
      <c r="E2294" s="41" t="s">
        <v>16271</v>
      </c>
      <c r="F2294" s="43" t="s">
        <v>16272</v>
      </c>
      <c r="G2294" s="43" t="s">
        <v>16273</v>
      </c>
      <c r="H2294" s="51" t="s">
        <v>148</v>
      </c>
      <c r="I2294" s="15" t="str">
        <f>IFERROR(__xludf.DUMMYFUNCTION("GOOGLETRANSLATE(H2294,""EN"",""ES"")"),"Gastronomía")</f>
        <v>Gastronomía</v>
      </c>
      <c r="J2294" s="16" t="s">
        <v>27</v>
      </c>
      <c r="K2294" s="17">
        <v>0.0</v>
      </c>
      <c r="L2294" s="45"/>
      <c r="M2294" s="18"/>
      <c r="N2294" s="65"/>
      <c r="O2294" s="65"/>
      <c r="P2294" s="20">
        <v>0.0</v>
      </c>
      <c r="Q2294" s="18"/>
      <c r="R2294" s="18"/>
      <c r="S2294" s="80"/>
      <c r="T2294" s="22"/>
    </row>
    <row r="2295">
      <c r="A2295" s="23" t="s">
        <v>16274</v>
      </c>
      <c r="B2295" s="77" t="s">
        <v>16275</v>
      </c>
      <c r="C2295" s="41">
        <v>45469.0</v>
      </c>
      <c r="D2295" s="40" t="s">
        <v>16276</v>
      </c>
      <c r="E2295" s="41" t="s">
        <v>16277</v>
      </c>
      <c r="F2295" s="43" t="s">
        <v>16278</v>
      </c>
      <c r="G2295" s="43" t="s">
        <v>16279</v>
      </c>
      <c r="H2295" s="51" t="s">
        <v>148</v>
      </c>
      <c r="I2295" s="25" t="str">
        <f>IFERROR(__xludf.DUMMYFUNCTION("GOOGLETRANSLATE(H2295,""EN"",""ES"")"),"Gastronomía")</f>
        <v>Gastronomía</v>
      </c>
      <c r="J2295" s="26" t="s">
        <v>27</v>
      </c>
      <c r="K2295" s="17">
        <v>0.0</v>
      </c>
      <c r="L2295" s="54"/>
      <c r="M2295" s="31"/>
      <c r="N2295" s="66"/>
      <c r="O2295" s="66"/>
      <c r="P2295" s="20">
        <v>0.0</v>
      </c>
      <c r="Q2295" s="31"/>
      <c r="R2295" s="31"/>
      <c r="S2295" s="79"/>
      <c r="T2295" s="32"/>
    </row>
    <row r="2296">
      <c r="A2296" s="33" t="s">
        <v>16280</v>
      </c>
      <c r="B2296" s="76" t="s">
        <v>16281</v>
      </c>
      <c r="C2296" s="41">
        <v>45469.0</v>
      </c>
      <c r="D2296" s="40" t="s">
        <v>16282</v>
      </c>
      <c r="E2296" s="41" t="s">
        <v>16283</v>
      </c>
      <c r="F2296" s="43" t="s">
        <v>16284</v>
      </c>
      <c r="G2296" s="43" t="s">
        <v>16285</v>
      </c>
      <c r="H2296" s="51" t="s">
        <v>148</v>
      </c>
      <c r="I2296" s="15" t="str">
        <f>IFERROR(__xludf.DUMMYFUNCTION("GOOGLETRANSLATE(H2296,""EN"",""ES"")"),"Gastronomía")</f>
        <v>Gastronomía</v>
      </c>
      <c r="J2296" s="16" t="s">
        <v>27</v>
      </c>
      <c r="K2296" s="17">
        <v>0.0</v>
      </c>
      <c r="L2296" s="45"/>
      <c r="M2296" s="18"/>
      <c r="N2296" s="65"/>
      <c r="O2296" s="65"/>
      <c r="P2296" s="20">
        <v>0.0</v>
      </c>
      <c r="Q2296" s="18"/>
      <c r="R2296" s="18"/>
      <c r="S2296" s="80"/>
      <c r="T2296" s="22"/>
    </row>
    <row r="2297">
      <c r="A2297" s="23" t="s">
        <v>16286</v>
      </c>
      <c r="B2297" s="77" t="s">
        <v>4038</v>
      </c>
      <c r="C2297" s="41">
        <v>45469.0</v>
      </c>
      <c r="D2297" s="40" t="s">
        <v>16287</v>
      </c>
      <c r="E2297" s="41" t="s">
        <v>16288</v>
      </c>
      <c r="F2297" s="43" t="s">
        <v>16289</v>
      </c>
      <c r="G2297" s="43" t="s">
        <v>16290</v>
      </c>
      <c r="H2297" s="51" t="s">
        <v>408</v>
      </c>
      <c r="I2297" s="25" t="str">
        <f>IFERROR(__xludf.DUMMYFUNCTION("GOOGLETRANSLATE(H2297,""EN"",""ES"")"),"Legal")</f>
        <v>Legal</v>
      </c>
      <c r="J2297" s="26" t="s">
        <v>35</v>
      </c>
      <c r="K2297" s="48">
        <v>0.0</v>
      </c>
      <c r="L2297" s="54"/>
      <c r="M2297" s="31"/>
      <c r="N2297" s="66" t="s">
        <v>16291</v>
      </c>
      <c r="O2297" s="66" t="str">
        <f>IFERROR(__xludf.DUMMYFUNCTION("GOOGLETRANSLATE(N2297,""EN"",""ES"")"),"Los conflictos legales medioambientales no impactan en la percepción corporativa de Repsol.")</f>
        <v>Los conflictos legales medioambientales no impactan en la percepción corporativa de Repsol.</v>
      </c>
      <c r="P2297" s="30">
        <v>0.0</v>
      </c>
      <c r="Q2297" s="31"/>
      <c r="R2297" s="31"/>
      <c r="S2297" s="79"/>
      <c r="T2297" s="32"/>
    </row>
    <row r="2298">
      <c r="A2298" s="33" t="s">
        <v>16292</v>
      </c>
      <c r="B2298" s="76" t="s">
        <v>1081</v>
      </c>
      <c r="C2298" s="41">
        <v>45469.0</v>
      </c>
      <c r="D2298" s="40" t="s">
        <v>16293</v>
      </c>
      <c r="E2298" s="41" t="s">
        <v>16294</v>
      </c>
      <c r="F2298" s="43" t="s">
        <v>16295</v>
      </c>
      <c r="G2298" s="43" t="s">
        <v>16296</v>
      </c>
      <c r="H2298" s="51" t="s">
        <v>148</v>
      </c>
      <c r="I2298" s="15" t="str">
        <f>IFERROR(__xludf.DUMMYFUNCTION("GOOGLETRANSLATE(H2298,""EN"",""ES"")"),"Gastronomía")</f>
        <v>Gastronomía</v>
      </c>
      <c r="J2298" s="16" t="s">
        <v>27</v>
      </c>
      <c r="K2298" s="17">
        <v>0.0</v>
      </c>
      <c r="L2298" s="45"/>
      <c r="M2298" s="18"/>
      <c r="N2298" s="65"/>
      <c r="O2298" s="65"/>
      <c r="P2298" s="20">
        <v>0.0</v>
      </c>
      <c r="Q2298" s="18"/>
      <c r="R2298" s="18"/>
      <c r="S2298" s="80"/>
      <c r="T2298" s="22"/>
    </row>
    <row r="2299">
      <c r="A2299" s="23" t="s">
        <v>16297</v>
      </c>
      <c r="B2299" s="77" t="s">
        <v>6555</v>
      </c>
      <c r="C2299" s="41">
        <v>45469.0</v>
      </c>
      <c r="D2299" s="40" t="s">
        <v>16298</v>
      </c>
      <c r="E2299" s="41" t="s">
        <v>16299</v>
      </c>
      <c r="F2299" s="43" t="s">
        <v>16300</v>
      </c>
      <c r="G2299" s="43" t="s">
        <v>16301</v>
      </c>
      <c r="H2299" s="51" t="s">
        <v>148</v>
      </c>
      <c r="I2299" s="25" t="str">
        <f>IFERROR(__xludf.DUMMYFUNCTION("GOOGLETRANSLATE(H2299,""EN"",""ES"")"),"Gastronomía")</f>
        <v>Gastronomía</v>
      </c>
      <c r="J2299" s="26" t="s">
        <v>27</v>
      </c>
      <c r="K2299" s="17">
        <v>0.0</v>
      </c>
      <c r="L2299" s="54"/>
      <c r="M2299" s="31"/>
      <c r="N2299" s="66"/>
      <c r="O2299" s="66"/>
      <c r="P2299" s="20">
        <v>0.0</v>
      </c>
      <c r="Q2299" s="31"/>
      <c r="R2299" s="31"/>
      <c r="S2299" s="79"/>
      <c r="T2299" s="32"/>
    </row>
    <row r="2300">
      <c r="A2300" s="33" t="s">
        <v>16302</v>
      </c>
      <c r="B2300" s="76" t="s">
        <v>16303</v>
      </c>
      <c r="C2300" s="41">
        <v>45469.0</v>
      </c>
      <c r="D2300" s="40" t="s">
        <v>16304</v>
      </c>
      <c r="E2300" s="41" t="s">
        <v>16305</v>
      </c>
      <c r="F2300" s="43" t="s">
        <v>16306</v>
      </c>
      <c r="G2300" s="43" t="s">
        <v>16307</v>
      </c>
      <c r="H2300" s="51" t="s">
        <v>130</v>
      </c>
      <c r="I2300" s="15" t="str">
        <f>IFERROR(__xludf.DUMMYFUNCTION("GOOGLETRANSLATE(H2300,""EN"",""ES"")"),"Sostenibilidad")</f>
        <v>Sostenibilidad</v>
      </c>
      <c r="J2300" s="16" t="s">
        <v>35</v>
      </c>
      <c r="K2300" s="48">
        <v>0.6</v>
      </c>
      <c r="L2300" s="51" t="s">
        <v>15346</v>
      </c>
      <c r="M2300" s="34" t="s">
        <v>15347</v>
      </c>
      <c r="N2300" s="65" t="s">
        <v>16308</v>
      </c>
      <c r="O2300" s="65" t="str">
        <f>IFERROR(__xludf.DUMMYFUNCTION("GOOGLETRANSLATE(N2300,""EN"",""ES"")"),"El cierre de infraestructuras obsoletas de combustibles fósiles se alinea con la transición verde de Repsol.")</f>
        <v>El cierre de infraestructuras obsoletas de combustibles fósiles se alinea con la transición verde de Repsol.</v>
      </c>
      <c r="P2300" s="30">
        <v>-0.3</v>
      </c>
      <c r="Q2300" s="18" t="str">
        <f>IFERROR(__xludf.DUMMYFUNCTION("GOOGLETRANSLATE(R2300,""ES"",""EN"")"),"disassembly")</f>
        <v>disassembly</v>
      </c>
      <c r="R2300" s="34" t="s">
        <v>16309</v>
      </c>
      <c r="S2300" s="52" t="s">
        <v>16310</v>
      </c>
      <c r="T2300" s="22" t="s">
        <v>16311</v>
      </c>
    </row>
    <row r="2301">
      <c r="A2301" s="23" t="s">
        <v>16312</v>
      </c>
      <c r="B2301" s="77" t="s">
        <v>85</v>
      </c>
      <c r="C2301" s="41">
        <v>45469.0</v>
      </c>
      <c r="D2301" s="40" t="s">
        <v>16313</v>
      </c>
      <c r="E2301" s="41" t="s">
        <v>16314</v>
      </c>
      <c r="F2301" s="43" t="s">
        <v>16315</v>
      </c>
      <c r="G2301" s="43" t="s">
        <v>16316</v>
      </c>
      <c r="H2301" s="51" t="s">
        <v>148</v>
      </c>
      <c r="I2301" s="25" t="str">
        <f>IFERROR(__xludf.DUMMYFUNCTION("GOOGLETRANSLATE(H2301,""EN"",""ES"")"),"Gastronomía")</f>
        <v>Gastronomía</v>
      </c>
      <c r="J2301" s="26" t="s">
        <v>27</v>
      </c>
      <c r="K2301" s="17">
        <v>0.0</v>
      </c>
      <c r="L2301" s="54"/>
      <c r="M2301" s="31"/>
      <c r="N2301" s="66"/>
      <c r="O2301" s="66"/>
      <c r="P2301" s="20">
        <v>0.0</v>
      </c>
      <c r="Q2301" s="31"/>
      <c r="R2301" s="31"/>
      <c r="S2301" s="53"/>
      <c r="T2301" s="32"/>
    </row>
    <row r="2302">
      <c r="A2302" s="33" t="s">
        <v>16317</v>
      </c>
      <c r="B2302" s="76" t="s">
        <v>1577</v>
      </c>
      <c r="C2302" s="41">
        <v>45469.0</v>
      </c>
      <c r="D2302" s="40" t="s">
        <v>16318</v>
      </c>
      <c r="E2302" s="41" t="s">
        <v>16319</v>
      </c>
      <c r="F2302" s="43" t="s">
        <v>16320</v>
      </c>
      <c r="G2302" s="43" t="s">
        <v>16321</v>
      </c>
      <c r="H2302" s="51" t="s">
        <v>148</v>
      </c>
      <c r="I2302" s="15" t="str">
        <f>IFERROR(__xludf.DUMMYFUNCTION("GOOGLETRANSLATE(H2302,""EN"",""ES"")"),"Gastronomía")</f>
        <v>Gastronomía</v>
      </c>
      <c r="J2302" s="16" t="s">
        <v>27</v>
      </c>
      <c r="K2302" s="17">
        <v>0.0</v>
      </c>
      <c r="L2302" s="45"/>
      <c r="M2302" s="18"/>
      <c r="N2302" s="65"/>
      <c r="O2302" s="65"/>
      <c r="P2302" s="20">
        <v>0.0</v>
      </c>
      <c r="Q2302" s="18"/>
      <c r="R2302" s="18"/>
      <c r="S2302" s="52"/>
      <c r="T2302" s="22"/>
    </row>
    <row r="2303">
      <c r="A2303" s="23" t="s">
        <v>16322</v>
      </c>
      <c r="B2303" s="77" t="s">
        <v>7469</v>
      </c>
      <c r="C2303" s="41">
        <v>45469.0</v>
      </c>
      <c r="D2303" s="40" t="s">
        <v>16323</v>
      </c>
      <c r="E2303" s="41" t="s">
        <v>16324</v>
      </c>
      <c r="F2303" s="43" t="s">
        <v>16325</v>
      </c>
      <c r="G2303" s="43" t="s">
        <v>16326</v>
      </c>
      <c r="H2303" s="51" t="s">
        <v>148</v>
      </c>
      <c r="I2303" s="25" t="str">
        <f>IFERROR(__xludf.DUMMYFUNCTION("GOOGLETRANSLATE(H2303,""EN"",""ES"")"),"Gastronomía")</f>
        <v>Gastronomía</v>
      </c>
      <c r="J2303" s="26" t="s">
        <v>27</v>
      </c>
      <c r="K2303" s="17">
        <v>0.0</v>
      </c>
      <c r="L2303" s="54"/>
      <c r="M2303" s="31"/>
      <c r="N2303" s="66"/>
      <c r="O2303" s="66"/>
      <c r="P2303" s="20">
        <v>0.0</v>
      </c>
      <c r="Q2303" s="31"/>
      <c r="R2303" s="31"/>
      <c r="S2303" s="53"/>
      <c r="T2303" s="32"/>
    </row>
    <row r="2304">
      <c r="A2304" s="33" t="s">
        <v>16327</v>
      </c>
      <c r="B2304" s="76" t="s">
        <v>16303</v>
      </c>
      <c r="C2304" s="41">
        <v>45469.0</v>
      </c>
      <c r="D2304" s="40" t="s">
        <v>16328</v>
      </c>
      <c r="E2304" s="41" t="s">
        <v>16329</v>
      </c>
      <c r="F2304" s="43" t="s">
        <v>16330</v>
      </c>
      <c r="G2304" s="43" t="s">
        <v>16331</v>
      </c>
      <c r="H2304" s="51" t="s">
        <v>148</v>
      </c>
      <c r="I2304" s="15" t="str">
        <f>IFERROR(__xludf.DUMMYFUNCTION("GOOGLETRANSLATE(H2304,""EN"",""ES"")"),"Gastronomía")</f>
        <v>Gastronomía</v>
      </c>
      <c r="J2304" s="16" t="s">
        <v>27</v>
      </c>
      <c r="K2304" s="17">
        <v>0.0</v>
      </c>
      <c r="L2304" s="45"/>
      <c r="M2304" s="18"/>
      <c r="N2304" s="65"/>
      <c r="O2304" s="65"/>
      <c r="P2304" s="20">
        <v>0.0</v>
      </c>
      <c r="Q2304" s="18"/>
      <c r="R2304" s="18"/>
      <c r="S2304" s="52"/>
      <c r="T2304" s="22"/>
    </row>
    <row r="2305">
      <c r="A2305" s="23" t="s">
        <v>16332</v>
      </c>
      <c r="B2305" s="77" t="s">
        <v>6539</v>
      </c>
      <c r="C2305" s="41">
        <v>45469.0</v>
      </c>
      <c r="D2305" s="40" t="s">
        <v>16333</v>
      </c>
      <c r="E2305" s="41" t="s">
        <v>16334</v>
      </c>
      <c r="F2305" s="43" t="s">
        <v>16335</v>
      </c>
      <c r="G2305" s="43" t="s">
        <v>16336</v>
      </c>
      <c r="H2305" s="51" t="s">
        <v>148</v>
      </c>
      <c r="I2305" s="25" t="str">
        <f>IFERROR(__xludf.DUMMYFUNCTION("GOOGLETRANSLATE(H2305,""EN"",""ES"")"),"Gastronomía")</f>
        <v>Gastronomía</v>
      </c>
      <c r="J2305" s="26" t="s">
        <v>27</v>
      </c>
      <c r="K2305" s="17">
        <v>0.0</v>
      </c>
      <c r="L2305" s="54"/>
      <c r="M2305" s="31"/>
      <c r="N2305" s="66"/>
      <c r="O2305" s="66"/>
      <c r="P2305" s="20">
        <v>0.0</v>
      </c>
      <c r="Q2305" s="31"/>
      <c r="R2305" s="31"/>
      <c r="S2305" s="53"/>
      <c r="T2305" s="32"/>
    </row>
    <row r="2306">
      <c r="A2306" s="33" t="s">
        <v>16337</v>
      </c>
      <c r="B2306" s="76" t="s">
        <v>21</v>
      </c>
      <c r="C2306" s="41">
        <v>45469.0</v>
      </c>
      <c r="D2306" s="40" t="s">
        <v>16338</v>
      </c>
      <c r="E2306" s="41" t="s">
        <v>16339</v>
      </c>
      <c r="F2306" s="43" t="s">
        <v>16340</v>
      </c>
      <c r="G2306" s="43" t="s">
        <v>16341</v>
      </c>
      <c r="H2306" s="51" t="s">
        <v>148</v>
      </c>
      <c r="I2306" s="15" t="str">
        <f>IFERROR(__xludf.DUMMYFUNCTION("GOOGLETRANSLATE(H2306,""EN"",""ES"")"),"Gastronomía")</f>
        <v>Gastronomía</v>
      </c>
      <c r="J2306" s="16" t="s">
        <v>27</v>
      </c>
      <c r="K2306" s="17">
        <v>0.0</v>
      </c>
      <c r="L2306" s="45"/>
      <c r="M2306" s="18"/>
      <c r="N2306" s="65"/>
      <c r="O2306" s="65"/>
      <c r="P2306" s="20">
        <v>0.0</v>
      </c>
      <c r="Q2306" s="18"/>
      <c r="R2306" s="18"/>
      <c r="S2306" s="52"/>
      <c r="T2306" s="22"/>
    </row>
    <row r="2307">
      <c r="A2307" s="23" t="s">
        <v>16342</v>
      </c>
      <c r="B2307" s="77" t="s">
        <v>2072</v>
      </c>
      <c r="C2307" s="41">
        <v>45469.0</v>
      </c>
      <c r="D2307" s="40" t="s">
        <v>16343</v>
      </c>
      <c r="E2307" s="41" t="s">
        <v>16344</v>
      </c>
      <c r="F2307" s="43" t="s">
        <v>16345</v>
      </c>
      <c r="G2307" s="43" t="s">
        <v>16346</v>
      </c>
      <c r="H2307" s="51" t="s">
        <v>148</v>
      </c>
      <c r="I2307" s="25" t="str">
        <f>IFERROR(__xludf.DUMMYFUNCTION("GOOGLETRANSLATE(H2307,""EN"",""ES"")"),"Gastronomía")</f>
        <v>Gastronomía</v>
      </c>
      <c r="J2307" s="26" t="s">
        <v>27</v>
      </c>
      <c r="K2307" s="17">
        <v>0.0</v>
      </c>
      <c r="L2307" s="54"/>
      <c r="M2307" s="31"/>
      <c r="N2307" s="66"/>
      <c r="O2307" s="66"/>
      <c r="P2307" s="20">
        <v>0.0</v>
      </c>
      <c r="Q2307" s="31"/>
      <c r="R2307" s="31"/>
      <c r="S2307" s="53"/>
      <c r="T2307" s="32"/>
    </row>
    <row r="2308">
      <c r="A2308" s="33" t="s">
        <v>16347</v>
      </c>
      <c r="B2308" s="76" t="s">
        <v>14911</v>
      </c>
      <c r="C2308" s="41">
        <v>45469.0</v>
      </c>
      <c r="D2308" s="40" t="s">
        <v>16348</v>
      </c>
      <c r="E2308" s="41" t="s">
        <v>16349</v>
      </c>
      <c r="F2308" s="43" t="s">
        <v>16350</v>
      </c>
      <c r="G2308" s="43" t="s">
        <v>16351</v>
      </c>
      <c r="H2308" s="51" t="s">
        <v>148</v>
      </c>
      <c r="I2308" s="15" t="str">
        <f>IFERROR(__xludf.DUMMYFUNCTION("GOOGLETRANSLATE(H2308,""EN"",""ES"")"),"Gastronomía")</f>
        <v>Gastronomía</v>
      </c>
      <c r="J2308" s="16" t="s">
        <v>27</v>
      </c>
      <c r="K2308" s="17">
        <v>0.0</v>
      </c>
      <c r="L2308" s="45"/>
      <c r="M2308" s="18"/>
      <c r="N2308" s="65"/>
      <c r="O2308" s="65"/>
      <c r="P2308" s="20">
        <v>0.0</v>
      </c>
      <c r="Q2308" s="18"/>
      <c r="R2308" s="18"/>
      <c r="S2308" s="52"/>
      <c r="T2308" s="22"/>
    </row>
    <row r="2309">
      <c r="A2309" s="23" t="s">
        <v>16352</v>
      </c>
      <c r="B2309" s="77" t="s">
        <v>3543</v>
      </c>
      <c r="C2309" s="41">
        <v>45469.0</v>
      </c>
      <c r="D2309" s="40" t="s">
        <v>16353</v>
      </c>
      <c r="E2309" s="41" t="s">
        <v>16354</v>
      </c>
      <c r="F2309" s="43" t="s">
        <v>16355</v>
      </c>
      <c r="G2309" s="43" t="s">
        <v>16356</v>
      </c>
      <c r="H2309" s="51" t="s">
        <v>148</v>
      </c>
      <c r="I2309" s="25" t="str">
        <f>IFERROR(__xludf.DUMMYFUNCTION("GOOGLETRANSLATE(H2309,""EN"",""ES"")"),"Gastronomía")</f>
        <v>Gastronomía</v>
      </c>
      <c r="J2309" s="26" t="s">
        <v>27</v>
      </c>
      <c r="K2309" s="17">
        <v>0.0</v>
      </c>
      <c r="L2309" s="54"/>
      <c r="M2309" s="31"/>
      <c r="N2309" s="66"/>
      <c r="O2309" s="66"/>
      <c r="P2309" s="20">
        <v>0.0</v>
      </c>
      <c r="Q2309" s="31"/>
      <c r="R2309" s="31"/>
      <c r="S2309" s="53"/>
      <c r="T2309" s="32"/>
    </row>
    <row r="2310">
      <c r="A2310" s="33" t="s">
        <v>16357</v>
      </c>
      <c r="B2310" s="76" t="s">
        <v>16358</v>
      </c>
      <c r="C2310" s="41">
        <v>45469.0</v>
      </c>
      <c r="D2310" s="40" t="s">
        <v>16359</v>
      </c>
      <c r="E2310" s="41" t="s">
        <v>16360</v>
      </c>
      <c r="F2310" s="43" t="s">
        <v>16361</v>
      </c>
      <c r="G2310" s="43" t="s">
        <v>16362</v>
      </c>
      <c r="H2310" s="51" t="s">
        <v>661</v>
      </c>
      <c r="I2310" s="15" t="str">
        <f>IFERROR(__xludf.DUMMYFUNCTION("GOOGLETRANSLATE(H2310,""EN"",""ES"")"),"Estrategia empresarial")</f>
        <v>Estrategia empresarial</v>
      </c>
      <c r="J2310" s="16" t="s">
        <v>27</v>
      </c>
      <c r="K2310" s="17">
        <v>0.0</v>
      </c>
      <c r="L2310" s="45"/>
      <c r="M2310" s="18"/>
      <c r="N2310" s="65"/>
      <c r="O2310" s="65"/>
      <c r="P2310" s="20">
        <v>0.0</v>
      </c>
      <c r="Q2310" s="18"/>
      <c r="R2310" s="18"/>
      <c r="S2310" s="52"/>
      <c r="T2310" s="22"/>
    </row>
    <row r="2311">
      <c r="A2311" s="23" t="s">
        <v>16363</v>
      </c>
      <c r="B2311" s="77" t="s">
        <v>6776</v>
      </c>
      <c r="C2311" s="41">
        <v>45469.0</v>
      </c>
      <c r="D2311" s="40" t="s">
        <v>16364</v>
      </c>
      <c r="E2311" s="41" t="s">
        <v>16365</v>
      </c>
      <c r="F2311" s="43" t="s">
        <v>16366</v>
      </c>
      <c r="G2311" s="43" t="s">
        <v>16367</v>
      </c>
      <c r="H2311" s="51" t="s">
        <v>148</v>
      </c>
      <c r="I2311" s="25" t="str">
        <f>IFERROR(__xludf.DUMMYFUNCTION("GOOGLETRANSLATE(H2311,""EN"",""ES"")"),"Gastronomía")</f>
        <v>Gastronomía</v>
      </c>
      <c r="J2311" s="26" t="s">
        <v>27</v>
      </c>
      <c r="K2311" s="17">
        <v>0.0</v>
      </c>
      <c r="L2311" s="54"/>
      <c r="M2311" s="31"/>
      <c r="N2311" s="66"/>
      <c r="O2311" s="66"/>
      <c r="P2311" s="20">
        <v>0.0</v>
      </c>
      <c r="Q2311" s="31"/>
      <c r="R2311" s="31"/>
      <c r="S2311" s="53"/>
      <c r="T2311" s="32"/>
    </row>
    <row r="2312">
      <c r="A2312" s="33" t="s">
        <v>16368</v>
      </c>
      <c r="B2312" s="76" t="s">
        <v>85</v>
      </c>
      <c r="C2312" s="41">
        <v>45469.0</v>
      </c>
      <c r="D2312" s="40" t="s">
        <v>16369</v>
      </c>
      <c r="E2312" s="41" t="s">
        <v>16370</v>
      </c>
      <c r="F2312" s="43" t="s">
        <v>16371</v>
      </c>
      <c r="G2312" s="43" t="s">
        <v>16372</v>
      </c>
      <c r="H2312" s="51" t="s">
        <v>148</v>
      </c>
      <c r="I2312" s="15" t="str">
        <f>IFERROR(__xludf.DUMMYFUNCTION("GOOGLETRANSLATE(H2312,""EN"",""ES"")"),"Gastronomía")</f>
        <v>Gastronomía</v>
      </c>
      <c r="J2312" s="16" t="s">
        <v>27</v>
      </c>
      <c r="K2312" s="17">
        <v>0.0</v>
      </c>
      <c r="L2312" s="45"/>
      <c r="M2312" s="18"/>
      <c r="N2312" s="65"/>
      <c r="O2312" s="65"/>
      <c r="P2312" s="20">
        <v>0.0</v>
      </c>
      <c r="Q2312" s="18"/>
      <c r="R2312" s="18"/>
      <c r="S2312" s="52"/>
      <c r="T2312" s="22"/>
    </row>
    <row r="2313">
      <c r="A2313" s="23" t="s">
        <v>16373</v>
      </c>
      <c r="B2313" s="77" t="s">
        <v>14879</v>
      </c>
      <c r="C2313" s="41">
        <v>45469.0</v>
      </c>
      <c r="D2313" s="40" t="s">
        <v>16374</v>
      </c>
      <c r="E2313" s="41" t="s">
        <v>16375</v>
      </c>
      <c r="F2313" s="43" t="s">
        <v>16376</v>
      </c>
      <c r="G2313" s="43" t="s">
        <v>16377</v>
      </c>
      <c r="H2313" s="51" t="s">
        <v>148</v>
      </c>
      <c r="I2313" s="25" t="str">
        <f>IFERROR(__xludf.DUMMYFUNCTION("GOOGLETRANSLATE(H2313,""EN"",""ES"")"),"Gastronomía")</f>
        <v>Gastronomía</v>
      </c>
      <c r="J2313" s="26" t="s">
        <v>27</v>
      </c>
      <c r="K2313" s="17">
        <v>0.0</v>
      </c>
      <c r="L2313" s="54"/>
      <c r="M2313" s="31"/>
      <c r="N2313" s="66"/>
      <c r="O2313" s="66"/>
      <c r="P2313" s="20">
        <v>0.0</v>
      </c>
      <c r="Q2313" s="31"/>
      <c r="R2313" s="31"/>
      <c r="S2313" s="53"/>
      <c r="T2313" s="32"/>
    </row>
    <row r="2314">
      <c r="A2314" s="33" t="s">
        <v>16378</v>
      </c>
      <c r="B2314" s="76" t="s">
        <v>21</v>
      </c>
      <c r="C2314" s="41">
        <v>45469.0</v>
      </c>
      <c r="D2314" s="40" t="s">
        <v>16379</v>
      </c>
      <c r="E2314" s="41" t="s">
        <v>16379</v>
      </c>
      <c r="F2314" s="43" t="s">
        <v>16380</v>
      </c>
      <c r="G2314" s="43" t="s">
        <v>16380</v>
      </c>
      <c r="H2314" s="51" t="s">
        <v>148</v>
      </c>
      <c r="I2314" s="15" t="str">
        <f>IFERROR(__xludf.DUMMYFUNCTION("GOOGLETRANSLATE(H2314,""EN"",""ES"")"),"Gastronomía")</f>
        <v>Gastronomía</v>
      </c>
      <c r="J2314" s="16" t="s">
        <v>27</v>
      </c>
      <c r="K2314" s="17">
        <v>0.0</v>
      </c>
      <c r="L2314" s="45"/>
      <c r="M2314" s="18"/>
      <c r="N2314" s="65"/>
      <c r="O2314" s="65"/>
      <c r="P2314" s="20">
        <v>0.0</v>
      </c>
      <c r="Q2314" s="18"/>
      <c r="R2314" s="18"/>
      <c r="S2314" s="52"/>
      <c r="T2314" s="22"/>
    </row>
    <row r="2315">
      <c r="A2315" s="23" t="s">
        <v>16381</v>
      </c>
      <c r="B2315" s="77" t="s">
        <v>6533</v>
      </c>
      <c r="C2315" s="41">
        <v>45469.0</v>
      </c>
      <c r="D2315" s="40" t="s">
        <v>16382</v>
      </c>
      <c r="E2315" s="41" t="s">
        <v>16383</v>
      </c>
      <c r="F2315" s="43" t="s">
        <v>16384</v>
      </c>
      <c r="G2315" s="43" t="s">
        <v>16385</v>
      </c>
      <c r="H2315" s="51" t="s">
        <v>148</v>
      </c>
      <c r="I2315" s="25" t="str">
        <f>IFERROR(__xludf.DUMMYFUNCTION("GOOGLETRANSLATE(H2315,""EN"",""ES"")"),"Gastronomía")</f>
        <v>Gastronomía</v>
      </c>
      <c r="J2315" s="26" t="s">
        <v>27</v>
      </c>
      <c r="K2315" s="17">
        <v>0.0</v>
      </c>
      <c r="L2315" s="54"/>
      <c r="M2315" s="31"/>
      <c r="N2315" s="66"/>
      <c r="O2315" s="66"/>
      <c r="P2315" s="20">
        <v>0.0</v>
      </c>
      <c r="Q2315" s="31"/>
      <c r="R2315" s="31"/>
      <c r="S2315" s="53"/>
      <c r="T2315" s="32"/>
    </row>
    <row r="2316">
      <c r="A2316" s="33" t="s">
        <v>16386</v>
      </c>
      <c r="B2316" s="76" t="s">
        <v>6835</v>
      </c>
      <c r="C2316" s="41">
        <v>45469.0</v>
      </c>
      <c r="D2316" s="40" t="s">
        <v>16387</v>
      </c>
      <c r="E2316" s="41" t="s">
        <v>16388</v>
      </c>
      <c r="F2316" s="43" t="s">
        <v>16389</v>
      </c>
      <c r="G2316" s="43" t="s">
        <v>16390</v>
      </c>
      <c r="H2316" s="51" t="s">
        <v>148</v>
      </c>
      <c r="I2316" s="15" t="str">
        <f>IFERROR(__xludf.DUMMYFUNCTION("GOOGLETRANSLATE(H2316,""EN"",""ES"")"),"Gastronomía")</f>
        <v>Gastronomía</v>
      </c>
      <c r="J2316" s="16" t="s">
        <v>27</v>
      </c>
      <c r="K2316" s="17">
        <v>0.0</v>
      </c>
      <c r="L2316" s="45"/>
      <c r="M2316" s="18"/>
      <c r="N2316" s="65"/>
      <c r="O2316" s="65"/>
      <c r="P2316" s="20">
        <v>0.0</v>
      </c>
      <c r="Q2316" s="18"/>
      <c r="R2316" s="18"/>
      <c r="S2316" s="52"/>
      <c r="T2316" s="22"/>
    </row>
    <row r="2317">
      <c r="A2317" s="23" t="s">
        <v>16391</v>
      </c>
      <c r="B2317" s="77" t="s">
        <v>5508</v>
      </c>
      <c r="C2317" s="41">
        <v>45469.0</v>
      </c>
      <c r="D2317" s="40" t="s">
        <v>16392</v>
      </c>
      <c r="E2317" s="41" t="s">
        <v>16393</v>
      </c>
      <c r="F2317" s="43" t="s">
        <v>16394</v>
      </c>
      <c r="G2317" s="43" t="s">
        <v>16395</v>
      </c>
      <c r="H2317" s="51" t="s">
        <v>148</v>
      </c>
      <c r="I2317" s="25" t="str">
        <f>IFERROR(__xludf.DUMMYFUNCTION("GOOGLETRANSLATE(H2317,""EN"",""ES"")"),"Gastronomía")</f>
        <v>Gastronomía</v>
      </c>
      <c r="J2317" s="26" t="s">
        <v>27</v>
      </c>
      <c r="K2317" s="17">
        <v>0.0</v>
      </c>
      <c r="L2317" s="54"/>
      <c r="M2317" s="31"/>
      <c r="N2317" s="66"/>
      <c r="O2317" s="66"/>
      <c r="P2317" s="20">
        <v>0.0</v>
      </c>
      <c r="Q2317" s="31"/>
      <c r="R2317" s="31"/>
      <c r="S2317" s="53"/>
      <c r="T2317" s="32"/>
    </row>
    <row r="2318">
      <c r="A2318" s="33" t="s">
        <v>16396</v>
      </c>
      <c r="B2318" s="76" t="s">
        <v>16397</v>
      </c>
      <c r="C2318" s="41">
        <v>45469.0</v>
      </c>
      <c r="D2318" s="40" t="s">
        <v>16398</v>
      </c>
      <c r="E2318" s="41" t="s">
        <v>16399</v>
      </c>
      <c r="F2318" s="43" t="s">
        <v>16400</v>
      </c>
      <c r="G2318" s="43" t="s">
        <v>16401</v>
      </c>
      <c r="H2318" s="51" t="s">
        <v>148</v>
      </c>
      <c r="I2318" s="15" t="str">
        <f>IFERROR(__xludf.DUMMYFUNCTION("GOOGLETRANSLATE(H2318,""EN"",""ES"")"),"Gastronomía")</f>
        <v>Gastronomía</v>
      </c>
      <c r="J2318" s="16" t="s">
        <v>27</v>
      </c>
      <c r="K2318" s="17">
        <v>0.0</v>
      </c>
      <c r="L2318" s="45"/>
      <c r="M2318" s="18"/>
      <c r="N2318" s="65"/>
      <c r="O2318" s="65"/>
      <c r="P2318" s="20">
        <v>0.0</v>
      </c>
      <c r="Q2318" s="18"/>
      <c r="R2318" s="18"/>
      <c r="S2318" s="52"/>
      <c r="T2318" s="22"/>
    </row>
    <row r="2319">
      <c r="A2319" s="23" t="s">
        <v>16402</v>
      </c>
      <c r="B2319" s="77" t="s">
        <v>16403</v>
      </c>
      <c r="C2319" s="41">
        <v>45469.0</v>
      </c>
      <c r="D2319" s="40" t="s">
        <v>16404</v>
      </c>
      <c r="E2319" s="41" t="s">
        <v>16405</v>
      </c>
      <c r="F2319" s="43" t="s">
        <v>16406</v>
      </c>
      <c r="G2319" s="43" t="s">
        <v>16407</v>
      </c>
      <c r="H2319" s="51" t="s">
        <v>148</v>
      </c>
      <c r="I2319" s="25" t="str">
        <f>IFERROR(__xludf.DUMMYFUNCTION("GOOGLETRANSLATE(H2319,""EN"",""ES"")"),"Gastronomía")</f>
        <v>Gastronomía</v>
      </c>
      <c r="J2319" s="26" t="s">
        <v>27</v>
      </c>
      <c r="K2319" s="17">
        <v>0.0</v>
      </c>
      <c r="L2319" s="54"/>
      <c r="M2319" s="31"/>
      <c r="N2319" s="66"/>
      <c r="O2319" s="66"/>
      <c r="P2319" s="20">
        <v>0.0</v>
      </c>
      <c r="Q2319" s="31"/>
      <c r="R2319" s="31"/>
      <c r="S2319" s="53"/>
      <c r="T2319" s="32"/>
    </row>
    <row r="2320">
      <c r="A2320" s="33" t="s">
        <v>16408</v>
      </c>
      <c r="B2320" s="76" t="s">
        <v>85</v>
      </c>
      <c r="C2320" s="41">
        <v>45469.0</v>
      </c>
      <c r="D2320" s="40" t="s">
        <v>16409</v>
      </c>
      <c r="E2320" s="41" t="s">
        <v>16410</v>
      </c>
      <c r="F2320" s="43" t="s">
        <v>16411</v>
      </c>
      <c r="G2320" s="43" t="s">
        <v>16412</v>
      </c>
      <c r="H2320" s="51" t="s">
        <v>148</v>
      </c>
      <c r="I2320" s="15" t="str">
        <f>IFERROR(__xludf.DUMMYFUNCTION("GOOGLETRANSLATE(H2320,""EN"",""ES"")"),"Gastronomía")</f>
        <v>Gastronomía</v>
      </c>
      <c r="J2320" s="16" t="s">
        <v>27</v>
      </c>
      <c r="K2320" s="17">
        <v>0.0</v>
      </c>
      <c r="L2320" s="45"/>
      <c r="M2320" s="18"/>
      <c r="N2320" s="65"/>
      <c r="O2320" s="65"/>
      <c r="P2320" s="20">
        <v>0.0</v>
      </c>
      <c r="Q2320" s="18"/>
      <c r="R2320" s="18"/>
      <c r="S2320" s="52"/>
      <c r="T2320" s="22"/>
    </row>
    <row r="2321">
      <c r="A2321" s="23" t="s">
        <v>16413</v>
      </c>
      <c r="B2321" s="77" t="s">
        <v>16414</v>
      </c>
      <c r="C2321" s="41">
        <v>45469.0</v>
      </c>
      <c r="D2321" s="40" t="s">
        <v>16415</v>
      </c>
      <c r="E2321" s="41" t="s">
        <v>16416</v>
      </c>
      <c r="F2321" s="43" t="s">
        <v>16417</v>
      </c>
      <c r="G2321" s="43" t="s">
        <v>16418</v>
      </c>
      <c r="H2321" s="51" t="s">
        <v>148</v>
      </c>
      <c r="I2321" s="25" t="str">
        <f>IFERROR(__xludf.DUMMYFUNCTION("GOOGLETRANSLATE(H2321,""EN"",""ES"")"),"Gastronomía")</f>
        <v>Gastronomía</v>
      </c>
      <c r="J2321" s="26" t="s">
        <v>27</v>
      </c>
      <c r="K2321" s="17">
        <v>0.0</v>
      </c>
      <c r="L2321" s="54"/>
      <c r="M2321" s="31"/>
      <c r="N2321" s="66"/>
      <c r="O2321" s="66"/>
      <c r="P2321" s="20">
        <v>0.0</v>
      </c>
      <c r="Q2321" s="31"/>
      <c r="R2321" s="31"/>
      <c r="S2321" s="53"/>
      <c r="T2321" s="32"/>
    </row>
    <row r="2322">
      <c r="A2322" s="33" t="s">
        <v>16419</v>
      </c>
      <c r="B2322" s="76" t="s">
        <v>85</v>
      </c>
      <c r="C2322" s="41">
        <v>45469.0</v>
      </c>
      <c r="D2322" s="40" t="s">
        <v>16420</v>
      </c>
      <c r="E2322" s="41" t="s">
        <v>16421</v>
      </c>
      <c r="F2322" s="43" t="s">
        <v>16422</v>
      </c>
      <c r="G2322" s="43" t="s">
        <v>16423</v>
      </c>
      <c r="H2322" s="51" t="s">
        <v>148</v>
      </c>
      <c r="I2322" s="15" t="str">
        <f>IFERROR(__xludf.DUMMYFUNCTION("GOOGLETRANSLATE(H2322,""EN"",""ES"")"),"Gastronomía")</f>
        <v>Gastronomía</v>
      </c>
      <c r="J2322" s="16" t="s">
        <v>27</v>
      </c>
      <c r="K2322" s="17">
        <v>0.0</v>
      </c>
      <c r="L2322" s="45"/>
      <c r="M2322" s="18"/>
      <c r="N2322" s="65"/>
      <c r="O2322" s="65"/>
      <c r="P2322" s="20">
        <v>0.0</v>
      </c>
      <c r="Q2322" s="18"/>
      <c r="R2322" s="18"/>
      <c r="S2322" s="52"/>
      <c r="T2322" s="22"/>
    </row>
    <row r="2323">
      <c r="A2323" s="23" t="s">
        <v>16424</v>
      </c>
      <c r="B2323" s="77" t="s">
        <v>12124</v>
      </c>
      <c r="C2323" s="41">
        <v>45469.0</v>
      </c>
      <c r="D2323" s="40" t="s">
        <v>16425</v>
      </c>
      <c r="E2323" s="41" t="s">
        <v>16426</v>
      </c>
      <c r="F2323" s="43" t="s">
        <v>16427</v>
      </c>
      <c r="G2323" s="43" t="s">
        <v>16428</v>
      </c>
      <c r="H2323" s="51" t="s">
        <v>130</v>
      </c>
      <c r="I2323" s="25" t="str">
        <f>IFERROR(__xludf.DUMMYFUNCTION("GOOGLETRANSLATE(H2323,""EN"",""ES"")"),"Sostenibilidad")</f>
        <v>Sostenibilidad</v>
      </c>
      <c r="J2323" s="26" t="s">
        <v>35</v>
      </c>
      <c r="K2323" s="48">
        <v>0.7</v>
      </c>
      <c r="L2323" s="49" t="s">
        <v>16429</v>
      </c>
      <c r="M2323" s="28" t="s">
        <v>16430</v>
      </c>
      <c r="N2323" s="66" t="s">
        <v>16431</v>
      </c>
      <c r="O2323" s="66" t="str">
        <f>IFERROR(__xludf.DUMMYFUNCTION("GOOGLETRANSLATE(N2323,""EN"",""ES"")"),"La ampliación de las estaciones de carga alimentadas por energía solar respalda la transición energética limpia de Repsol.")</f>
        <v>La ampliación de las estaciones de carga alimentadas por energía solar respalda la transición energética limpia de Repsol.</v>
      </c>
      <c r="P2323" s="30">
        <v>0.8</v>
      </c>
      <c r="Q2323" s="31" t="str">
        <f>IFERROR(__xludf.DUMMYFUNCTION("GOOGLETRANSLATE(R2323,""ES"",""EN"")"),"inaugurates, electric station")</f>
        <v>inaugurates, electric station</v>
      </c>
      <c r="R2323" s="28" t="s">
        <v>16432</v>
      </c>
      <c r="S2323" s="53" t="s">
        <v>16433</v>
      </c>
      <c r="T2323" s="32" t="s">
        <v>16434</v>
      </c>
    </row>
    <row r="2324">
      <c r="A2324" s="33" t="s">
        <v>16435</v>
      </c>
      <c r="B2324" s="76" t="s">
        <v>254</v>
      </c>
      <c r="C2324" s="41">
        <v>45469.0</v>
      </c>
      <c r="D2324" s="40" t="s">
        <v>16436</v>
      </c>
      <c r="E2324" s="41" t="s">
        <v>16437</v>
      </c>
      <c r="F2324" s="43" t="s">
        <v>16438</v>
      </c>
      <c r="G2324" s="43" t="s">
        <v>16439</v>
      </c>
      <c r="H2324" s="51" t="s">
        <v>130</v>
      </c>
      <c r="I2324" s="15" t="str">
        <f>IFERROR(__xludf.DUMMYFUNCTION("GOOGLETRANSLATE(H2324,""EN"",""ES"")"),"Sostenibilidad")</f>
        <v>Sostenibilidad</v>
      </c>
      <c r="J2324" s="16" t="s">
        <v>35</v>
      </c>
      <c r="K2324" s="48">
        <v>0.7</v>
      </c>
      <c r="L2324" s="51" t="s">
        <v>14759</v>
      </c>
      <c r="M2324" s="34" t="s">
        <v>14760</v>
      </c>
      <c r="N2324" s="65" t="s">
        <v>16440</v>
      </c>
      <c r="O2324" s="65" t="str">
        <f>IFERROR(__xludf.DUMMYFUNCTION("GOOGLETRANSLATE(N2324,""EN"",""ES"")"),"Reforzar la infraestructura de carga de vehículos eléctricos potencia la estrategia de energías limpias de Repsol.")</f>
        <v>Reforzar la infraestructura de carga de vehículos eléctricos potencia la estrategia de energías limpias de Repsol.</v>
      </c>
      <c r="P2324" s="30">
        <v>0.8</v>
      </c>
      <c r="Q2324" s="18" t="str">
        <f>IFERROR(__xludf.DUMMYFUNCTION("GOOGLETRANSLATE(R2324,""ES"",""EN"")"),"electric station, investment")</f>
        <v>electric station, investment</v>
      </c>
      <c r="R2324" s="34" t="s">
        <v>16441</v>
      </c>
      <c r="S2324" s="52" t="s">
        <v>16442</v>
      </c>
      <c r="T2324" s="22" t="s">
        <v>16443</v>
      </c>
    </row>
    <row r="2325">
      <c r="A2325" s="23" t="s">
        <v>16444</v>
      </c>
      <c r="B2325" s="77" t="s">
        <v>16445</v>
      </c>
      <c r="C2325" s="41">
        <v>45469.0</v>
      </c>
      <c r="D2325" s="40" t="s">
        <v>16446</v>
      </c>
      <c r="E2325" s="41" t="s">
        <v>16447</v>
      </c>
      <c r="F2325" s="43" t="s">
        <v>16448</v>
      </c>
      <c r="G2325" s="43" t="s">
        <v>16449</v>
      </c>
      <c r="H2325" s="51" t="s">
        <v>130</v>
      </c>
      <c r="I2325" s="25" t="str">
        <f>IFERROR(__xludf.DUMMYFUNCTION("GOOGLETRANSLATE(H2325,""EN"",""ES"")"),"Sostenibilidad")</f>
        <v>Sostenibilidad</v>
      </c>
      <c r="J2325" s="26" t="s">
        <v>35</v>
      </c>
      <c r="K2325" s="48">
        <v>0.7</v>
      </c>
      <c r="L2325" s="49" t="s">
        <v>16429</v>
      </c>
      <c r="M2325" s="28" t="s">
        <v>16430</v>
      </c>
      <c r="N2325" s="66" t="s">
        <v>16450</v>
      </c>
      <c r="O2325" s="66" t="str">
        <f>IFERROR(__xludf.DUMMYFUNCTION("GOOGLETRANSLATE(N2325,""EN"",""ES"")"),"La ampliación de la infraestructura de energía verde se alinea con los objetivos renovables de Repsol.")</f>
        <v>La ampliación de la infraestructura de energía verde se alinea con los objetivos renovables de Repsol.</v>
      </c>
      <c r="P2325" s="30">
        <v>0.7</v>
      </c>
      <c r="Q2325" s="31" t="str">
        <f>IFERROR(__xludf.DUMMYFUNCTION("GOOGLETRANSLATE(R2325,""ES"",""EN"")"),"electric station, fast recharges")</f>
        <v>electric station, fast recharges</v>
      </c>
      <c r="R2325" s="28" t="s">
        <v>16451</v>
      </c>
      <c r="S2325" s="53" t="s">
        <v>16452</v>
      </c>
      <c r="T2325" s="32" t="s">
        <v>16453</v>
      </c>
    </row>
    <row r="2326">
      <c r="A2326" s="33" t="s">
        <v>16454</v>
      </c>
      <c r="B2326" s="76" t="s">
        <v>1338</v>
      </c>
      <c r="C2326" s="41">
        <v>45469.0</v>
      </c>
      <c r="D2326" s="40" t="s">
        <v>16455</v>
      </c>
      <c r="E2326" s="41" t="s">
        <v>16456</v>
      </c>
      <c r="F2326" s="43" t="s">
        <v>16457</v>
      </c>
      <c r="G2326" s="43" t="s">
        <v>16458</v>
      </c>
      <c r="H2326" s="51" t="s">
        <v>130</v>
      </c>
      <c r="I2326" s="15" t="str">
        <f>IFERROR(__xludf.DUMMYFUNCTION("GOOGLETRANSLATE(H2326,""EN"",""ES"")"),"Sostenibilidad")</f>
        <v>Sostenibilidad</v>
      </c>
      <c r="J2326" s="16" t="s">
        <v>35</v>
      </c>
      <c r="K2326" s="48">
        <v>0.7</v>
      </c>
      <c r="L2326" s="51" t="s">
        <v>14759</v>
      </c>
      <c r="M2326" s="34" t="s">
        <v>14760</v>
      </c>
      <c r="N2326" s="65" t="s">
        <v>16459</v>
      </c>
      <c r="O2326" s="65" t="str">
        <f>IFERROR(__xludf.DUMMYFUNCTION("GOOGLETRANSLATE(N2326,""EN"",""ES"")"),"El refuerzo de las redes de carga de vehículos eléctricos respalda la estrategia de transición energética de Repsol.")</f>
        <v>El refuerzo de las redes de carga de vehículos eléctricos respalda la estrategia de transición energética de Repsol.</v>
      </c>
      <c r="P2326" s="30">
        <v>0.7</v>
      </c>
      <c r="Q2326" s="18" t="str">
        <f>IFERROR(__xludf.DUMMYFUNCTION("GOOGLETRANSLATE(R2326,""ES"",""EN"")"),"inaugurates, electric charge")</f>
        <v>inaugurates, electric charge</v>
      </c>
      <c r="R2326" s="34" t="s">
        <v>16460</v>
      </c>
      <c r="S2326" s="52" t="s">
        <v>16461</v>
      </c>
      <c r="T2326" s="22" t="s">
        <v>16462</v>
      </c>
    </row>
    <row r="2327">
      <c r="A2327" s="23" t="s">
        <v>16463</v>
      </c>
      <c r="B2327" s="77" t="s">
        <v>2696</v>
      </c>
      <c r="C2327" s="41">
        <v>45470.0</v>
      </c>
      <c r="D2327" s="40" t="s">
        <v>16464</v>
      </c>
      <c r="E2327" s="41" t="s">
        <v>16465</v>
      </c>
      <c r="F2327" s="43" t="s">
        <v>16466</v>
      </c>
      <c r="G2327" s="43" t="s">
        <v>16467</v>
      </c>
      <c r="H2327" s="51" t="s">
        <v>661</v>
      </c>
      <c r="I2327" s="25" t="str">
        <f>IFERROR(__xludf.DUMMYFUNCTION("GOOGLETRANSLATE(H2327,""EN"",""ES"")"),"Estrategia empresarial")</f>
        <v>Estrategia empresarial</v>
      </c>
      <c r="J2327" s="26" t="s">
        <v>35</v>
      </c>
      <c r="K2327" s="48">
        <v>0.6</v>
      </c>
      <c r="L2327" s="49" t="s">
        <v>16468</v>
      </c>
      <c r="M2327" s="28" t="s">
        <v>16469</v>
      </c>
      <c r="N2327" s="66" t="s">
        <v>16470</v>
      </c>
      <c r="O2327" s="66" t="str">
        <f>IFERROR(__xludf.DUMMYFUNCTION("GOOGLETRANSLATE(N2327,""EN"",""ES"")"),"La continuidad de las inversiones en Bolivia refuerza la estrategia energética global de Repsol.")</f>
        <v>La continuidad de las inversiones en Bolivia refuerza la estrategia energética global de Repsol.</v>
      </c>
      <c r="P2327" s="30">
        <v>-0.5</v>
      </c>
      <c r="Q2327" s="31" t="str">
        <f>IFERROR(__xludf.DUMMYFUNCTION("GOOGLETRANSLATE(R2327,""ES"",""EN"")"),"expropriations")</f>
        <v>expropriations</v>
      </c>
      <c r="R2327" s="28" t="s">
        <v>16471</v>
      </c>
      <c r="S2327" s="53" t="s">
        <v>16472</v>
      </c>
      <c r="T2327" s="32" t="s">
        <v>16473</v>
      </c>
    </row>
    <row r="2328">
      <c r="A2328" s="33" t="s">
        <v>16474</v>
      </c>
      <c r="B2328" s="76" t="s">
        <v>3079</v>
      </c>
      <c r="C2328" s="41">
        <v>45470.0</v>
      </c>
      <c r="D2328" s="40" t="s">
        <v>16475</v>
      </c>
      <c r="E2328" s="41" t="s">
        <v>16476</v>
      </c>
      <c r="F2328" s="43" t="s">
        <v>16477</v>
      </c>
      <c r="G2328" s="43" t="s">
        <v>16478</v>
      </c>
      <c r="H2328" s="51" t="s">
        <v>661</v>
      </c>
      <c r="I2328" s="15" t="str">
        <f>IFERROR(__xludf.DUMMYFUNCTION("GOOGLETRANSLATE(H2328,""EN"",""ES"")"),"Estrategia empresarial")</f>
        <v>Estrategia empresarial</v>
      </c>
      <c r="J2328" s="16" t="s">
        <v>35</v>
      </c>
      <c r="K2328" s="48">
        <v>0.6</v>
      </c>
      <c r="L2328" s="51" t="s">
        <v>15172</v>
      </c>
      <c r="M2328" s="34" t="s">
        <v>15173</v>
      </c>
      <c r="N2328" s="65" t="s">
        <v>16105</v>
      </c>
      <c r="O2328" s="65" t="str">
        <f>IFERROR(__xludf.DUMMYFUNCTION("GOOGLETRANSLATE(N2328,""EN"",""ES"")"),"La ampliación de los incentivos a la fidelización digital refuerza la presencia de Repsol en el mercado.")</f>
        <v>La ampliación de los incentivos a la fidelización digital refuerza la presencia de Repsol en el mercado.</v>
      </c>
      <c r="P2328" s="30">
        <v>0.4</v>
      </c>
      <c r="Q2328" s="18" t="str">
        <f>IFERROR(__xludf.DUMMYFUNCTION("GOOGLETRANSLATE(R2328,""ES"",""EN"")"),"discounts")</f>
        <v>discounts</v>
      </c>
      <c r="R2328" s="34" t="s">
        <v>16479</v>
      </c>
      <c r="S2328" s="52" t="s">
        <v>16480</v>
      </c>
      <c r="T2328" s="22" t="s">
        <v>16481</v>
      </c>
    </row>
    <row r="2329">
      <c r="A2329" s="23" t="s">
        <v>16482</v>
      </c>
      <c r="B2329" s="77" t="s">
        <v>4538</v>
      </c>
      <c r="C2329" s="41">
        <v>45470.0</v>
      </c>
      <c r="D2329" s="40" t="s">
        <v>16483</v>
      </c>
      <c r="E2329" s="41" t="s">
        <v>16484</v>
      </c>
      <c r="F2329" s="43" t="s">
        <v>16485</v>
      </c>
      <c r="G2329" s="43" t="s">
        <v>16486</v>
      </c>
      <c r="H2329" s="51" t="s">
        <v>155</v>
      </c>
      <c r="I2329" s="25" t="str">
        <f>IFERROR(__xludf.DUMMYFUNCTION("GOOGLETRANSLATE(H2329,""EN"",""ES"")"),"Marketing")</f>
        <v>Marketing</v>
      </c>
      <c r="J2329" s="26" t="s">
        <v>35</v>
      </c>
      <c r="K2329" s="48">
        <v>0.6</v>
      </c>
      <c r="L2329" s="49" t="s">
        <v>16487</v>
      </c>
      <c r="M2329" s="28" t="s">
        <v>16488</v>
      </c>
      <c r="N2329" s="66" t="s">
        <v>16489</v>
      </c>
      <c r="O2329" s="66" t="str">
        <f>IFERROR(__xludf.DUMMYFUNCTION("GOOGLETRANSLATE(N2329,""EN"",""ES"")"),"El fortalecimiento de la nostalgia de marca respalda el compromiso comercial de Repsol.")</f>
        <v>El fortalecimiento de la nostalgia de marca respalda el compromiso comercial de Repsol.</v>
      </c>
      <c r="P2329" s="30">
        <v>0.6</v>
      </c>
      <c r="Q2329" s="31" t="str">
        <f>IFERROR(__xludf.DUMMYFUNCTION("GOOGLETRANSLATE(R2329,""ES"",""EN"")"),"sustainable campaign")</f>
        <v>sustainable campaign</v>
      </c>
      <c r="R2329" s="28" t="s">
        <v>16490</v>
      </c>
      <c r="S2329" s="53" t="s">
        <v>16491</v>
      </c>
      <c r="T2329" s="32" t="s">
        <v>16492</v>
      </c>
    </row>
    <row r="2330">
      <c r="A2330" s="33" t="s">
        <v>16493</v>
      </c>
      <c r="B2330" s="76" t="s">
        <v>7278</v>
      </c>
      <c r="C2330" s="41">
        <v>45470.0</v>
      </c>
      <c r="D2330" s="40" t="s">
        <v>16494</v>
      </c>
      <c r="E2330" s="41" t="s">
        <v>16495</v>
      </c>
      <c r="F2330" s="43" t="s">
        <v>16496</v>
      </c>
      <c r="G2330" s="43" t="s">
        <v>16497</v>
      </c>
      <c r="H2330" s="51" t="s">
        <v>148</v>
      </c>
      <c r="I2330" s="15" t="str">
        <f>IFERROR(__xludf.DUMMYFUNCTION("GOOGLETRANSLATE(H2330,""EN"",""ES"")"),"Gastronomía")</f>
        <v>Gastronomía</v>
      </c>
      <c r="J2330" s="16" t="s">
        <v>27</v>
      </c>
      <c r="K2330" s="17">
        <v>0.0</v>
      </c>
      <c r="L2330" s="45"/>
      <c r="M2330" s="18"/>
      <c r="N2330" s="65"/>
      <c r="O2330" s="65"/>
      <c r="P2330" s="20">
        <v>0.0</v>
      </c>
      <c r="Q2330" s="18"/>
      <c r="R2330" s="18"/>
      <c r="S2330" s="52"/>
      <c r="T2330" s="22"/>
    </row>
    <row r="2331">
      <c r="A2331" s="23" t="s">
        <v>16498</v>
      </c>
      <c r="B2331" s="77" t="s">
        <v>1128</v>
      </c>
      <c r="C2331" s="41">
        <v>45470.0</v>
      </c>
      <c r="D2331" s="40" t="s">
        <v>16499</v>
      </c>
      <c r="E2331" s="41" t="s">
        <v>16500</v>
      </c>
      <c r="F2331" s="43" t="s">
        <v>16501</v>
      </c>
      <c r="G2331" s="43" t="s">
        <v>16502</v>
      </c>
      <c r="H2331" s="51" t="s">
        <v>661</v>
      </c>
      <c r="I2331" s="25" t="str">
        <f>IFERROR(__xludf.DUMMYFUNCTION("GOOGLETRANSLATE(H2331,""EN"",""ES"")"),"Estrategia empresarial")</f>
        <v>Estrategia empresarial</v>
      </c>
      <c r="J2331" s="26" t="s">
        <v>35</v>
      </c>
      <c r="K2331" s="48">
        <v>0.6</v>
      </c>
      <c r="L2331" s="49" t="s">
        <v>16066</v>
      </c>
      <c r="M2331" s="28" t="s">
        <v>16067</v>
      </c>
      <c r="N2331" s="66" t="s">
        <v>16503</v>
      </c>
      <c r="O2331" s="66" t="str">
        <f>IFERROR(__xludf.DUMMYFUNCTION("GOOGLETRANSLATE(N2331,""EN"",""ES"")"),"La ampliación de los descuentos promocionales refuerza la vinculación con el cliente de Repsol.")</f>
        <v>La ampliación de los descuentos promocionales refuerza la vinculación con el cliente de Repsol.</v>
      </c>
      <c r="P2331" s="30">
        <v>0.3</v>
      </c>
      <c r="Q2331" s="31" t="str">
        <f>IFERROR(__xludf.DUMMYFUNCTION("GOOGLETRANSLATE(R2331,""ES"",""EN"")"),"discount")</f>
        <v>discount</v>
      </c>
      <c r="R2331" s="28" t="s">
        <v>15498</v>
      </c>
      <c r="S2331" s="53" t="s">
        <v>16504</v>
      </c>
      <c r="T2331" s="32" t="s">
        <v>16505</v>
      </c>
    </row>
    <row r="2332">
      <c r="A2332" s="33" t="s">
        <v>16506</v>
      </c>
      <c r="B2332" s="76" t="s">
        <v>1802</v>
      </c>
      <c r="C2332" s="41">
        <v>45470.0</v>
      </c>
      <c r="D2332" s="40" t="s">
        <v>16507</v>
      </c>
      <c r="E2332" s="41" t="s">
        <v>16508</v>
      </c>
      <c r="F2332" s="43" t="s">
        <v>16509</v>
      </c>
      <c r="G2332" s="43" t="s">
        <v>16510</v>
      </c>
      <c r="H2332" s="51" t="s">
        <v>155</v>
      </c>
      <c r="I2332" s="15" t="str">
        <f>IFERROR(__xludf.DUMMYFUNCTION("GOOGLETRANSLATE(H2332,""EN"",""ES"")"),"Marketing")</f>
        <v>Marketing</v>
      </c>
      <c r="J2332" s="16" t="s">
        <v>35</v>
      </c>
      <c r="K2332" s="48">
        <v>0.6</v>
      </c>
      <c r="L2332" s="51" t="s">
        <v>16511</v>
      </c>
      <c r="M2332" s="34" t="s">
        <v>16512</v>
      </c>
      <c r="N2332" s="65" t="s">
        <v>16513</v>
      </c>
      <c r="O2332" s="65" t="str">
        <f>IFERROR(__xludf.DUMMYFUNCTION("GOOGLETRANSLATE(N2332,""EN"",""ES"")"),"El impulso de las energías renovables se alinea con la estrategia de sostenibilidad de Repsol.")</f>
        <v>El impulso de las energías renovables se alinea con la estrategia de sostenibilidad de Repsol.</v>
      </c>
      <c r="P2332" s="30">
        <v>0.7</v>
      </c>
      <c r="Q2332" s="18" t="str">
        <f>IFERROR(__xludf.DUMMYFUNCTION("GOOGLETRANSLATE(R2332,""ES"",""EN"")"),"renewable fuels")</f>
        <v>renewable fuels</v>
      </c>
      <c r="R2332" s="34" t="s">
        <v>584</v>
      </c>
      <c r="S2332" s="52" t="s">
        <v>16514</v>
      </c>
      <c r="T2332" s="22" t="s">
        <v>16515</v>
      </c>
    </row>
    <row r="2333">
      <c r="A2333" s="23" t="s">
        <v>16516</v>
      </c>
      <c r="B2333" s="77" t="s">
        <v>2944</v>
      </c>
      <c r="C2333" s="41">
        <v>45470.0</v>
      </c>
      <c r="D2333" s="40" t="s">
        <v>16517</v>
      </c>
      <c r="E2333" s="41" t="s">
        <v>16518</v>
      </c>
      <c r="F2333" s="43" t="s">
        <v>16519</v>
      </c>
      <c r="G2333" s="43" t="s">
        <v>16520</v>
      </c>
      <c r="H2333" s="51" t="s">
        <v>148</v>
      </c>
      <c r="I2333" s="25" t="str">
        <f>IFERROR(__xludf.DUMMYFUNCTION("GOOGLETRANSLATE(H2333,""EN"",""ES"")"),"Gastronomía")</f>
        <v>Gastronomía</v>
      </c>
      <c r="J2333" s="26" t="s">
        <v>27</v>
      </c>
      <c r="K2333" s="17">
        <v>0.0</v>
      </c>
      <c r="L2333" s="54"/>
      <c r="M2333" s="31"/>
      <c r="N2333" s="66"/>
      <c r="O2333" s="66"/>
      <c r="P2333" s="20">
        <v>0.0</v>
      </c>
      <c r="Q2333" s="31"/>
      <c r="R2333" s="31"/>
      <c r="S2333" s="53"/>
      <c r="T2333" s="32"/>
    </row>
    <row r="2334">
      <c r="A2334" s="33" t="s">
        <v>16521</v>
      </c>
      <c r="B2334" s="76" t="s">
        <v>21</v>
      </c>
      <c r="C2334" s="41">
        <v>45470.0</v>
      </c>
      <c r="D2334" s="40" t="s">
        <v>16522</v>
      </c>
      <c r="E2334" s="41" t="s">
        <v>16523</v>
      </c>
      <c r="F2334" s="43" t="s">
        <v>16524</v>
      </c>
      <c r="G2334" s="43" t="s">
        <v>16525</v>
      </c>
      <c r="H2334" s="51" t="s">
        <v>148</v>
      </c>
      <c r="I2334" s="15" t="str">
        <f>IFERROR(__xludf.DUMMYFUNCTION("GOOGLETRANSLATE(H2334,""EN"",""ES"")"),"Gastronomía")</f>
        <v>Gastronomía</v>
      </c>
      <c r="J2334" s="16" t="s">
        <v>27</v>
      </c>
      <c r="K2334" s="17">
        <v>0.0</v>
      </c>
      <c r="L2334" s="45"/>
      <c r="M2334" s="18"/>
      <c r="N2334" s="65"/>
      <c r="O2334" s="65"/>
      <c r="P2334" s="20">
        <v>0.0</v>
      </c>
      <c r="Q2334" s="18"/>
      <c r="R2334" s="18"/>
      <c r="S2334" s="52"/>
      <c r="T2334" s="22"/>
    </row>
    <row r="2335">
      <c r="A2335" s="23" t="s">
        <v>16526</v>
      </c>
      <c r="B2335" s="77" t="s">
        <v>7954</v>
      </c>
      <c r="C2335" s="41">
        <v>45470.0</v>
      </c>
      <c r="D2335" s="40" t="s">
        <v>16527</v>
      </c>
      <c r="E2335" s="41" t="s">
        <v>16528</v>
      </c>
      <c r="F2335" s="43" t="s">
        <v>16529</v>
      </c>
      <c r="G2335" s="43" t="s">
        <v>16530</v>
      </c>
      <c r="H2335" s="51" t="s">
        <v>148</v>
      </c>
      <c r="I2335" s="25" t="str">
        <f>IFERROR(__xludf.DUMMYFUNCTION("GOOGLETRANSLATE(H2335,""EN"",""ES"")"),"Gastronomía")</f>
        <v>Gastronomía</v>
      </c>
      <c r="J2335" s="26" t="s">
        <v>27</v>
      </c>
      <c r="K2335" s="17">
        <v>0.0</v>
      </c>
      <c r="L2335" s="54"/>
      <c r="M2335" s="31"/>
      <c r="N2335" s="66"/>
      <c r="O2335" s="66"/>
      <c r="P2335" s="20">
        <v>0.0</v>
      </c>
      <c r="Q2335" s="31"/>
      <c r="R2335" s="31"/>
      <c r="S2335" s="53"/>
      <c r="T2335" s="32"/>
    </row>
    <row r="2336">
      <c r="A2336" s="33" t="s">
        <v>16531</v>
      </c>
      <c r="B2336" s="76" t="s">
        <v>16532</v>
      </c>
      <c r="C2336" s="41">
        <v>45470.0</v>
      </c>
      <c r="D2336" s="40" t="s">
        <v>16533</v>
      </c>
      <c r="E2336" s="41" t="s">
        <v>16534</v>
      </c>
      <c r="F2336" s="43" t="s">
        <v>16535</v>
      </c>
      <c r="G2336" s="43" t="s">
        <v>16536</v>
      </c>
      <c r="H2336" s="51" t="s">
        <v>148</v>
      </c>
      <c r="I2336" s="15" t="str">
        <f>IFERROR(__xludf.DUMMYFUNCTION("GOOGLETRANSLATE(H2336,""EN"",""ES"")"),"Gastronomía")</f>
        <v>Gastronomía</v>
      </c>
      <c r="J2336" s="16" t="s">
        <v>27</v>
      </c>
      <c r="K2336" s="17">
        <v>0.0</v>
      </c>
      <c r="L2336" s="45"/>
      <c r="M2336" s="18"/>
      <c r="N2336" s="65"/>
      <c r="O2336" s="65"/>
      <c r="P2336" s="20">
        <v>0.0</v>
      </c>
      <c r="Q2336" s="18"/>
      <c r="R2336" s="18"/>
      <c r="S2336" s="52"/>
      <c r="T2336" s="22"/>
    </row>
    <row r="2337">
      <c r="A2337" s="23" t="s">
        <v>16537</v>
      </c>
      <c r="B2337" s="77" t="s">
        <v>2792</v>
      </c>
      <c r="C2337" s="41">
        <v>45470.0</v>
      </c>
      <c r="D2337" s="40" t="s">
        <v>16538</v>
      </c>
      <c r="E2337" s="41" t="s">
        <v>16539</v>
      </c>
      <c r="F2337" s="43" t="s">
        <v>16540</v>
      </c>
      <c r="G2337" s="43" t="s">
        <v>16541</v>
      </c>
      <c r="H2337" s="51" t="s">
        <v>148</v>
      </c>
      <c r="I2337" s="25" t="str">
        <f>IFERROR(__xludf.DUMMYFUNCTION("GOOGLETRANSLATE(H2337,""EN"",""ES"")"),"Gastronomía")</f>
        <v>Gastronomía</v>
      </c>
      <c r="J2337" s="26" t="s">
        <v>27</v>
      </c>
      <c r="K2337" s="17">
        <v>0.0</v>
      </c>
      <c r="L2337" s="54"/>
      <c r="M2337" s="31"/>
      <c r="N2337" s="66"/>
      <c r="O2337" s="66"/>
      <c r="P2337" s="20">
        <v>0.0</v>
      </c>
      <c r="Q2337" s="31"/>
      <c r="R2337" s="31"/>
      <c r="S2337" s="53"/>
      <c r="T2337" s="32"/>
    </row>
    <row r="2338">
      <c r="A2338" s="33" t="s">
        <v>16542</v>
      </c>
      <c r="B2338" s="76" t="s">
        <v>977</v>
      </c>
      <c r="C2338" s="41">
        <v>45470.0</v>
      </c>
      <c r="D2338" s="40" t="s">
        <v>16543</v>
      </c>
      <c r="E2338" s="41" t="s">
        <v>16544</v>
      </c>
      <c r="F2338" s="43" t="s">
        <v>16545</v>
      </c>
      <c r="G2338" s="43" t="s">
        <v>16546</v>
      </c>
      <c r="H2338" s="51" t="s">
        <v>148</v>
      </c>
      <c r="I2338" s="15" t="str">
        <f>IFERROR(__xludf.DUMMYFUNCTION("GOOGLETRANSLATE(H2338,""EN"",""ES"")"),"Gastronomía")</f>
        <v>Gastronomía</v>
      </c>
      <c r="J2338" s="16" t="s">
        <v>27</v>
      </c>
      <c r="K2338" s="17">
        <v>0.0</v>
      </c>
      <c r="L2338" s="45"/>
      <c r="M2338" s="18"/>
      <c r="N2338" s="65"/>
      <c r="O2338" s="65"/>
      <c r="P2338" s="20">
        <v>0.0</v>
      </c>
      <c r="Q2338" s="18"/>
      <c r="R2338" s="18"/>
      <c r="S2338" s="52"/>
      <c r="T2338" s="22"/>
    </row>
    <row r="2339">
      <c r="A2339" s="23" t="s">
        <v>16547</v>
      </c>
      <c r="B2339" s="77" t="s">
        <v>15104</v>
      </c>
      <c r="C2339" s="41">
        <v>45470.0</v>
      </c>
      <c r="D2339" s="40" t="s">
        <v>16548</v>
      </c>
      <c r="E2339" s="41" t="s">
        <v>16549</v>
      </c>
      <c r="F2339" s="43" t="s">
        <v>16550</v>
      </c>
      <c r="G2339" s="43" t="s">
        <v>16551</v>
      </c>
      <c r="H2339" s="51" t="s">
        <v>148</v>
      </c>
      <c r="I2339" s="25" t="str">
        <f>IFERROR(__xludf.DUMMYFUNCTION("GOOGLETRANSLATE(H2339,""EN"",""ES"")"),"Gastronomía")</f>
        <v>Gastronomía</v>
      </c>
      <c r="J2339" s="26" t="s">
        <v>27</v>
      </c>
      <c r="K2339" s="17">
        <v>0.0</v>
      </c>
      <c r="L2339" s="54"/>
      <c r="M2339" s="31"/>
      <c r="N2339" s="66"/>
      <c r="O2339" s="66"/>
      <c r="P2339" s="20">
        <v>0.0</v>
      </c>
      <c r="Q2339" s="31"/>
      <c r="R2339" s="31"/>
      <c r="S2339" s="53"/>
      <c r="T2339" s="32"/>
    </row>
    <row r="2340">
      <c r="A2340" s="33" t="s">
        <v>16552</v>
      </c>
      <c r="B2340" s="76" t="s">
        <v>881</v>
      </c>
      <c r="C2340" s="41">
        <v>45470.0</v>
      </c>
      <c r="D2340" s="40" t="s">
        <v>16553</v>
      </c>
      <c r="E2340" s="41" t="s">
        <v>16554</v>
      </c>
      <c r="F2340" s="43" t="s">
        <v>16555</v>
      </c>
      <c r="G2340" s="43" t="s">
        <v>16556</v>
      </c>
      <c r="H2340" s="51" t="s">
        <v>148</v>
      </c>
      <c r="I2340" s="15" t="str">
        <f>IFERROR(__xludf.DUMMYFUNCTION("GOOGLETRANSLATE(H2340,""EN"",""ES"")"),"Gastronomía")</f>
        <v>Gastronomía</v>
      </c>
      <c r="J2340" s="16" t="s">
        <v>27</v>
      </c>
      <c r="K2340" s="17">
        <v>0.0</v>
      </c>
      <c r="L2340" s="45"/>
      <c r="M2340" s="18"/>
      <c r="N2340" s="65"/>
      <c r="O2340" s="65"/>
      <c r="P2340" s="20">
        <v>0.0</v>
      </c>
      <c r="Q2340" s="18"/>
      <c r="R2340" s="18"/>
      <c r="S2340" s="52"/>
      <c r="T2340" s="22"/>
    </row>
    <row r="2341">
      <c r="A2341" s="23" t="s">
        <v>16557</v>
      </c>
      <c r="B2341" s="77" t="s">
        <v>7095</v>
      </c>
      <c r="C2341" s="41">
        <v>45470.0</v>
      </c>
      <c r="D2341" s="40" t="s">
        <v>16558</v>
      </c>
      <c r="E2341" s="41" t="s">
        <v>16559</v>
      </c>
      <c r="F2341" s="43" t="s">
        <v>16560</v>
      </c>
      <c r="G2341" s="43" t="s">
        <v>16561</v>
      </c>
      <c r="H2341" s="51" t="s">
        <v>148</v>
      </c>
      <c r="I2341" s="25" t="str">
        <f>IFERROR(__xludf.DUMMYFUNCTION("GOOGLETRANSLATE(H2341,""EN"",""ES"")"),"Gastronomía")</f>
        <v>Gastronomía</v>
      </c>
      <c r="J2341" s="26" t="s">
        <v>27</v>
      </c>
      <c r="K2341" s="17">
        <v>0.0</v>
      </c>
      <c r="L2341" s="54"/>
      <c r="M2341" s="31"/>
      <c r="N2341" s="66"/>
      <c r="O2341" s="66"/>
      <c r="P2341" s="20">
        <v>0.0</v>
      </c>
      <c r="Q2341" s="31"/>
      <c r="R2341" s="31"/>
      <c r="S2341" s="53"/>
      <c r="T2341" s="32"/>
    </row>
    <row r="2342">
      <c r="A2342" s="33" t="s">
        <v>16562</v>
      </c>
      <c r="B2342" s="76" t="s">
        <v>15061</v>
      </c>
      <c r="C2342" s="41">
        <v>45470.0</v>
      </c>
      <c r="D2342" s="40" t="s">
        <v>16563</v>
      </c>
      <c r="E2342" s="41" t="s">
        <v>16564</v>
      </c>
      <c r="F2342" s="43" t="s">
        <v>16565</v>
      </c>
      <c r="G2342" s="43" t="s">
        <v>16566</v>
      </c>
      <c r="H2342" s="51" t="s">
        <v>148</v>
      </c>
      <c r="I2342" s="15" t="str">
        <f>IFERROR(__xludf.DUMMYFUNCTION("GOOGLETRANSLATE(H2342,""EN"",""ES"")"),"Gastronomía")</f>
        <v>Gastronomía</v>
      </c>
      <c r="J2342" s="16" t="s">
        <v>27</v>
      </c>
      <c r="K2342" s="17">
        <v>0.0</v>
      </c>
      <c r="L2342" s="45"/>
      <c r="M2342" s="18"/>
      <c r="N2342" s="65"/>
      <c r="O2342" s="65"/>
      <c r="P2342" s="20">
        <v>0.0</v>
      </c>
      <c r="Q2342" s="18"/>
      <c r="R2342" s="18"/>
      <c r="S2342" s="52"/>
      <c r="T2342" s="22"/>
    </row>
    <row r="2343">
      <c r="A2343" s="23" t="s">
        <v>16567</v>
      </c>
      <c r="B2343" s="77" t="s">
        <v>7171</v>
      </c>
      <c r="C2343" s="41">
        <v>45470.0</v>
      </c>
      <c r="D2343" s="40" t="s">
        <v>16568</v>
      </c>
      <c r="E2343" s="41" t="s">
        <v>16569</v>
      </c>
      <c r="F2343" s="43" t="s">
        <v>16570</v>
      </c>
      <c r="G2343" s="43" t="s">
        <v>16571</v>
      </c>
      <c r="H2343" s="51" t="s">
        <v>148</v>
      </c>
      <c r="I2343" s="25" t="str">
        <f>IFERROR(__xludf.DUMMYFUNCTION("GOOGLETRANSLATE(H2343,""EN"",""ES"")"),"Gastronomía")</f>
        <v>Gastronomía</v>
      </c>
      <c r="J2343" s="26" t="s">
        <v>27</v>
      </c>
      <c r="K2343" s="17">
        <v>0.0</v>
      </c>
      <c r="L2343" s="54"/>
      <c r="M2343" s="31"/>
      <c r="N2343" s="66"/>
      <c r="O2343" s="66"/>
      <c r="P2343" s="20">
        <v>0.0</v>
      </c>
      <c r="Q2343" s="31"/>
      <c r="R2343" s="31"/>
      <c r="S2343" s="53"/>
      <c r="T2343" s="32"/>
    </row>
    <row r="2344">
      <c r="A2344" s="33" t="s">
        <v>16572</v>
      </c>
      <c r="B2344" s="76" t="s">
        <v>4849</v>
      </c>
      <c r="C2344" s="41">
        <v>45470.0</v>
      </c>
      <c r="D2344" s="40" t="s">
        <v>16573</v>
      </c>
      <c r="E2344" s="41" t="s">
        <v>16574</v>
      </c>
      <c r="F2344" s="43" t="s">
        <v>16575</v>
      </c>
      <c r="G2344" s="43" t="s">
        <v>16576</v>
      </c>
      <c r="H2344" s="51" t="s">
        <v>148</v>
      </c>
      <c r="I2344" s="15" t="str">
        <f>IFERROR(__xludf.DUMMYFUNCTION("GOOGLETRANSLATE(H2344,""EN"",""ES"")"),"Gastronomía")</f>
        <v>Gastronomía</v>
      </c>
      <c r="J2344" s="16" t="s">
        <v>27</v>
      </c>
      <c r="K2344" s="17">
        <v>0.0</v>
      </c>
      <c r="L2344" s="45"/>
      <c r="M2344" s="18"/>
      <c r="N2344" s="65"/>
      <c r="O2344" s="65"/>
      <c r="P2344" s="20">
        <v>0.0</v>
      </c>
      <c r="Q2344" s="18"/>
      <c r="R2344" s="18"/>
      <c r="S2344" s="52"/>
      <c r="T2344" s="22"/>
    </row>
    <row r="2345">
      <c r="A2345" s="23" t="s">
        <v>16577</v>
      </c>
      <c r="B2345" s="77" t="s">
        <v>6940</v>
      </c>
      <c r="C2345" s="41">
        <v>45470.0</v>
      </c>
      <c r="D2345" s="40" t="s">
        <v>16578</v>
      </c>
      <c r="E2345" s="41" t="s">
        <v>16579</v>
      </c>
      <c r="F2345" s="43" t="s">
        <v>16580</v>
      </c>
      <c r="G2345" s="43" t="s">
        <v>16581</v>
      </c>
      <c r="H2345" s="51" t="s">
        <v>148</v>
      </c>
      <c r="I2345" s="25" t="str">
        <f>IFERROR(__xludf.DUMMYFUNCTION("GOOGLETRANSLATE(H2345,""EN"",""ES"")"),"Gastronomía")</f>
        <v>Gastronomía</v>
      </c>
      <c r="J2345" s="26" t="s">
        <v>27</v>
      </c>
      <c r="K2345" s="17">
        <v>0.0</v>
      </c>
      <c r="L2345" s="54"/>
      <c r="M2345" s="31"/>
      <c r="N2345" s="66"/>
      <c r="O2345" s="66"/>
      <c r="P2345" s="20">
        <v>0.0</v>
      </c>
      <c r="Q2345" s="31"/>
      <c r="R2345" s="31"/>
      <c r="S2345" s="53"/>
      <c r="T2345" s="32"/>
    </row>
    <row r="2346">
      <c r="A2346" s="33" t="s">
        <v>16582</v>
      </c>
      <c r="B2346" s="76" t="s">
        <v>4038</v>
      </c>
      <c r="C2346" s="41">
        <v>45470.0</v>
      </c>
      <c r="D2346" s="40" t="s">
        <v>16583</v>
      </c>
      <c r="E2346" s="41" t="s">
        <v>16584</v>
      </c>
      <c r="F2346" s="43" t="s">
        <v>16585</v>
      </c>
      <c r="G2346" s="43" t="s">
        <v>16586</v>
      </c>
      <c r="H2346" s="51" t="s">
        <v>148</v>
      </c>
      <c r="I2346" s="15" t="str">
        <f>IFERROR(__xludf.DUMMYFUNCTION("GOOGLETRANSLATE(H2346,""EN"",""ES"")"),"Gastronomía")</f>
        <v>Gastronomía</v>
      </c>
      <c r="J2346" s="16" t="s">
        <v>27</v>
      </c>
      <c r="K2346" s="17">
        <v>0.0</v>
      </c>
      <c r="L2346" s="45"/>
      <c r="M2346" s="18"/>
      <c r="N2346" s="65"/>
      <c r="O2346" s="65"/>
      <c r="P2346" s="20">
        <v>0.0</v>
      </c>
      <c r="Q2346" s="18"/>
      <c r="R2346" s="18"/>
      <c r="S2346" s="52"/>
      <c r="T2346" s="22"/>
    </row>
    <row r="2347">
      <c r="A2347" s="23" t="s">
        <v>16587</v>
      </c>
      <c r="B2347" s="77" t="s">
        <v>21</v>
      </c>
      <c r="C2347" s="41">
        <v>45470.0</v>
      </c>
      <c r="D2347" s="40" t="s">
        <v>16588</v>
      </c>
      <c r="E2347" s="41" t="s">
        <v>16589</v>
      </c>
      <c r="F2347" s="43" t="s">
        <v>16590</v>
      </c>
      <c r="G2347" s="43" t="s">
        <v>16591</v>
      </c>
      <c r="H2347" s="51" t="s">
        <v>969</v>
      </c>
      <c r="I2347" s="25" t="str">
        <f>IFERROR(__xludf.DUMMYFUNCTION("GOOGLETRANSLATE(H2347,""EN"",""ES"")"),"Turismo")</f>
        <v>Turismo</v>
      </c>
      <c r="J2347" s="26" t="s">
        <v>27</v>
      </c>
      <c r="K2347" s="17">
        <v>0.0</v>
      </c>
      <c r="L2347" s="54"/>
      <c r="M2347" s="31"/>
      <c r="N2347" s="66"/>
      <c r="O2347" s="66"/>
      <c r="P2347" s="20">
        <v>0.0</v>
      </c>
      <c r="Q2347" s="31"/>
      <c r="R2347" s="31"/>
      <c r="S2347" s="53"/>
      <c r="T2347" s="32"/>
    </row>
    <row r="2348">
      <c r="A2348" s="33" t="s">
        <v>16592</v>
      </c>
      <c r="B2348" s="76" t="s">
        <v>85</v>
      </c>
      <c r="C2348" s="41">
        <v>45470.0</v>
      </c>
      <c r="D2348" s="40" t="s">
        <v>16593</v>
      </c>
      <c r="E2348" s="41" t="s">
        <v>16594</v>
      </c>
      <c r="F2348" s="43" t="s">
        <v>16595</v>
      </c>
      <c r="G2348" s="43" t="s">
        <v>16596</v>
      </c>
      <c r="H2348" s="51" t="s">
        <v>148</v>
      </c>
      <c r="I2348" s="15" t="str">
        <f>IFERROR(__xludf.DUMMYFUNCTION("GOOGLETRANSLATE(H2348,""EN"",""ES"")"),"Gastronomía")</f>
        <v>Gastronomía</v>
      </c>
      <c r="J2348" s="16" t="s">
        <v>27</v>
      </c>
      <c r="K2348" s="17">
        <v>0.0</v>
      </c>
      <c r="L2348" s="45"/>
      <c r="M2348" s="18"/>
      <c r="N2348" s="65"/>
      <c r="O2348" s="65"/>
      <c r="P2348" s="20">
        <v>0.0</v>
      </c>
      <c r="Q2348" s="18"/>
      <c r="R2348" s="18"/>
      <c r="S2348" s="52"/>
      <c r="T2348" s="22"/>
    </row>
    <row r="2349">
      <c r="A2349" s="23" t="s">
        <v>16597</v>
      </c>
      <c r="B2349" s="77" t="s">
        <v>977</v>
      </c>
      <c r="C2349" s="41">
        <v>45470.0</v>
      </c>
      <c r="D2349" s="40" t="s">
        <v>16598</v>
      </c>
      <c r="E2349" s="41" t="s">
        <v>16599</v>
      </c>
      <c r="F2349" s="43" t="s">
        <v>16600</v>
      </c>
      <c r="G2349" s="43" t="s">
        <v>16601</v>
      </c>
      <c r="H2349" s="51" t="s">
        <v>148</v>
      </c>
      <c r="I2349" s="25" t="str">
        <f>IFERROR(__xludf.DUMMYFUNCTION("GOOGLETRANSLATE(H2349,""EN"",""ES"")"),"Gastronomía")</f>
        <v>Gastronomía</v>
      </c>
      <c r="J2349" s="26" t="s">
        <v>27</v>
      </c>
      <c r="K2349" s="17">
        <v>0.0</v>
      </c>
      <c r="L2349" s="54"/>
      <c r="M2349" s="31"/>
      <c r="N2349" s="66"/>
      <c r="O2349" s="66"/>
      <c r="P2349" s="20">
        <v>0.0</v>
      </c>
      <c r="Q2349" s="31"/>
      <c r="R2349" s="31"/>
      <c r="S2349" s="53"/>
      <c r="T2349" s="32"/>
    </row>
    <row r="2350">
      <c r="A2350" s="33" t="s">
        <v>16602</v>
      </c>
      <c r="B2350" s="76" t="s">
        <v>85</v>
      </c>
      <c r="C2350" s="41">
        <v>45470.0</v>
      </c>
      <c r="D2350" s="40" t="s">
        <v>16603</v>
      </c>
      <c r="E2350" s="41" t="s">
        <v>16604</v>
      </c>
      <c r="F2350" s="43" t="s">
        <v>16605</v>
      </c>
      <c r="G2350" s="43" t="s">
        <v>16606</v>
      </c>
      <c r="H2350" s="51" t="s">
        <v>148</v>
      </c>
      <c r="I2350" s="15" t="str">
        <f>IFERROR(__xludf.DUMMYFUNCTION("GOOGLETRANSLATE(H2350,""EN"",""ES"")"),"Gastronomía")</f>
        <v>Gastronomía</v>
      </c>
      <c r="J2350" s="16" t="s">
        <v>27</v>
      </c>
      <c r="K2350" s="17">
        <v>0.0</v>
      </c>
      <c r="L2350" s="45"/>
      <c r="M2350" s="18"/>
      <c r="N2350" s="65"/>
      <c r="O2350" s="65"/>
      <c r="P2350" s="20">
        <v>0.0</v>
      </c>
      <c r="Q2350" s="18"/>
      <c r="R2350" s="18"/>
      <c r="S2350" s="52"/>
      <c r="T2350" s="22"/>
    </row>
    <row r="2351">
      <c r="A2351" s="23" t="s">
        <v>16607</v>
      </c>
      <c r="B2351" s="77" t="s">
        <v>2934</v>
      </c>
      <c r="C2351" s="41">
        <v>45470.0</v>
      </c>
      <c r="D2351" s="40" t="s">
        <v>16608</v>
      </c>
      <c r="E2351" s="41" t="s">
        <v>16609</v>
      </c>
      <c r="F2351" s="43" t="s">
        <v>16610</v>
      </c>
      <c r="G2351" s="43" t="s">
        <v>16611</v>
      </c>
      <c r="H2351" s="51" t="s">
        <v>130</v>
      </c>
      <c r="I2351" s="25" t="str">
        <f>IFERROR(__xludf.DUMMYFUNCTION("GOOGLETRANSLATE(H2351,""EN"",""ES"")"),"Sostenibilidad")</f>
        <v>Sostenibilidad</v>
      </c>
      <c r="J2351" s="26" t="s">
        <v>35</v>
      </c>
      <c r="K2351" s="48">
        <v>0.0</v>
      </c>
      <c r="L2351" s="54"/>
      <c r="M2351" s="31"/>
      <c r="N2351" s="66" t="s">
        <v>16612</v>
      </c>
      <c r="O2351" s="66" t="str">
        <f>IFERROR(__xludf.DUMMYFUNCTION("GOOGLETRANSLATE(N2351,""EN"",""ES"")"),"Las iniciativas generales de sostenibilidad no impactan a Repsol.")</f>
        <v>Las iniciativas generales de sostenibilidad no impactan a Repsol.</v>
      </c>
      <c r="P2351" s="30">
        <v>0.0</v>
      </c>
      <c r="Q2351" s="31"/>
      <c r="R2351" s="31"/>
      <c r="S2351" s="53" t="s">
        <v>16613</v>
      </c>
      <c r="T2351" s="32" t="s">
        <v>16614</v>
      </c>
    </row>
    <row r="2352">
      <c r="A2352" s="33" t="s">
        <v>16615</v>
      </c>
      <c r="B2352" s="76" t="s">
        <v>217</v>
      </c>
      <c r="C2352" s="41">
        <v>45471.0</v>
      </c>
      <c r="D2352" s="40" t="s">
        <v>16616</v>
      </c>
      <c r="E2352" s="41" t="s">
        <v>16617</v>
      </c>
      <c r="F2352" s="43" t="s">
        <v>16618</v>
      </c>
      <c r="G2352" s="43" t="s">
        <v>16619</v>
      </c>
      <c r="H2352" s="51" t="s">
        <v>661</v>
      </c>
      <c r="I2352" s="15" t="str">
        <f>IFERROR(__xludf.DUMMYFUNCTION("GOOGLETRANSLATE(H2352,""EN"",""ES"")"),"Estrategia empresarial")</f>
        <v>Estrategia empresarial</v>
      </c>
      <c r="J2352" s="16" t="s">
        <v>35</v>
      </c>
      <c r="K2352" s="48">
        <v>0.6</v>
      </c>
      <c r="L2352" s="51" t="s">
        <v>16620</v>
      </c>
      <c r="M2352" s="34" t="s">
        <v>16621</v>
      </c>
      <c r="N2352" s="65" t="s">
        <v>16622</v>
      </c>
      <c r="O2352" s="65" t="str">
        <f>IFERROR(__xludf.DUMMYFUNCTION("GOOGLETRANSLATE(N2352,""EN"",""ES"")"),"La optimización de los activos petroleros puede mejorar el posicionamiento financiero de Repsol.")</f>
        <v>La optimización de los activos petroleros puede mejorar el posicionamiento financiero de Repsol.</v>
      </c>
      <c r="P2352" s="30">
        <v>-0.4</v>
      </c>
      <c r="Q2352" s="18" t="str">
        <f>IFERROR(__xludf.DUMMYFUNCTION("GOOGLETRANSLATE(R2352,""ES"",""EN"")"),"sale, oil field")</f>
        <v>sale, oil field</v>
      </c>
      <c r="R2352" s="34" t="s">
        <v>16623</v>
      </c>
      <c r="S2352" s="52" t="s">
        <v>16624</v>
      </c>
      <c r="T2352" s="22" t="s">
        <v>16625</v>
      </c>
    </row>
    <row r="2353">
      <c r="A2353" s="23" t="s">
        <v>16626</v>
      </c>
      <c r="B2353" s="77" t="s">
        <v>2672</v>
      </c>
      <c r="C2353" s="41">
        <v>45471.0</v>
      </c>
      <c r="D2353" s="40" t="s">
        <v>16627</v>
      </c>
      <c r="E2353" s="41" t="s">
        <v>16628</v>
      </c>
      <c r="F2353" s="43" t="s">
        <v>16629</v>
      </c>
      <c r="G2353" s="43" t="s">
        <v>16630</v>
      </c>
      <c r="H2353" s="51" t="s">
        <v>34</v>
      </c>
      <c r="I2353" s="25" t="str">
        <f>IFERROR(__xludf.DUMMYFUNCTION("GOOGLETRANSLATE(H2353,""EN"",""ES"")"),"Responsabilidad Social Corporativa")</f>
        <v>Responsabilidad Social Corporativa</v>
      </c>
      <c r="J2353" s="26" t="s">
        <v>35</v>
      </c>
      <c r="K2353" s="48">
        <v>0.7</v>
      </c>
      <c r="L2353" s="49" t="s">
        <v>12082</v>
      </c>
      <c r="M2353" s="28" t="s">
        <v>12083</v>
      </c>
      <c r="N2353" s="66" t="s">
        <v>16631</v>
      </c>
      <c r="O2353" s="66" t="str">
        <f>IFERROR(__xludf.DUMMYFUNCTION("GOOGLETRANSLATE(N2353,""EN"",""ES"")"),"El apoyo a iniciativas medioambientales fortalece los esfuerzos de Repsol en materia de sostenibilidad.")</f>
        <v>El apoyo a iniciativas medioambientales fortalece los esfuerzos de Repsol en materia de sostenibilidad.</v>
      </c>
      <c r="P2353" s="30">
        <v>0.0</v>
      </c>
      <c r="Q2353" s="31"/>
      <c r="R2353" s="31"/>
      <c r="S2353" s="53" t="s">
        <v>16632</v>
      </c>
      <c r="T2353" s="32" t="s">
        <v>16633</v>
      </c>
    </row>
    <row r="2354">
      <c r="A2354" s="33" t="s">
        <v>16634</v>
      </c>
      <c r="B2354" s="76" t="s">
        <v>16635</v>
      </c>
      <c r="C2354" s="41">
        <v>45471.0</v>
      </c>
      <c r="D2354" s="40" t="s">
        <v>16636</v>
      </c>
      <c r="E2354" s="41" t="s">
        <v>16637</v>
      </c>
      <c r="F2354" s="43" t="s">
        <v>16638</v>
      </c>
      <c r="G2354" s="43" t="s">
        <v>16639</v>
      </c>
      <c r="H2354" s="51" t="s">
        <v>48</v>
      </c>
      <c r="I2354" s="15" t="str">
        <f>IFERROR(__xludf.DUMMYFUNCTION("GOOGLETRANSLATE(H2354,""EN"",""ES"")"),"Finanzas")</f>
        <v>Finanzas</v>
      </c>
      <c r="J2354" s="16" t="s">
        <v>35</v>
      </c>
      <c r="K2354" s="48">
        <v>0.7</v>
      </c>
      <c r="L2354" s="51" t="s">
        <v>12440</v>
      </c>
      <c r="M2354" s="34" t="s">
        <v>12441</v>
      </c>
      <c r="N2354" s="65" t="s">
        <v>12531</v>
      </c>
      <c r="O2354" s="65" t="str">
        <f>IFERROR(__xludf.DUMMYFUNCTION("GOOGLETRANSLATE(N2354,""EN"",""ES"")"),"El anuncio de fuertes pagos de dividendos refuerza la confianza de los inversores en Repsol.")</f>
        <v>El anuncio de fuertes pagos de dividendos refuerza la confianza de los inversores en Repsol.</v>
      </c>
      <c r="P2354" s="30">
        <v>0.3</v>
      </c>
      <c r="Q2354" s="18" t="str">
        <f>IFERROR(__xludf.DUMMYFUNCTION("GOOGLETRANSLATE(R2354,""ES"",""EN"")"),"dividends")</f>
        <v>dividends</v>
      </c>
      <c r="R2354" s="34" t="s">
        <v>16640</v>
      </c>
      <c r="S2354" s="52" t="s">
        <v>16641</v>
      </c>
      <c r="T2354" s="22" t="s">
        <v>16642</v>
      </c>
    </row>
    <row r="2355">
      <c r="A2355" s="23" t="s">
        <v>16643</v>
      </c>
      <c r="B2355" s="77" t="s">
        <v>1081</v>
      </c>
      <c r="C2355" s="41">
        <v>45471.0</v>
      </c>
      <c r="D2355" s="40" t="s">
        <v>16644</v>
      </c>
      <c r="E2355" s="41" t="s">
        <v>16645</v>
      </c>
      <c r="F2355" s="43" t="s">
        <v>16646</v>
      </c>
      <c r="G2355" s="43" t="s">
        <v>16647</v>
      </c>
      <c r="H2355" s="51" t="s">
        <v>148</v>
      </c>
      <c r="I2355" s="25" t="str">
        <f>IFERROR(__xludf.DUMMYFUNCTION("GOOGLETRANSLATE(H2355,""EN"",""ES"")"),"Gastronomía")</f>
        <v>Gastronomía</v>
      </c>
      <c r="J2355" s="26" t="s">
        <v>27</v>
      </c>
      <c r="K2355" s="17">
        <v>0.0</v>
      </c>
      <c r="L2355" s="54"/>
      <c r="M2355" s="31"/>
      <c r="N2355" s="66"/>
      <c r="O2355" s="66"/>
      <c r="P2355" s="20">
        <v>0.0</v>
      </c>
      <c r="Q2355" s="31"/>
      <c r="R2355" s="31"/>
      <c r="S2355" s="53"/>
      <c r="T2355" s="32"/>
    </row>
    <row r="2356">
      <c r="A2356" s="33" t="s">
        <v>16648</v>
      </c>
      <c r="B2356" s="76" t="s">
        <v>6539</v>
      </c>
      <c r="C2356" s="41">
        <v>45471.0</v>
      </c>
      <c r="D2356" s="40" t="s">
        <v>16649</v>
      </c>
      <c r="E2356" s="41" t="s">
        <v>16650</v>
      </c>
      <c r="F2356" s="43" t="s">
        <v>16651</v>
      </c>
      <c r="G2356" s="43" t="s">
        <v>16652</v>
      </c>
      <c r="H2356" s="51" t="s">
        <v>148</v>
      </c>
      <c r="I2356" s="15" t="str">
        <f>IFERROR(__xludf.DUMMYFUNCTION("GOOGLETRANSLATE(H2356,""EN"",""ES"")"),"Gastronomía")</f>
        <v>Gastronomía</v>
      </c>
      <c r="J2356" s="16" t="s">
        <v>27</v>
      </c>
      <c r="K2356" s="17">
        <v>0.0</v>
      </c>
      <c r="L2356" s="45"/>
      <c r="M2356" s="18"/>
      <c r="N2356" s="65"/>
      <c r="O2356" s="65"/>
      <c r="P2356" s="20">
        <v>0.0</v>
      </c>
      <c r="Q2356" s="18"/>
      <c r="R2356" s="18"/>
      <c r="S2356" s="52"/>
      <c r="T2356" s="22"/>
    </row>
    <row r="2357">
      <c r="A2357" s="23" t="s">
        <v>16653</v>
      </c>
      <c r="B2357" s="77" t="s">
        <v>403</v>
      </c>
      <c r="C2357" s="41">
        <v>45471.0</v>
      </c>
      <c r="D2357" s="40" t="s">
        <v>16654</v>
      </c>
      <c r="E2357" s="41" t="s">
        <v>16655</v>
      </c>
      <c r="F2357" s="43" t="s">
        <v>16656</v>
      </c>
      <c r="G2357" s="43" t="s">
        <v>16657</v>
      </c>
      <c r="H2357" s="51" t="s">
        <v>661</v>
      </c>
      <c r="I2357" s="25" t="str">
        <f>IFERROR(__xludf.DUMMYFUNCTION("GOOGLETRANSLATE(H2357,""EN"",""ES"")"),"Estrategia empresarial")</f>
        <v>Estrategia empresarial</v>
      </c>
      <c r="J2357" s="26" t="s">
        <v>35</v>
      </c>
      <c r="K2357" s="48">
        <v>0.6</v>
      </c>
      <c r="L2357" s="49" t="s">
        <v>16658</v>
      </c>
      <c r="M2357" s="28" t="s">
        <v>16659</v>
      </c>
      <c r="N2357" s="66" t="s">
        <v>16660</v>
      </c>
      <c r="O2357" s="66" t="str">
        <f>IFERROR(__xludf.DUMMYFUNCTION("GOOGLETRANSLATE(N2357,""EN"",""ES"")"),"La expansión de las operaciones en el Reino Unido puede fortalecer la posición de Repsol en el mercado.")</f>
        <v>La expansión de las operaciones en el Reino Unido puede fortalecer la posición de Repsol en el mercado.</v>
      </c>
      <c r="P2357" s="30">
        <v>0.1</v>
      </c>
      <c r="Q2357" s="31" t="str">
        <f>IFERROR(__xludf.DUMMYFUNCTION("GOOGLETRANSLATE(R2357,""ES"",""EN"")"),"negotiate, merge")</f>
        <v>negotiate, merge</v>
      </c>
      <c r="R2357" s="28" t="s">
        <v>16661</v>
      </c>
      <c r="S2357" s="53" t="s">
        <v>16662</v>
      </c>
      <c r="T2357" s="32" t="s">
        <v>16663</v>
      </c>
    </row>
    <row r="2358">
      <c r="A2358" s="33" t="s">
        <v>16664</v>
      </c>
      <c r="B2358" s="76" t="s">
        <v>1128</v>
      </c>
      <c r="C2358" s="41">
        <v>45471.0</v>
      </c>
      <c r="D2358" s="40" t="s">
        <v>16665</v>
      </c>
      <c r="E2358" s="41" t="s">
        <v>16666</v>
      </c>
      <c r="F2358" s="43" t="s">
        <v>16667</v>
      </c>
      <c r="G2358" s="43" t="s">
        <v>16668</v>
      </c>
      <c r="H2358" s="51" t="s">
        <v>148</v>
      </c>
      <c r="I2358" s="15" t="str">
        <f>IFERROR(__xludf.DUMMYFUNCTION("GOOGLETRANSLATE(H2358,""EN"",""ES"")"),"Gastronomía")</f>
        <v>Gastronomía</v>
      </c>
      <c r="J2358" s="16" t="s">
        <v>27</v>
      </c>
      <c r="K2358" s="17">
        <v>0.0</v>
      </c>
      <c r="L2358" s="45"/>
      <c r="M2358" s="18"/>
      <c r="N2358" s="65"/>
      <c r="O2358" s="65"/>
      <c r="P2358" s="20">
        <v>0.0</v>
      </c>
      <c r="Q2358" s="18"/>
      <c r="R2358" s="18"/>
      <c r="S2358" s="52"/>
      <c r="T2358" s="22"/>
    </row>
    <row r="2359">
      <c r="A2359" s="23" t="s">
        <v>16669</v>
      </c>
      <c r="B2359" s="77" t="s">
        <v>2973</v>
      </c>
      <c r="C2359" s="41">
        <v>45471.0</v>
      </c>
      <c r="D2359" s="40" t="s">
        <v>16670</v>
      </c>
      <c r="E2359" s="41" t="s">
        <v>16671</v>
      </c>
      <c r="F2359" s="43" t="s">
        <v>16672</v>
      </c>
      <c r="G2359" s="43" t="s">
        <v>16673</v>
      </c>
      <c r="H2359" s="51" t="s">
        <v>130</v>
      </c>
      <c r="I2359" s="25" t="str">
        <f>IFERROR(__xludf.DUMMYFUNCTION("GOOGLETRANSLATE(H2359,""EN"",""ES"")"),"Sostenibilidad")</f>
        <v>Sostenibilidad</v>
      </c>
      <c r="J2359" s="26" t="s">
        <v>35</v>
      </c>
      <c r="K2359" s="48">
        <v>0.0</v>
      </c>
      <c r="L2359" s="54"/>
      <c r="M2359" s="31"/>
      <c r="N2359" s="66" t="s">
        <v>16674</v>
      </c>
      <c r="O2359" s="66" t="str">
        <f>IFERROR(__xludf.DUMMYFUNCTION("GOOGLETRANSLATE(N2359,""EN"",""ES"")"),"Los avances tecnológicos generales no impactan directamente en Repsol.")</f>
        <v>Los avances tecnológicos generales no impactan directamente en Repsol.</v>
      </c>
      <c r="P2359" s="30">
        <v>0.0</v>
      </c>
      <c r="Q2359" s="31"/>
      <c r="R2359" s="31"/>
      <c r="S2359" s="53" t="s">
        <v>16675</v>
      </c>
      <c r="T2359" s="32" t="s">
        <v>16676</v>
      </c>
    </row>
    <row r="2360">
      <c r="A2360" s="33" t="s">
        <v>16677</v>
      </c>
      <c r="B2360" s="76" t="s">
        <v>21</v>
      </c>
      <c r="C2360" s="41">
        <v>45471.0</v>
      </c>
      <c r="D2360" s="40" t="s">
        <v>16678</v>
      </c>
      <c r="E2360" s="41" t="s">
        <v>16679</v>
      </c>
      <c r="F2360" s="43" t="s">
        <v>16680</v>
      </c>
      <c r="G2360" s="43" t="s">
        <v>16681</v>
      </c>
      <c r="H2360" s="51" t="s">
        <v>148</v>
      </c>
      <c r="I2360" s="15" t="str">
        <f>IFERROR(__xludf.DUMMYFUNCTION("GOOGLETRANSLATE(H2360,""EN"",""ES"")"),"Gastronomía")</f>
        <v>Gastronomía</v>
      </c>
      <c r="J2360" s="16" t="s">
        <v>27</v>
      </c>
      <c r="K2360" s="17">
        <v>0.0</v>
      </c>
      <c r="L2360" s="45"/>
      <c r="M2360" s="18"/>
      <c r="N2360" s="65"/>
      <c r="O2360" s="65"/>
      <c r="P2360" s="20">
        <v>0.0</v>
      </c>
      <c r="Q2360" s="18"/>
      <c r="R2360" s="18"/>
      <c r="S2360" s="52"/>
      <c r="T2360" s="22"/>
    </row>
    <row r="2361">
      <c r="A2361" s="23" t="s">
        <v>16682</v>
      </c>
      <c r="B2361" s="77" t="s">
        <v>3045</v>
      </c>
      <c r="C2361" s="41">
        <v>45471.0</v>
      </c>
      <c r="D2361" s="40" t="s">
        <v>16683</v>
      </c>
      <c r="E2361" s="41" t="s">
        <v>16684</v>
      </c>
      <c r="F2361" s="43" t="s">
        <v>16685</v>
      </c>
      <c r="G2361" s="43" t="s">
        <v>16686</v>
      </c>
      <c r="H2361" s="51" t="s">
        <v>148</v>
      </c>
      <c r="I2361" s="25" t="str">
        <f>IFERROR(__xludf.DUMMYFUNCTION("GOOGLETRANSLATE(H2361,""EN"",""ES"")"),"Gastronomía")</f>
        <v>Gastronomía</v>
      </c>
      <c r="J2361" s="26" t="s">
        <v>27</v>
      </c>
      <c r="K2361" s="17">
        <v>0.0</v>
      </c>
      <c r="L2361" s="54"/>
      <c r="M2361" s="31"/>
      <c r="N2361" s="66"/>
      <c r="O2361" s="66"/>
      <c r="P2361" s="20">
        <v>0.0</v>
      </c>
      <c r="Q2361" s="31"/>
      <c r="R2361" s="31"/>
      <c r="S2361" s="53"/>
      <c r="T2361" s="32"/>
    </row>
    <row r="2362">
      <c r="A2362" s="33" t="s">
        <v>16687</v>
      </c>
      <c r="B2362" s="76" t="s">
        <v>6555</v>
      </c>
      <c r="C2362" s="41">
        <v>45471.0</v>
      </c>
      <c r="D2362" s="40" t="s">
        <v>16688</v>
      </c>
      <c r="E2362" s="41" t="s">
        <v>16689</v>
      </c>
      <c r="F2362" s="43" t="s">
        <v>16690</v>
      </c>
      <c r="G2362" s="43" t="s">
        <v>16691</v>
      </c>
      <c r="H2362" s="51" t="s">
        <v>148</v>
      </c>
      <c r="I2362" s="15" t="str">
        <f>IFERROR(__xludf.DUMMYFUNCTION("GOOGLETRANSLATE(H2362,""EN"",""ES"")"),"Gastronomía")</f>
        <v>Gastronomía</v>
      </c>
      <c r="J2362" s="16" t="s">
        <v>27</v>
      </c>
      <c r="K2362" s="17">
        <v>0.0</v>
      </c>
      <c r="L2362" s="45"/>
      <c r="M2362" s="18"/>
      <c r="N2362" s="65"/>
      <c r="O2362" s="65"/>
      <c r="P2362" s="20">
        <v>0.0</v>
      </c>
      <c r="Q2362" s="18"/>
      <c r="R2362" s="18"/>
      <c r="S2362" s="52"/>
      <c r="T2362" s="22"/>
    </row>
    <row r="2363">
      <c r="A2363" s="23" t="s">
        <v>16692</v>
      </c>
      <c r="B2363" s="77" t="s">
        <v>1005</v>
      </c>
      <c r="C2363" s="41">
        <v>45471.0</v>
      </c>
      <c r="D2363" s="40" t="s">
        <v>16693</v>
      </c>
      <c r="E2363" s="41" t="s">
        <v>16694</v>
      </c>
      <c r="F2363" s="43" t="s">
        <v>16695</v>
      </c>
      <c r="G2363" s="43" t="s">
        <v>16696</v>
      </c>
      <c r="H2363" s="51" t="s">
        <v>5878</v>
      </c>
      <c r="I2363" s="25" t="str">
        <f>IFERROR(__xludf.DUMMYFUNCTION("GOOGLETRANSLATE(H2363,""EN"",""ES"")"),"Entretenimiento")</f>
        <v>Entretenimiento</v>
      </c>
      <c r="J2363" s="26" t="s">
        <v>27</v>
      </c>
      <c r="K2363" s="17">
        <v>0.0</v>
      </c>
      <c r="L2363" s="54"/>
      <c r="M2363" s="31"/>
      <c r="N2363" s="66"/>
      <c r="O2363" s="66"/>
      <c r="P2363" s="20">
        <v>0.0</v>
      </c>
      <c r="Q2363" s="31"/>
      <c r="R2363" s="31"/>
      <c r="S2363" s="53"/>
      <c r="T2363" s="32"/>
    </row>
    <row r="2364">
      <c r="A2364" s="33" t="s">
        <v>16697</v>
      </c>
      <c r="B2364" s="76" t="s">
        <v>425</v>
      </c>
      <c r="C2364" s="41">
        <v>45471.0</v>
      </c>
      <c r="D2364" s="40" t="s">
        <v>16698</v>
      </c>
      <c r="E2364" s="41" t="s">
        <v>16699</v>
      </c>
      <c r="F2364" s="43" t="s">
        <v>16700</v>
      </c>
      <c r="G2364" s="43" t="s">
        <v>16701</v>
      </c>
      <c r="H2364" s="51" t="s">
        <v>55</v>
      </c>
      <c r="I2364" s="15" t="str">
        <f>IFERROR(__xludf.DUMMYFUNCTION("GOOGLETRANSLATE(H2364,""EN"",""ES"")"),"deportes de motor")</f>
        <v>deportes de motor</v>
      </c>
      <c r="J2364" s="16" t="s">
        <v>27</v>
      </c>
      <c r="K2364" s="17">
        <v>0.0</v>
      </c>
      <c r="L2364" s="45"/>
      <c r="M2364" s="18"/>
      <c r="N2364" s="65"/>
      <c r="O2364" s="65"/>
      <c r="P2364" s="20">
        <v>0.0</v>
      </c>
      <c r="Q2364" s="18"/>
      <c r="R2364" s="18"/>
      <c r="S2364" s="52"/>
      <c r="T2364" s="22"/>
    </row>
    <row r="2365">
      <c r="A2365" s="23" t="s">
        <v>16702</v>
      </c>
      <c r="B2365" s="77" t="s">
        <v>1081</v>
      </c>
      <c r="C2365" s="41">
        <v>45472.0</v>
      </c>
      <c r="D2365" s="40" t="s">
        <v>16703</v>
      </c>
      <c r="E2365" s="41" t="s">
        <v>16704</v>
      </c>
      <c r="F2365" s="43" t="s">
        <v>16705</v>
      </c>
      <c r="G2365" s="43" t="s">
        <v>16706</v>
      </c>
      <c r="H2365" s="51" t="s">
        <v>148</v>
      </c>
      <c r="I2365" s="25" t="str">
        <f>IFERROR(__xludf.DUMMYFUNCTION("GOOGLETRANSLATE(H2365,""EN"",""ES"")"),"Gastronomía")</f>
        <v>Gastronomía</v>
      </c>
      <c r="J2365" s="26" t="s">
        <v>27</v>
      </c>
      <c r="K2365" s="17">
        <v>0.0</v>
      </c>
      <c r="L2365" s="54"/>
      <c r="M2365" s="31"/>
      <c r="N2365" s="66"/>
      <c r="O2365" s="66"/>
      <c r="P2365" s="20">
        <v>0.0</v>
      </c>
      <c r="Q2365" s="31"/>
      <c r="R2365" s="31"/>
      <c r="S2365" s="53"/>
      <c r="T2365" s="32"/>
    </row>
    <row r="2366">
      <c r="A2366" s="33" t="s">
        <v>16707</v>
      </c>
      <c r="B2366" s="76" t="s">
        <v>16708</v>
      </c>
      <c r="C2366" s="41">
        <v>45472.0</v>
      </c>
      <c r="D2366" s="40" t="s">
        <v>16709</v>
      </c>
      <c r="E2366" s="41" t="s">
        <v>16710</v>
      </c>
      <c r="F2366" s="43" t="s">
        <v>16711</v>
      </c>
      <c r="G2366" s="43" t="s">
        <v>16712</v>
      </c>
      <c r="H2366" s="51" t="s">
        <v>130</v>
      </c>
      <c r="I2366" s="15" t="str">
        <f>IFERROR(__xludf.DUMMYFUNCTION("GOOGLETRANSLATE(H2366,""EN"",""ES"")"),"Sostenibilidad")</f>
        <v>Sostenibilidad</v>
      </c>
      <c r="J2366" s="16" t="s">
        <v>35</v>
      </c>
      <c r="K2366" s="48">
        <v>0.7</v>
      </c>
      <c r="L2366" s="51" t="s">
        <v>12580</v>
      </c>
      <c r="M2366" s="34" t="s">
        <v>12581</v>
      </c>
      <c r="N2366" s="65" t="s">
        <v>16713</v>
      </c>
      <c r="O2366" s="65" t="str">
        <f>IFERROR(__xludf.DUMMYFUNCTION("GOOGLETRANSLATE(N2366,""EN"",""ES"")"),"El avance de los combustibles renovables en el transporte marítimo refuerza los esfuerzos de Repsol en materia de sostenibilidad.")</f>
        <v>El avance de los combustibles renovables en el transporte marítimo refuerza los esfuerzos de Repsol en materia de sostenibilidad.</v>
      </c>
      <c r="P2366" s="30">
        <v>0.8</v>
      </c>
      <c r="Q2366" s="18" t="str">
        <f>IFERROR(__xludf.DUMMYFUNCTION("GOOGLETRANSLATE(R2366,""ES"",""EN"")"),"renewable fuel")</f>
        <v>renewable fuel</v>
      </c>
      <c r="R2366" s="34" t="s">
        <v>10542</v>
      </c>
      <c r="S2366" s="52" t="s">
        <v>16714</v>
      </c>
      <c r="T2366" s="22" t="s">
        <v>16715</v>
      </c>
    </row>
    <row r="2367">
      <c r="A2367" s="23" t="s">
        <v>16716</v>
      </c>
      <c r="B2367" s="77" t="s">
        <v>260</v>
      </c>
      <c r="C2367" s="41">
        <v>45472.0</v>
      </c>
      <c r="D2367" s="40" t="s">
        <v>16717</v>
      </c>
      <c r="E2367" s="41" t="s">
        <v>16718</v>
      </c>
      <c r="F2367" s="43" t="s">
        <v>16719</v>
      </c>
      <c r="G2367" s="43" t="s">
        <v>16720</v>
      </c>
      <c r="H2367" s="51" t="s">
        <v>48</v>
      </c>
      <c r="I2367" s="25" t="str">
        <f>IFERROR(__xludf.DUMMYFUNCTION("GOOGLETRANSLATE(H2367,""EN"",""ES"")"),"Finanzas")</f>
        <v>Finanzas</v>
      </c>
      <c r="J2367" s="26" t="s">
        <v>35</v>
      </c>
      <c r="K2367" s="48">
        <v>0.7</v>
      </c>
      <c r="L2367" s="49" t="s">
        <v>12440</v>
      </c>
      <c r="M2367" s="28" t="s">
        <v>12441</v>
      </c>
      <c r="N2367" s="66" t="s">
        <v>16721</v>
      </c>
      <c r="O2367" s="66" t="str">
        <f>IFERROR(__xludf.DUMMYFUNCTION("GOOGLETRANSLATE(N2367,""EN"",""ES"")"),"Los fuertes pagos de dividendos refuerzan la confianza de los inversores en Repsol.")</f>
        <v>Los fuertes pagos de dividendos refuerzan la confianza de los inversores en Repsol.</v>
      </c>
      <c r="P2367" s="30">
        <v>0.3</v>
      </c>
      <c r="Q2367" s="31" t="str">
        <f>IFERROR(__xludf.DUMMYFUNCTION("GOOGLETRANSLATE(R2367,""ES"",""EN"")"),"dividends")</f>
        <v>dividends</v>
      </c>
      <c r="R2367" s="28" t="s">
        <v>16640</v>
      </c>
      <c r="S2367" s="53" t="s">
        <v>16722</v>
      </c>
      <c r="T2367" s="32" t="s">
        <v>16723</v>
      </c>
    </row>
    <row r="2368">
      <c r="A2368" s="33" t="s">
        <v>16724</v>
      </c>
      <c r="B2368" s="76" t="s">
        <v>2498</v>
      </c>
      <c r="C2368" s="41">
        <v>45472.0</v>
      </c>
      <c r="D2368" s="40" t="s">
        <v>16725</v>
      </c>
      <c r="E2368" s="41" t="s">
        <v>16726</v>
      </c>
      <c r="F2368" s="43" t="s">
        <v>16727</v>
      </c>
      <c r="G2368" s="43" t="s">
        <v>16728</v>
      </c>
      <c r="H2368" s="51" t="s">
        <v>34</v>
      </c>
      <c r="I2368" s="15" t="str">
        <f>IFERROR(__xludf.DUMMYFUNCTION("GOOGLETRANSLATE(H2368,""EN"",""ES"")"),"Responsabilidad Social Corporativa")</f>
        <v>Responsabilidad Social Corporativa</v>
      </c>
      <c r="J2368" s="16" t="s">
        <v>27</v>
      </c>
      <c r="K2368" s="17">
        <v>0.0</v>
      </c>
      <c r="L2368" s="45"/>
      <c r="M2368" s="18"/>
      <c r="N2368" s="65"/>
      <c r="O2368" s="65"/>
      <c r="P2368" s="20">
        <v>0.0</v>
      </c>
      <c r="Q2368" s="18"/>
      <c r="R2368" s="18"/>
      <c r="S2368" s="52"/>
      <c r="T2368" s="22"/>
    </row>
    <row r="2369">
      <c r="A2369" s="23" t="s">
        <v>16729</v>
      </c>
      <c r="B2369" s="77" t="s">
        <v>16730</v>
      </c>
      <c r="C2369" s="41">
        <v>45472.0</v>
      </c>
      <c r="D2369" s="40" t="s">
        <v>16731</v>
      </c>
      <c r="E2369" s="41" t="s">
        <v>16732</v>
      </c>
      <c r="F2369" s="43" t="s">
        <v>16733</v>
      </c>
      <c r="G2369" s="43" t="s">
        <v>16734</v>
      </c>
      <c r="H2369" s="51" t="s">
        <v>148</v>
      </c>
      <c r="I2369" s="25" t="str">
        <f>IFERROR(__xludf.DUMMYFUNCTION("GOOGLETRANSLATE(H2369,""EN"",""ES"")"),"Gastronomía")</f>
        <v>Gastronomía</v>
      </c>
      <c r="J2369" s="26" t="s">
        <v>27</v>
      </c>
      <c r="K2369" s="17">
        <v>0.0</v>
      </c>
      <c r="L2369" s="54"/>
      <c r="M2369" s="31"/>
      <c r="N2369" s="66"/>
      <c r="O2369" s="66"/>
      <c r="P2369" s="20">
        <v>0.0</v>
      </c>
      <c r="Q2369" s="31"/>
      <c r="R2369" s="31"/>
      <c r="S2369" s="53"/>
      <c r="T2369" s="32"/>
    </row>
    <row r="2370">
      <c r="A2370" s="33" t="s">
        <v>16735</v>
      </c>
      <c r="B2370" s="76" t="s">
        <v>1970</v>
      </c>
      <c r="C2370" s="41">
        <v>45472.0</v>
      </c>
      <c r="D2370" s="40" t="s">
        <v>16736</v>
      </c>
      <c r="E2370" s="41" t="s">
        <v>16737</v>
      </c>
      <c r="F2370" s="43" t="s">
        <v>16738</v>
      </c>
      <c r="G2370" s="43" t="s">
        <v>16739</v>
      </c>
      <c r="H2370" s="51" t="s">
        <v>55</v>
      </c>
      <c r="I2370" s="15" t="str">
        <f>IFERROR(__xludf.DUMMYFUNCTION("GOOGLETRANSLATE(H2370,""EN"",""ES"")"),"deportes de motor")</f>
        <v>deportes de motor</v>
      </c>
      <c r="J2370" s="16" t="s">
        <v>27</v>
      </c>
      <c r="K2370" s="17">
        <v>0.0</v>
      </c>
      <c r="L2370" s="45"/>
      <c r="M2370" s="18"/>
      <c r="N2370" s="65"/>
      <c r="O2370" s="65"/>
      <c r="P2370" s="20">
        <v>0.0</v>
      </c>
      <c r="Q2370" s="18"/>
      <c r="R2370" s="18"/>
      <c r="S2370" s="52"/>
      <c r="T2370" s="22"/>
    </row>
    <row r="2371">
      <c r="A2371" s="23" t="s">
        <v>16740</v>
      </c>
      <c r="B2371" s="77" t="s">
        <v>16248</v>
      </c>
      <c r="C2371" s="41">
        <v>45472.0</v>
      </c>
      <c r="D2371" s="40" t="s">
        <v>16741</v>
      </c>
      <c r="E2371" s="41" t="s">
        <v>16742</v>
      </c>
      <c r="F2371" s="43" t="s">
        <v>16743</v>
      </c>
      <c r="G2371" s="43" t="s">
        <v>16744</v>
      </c>
      <c r="H2371" s="51" t="s">
        <v>148</v>
      </c>
      <c r="I2371" s="25" t="str">
        <f>IFERROR(__xludf.DUMMYFUNCTION("GOOGLETRANSLATE(H2371,""EN"",""ES"")"),"Gastronomía")</f>
        <v>Gastronomía</v>
      </c>
      <c r="J2371" s="26" t="s">
        <v>27</v>
      </c>
      <c r="K2371" s="17">
        <v>0.0</v>
      </c>
      <c r="L2371" s="54"/>
      <c r="M2371" s="31"/>
      <c r="N2371" s="66"/>
      <c r="O2371" s="66"/>
      <c r="P2371" s="20">
        <v>0.0</v>
      </c>
      <c r="Q2371" s="31"/>
      <c r="R2371" s="31"/>
      <c r="S2371" s="53"/>
      <c r="T2371" s="32"/>
    </row>
    <row r="2372">
      <c r="A2372" s="33" t="s">
        <v>16745</v>
      </c>
      <c r="B2372" s="76" t="s">
        <v>1081</v>
      </c>
      <c r="C2372" s="41">
        <v>45472.0</v>
      </c>
      <c r="D2372" s="40" t="s">
        <v>16746</v>
      </c>
      <c r="E2372" s="41" t="s">
        <v>16747</v>
      </c>
      <c r="F2372" s="43" t="s">
        <v>16748</v>
      </c>
      <c r="G2372" s="43" t="s">
        <v>16749</v>
      </c>
      <c r="H2372" s="51" t="s">
        <v>130</v>
      </c>
      <c r="I2372" s="15" t="str">
        <f>IFERROR(__xludf.DUMMYFUNCTION("GOOGLETRANSLATE(H2372,""EN"",""ES"")"),"Sostenibilidad")</f>
        <v>Sostenibilidad</v>
      </c>
      <c r="J2372" s="16" t="s">
        <v>35</v>
      </c>
      <c r="K2372" s="48">
        <v>0.7</v>
      </c>
      <c r="L2372" s="51" t="s">
        <v>16750</v>
      </c>
      <c r="M2372" s="34" t="s">
        <v>16751</v>
      </c>
      <c r="N2372" s="65" t="s">
        <v>16752</v>
      </c>
      <c r="O2372" s="65" t="str">
        <f>IFERROR(__xludf.DUMMYFUNCTION("GOOGLETRANSLATE(N2372,""EN"",""ES"")"),"La expansión de los proyectos de hidrógeno verde se alinea con la transición energética de Repsol.")</f>
        <v>La expansión de los proyectos de hidrógeno verde se alinea con la transición energética de Repsol.</v>
      </c>
      <c r="P2372" s="30">
        <v>0.0</v>
      </c>
      <c r="Q2372" s="18"/>
      <c r="R2372" s="18"/>
      <c r="S2372" s="52" t="s">
        <v>12622</v>
      </c>
      <c r="T2372" s="22" t="s">
        <v>12623</v>
      </c>
    </row>
    <row r="2373">
      <c r="A2373" s="23" t="s">
        <v>16753</v>
      </c>
      <c r="B2373" s="77" t="s">
        <v>163</v>
      </c>
      <c r="C2373" s="41">
        <v>45472.0</v>
      </c>
      <c r="D2373" s="40" t="s">
        <v>16754</v>
      </c>
      <c r="E2373" s="41" t="s">
        <v>16755</v>
      </c>
      <c r="F2373" s="43" t="s">
        <v>16756</v>
      </c>
      <c r="G2373" s="43" t="s">
        <v>16757</v>
      </c>
      <c r="H2373" s="51" t="s">
        <v>55</v>
      </c>
      <c r="I2373" s="25" t="str">
        <f>IFERROR(__xludf.DUMMYFUNCTION("GOOGLETRANSLATE(H2373,""EN"",""ES"")"),"deportes de motor")</f>
        <v>deportes de motor</v>
      </c>
      <c r="J2373" s="26" t="s">
        <v>27</v>
      </c>
      <c r="K2373" s="17">
        <v>0.0</v>
      </c>
      <c r="L2373" s="54"/>
      <c r="M2373" s="31"/>
      <c r="N2373" s="66"/>
      <c r="O2373" s="66"/>
      <c r="P2373" s="20">
        <v>0.0</v>
      </c>
      <c r="Q2373" s="31"/>
      <c r="R2373" s="31"/>
      <c r="S2373" s="53"/>
      <c r="T2373" s="32"/>
    </row>
    <row r="2374">
      <c r="A2374" s="33" t="s">
        <v>16758</v>
      </c>
      <c r="B2374" s="76" t="s">
        <v>217</v>
      </c>
      <c r="C2374" s="41">
        <v>45473.0</v>
      </c>
      <c r="D2374" s="40" t="s">
        <v>16759</v>
      </c>
      <c r="E2374" s="41" t="s">
        <v>16760</v>
      </c>
      <c r="F2374" s="43" t="s">
        <v>16761</v>
      </c>
      <c r="G2374" s="43" t="s">
        <v>16762</v>
      </c>
      <c r="H2374" s="51" t="s">
        <v>661</v>
      </c>
      <c r="I2374" s="15" t="str">
        <f>IFERROR(__xludf.DUMMYFUNCTION("GOOGLETRANSLATE(H2374,""EN"",""ES"")"),"Estrategia empresarial")</f>
        <v>Estrategia empresarial</v>
      </c>
      <c r="J2374" s="16" t="s">
        <v>35</v>
      </c>
      <c r="K2374" s="48">
        <v>0.6</v>
      </c>
      <c r="L2374" s="51" t="s">
        <v>16658</v>
      </c>
      <c r="M2374" s="34" t="s">
        <v>16659</v>
      </c>
      <c r="N2374" s="65" t="s">
        <v>16763</v>
      </c>
      <c r="O2374" s="65" t="str">
        <f>IFERROR(__xludf.DUMMYFUNCTION("GOOGLETRANSLATE(N2374,""EN"",""ES"")"),"La expansión de las operaciones en el Reino Unido fortalece la presencia de Repsol en el mercado internacional.")</f>
        <v>La expansión de las operaciones en el Reino Unido fortalece la presencia de Repsol en el mercado internacional.</v>
      </c>
      <c r="P2374" s="30">
        <v>0.4</v>
      </c>
      <c r="Q2374" s="18" t="str">
        <f>IFERROR(__xludf.DUMMYFUNCTION("GOOGLETRANSLATE(R2374,""ES"",""EN"")"),"fusion, grow")</f>
        <v>fusion, grow</v>
      </c>
      <c r="R2374" s="34" t="s">
        <v>16764</v>
      </c>
      <c r="S2374" s="52" t="s">
        <v>16765</v>
      </c>
      <c r="T2374" s="22" t="s">
        <v>16766</v>
      </c>
    </row>
    <row r="2375">
      <c r="A2375" s="23" t="s">
        <v>16767</v>
      </c>
      <c r="B2375" s="77" t="s">
        <v>8127</v>
      </c>
      <c r="C2375" s="41">
        <v>45473.0</v>
      </c>
      <c r="D2375" s="40" t="s">
        <v>16768</v>
      </c>
      <c r="E2375" s="41" t="s">
        <v>16769</v>
      </c>
      <c r="F2375" s="43" t="s">
        <v>16770</v>
      </c>
      <c r="G2375" s="43" t="s">
        <v>16771</v>
      </c>
      <c r="H2375" s="51" t="s">
        <v>148</v>
      </c>
      <c r="I2375" s="25" t="str">
        <f>IFERROR(__xludf.DUMMYFUNCTION("GOOGLETRANSLATE(H2375,""EN"",""ES"")"),"Gastronomía")</f>
        <v>Gastronomía</v>
      </c>
      <c r="J2375" s="26" t="s">
        <v>27</v>
      </c>
      <c r="K2375" s="17">
        <v>0.0</v>
      </c>
      <c r="L2375" s="54"/>
      <c r="M2375" s="31"/>
      <c r="N2375" s="66"/>
      <c r="O2375" s="66"/>
      <c r="P2375" s="20">
        <v>0.0</v>
      </c>
      <c r="Q2375" s="31"/>
      <c r="R2375" s="31"/>
      <c r="S2375" s="53"/>
      <c r="T2375" s="32"/>
    </row>
    <row r="2376">
      <c r="A2376" s="33" t="s">
        <v>16772</v>
      </c>
      <c r="B2376" s="76" t="s">
        <v>1072</v>
      </c>
      <c r="C2376" s="41">
        <v>45473.0</v>
      </c>
      <c r="D2376" s="40" t="s">
        <v>16773</v>
      </c>
      <c r="E2376" s="41" t="s">
        <v>16774</v>
      </c>
      <c r="F2376" s="43" t="s">
        <v>16775</v>
      </c>
      <c r="G2376" s="43" t="s">
        <v>16776</v>
      </c>
      <c r="H2376" s="51" t="s">
        <v>661</v>
      </c>
      <c r="I2376" s="15" t="str">
        <f>IFERROR(__xludf.DUMMYFUNCTION("GOOGLETRANSLATE(H2376,""EN"",""ES"")"),"Estrategia empresarial")</f>
        <v>Estrategia empresarial</v>
      </c>
      <c r="J2376" s="16" t="s">
        <v>35</v>
      </c>
      <c r="K2376" s="48">
        <v>0.6</v>
      </c>
      <c r="L2376" s="51" t="s">
        <v>16658</v>
      </c>
      <c r="M2376" s="34" t="s">
        <v>16659</v>
      </c>
      <c r="N2376" s="65" t="s">
        <v>16777</v>
      </c>
      <c r="O2376" s="65" t="str">
        <f>IFERROR(__xludf.DUMMYFUNCTION("GOOGLETRANSLATE(N2376,""EN"",""ES"")"),"Reforzar la presencia en el mercado energético del Reino Unido refuerza la estrategia de crecimiento de Repsol.")</f>
        <v>Reforzar la presencia en el mercado energético del Reino Unido refuerza la estrategia de crecimiento de Repsol.</v>
      </c>
      <c r="P2376" s="30">
        <v>0.1</v>
      </c>
      <c r="Q2376" s="18" t="str">
        <f>IFERROR(__xludf.DUMMYFUNCTION("GOOGLETRANSLATE(R2376,""ES"",""EN"")"),"negotiate, merger")</f>
        <v>negotiate, merger</v>
      </c>
      <c r="R2376" s="34" t="s">
        <v>16778</v>
      </c>
      <c r="S2376" s="52" t="s">
        <v>16662</v>
      </c>
      <c r="T2376" s="22" t="s">
        <v>16663</v>
      </c>
    </row>
    <row r="2377">
      <c r="A2377" s="23" t="s">
        <v>16779</v>
      </c>
      <c r="B2377" s="77" t="s">
        <v>103</v>
      </c>
      <c r="C2377" s="41">
        <v>45473.0</v>
      </c>
      <c r="D2377" s="40" t="s">
        <v>16780</v>
      </c>
      <c r="E2377" s="41" t="s">
        <v>16781</v>
      </c>
      <c r="F2377" s="43" t="s">
        <v>16782</v>
      </c>
      <c r="G2377" s="43" t="s">
        <v>16783</v>
      </c>
      <c r="H2377" s="51" t="s">
        <v>48</v>
      </c>
      <c r="I2377" s="25" t="str">
        <f>IFERROR(__xludf.DUMMYFUNCTION("GOOGLETRANSLATE(H2377,""EN"",""ES"")"),"Finanzas")</f>
        <v>Finanzas</v>
      </c>
      <c r="J2377" s="26" t="s">
        <v>35</v>
      </c>
      <c r="K2377" s="48">
        <v>0.7</v>
      </c>
      <c r="L2377" s="49" t="s">
        <v>12440</v>
      </c>
      <c r="M2377" s="28" t="s">
        <v>12441</v>
      </c>
      <c r="N2377" s="66" t="s">
        <v>16784</v>
      </c>
      <c r="O2377" s="66" t="str">
        <f>IFERROR(__xludf.DUMMYFUNCTION("GOOGLETRANSLATE(N2377,""EN"",""ES"")"),"El anuncio de dividendos refuerza la confianza de los inversores en Repsol.")</f>
        <v>El anuncio de dividendos refuerza la confianza de los inversores en Repsol.</v>
      </c>
      <c r="P2377" s="30">
        <v>0.3</v>
      </c>
      <c r="Q2377" s="31" t="str">
        <f>IFERROR(__xludf.DUMMYFUNCTION("GOOGLETRANSLATE(R2377,""ES"",""EN"")"),"dividends")</f>
        <v>dividends</v>
      </c>
      <c r="R2377" s="28" t="s">
        <v>16640</v>
      </c>
      <c r="S2377" s="53" t="s">
        <v>16722</v>
      </c>
      <c r="T2377" s="32" t="s">
        <v>16723</v>
      </c>
    </row>
    <row r="2378">
      <c r="A2378" s="33" t="s">
        <v>16785</v>
      </c>
      <c r="B2378" s="76" t="s">
        <v>85</v>
      </c>
      <c r="C2378" s="41">
        <v>45473.0</v>
      </c>
      <c r="D2378" s="40" t="s">
        <v>16786</v>
      </c>
      <c r="E2378" s="41" t="s">
        <v>16787</v>
      </c>
      <c r="F2378" s="43" t="s">
        <v>16788</v>
      </c>
      <c r="G2378" s="43" t="s">
        <v>16789</v>
      </c>
      <c r="H2378" s="51" t="s">
        <v>148</v>
      </c>
      <c r="I2378" s="15" t="str">
        <f>IFERROR(__xludf.DUMMYFUNCTION("GOOGLETRANSLATE(H2378,""EN"",""ES"")"),"Gastronomía")</f>
        <v>Gastronomía</v>
      </c>
      <c r="J2378" s="16" t="s">
        <v>27</v>
      </c>
      <c r="K2378" s="17">
        <v>0.0</v>
      </c>
      <c r="L2378" s="45"/>
      <c r="M2378" s="18"/>
      <c r="N2378" s="65"/>
      <c r="O2378" s="65"/>
      <c r="P2378" s="20">
        <v>0.0</v>
      </c>
      <c r="Q2378" s="18"/>
      <c r="R2378" s="18"/>
      <c r="S2378" s="52"/>
      <c r="T2378" s="22"/>
    </row>
    <row r="2379">
      <c r="A2379" s="23" t="s">
        <v>16790</v>
      </c>
      <c r="B2379" s="77" t="s">
        <v>43</v>
      </c>
      <c r="C2379" s="41">
        <v>45473.0</v>
      </c>
      <c r="D2379" s="40" t="s">
        <v>16791</v>
      </c>
      <c r="E2379" s="41" t="s">
        <v>16792</v>
      </c>
      <c r="F2379" s="43" t="s">
        <v>16793</v>
      </c>
      <c r="G2379" s="43" t="s">
        <v>16794</v>
      </c>
      <c r="H2379" s="51" t="s">
        <v>148</v>
      </c>
      <c r="I2379" s="25" t="str">
        <f>IFERROR(__xludf.DUMMYFUNCTION("GOOGLETRANSLATE(H2379,""EN"",""ES"")"),"Gastronomía")</f>
        <v>Gastronomía</v>
      </c>
      <c r="J2379" s="26" t="s">
        <v>27</v>
      </c>
      <c r="K2379" s="17">
        <v>0.0</v>
      </c>
      <c r="L2379" s="54"/>
      <c r="M2379" s="31"/>
      <c r="N2379" s="66"/>
      <c r="O2379" s="66"/>
      <c r="P2379" s="20">
        <v>0.0</v>
      </c>
      <c r="Q2379" s="31"/>
      <c r="R2379" s="31"/>
      <c r="S2379" s="53"/>
      <c r="T2379" s="32"/>
    </row>
    <row r="2380">
      <c r="A2380" s="33" t="s">
        <v>16795</v>
      </c>
      <c r="B2380" s="76" t="s">
        <v>6458</v>
      </c>
      <c r="C2380" s="41">
        <v>45473.0</v>
      </c>
      <c r="D2380" s="40" t="s">
        <v>16796</v>
      </c>
      <c r="E2380" s="41" t="s">
        <v>16797</v>
      </c>
      <c r="F2380" s="43" t="s">
        <v>16798</v>
      </c>
      <c r="G2380" s="43" t="s">
        <v>16799</v>
      </c>
      <c r="H2380" s="51" t="s">
        <v>148</v>
      </c>
      <c r="I2380" s="15" t="str">
        <f>IFERROR(__xludf.DUMMYFUNCTION("GOOGLETRANSLATE(H2380,""EN"",""ES"")"),"Gastronomía")</f>
        <v>Gastronomía</v>
      </c>
      <c r="J2380" s="16" t="s">
        <v>27</v>
      </c>
      <c r="K2380" s="17">
        <v>0.0</v>
      </c>
      <c r="L2380" s="45"/>
      <c r="M2380" s="18"/>
      <c r="N2380" s="65"/>
      <c r="O2380" s="65"/>
      <c r="P2380" s="20">
        <v>0.0</v>
      </c>
      <c r="Q2380" s="18"/>
      <c r="R2380" s="18"/>
      <c r="S2380" s="52"/>
      <c r="T2380" s="22"/>
    </row>
    <row r="2381">
      <c r="A2381" s="23" t="s">
        <v>16800</v>
      </c>
      <c r="B2381" s="77" t="s">
        <v>2944</v>
      </c>
      <c r="C2381" s="41">
        <v>45473.0</v>
      </c>
      <c r="D2381" s="40" t="s">
        <v>16801</v>
      </c>
      <c r="E2381" s="41" t="s">
        <v>16802</v>
      </c>
      <c r="F2381" s="43" t="s">
        <v>16803</v>
      </c>
      <c r="G2381" s="43" t="s">
        <v>16804</v>
      </c>
      <c r="H2381" s="51" t="s">
        <v>148</v>
      </c>
      <c r="I2381" s="25" t="str">
        <f>IFERROR(__xludf.DUMMYFUNCTION("GOOGLETRANSLATE(H2381,""EN"",""ES"")"),"Gastronomía")</f>
        <v>Gastronomía</v>
      </c>
      <c r="J2381" s="26" t="s">
        <v>27</v>
      </c>
      <c r="K2381" s="17">
        <v>0.0</v>
      </c>
      <c r="L2381" s="54"/>
      <c r="M2381" s="31"/>
      <c r="N2381" s="66"/>
      <c r="O2381" s="66"/>
      <c r="P2381" s="20">
        <v>0.0</v>
      </c>
      <c r="Q2381" s="31"/>
      <c r="R2381" s="31"/>
      <c r="S2381" s="53"/>
      <c r="T2381" s="32"/>
    </row>
    <row r="2382">
      <c r="A2382" s="33" t="s">
        <v>16805</v>
      </c>
      <c r="B2382" s="76" t="s">
        <v>431</v>
      </c>
      <c r="C2382" s="41">
        <v>45473.0</v>
      </c>
      <c r="D2382" s="40" t="s">
        <v>16806</v>
      </c>
      <c r="E2382" s="41" t="s">
        <v>16807</v>
      </c>
      <c r="F2382" s="43" t="s">
        <v>16808</v>
      </c>
      <c r="G2382" s="43" t="s">
        <v>16809</v>
      </c>
      <c r="H2382" s="51" t="s">
        <v>148</v>
      </c>
      <c r="I2382" s="15" t="str">
        <f>IFERROR(__xludf.DUMMYFUNCTION("GOOGLETRANSLATE(H2382,""EN"",""ES"")"),"Gastronomía")</f>
        <v>Gastronomía</v>
      </c>
      <c r="J2382" s="16" t="s">
        <v>27</v>
      </c>
      <c r="K2382" s="17">
        <v>0.0</v>
      </c>
      <c r="L2382" s="45"/>
      <c r="M2382" s="18"/>
      <c r="N2382" s="65"/>
      <c r="O2382" s="65"/>
      <c r="P2382" s="20">
        <v>0.0</v>
      </c>
      <c r="Q2382" s="18"/>
      <c r="R2382" s="18"/>
      <c r="S2382" s="52"/>
      <c r="T2382" s="22"/>
    </row>
    <row r="2383">
      <c r="A2383" s="23" t="s">
        <v>16810</v>
      </c>
      <c r="B2383" s="77" t="s">
        <v>2352</v>
      </c>
      <c r="C2383" s="41">
        <v>45473.0</v>
      </c>
      <c r="D2383" s="40" t="s">
        <v>16811</v>
      </c>
      <c r="E2383" s="41" t="s">
        <v>16812</v>
      </c>
      <c r="F2383" s="43" t="s">
        <v>16813</v>
      </c>
      <c r="G2383" s="43" t="s">
        <v>16814</v>
      </c>
      <c r="H2383" s="51" t="s">
        <v>48</v>
      </c>
      <c r="I2383" s="25" t="str">
        <f>IFERROR(__xludf.DUMMYFUNCTION("GOOGLETRANSLATE(H2383,""EN"",""ES"")"),"Finanzas")</f>
        <v>Finanzas</v>
      </c>
      <c r="J2383" s="26" t="s">
        <v>27</v>
      </c>
      <c r="K2383" s="17">
        <v>0.0</v>
      </c>
      <c r="L2383" s="54"/>
      <c r="M2383" s="31"/>
      <c r="N2383" s="66"/>
      <c r="O2383" s="66"/>
      <c r="P2383" s="20">
        <v>0.0</v>
      </c>
      <c r="Q2383" s="31"/>
      <c r="R2383" s="31"/>
      <c r="S2383" s="53"/>
      <c r="T2383" s="32"/>
    </row>
    <row r="2384">
      <c r="A2384" s="33" t="s">
        <v>16815</v>
      </c>
      <c r="B2384" s="76" t="s">
        <v>16816</v>
      </c>
      <c r="C2384" s="41">
        <v>45474.0</v>
      </c>
      <c r="D2384" s="40" t="s">
        <v>16817</v>
      </c>
      <c r="E2384" s="41" t="s">
        <v>16818</v>
      </c>
      <c r="F2384" s="43" t="s">
        <v>16819</v>
      </c>
      <c r="G2384" s="43" t="s">
        <v>16820</v>
      </c>
      <c r="H2384" s="51" t="s">
        <v>148</v>
      </c>
      <c r="I2384" s="15" t="str">
        <f>IFERROR(__xludf.DUMMYFUNCTION("GOOGLETRANSLATE(H2384,""EN"",""ES"")"),"Gastronomía")</f>
        <v>Gastronomía</v>
      </c>
      <c r="J2384" s="16" t="s">
        <v>27</v>
      </c>
      <c r="K2384" s="17">
        <v>0.0</v>
      </c>
      <c r="L2384" s="45"/>
      <c r="M2384" s="18"/>
      <c r="N2384" s="65"/>
      <c r="O2384" s="65"/>
      <c r="P2384" s="20">
        <v>0.0</v>
      </c>
      <c r="Q2384" s="18"/>
      <c r="R2384" s="18"/>
      <c r="S2384" s="52"/>
      <c r="T2384" s="22"/>
    </row>
    <row r="2385">
      <c r="A2385" s="23" t="s">
        <v>16821</v>
      </c>
      <c r="B2385" s="77" t="s">
        <v>16822</v>
      </c>
      <c r="C2385" s="41">
        <v>45474.0</v>
      </c>
      <c r="D2385" s="40" t="s">
        <v>16823</v>
      </c>
      <c r="E2385" s="41" t="s">
        <v>16824</v>
      </c>
      <c r="F2385" s="43" t="s">
        <v>16825</v>
      </c>
      <c r="G2385" s="43" t="s">
        <v>16826</v>
      </c>
      <c r="H2385" s="51" t="s">
        <v>148</v>
      </c>
      <c r="I2385" s="25" t="str">
        <f>IFERROR(__xludf.DUMMYFUNCTION("GOOGLETRANSLATE(H2385,""EN"",""ES"")"),"Gastronomía")</f>
        <v>Gastronomía</v>
      </c>
      <c r="J2385" s="26" t="s">
        <v>27</v>
      </c>
      <c r="K2385" s="17">
        <v>0.0</v>
      </c>
      <c r="L2385" s="54"/>
      <c r="M2385" s="31"/>
      <c r="N2385" s="66"/>
      <c r="O2385" s="66"/>
      <c r="P2385" s="20">
        <v>0.0</v>
      </c>
      <c r="Q2385" s="31"/>
      <c r="R2385" s="31"/>
      <c r="S2385" s="53"/>
      <c r="T2385" s="32"/>
    </row>
    <row r="2386">
      <c r="A2386" s="33" t="s">
        <v>16827</v>
      </c>
      <c r="B2386" s="76" t="s">
        <v>3045</v>
      </c>
      <c r="C2386" s="41">
        <v>45474.0</v>
      </c>
      <c r="D2386" s="40" t="s">
        <v>16828</v>
      </c>
      <c r="E2386" s="41" t="s">
        <v>16829</v>
      </c>
      <c r="F2386" s="43" t="s">
        <v>16830</v>
      </c>
      <c r="G2386" s="43" t="s">
        <v>16831</v>
      </c>
      <c r="H2386" s="51" t="s">
        <v>148</v>
      </c>
      <c r="I2386" s="15" t="str">
        <f>IFERROR(__xludf.DUMMYFUNCTION("GOOGLETRANSLATE(H2386,""EN"",""ES"")"),"Gastronomía")</f>
        <v>Gastronomía</v>
      </c>
      <c r="J2386" s="16" t="s">
        <v>27</v>
      </c>
      <c r="K2386" s="17">
        <v>0.0</v>
      </c>
      <c r="L2386" s="45"/>
      <c r="M2386" s="18"/>
      <c r="N2386" s="65"/>
      <c r="O2386" s="65"/>
      <c r="P2386" s="20">
        <v>0.0</v>
      </c>
      <c r="Q2386" s="18"/>
      <c r="R2386" s="18"/>
      <c r="S2386" s="52"/>
      <c r="T2386" s="22"/>
    </row>
    <row r="2387">
      <c r="A2387" s="23" t="s">
        <v>16832</v>
      </c>
      <c r="B2387" s="77" t="s">
        <v>217</v>
      </c>
      <c r="C2387" s="41">
        <v>45474.0</v>
      </c>
      <c r="D2387" s="40" t="s">
        <v>16833</v>
      </c>
      <c r="E2387" s="41" t="s">
        <v>16834</v>
      </c>
      <c r="F2387" s="43" t="s">
        <v>16835</v>
      </c>
      <c r="G2387" s="43" t="s">
        <v>16836</v>
      </c>
      <c r="H2387" s="51" t="s">
        <v>130</v>
      </c>
      <c r="I2387" s="25" t="str">
        <f>IFERROR(__xludf.DUMMYFUNCTION("GOOGLETRANSLATE(H2387,""EN"",""ES"")"),"Sostenibilidad")</f>
        <v>Sostenibilidad</v>
      </c>
      <c r="J2387" s="26" t="s">
        <v>35</v>
      </c>
      <c r="K2387" s="48">
        <v>0.7</v>
      </c>
      <c r="L2387" s="49" t="s">
        <v>16837</v>
      </c>
      <c r="M2387" s="28" t="s">
        <v>16838</v>
      </c>
      <c r="N2387" s="66" t="s">
        <v>16839</v>
      </c>
      <c r="O2387" s="66" t="str">
        <f>IFERROR(__xludf.DUMMYFUNCTION("GOOGLETRANSLATE(N2387,""EN"",""ES"")"),"La ampliación de la infraestructura de energías renovables se alinea con los objetivos de sostenibilidad de Repsol.")</f>
        <v>La ampliación de la infraestructura de energías renovables se alinea con los objetivos de sostenibilidad de Repsol.</v>
      </c>
      <c r="P2387" s="30">
        <v>0.9</v>
      </c>
      <c r="Q2387" s="31" t="str">
        <f>IFERROR(__xludf.DUMMYFUNCTION("GOOGLETRANSLATE(R2387,""ES"",""EN"")"),"renewable fuel")</f>
        <v>renewable fuel</v>
      </c>
      <c r="R2387" s="28" t="s">
        <v>10542</v>
      </c>
      <c r="S2387" s="53" t="s">
        <v>16840</v>
      </c>
      <c r="T2387" s="32" t="s">
        <v>16841</v>
      </c>
    </row>
    <row r="2388">
      <c r="A2388" s="33" t="s">
        <v>16842</v>
      </c>
      <c r="B2388" s="76" t="s">
        <v>403</v>
      </c>
      <c r="C2388" s="41">
        <v>45474.0</v>
      </c>
      <c r="D2388" s="40" t="s">
        <v>16843</v>
      </c>
      <c r="E2388" s="41" t="s">
        <v>16844</v>
      </c>
      <c r="F2388" s="43" t="s">
        <v>16845</v>
      </c>
      <c r="G2388" s="43" t="s">
        <v>16846</v>
      </c>
      <c r="H2388" s="51" t="s">
        <v>2447</v>
      </c>
      <c r="I2388" s="15" t="str">
        <f>IFERROR(__xludf.DUMMYFUNCTION("GOOGLETRANSLATE(H2388,""EN"",""ES"")"),"Asuntos del Consumidor")</f>
        <v>Asuntos del Consumidor</v>
      </c>
      <c r="J2388" s="16" t="s">
        <v>27</v>
      </c>
      <c r="K2388" s="17">
        <v>0.0</v>
      </c>
      <c r="L2388" s="45"/>
      <c r="M2388" s="18"/>
      <c r="N2388" s="65"/>
      <c r="O2388" s="65"/>
      <c r="P2388" s="20">
        <v>0.0</v>
      </c>
      <c r="Q2388" s="18"/>
      <c r="R2388" s="18"/>
      <c r="S2388" s="52"/>
      <c r="T2388" s="22"/>
    </row>
    <row r="2389">
      <c r="A2389" s="23" t="s">
        <v>16847</v>
      </c>
      <c r="B2389" s="77" t="s">
        <v>16848</v>
      </c>
      <c r="C2389" s="41">
        <v>45474.0</v>
      </c>
      <c r="D2389" s="40" t="s">
        <v>16849</v>
      </c>
      <c r="E2389" s="41" t="s">
        <v>16850</v>
      </c>
      <c r="F2389" s="43" t="s">
        <v>16851</v>
      </c>
      <c r="G2389" s="43" t="s">
        <v>16852</v>
      </c>
      <c r="H2389" s="51" t="s">
        <v>148</v>
      </c>
      <c r="I2389" s="25" t="str">
        <f>IFERROR(__xludf.DUMMYFUNCTION("GOOGLETRANSLATE(H2389,""EN"",""ES"")"),"Gastronomía")</f>
        <v>Gastronomía</v>
      </c>
      <c r="J2389" s="26" t="s">
        <v>27</v>
      </c>
      <c r="K2389" s="17">
        <v>0.0</v>
      </c>
      <c r="L2389" s="54"/>
      <c r="M2389" s="31"/>
      <c r="N2389" s="66"/>
      <c r="O2389" s="66"/>
      <c r="P2389" s="20">
        <v>0.0</v>
      </c>
      <c r="Q2389" s="31"/>
      <c r="R2389" s="31"/>
      <c r="S2389" s="53"/>
      <c r="T2389" s="32"/>
    </row>
    <row r="2390">
      <c r="A2390" s="33" t="s">
        <v>16853</v>
      </c>
      <c r="B2390" s="76" t="s">
        <v>43</v>
      </c>
      <c r="C2390" s="41">
        <v>45474.0</v>
      </c>
      <c r="D2390" s="40" t="s">
        <v>16854</v>
      </c>
      <c r="E2390" s="41" t="s">
        <v>16855</v>
      </c>
      <c r="F2390" s="43" t="s">
        <v>16856</v>
      </c>
      <c r="G2390" s="43" t="s">
        <v>16857</v>
      </c>
      <c r="H2390" s="51" t="s">
        <v>2447</v>
      </c>
      <c r="I2390" s="15" t="str">
        <f>IFERROR(__xludf.DUMMYFUNCTION("GOOGLETRANSLATE(H2390,""EN"",""ES"")"),"Asuntos del Consumidor")</f>
        <v>Asuntos del Consumidor</v>
      </c>
      <c r="J2390" s="16" t="s">
        <v>27</v>
      </c>
      <c r="K2390" s="17">
        <v>0.0</v>
      </c>
      <c r="L2390" s="45"/>
      <c r="M2390" s="18"/>
      <c r="N2390" s="65"/>
      <c r="O2390" s="65"/>
      <c r="P2390" s="20">
        <v>0.0</v>
      </c>
      <c r="Q2390" s="18"/>
      <c r="R2390" s="18"/>
      <c r="S2390" s="52"/>
      <c r="T2390" s="22"/>
    </row>
    <row r="2391">
      <c r="A2391" s="23" t="s">
        <v>16858</v>
      </c>
      <c r="B2391" s="77" t="s">
        <v>217</v>
      </c>
      <c r="C2391" s="41">
        <v>45474.0</v>
      </c>
      <c r="D2391" s="40" t="s">
        <v>16859</v>
      </c>
      <c r="E2391" s="41" t="s">
        <v>16860</v>
      </c>
      <c r="F2391" s="43" t="s">
        <v>16861</v>
      </c>
      <c r="G2391" s="43" t="s">
        <v>16862</v>
      </c>
      <c r="H2391" s="51" t="s">
        <v>2447</v>
      </c>
      <c r="I2391" s="25" t="str">
        <f>IFERROR(__xludf.DUMMYFUNCTION("GOOGLETRANSLATE(H2391,""EN"",""ES"")"),"Asuntos del Consumidor")</f>
        <v>Asuntos del Consumidor</v>
      </c>
      <c r="J2391" s="26" t="s">
        <v>27</v>
      </c>
      <c r="K2391" s="17">
        <v>0.0</v>
      </c>
      <c r="L2391" s="54"/>
      <c r="M2391" s="31"/>
      <c r="N2391" s="66"/>
      <c r="O2391" s="66"/>
      <c r="P2391" s="20">
        <v>0.0</v>
      </c>
      <c r="Q2391" s="31"/>
      <c r="R2391" s="31"/>
      <c r="S2391" s="53"/>
      <c r="T2391" s="32"/>
    </row>
    <row r="2392">
      <c r="A2392" s="33" t="s">
        <v>16863</v>
      </c>
      <c r="B2392" s="76" t="s">
        <v>16864</v>
      </c>
      <c r="C2392" s="41">
        <v>45474.0</v>
      </c>
      <c r="D2392" s="40" t="s">
        <v>16865</v>
      </c>
      <c r="E2392" s="41" t="s">
        <v>16866</v>
      </c>
      <c r="F2392" s="43" t="s">
        <v>16867</v>
      </c>
      <c r="G2392" s="43" t="s">
        <v>16868</v>
      </c>
      <c r="H2392" s="51" t="s">
        <v>48</v>
      </c>
      <c r="I2392" s="15" t="str">
        <f>IFERROR(__xludf.DUMMYFUNCTION("GOOGLETRANSLATE(H2392,""EN"",""ES"")"),"Finanzas")</f>
        <v>Finanzas</v>
      </c>
      <c r="J2392" s="16" t="s">
        <v>27</v>
      </c>
      <c r="K2392" s="17">
        <v>0.0</v>
      </c>
      <c r="L2392" s="45"/>
      <c r="M2392" s="18"/>
      <c r="N2392" s="65"/>
      <c r="O2392" s="65"/>
      <c r="P2392" s="20">
        <v>0.0</v>
      </c>
      <c r="Q2392" s="18"/>
      <c r="R2392" s="18"/>
      <c r="S2392" s="52"/>
      <c r="T2392" s="22"/>
    </row>
    <row r="2393">
      <c r="A2393" s="23" t="s">
        <v>16869</v>
      </c>
      <c r="B2393" s="77" t="s">
        <v>163</v>
      </c>
      <c r="C2393" s="41">
        <v>45474.0</v>
      </c>
      <c r="D2393" s="40" t="s">
        <v>16870</v>
      </c>
      <c r="E2393" s="41" t="s">
        <v>16871</v>
      </c>
      <c r="F2393" s="43" t="s">
        <v>16872</v>
      </c>
      <c r="G2393" s="43" t="s">
        <v>16873</v>
      </c>
      <c r="H2393" s="51" t="s">
        <v>55</v>
      </c>
      <c r="I2393" s="25" t="str">
        <f>IFERROR(__xludf.DUMMYFUNCTION("GOOGLETRANSLATE(H2393,""EN"",""ES"")"),"deportes de motor")</f>
        <v>deportes de motor</v>
      </c>
      <c r="J2393" s="26" t="s">
        <v>27</v>
      </c>
      <c r="K2393" s="17">
        <v>0.0</v>
      </c>
      <c r="L2393" s="54"/>
      <c r="M2393" s="31"/>
      <c r="N2393" s="66"/>
      <c r="O2393" s="66"/>
      <c r="P2393" s="20">
        <v>0.0</v>
      </c>
      <c r="Q2393" s="31"/>
      <c r="R2393" s="31"/>
      <c r="S2393" s="53"/>
      <c r="T2393" s="32"/>
    </row>
    <row r="2394">
      <c r="A2394" s="33" t="s">
        <v>16874</v>
      </c>
      <c r="B2394" s="76" t="s">
        <v>2230</v>
      </c>
      <c r="C2394" s="41">
        <v>45474.0</v>
      </c>
      <c r="D2394" s="40" t="s">
        <v>16875</v>
      </c>
      <c r="E2394" s="41" t="s">
        <v>16876</v>
      </c>
      <c r="F2394" s="43" t="s">
        <v>16877</v>
      </c>
      <c r="G2394" s="43" t="s">
        <v>16878</v>
      </c>
      <c r="H2394" s="51" t="s">
        <v>148</v>
      </c>
      <c r="I2394" s="15" t="str">
        <f>IFERROR(__xludf.DUMMYFUNCTION("GOOGLETRANSLATE(H2394,""EN"",""ES"")"),"Gastronomía")</f>
        <v>Gastronomía</v>
      </c>
      <c r="J2394" s="16" t="s">
        <v>27</v>
      </c>
      <c r="K2394" s="17">
        <v>0.0</v>
      </c>
      <c r="L2394" s="45"/>
      <c r="M2394" s="18"/>
      <c r="N2394" s="65"/>
      <c r="O2394" s="65"/>
      <c r="P2394" s="20">
        <v>0.0</v>
      </c>
      <c r="Q2394" s="18"/>
      <c r="R2394" s="18"/>
      <c r="S2394" s="52"/>
      <c r="T2394" s="22"/>
    </row>
    <row r="2395">
      <c r="A2395" s="23" t="s">
        <v>16879</v>
      </c>
      <c r="B2395" s="77" t="s">
        <v>977</v>
      </c>
      <c r="C2395" s="41">
        <v>45474.0</v>
      </c>
      <c r="D2395" s="40" t="s">
        <v>16880</v>
      </c>
      <c r="E2395" s="41" t="s">
        <v>16881</v>
      </c>
      <c r="F2395" s="43" t="s">
        <v>16882</v>
      </c>
      <c r="G2395" s="43" t="s">
        <v>16883</v>
      </c>
      <c r="H2395" s="51" t="s">
        <v>148</v>
      </c>
      <c r="I2395" s="25" t="str">
        <f>IFERROR(__xludf.DUMMYFUNCTION("GOOGLETRANSLATE(H2395,""EN"",""ES"")"),"Gastronomía")</f>
        <v>Gastronomía</v>
      </c>
      <c r="J2395" s="26" t="s">
        <v>27</v>
      </c>
      <c r="K2395" s="17">
        <v>0.0</v>
      </c>
      <c r="L2395" s="54"/>
      <c r="M2395" s="31"/>
      <c r="N2395" s="66"/>
      <c r="O2395" s="66"/>
      <c r="P2395" s="20">
        <v>0.0</v>
      </c>
      <c r="Q2395" s="31"/>
      <c r="R2395" s="31"/>
      <c r="S2395" s="53"/>
      <c r="T2395" s="32"/>
    </row>
    <row r="2396">
      <c r="A2396" s="33" t="s">
        <v>16884</v>
      </c>
      <c r="B2396" s="76" t="s">
        <v>6407</v>
      </c>
      <c r="C2396" s="41">
        <v>45474.0</v>
      </c>
      <c r="D2396" s="40" t="s">
        <v>16885</v>
      </c>
      <c r="E2396" s="41" t="s">
        <v>16886</v>
      </c>
      <c r="F2396" s="43" t="s">
        <v>16887</v>
      </c>
      <c r="G2396" s="43" t="s">
        <v>16888</v>
      </c>
      <c r="H2396" s="51" t="s">
        <v>148</v>
      </c>
      <c r="I2396" s="15" t="str">
        <f>IFERROR(__xludf.DUMMYFUNCTION("GOOGLETRANSLATE(H2396,""EN"",""ES"")"),"Gastronomía")</f>
        <v>Gastronomía</v>
      </c>
      <c r="J2396" s="16" t="s">
        <v>27</v>
      </c>
      <c r="K2396" s="17">
        <v>0.0</v>
      </c>
      <c r="L2396" s="45"/>
      <c r="M2396" s="18"/>
      <c r="N2396" s="65"/>
      <c r="O2396" s="65"/>
      <c r="P2396" s="20">
        <v>0.0</v>
      </c>
      <c r="Q2396" s="18"/>
      <c r="R2396" s="18"/>
      <c r="S2396" s="52"/>
      <c r="T2396" s="22"/>
    </row>
    <row r="2397">
      <c r="A2397" s="23" t="s">
        <v>16889</v>
      </c>
      <c r="B2397" s="77" t="s">
        <v>85</v>
      </c>
      <c r="C2397" s="41">
        <v>45474.0</v>
      </c>
      <c r="D2397" s="40" t="s">
        <v>16890</v>
      </c>
      <c r="E2397" s="41" t="s">
        <v>16891</v>
      </c>
      <c r="F2397" s="43" t="s">
        <v>16892</v>
      </c>
      <c r="G2397" s="43" t="s">
        <v>16893</v>
      </c>
      <c r="H2397" s="51" t="s">
        <v>148</v>
      </c>
      <c r="I2397" s="25" t="str">
        <f>IFERROR(__xludf.DUMMYFUNCTION("GOOGLETRANSLATE(H2397,""EN"",""ES"")"),"Gastronomía")</f>
        <v>Gastronomía</v>
      </c>
      <c r="J2397" s="26" t="s">
        <v>27</v>
      </c>
      <c r="K2397" s="17">
        <v>0.0</v>
      </c>
      <c r="L2397" s="54"/>
      <c r="M2397" s="31"/>
      <c r="N2397" s="66"/>
      <c r="O2397" s="66"/>
      <c r="P2397" s="20">
        <v>0.0</v>
      </c>
      <c r="Q2397" s="31"/>
      <c r="R2397" s="31"/>
      <c r="S2397" s="53"/>
      <c r="T2397" s="32"/>
    </row>
    <row r="2398">
      <c r="A2398" s="33" t="s">
        <v>16894</v>
      </c>
      <c r="B2398" s="76" t="s">
        <v>43</v>
      </c>
      <c r="C2398" s="41">
        <v>45475.0</v>
      </c>
      <c r="D2398" s="40" t="s">
        <v>16895</v>
      </c>
      <c r="E2398" s="41" t="s">
        <v>16896</v>
      </c>
      <c r="F2398" s="43" t="s">
        <v>16897</v>
      </c>
      <c r="G2398" s="43" t="s">
        <v>16898</v>
      </c>
      <c r="H2398" s="51" t="s">
        <v>130</v>
      </c>
      <c r="I2398" s="15" t="str">
        <f>IFERROR(__xludf.DUMMYFUNCTION("GOOGLETRANSLATE(H2398,""EN"",""ES"")"),"Sostenibilidad")</f>
        <v>Sostenibilidad</v>
      </c>
      <c r="J2398" s="16" t="s">
        <v>35</v>
      </c>
      <c r="K2398" s="48">
        <v>0.7</v>
      </c>
      <c r="L2398" s="51" t="s">
        <v>16837</v>
      </c>
      <c r="M2398" s="34" t="s">
        <v>16838</v>
      </c>
      <c r="N2398" s="65" t="s">
        <v>16899</v>
      </c>
      <c r="O2398" s="65" t="str">
        <f>IFERROR(__xludf.DUMMYFUNCTION("GOOGLETRANSLATE(N2398,""EN"",""ES"")"),"La expansión de las energías renovables en las estaciones de servicio se alinea con la transición verde de Repsol.")</f>
        <v>La expansión de las energías renovables en las estaciones de servicio se alinea con la transición verde de Repsol.</v>
      </c>
      <c r="P2398" s="30">
        <v>0.9</v>
      </c>
      <c r="Q2398" s="18" t="str">
        <f>IFERROR(__xludf.DUMMYFUNCTION("GOOGLETRANSLATE(R2398,""ES"",""EN"")"),"renewable fuel")</f>
        <v>renewable fuel</v>
      </c>
      <c r="R2398" s="34" t="s">
        <v>10542</v>
      </c>
      <c r="S2398" s="52" t="s">
        <v>16714</v>
      </c>
      <c r="T2398" s="22" t="s">
        <v>16715</v>
      </c>
    </row>
    <row r="2399">
      <c r="A2399" s="23" t="s">
        <v>16900</v>
      </c>
      <c r="B2399" s="77" t="s">
        <v>103</v>
      </c>
      <c r="C2399" s="41">
        <v>45475.0</v>
      </c>
      <c r="D2399" s="40" t="s">
        <v>16901</v>
      </c>
      <c r="E2399" s="41" t="s">
        <v>16902</v>
      </c>
      <c r="F2399" s="43" t="s">
        <v>16903</v>
      </c>
      <c r="G2399" s="43" t="s">
        <v>16904</v>
      </c>
      <c r="H2399" s="51" t="s">
        <v>661</v>
      </c>
      <c r="I2399" s="25" t="str">
        <f>IFERROR(__xludf.DUMMYFUNCTION("GOOGLETRANSLATE(H2399,""EN"",""ES"")"),"Estrategia empresarial")</f>
        <v>Estrategia empresarial</v>
      </c>
      <c r="J2399" s="26" t="s">
        <v>35</v>
      </c>
      <c r="K2399" s="48">
        <v>0.6</v>
      </c>
      <c r="L2399" s="49" t="s">
        <v>16905</v>
      </c>
      <c r="M2399" s="28" t="s">
        <v>16906</v>
      </c>
      <c r="N2399" s="66" t="s">
        <v>16907</v>
      </c>
      <c r="O2399" s="66" t="str">
        <f>IFERROR(__xludf.DUMMYFUNCTION("GOOGLETRANSLATE(N2399,""EN"",""ES"")"),"El refuerzo de la propiedad minorista de carburantes refuerza la posición de Repsol en el mercado.")</f>
        <v>El refuerzo de la propiedad minorista de carburantes refuerza la posición de Repsol en el mercado.</v>
      </c>
      <c r="P2399" s="30">
        <v>-0.1</v>
      </c>
      <c r="Q2399" s="31" t="str">
        <f>IFERROR(__xludf.DUMMYFUNCTION("GOOGLETRANSLATE(R2399,""ES"",""EN"")"),"sell")</f>
        <v>sell</v>
      </c>
      <c r="R2399" s="28" t="s">
        <v>16908</v>
      </c>
      <c r="S2399" s="53" t="s">
        <v>16909</v>
      </c>
      <c r="T2399" s="32" t="s">
        <v>16910</v>
      </c>
    </row>
    <row r="2400">
      <c r="A2400" s="33" t="s">
        <v>16911</v>
      </c>
      <c r="B2400" s="76" t="s">
        <v>260</v>
      </c>
      <c r="C2400" s="41">
        <v>45475.0</v>
      </c>
      <c r="D2400" s="40" t="s">
        <v>16912</v>
      </c>
      <c r="E2400" s="41" t="s">
        <v>16913</v>
      </c>
      <c r="F2400" s="43" t="s">
        <v>16914</v>
      </c>
      <c r="G2400" s="43" t="s">
        <v>16915</v>
      </c>
      <c r="H2400" s="51" t="s">
        <v>661</v>
      </c>
      <c r="I2400" s="15" t="str">
        <f>IFERROR(__xludf.DUMMYFUNCTION("GOOGLETRANSLATE(H2400,""EN"",""ES"")"),"Estrategia empresarial")</f>
        <v>Estrategia empresarial</v>
      </c>
      <c r="J2400" s="16" t="s">
        <v>35</v>
      </c>
      <c r="K2400" s="48">
        <v>-0.5</v>
      </c>
      <c r="L2400" s="51" t="s">
        <v>16916</v>
      </c>
      <c r="M2400" s="34" t="s">
        <v>16917</v>
      </c>
      <c r="N2400" s="65" t="s">
        <v>16918</v>
      </c>
      <c r="O2400" s="65" t="str">
        <f>IFERROR(__xludf.DUMMYFUNCTION("GOOGLETRANSLATE(N2400,""EN"",""ES"")"),"La mayor competencia en los mercados energéticos puede presionar los márgenes de Repsol.")</f>
        <v>La mayor competencia en los mercados energéticos puede presionar los márgenes de Repsol.</v>
      </c>
      <c r="P2400" s="30">
        <v>0.5</v>
      </c>
      <c r="Q2400" s="18" t="str">
        <f>IFERROR(__xludf.DUMMYFUNCTION("GOOGLETRANSLATE(R2400,""ES"",""EN"")"),"renewable gases")</f>
        <v>renewable gases</v>
      </c>
      <c r="R2400" s="34" t="s">
        <v>10603</v>
      </c>
      <c r="S2400" s="52" t="s">
        <v>16919</v>
      </c>
      <c r="T2400" s="22" t="s">
        <v>16920</v>
      </c>
    </row>
    <row r="2401">
      <c r="A2401" s="23" t="s">
        <v>16921</v>
      </c>
      <c r="B2401" s="77" t="s">
        <v>558</v>
      </c>
      <c r="C2401" s="41">
        <v>45475.0</v>
      </c>
      <c r="D2401" s="40" t="s">
        <v>16922</v>
      </c>
      <c r="E2401" s="41" t="s">
        <v>16923</v>
      </c>
      <c r="F2401" s="43" t="s">
        <v>16924</v>
      </c>
      <c r="G2401" s="43" t="s">
        <v>16925</v>
      </c>
      <c r="H2401" s="51" t="s">
        <v>48</v>
      </c>
      <c r="I2401" s="25" t="str">
        <f>IFERROR(__xludf.DUMMYFUNCTION("GOOGLETRANSLATE(H2401,""EN"",""ES"")"),"Finanzas")</f>
        <v>Finanzas</v>
      </c>
      <c r="J2401" s="26" t="s">
        <v>35</v>
      </c>
      <c r="K2401" s="48">
        <v>0.7</v>
      </c>
      <c r="L2401" s="49" t="s">
        <v>15881</v>
      </c>
      <c r="M2401" s="28" t="s">
        <v>15882</v>
      </c>
      <c r="N2401" s="66" t="s">
        <v>16926</v>
      </c>
      <c r="O2401" s="66" t="str">
        <f>IFERROR(__xludf.DUMMYFUNCTION("GOOGLETRANSLATE(N2401,""EN"",""ES"")"),"Las positivas previsiones de mercado refuerzan la confianza de los inversores en Repsol.")</f>
        <v>Las positivas previsiones de mercado refuerzan la confianza de los inversores en Repsol.</v>
      </c>
      <c r="P2401" s="30">
        <v>0.7</v>
      </c>
      <c r="Q2401" s="31" t="str">
        <f>IFERROR(__xludf.DUMMYFUNCTION("GOOGLETRANSLATE(R2401,""ES"",""EN"")"),"up 19%")</f>
        <v>up 19%</v>
      </c>
      <c r="R2401" s="28" t="s">
        <v>16927</v>
      </c>
      <c r="S2401" s="53" t="s">
        <v>16928</v>
      </c>
      <c r="T2401" s="32" t="s">
        <v>16929</v>
      </c>
    </row>
    <row r="2402">
      <c r="A2402" s="33" t="s">
        <v>16930</v>
      </c>
      <c r="B2402" s="76" t="s">
        <v>626</v>
      </c>
      <c r="C2402" s="41">
        <v>45475.0</v>
      </c>
      <c r="D2402" s="40" t="s">
        <v>16931</v>
      </c>
      <c r="E2402" s="41" t="s">
        <v>16932</v>
      </c>
      <c r="F2402" s="43" t="s">
        <v>16933</v>
      </c>
      <c r="G2402" s="43" t="s">
        <v>16934</v>
      </c>
      <c r="H2402" s="51" t="s">
        <v>661</v>
      </c>
      <c r="I2402" s="15" t="str">
        <f>IFERROR(__xludf.DUMMYFUNCTION("GOOGLETRANSLATE(H2402,""EN"",""ES"")"),"Estrategia empresarial")</f>
        <v>Estrategia empresarial</v>
      </c>
      <c r="J2402" s="16" t="s">
        <v>35</v>
      </c>
      <c r="K2402" s="48">
        <v>0.6</v>
      </c>
      <c r="L2402" s="51" t="s">
        <v>16066</v>
      </c>
      <c r="M2402" s="34" t="s">
        <v>16067</v>
      </c>
      <c r="N2402" s="65" t="s">
        <v>16068</v>
      </c>
      <c r="O2402" s="65" t="str">
        <f>IFERROR(__xludf.DUMMYFUNCTION("GOOGLETRANSLATE(N2402,""EN"",""ES"")"),"La ampliación de los programas de fidelización mejora la implicación del cliente de Repsol.")</f>
        <v>La ampliación de los programas de fidelización mejora la implicación del cliente de Repsol.</v>
      </c>
      <c r="P2402" s="30">
        <v>0.4</v>
      </c>
      <c r="Q2402" s="18" t="str">
        <f>IFERROR(__xludf.DUMMYFUNCTION("GOOGLETRANSLATE(R2402,""ES"",""EN"")"),"Avios, Vueling")</f>
        <v>Avios, Vueling</v>
      </c>
      <c r="R2402" s="34" t="s">
        <v>16935</v>
      </c>
      <c r="S2402" s="52" t="s">
        <v>15211</v>
      </c>
      <c r="T2402" s="22" t="s">
        <v>15212</v>
      </c>
    </row>
    <row r="2403">
      <c r="A2403" s="23" t="s">
        <v>16936</v>
      </c>
      <c r="B2403" s="77" t="s">
        <v>2175</v>
      </c>
      <c r="C2403" s="41">
        <v>45475.0</v>
      </c>
      <c r="D2403" s="40" t="s">
        <v>16937</v>
      </c>
      <c r="E2403" s="41" t="s">
        <v>16938</v>
      </c>
      <c r="F2403" s="43" t="s">
        <v>16939</v>
      </c>
      <c r="G2403" s="43" t="s">
        <v>16940</v>
      </c>
      <c r="H2403" s="51" t="s">
        <v>130</v>
      </c>
      <c r="I2403" s="25" t="str">
        <f>IFERROR(__xludf.DUMMYFUNCTION("GOOGLETRANSLATE(H2403,""EN"",""ES"")"),"Sostenibilidad")</f>
        <v>Sostenibilidad</v>
      </c>
      <c r="J2403" s="26" t="s">
        <v>35</v>
      </c>
      <c r="K2403" s="48">
        <v>0.7</v>
      </c>
      <c r="L2403" s="49" t="s">
        <v>15659</v>
      </c>
      <c r="M2403" s="28" t="s">
        <v>15660</v>
      </c>
      <c r="N2403" s="66" t="s">
        <v>16941</v>
      </c>
      <c r="O2403" s="66" t="str">
        <f>IFERROR(__xludf.DUMMYFUNCTION("GOOGLETRANSLATE(N2403,""EN"",""ES"")"),"El aumento de la inversión en energías renovables se alinea con la transición verde de Repsol.")</f>
        <v>El aumento de la inversión en energías renovables se alinea con la transición verde de Repsol.</v>
      </c>
      <c r="P2403" s="30">
        <v>0.6</v>
      </c>
      <c r="Q2403" s="31" t="str">
        <f>IFERROR(__xludf.DUMMYFUNCTION("GOOGLETRANSLATE(R2403,""ES"",""EN"")"),"take advantage, rise")</f>
        <v>take advantage, rise</v>
      </c>
      <c r="R2403" s="28" t="s">
        <v>16942</v>
      </c>
      <c r="S2403" s="53" t="s">
        <v>16943</v>
      </c>
      <c r="T2403" s="32" t="s">
        <v>16944</v>
      </c>
    </row>
    <row r="2404">
      <c r="A2404" s="33" t="s">
        <v>16945</v>
      </c>
      <c r="B2404" s="76" t="s">
        <v>2944</v>
      </c>
      <c r="C2404" s="41">
        <v>45475.0</v>
      </c>
      <c r="D2404" s="40" t="s">
        <v>16946</v>
      </c>
      <c r="E2404" s="41" t="s">
        <v>16947</v>
      </c>
      <c r="F2404" s="43" t="s">
        <v>16948</v>
      </c>
      <c r="G2404" s="43" t="s">
        <v>16949</v>
      </c>
      <c r="H2404" s="51" t="s">
        <v>148</v>
      </c>
      <c r="I2404" s="15" t="str">
        <f>IFERROR(__xludf.DUMMYFUNCTION("GOOGLETRANSLATE(H2404,""EN"",""ES"")"),"Gastronomía")</f>
        <v>Gastronomía</v>
      </c>
      <c r="J2404" s="16" t="s">
        <v>27</v>
      </c>
      <c r="K2404" s="17">
        <v>0.0</v>
      </c>
      <c r="L2404" s="45"/>
      <c r="M2404" s="18"/>
      <c r="N2404" s="65"/>
      <c r="O2404" s="65"/>
      <c r="P2404" s="20">
        <v>0.0</v>
      </c>
      <c r="Q2404" s="18"/>
      <c r="R2404" s="18"/>
      <c r="S2404" s="52"/>
      <c r="T2404" s="22"/>
    </row>
    <row r="2405">
      <c r="A2405" s="23" t="s">
        <v>16950</v>
      </c>
      <c r="B2405" s="77" t="s">
        <v>21</v>
      </c>
      <c r="C2405" s="41">
        <v>45475.0</v>
      </c>
      <c r="D2405" s="40" t="s">
        <v>16951</v>
      </c>
      <c r="E2405" s="41" t="s">
        <v>16952</v>
      </c>
      <c r="F2405" s="43" t="s">
        <v>16953</v>
      </c>
      <c r="G2405" s="43" t="s">
        <v>16954</v>
      </c>
      <c r="H2405" s="51" t="s">
        <v>148</v>
      </c>
      <c r="I2405" s="25" t="str">
        <f>IFERROR(__xludf.DUMMYFUNCTION("GOOGLETRANSLATE(H2405,""EN"",""ES"")"),"Gastronomía")</f>
        <v>Gastronomía</v>
      </c>
      <c r="J2405" s="26" t="s">
        <v>27</v>
      </c>
      <c r="K2405" s="17">
        <v>0.0</v>
      </c>
      <c r="L2405" s="54"/>
      <c r="M2405" s="31"/>
      <c r="N2405" s="66"/>
      <c r="O2405" s="66"/>
      <c r="P2405" s="20">
        <v>0.0</v>
      </c>
      <c r="Q2405" s="31"/>
      <c r="R2405" s="31"/>
      <c r="S2405" s="53"/>
      <c r="T2405" s="32"/>
    </row>
    <row r="2406">
      <c r="A2406" s="33" t="s">
        <v>16955</v>
      </c>
      <c r="B2406" s="76" t="s">
        <v>217</v>
      </c>
      <c r="C2406" s="41">
        <v>45475.0</v>
      </c>
      <c r="D2406" s="40" t="s">
        <v>16956</v>
      </c>
      <c r="E2406" s="41" t="s">
        <v>16957</v>
      </c>
      <c r="F2406" s="43" t="s">
        <v>16958</v>
      </c>
      <c r="G2406" s="43" t="s">
        <v>16959</v>
      </c>
      <c r="H2406" s="51" t="s">
        <v>661</v>
      </c>
      <c r="I2406" s="15" t="str">
        <f>IFERROR(__xludf.DUMMYFUNCTION("GOOGLETRANSLATE(H2406,""EN"",""ES"")"),"Estrategia empresarial")</f>
        <v>Estrategia empresarial</v>
      </c>
      <c r="J2406" s="16" t="s">
        <v>35</v>
      </c>
      <c r="K2406" s="48">
        <v>0.6</v>
      </c>
      <c r="L2406" s="51" t="s">
        <v>16960</v>
      </c>
      <c r="M2406" s="34" t="s">
        <v>16961</v>
      </c>
      <c r="N2406" s="65" t="s">
        <v>16962</v>
      </c>
      <c r="O2406" s="65" t="str">
        <f>IFERROR(__xludf.DUMMYFUNCTION("GOOGLETRANSLATE(N2406,""EN"",""ES"")"),"Reconocer el liderazgo empresarial fortalece la credibilidad corporativa de Repsol.")</f>
        <v>Reconocer el liderazgo empresarial fortalece la credibilidad corporativa de Repsol.</v>
      </c>
      <c r="P2406" s="30">
        <v>0.3</v>
      </c>
      <c r="Q2406" s="18" t="str">
        <f>IFERROR(__xludf.DUMMYFUNCTION("GOOGLETRANSLATE(R2406,""ES"",""EN"")"),"award-winning")</f>
        <v>award-winning</v>
      </c>
      <c r="R2406" s="34" t="s">
        <v>16963</v>
      </c>
      <c r="S2406" s="52" t="s">
        <v>16964</v>
      </c>
      <c r="T2406" s="22" t="s">
        <v>16965</v>
      </c>
    </row>
    <row r="2407">
      <c r="A2407" s="23" t="s">
        <v>16966</v>
      </c>
      <c r="B2407" s="77" t="s">
        <v>713</v>
      </c>
      <c r="C2407" s="41">
        <v>45475.0</v>
      </c>
      <c r="D2407" s="40" t="s">
        <v>16967</v>
      </c>
      <c r="E2407" s="41" t="s">
        <v>16968</v>
      </c>
      <c r="F2407" s="43" t="s">
        <v>16969</v>
      </c>
      <c r="G2407" s="43" t="s">
        <v>16970</v>
      </c>
      <c r="H2407" s="51" t="s">
        <v>130</v>
      </c>
      <c r="I2407" s="25" t="str">
        <f>IFERROR(__xludf.DUMMYFUNCTION("GOOGLETRANSLATE(H2407,""EN"",""ES"")"),"Sostenibilidad")</f>
        <v>Sostenibilidad</v>
      </c>
      <c r="J2407" s="26" t="s">
        <v>27</v>
      </c>
      <c r="K2407" s="17">
        <v>0.0</v>
      </c>
      <c r="L2407" s="54"/>
      <c r="M2407" s="31"/>
      <c r="N2407" s="66"/>
      <c r="O2407" s="66"/>
      <c r="P2407" s="20">
        <v>0.0</v>
      </c>
      <c r="Q2407" s="31"/>
      <c r="R2407" s="31"/>
      <c r="S2407" s="53"/>
      <c r="T2407" s="32"/>
    </row>
    <row r="2408">
      <c r="A2408" s="33" t="s">
        <v>16971</v>
      </c>
      <c r="B2408" s="76" t="s">
        <v>16972</v>
      </c>
      <c r="C2408" s="41">
        <v>45476.0</v>
      </c>
      <c r="D2408" s="40" t="s">
        <v>16973</v>
      </c>
      <c r="E2408" s="41" t="s">
        <v>16974</v>
      </c>
      <c r="F2408" s="43" t="s">
        <v>16975</v>
      </c>
      <c r="G2408" s="43" t="s">
        <v>16976</v>
      </c>
      <c r="H2408" s="51" t="s">
        <v>661</v>
      </c>
      <c r="I2408" s="15" t="str">
        <f>IFERROR(__xludf.DUMMYFUNCTION("GOOGLETRANSLATE(H2408,""EN"",""ES"")"),"Estrategia empresarial")</f>
        <v>Estrategia empresarial</v>
      </c>
      <c r="J2408" s="16" t="s">
        <v>35</v>
      </c>
      <c r="K2408" s="48">
        <v>0.6</v>
      </c>
      <c r="L2408" s="51" t="s">
        <v>16905</v>
      </c>
      <c r="M2408" s="34" t="s">
        <v>16906</v>
      </c>
      <c r="N2408" s="65" t="s">
        <v>16977</v>
      </c>
      <c r="O2408" s="65" t="str">
        <f>IFERROR(__xludf.DUMMYFUNCTION("GOOGLETRANSLATE(N2408,""EN"",""ES"")"),"La adquisición de la plena propiedad de las estaciones de servicio refuerza la posición de Repsol en el mercado.")</f>
        <v>La adquisición de la plena propiedad de las estaciones de servicio refuerza la posición de Repsol en el mercado.</v>
      </c>
      <c r="P2408" s="30">
        <v>0.4</v>
      </c>
      <c r="Q2408" s="18" t="str">
        <f>IFERROR(__xludf.DUMMYFUNCTION("GOOGLETRANSLATE(R2408,""ES"",""EN"")"),"sells, joint venture")</f>
        <v>sells, joint venture</v>
      </c>
      <c r="R2408" s="34" t="s">
        <v>16978</v>
      </c>
      <c r="S2408" s="52" t="s">
        <v>16979</v>
      </c>
      <c r="T2408" s="22" t="s">
        <v>16980</v>
      </c>
    </row>
    <row r="2409">
      <c r="A2409" s="23" t="s">
        <v>16981</v>
      </c>
      <c r="B2409" s="77" t="s">
        <v>217</v>
      </c>
      <c r="C2409" s="41">
        <v>45476.0</v>
      </c>
      <c r="D2409" s="40" t="s">
        <v>16982</v>
      </c>
      <c r="E2409" s="41" t="s">
        <v>16983</v>
      </c>
      <c r="F2409" s="43" t="s">
        <v>16984</v>
      </c>
      <c r="G2409" s="43" t="s">
        <v>16985</v>
      </c>
      <c r="H2409" s="51" t="s">
        <v>661</v>
      </c>
      <c r="I2409" s="25" t="str">
        <f>IFERROR(__xludf.DUMMYFUNCTION("GOOGLETRANSLATE(H2409,""EN"",""ES"")"),"Estrategia empresarial")</f>
        <v>Estrategia empresarial</v>
      </c>
      <c r="J2409" s="26" t="s">
        <v>35</v>
      </c>
      <c r="K2409" s="48">
        <v>0.6</v>
      </c>
      <c r="L2409" s="49" t="s">
        <v>16066</v>
      </c>
      <c r="M2409" s="28" t="s">
        <v>16067</v>
      </c>
      <c r="N2409" s="66" t="s">
        <v>16986</v>
      </c>
      <c r="O2409" s="66" t="str">
        <f>IFERROR(__xludf.DUMMYFUNCTION("GOOGLETRANSLATE(N2409,""EN"",""ES"")"),"Reforzar los incentivos digitales potencia la fidelización de los clientes de Repsol.")</f>
        <v>Reforzar los incentivos digitales potencia la fidelización de los clientes de Repsol.</v>
      </c>
      <c r="P2409" s="30">
        <v>0.5</v>
      </c>
      <c r="Q2409" s="31" t="str">
        <f>IFERROR(__xludf.DUMMYFUNCTION("GOOGLETRANSLATE(R2409,""ES"",""EN"")"),"Avios, Vueling")</f>
        <v>Avios, Vueling</v>
      </c>
      <c r="R2409" s="28" t="s">
        <v>16935</v>
      </c>
      <c r="S2409" s="53" t="s">
        <v>14469</v>
      </c>
      <c r="T2409" s="32" t="s">
        <v>14470</v>
      </c>
    </row>
    <row r="2410">
      <c r="A2410" s="33" t="s">
        <v>16987</v>
      </c>
      <c r="B2410" s="76" t="s">
        <v>16864</v>
      </c>
      <c r="C2410" s="41">
        <v>45476.0</v>
      </c>
      <c r="D2410" s="40" t="s">
        <v>16988</v>
      </c>
      <c r="E2410" s="41" t="s">
        <v>16989</v>
      </c>
      <c r="F2410" s="43" t="s">
        <v>16990</v>
      </c>
      <c r="G2410" s="43" t="s">
        <v>16991</v>
      </c>
      <c r="H2410" s="51" t="s">
        <v>661</v>
      </c>
      <c r="I2410" s="15" t="str">
        <f>IFERROR(__xludf.DUMMYFUNCTION("GOOGLETRANSLATE(H2410,""EN"",""ES"")"),"Estrategia empresarial")</f>
        <v>Estrategia empresarial</v>
      </c>
      <c r="J2410" s="16" t="s">
        <v>35</v>
      </c>
      <c r="K2410" s="48">
        <v>0.6</v>
      </c>
      <c r="L2410" s="51" t="s">
        <v>16905</v>
      </c>
      <c r="M2410" s="34" t="s">
        <v>16906</v>
      </c>
      <c r="N2410" s="65" t="s">
        <v>16992</v>
      </c>
      <c r="O2410" s="65" t="str">
        <f>IFERROR(__xludf.DUMMYFUNCTION("GOOGLETRANSLATE(N2410,""EN"",""ES"")"),"Reforzar el control sobre la comercialización de combustibles mejora el posicionamiento estratégico de Repsol.")</f>
        <v>Reforzar el control sobre la comercialización de combustibles mejora el posicionamiento estratégico de Repsol.</v>
      </c>
      <c r="P2410" s="30">
        <v>0.4</v>
      </c>
      <c r="Q2410" s="18" t="str">
        <f>IFERROR(__xludf.DUMMYFUNCTION("GOOGLETRANSLATE(R2410,""ES"",""EN"")"),"control 95%")</f>
        <v>control 95%</v>
      </c>
      <c r="R2410" s="34" t="s">
        <v>16993</v>
      </c>
      <c r="S2410" s="52" t="s">
        <v>16994</v>
      </c>
      <c r="T2410" s="22" t="s">
        <v>16995</v>
      </c>
    </row>
    <row r="2411">
      <c r="A2411" s="23" t="s">
        <v>16996</v>
      </c>
      <c r="B2411" s="77" t="s">
        <v>5525</v>
      </c>
      <c r="C2411" s="41">
        <v>45476.0</v>
      </c>
      <c r="D2411" s="40" t="s">
        <v>16997</v>
      </c>
      <c r="E2411" s="41" t="s">
        <v>16998</v>
      </c>
      <c r="F2411" s="43" t="s">
        <v>16999</v>
      </c>
      <c r="G2411" s="43" t="s">
        <v>17000</v>
      </c>
      <c r="H2411" s="51" t="s">
        <v>48</v>
      </c>
      <c r="I2411" s="25" t="str">
        <f>IFERROR(__xludf.DUMMYFUNCTION("GOOGLETRANSLATE(H2411,""EN"",""ES"")"),"Finanzas")</f>
        <v>Finanzas</v>
      </c>
      <c r="J2411" s="26" t="s">
        <v>35</v>
      </c>
      <c r="K2411" s="48">
        <v>0.7</v>
      </c>
      <c r="L2411" s="49" t="s">
        <v>12440</v>
      </c>
      <c r="M2411" s="28" t="s">
        <v>12441</v>
      </c>
      <c r="N2411" s="66" t="s">
        <v>17001</v>
      </c>
      <c r="O2411" s="66" t="str">
        <f>IFERROR(__xludf.DUMMYFUNCTION("GOOGLETRANSLATE(N2411,""EN"",""ES"")"),"Los anuncios de dividendos refuerzan la confianza de los inversores en Repsol.")</f>
        <v>Los anuncios de dividendos refuerzan la confianza de los inversores en Repsol.</v>
      </c>
      <c r="P2411" s="30">
        <v>0.3</v>
      </c>
      <c r="Q2411" s="31" t="str">
        <f>IFERROR(__xludf.DUMMYFUNCTION("GOOGLETRANSLATE(R2411,""ES"",""EN"")"),"dividends")</f>
        <v>dividends</v>
      </c>
      <c r="R2411" s="28" t="s">
        <v>16640</v>
      </c>
      <c r="S2411" s="53" t="s">
        <v>17002</v>
      </c>
      <c r="T2411" s="32" t="s">
        <v>17003</v>
      </c>
    </row>
    <row r="2412">
      <c r="A2412" s="33" t="s">
        <v>17004</v>
      </c>
      <c r="B2412" s="76" t="s">
        <v>403</v>
      </c>
      <c r="C2412" s="41">
        <v>45476.0</v>
      </c>
      <c r="D2412" s="40" t="s">
        <v>17005</v>
      </c>
      <c r="E2412" s="41" t="s">
        <v>17006</v>
      </c>
      <c r="F2412" s="43" t="s">
        <v>17007</v>
      </c>
      <c r="G2412" s="43" t="s">
        <v>17008</v>
      </c>
      <c r="H2412" s="51" t="s">
        <v>661</v>
      </c>
      <c r="I2412" s="15" t="str">
        <f>IFERROR(__xludf.DUMMYFUNCTION("GOOGLETRANSLATE(H2412,""EN"",""ES"")"),"Estrategia empresarial")</f>
        <v>Estrategia empresarial</v>
      </c>
      <c r="J2412" s="16" t="s">
        <v>35</v>
      </c>
      <c r="K2412" s="48">
        <v>0.6</v>
      </c>
      <c r="L2412" s="51" t="s">
        <v>16905</v>
      </c>
      <c r="M2412" s="34" t="s">
        <v>16906</v>
      </c>
      <c r="N2412" s="65" t="s">
        <v>17009</v>
      </c>
      <c r="O2412" s="65" t="str">
        <f>IFERROR(__xludf.DUMMYFUNCTION("GOOGLETRANSLATE(N2412,""EN"",""ES"")"),"El refuerzo de la operativa de las estaciones de servicio respalda el crecimiento de los ingresos de Repsol.")</f>
        <v>El refuerzo de la operativa de las estaciones de servicio respalda el crecimiento de los ingresos de Repsol.</v>
      </c>
      <c r="P2412" s="30">
        <v>0.4</v>
      </c>
      <c r="Q2412" s="18" t="str">
        <f>IFERROR(__xludf.DUMMYFUNCTION("GOOGLETRANSLATE(R2412,""ES"",""EN"")"),"45% business")</f>
        <v>45% business</v>
      </c>
      <c r="R2412" s="34" t="s">
        <v>17010</v>
      </c>
      <c r="S2412" s="52" t="s">
        <v>13624</v>
      </c>
      <c r="T2412" s="22" t="s">
        <v>13625</v>
      </c>
    </row>
    <row r="2413">
      <c r="A2413" s="23" t="s">
        <v>17011</v>
      </c>
      <c r="B2413" s="77" t="s">
        <v>6759</v>
      </c>
      <c r="C2413" s="41">
        <v>45476.0</v>
      </c>
      <c r="D2413" s="40" t="s">
        <v>17012</v>
      </c>
      <c r="E2413" s="41" t="s">
        <v>17013</v>
      </c>
      <c r="F2413" s="43" t="s">
        <v>17014</v>
      </c>
      <c r="G2413" s="43" t="s">
        <v>17015</v>
      </c>
      <c r="H2413" s="51" t="s">
        <v>34</v>
      </c>
      <c r="I2413" s="25" t="str">
        <f>IFERROR(__xludf.DUMMYFUNCTION("GOOGLETRANSLATE(H2413,""EN"",""ES"")"),"Responsabilidad Social Corporativa")</f>
        <v>Responsabilidad Social Corporativa</v>
      </c>
      <c r="J2413" s="26" t="s">
        <v>35</v>
      </c>
      <c r="K2413" s="48">
        <v>0.6</v>
      </c>
      <c r="L2413" s="49" t="s">
        <v>17016</v>
      </c>
      <c r="M2413" s="28" t="s">
        <v>17017</v>
      </c>
      <c r="N2413" s="66" t="s">
        <v>17018</v>
      </c>
      <c r="O2413" s="66" t="str">
        <f>IFERROR(__xludf.DUMMYFUNCTION("GOOGLETRANSLATE(N2413,""EN"",""ES"")"),"El apoyo a las prácticas de estudiantes mejora el compromiso corporativo de Repsol.")</f>
        <v>El apoyo a las prácticas de estudiantes mejora el compromiso corporativo de Repsol.</v>
      </c>
      <c r="P2413" s="30">
        <v>0.2</v>
      </c>
      <c r="Q2413" s="31" t="str">
        <f>IFERROR(__xludf.DUMMYFUNCTION("GOOGLETRANSLATE(R2413,""ES"",""EN"")"),"practices")</f>
        <v>practices</v>
      </c>
      <c r="R2413" s="28" t="s">
        <v>17019</v>
      </c>
      <c r="S2413" s="53" t="s">
        <v>15490</v>
      </c>
      <c r="T2413" s="32" t="s">
        <v>15491</v>
      </c>
    </row>
    <row r="2414">
      <c r="A2414" s="33" t="s">
        <v>17020</v>
      </c>
      <c r="B2414" s="76" t="s">
        <v>8214</v>
      </c>
      <c r="C2414" s="41">
        <v>45476.0</v>
      </c>
      <c r="D2414" s="40" t="s">
        <v>17021</v>
      </c>
      <c r="E2414" s="41" t="s">
        <v>17022</v>
      </c>
      <c r="F2414" s="43" t="s">
        <v>17023</v>
      </c>
      <c r="G2414" s="43" t="s">
        <v>17024</v>
      </c>
      <c r="H2414" s="51" t="s">
        <v>661</v>
      </c>
      <c r="I2414" s="15" t="str">
        <f>IFERROR(__xludf.DUMMYFUNCTION("GOOGLETRANSLATE(H2414,""EN"",""ES"")"),"Estrategia empresarial")</f>
        <v>Estrategia empresarial</v>
      </c>
      <c r="J2414" s="16" t="s">
        <v>35</v>
      </c>
      <c r="K2414" s="48">
        <v>0.6</v>
      </c>
      <c r="L2414" s="51" t="s">
        <v>16905</v>
      </c>
      <c r="M2414" s="34" t="s">
        <v>16906</v>
      </c>
      <c r="N2414" s="65" t="s">
        <v>17025</v>
      </c>
      <c r="O2414" s="65" t="str">
        <f>IFERROR(__xludf.DUMMYFUNCTION("GOOGLETRANSLATE(N2414,""EN"",""ES"")"),"El refuerzo del negocio de estaciones de servicio refuerza la presencia de Repsol en el mercado minorista.")</f>
        <v>El refuerzo del negocio de estaciones de servicio refuerza la presencia de Repsol en el mercado minorista.</v>
      </c>
      <c r="P2414" s="30">
        <v>0.4</v>
      </c>
      <c r="Q2414" s="18" t="str">
        <f>IFERROR(__xludf.DUMMYFUNCTION("GOOGLETRANSLATE(R2414,""ES"",""EN"")"),"buy 45%")</f>
        <v>buy 45%</v>
      </c>
      <c r="R2414" s="34" t="s">
        <v>17026</v>
      </c>
      <c r="S2414" s="52" t="s">
        <v>16979</v>
      </c>
      <c r="T2414" s="22" t="s">
        <v>16980</v>
      </c>
    </row>
    <row r="2415">
      <c r="A2415" s="23" t="s">
        <v>17027</v>
      </c>
      <c r="B2415" s="77" t="s">
        <v>2944</v>
      </c>
      <c r="C2415" s="41">
        <v>45476.0</v>
      </c>
      <c r="D2415" s="40" t="s">
        <v>17028</v>
      </c>
      <c r="E2415" s="41" t="s">
        <v>17029</v>
      </c>
      <c r="F2415" s="43" t="s">
        <v>17030</v>
      </c>
      <c r="G2415" s="43" t="s">
        <v>17031</v>
      </c>
      <c r="H2415" s="51" t="s">
        <v>148</v>
      </c>
      <c r="I2415" s="25" t="str">
        <f>IFERROR(__xludf.DUMMYFUNCTION("GOOGLETRANSLATE(H2415,""EN"",""ES"")"),"Gastronomía")</f>
        <v>Gastronomía</v>
      </c>
      <c r="J2415" s="26" t="s">
        <v>27</v>
      </c>
      <c r="K2415" s="17">
        <v>0.0</v>
      </c>
      <c r="L2415" s="54"/>
      <c r="M2415" s="31"/>
      <c r="N2415" s="66"/>
      <c r="O2415" s="66"/>
      <c r="P2415" s="20">
        <v>0.0</v>
      </c>
      <c r="Q2415" s="31"/>
      <c r="R2415" s="31"/>
      <c r="S2415" s="53"/>
      <c r="T2415" s="32"/>
    </row>
    <row r="2416">
      <c r="A2416" s="33" t="s">
        <v>17032</v>
      </c>
      <c r="B2416" s="76" t="s">
        <v>21</v>
      </c>
      <c r="C2416" s="41">
        <v>45476.0</v>
      </c>
      <c r="D2416" s="40" t="s">
        <v>17033</v>
      </c>
      <c r="E2416" s="41" t="s">
        <v>17034</v>
      </c>
      <c r="F2416" s="43" t="s">
        <v>17035</v>
      </c>
      <c r="G2416" s="43" t="s">
        <v>17036</v>
      </c>
      <c r="H2416" s="51" t="s">
        <v>148</v>
      </c>
      <c r="I2416" s="15" t="str">
        <f>IFERROR(__xludf.DUMMYFUNCTION("GOOGLETRANSLATE(H2416,""EN"",""ES"")"),"Gastronomía")</f>
        <v>Gastronomía</v>
      </c>
      <c r="J2416" s="16" t="s">
        <v>27</v>
      </c>
      <c r="K2416" s="17">
        <v>0.0</v>
      </c>
      <c r="L2416" s="45"/>
      <c r="M2416" s="18"/>
      <c r="N2416" s="65"/>
      <c r="O2416" s="65"/>
      <c r="P2416" s="20">
        <v>0.0</v>
      </c>
      <c r="Q2416" s="18"/>
      <c r="R2416" s="18"/>
      <c r="S2416" s="52"/>
      <c r="T2416" s="22"/>
    </row>
    <row r="2417">
      <c r="A2417" s="23" t="s">
        <v>17037</v>
      </c>
      <c r="B2417" s="77" t="s">
        <v>10904</v>
      </c>
      <c r="C2417" s="41">
        <v>45476.0</v>
      </c>
      <c r="D2417" s="40" t="s">
        <v>17038</v>
      </c>
      <c r="E2417" s="41" t="s">
        <v>17039</v>
      </c>
      <c r="F2417" s="43" t="s">
        <v>17040</v>
      </c>
      <c r="G2417" s="43" t="s">
        <v>17041</v>
      </c>
      <c r="H2417" s="51" t="s">
        <v>148</v>
      </c>
      <c r="I2417" s="25" t="str">
        <f>IFERROR(__xludf.DUMMYFUNCTION("GOOGLETRANSLATE(H2417,""EN"",""ES"")"),"Gastronomía")</f>
        <v>Gastronomía</v>
      </c>
      <c r="J2417" s="26" t="s">
        <v>27</v>
      </c>
      <c r="K2417" s="17">
        <v>0.0</v>
      </c>
      <c r="L2417" s="54"/>
      <c r="M2417" s="31"/>
      <c r="N2417" s="66"/>
      <c r="O2417" s="66"/>
      <c r="P2417" s="20">
        <v>0.0</v>
      </c>
      <c r="Q2417" s="31"/>
      <c r="R2417" s="31"/>
      <c r="S2417" s="53"/>
      <c r="T2417" s="32"/>
    </row>
    <row r="2418">
      <c r="A2418" s="33" t="s">
        <v>17042</v>
      </c>
      <c r="B2418" s="76" t="s">
        <v>85</v>
      </c>
      <c r="C2418" s="41">
        <v>45476.0</v>
      </c>
      <c r="D2418" s="40" t="s">
        <v>17043</v>
      </c>
      <c r="E2418" s="41" t="s">
        <v>17044</v>
      </c>
      <c r="F2418" s="43" t="s">
        <v>17045</v>
      </c>
      <c r="G2418" s="43" t="s">
        <v>17046</v>
      </c>
      <c r="H2418" s="51" t="s">
        <v>148</v>
      </c>
      <c r="I2418" s="15" t="str">
        <f>IFERROR(__xludf.DUMMYFUNCTION("GOOGLETRANSLATE(H2418,""EN"",""ES"")"),"Gastronomía")</f>
        <v>Gastronomía</v>
      </c>
      <c r="J2418" s="16" t="s">
        <v>27</v>
      </c>
      <c r="K2418" s="17">
        <v>0.0</v>
      </c>
      <c r="L2418" s="45"/>
      <c r="M2418" s="18"/>
      <c r="N2418" s="65"/>
      <c r="O2418" s="65"/>
      <c r="P2418" s="20">
        <v>0.0</v>
      </c>
      <c r="Q2418" s="18"/>
      <c r="R2418" s="18"/>
      <c r="S2418" s="52"/>
      <c r="T2418" s="22"/>
    </row>
    <row r="2419">
      <c r="A2419" s="23" t="s">
        <v>17047</v>
      </c>
      <c r="B2419" s="77" t="s">
        <v>217</v>
      </c>
      <c r="C2419" s="41">
        <v>45476.0</v>
      </c>
      <c r="D2419" s="40" t="s">
        <v>17048</v>
      </c>
      <c r="E2419" s="41" t="s">
        <v>17049</v>
      </c>
      <c r="F2419" s="43" t="s">
        <v>17050</v>
      </c>
      <c r="G2419" s="43" t="s">
        <v>17051</v>
      </c>
      <c r="H2419" s="51" t="s">
        <v>130</v>
      </c>
      <c r="I2419" s="25" t="str">
        <f>IFERROR(__xludf.DUMMYFUNCTION("GOOGLETRANSLATE(H2419,""EN"",""ES"")"),"Sostenibilidad")</f>
        <v>Sostenibilidad</v>
      </c>
      <c r="J2419" s="26" t="s">
        <v>35</v>
      </c>
      <c r="K2419" s="48">
        <v>0.7</v>
      </c>
      <c r="L2419" s="49" t="s">
        <v>17052</v>
      </c>
      <c r="M2419" s="28" t="s">
        <v>17053</v>
      </c>
      <c r="N2419" s="66" t="s">
        <v>17054</v>
      </c>
      <c r="O2419" s="66" t="str">
        <f>IFERROR(__xludf.DUMMYFUNCTION("GOOGLETRANSLATE(N2419,""EN"",""ES"")"),"El impulso a los biocombustibles se alinea con el enfoque energético diversificado de Repsol.")</f>
        <v>El impulso a los biocombustibles se alinea con el enfoque energético diversificado de Repsol.</v>
      </c>
      <c r="P2419" s="30">
        <v>0.3</v>
      </c>
      <c r="Q2419" s="31" t="str">
        <f>IFERROR(__xludf.DUMMYFUNCTION("GOOGLETRANSLATE(R2419,""ES"",""EN"")"),"biofuels")</f>
        <v>biofuels</v>
      </c>
      <c r="R2419" s="28" t="s">
        <v>17055</v>
      </c>
      <c r="S2419" s="53" t="s">
        <v>15474</v>
      </c>
      <c r="T2419" s="32" t="s">
        <v>15475</v>
      </c>
    </row>
    <row r="2420">
      <c r="A2420" s="33" t="s">
        <v>17056</v>
      </c>
      <c r="B2420" s="76" t="s">
        <v>1384</v>
      </c>
      <c r="C2420" s="41">
        <v>45476.0</v>
      </c>
      <c r="D2420" s="40" t="s">
        <v>17057</v>
      </c>
      <c r="E2420" s="41" t="s">
        <v>17058</v>
      </c>
      <c r="F2420" s="43" t="s">
        <v>17059</v>
      </c>
      <c r="G2420" s="43" t="s">
        <v>17060</v>
      </c>
      <c r="H2420" s="51" t="s">
        <v>408</v>
      </c>
      <c r="I2420" s="15" t="str">
        <f>IFERROR(__xludf.DUMMYFUNCTION("GOOGLETRANSLATE(H2420,""EN"",""ES"")"),"Legal")</f>
        <v>Legal</v>
      </c>
      <c r="J2420" s="16" t="s">
        <v>35</v>
      </c>
      <c r="K2420" s="48">
        <v>-0.8</v>
      </c>
      <c r="L2420" s="51" t="s">
        <v>9922</v>
      </c>
      <c r="M2420" s="34" t="s">
        <v>9923</v>
      </c>
      <c r="N2420" s="65" t="s">
        <v>17061</v>
      </c>
      <c r="O2420" s="65" t="str">
        <f>IFERROR(__xludf.DUMMYFUNCTION("GOOGLETRANSLATE(N2420,""EN"",""ES"")"),"Los litigios ambientales y las protestas públicas pueden dañar la reputación de Repsol.")</f>
        <v>Los litigios ambientales y las protestas públicas pueden dañar la reputación de Repsol.</v>
      </c>
      <c r="P2420" s="30">
        <v>-0.6</v>
      </c>
      <c r="Q2420" s="18" t="str">
        <f>IFERROR(__xludf.DUMMYFUNCTION("GOOGLETRANSLATE(R2420,""ES"",""EN"")"),"demand compensation")</f>
        <v>demand compensation</v>
      </c>
      <c r="R2420" s="34" t="s">
        <v>17062</v>
      </c>
      <c r="S2420" s="52" t="s">
        <v>17063</v>
      </c>
      <c r="T2420" s="22" t="s">
        <v>17064</v>
      </c>
    </row>
    <row r="2421">
      <c r="A2421" s="23" t="s">
        <v>17065</v>
      </c>
      <c r="B2421" s="77" t="s">
        <v>217</v>
      </c>
      <c r="C2421" s="41">
        <v>45477.0</v>
      </c>
      <c r="D2421" s="40" t="s">
        <v>17066</v>
      </c>
      <c r="E2421" s="41" t="s">
        <v>17067</v>
      </c>
      <c r="F2421" s="43" t="s">
        <v>17068</v>
      </c>
      <c r="G2421" s="43" t="s">
        <v>17069</v>
      </c>
      <c r="H2421" s="51" t="s">
        <v>661</v>
      </c>
      <c r="I2421" s="25" t="str">
        <f>IFERROR(__xludf.DUMMYFUNCTION("GOOGLETRANSLATE(H2421,""EN"",""ES"")"),"Estrategia empresarial")</f>
        <v>Estrategia empresarial</v>
      </c>
      <c r="J2421" s="26" t="s">
        <v>35</v>
      </c>
      <c r="K2421" s="48">
        <v>0.5</v>
      </c>
      <c r="L2421" s="49" t="s">
        <v>17070</v>
      </c>
      <c r="M2421" s="28" t="s">
        <v>17071</v>
      </c>
      <c r="N2421" s="66" t="s">
        <v>17072</v>
      </c>
      <c r="O2421" s="66" t="str">
        <f>IFERROR(__xludf.DUMMYFUNCTION("GOOGLETRANSLATE(N2421,""EN"",""ES"")"),"La racionalización de los activos energéticos puede optimizar el enfoque empresarial de Repsol.")</f>
        <v>La racionalización de los activos energéticos puede optimizar el enfoque empresarial de Repsol.</v>
      </c>
      <c r="P2421" s="30">
        <v>0.3</v>
      </c>
      <c r="Q2421" s="31" t="str">
        <f>IFERROR(__xludf.DUMMYFUNCTION("GOOGLETRANSLATE(R2421,""ES"",""EN"")"),"sells, 140 million")</f>
        <v>sells, 140 million</v>
      </c>
      <c r="R2421" s="28" t="s">
        <v>17073</v>
      </c>
      <c r="S2421" s="53" t="s">
        <v>16979</v>
      </c>
      <c r="T2421" s="32" t="s">
        <v>16980</v>
      </c>
    </row>
    <row r="2422">
      <c r="A2422" s="33" t="s">
        <v>17074</v>
      </c>
      <c r="B2422" s="76" t="s">
        <v>339</v>
      </c>
      <c r="C2422" s="41">
        <v>45477.0</v>
      </c>
      <c r="D2422" s="40" t="s">
        <v>17075</v>
      </c>
      <c r="E2422" s="41" t="s">
        <v>17076</v>
      </c>
      <c r="F2422" s="43" t="s">
        <v>17077</v>
      </c>
      <c r="G2422" s="43" t="s">
        <v>17078</v>
      </c>
      <c r="H2422" s="51" t="s">
        <v>130</v>
      </c>
      <c r="I2422" s="15" t="str">
        <f>IFERROR(__xludf.DUMMYFUNCTION("GOOGLETRANSLATE(H2422,""EN"",""ES"")"),"Sostenibilidad")</f>
        <v>Sostenibilidad</v>
      </c>
      <c r="J2422" s="16" t="s">
        <v>35</v>
      </c>
      <c r="K2422" s="48">
        <v>0.7</v>
      </c>
      <c r="L2422" s="51" t="s">
        <v>14759</v>
      </c>
      <c r="M2422" s="34" t="s">
        <v>14760</v>
      </c>
      <c r="N2422" s="65" t="s">
        <v>17079</v>
      </c>
      <c r="O2422" s="65" t="str">
        <f>IFERROR(__xludf.DUMMYFUNCTION("GOOGLETRANSLATE(N2422,""EN"",""ES"")"),"La ampliación de los modelos de suscripción de carga de vehículos eléctricos mejora la oferta de energías limpias de Repsol.")</f>
        <v>La ampliación de los modelos de suscripción de carga de vehículos eléctricos mejora la oferta de energías limpias de Repsol.</v>
      </c>
      <c r="P2422" s="30">
        <v>0.4</v>
      </c>
      <c r="Q2422" s="18" t="str">
        <f>IFERROR(__xludf.DUMMYFUNCTION("GOOGLETRANSLATE(R2422,""ES"",""EN"")"),"new service")</f>
        <v>new service</v>
      </c>
      <c r="R2422" s="34" t="s">
        <v>17080</v>
      </c>
      <c r="S2422" s="52" t="s">
        <v>17081</v>
      </c>
      <c r="T2422" s="22" t="s">
        <v>17082</v>
      </c>
    </row>
    <row r="2423">
      <c r="A2423" s="23" t="s">
        <v>17083</v>
      </c>
      <c r="B2423" s="77" t="s">
        <v>952</v>
      </c>
      <c r="C2423" s="41">
        <v>45477.0</v>
      </c>
      <c r="D2423" s="40" t="s">
        <v>17084</v>
      </c>
      <c r="E2423" s="41" t="s">
        <v>17085</v>
      </c>
      <c r="F2423" s="43" t="s">
        <v>17086</v>
      </c>
      <c r="G2423" s="43" t="s">
        <v>17087</v>
      </c>
      <c r="H2423" s="51" t="s">
        <v>661</v>
      </c>
      <c r="I2423" s="25" t="str">
        <f>IFERROR(__xludf.DUMMYFUNCTION("GOOGLETRANSLATE(H2423,""EN"",""ES"")"),"Estrategia empresarial")</f>
        <v>Estrategia empresarial</v>
      </c>
      <c r="J2423" s="26" t="s">
        <v>35</v>
      </c>
      <c r="K2423" s="48">
        <v>0.6</v>
      </c>
      <c r="L2423" s="49" t="s">
        <v>17088</v>
      </c>
      <c r="M2423" s="28" t="s">
        <v>17089</v>
      </c>
      <c r="N2423" s="66" t="s">
        <v>17090</v>
      </c>
      <c r="O2423" s="66" t="str">
        <f>IFERROR(__xludf.DUMMYFUNCTION("GOOGLETRANSLATE(N2423,""EN"",""ES"")"),"El refuerzo de las relaciones con los gobiernos locales respalda la actividad industrial de Repsol.")</f>
        <v>El refuerzo de las relaciones con los gobiernos locales respalda la actividad industrial de Repsol.</v>
      </c>
      <c r="P2423" s="30">
        <v>0.1</v>
      </c>
      <c r="Q2423" s="31" t="str">
        <f>IFERROR(__xludf.DUMMYFUNCTION("GOOGLETRANSLATE(R2423,""ES"",""EN"")"),"None")</f>
        <v>None</v>
      </c>
      <c r="R2423" s="28" t="s">
        <v>14309</v>
      </c>
      <c r="S2423" s="53" t="s">
        <v>17091</v>
      </c>
      <c r="T2423" s="32" t="s">
        <v>17092</v>
      </c>
    </row>
    <row r="2424">
      <c r="A2424" s="33" t="s">
        <v>17093</v>
      </c>
      <c r="B2424" s="76" t="s">
        <v>17094</v>
      </c>
      <c r="C2424" s="41">
        <v>45477.0</v>
      </c>
      <c r="D2424" s="40" t="s">
        <v>17095</v>
      </c>
      <c r="E2424" s="41" t="s">
        <v>17096</v>
      </c>
      <c r="F2424" s="81" t="s">
        <v>17097</v>
      </c>
      <c r="G2424" s="81" t="s">
        <v>17098</v>
      </c>
      <c r="H2424" s="61" t="s">
        <v>17099</v>
      </c>
      <c r="I2424" s="15" t="str">
        <f>IFERROR(__xludf.DUMMYFUNCTION("GOOGLETRANSLATE(H2424,""EN"",""ES"")"),"Educación/Innovación")</f>
        <v>Educación/Innovación</v>
      </c>
      <c r="J2424" s="16" t="s">
        <v>35</v>
      </c>
      <c r="K2424" s="48">
        <v>0.8</v>
      </c>
      <c r="L2424" s="51" t="s">
        <v>17100</v>
      </c>
      <c r="M2424" s="34" t="s">
        <v>17101</v>
      </c>
      <c r="N2424" s="61" t="s">
        <v>17102</v>
      </c>
      <c r="O2424" s="44" t="str">
        <f>IFERROR(__xludf.DUMMYFUNCTION("GOOGLETRANSLATE(N2424,""EN"",""ES"")"),"Positivo, destacando el logro de jóvenes ganadores con un proyecto innovador.")</f>
        <v>Positivo, destacando el logro de jóvenes ganadores con un proyecto innovador.</v>
      </c>
      <c r="P2424" s="30">
        <v>0.3</v>
      </c>
      <c r="Q2424" s="18" t="str">
        <f>IFERROR(__xludf.DUMMYFUNCTION("GOOGLETRANSLATE(R2424,""ES"",""EN"")"),"winners")</f>
        <v>winners</v>
      </c>
      <c r="R2424" s="34" t="s">
        <v>17103</v>
      </c>
      <c r="S2424" s="52" t="s">
        <v>14458</v>
      </c>
      <c r="T2424" s="22" t="s">
        <v>14459</v>
      </c>
    </row>
    <row r="2425">
      <c r="A2425" s="23" t="s">
        <v>17104</v>
      </c>
      <c r="B2425" s="77" t="s">
        <v>1072</v>
      </c>
      <c r="C2425" s="41">
        <v>45477.0</v>
      </c>
      <c r="D2425" s="40" t="s">
        <v>17105</v>
      </c>
      <c r="E2425" s="41" t="s">
        <v>17106</v>
      </c>
      <c r="F2425" s="43" t="s">
        <v>17107</v>
      </c>
      <c r="G2425" s="43" t="s">
        <v>17108</v>
      </c>
      <c r="H2425" s="51" t="s">
        <v>661</v>
      </c>
      <c r="I2425" s="25" t="str">
        <f>IFERROR(__xludf.DUMMYFUNCTION("GOOGLETRANSLATE(H2425,""EN"",""ES"")"),"Estrategia empresarial")</f>
        <v>Estrategia empresarial</v>
      </c>
      <c r="J2425" s="26" t="s">
        <v>35</v>
      </c>
      <c r="K2425" s="48">
        <v>0.5</v>
      </c>
      <c r="L2425" s="49" t="s">
        <v>17070</v>
      </c>
      <c r="M2425" s="82" t="s">
        <v>17071</v>
      </c>
      <c r="N2425" s="83" t="s">
        <v>17109</v>
      </c>
      <c r="O2425" s="83" t="str">
        <f>IFERROR(__xludf.DUMMYFUNCTION("GOOGLETRANSLATE(N2425,""EN"",""ES"")"),"Sentimiento positivo debido a una transacción comercial exitosa.")</f>
        <v>Sentimiento positivo debido a una transacción comercial exitosa.</v>
      </c>
      <c r="P2425" s="30">
        <v>0.3</v>
      </c>
      <c r="Q2425" s="31" t="str">
        <f>IFERROR(__xludf.DUMMYFUNCTION("GOOGLETRANSLATE(R2425,""ES"",""EN"")"),"sells, photovoltaic")</f>
        <v>sells, photovoltaic</v>
      </c>
      <c r="R2425" s="28" t="s">
        <v>17110</v>
      </c>
      <c r="S2425" s="53" t="s">
        <v>16979</v>
      </c>
      <c r="T2425" s="32" t="s">
        <v>16980</v>
      </c>
    </row>
    <row r="2426">
      <c r="A2426" s="33" t="s">
        <v>17111</v>
      </c>
      <c r="B2426" s="76" t="s">
        <v>499</v>
      </c>
      <c r="C2426" s="41">
        <v>45477.0</v>
      </c>
      <c r="D2426" s="40" t="s">
        <v>17112</v>
      </c>
      <c r="E2426" s="41" t="s">
        <v>17113</v>
      </c>
      <c r="F2426" s="43" t="s">
        <v>17114</v>
      </c>
      <c r="G2426" s="43" t="s">
        <v>17115</v>
      </c>
      <c r="H2426" s="51" t="s">
        <v>661</v>
      </c>
      <c r="I2426" s="15" t="str">
        <f>IFERROR(__xludf.DUMMYFUNCTION("GOOGLETRANSLATE(H2426,""EN"",""ES"")"),"Estrategia empresarial")</f>
        <v>Estrategia empresarial</v>
      </c>
      <c r="J2426" s="16" t="s">
        <v>35</v>
      </c>
      <c r="K2426" s="48">
        <v>0.7</v>
      </c>
      <c r="L2426" s="51" t="s">
        <v>15005</v>
      </c>
      <c r="M2426" s="55" t="s">
        <v>15006</v>
      </c>
      <c r="N2426" s="55" t="s">
        <v>17116</v>
      </c>
      <c r="O2426" s="84" t="str">
        <f>IFERROR(__xludf.DUMMYFUNCTION("GOOGLETRANSLATE(N2426,""EN"",""ES"")"),"Los sólidos rankings de reputación refuerzan la credibilidad corporativa de Repsol.")</f>
        <v>Los sólidos rankings de reputación refuerzan la credibilidad corporativa de Repsol.</v>
      </c>
      <c r="P2426" s="30">
        <v>0.6</v>
      </c>
      <c r="Q2426" s="18" t="str">
        <f>IFERROR(__xludf.DUMMYFUNCTION("GOOGLETRANSLATE(R2426,""ES"",""EN"")"),"best reputation")</f>
        <v>best reputation</v>
      </c>
      <c r="R2426" s="34" t="s">
        <v>17117</v>
      </c>
      <c r="S2426" s="52" t="s">
        <v>17118</v>
      </c>
      <c r="T2426" s="22" t="s">
        <v>17119</v>
      </c>
    </row>
    <row r="2427">
      <c r="A2427" s="23" t="s">
        <v>17120</v>
      </c>
      <c r="B2427" s="77" t="s">
        <v>103</v>
      </c>
      <c r="C2427" s="41">
        <v>45477.0</v>
      </c>
      <c r="D2427" s="40" t="s">
        <v>17121</v>
      </c>
      <c r="E2427" s="41" t="s">
        <v>17122</v>
      </c>
      <c r="F2427" s="43" t="s">
        <v>17123</v>
      </c>
      <c r="G2427" s="43" t="s">
        <v>17124</v>
      </c>
      <c r="H2427" s="51" t="s">
        <v>48</v>
      </c>
      <c r="I2427" s="25" t="str">
        <f>IFERROR(__xludf.DUMMYFUNCTION("GOOGLETRANSLATE(H2427,""EN"",""ES"")"),"Finanzas")</f>
        <v>Finanzas</v>
      </c>
      <c r="J2427" s="26" t="s">
        <v>35</v>
      </c>
      <c r="K2427" s="48">
        <v>0.7</v>
      </c>
      <c r="L2427" s="49" t="s">
        <v>12440</v>
      </c>
      <c r="M2427" s="82" t="s">
        <v>12441</v>
      </c>
      <c r="N2427" s="82" t="s">
        <v>17125</v>
      </c>
      <c r="O2427" s="85" t="str">
        <f>IFERROR(__xludf.DUMMYFUNCTION("GOOGLETRANSLATE(N2427,""EN"",""ES"")"),"La rentabilidad positiva de los dividendos refuerza la confianza de los inversores en Repsol.")</f>
        <v>La rentabilidad positiva de los dividendos refuerza la confianza de los inversores en Repsol.</v>
      </c>
      <c r="P2427" s="30">
        <v>-0.2</v>
      </c>
      <c r="Q2427" s="31" t="str">
        <f>IFERROR(__xludf.DUMMYFUNCTION("GOOGLETRANSLATE(R2427,""ES"",""EN"")"),"dividends, burden")</f>
        <v>dividends, burden</v>
      </c>
      <c r="R2427" s="28" t="s">
        <v>17126</v>
      </c>
      <c r="S2427" s="53" t="s">
        <v>17127</v>
      </c>
      <c r="T2427" s="32" t="s">
        <v>17128</v>
      </c>
    </row>
    <row r="2428">
      <c r="A2428" s="33" t="s">
        <v>17129</v>
      </c>
      <c r="B2428" s="76" t="s">
        <v>5669</v>
      </c>
      <c r="C2428" s="41">
        <v>45477.0</v>
      </c>
      <c r="D2428" s="40" t="s">
        <v>17130</v>
      </c>
      <c r="E2428" s="41" t="s">
        <v>17131</v>
      </c>
      <c r="F2428" s="43" t="s">
        <v>17132</v>
      </c>
      <c r="G2428" s="43" t="s">
        <v>17133</v>
      </c>
      <c r="H2428" s="51" t="s">
        <v>661</v>
      </c>
      <c r="I2428" s="15" t="str">
        <f>IFERROR(__xludf.DUMMYFUNCTION("GOOGLETRANSLATE(H2428,""EN"",""ES"")"),"Estrategia empresarial")</f>
        <v>Estrategia empresarial</v>
      </c>
      <c r="J2428" s="16" t="s">
        <v>35</v>
      </c>
      <c r="K2428" s="48">
        <v>0.6</v>
      </c>
      <c r="L2428" s="51" t="s">
        <v>16658</v>
      </c>
      <c r="M2428" s="34" t="s">
        <v>16659</v>
      </c>
      <c r="N2428" s="55" t="s">
        <v>17134</v>
      </c>
      <c r="O2428" s="84" t="str">
        <f>IFERROR(__xludf.DUMMYFUNCTION("GOOGLETRANSLATE(N2428,""EN"",""ES"")"),"El refuerzo de las operaciones en Reino Unido refuerza la posición de Repsol en el mercado internacional.")</f>
        <v>El refuerzo de las operaciones en Reino Unido refuerza la posición de Repsol en el mercado internacional.</v>
      </c>
      <c r="P2428" s="30">
        <v>-0.4</v>
      </c>
      <c r="Q2428" s="18" t="str">
        <f>IFERROR(__xludf.DUMMYFUNCTION("GOOGLETRANSLATE(R2428,""ES"",""EN"")"),"complaints, ecopostureo")</f>
        <v>complaints, ecopostureo</v>
      </c>
      <c r="R2428" s="34" t="s">
        <v>17135</v>
      </c>
      <c r="S2428" s="52" t="s">
        <v>15127</v>
      </c>
      <c r="T2428" s="22" t="s">
        <v>15128</v>
      </c>
    </row>
    <row r="2429">
      <c r="A2429" s="23" t="s">
        <v>17136</v>
      </c>
      <c r="B2429" s="77" t="s">
        <v>85</v>
      </c>
      <c r="C2429" s="41">
        <v>45477.0</v>
      </c>
      <c r="D2429" s="40" t="s">
        <v>17137</v>
      </c>
      <c r="E2429" s="41" t="s">
        <v>17138</v>
      </c>
      <c r="F2429" s="43" t="s">
        <v>17139</v>
      </c>
      <c r="G2429" s="43" t="s">
        <v>17140</v>
      </c>
      <c r="H2429" s="51" t="s">
        <v>661</v>
      </c>
      <c r="I2429" s="25" t="str">
        <f>IFERROR(__xludf.DUMMYFUNCTION("GOOGLETRANSLATE(H2429,""EN"",""ES"")"),"Estrategia empresarial")</f>
        <v>Estrategia empresarial</v>
      </c>
      <c r="J2429" s="26" t="s">
        <v>35</v>
      </c>
      <c r="K2429" s="48">
        <v>0.6</v>
      </c>
      <c r="L2429" s="49" t="s">
        <v>16066</v>
      </c>
      <c r="M2429" s="28" t="s">
        <v>16067</v>
      </c>
      <c r="N2429" s="82" t="s">
        <v>17141</v>
      </c>
      <c r="O2429" s="85" t="str">
        <f>IFERROR(__xludf.DUMMYFUNCTION("GOOGLETRANSLATE(N2429,""EN"",""ES"")"),"La ampliación de los servicios basados ​​en suscripción fortalece el compromiso de Repsol con el consumidor.")</f>
        <v>La ampliación de los servicios basados ​​en suscripción fortalece el compromiso de Repsol con el consumidor.</v>
      </c>
      <c r="P2429" s="30">
        <v>0.5</v>
      </c>
      <c r="Q2429" s="31" t="str">
        <f>IFERROR(__xludf.DUMMYFUNCTION("GOOGLETRANSLATE(R2429,""ES"",""EN"")"),"new service")</f>
        <v>new service</v>
      </c>
      <c r="R2429" s="28" t="s">
        <v>17080</v>
      </c>
      <c r="S2429" s="53" t="s">
        <v>17081</v>
      </c>
      <c r="T2429" s="32" t="s">
        <v>17082</v>
      </c>
    </row>
    <row r="2430">
      <c r="A2430" s="33" t="s">
        <v>17142</v>
      </c>
      <c r="B2430" s="76" t="s">
        <v>8528</v>
      </c>
      <c r="C2430" s="41">
        <v>45477.0</v>
      </c>
      <c r="D2430" s="40" t="s">
        <v>17143</v>
      </c>
      <c r="E2430" s="41" t="s">
        <v>17144</v>
      </c>
      <c r="F2430" s="43" t="s">
        <v>17145</v>
      </c>
      <c r="G2430" s="43" t="s">
        <v>17146</v>
      </c>
      <c r="H2430" s="51" t="s">
        <v>661</v>
      </c>
      <c r="I2430" s="15" t="str">
        <f>IFERROR(__xludf.DUMMYFUNCTION("GOOGLETRANSLATE(H2430,""EN"",""ES"")"),"Estrategia empresarial")</f>
        <v>Estrategia empresarial</v>
      </c>
      <c r="J2430" s="16" t="s">
        <v>35</v>
      </c>
      <c r="K2430" s="48">
        <v>0.7</v>
      </c>
      <c r="L2430" s="51" t="s">
        <v>17147</v>
      </c>
      <c r="M2430" s="34" t="s">
        <v>17148</v>
      </c>
      <c r="N2430" s="55" t="s">
        <v>17149</v>
      </c>
      <c r="O2430" s="84" t="str">
        <f>IFERROR(__xludf.DUMMYFUNCTION("GOOGLETRANSLATE(N2430,""EN"",""ES"")"),"Ser reconocido como empleador de primer nivel fortalece la imagen corporativa de Repsol.")</f>
        <v>Ser reconocido como empleador de primer nivel fortalece la imagen corporativa de Repsol.</v>
      </c>
      <c r="P2430" s="30">
        <v>0.6</v>
      </c>
      <c r="Q2430" s="18" t="str">
        <f>IFERROR(__xludf.DUMMYFUNCTION("GOOGLETRANSLATE(R2430,""ES"",""EN"")"),"best reputation")</f>
        <v>best reputation</v>
      </c>
      <c r="R2430" s="34" t="s">
        <v>17117</v>
      </c>
      <c r="S2430" s="52" t="s">
        <v>17118</v>
      </c>
      <c r="T2430" s="22" t="s">
        <v>17119</v>
      </c>
    </row>
    <row r="2431">
      <c r="A2431" s="63" t="s">
        <v>17150</v>
      </c>
      <c r="B2431" s="77" t="s">
        <v>403</v>
      </c>
      <c r="C2431" s="41">
        <v>45477.0</v>
      </c>
      <c r="D2431" s="40" t="s">
        <v>17151</v>
      </c>
      <c r="E2431" s="41" t="s">
        <v>17152</v>
      </c>
      <c r="F2431" s="43" t="s">
        <v>17153</v>
      </c>
      <c r="G2431" s="43" t="s">
        <v>17154</v>
      </c>
      <c r="H2431" s="51" t="s">
        <v>661</v>
      </c>
      <c r="I2431" s="25" t="str">
        <f>IFERROR(__xludf.DUMMYFUNCTION("GOOGLETRANSLATE(H2431,""EN"",""ES"")"),"Estrategia empresarial")</f>
        <v>Estrategia empresarial</v>
      </c>
      <c r="J2431" s="26" t="s">
        <v>35</v>
      </c>
      <c r="K2431" s="48">
        <v>0.6</v>
      </c>
      <c r="L2431" s="49" t="s">
        <v>17155</v>
      </c>
      <c r="M2431" s="28" t="s">
        <v>17156</v>
      </c>
      <c r="N2431" s="82" t="s">
        <v>17157</v>
      </c>
      <c r="O2431" s="85" t="str">
        <f>IFERROR(__xludf.DUMMYFUNCTION("GOOGLETRANSLATE(N2431,""EN"",""ES"")"),"Reforzar las alianzas industriales mejora el posicionamiento del negocio energético de Repsol.")</f>
        <v>Reforzar las alianzas industriales mejora el posicionamiento del negocio energético de Repsol.</v>
      </c>
      <c r="P2431" s="30">
        <v>0.2</v>
      </c>
      <c r="Q2431" s="31" t="str">
        <f>IFERROR(__xludf.DUMMYFUNCTION("GOOGLETRANSLATE(R2431,""ES"",""EN"")"),"None")</f>
        <v>None</v>
      </c>
      <c r="R2431" s="28" t="s">
        <v>14309</v>
      </c>
      <c r="S2431" s="53" t="s">
        <v>17158</v>
      </c>
      <c r="T2431" s="32" t="s">
        <v>17159</v>
      </c>
    </row>
    <row r="2432">
      <c r="A2432" s="62" t="s">
        <v>17160</v>
      </c>
      <c r="B2432" s="76" t="s">
        <v>17161</v>
      </c>
      <c r="C2432" s="41">
        <v>45477.0</v>
      </c>
      <c r="D2432" s="40" t="s">
        <v>17162</v>
      </c>
      <c r="E2432" s="41" t="s">
        <v>17163</v>
      </c>
      <c r="F2432" s="43" t="s">
        <v>17164</v>
      </c>
      <c r="G2432" s="43" t="s">
        <v>17165</v>
      </c>
      <c r="H2432" s="51" t="s">
        <v>661</v>
      </c>
      <c r="I2432" s="15" t="str">
        <f>IFERROR(__xludf.DUMMYFUNCTION("GOOGLETRANSLATE(H2432,""EN"",""ES"")"),"Estrategia empresarial")</f>
        <v>Estrategia empresarial</v>
      </c>
      <c r="J2432" s="16" t="s">
        <v>35</v>
      </c>
      <c r="K2432" s="48">
        <v>0.7</v>
      </c>
      <c r="L2432" s="51" t="s">
        <v>17147</v>
      </c>
      <c r="M2432" s="34" t="s">
        <v>17148</v>
      </c>
      <c r="N2432" s="86" t="s">
        <v>17166</v>
      </c>
      <c r="O2432" s="86" t="str">
        <f>IFERROR(__xludf.DUMMYFUNCTION("GOOGLETRANSLATE(N2432,""EN"",""ES"")"),"Alto sentimiento al ser reconocida Repsol entre las mejores empresas.")</f>
        <v>Alto sentimiento al ser reconocida Repsol entre las mejores empresas.</v>
      </c>
      <c r="P2432" s="30">
        <v>0.6</v>
      </c>
      <c r="Q2432" s="18" t="str">
        <f>IFERROR(__xludf.DUMMYFUNCTION("GOOGLETRANSLATE(R2432,""ES"",""EN"")"),"best rated")</f>
        <v>best rated</v>
      </c>
      <c r="R2432" s="34" t="s">
        <v>17167</v>
      </c>
      <c r="S2432" s="52" t="s">
        <v>17118</v>
      </c>
      <c r="T2432" s="22" t="s">
        <v>17119</v>
      </c>
    </row>
    <row r="2433">
      <c r="A2433" s="63" t="s">
        <v>17168</v>
      </c>
      <c r="B2433" s="77" t="s">
        <v>17169</v>
      </c>
      <c r="C2433" s="41">
        <v>45477.0</v>
      </c>
      <c r="D2433" s="40" t="s">
        <v>17170</v>
      </c>
      <c r="E2433" s="41" t="s">
        <v>17171</v>
      </c>
      <c r="F2433" s="43" t="s">
        <v>17172</v>
      </c>
      <c r="G2433" s="43" t="s">
        <v>17173</v>
      </c>
      <c r="H2433" s="51" t="s">
        <v>661</v>
      </c>
      <c r="I2433" s="25" t="str">
        <f>IFERROR(__xludf.DUMMYFUNCTION("GOOGLETRANSLATE(H2433,""EN"",""ES"")"),"Estrategia empresarial")</f>
        <v>Estrategia empresarial</v>
      </c>
      <c r="J2433" s="26" t="s">
        <v>35</v>
      </c>
      <c r="K2433" s="48">
        <v>0.6</v>
      </c>
      <c r="L2433" s="49" t="s">
        <v>16905</v>
      </c>
      <c r="M2433" s="28" t="s">
        <v>16906</v>
      </c>
      <c r="N2433" s="83" t="s">
        <v>17174</v>
      </c>
      <c r="O2433" s="83" t="str">
        <f>IFERROR(__xludf.DUMMYFUNCTION("GOOGLETRANSLATE(N2433,""EN"",""ES"")"),"Impacto positivo de la ampliación del control de Repsol sobre las estaciones de servicio.")</f>
        <v>Impacto positivo de la ampliación del control de Repsol sobre las estaciones de servicio.</v>
      </c>
      <c r="P2433" s="30">
        <v>0.3</v>
      </c>
      <c r="Q2433" s="31" t="str">
        <f>IFERROR(__xludf.DUMMYFUNCTION("GOOGLETRANSLATE(R2433,""ES"",""EN"")"),"buy 45%")</f>
        <v>buy 45%</v>
      </c>
      <c r="R2433" s="28" t="s">
        <v>17026</v>
      </c>
      <c r="S2433" s="53" t="s">
        <v>16979</v>
      </c>
      <c r="T2433" s="32" t="s">
        <v>16980</v>
      </c>
    </row>
    <row r="2434">
      <c r="A2434" s="62" t="s">
        <v>17175</v>
      </c>
      <c r="B2434" s="76" t="s">
        <v>977</v>
      </c>
      <c r="C2434" s="41">
        <v>45477.0</v>
      </c>
      <c r="D2434" s="40" t="s">
        <v>17176</v>
      </c>
      <c r="E2434" s="41" t="s">
        <v>17177</v>
      </c>
      <c r="F2434" s="43" t="s">
        <v>17178</v>
      </c>
      <c r="G2434" s="43" t="s">
        <v>17179</v>
      </c>
      <c r="H2434" s="51" t="s">
        <v>148</v>
      </c>
      <c r="I2434" s="15" t="str">
        <f>IFERROR(__xludf.DUMMYFUNCTION("GOOGLETRANSLATE(H2434,""EN"",""ES"")"),"Gastronomía")</f>
        <v>Gastronomía</v>
      </c>
      <c r="J2434" s="16" t="s">
        <v>27</v>
      </c>
      <c r="K2434" s="17">
        <v>0.0</v>
      </c>
      <c r="L2434" s="45"/>
      <c r="M2434" s="18"/>
      <c r="N2434" s="86"/>
      <c r="O2434" s="86"/>
      <c r="P2434" s="20">
        <v>0.0</v>
      </c>
      <c r="Q2434" s="18"/>
      <c r="R2434" s="18"/>
      <c r="S2434" s="52"/>
      <c r="T2434" s="22"/>
    </row>
    <row r="2435">
      <c r="A2435" s="63" t="s">
        <v>17180</v>
      </c>
      <c r="B2435" s="77" t="s">
        <v>6458</v>
      </c>
      <c r="C2435" s="41">
        <v>45477.0</v>
      </c>
      <c r="D2435" s="40" t="s">
        <v>17181</v>
      </c>
      <c r="E2435" s="41" t="s">
        <v>17182</v>
      </c>
      <c r="F2435" s="43" t="s">
        <v>17183</v>
      </c>
      <c r="G2435" s="43" t="s">
        <v>17184</v>
      </c>
      <c r="H2435" s="51" t="s">
        <v>148</v>
      </c>
      <c r="I2435" s="25" t="str">
        <f>IFERROR(__xludf.DUMMYFUNCTION("GOOGLETRANSLATE(H2435,""EN"",""ES"")"),"Gastronomía")</f>
        <v>Gastronomía</v>
      </c>
      <c r="J2435" s="26" t="s">
        <v>27</v>
      </c>
      <c r="K2435" s="17">
        <v>0.0</v>
      </c>
      <c r="L2435" s="54"/>
      <c r="M2435" s="31"/>
      <c r="N2435" s="83"/>
      <c r="O2435" s="83"/>
      <c r="P2435" s="20">
        <v>0.0</v>
      </c>
      <c r="Q2435" s="31"/>
      <c r="R2435" s="31"/>
      <c r="S2435" s="53"/>
      <c r="T2435" s="32"/>
    </row>
    <row r="2436">
      <c r="A2436" s="62" t="s">
        <v>17185</v>
      </c>
      <c r="B2436" s="76" t="s">
        <v>1362</v>
      </c>
      <c r="C2436" s="41">
        <v>45477.0</v>
      </c>
      <c r="D2436" s="40" t="s">
        <v>17186</v>
      </c>
      <c r="E2436" s="41" t="s">
        <v>17187</v>
      </c>
      <c r="F2436" s="43" t="s">
        <v>17188</v>
      </c>
      <c r="G2436" s="43" t="s">
        <v>17189</v>
      </c>
      <c r="H2436" s="51" t="s">
        <v>408</v>
      </c>
      <c r="I2436" s="15" t="str">
        <f>IFERROR(__xludf.DUMMYFUNCTION("GOOGLETRANSLATE(H2436,""EN"",""ES"")"),"Legal")</f>
        <v>Legal</v>
      </c>
      <c r="J2436" s="16" t="s">
        <v>35</v>
      </c>
      <c r="K2436" s="48">
        <v>-0.8</v>
      </c>
      <c r="L2436" s="51" t="s">
        <v>9922</v>
      </c>
      <c r="M2436" s="34" t="s">
        <v>9923</v>
      </c>
      <c r="N2436" s="86" t="s">
        <v>17190</v>
      </c>
      <c r="O2436" s="86" t="str">
        <f>IFERROR(__xludf.DUMMYFUNCTION("GOOGLETRANSLATE(N2436,""EN"",""ES"")"),"Altamente negativo por protestas y daños causados ​​por el derrame de petróleo.")</f>
        <v>Altamente negativo por protestas y daños causados ​​por el derrame de petróleo.</v>
      </c>
      <c r="P2436" s="30">
        <v>-0.7</v>
      </c>
      <c r="Q2436" s="18" t="str">
        <f>IFERROR(__xludf.DUMMYFUNCTION("GOOGLETRANSLATE(R2436,""ES"",""EN"")"),"spill, they will march")</f>
        <v>spill, they will march</v>
      </c>
      <c r="R2436" s="34" t="s">
        <v>17191</v>
      </c>
      <c r="S2436" s="52" t="s">
        <v>17192</v>
      </c>
      <c r="T2436" s="22" t="s">
        <v>17193</v>
      </c>
    </row>
    <row r="2437">
      <c r="A2437" s="63" t="s">
        <v>17194</v>
      </c>
      <c r="B2437" s="77" t="s">
        <v>17195</v>
      </c>
      <c r="C2437" s="41">
        <v>45477.0</v>
      </c>
      <c r="D2437" s="40" t="s">
        <v>17196</v>
      </c>
      <c r="E2437" s="41" t="s">
        <v>17197</v>
      </c>
      <c r="F2437" s="43" t="s">
        <v>17198</v>
      </c>
      <c r="G2437" s="43" t="s">
        <v>17199</v>
      </c>
      <c r="H2437" s="51" t="s">
        <v>15539</v>
      </c>
      <c r="I2437" s="25" t="str">
        <f>IFERROR(__xludf.DUMMYFUNCTION("GOOGLETRANSLATE(H2437,""EN"",""ES"")"),"Economía global")</f>
        <v>Economía global</v>
      </c>
      <c r="J2437" s="26" t="s">
        <v>27</v>
      </c>
      <c r="K2437" s="17">
        <v>0.0</v>
      </c>
      <c r="L2437" s="54"/>
      <c r="M2437" s="31"/>
      <c r="N2437" s="83"/>
      <c r="O2437" s="83"/>
      <c r="P2437" s="20">
        <v>0.0</v>
      </c>
      <c r="Q2437" s="31"/>
      <c r="R2437" s="31"/>
      <c r="S2437" s="53"/>
      <c r="T2437" s="32"/>
    </row>
    <row r="2438">
      <c r="A2438" s="33" t="s">
        <v>17200</v>
      </c>
      <c r="B2438" s="76" t="s">
        <v>8287</v>
      </c>
      <c r="C2438" s="41">
        <v>45478.0</v>
      </c>
      <c r="D2438" s="40" t="s">
        <v>17201</v>
      </c>
      <c r="E2438" s="41" t="s">
        <v>17202</v>
      </c>
      <c r="F2438" s="43" t="s">
        <v>17203</v>
      </c>
      <c r="G2438" s="43" t="s">
        <v>17204</v>
      </c>
      <c r="H2438" s="51" t="s">
        <v>782</v>
      </c>
      <c r="I2438" s="15" t="str">
        <f>IFERROR(__xludf.DUMMYFUNCTION("GOOGLETRANSLATE(H2438,""EN"",""ES"")"),"Tecnología")</f>
        <v>Tecnología</v>
      </c>
      <c r="J2438" s="16" t="s">
        <v>27</v>
      </c>
      <c r="K2438" s="17">
        <v>0.0</v>
      </c>
      <c r="L2438" s="45"/>
      <c r="M2438" s="18"/>
      <c r="N2438" s="86"/>
      <c r="O2438" s="86"/>
      <c r="P2438" s="20">
        <v>0.0</v>
      </c>
      <c r="Q2438" s="18"/>
      <c r="R2438" s="18"/>
      <c r="S2438" s="52"/>
      <c r="T2438" s="22"/>
    </row>
    <row r="2439">
      <c r="A2439" s="23" t="s">
        <v>17205</v>
      </c>
      <c r="B2439" s="77" t="s">
        <v>2696</v>
      </c>
      <c r="C2439" s="41">
        <v>45478.0</v>
      </c>
      <c r="D2439" s="40" t="s">
        <v>17206</v>
      </c>
      <c r="E2439" s="41" t="s">
        <v>17207</v>
      </c>
      <c r="F2439" s="43" t="s">
        <v>17208</v>
      </c>
      <c r="G2439" s="43" t="s">
        <v>17209</v>
      </c>
      <c r="H2439" s="51" t="s">
        <v>661</v>
      </c>
      <c r="I2439" s="25" t="str">
        <f>IFERROR(__xludf.DUMMYFUNCTION("GOOGLETRANSLATE(H2439,""EN"",""ES"")"),"Estrategia empresarial")</f>
        <v>Estrategia empresarial</v>
      </c>
      <c r="J2439" s="26" t="s">
        <v>35</v>
      </c>
      <c r="K2439" s="48">
        <v>0.6</v>
      </c>
      <c r="L2439" s="49" t="s">
        <v>16658</v>
      </c>
      <c r="M2439" s="28" t="s">
        <v>16659</v>
      </c>
      <c r="N2439" s="83" t="s">
        <v>17210</v>
      </c>
      <c r="O2439" s="83" t="str">
        <f>IFERROR(__xludf.DUMMYFUNCTION("GOOGLETRANSLATE(N2439,""EN"",""ES"")"),"Sentimiento positivo debido a la contratación de los mejores asesores legales para un acuerdo importante.")</f>
        <v>Sentimiento positivo debido a la contratación de los mejores asesores legales para un acuerdo importante.</v>
      </c>
      <c r="P2439" s="30">
        <v>0.4</v>
      </c>
      <c r="Q2439" s="31" t="str">
        <f>IFERROR(__xludf.DUMMYFUNCTION("GOOGLETRANSLATE(R2439,""ES"",""EN"")"),"Saudi Aramco")</f>
        <v>Saudi Aramco</v>
      </c>
      <c r="R2439" s="28" t="s">
        <v>17211</v>
      </c>
      <c r="S2439" s="53" t="s">
        <v>17212</v>
      </c>
      <c r="T2439" s="32" t="s">
        <v>17213</v>
      </c>
    </row>
    <row r="2440">
      <c r="A2440" s="33" t="s">
        <v>17214</v>
      </c>
      <c r="B2440" s="76" t="s">
        <v>499</v>
      </c>
      <c r="C2440" s="41">
        <v>45478.0</v>
      </c>
      <c r="D2440" s="40" t="s">
        <v>17215</v>
      </c>
      <c r="E2440" s="41" t="s">
        <v>17216</v>
      </c>
      <c r="F2440" s="43" t="s">
        <v>17217</v>
      </c>
      <c r="G2440" s="43" t="s">
        <v>17218</v>
      </c>
      <c r="H2440" s="51" t="s">
        <v>661</v>
      </c>
      <c r="I2440" s="15" t="str">
        <f>IFERROR(__xludf.DUMMYFUNCTION("GOOGLETRANSLATE(H2440,""EN"",""ES"")"),"Estrategia empresarial")</f>
        <v>Estrategia empresarial</v>
      </c>
      <c r="J2440" s="16" t="s">
        <v>35</v>
      </c>
      <c r="K2440" s="48">
        <v>0.5</v>
      </c>
      <c r="L2440" s="51" t="s">
        <v>17070</v>
      </c>
      <c r="M2440" s="34" t="s">
        <v>17071</v>
      </c>
      <c r="N2440" s="86" t="s">
        <v>17219</v>
      </c>
      <c r="O2440" s="86" t="str">
        <f>IFERROR(__xludf.DUMMYFUNCTION("GOOGLETRANSLATE(N2440,""EN"",""ES"")"),"Positivo debido a otra venta exitosa de la empresa.")</f>
        <v>Positivo debido a otra venta exitosa de la empresa.</v>
      </c>
      <c r="P2440" s="30">
        <v>0.3</v>
      </c>
      <c r="Q2440" s="18" t="str">
        <f>IFERROR(__xludf.DUMMYFUNCTION("GOOGLETRANSLATE(R2440,""ES"",""EN"")"),"sells, photovoltaic")</f>
        <v>sells, photovoltaic</v>
      </c>
      <c r="R2440" s="34" t="s">
        <v>17110</v>
      </c>
      <c r="S2440" s="52" t="s">
        <v>16979</v>
      </c>
      <c r="T2440" s="22" t="s">
        <v>16980</v>
      </c>
    </row>
    <row r="2441">
      <c r="A2441" s="23" t="s">
        <v>17220</v>
      </c>
      <c r="B2441" s="77" t="s">
        <v>558</v>
      </c>
      <c r="C2441" s="41">
        <v>45478.0</v>
      </c>
      <c r="D2441" s="40" t="s">
        <v>17221</v>
      </c>
      <c r="E2441" s="41" t="s">
        <v>17222</v>
      </c>
      <c r="F2441" s="43" t="s">
        <v>17223</v>
      </c>
      <c r="G2441" s="43" t="s">
        <v>17224</v>
      </c>
      <c r="H2441" s="51" t="s">
        <v>661</v>
      </c>
      <c r="I2441" s="25" t="str">
        <f>IFERROR(__xludf.DUMMYFUNCTION("GOOGLETRANSLATE(H2441,""EN"",""ES"")"),"Estrategia empresarial")</f>
        <v>Estrategia empresarial</v>
      </c>
      <c r="J2441" s="26" t="s">
        <v>35</v>
      </c>
      <c r="K2441" s="48">
        <v>0.5</v>
      </c>
      <c r="L2441" s="49" t="s">
        <v>17070</v>
      </c>
      <c r="M2441" s="28" t="s">
        <v>17071</v>
      </c>
      <c r="N2441" s="83" t="s">
        <v>17225</v>
      </c>
      <c r="O2441" s="83" t="str">
        <f>IFERROR(__xludf.DUMMYFUNCTION("GOOGLETRANSLATE(N2441,""EN"",""ES"")"),"Positivo por el mismo motivo que el titular similar anterior.")</f>
        <v>Positivo por el mismo motivo que el titular similar anterior.</v>
      </c>
      <c r="P2441" s="30">
        <v>0.3</v>
      </c>
      <c r="Q2441" s="31" t="str">
        <f>IFERROR(__xludf.DUMMYFUNCTION("GOOGLETRANSLATE(R2441,""ES"",""EN"")"),"sells, 140 million")</f>
        <v>sells, 140 million</v>
      </c>
      <c r="R2441" s="28" t="s">
        <v>17073</v>
      </c>
      <c r="S2441" s="53" t="s">
        <v>16979</v>
      </c>
      <c r="T2441" s="32" t="s">
        <v>16980</v>
      </c>
    </row>
    <row r="2442">
      <c r="A2442" s="33" t="s">
        <v>17226</v>
      </c>
      <c r="B2442" s="76" t="s">
        <v>1854</v>
      </c>
      <c r="C2442" s="41">
        <v>45478.0</v>
      </c>
      <c r="D2442" s="40" t="s">
        <v>17227</v>
      </c>
      <c r="E2442" s="41" t="s">
        <v>17228</v>
      </c>
      <c r="F2442" s="43" t="s">
        <v>17229</v>
      </c>
      <c r="G2442" s="43" t="s">
        <v>17230</v>
      </c>
      <c r="H2442" s="51" t="s">
        <v>661</v>
      </c>
      <c r="I2442" s="15" t="str">
        <f>IFERROR(__xludf.DUMMYFUNCTION("GOOGLETRANSLATE(H2442,""EN"",""ES"")"),"Estrategia empresarial")</f>
        <v>Estrategia empresarial</v>
      </c>
      <c r="J2442" s="16" t="s">
        <v>27</v>
      </c>
      <c r="K2442" s="17">
        <v>0.0</v>
      </c>
      <c r="L2442" s="45"/>
      <c r="M2442" s="18"/>
      <c r="N2442" s="86"/>
      <c r="O2442" s="86"/>
      <c r="P2442" s="20">
        <v>0.0</v>
      </c>
      <c r="Q2442" s="18"/>
      <c r="R2442" s="18"/>
      <c r="S2442" s="52"/>
      <c r="T2442" s="22"/>
    </row>
    <row r="2443">
      <c r="A2443" s="23" t="s">
        <v>17231</v>
      </c>
      <c r="B2443" s="77" t="s">
        <v>21</v>
      </c>
      <c r="C2443" s="41">
        <v>45478.0</v>
      </c>
      <c r="D2443" s="40" t="s">
        <v>17232</v>
      </c>
      <c r="E2443" s="41" t="s">
        <v>17233</v>
      </c>
      <c r="F2443" s="43" t="s">
        <v>17234</v>
      </c>
      <c r="G2443" s="43" t="s">
        <v>17235</v>
      </c>
      <c r="H2443" s="51" t="s">
        <v>969</v>
      </c>
      <c r="I2443" s="25" t="str">
        <f>IFERROR(__xludf.DUMMYFUNCTION("GOOGLETRANSLATE(H2443,""EN"",""ES"")"),"Turismo")</f>
        <v>Turismo</v>
      </c>
      <c r="J2443" s="26" t="s">
        <v>27</v>
      </c>
      <c r="K2443" s="17">
        <v>0.0</v>
      </c>
      <c r="L2443" s="54"/>
      <c r="M2443" s="31"/>
      <c r="N2443" s="83"/>
      <c r="O2443" s="83"/>
      <c r="P2443" s="20">
        <v>0.0</v>
      </c>
      <c r="Q2443" s="31"/>
      <c r="R2443" s="31"/>
      <c r="S2443" s="53"/>
      <c r="T2443" s="32"/>
    </row>
    <row r="2444">
      <c r="A2444" s="33" t="s">
        <v>17236</v>
      </c>
      <c r="B2444" s="76" t="s">
        <v>6555</v>
      </c>
      <c r="C2444" s="41">
        <v>45478.0</v>
      </c>
      <c r="D2444" s="40" t="s">
        <v>17237</v>
      </c>
      <c r="E2444" s="41" t="s">
        <v>17238</v>
      </c>
      <c r="F2444" s="43" t="s">
        <v>17239</v>
      </c>
      <c r="G2444" s="43" t="s">
        <v>17240</v>
      </c>
      <c r="H2444" s="51" t="s">
        <v>148</v>
      </c>
      <c r="I2444" s="15" t="str">
        <f>IFERROR(__xludf.DUMMYFUNCTION("GOOGLETRANSLATE(H2444,""EN"",""ES"")"),"Gastronomía")</f>
        <v>Gastronomía</v>
      </c>
      <c r="J2444" s="16" t="s">
        <v>27</v>
      </c>
      <c r="K2444" s="17">
        <v>0.0</v>
      </c>
      <c r="L2444" s="45"/>
      <c r="M2444" s="18"/>
      <c r="N2444" s="86"/>
      <c r="O2444" s="86"/>
      <c r="P2444" s="20">
        <v>0.0</v>
      </c>
      <c r="Q2444" s="18"/>
      <c r="R2444" s="18"/>
      <c r="S2444" s="52"/>
      <c r="T2444" s="22"/>
    </row>
    <row r="2445">
      <c r="A2445" s="23" t="s">
        <v>17241</v>
      </c>
      <c r="B2445" s="77" t="s">
        <v>163</v>
      </c>
      <c r="C2445" s="41">
        <v>45478.0</v>
      </c>
      <c r="D2445" s="40" t="s">
        <v>17242</v>
      </c>
      <c r="E2445" s="41" t="s">
        <v>17243</v>
      </c>
      <c r="F2445" s="43" t="s">
        <v>17244</v>
      </c>
      <c r="G2445" s="43" t="s">
        <v>17245</v>
      </c>
      <c r="H2445" s="51" t="s">
        <v>55</v>
      </c>
      <c r="I2445" s="25" t="str">
        <f>IFERROR(__xludf.DUMMYFUNCTION("GOOGLETRANSLATE(H2445,""EN"",""ES"")"),"deportes de motor")</f>
        <v>deportes de motor</v>
      </c>
      <c r="J2445" s="26" t="s">
        <v>27</v>
      </c>
      <c r="K2445" s="17">
        <v>0.0</v>
      </c>
      <c r="L2445" s="54"/>
      <c r="M2445" s="31"/>
      <c r="N2445" s="83"/>
      <c r="O2445" s="83"/>
      <c r="P2445" s="20">
        <v>0.0</v>
      </c>
      <c r="Q2445" s="31"/>
      <c r="R2445" s="31"/>
      <c r="S2445" s="53"/>
      <c r="T2445" s="32"/>
    </row>
    <row r="2446">
      <c r="A2446" s="33" t="s">
        <v>17246</v>
      </c>
      <c r="B2446" s="76" t="s">
        <v>4038</v>
      </c>
      <c r="C2446" s="41">
        <v>45478.0</v>
      </c>
      <c r="D2446" s="40" t="s">
        <v>17247</v>
      </c>
      <c r="E2446" s="41" t="s">
        <v>17248</v>
      </c>
      <c r="F2446" s="43" t="s">
        <v>17249</v>
      </c>
      <c r="G2446" s="43" t="s">
        <v>17250</v>
      </c>
      <c r="H2446" s="51" t="s">
        <v>148</v>
      </c>
      <c r="I2446" s="15" t="str">
        <f>IFERROR(__xludf.DUMMYFUNCTION("GOOGLETRANSLATE(H2446,""EN"",""ES"")"),"Gastronomía")</f>
        <v>Gastronomía</v>
      </c>
      <c r="J2446" s="16" t="s">
        <v>27</v>
      </c>
      <c r="K2446" s="17">
        <v>0.0</v>
      </c>
      <c r="L2446" s="45"/>
      <c r="M2446" s="18"/>
      <c r="N2446" s="86"/>
      <c r="O2446" s="86"/>
      <c r="P2446" s="20">
        <v>0.0</v>
      </c>
      <c r="Q2446" s="18"/>
      <c r="R2446" s="18"/>
      <c r="S2446" s="52"/>
      <c r="T2446" s="22"/>
    </row>
    <row r="2447">
      <c r="A2447" s="23" t="s">
        <v>17251</v>
      </c>
      <c r="B2447" s="77" t="s">
        <v>254</v>
      </c>
      <c r="C2447" s="41">
        <v>45478.0</v>
      </c>
      <c r="D2447" s="40" t="s">
        <v>17252</v>
      </c>
      <c r="E2447" s="41" t="s">
        <v>17253</v>
      </c>
      <c r="F2447" s="43" t="s">
        <v>17254</v>
      </c>
      <c r="G2447" s="43" t="s">
        <v>17255</v>
      </c>
      <c r="H2447" s="51" t="s">
        <v>408</v>
      </c>
      <c r="I2447" s="25" t="str">
        <f>IFERROR(__xludf.DUMMYFUNCTION("GOOGLETRANSLATE(H2447,""EN"",""ES"")"),"Legal")</f>
        <v>Legal</v>
      </c>
      <c r="J2447" s="26" t="s">
        <v>35</v>
      </c>
      <c r="K2447" s="48">
        <v>-0.5</v>
      </c>
      <c r="L2447" s="49" t="s">
        <v>17256</v>
      </c>
      <c r="M2447" s="28" t="s">
        <v>17257</v>
      </c>
      <c r="N2447" s="83" t="s">
        <v>17258</v>
      </c>
      <c r="O2447" s="83" t="str">
        <f>IFERROR(__xludf.DUMMYFUNCTION("GOOGLETRANSLATE(N2447,""EN"",""ES"")"),"Ligeramente negativo por la necesidad de Repsol de defenderse del vertido de petróleo.")</f>
        <v>Ligeramente negativo por la necesidad de Repsol de defenderse del vertido de petróleo.</v>
      </c>
      <c r="P2447" s="30">
        <v>0.3</v>
      </c>
      <c r="Q2447" s="31" t="str">
        <f>IFERROR(__xludf.DUMMYFUNCTION("GOOGLETRANSLATE(R2447,""ES"",""EN"")"),"paid, 98%")</f>
        <v>paid, 98%</v>
      </c>
      <c r="R2447" s="28" t="s">
        <v>17259</v>
      </c>
      <c r="S2447" s="53" t="s">
        <v>17260</v>
      </c>
      <c r="T2447" s="32" t="s">
        <v>17261</v>
      </c>
    </row>
    <row r="2448">
      <c r="A2448" s="33" t="s">
        <v>17262</v>
      </c>
      <c r="B2448" s="76" t="s">
        <v>163</v>
      </c>
      <c r="C2448" s="41">
        <v>45478.0</v>
      </c>
      <c r="D2448" s="40" t="s">
        <v>17263</v>
      </c>
      <c r="E2448" s="41" t="s">
        <v>17264</v>
      </c>
      <c r="F2448" s="43" t="s">
        <v>17265</v>
      </c>
      <c r="G2448" s="43" t="s">
        <v>17266</v>
      </c>
      <c r="H2448" s="51" t="s">
        <v>408</v>
      </c>
      <c r="I2448" s="15" t="str">
        <f>IFERROR(__xludf.DUMMYFUNCTION("GOOGLETRANSLATE(H2448,""EN"",""ES"")"),"Legal")</f>
        <v>Legal</v>
      </c>
      <c r="J2448" s="16" t="s">
        <v>35</v>
      </c>
      <c r="K2448" s="48">
        <v>-0.5</v>
      </c>
      <c r="L2448" s="51" t="s">
        <v>17256</v>
      </c>
      <c r="M2448" s="34" t="s">
        <v>17257</v>
      </c>
      <c r="N2448" s="86" t="s">
        <v>17267</v>
      </c>
      <c r="O2448" s="86" t="str">
        <f>IFERROR(__xludf.DUMMYFUNCTION("GOOGLETRANSLATE(N2448,""EN"",""ES"")"),"Ligeramente negativo por el mismo motivo que el titular similar anterior.")</f>
        <v>Ligeramente negativo por el mismo motivo que el titular similar anterior.</v>
      </c>
      <c r="P2448" s="30">
        <v>0.3</v>
      </c>
      <c r="Q2448" s="18" t="str">
        <f>IFERROR(__xludf.DUMMYFUNCTION("GOOGLETRANSLATE(R2448,""ES"",""EN"")"),"compensated, 98%")</f>
        <v>compensated, 98%</v>
      </c>
      <c r="R2448" s="34" t="s">
        <v>17268</v>
      </c>
      <c r="S2448" s="52" t="s">
        <v>17260</v>
      </c>
      <c r="T2448" s="22" t="s">
        <v>17261</v>
      </c>
    </row>
    <row r="2449">
      <c r="A2449" s="23" t="s">
        <v>17269</v>
      </c>
      <c r="B2449" s="77" t="s">
        <v>254</v>
      </c>
      <c r="C2449" s="41">
        <v>45478.0</v>
      </c>
      <c r="D2449" s="40" t="s">
        <v>17270</v>
      </c>
      <c r="E2449" s="41" t="s">
        <v>17271</v>
      </c>
      <c r="F2449" s="43" t="s">
        <v>17272</v>
      </c>
      <c r="G2449" s="43" t="s">
        <v>17273</v>
      </c>
      <c r="H2449" s="51" t="s">
        <v>408</v>
      </c>
      <c r="I2449" s="25" t="str">
        <f>IFERROR(__xludf.DUMMYFUNCTION("GOOGLETRANSLATE(H2449,""EN"",""ES"")"),"Legal")</f>
        <v>Legal</v>
      </c>
      <c r="J2449" s="26" t="s">
        <v>35</v>
      </c>
      <c r="K2449" s="48">
        <v>-0.8</v>
      </c>
      <c r="L2449" s="49" t="s">
        <v>9922</v>
      </c>
      <c r="M2449" s="28" t="s">
        <v>9923</v>
      </c>
      <c r="N2449" s="83" t="s">
        <v>17274</v>
      </c>
      <c r="O2449" s="83" t="str">
        <f>IFERROR(__xludf.DUMMYFUNCTION("GOOGLETRANSLATE(N2449,""EN"",""ES"")"),"Altamente negativo ya que detalla protestas contra Repsol por el vertido.")</f>
        <v>Altamente negativo ya que detalla protestas contra Repsol por el vertido.</v>
      </c>
      <c r="P2449" s="30">
        <v>-0.6</v>
      </c>
      <c r="Q2449" s="31" t="str">
        <f>IFERROR(__xludf.DUMMYFUNCTION("GOOGLETRANSLATE(R2449,""ES"",""EN"")"),"spill, mobilized")</f>
        <v>spill, mobilized</v>
      </c>
      <c r="R2449" s="28" t="s">
        <v>17275</v>
      </c>
      <c r="S2449" s="53" t="s">
        <v>17276</v>
      </c>
      <c r="T2449" s="32" t="s">
        <v>17277</v>
      </c>
    </row>
    <row r="2450">
      <c r="A2450" s="33" t="s">
        <v>17278</v>
      </c>
      <c r="B2450" s="76" t="s">
        <v>1338</v>
      </c>
      <c r="C2450" s="41">
        <v>45478.0</v>
      </c>
      <c r="D2450" s="40" t="s">
        <v>17279</v>
      </c>
      <c r="E2450" s="41" t="s">
        <v>17280</v>
      </c>
      <c r="F2450" s="43" t="s">
        <v>17281</v>
      </c>
      <c r="G2450" s="43" t="s">
        <v>17282</v>
      </c>
      <c r="H2450" s="51" t="s">
        <v>408</v>
      </c>
      <c r="I2450" s="15" t="str">
        <f>IFERROR(__xludf.DUMMYFUNCTION("GOOGLETRANSLATE(H2450,""EN"",""ES"")"),"Legal")</f>
        <v>Legal</v>
      </c>
      <c r="J2450" s="16" t="s">
        <v>35</v>
      </c>
      <c r="K2450" s="48">
        <v>-0.8</v>
      </c>
      <c r="L2450" s="51" t="s">
        <v>9922</v>
      </c>
      <c r="M2450" s="34" t="s">
        <v>9923</v>
      </c>
      <c r="N2450" s="86" t="s">
        <v>17283</v>
      </c>
      <c r="O2450" s="86" t="str">
        <f>IFERROR(__xludf.DUMMYFUNCTION("GOOGLETRANSLATE(N2450,""EN"",""ES"")"),"Muy negativo por el mismo motivo que el anterior titular relacionado con las protestas.")</f>
        <v>Muy negativo por el mismo motivo que el anterior titular relacionado con las protestas.</v>
      </c>
      <c r="P2450" s="30">
        <v>-0.7</v>
      </c>
      <c r="Q2450" s="18" t="str">
        <f>IFERROR(__xludf.DUMMYFUNCTION("GOOGLETRANSLATE(R2450,""ES"",""EN"")"),"protest, spill")</f>
        <v>protest, spill</v>
      </c>
      <c r="R2450" s="34" t="s">
        <v>17284</v>
      </c>
      <c r="S2450" s="52" t="s">
        <v>17276</v>
      </c>
      <c r="T2450" s="22" t="s">
        <v>17277</v>
      </c>
    </row>
    <row r="2451">
      <c r="A2451" s="23" t="s">
        <v>17285</v>
      </c>
      <c r="B2451" s="77" t="s">
        <v>17286</v>
      </c>
      <c r="C2451" s="41">
        <v>45479.0</v>
      </c>
      <c r="D2451" s="40" t="s">
        <v>17287</v>
      </c>
      <c r="E2451" s="41" t="s">
        <v>17288</v>
      </c>
      <c r="F2451" s="43" t="s">
        <v>17289</v>
      </c>
      <c r="G2451" s="43" t="s">
        <v>17290</v>
      </c>
      <c r="H2451" s="51" t="s">
        <v>661</v>
      </c>
      <c r="I2451" s="25" t="str">
        <f>IFERROR(__xludf.DUMMYFUNCTION("GOOGLETRANSLATE(H2451,""EN"",""ES"")"),"Estrategia empresarial")</f>
        <v>Estrategia empresarial</v>
      </c>
      <c r="J2451" s="26" t="s">
        <v>35</v>
      </c>
      <c r="K2451" s="48">
        <v>0.6</v>
      </c>
      <c r="L2451" s="49" t="s">
        <v>17291</v>
      </c>
      <c r="M2451" s="28" t="s">
        <v>17292</v>
      </c>
      <c r="N2451" s="83" t="s">
        <v>17293</v>
      </c>
      <c r="O2451" s="83" t="str">
        <f>IFERROR(__xludf.DUMMYFUNCTION("GOOGLETRANSLATE(N2451,""EN"",""ES"")"),"Positivo ya que Repsol consigue un nuevo contrato de arrendamiento, ampliando sus operaciones.")</f>
        <v>Positivo ya que Repsol consigue un nuevo contrato de arrendamiento, ampliando sus operaciones.</v>
      </c>
      <c r="P2451" s="30">
        <v>0.2</v>
      </c>
      <c r="Q2451" s="31" t="str">
        <f>IFERROR(__xludf.DUMMYFUNCTION("GOOGLETRANSLATE(R2451,""ES"",""EN"")"),"allocates")</f>
        <v>allocates</v>
      </c>
      <c r="R2451" s="28" t="s">
        <v>17294</v>
      </c>
      <c r="S2451" s="53" t="s">
        <v>16994</v>
      </c>
      <c r="T2451" s="32" t="s">
        <v>16995</v>
      </c>
    </row>
    <row r="2452">
      <c r="A2452" s="33" t="s">
        <v>17295</v>
      </c>
      <c r="B2452" s="76" t="s">
        <v>50</v>
      </c>
      <c r="C2452" s="41">
        <v>45479.0</v>
      </c>
      <c r="D2452" s="40" t="s">
        <v>17296</v>
      </c>
      <c r="E2452" s="41" t="s">
        <v>17297</v>
      </c>
      <c r="F2452" s="43" t="s">
        <v>17298</v>
      </c>
      <c r="G2452" s="43" t="s">
        <v>17299</v>
      </c>
      <c r="H2452" s="51" t="s">
        <v>130</v>
      </c>
      <c r="I2452" s="15" t="str">
        <f>IFERROR(__xludf.DUMMYFUNCTION("GOOGLETRANSLATE(H2452,""EN"",""ES"")"),"Sostenibilidad")</f>
        <v>Sostenibilidad</v>
      </c>
      <c r="J2452" s="16" t="s">
        <v>35</v>
      </c>
      <c r="K2452" s="48">
        <v>0.7</v>
      </c>
      <c r="L2452" s="51" t="s">
        <v>14412</v>
      </c>
      <c r="M2452" s="34" t="s">
        <v>14413</v>
      </c>
      <c r="N2452" s="86" t="s">
        <v>17300</v>
      </c>
      <c r="O2452" s="86" t="str">
        <f>IFERROR(__xludf.DUMMYFUNCTION("GOOGLETRANSLATE(N2452,""EN"",""ES"")"),"Positivo ya que pone de relieve un beneficioso programa de intercambio por parte de Repsol.")</f>
        <v>Positivo ya que pone de relieve un beneficioso programa de intercambio por parte de Repsol.</v>
      </c>
      <c r="P2452" s="30">
        <v>0.5</v>
      </c>
      <c r="Q2452" s="18" t="str">
        <f>IFERROR(__xludf.DUMMYFUNCTION("GOOGLETRANSLATE(R2452,""ES"",""EN"")"),"pay, used oil")</f>
        <v>pay, used oil</v>
      </c>
      <c r="R2452" s="34" t="s">
        <v>17301</v>
      </c>
      <c r="S2452" s="52" t="s">
        <v>17302</v>
      </c>
      <c r="T2452" s="22" t="s">
        <v>17303</v>
      </c>
    </row>
    <row r="2453">
      <c r="A2453" s="23" t="s">
        <v>17304</v>
      </c>
      <c r="B2453" s="77" t="s">
        <v>17305</v>
      </c>
      <c r="C2453" s="41">
        <v>45479.0</v>
      </c>
      <c r="D2453" s="40" t="s">
        <v>17306</v>
      </c>
      <c r="E2453" s="41" t="s">
        <v>17307</v>
      </c>
      <c r="F2453" s="43" t="s">
        <v>17308</v>
      </c>
      <c r="G2453" s="43" t="s">
        <v>17309</v>
      </c>
      <c r="H2453" s="51" t="s">
        <v>155</v>
      </c>
      <c r="I2453" s="25" t="str">
        <f>IFERROR(__xludf.DUMMYFUNCTION("GOOGLETRANSLATE(H2453,""EN"",""ES"")"),"Marketing")</f>
        <v>Marketing</v>
      </c>
      <c r="J2453" s="26" t="s">
        <v>27</v>
      </c>
      <c r="K2453" s="17">
        <v>0.0</v>
      </c>
      <c r="L2453" s="54"/>
      <c r="M2453" s="31"/>
      <c r="N2453" s="83"/>
      <c r="O2453" s="83"/>
      <c r="P2453" s="20">
        <v>0.0</v>
      </c>
      <c r="Q2453" s="31"/>
      <c r="R2453" s="31"/>
      <c r="S2453" s="53"/>
      <c r="T2453" s="32"/>
    </row>
    <row r="2454">
      <c r="A2454" s="33" t="s">
        <v>17310</v>
      </c>
      <c r="B2454" s="76" t="s">
        <v>431</v>
      </c>
      <c r="C2454" s="41">
        <v>45479.0</v>
      </c>
      <c r="D2454" s="40" t="s">
        <v>17311</v>
      </c>
      <c r="E2454" s="41" t="s">
        <v>17312</v>
      </c>
      <c r="F2454" s="43" t="s">
        <v>17313</v>
      </c>
      <c r="G2454" s="43" t="s">
        <v>17314</v>
      </c>
      <c r="H2454" s="51" t="s">
        <v>148</v>
      </c>
      <c r="I2454" s="15" t="str">
        <f>IFERROR(__xludf.DUMMYFUNCTION("GOOGLETRANSLATE(H2454,""EN"",""ES"")"),"Gastronomía")</f>
        <v>Gastronomía</v>
      </c>
      <c r="J2454" s="16" t="s">
        <v>27</v>
      </c>
      <c r="K2454" s="17">
        <v>0.0</v>
      </c>
      <c r="L2454" s="45"/>
      <c r="M2454" s="18"/>
      <c r="N2454" s="86"/>
      <c r="O2454" s="86"/>
      <c r="P2454" s="20">
        <v>0.0</v>
      </c>
      <c r="Q2454" s="18"/>
      <c r="R2454" s="18"/>
      <c r="S2454" s="52"/>
      <c r="T2454" s="22"/>
    </row>
    <row r="2455">
      <c r="A2455" s="23" t="s">
        <v>17315</v>
      </c>
      <c r="B2455" s="77" t="s">
        <v>17316</v>
      </c>
      <c r="C2455" s="41">
        <v>45479.0</v>
      </c>
      <c r="D2455" s="40" t="s">
        <v>17317</v>
      </c>
      <c r="E2455" s="41" t="s">
        <v>17318</v>
      </c>
      <c r="F2455" s="43" t="s">
        <v>17319</v>
      </c>
      <c r="G2455" s="43" t="s">
        <v>17320</v>
      </c>
      <c r="H2455" s="51" t="s">
        <v>3985</v>
      </c>
      <c r="I2455" s="25" t="str">
        <f>IFERROR(__xludf.DUMMYFUNCTION("GOOGLETRANSLATE(H2455,""EN"",""ES"")"),"Deportes")</f>
        <v>Deportes</v>
      </c>
      <c r="J2455" s="26" t="s">
        <v>27</v>
      </c>
      <c r="K2455" s="17">
        <v>0.0</v>
      </c>
      <c r="L2455" s="54"/>
      <c r="M2455" s="31"/>
      <c r="N2455" s="83"/>
      <c r="O2455" s="83"/>
      <c r="P2455" s="20">
        <v>0.0</v>
      </c>
      <c r="Q2455" s="31"/>
      <c r="R2455" s="31"/>
      <c r="S2455" s="53"/>
      <c r="T2455" s="32"/>
    </row>
    <row r="2456">
      <c r="A2456" s="33" t="s">
        <v>17321</v>
      </c>
      <c r="B2456" s="76" t="s">
        <v>1005</v>
      </c>
      <c r="C2456" s="41">
        <v>45479.0</v>
      </c>
      <c r="D2456" s="40" t="s">
        <v>17322</v>
      </c>
      <c r="E2456" s="41" t="s">
        <v>17323</v>
      </c>
      <c r="F2456" s="43" t="s">
        <v>17324</v>
      </c>
      <c r="G2456" s="43" t="s">
        <v>17325</v>
      </c>
      <c r="H2456" s="51" t="s">
        <v>3985</v>
      </c>
      <c r="I2456" s="15" t="str">
        <f>IFERROR(__xludf.DUMMYFUNCTION("GOOGLETRANSLATE(H2456,""EN"",""ES"")"),"Deportes")</f>
        <v>Deportes</v>
      </c>
      <c r="J2456" s="16" t="s">
        <v>27</v>
      </c>
      <c r="K2456" s="17">
        <v>0.0</v>
      </c>
      <c r="L2456" s="45"/>
      <c r="M2456" s="18"/>
      <c r="N2456" s="86"/>
      <c r="O2456" s="86"/>
      <c r="P2456" s="20">
        <v>0.0</v>
      </c>
      <c r="Q2456" s="18"/>
      <c r="R2456" s="18"/>
      <c r="S2456" s="52"/>
      <c r="T2456" s="22"/>
    </row>
    <row r="2457">
      <c r="A2457" s="23" t="s">
        <v>17326</v>
      </c>
      <c r="B2457" s="77" t="s">
        <v>1577</v>
      </c>
      <c r="C2457" s="41">
        <v>45479.0</v>
      </c>
      <c r="D2457" s="40" t="s">
        <v>17327</v>
      </c>
      <c r="E2457" s="41" t="s">
        <v>17328</v>
      </c>
      <c r="F2457" s="43" t="s">
        <v>17329</v>
      </c>
      <c r="G2457" s="43" t="s">
        <v>17330</v>
      </c>
      <c r="H2457" s="51" t="s">
        <v>3985</v>
      </c>
      <c r="I2457" s="25" t="str">
        <f>IFERROR(__xludf.DUMMYFUNCTION("GOOGLETRANSLATE(H2457,""EN"",""ES"")"),"Deportes")</f>
        <v>Deportes</v>
      </c>
      <c r="J2457" s="26" t="s">
        <v>27</v>
      </c>
      <c r="K2457" s="17">
        <v>0.0</v>
      </c>
      <c r="L2457" s="54"/>
      <c r="M2457" s="31"/>
      <c r="N2457" s="83"/>
      <c r="O2457" s="83"/>
      <c r="P2457" s="20">
        <v>0.0</v>
      </c>
      <c r="Q2457" s="31"/>
      <c r="R2457" s="31"/>
      <c r="S2457" s="53"/>
      <c r="T2457" s="32"/>
    </row>
    <row r="2458">
      <c r="A2458" s="33" t="s">
        <v>17331</v>
      </c>
      <c r="B2458" s="76" t="s">
        <v>8390</v>
      </c>
      <c r="C2458" s="41">
        <v>45479.0</v>
      </c>
      <c r="D2458" s="40" t="s">
        <v>17332</v>
      </c>
      <c r="E2458" s="41" t="s">
        <v>17333</v>
      </c>
      <c r="F2458" s="43" t="s">
        <v>17334</v>
      </c>
      <c r="G2458" s="43" t="s">
        <v>17335</v>
      </c>
      <c r="H2458" s="51" t="s">
        <v>3985</v>
      </c>
      <c r="I2458" s="15" t="str">
        <f>IFERROR(__xludf.DUMMYFUNCTION("GOOGLETRANSLATE(H2458,""EN"",""ES"")"),"Deportes")</f>
        <v>Deportes</v>
      </c>
      <c r="J2458" s="16" t="s">
        <v>27</v>
      </c>
      <c r="K2458" s="17">
        <v>0.0</v>
      </c>
      <c r="L2458" s="45"/>
      <c r="M2458" s="18"/>
      <c r="N2458" s="86"/>
      <c r="O2458" s="86"/>
      <c r="P2458" s="20">
        <v>0.0</v>
      </c>
      <c r="Q2458" s="18"/>
      <c r="R2458" s="18"/>
      <c r="S2458" s="52"/>
      <c r="T2458" s="22"/>
    </row>
    <row r="2459">
      <c r="A2459" s="23" t="s">
        <v>17336</v>
      </c>
      <c r="B2459" s="77" t="s">
        <v>977</v>
      </c>
      <c r="C2459" s="41">
        <v>45479.0</v>
      </c>
      <c r="D2459" s="40" t="s">
        <v>17337</v>
      </c>
      <c r="E2459" s="41" t="s">
        <v>17338</v>
      </c>
      <c r="F2459" s="43" t="s">
        <v>17339</v>
      </c>
      <c r="G2459" s="43" t="s">
        <v>17340</v>
      </c>
      <c r="H2459" s="51" t="s">
        <v>3985</v>
      </c>
      <c r="I2459" s="25" t="str">
        <f>IFERROR(__xludf.DUMMYFUNCTION("GOOGLETRANSLATE(H2459,""EN"",""ES"")"),"Deportes")</f>
        <v>Deportes</v>
      </c>
      <c r="J2459" s="26" t="s">
        <v>27</v>
      </c>
      <c r="K2459" s="17">
        <v>0.0</v>
      </c>
      <c r="L2459" s="54"/>
      <c r="M2459" s="31"/>
      <c r="N2459" s="83"/>
      <c r="O2459" s="83"/>
      <c r="P2459" s="20">
        <v>0.0</v>
      </c>
      <c r="Q2459" s="31"/>
      <c r="R2459" s="31"/>
      <c r="S2459" s="53"/>
      <c r="T2459" s="32"/>
    </row>
    <row r="2460">
      <c r="A2460" s="33" t="s">
        <v>17341</v>
      </c>
      <c r="B2460" s="76" t="s">
        <v>17342</v>
      </c>
      <c r="C2460" s="41">
        <v>45479.0</v>
      </c>
      <c r="D2460" s="40" t="s">
        <v>17343</v>
      </c>
      <c r="E2460" s="41" t="s">
        <v>17344</v>
      </c>
      <c r="F2460" s="43" t="s">
        <v>17345</v>
      </c>
      <c r="G2460" s="43" t="s">
        <v>17346</v>
      </c>
      <c r="H2460" s="51" t="s">
        <v>3985</v>
      </c>
      <c r="I2460" s="15" t="str">
        <f>IFERROR(__xludf.DUMMYFUNCTION("GOOGLETRANSLATE(H2460,""EN"",""ES"")"),"Deportes")</f>
        <v>Deportes</v>
      </c>
      <c r="J2460" s="16" t="s">
        <v>27</v>
      </c>
      <c r="K2460" s="17">
        <v>0.0</v>
      </c>
      <c r="L2460" s="45"/>
      <c r="M2460" s="18"/>
      <c r="N2460" s="86"/>
      <c r="O2460" s="86"/>
      <c r="P2460" s="20">
        <v>0.0</v>
      </c>
      <c r="Q2460" s="18"/>
      <c r="R2460" s="18"/>
      <c r="S2460" s="52"/>
      <c r="T2460" s="22"/>
    </row>
    <row r="2461">
      <c r="A2461" s="37" t="s">
        <v>17347</v>
      </c>
      <c r="B2461" s="77" t="s">
        <v>17348</v>
      </c>
      <c r="C2461" s="41">
        <v>45479.0</v>
      </c>
      <c r="D2461" s="40" t="s">
        <v>17349</v>
      </c>
      <c r="E2461" s="41" t="s">
        <v>17350</v>
      </c>
      <c r="F2461" s="43" t="s">
        <v>17351</v>
      </c>
      <c r="G2461" s="43" t="s">
        <v>17352</v>
      </c>
      <c r="H2461" s="51" t="s">
        <v>3985</v>
      </c>
      <c r="I2461" s="25" t="str">
        <f>IFERROR(__xludf.DUMMYFUNCTION("GOOGLETRANSLATE(H2461,""EN"",""ES"")"),"Deportes")</f>
        <v>Deportes</v>
      </c>
      <c r="J2461" s="26" t="s">
        <v>27</v>
      </c>
      <c r="K2461" s="17">
        <v>0.0</v>
      </c>
      <c r="L2461" s="54"/>
      <c r="M2461" s="31"/>
      <c r="N2461" s="83"/>
      <c r="O2461" s="83"/>
      <c r="P2461" s="20">
        <v>0.0</v>
      </c>
      <c r="Q2461" s="31"/>
      <c r="R2461" s="31"/>
      <c r="S2461" s="53"/>
      <c r="T2461" s="32"/>
    </row>
    <row r="2462">
      <c r="A2462" s="33" t="s">
        <v>17353</v>
      </c>
      <c r="B2462" s="76" t="s">
        <v>163</v>
      </c>
      <c r="C2462" s="41">
        <v>45480.0</v>
      </c>
      <c r="D2462" s="40" t="s">
        <v>17354</v>
      </c>
      <c r="E2462" s="41" t="s">
        <v>17355</v>
      </c>
      <c r="F2462" s="43" t="s">
        <v>17356</v>
      </c>
      <c r="G2462" s="43" t="s">
        <v>17357</v>
      </c>
      <c r="H2462" s="51" t="s">
        <v>3871</v>
      </c>
      <c r="I2462" s="15" t="str">
        <f>IFERROR(__xludf.DUMMYFUNCTION("GOOGLETRANSLATE(H2462,""EN"",""ES"")"),"Educación")</f>
        <v>Educación</v>
      </c>
      <c r="J2462" s="16" t="s">
        <v>27</v>
      </c>
      <c r="K2462" s="17">
        <v>0.0</v>
      </c>
      <c r="L2462" s="45"/>
      <c r="M2462" s="18"/>
      <c r="N2462" s="86"/>
      <c r="O2462" s="86"/>
      <c r="P2462" s="20">
        <v>0.0</v>
      </c>
      <c r="Q2462" s="18"/>
      <c r="R2462" s="18"/>
      <c r="S2462" s="52"/>
      <c r="T2462" s="22"/>
    </row>
    <row r="2463">
      <c r="A2463" s="23" t="s">
        <v>17358</v>
      </c>
      <c r="B2463" s="77" t="s">
        <v>91</v>
      </c>
      <c r="C2463" s="41">
        <v>45480.0</v>
      </c>
      <c r="D2463" s="40" t="s">
        <v>17359</v>
      </c>
      <c r="E2463" s="41" t="s">
        <v>17360</v>
      </c>
      <c r="F2463" s="43" t="s">
        <v>17361</v>
      </c>
      <c r="G2463" s="43" t="s">
        <v>17362</v>
      </c>
      <c r="H2463" s="51" t="s">
        <v>130</v>
      </c>
      <c r="I2463" s="25" t="str">
        <f>IFERROR(__xludf.DUMMYFUNCTION("GOOGLETRANSLATE(H2463,""EN"",""ES"")"),"Sostenibilidad")</f>
        <v>Sostenibilidad</v>
      </c>
      <c r="J2463" s="26" t="s">
        <v>35</v>
      </c>
      <c r="K2463" s="48">
        <v>0.7</v>
      </c>
      <c r="L2463" s="49" t="s">
        <v>16837</v>
      </c>
      <c r="M2463" s="28" t="s">
        <v>16838</v>
      </c>
      <c r="N2463" s="83" t="s">
        <v>17363</v>
      </c>
      <c r="O2463" s="83" t="str">
        <f>IFERROR(__xludf.DUMMYFUNCTION("GOOGLETRANSLATE(N2463,""EN"",""ES"")"),"Positivo por la expansión de Repsol en energías renovables, que indica avances.")</f>
        <v>Positivo por la expansión de Repsol en energías renovables, que indica avances.</v>
      </c>
      <c r="P2463" s="30">
        <v>0.7</v>
      </c>
      <c r="Q2463" s="31" t="str">
        <f>IFERROR(__xludf.DUMMYFUNCTION("GOOGLETRANSLATE(R2463,""ES"",""EN"")"),"renewable diesel")</f>
        <v>renewable diesel</v>
      </c>
      <c r="R2463" s="28" t="s">
        <v>13210</v>
      </c>
      <c r="S2463" s="53" t="s">
        <v>17364</v>
      </c>
      <c r="T2463" s="32" t="s">
        <v>17365</v>
      </c>
    </row>
    <row r="2464">
      <c r="A2464" s="33" t="s">
        <v>17366</v>
      </c>
      <c r="B2464" s="76" t="s">
        <v>16303</v>
      </c>
      <c r="C2464" s="41">
        <v>45480.0</v>
      </c>
      <c r="D2464" s="40" t="s">
        <v>17367</v>
      </c>
      <c r="E2464" s="41" t="s">
        <v>17368</v>
      </c>
      <c r="F2464" s="43" t="s">
        <v>17369</v>
      </c>
      <c r="G2464" s="43" t="s">
        <v>17370</v>
      </c>
      <c r="H2464" s="51" t="s">
        <v>148</v>
      </c>
      <c r="I2464" s="15" t="str">
        <f>IFERROR(__xludf.DUMMYFUNCTION("GOOGLETRANSLATE(H2464,""EN"",""ES"")"),"Gastronomía")</f>
        <v>Gastronomía</v>
      </c>
      <c r="J2464" s="16" t="s">
        <v>27</v>
      </c>
      <c r="K2464" s="17">
        <v>0.0</v>
      </c>
      <c r="L2464" s="45"/>
      <c r="M2464" s="18"/>
      <c r="N2464" s="86"/>
      <c r="O2464" s="86"/>
      <c r="P2464" s="20">
        <v>0.0</v>
      </c>
      <c r="Q2464" s="18"/>
      <c r="R2464" s="18"/>
      <c r="S2464" s="52"/>
      <c r="T2464" s="22"/>
    </row>
    <row r="2465">
      <c r="A2465" s="23" t="s">
        <v>17371</v>
      </c>
      <c r="B2465" s="77" t="s">
        <v>7295</v>
      </c>
      <c r="C2465" s="41">
        <v>45480.0</v>
      </c>
      <c r="D2465" s="40" t="s">
        <v>17372</v>
      </c>
      <c r="E2465" s="41" t="s">
        <v>17373</v>
      </c>
      <c r="F2465" s="43" t="s">
        <v>17374</v>
      </c>
      <c r="G2465" s="43" t="s">
        <v>17375</v>
      </c>
      <c r="H2465" s="51" t="s">
        <v>148</v>
      </c>
      <c r="I2465" s="25" t="str">
        <f>IFERROR(__xludf.DUMMYFUNCTION("GOOGLETRANSLATE(H2465,""EN"",""ES"")"),"Gastronomía")</f>
        <v>Gastronomía</v>
      </c>
      <c r="J2465" s="26" t="s">
        <v>27</v>
      </c>
      <c r="K2465" s="17">
        <v>0.0</v>
      </c>
      <c r="L2465" s="54"/>
      <c r="M2465" s="31"/>
      <c r="N2465" s="83"/>
      <c r="O2465" s="83"/>
      <c r="P2465" s="20">
        <v>0.0</v>
      </c>
      <c r="Q2465" s="31"/>
      <c r="R2465" s="31"/>
      <c r="S2465" s="53"/>
      <c r="T2465" s="32"/>
    </row>
    <row r="2466">
      <c r="A2466" s="33" t="s">
        <v>17376</v>
      </c>
      <c r="B2466" s="76" t="s">
        <v>85</v>
      </c>
      <c r="C2466" s="41">
        <v>45480.0</v>
      </c>
      <c r="D2466" s="40" t="s">
        <v>17377</v>
      </c>
      <c r="E2466" s="41" t="s">
        <v>17378</v>
      </c>
      <c r="F2466" s="43" t="s">
        <v>17379</v>
      </c>
      <c r="G2466" s="43" t="s">
        <v>17380</v>
      </c>
      <c r="H2466" s="51" t="s">
        <v>148</v>
      </c>
      <c r="I2466" s="15" t="str">
        <f>IFERROR(__xludf.DUMMYFUNCTION("GOOGLETRANSLATE(H2466,""EN"",""ES"")"),"Gastronomía")</f>
        <v>Gastronomía</v>
      </c>
      <c r="J2466" s="16" t="s">
        <v>27</v>
      </c>
      <c r="K2466" s="17">
        <v>0.0</v>
      </c>
      <c r="L2466" s="45"/>
      <c r="M2466" s="18"/>
      <c r="N2466" s="86"/>
      <c r="O2466" s="86"/>
      <c r="P2466" s="20">
        <v>0.0</v>
      </c>
      <c r="Q2466" s="18"/>
      <c r="R2466" s="18"/>
      <c r="S2466" s="52"/>
      <c r="T2466" s="22"/>
    </row>
    <row r="2467">
      <c r="A2467" s="23" t="s">
        <v>17381</v>
      </c>
      <c r="B2467" s="77" t="s">
        <v>163</v>
      </c>
      <c r="C2467" s="41">
        <v>45480.0</v>
      </c>
      <c r="D2467" s="40" t="s">
        <v>17382</v>
      </c>
      <c r="E2467" s="41" t="s">
        <v>17383</v>
      </c>
      <c r="F2467" s="43" t="s">
        <v>17384</v>
      </c>
      <c r="G2467" s="43" t="s">
        <v>17385</v>
      </c>
      <c r="H2467" s="51" t="s">
        <v>8756</v>
      </c>
      <c r="I2467" s="25" t="str">
        <f>IFERROR(__xludf.DUMMYFUNCTION("GOOGLETRANSLATE(H2467,""EN"",""ES"")"),"Automotor")</f>
        <v>Automotor</v>
      </c>
      <c r="J2467" s="26" t="s">
        <v>27</v>
      </c>
      <c r="K2467" s="17">
        <v>0.0</v>
      </c>
      <c r="L2467" s="54"/>
      <c r="M2467" s="31"/>
      <c r="N2467" s="83"/>
      <c r="O2467" s="83"/>
      <c r="P2467" s="20">
        <v>0.0</v>
      </c>
      <c r="Q2467" s="31"/>
      <c r="R2467" s="31"/>
      <c r="S2467" s="53"/>
      <c r="T2467" s="32"/>
    </row>
    <row r="2468">
      <c r="A2468" s="33" t="s">
        <v>17386</v>
      </c>
      <c r="B2468" s="76" t="s">
        <v>163</v>
      </c>
      <c r="C2468" s="41">
        <v>45480.0</v>
      </c>
      <c r="D2468" s="40" t="s">
        <v>17387</v>
      </c>
      <c r="E2468" s="41" t="s">
        <v>17388</v>
      </c>
      <c r="F2468" s="43" t="s">
        <v>17389</v>
      </c>
      <c r="G2468" s="43" t="s">
        <v>17390</v>
      </c>
      <c r="H2468" s="51" t="s">
        <v>782</v>
      </c>
      <c r="I2468" s="15" t="str">
        <f>IFERROR(__xludf.DUMMYFUNCTION("GOOGLETRANSLATE(H2468,""EN"",""ES"")"),"Tecnología")</f>
        <v>Tecnología</v>
      </c>
      <c r="J2468" s="16" t="s">
        <v>27</v>
      </c>
      <c r="K2468" s="17">
        <v>0.0</v>
      </c>
      <c r="L2468" s="45"/>
      <c r="M2468" s="18"/>
      <c r="N2468" s="86"/>
      <c r="O2468" s="86"/>
      <c r="P2468" s="20">
        <v>0.0</v>
      </c>
      <c r="Q2468" s="18"/>
      <c r="R2468" s="18"/>
      <c r="S2468" s="52"/>
      <c r="T2468" s="22"/>
    </row>
    <row r="2469">
      <c r="A2469" s="23" t="s">
        <v>17391</v>
      </c>
      <c r="B2469" s="77" t="s">
        <v>17392</v>
      </c>
      <c r="C2469" s="41">
        <v>45480.0</v>
      </c>
      <c r="D2469" s="40" t="s">
        <v>17393</v>
      </c>
      <c r="E2469" s="41" t="s">
        <v>17394</v>
      </c>
      <c r="F2469" s="43" t="s">
        <v>17395</v>
      </c>
      <c r="G2469" s="43" t="s">
        <v>17396</v>
      </c>
      <c r="H2469" s="51" t="s">
        <v>3985</v>
      </c>
      <c r="I2469" s="25" t="str">
        <f>IFERROR(__xludf.DUMMYFUNCTION("GOOGLETRANSLATE(H2469,""EN"",""ES"")"),"Deportes")</f>
        <v>Deportes</v>
      </c>
      <c r="J2469" s="26" t="s">
        <v>27</v>
      </c>
      <c r="K2469" s="17">
        <v>0.0</v>
      </c>
      <c r="L2469" s="54"/>
      <c r="M2469" s="31"/>
      <c r="N2469" s="83"/>
      <c r="O2469" s="83"/>
      <c r="P2469" s="20">
        <v>0.0</v>
      </c>
      <c r="Q2469" s="31"/>
      <c r="R2469" s="31"/>
      <c r="S2469" s="53"/>
      <c r="T2469" s="32"/>
    </row>
    <row r="2470">
      <c r="A2470" s="33" t="s">
        <v>17397</v>
      </c>
      <c r="B2470" s="76" t="s">
        <v>85</v>
      </c>
      <c r="C2470" s="41">
        <v>45480.0</v>
      </c>
      <c r="D2470" s="40" t="s">
        <v>17398</v>
      </c>
      <c r="E2470" s="41" t="s">
        <v>17399</v>
      </c>
      <c r="F2470" s="43" t="s">
        <v>17400</v>
      </c>
      <c r="G2470" s="43" t="s">
        <v>17401</v>
      </c>
      <c r="H2470" s="51" t="s">
        <v>148</v>
      </c>
      <c r="I2470" s="15" t="str">
        <f>IFERROR(__xludf.DUMMYFUNCTION("GOOGLETRANSLATE(H2470,""EN"",""ES"")"),"Gastronomía")</f>
        <v>Gastronomía</v>
      </c>
      <c r="J2470" s="16" t="s">
        <v>27</v>
      </c>
      <c r="K2470" s="17">
        <v>0.0</v>
      </c>
      <c r="L2470" s="45"/>
      <c r="M2470" s="18"/>
      <c r="N2470" s="86"/>
      <c r="O2470" s="86"/>
      <c r="P2470" s="20">
        <v>0.0</v>
      </c>
      <c r="Q2470" s="18"/>
      <c r="R2470" s="18"/>
      <c r="S2470" s="52"/>
      <c r="T2470" s="22"/>
    </row>
    <row r="2471">
      <c r="A2471" s="23" t="s">
        <v>17402</v>
      </c>
      <c r="B2471" s="77" t="s">
        <v>437</v>
      </c>
      <c r="C2471" s="41">
        <v>45480.0</v>
      </c>
      <c r="D2471" s="40" t="s">
        <v>17403</v>
      </c>
      <c r="E2471" s="41" t="s">
        <v>17404</v>
      </c>
      <c r="F2471" s="43" t="s">
        <v>17405</v>
      </c>
      <c r="G2471" s="43" t="s">
        <v>17406</v>
      </c>
      <c r="H2471" s="51" t="s">
        <v>148</v>
      </c>
      <c r="I2471" s="25" t="str">
        <f>IFERROR(__xludf.DUMMYFUNCTION("GOOGLETRANSLATE(H2471,""EN"",""ES"")"),"Gastronomía")</f>
        <v>Gastronomía</v>
      </c>
      <c r="J2471" s="26" t="s">
        <v>27</v>
      </c>
      <c r="K2471" s="17">
        <v>0.0</v>
      </c>
      <c r="L2471" s="54"/>
      <c r="M2471" s="31"/>
      <c r="N2471" s="83"/>
      <c r="O2471" s="83"/>
      <c r="P2471" s="20">
        <v>0.0</v>
      </c>
      <c r="Q2471" s="31"/>
      <c r="R2471" s="31"/>
      <c r="S2471" s="53"/>
      <c r="T2471" s="32"/>
    </row>
    <row r="2472">
      <c r="A2472" s="33" t="s">
        <v>17407</v>
      </c>
      <c r="B2472" s="76" t="s">
        <v>192</v>
      </c>
      <c r="C2472" s="41">
        <v>45481.0</v>
      </c>
      <c r="D2472" s="40" t="s">
        <v>17408</v>
      </c>
      <c r="E2472" s="41" t="s">
        <v>17409</v>
      </c>
      <c r="F2472" s="43" t="s">
        <v>17410</v>
      </c>
      <c r="G2472" s="43" t="s">
        <v>17411</v>
      </c>
      <c r="H2472" s="51" t="s">
        <v>661</v>
      </c>
      <c r="I2472" s="15" t="str">
        <f>IFERROR(__xludf.DUMMYFUNCTION("GOOGLETRANSLATE(H2472,""EN"",""ES"")"),"Estrategia empresarial")</f>
        <v>Estrategia empresarial</v>
      </c>
      <c r="J2472" s="16" t="s">
        <v>35</v>
      </c>
      <c r="K2472" s="48">
        <v>0.6</v>
      </c>
      <c r="L2472" s="51" t="s">
        <v>17412</v>
      </c>
      <c r="M2472" s="34" t="s">
        <v>17413</v>
      </c>
      <c r="N2472" s="86" t="s">
        <v>17414</v>
      </c>
      <c r="O2472" s="86" t="str">
        <f>IFERROR(__xludf.DUMMYFUNCTION("GOOGLETRANSLATE(N2472,""EN"",""ES"")"),"Positivo ya que destaca un exitoso esfuerzo de exploración petrolera.")</f>
        <v>Positivo ya que destaca un exitoso esfuerzo de exploración petrolera.</v>
      </c>
      <c r="P2472" s="30">
        <v>0.5</v>
      </c>
      <c r="Q2472" s="18" t="str">
        <f>IFERROR(__xludf.DUMMYFUNCTION("GOOGLETRANSLATE(R2472,""ES"",""EN"")"),"discovery, oil")</f>
        <v>discovery, oil</v>
      </c>
      <c r="R2472" s="34" t="s">
        <v>17415</v>
      </c>
      <c r="S2472" s="52" t="s">
        <v>17416</v>
      </c>
      <c r="T2472" s="22" t="s">
        <v>17417</v>
      </c>
    </row>
    <row r="2473">
      <c r="A2473" s="23" t="s">
        <v>17418</v>
      </c>
      <c r="B2473" s="77" t="s">
        <v>217</v>
      </c>
      <c r="C2473" s="41">
        <v>45481.0</v>
      </c>
      <c r="D2473" s="40" t="s">
        <v>17419</v>
      </c>
      <c r="E2473" s="41" t="s">
        <v>17419</v>
      </c>
      <c r="F2473" s="43" t="s">
        <v>17420</v>
      </c>
      <c r="G2473" s="43" t="s">
        <v>17420</v>
      </c>
      <c r="H2473" s="51" t="s">
        <v>782</v>
      </c>
      <c r="I2473" s="25" t="str">
        <f>IFERROR(__xludf.DUMMYFUNCTION("GOOGLETRANSLATE(H2473,""EN"",""ES"")"),"Tecnología")</f>
        <v>Tecnología</v>
      </c>
      <c r="J2473" s="26" t="s">
        <v>27</v>
      </c>
      <c r="K2473" s="17">
        <v>0.0</v>
      </c>
      <c r="L2473" s="54"/>
      <c r="M2473" s="31"/>
      <c r="N2473" s="83"/>
      <c r="O2473" s="83"/>
      <c r="P2473" s="20">
        <v>0.0</v>
      </c>
      <c r="Q2473" s="31"/>
      <c r="R2473" s="31"/>
      <c r="S2473" s="53"/>
      <c r="T2473" s="32"/>
    </row>
    <row r="2474">
      <c r="A2474" s="33" t="s">
        <v>17421</v>
      </c>
      <c r="B2474" s="76" t="s">
        <v>85</v>
      </c>
      <c r="C2474" s="41">
        <v>45481.0</v>
      </c>
      <c r="D2474" s="40" t="s">
        <v>17422</v>
      </c>
      <c r="E2474" s="41" t="s">
        <v>17423</v>
      </c>
      <c r="F2474" s="43" t="s">
        <v>17424</v>
      </c>
      <c r="G2474" s="43" t="s">
        <v>17425</v>
      </c>
      <c r="H2474" s="51" t="s">
        <v>661</v>
      </c>
      <c r="I2474" s="15" t="str">
        <f>IFERROR(__xludf.DUMMYFUNCTION("GOOGLETRANSLATE(H2474,""EN"",""ES"")"),"Estrategia empresarial")</f>
        <v>Estrategia empresarial</v>
      </c>
      <c r="J2474" s="16" t="s">
        <v>35</v>
      </c>
      <c r="K2474" s="48">
        <v>0.6</v>
      </c>
      <c r="L2474" s="51" t="s">
        <v>17412</v>
      </c>
      <c r="M2474" s="34" t="s">
        <v>17413</v>
      </c>
      <c r="N2474" s="86" t="s">
        <v>17426</v>
      </c>
      <c r="O2474" s="86" t="str">
        <f>IFERROR(__xludf.DUMMYFUNCTION("GOOGLETRANSLATE(N2474,""EN"",""ES"")"),"Positivo ya que refuerza un importante descubrimiento empresarial.")</f>
        <v>Positivo ya que refuerza un importante descubrimiento empresarial.</v>
      </c>
      <c r="P2474" s="30">
        <v>0.5</v>
      </c>
      <c r="Q2474" s="18" t="str">
        <f>IFERROR(__xludf.DUMMYFUNCTION("GOOGLETRANSLATE(R2474,""ES"",""EN"")"),"discovery, oil")</f>
        <v>discovery, oil</v>
      </c>
      <c r="R2474" s="34" t="s">
        <v>17415</v>
      </c>
      <c r="S2474" s="52" t="s">
        <v>17416</v>
      </c>
      <c r="T2474" s="22" t="s">
        <v>17417</v>
      </c>
    </row>
    <row r="2475">
      <c r="A2475" s="23" t="s">
        <v>17427</v>
      </c>
      <c r="B2475" s="77" t="s">
        <v>4038</v>
      </c>
      <c r="C2475" s="41">
        <v>45481.0</v>
      </c>
      <c r="D2475" s="40" t="s">
        <v>17428</v>
      </c>
      <c r="E2475" s="41" t="s">
        <v>17429</v>
      </c>
      <c r="F2475" s="43" t="s">
        <v>17430</v>
      </c>
      <c r="G2475" s="43" t="s">
        <v>17431</v>
      </c>
      <c r="H2475" s="51" t="s">
        <v>661</v>
      </c>
      <c r="I2475" s="25" t="str">
        <f>IFERROR(__xludf.DUMMYFUNCTION("GOOGLETRANSLATE(H2475,""EN"",""ES"")"),"Estrategia empresarial")</f>
        <v>Estrategia empresarial</v>
      </c>
      <c r="J2475" s="26" t="s">
        <v>35</v>
      </c>
      <c r="K2475" s="48">
        <v>0.6</v>
      </c>
      <c r="L2475" s="49" t="s">
        <v>17432</v>
      </c>
      <c r="M2475" s="28" t="s">
        <v>17433</v>
      </c>
      <c r="N2475" s="83" t="s">
        <v>17434</v>
      </c>
      <c r="O2475" s="83" t="str">
        <f>IFERROR(__xludf.DUMMYFUNCTION("GOOGLETRANSLATE(N2475,""EN"",""ES"")"),"Sentimiento positivo debido a un acuerdo comercial de alto valor.")</f>
        <v>Sentimiento positivo debido a un acuerdo comercial de alto valor.</v>
      </c>
      <c r="P2475" s="30">
        <v>0.2</v>
      </c>
      <c r="Q2475" s="31" t="str">
        <f>IFERROR(__xludf.DUMMYFUNCTION("GOOGLETRANSLATE(R2475,""ES"",""EN"")"),"sale, land")</f>
        <v>sale, land</v>
      </c>
      <c r="R2475" s="28" t="s">
        <v>17435</v>
      </c>
      <c r="S2475" s="53" t="s">
        <v>16979</v>
      </c>
      <c r="T2475" s="32" t="s">
        <v>16980</v>
      </c>
    </row>
    <row r="2476">
      <c r="A2476" s="33" t="s">
        <v>17436</v>
      </c>
      <c r="B2476" s="76" t="s">
        <v>3511</v>
      </c>
      <c r="C2476" s="41">
        <v>45481.0</v>
      </c>
      <c r="D2476" s="40" t="s">
        <v>17437</v>
      </c>
      <c r="E2476" s="41" t="s">
        <v>17438</v>
      </c>
      <c r="F2476" s="43" t="s">
        <v>17439</v>
      </c>
      <c r="G2476" s="43" t="s">
        <v>17440</v>
      </c>
      <c r="H2476" s="51" t="s">
        <v>661</v>
      </c>
      <c r="I2476" s="15" t="str">
        <f>IFERROR(__xludf.DUMMYFUNCTION("GOOGLETRANSLATE(H2476,""EN"",""ES"")"),"Estrategia empresarial")</f>
        <v>Estrategia empresarial</v>
      </c>
      <c r="J2476" s="16" t="s">
        <v>35</v>
      </c>
      <c r="K2476" s="48">
        <v>0.6</v>
      </c>
      <c r="L2476" s="51" t="s">
        <v>17432</v>
      </c>
      <c r="M2476" s="34" t="s">
        <v>17433</v>
      </c>
      <c r="N2476" s="86" t="s">
        <v>17441</v>
      </c>
      <c r="O2476" s="86" t="str">
        <f>IFERROR(__xludf.DUMMYFUNCTION("GOOGLETRANSLATE(N2476,""EN"",""ES"")"),"Positivo porque marca la resolución de una negociación de larga data.")</f>
        <v>Positivo porque marca la resolución de una negociación de larga data.</v>
      </c>
      <c r="P2476" s="30">
        <v>0.2</v>
      </c>
      <c r="Q2476" s="18" t="str">
        <f>IFERROR(__xludf.DUMMYFUNCTION("GOOGLETRANSLATE(R2476,""ES"",""EN"")"),"sale, negotiations")</f>
        <v>sale, negotiations</v>
      </c>
      <c r="R2476" s="34" t="s">
        <v>17442</v>
      </c>
      <c r="S2476" s="52" t="s">
        <v>16979</v>
      </c>
      <c r="T2476" s="22" t="s">
        <v>16980</v>
      </c>
    </row>
    <row r="2477">
      <c r="A2477" s="23" t="s">
        <v>17443</v>
      </c>
      <c r="B2477" s="77" t="s">
        <v>558</v>
      </c>
      <c r="C2477" s="41">
        <v>45481.0</v>
      </c>
      <c r="D2477" s="40" t="s">
        <v>17444</v>
      </c>
      <c r="E2477" s="41" t="s">
        <v>17445</v>
      </c>
      <c r="F2477" s="43" t="s">
        <v>17446</v>
      </c>
      <c r="G2477" s="43" t="s">
        <v>17447</v>
      </c>
      <c r="H2477" s="51" t="s">
        <v>48</v>
      </c>
      <c r="I2477" s="25" t="str">
        <f>IFERROR(__xludf.DUMMYFUNCTION("GOOGLETRANSLATE(H2477,""EN"",""ES"")"),"Finanzas")</f>
        <v>Finanzas</v>
      </c>
      <c r="J2477" s="26" t="s">
        <v>35</v>
      </c>
      <c r="K2477" s="48">
        <v>0.7</v>
      </c>
      <c r="L2477" s="49" t="s">
        <v>12440</v>
      </c>
      <c r="M2477" s="28" t="s">
        <v>12441</v>
      </c>
      <c r="N2477" s="83" t="s">
        <v>17448</v>
      </c>
      <c r="O2477" s="83" t="str">
        <f>IFERROR(__xludf.DUMMYFUNCTION("GOOGLETRANSLATE(N2477,""EN"",""ES"")"),"Positivo ya que reporta beneficios económicos para los accionistas.")</f>
        <v>Positivo ya que reporta beneficios económicos para los accionistas.</v>
      </c>
      <c r="P2477" s="30">
        <v>0.3</v>
      </c>
      <c r="Q2477" s="31" t="str">
        <f>IFERROR(__xludf.DUMMYFUNCTION("GOOGLETRANSLATE(R2477,""ES"",""EN"")"),"dividend")</f>
        <v>dividend</v>
      </c>
      <c r="R2477" s="28" t="s">
        <v>12532</v>
      </c>
      <c r="S2477" s="53" t="s">
        <v>17002</v>
      </c>
      <c r="T2477" s="32" t="s">
        <v>17003</v>
      </c>
    </row>
    <row r="2478">
      <c r="A2478" s="33" t="s">
        <v>17449</v>
      </c>
      <c r="B2478" s="76" t="s">
        <v>21</v>
      </c>
      <c r="C2478" s="41">
        <v>45481.0</v>
      </c>
      <c r="D2478" s="40" t="s">
        <v>17450</v>
      </c>
      <c r="E2478" s="41" t="s">
        <v>17451</v>
      </c>
      <c r="F2478" s="43" t="s">
        <v>17452</v>
      </c>
      <c r="G2478" s="43" t="s">
        <v>17453</v>
      </c>
      <c r="H2478" s="51" t="s">
        <v>17454</v>
      </c>
      <c r="I2478" s="15" t="str">
        <f>IFERROR(__xludf.DUMMYFUNCTION("GOOGLETRANSLATE(H2478,""EN"",""ES"")"),"Estilo de vida")</f>
        <v>Estilo de vida</v>
      </c>
      <c r="J2478" s="16" t="s">
        <v>27</v>
      </c>
      <c r="K2478" s="17">
        <v>0.0</v>
      </c>
      <c r="L2478" s="45"/>
      <c r="M2478" s="18"/>
      <c r="N2478" s="86"/>
      <c r="O2478" s="86"/>
      <c r="P2478" s="20">
        <v>0.0</v>
      </c>
      <c r="Q2478" s="18"/>
      <c r="R2478" s="18"/>
      <c r="S2478" s="52"/>
      <c r="T2478" s="22"/>
    </row>
    <row r="2479">
      <c r="A2479" s="23" t="s">
        <v>17455</v>
      </c>
      <c r="B2479" s="77" t="s">
        <v>977</v>
      </c>
      <c r="C2479" s="41">
        <v>45481.0</v>
      </c>
      <c r="D2479" s="40" t="s">
        <v>17456</v>
      </c>
      <c r="E2479" s="41" t="s">
        <v>17457</v>
      </c>
      <c r="F2479" s="43" t="s">
        <v>17458</v>
      </c>
      <c r="G2479" s="43" t="s">
        <v>17459</v>
      </c>
      <c r="H2479" s="51" t="s">
        <v>148</v>
      </c>
      <c r="I2479" s="25" t="str">
        <f>IFERROR(__xludf.DUMMYFUNCTION("GOOGLETRANSLATE(H2479,""EN"",""ES"")"),"Gastronomía")</f>
        <v>Gastronomía</v>
      </c>
      <c r="J2479" s="26" t="s">
        <v>27</v>
      </c>
      <c r="K2479" s="17">
        <v>0.0</v>
      </c>
      <c r="L2479" s="54"/>
      <c r="M2479" s="31"/>
      <c r="N2479" s="83"/>
      <c r="O2479" s="83"/>
      <c r="P2479" s="20">
        <v>0.0</v>
      </c>
      <c r="Q2479" s="31"/>
      <c r="R2479" s="31"/>
      <c r="S2479" s="53"/>
      <c r="T2479" s="32"/>
    </row>
    <row r="2480">
      <c r="A2480" s="33" t="s">
        <v>17460</v>
      </c>
      <c r="B2480" s="76" t="s">
        <v>881</v>
      </c>
      <c r="C2480" s="41">
        <v>45481.0</v>
      </c>
      <c r="D2480" s="40" t="s">
        <v>17461</v>
      </c>
      <c r="E2480" s="41" t="s">
        <v>17462</v>
      </c>
      <c r="F2480" s="43" t="s">
        <v>17463</v>
      </c>
      <c r="G2480" s="43" t="s">
        <v>17464</v>
      </c>
      <c r="H2480" s="51" t="s">
        <v>2240</v>
      </c>
      <c r="I2480" s="15" t="str">
        <f>IFERROR(__xludf.DUMMYFUNCTION("GOOGLETRANSLATE(H2480,""EN"",""ES"")"),"Industria")</f>
        <v>Industria</v>
      </c>
      <c r="J2480" s="16" t="s">
        <v>27</v>
      </c>
      <c r="K2480" s="17">
        <v>0.0</v>
      </c>
      <c r="L2480" s="45"/>
      <c r="M2480" s="18"/>
      <c r="N2480" s="86"/>
      <c r="O2480" s="86"/>
      <c r="P2480" s="20">
        <v>0.0</v>
      </c>
      <c r="Q2480" s="18"/>
      <c r="R2480" s="18"/>
      <c r="S2480" s="52"/>
      <c r="T2480" s="22"/>
    </row>
    <row r="2481">
      <c r="A2481" s="23" t="s">
        <v>17465</v>
      </c>
      <c r="B2481" s="77" t="s">
        <v>6567</v>
      </c>
      <c r="C2481" s="41">
        <v>45481.0</v>
      </c>
      <c r="D2481" s="40" t="s">
        <v>17466</v>
      </c>
      <c r="E2481" s="41" t="s">
        <v>17467</v>
      </c>
      <c r="F2481" s="43" t="s">
        <v>17468</v>
      </c>
      <c r="G2481" s="43" t="s">
        <v>17469</v>
      </c>
      <c r="H2481" s="51" t="s">
        <v>661</v>
      </c>
      <c r="I2481" s="25" t="str">
        <f>IFERROR(__xludf.DUMMYFUNCTION("GOOGLETRANSLATE(H2481,""EN"",""ES"")"),"Estrategia empresarial")</f>
        <v>Estrategia empresarial</v>
      </c>
      <c r="J2481" s="26" t="s">
        <v>35</v>
      </c>
      <c r="K2481" s="48">
        <v>0.5</v>
      </c>
      <c r="L2481" s="49" t="s">
        <v>17470</v>
      </c>
      <c r="M2481" s="28" t="s">
        <v>17471</v>
      </c>
      <c r="N2481" s="83" t="s">
        <v>17472</v>
      </c>
      <c r="O2481" s="83" t="str">
        <f>IFERROR(__xludf.DUMMYFUNCTION("GOOGLETRANSLATE(N2481,""EN"",""ES"")"),"Ligeramente positivo ya que soluciona un problema urbanístico con las gasolineras caducadas.")</f>
        <v>Ligeramente positivo ya que soluciona un problema urbanístico con las gasolineras caducadas.</v>
      </c>
      <c r="P2481" s="30">
        <v>-0.2</v>
      </c>
      <c r="Q2481" s="31" t="str">
        <f>IFERROR(__xludf.DUMMYFUNCTION("GOOGLETRANSLATE(R2481,""ES"",""EN"")"),"demolition, gas stations")</f>
        <v>demolition, gas stations</v>
      </c>
      <c r="R2481" s="28" t="s">
        <v>17473</v>
      </c>
      <c r="S2481" s="53" t="s">
        <v>17474</v>
      </c>
      <c r="T2481" s="32" t="s">
        <v>17475</v>
      </c>
    </row>
    <row r="2482">
      <c r="A2482" s="33" t="s">
        <v>17476</v>
      </c>
      <c r="B2482" s="76" t="s">
        <v>217</v>
      </c>
      <c r="C2482" s="41">
        <v>45481.0</v>
      </c>
      <c r="D2482" s="40" t="s">
        <v>17477</v>
      </c>
      <c r="E2482" s="41" t="s">
        <v>17478</v>
      </c>
      <c r="F2482" s="43" t="s">
        <v>17479</v>
      </c>
      <c r="G2482" s="43" t="s">
        <v>17480</v>
      </c>
      <c r="H2482" s="51" t="s">
        <v>661</v>
      </c>
      <c r="I2482" s="15" t="str">
        <f>IFERROR(__xludf.DUMMYFUNCTION("GOOGLETRANSLATE(H2482,""EN"",""ES"")"),"Estrategia empresarial")</f>
        <v>Estrategia empresarial</v>
      </c>
      <c r="J2482" s="16" t="s">
        <v>35</v>
      </c>
      <c r="K2482" s="48">
        <v>0.6</v>
      </c>
      <c r="L2482" s="51" t="s">
        <v>17412</v>
      </c>
      <c r="M2482" s="34" t="s">
        <v>17413</v>
      </c>
      <c r="N2482" s="86" t="s">
        <v>17481</v>
      </c>
      <c r="O2482" s="86" t="str">
        <f>IFERROR(__xludf.DUMMYFUNCTION("GOOGLETRANSLATE(N2482,""EN"",""ES"")"),"Positivo ya que indica expansión de los recursos energéticos.")</f>
        <v>Positivo ya que indica expansión de los recursos energéticos.</v>
      </c>
      <c r="P2482" s="30">
        <v>0.5</v>
      </c>
      <c r="Q2482" s="18" t="str">
        <f>IFERROR(__xludf.DUMMYFUNCTION("GOOGLETRANSLATE(R2482,""ES"",""EN"")"),"discovery, oil")</f>
        <v>discovery, oil</v>
      </c>
      <c r="R2482" s="34" t="s">
        <v>17415</v>
      </c>
      <c r="S2482" s="52" t="s">
        <v>17416</v>
      </c>
      <c r="T2482" s="22" t="s">
        <v>17417</v>
      </c>
    </row>
    <row r="2483">
      <c r="A2483" s="23" t="s">
        <v>17482</v>
      </c>
      <c r="B2483" s="77" t="s">
        <v>217</v>
      </c>
      <c r="C2483" s="41">
        <v>45481.0</v>
      </c>
      <c r="D2483" s="40" t="s">
        <v>17483</v>
      </c>
      <c r="E2483" s="41" t="s">
        <v>17484</v>
      </c>
      <c r="F2483" s="43" t="s">
        <v>17485</v>
      </c>
      <c r="G2483" s="43" t="s">
        <v>17486</v>
      </c>
      <c r="H2483" s="51" t="s">
        <v>661</v>
      </c>
      <c r="I2483" s="25" t="str">
        <f>IFERROR(__xludf.DUMMYFUNCTION("GOOGLETRANSLATE(H2483,""EN"",""ES"")"),"Estrategia empresarial")</f>
        <v>Estrategia empresarial</v>
      </c>
      <c r="J2483" s="26" t="s">
        <v>35</v>
      </c>
      <c r="K2483" s="48">
        <v>0.6</v>
      </c>
      <c r="L2483" s="49" t="s">
        <v>17412</v>
      </c>
      <c r="M2483" s="28" t="s">
        <v>17413</v>
      </c>
      <c r="N2483" s="83" t="s">
        <v>17487</v>
      </c>
      <c r="O2483" s="83" t="str">
        <f>IFERROR(__xludf.DUMMYFUNCTION("GOOGLETRANSLATE(N2483,""EN"",""ES"")"),"Positivo ya que refuerza un patrón de descubrimientos exitosos.")</f>
        <v>Positivo ya que refuerza un patrón de descubrimientos exitosos.</v>
      </c>
      <c r="P2483" s="30">
        <v>0.5</v>
      </c>
      <c r="Q2483" s="31" t="str">
        <f>IFERROR(__xludf.DUMMYFUNCTION("GOOGLETRANSLATE(R2483,""ES"",""EN"")"),"discovery, oil")</f>
        <v>discovery, oil</v>
      </c>
      <c r="R2483" s="28" t="s">
        <v>17415</v>
      </c>
      <c r="S2483" s="53" t="s">
        <v>17416</v>
      </c>
      <c r="T2483" s="32" t="s">
        <v>17417</v>
      </c>
    </row>
    <row r="2484">
      <c r="A2484" s="33" t="s">
        <v>17488</v>
      </c>
      <c r="B2484" s="76" t="s">
        <v>85</v>
      </c>
      <c r="C2484" s="41">
        <v>45481.0</v>
      </c>
      <c r="D2484" s="40" t="s">
        <v>17489</v>
      </c>
      <c r="E2484" s="41" t="s">
        <v>17490</v>
      </c>
      <c r="F2484" s="43" t="s">
        <v>17491</v>
      </c>
      <c r="G2484" s="43" t="s">
        <v>17492</v>
      </c>
      <c r="H2484" s="51" t="s">
        <v>661</v>
      </c>
      <c r="I2484" s="15" t="str">
        <f>IFERROR(__xludf.DUMMYFUNCTION("GOOGLETRANSLATE(H2484,""EN"",""ES"")"),"Estrategia empresarial")</f>
        <v>Estrategia empresarial</v>
      </c>
      <c r="J2484" s="16" t="s">
        <v>35</v>
      </c>
      <c r="K2484" s="48">
        <v>0.6</v>
      </c>
      <c r="L2484" s="51" t="s">
        <v>17432</v>
      </c>
      <c r="M2484" s="34" t="s">
        <v>17433</v>
      </c>
      <c r="N2484" s="86" t="s">
        <v>17493</v>
      </c>
      <c r="O2484" s="86" t="str">
        <f>IFERROR(__xludf.DUMMYFUNCTION("GOOGLETRANSLATE(N2484,""EN"",""ES"")"),"Sentimiento positivo debido a una valiosa transacción inmobiliaria.")</f>
        <v>Sentimiento positivo debido a una valiosa transacción inmobiliaria.</v>
      </c>
      <c r="P2484" s="30">
        <v>0.2</v>
      </c>
      <c r="Q2484" s="18" t="str">
        <f>IFERROR(__xludf.DUMMYFUNCTION("GOOGLETRANSLATE(R2484,""ES"",""EN"")"),"sale, land")</f>
        <v>sale, land</v>
      </c>
      <c r="R2484" s="34" t="s">
        <v>17435</v>
      </c>
      <c r="S2484" s="52" t="s">
        <v>16979</v>
      </c>
      <c r="T2484" s="22" t="s">
        <v>16980</v>
      </c>
    </row>
    <row r="2485">
      <c r="A2485" s="23" t="s">
        <v>17494</v>
      </c>
      <c r="B2485" s="77" t="s">
        <v>6458</v>
      </c>
      <c r="C2485" s="41">
        <v>45481.0</v>
      </c>
      <c r="D2485" s="40" t="s">
        <v>17495</v>
      </c>
      <c r="E2485" s="41" t="s">
        <v>17496</v>
      </c>
      <c r="F2485" s="43" t="s">
        <v>17497</v>
      </c>
      <c r="G2485" s="43" t="s">
        <v>17498</v>
      </c>
      <c r="H2485" s="51" t="s">
        <v>148</v>
      </c>
      <c r="I2485" s="25" t="str">
        <f>IFERROR(__xludf.DUMMYFUNCTION("GOOGLETRANSLATE(H2485,""EN"",""ES"")"),"Gastronomía")</f>
        <v>Gastronomía</v>
      </c>
      <c r="J2485" s="26" t="s">
        <v>27</v>
      </c>
      <c r="K2485" s="17">
        <v>0.0</v>
      </c>
      <c r="L2485" s="54"/>
      <c r="M2485" s="31"/>
      <c r="N2485" s="83"/>
      <c r="O2485" s="83"/>
      <c r="P2485" s="20">
        <v>0.0</v>
      </c>
      <c r="Q2485" s="31"/>
      <c r="R2485" s="31"/>
      <c r="S2485" s="53"/>
      <c r="T2485" s="32"/>
    </row>
    <row r="2486">
      <c r="A2486" s="33" t="s">
        <v>17499</v>
      </c>
      <c r="B2486" s="76" t="s">
        <v>17500</v>
      </c>
      <c r="C2486" s="41">
        <v>45481.0</v>
      </c>
      <c r="D2486" s="40" t="s">
        <v>17501</v>
      </c>
      <c r="E2486" s="41" t="s">
        <v>17502</v>
      </c>
      <c r="F2486" s="43" t="s">
        <v>17503</v>
      </c>
      <c r="G2486" s="43" t="s">
        <v>17504</v>
      </c>
      <c r="H2486" s="51" t="s">
        <v>15092</v>
      </c>
      <c r="I2486" s="15" t="str">
        <f>IFERROR(__xludf.DUMMYFUNCTION("GOOGLETRANSLATE(H2486,""EN"",""ES"")"),"Transporte")</f>
        <v>Transporte</v>
      </c>
      <c r="J2486" s="16" t="s">
        <v>27</v>
      </c>
      <c r="K2486" s="17">
        <v>0.0</v>
      </c>
      <c r="L2486" s="45"/>
      <c r="M2486" s="18"/>
      <c r="N2486" s="86"/>
      <c r="O2486" s="86"/>
      <c r="P2486" s="20">
        <v>0.0</v>
      </c>
      <c r="Q2486" s="18"/>
      <c r="R2486" s="18"/>
      <c r="S2486" s="52"/>
      <c r="T2486" s="22"/>
    </row>
    <row r="2487">
      <c r="A2487" s="23" t="s">
        <v>17505</v>
      </c>
      <c r="B2487" s="77" t="s">
        <v>17169</v>
      </c>
      <c r="C2487" s="41">
        <v>45481.0</v>
      </c>
      <c r="D2487" s="40" t="s">
        <v>17506</v>
      </c>
      <c r="E2487" s="41" t="s">
        <v>17507</v>
      </c>
      <c r="F2487" s="43" t="s">
        <v>17508</v>
      </c>
      <c r="G2487" s="43" t="s">
        <v>17509</v>
      </c>
      <c r="H2487" s="51" t="s">
        <v>661</v>
      </c>
      <c r="I2487" s="25" t="str">
        <f>IFERROR(__xludf.DUMMYFUNCTION("GOOGLETRANSLATE(H2487,""EN"",""ES"")"),"Estrategia empresarial")</f>
        <v>Estrategia empresarial</v>
      </c>
      <c r="J2487" s="26" t="s">
        <v>35</v>
      </c>
      <c r="K2487" s="48">
        <v>0.6</v>
      </c>
      <c r="L2487" s="49" t="s">
        <v>17412</v>
      </c>
      <c r="M2487" s="28" t="s">
        <v>17413</v>
      </c>
      <c r="N2487" s="83" t="s">
        <v>17510</v>
      </c>
      <c r="O2487" s="83" t="str">
        <f>IFERROR(__xludf.DUMMYFUNCTION("GOOGLETRANSLATE(N2487,""EN"",""ES"")"),"Positivo ya que destaca otro importante descubrimiento de petróleo.")</f>
        <v>Positivo ya que destaca otro importante descubrimiento de petróleo.</v>
      </c>
      <c r="P2487" s="30">
        <v>0.5</v>
      </c>
      <c r="Q2487" s="31" t="str">
        <f>IFERROR(__xludf.DUMMYFUNCTION("GOOGLETRANSLATE(R2487,""ES"",""EN"")"),"discovery")</f>
        <v>discovery</v>
      </c>
      <c r="R2487" s="28" t="s">
        <v>17511</v>
      </c>
      <c r="S2487" s="53" t="s">
        <v>17416</v>
      </c>
      <c r="T2487" s="32" t="s">
        <v>17417</v>
      </c>
    </row>
    <row r="2488">
      <c r="A2488" s="33" t="s">
        <v>17512</v>
      </c>
      <c r="B2488" s="76" t="s">
        <v>17513</v>
      </c>
      <c r="C2488" s="41">
        <v>45481.0</v>
      </c>
      <c r="D2488" s="40" t="s">
        <v>17514</v>
      </c>
      <c r="E2488" s="41" t="s">
        <v>17515</v>
      </c>
      <c r="F2488" s="43" t="s">
        <v>17516</v>
      </c>
      <c r="G2488" s="43" t="s">
        <v>17517</v>
      </c>
      <c r="H2488" s="51" t="s">
        <v>661</v>
      </c>
      <c r="I2488" s="15" t="str">
        <f>IFERROR(__xludf.DUMMYFUNCTION("GOOGLETRANSLATE(H2488,""EN"",""ES"")"),"Estrategia empresarial")</f>
        <v>Estrategia empresarial</v>
      </c>
      <c r="J2488" s="16" t="s">
        <v>35</v>
      </c>
      <c r="K2488" s="48">
        <v>0.6</v>
      </c>
      <c r="L2488" s="51" t="s">
        <v>17412</v>
      </c>
      <c r="M2488" s="34" t="s">
        <v>17413</v>
      </c>
      <c r="N2488" s="86" t="s">
        <v>17518</v>
      </c>
      <c r="O2488" s="86" t="str">
        <f>IFERROR(__xludf.DUMMYFUNCTION("GOOGLETRANSLATE(N2488,""EN"",""ES"")"),"Positivo porque refuerza la presencia de Repsol en la exploración energética.")</f>
        <v>Positivo porque refuerza la presencia de Repsol en la exploración energética.</v>
      </c>
      <c r="P2488" s="30">
        <v>0.5</v>
      </c>
      <c r="Q2488" s="18" t="str">
        <f>IFERROR(__xludf.DUMMYFUNCTION("GOOGLETRANSLATE(R2488,""ES"",""EN"")"),"discovery, oil")</f>
        <v>discovery, oil</v>
      </c>
      <c r="R2488" s="34" t="s">
        <v>17415</v>
      </c>
      <c r="S2488" s="52" t="s">
        <v>17416</v>
      </c>
      <c r="T2488" s="22" t="s">
        <v>17417</v>
      </c>
    </row>
    <row r="2489">
      <c r="A2489" s="23" t="s">
        <v>17519</v>
      </c>
      <c r="B2489" s="77" t="s">
        <v>21</v>
      </c>
      <c r="C2489" s="41">
        <v>45481.0</v>
      </c>
      <c r="D2489" s="40" t="s">
        <v>17520</v>
      </c>
      <c r="E2489" s="41" t="s">
        <v>17521</v>
      </c>
      <c r="F2489" s="43" t="s">
        <v>17522</v>
      </c>
      <c r="G2489" s="43" t="s">
        <v>17523</v>
      </c>
      <c r="H2489" s="51" t="s">
        <v>148</v>
      </c>
      <c r="I2489" s="25" t="str">
        <f>IFERROR(__xludf.DUMMYFUNCTION("GOOGLETRANSLATE(H2489,""EN"",""ES"")"),"Gastronomía")</f>
        <v>Gastronomía</v>
      </c>
      <c r="J2489" s="26" t="s">
        <v>27</v>
      </c>
      <c r="K2489" s="17">
        <v>0.0</v>
      </c>
      <c r="L2489" s="54"/>
      <c r="M2489" s="31"/>
      <c r="N2489" s="83"/>
      <c r="O2489" s="83"/>
      <c r="P2489" s="20">
        <v>0.0</v>
      </c>
      <c r="Q2489" s="31"/>
      <c r="R2489" s="31"/>
      <c r="S2489" s="53"/>
      <c r="T2489" s="32"/>
    </row>
    <row r="2490">
      <c r="A2490" s="33" t="s">
        <v>17524</v>
      </c>
      <c r="B2490" s="76" t="s">
        <v>85</v>
      </c>
      <c r="C2490" s="41">
        <v>45481.0</v>
      </c>
      <c r="D2490" s="40" t="s">
        <v>17525</v>
      </c>
      <c r="E2490" s="41" t="s">
        <v>17526</v>
      </c>
      <c r="F2490" s="43" t="s">
        <v>17527</v>
      </c>
      <c r="G2490" s="43" t="s">
        <v>17528</v>
      </c>
      <c r="H2490" s="51" t="s">
        <v>48</v>
      </c>
      <c r="I2490" s="15" t="str">
        <f>IFERROR(__xludf.DUMMYFUNCTION("GOOGLETRANSLATE(H2490,""EN"",""ES"")"),"Finanzas")</f>
        <v>Finanzas</v>
      </c>
      <c r="J2490" s="16" t="s">
        <v>35</v>
      </c>
      <c r="K2490" s="48">
        <v>0.7</v>
      </c>
      <c r="L2490" s="51" t="s">
        <v>15881</v>
      </c>
      <c r="M2490" s="34" t="s">
        <v>15882</v>
      </c>
      <c r="N2490" s="86" t="s">
        <v>17529</v>
      </c>
      <c r="O2490" s="86" t="str">
        <f>IFERROR(__xludf.DUMMYFUNCTION("GOOGLETRANSLATE(N2490,""EN"",""ES"")"),"Positivo porque sugiere prometedoras oportunidades de inversión en acciones de Repsol.")</f>
        <v>Positivo porque sugiere prometedoras oportunidades de inversión en acciones de Repsol.</v>
      </c>
      <c r="P2490" s="30">
        <v>0.1</v>
      </c>
      <c r="Q2490" s="18" t="str">
        <f>IFERROR(__xludf.DUMMYFUNCTION("GOOGLETRANSLATE(R2490,""ES"",""EN"")"),"None")</f>
        <v>None</v>
      </c>
      <c r="R2490" s="34" t="s">
        <v>14309</v>
      </c>
      <c r="S2490" s="52" t="s">
        <v>17530</v>
      </c>
      <c r="T2490" s="22" t="s">
        <v>17531</v>
      </c>
    </row>
    <row r="2491">
      <c r="A2491" s="23" t="s">
        <v>17532</v>
      </c>
      <c r="B2491" s="77" t="s">
        <v>17533</v>
      </c>
      <c r="C2491" s="41">
        <v>45481.0</v>
      </c>
      <c r="D2491" s="40" t="s">
        <v>17534</v>
      </c>
      <c r="E2491" s="41" t="s">
        <v>17535</v>
      </c>
      <c r="F2491" s="43" t="s">
        <v>17536</v>
      </c>
      <c r="G2491" s="43" t="s">
        <v>17537</v>
      </c>
      <c r="H2491" s="51" t="s">
        <v>661</v>
      </c>
      <c r="I2491" s="25" t="str">
        <f>IFERROR(__xludf.DUMMYFUNCTION("GOOGLETRANSLATE(H2491,""EN"",""ES"")"),"Estrategia empresarial")</f>
        <v>Estrategia empresarial</v>
      </c>
      <c r="J2491" s="26" t="s">
        <v>35</v>
      </c>
      <c r="K2491" s="48">
        <v>0.6</v>
      </c>
      <c r="L2491" s="49" t="s">
        <v>17412</v>
      </c>
      <c r="M2491" s="28" t="s">
        <v>17413</v>
      </c>
      <c r="N2491" s="83" t="s">
        <v>17538</v>
      </c>
      <c r="O2491" s="83" t="str">
        <f>IFERROR(__xludf.DUMMYFUNCTION("GOOGLETRANSLATE(N2491,""EN"",""ES"")"),"Positivo ya que destaca un importante descubrimiento de petróleo y gas.")</f>
        <v>Positivo ya que destaca un importante descubrimiento de petróleo y gas.</v>
      </c>
      <c r="P2491" s="30">
        <v>0.5</v>
      </c>
      <c r="Q2491" s="31" t="str">
        <f>IFERROR(__xludf.DUMMYFUNCTION("GOOGLETRANSLATE(R2491,""ES"",""EN"")"),"discovery, oil")</f>
        <v>discovery, oil</v>
      </c>
      <c r="R2491" s="28" t="s">
        <v>17415</v>
      </c>
      <c r="S2491" s="53" t="s">
        <v>17416</v>
      </c>
      <c r="T2491" s="32" t="s">
        <v>17417</v>
      </c>
    </row>
    <row r="2492">
      <c r="A2492" s="33" t="s">
        <v>17539</v>
      </c>
      <c r="B2492" s="76" t="s">
        <v>17540</v>
      </c>
      <c r="C2492" s="41">
        <v>45481.0</v>
      </c>
      <c r="D2492" s="40" t="s">
        <v>17541</v>
      </c>
      <c r="E2492" s="41" t="s">
        <v>17542</v>
      </c>
      <c r="F2492" s="43" t="s">
        <v>17543</v>
      </c>
      <c r="G2492" s="43" t="s">
        <v>17544</v>
      </c>
      <c r="H2492" s="51" t="s">
        <v>661</v>
      </c>
      <c r="I2492" s="15" t="str">
        <f>IFERROR(__xludf.DUMMYFUNCTION("GOOGLETRANSLATE(H2492,""EN"",""ES"")"),"Estrategia empresarial")</f>
        <v>Estrategia empresarial</v>
      </c>
      <c r="J2492" s="16" t="s">
        <v>35</v>
      </c>
      <c r="K2492" s="48">
        <v>0.6</v>
      </c>
      <c r="L2492" s="51" t="s">
        <v>17412</v>
      </c>
      <c r="M2492" s="34" t="s">
        <v>17413</v>
      </c>
      <c r="N2492" s="86" t="s">
        <v>17545</v>
      </c>
      <c r="O2492" s="86" t="str">
        <f>IFERROR(__xludf.DUMMYFUNCTION("GOOGLETRANSLATE(N2492,""EN"",""ES"")"),"Positivo porque refuerza la exitosa exploración energética de Repsol.")</f>
        <v>Positivo porque refuerza la exitosa exploración energética de Repsol.</v>
      </c>
      <c r="P2492" s="30">
        <v>0.5</v>
      </c>
      <c r="Q2492" s="18" t="str">
        <f>IFERROR(__xludf.DUMMYFUNCTION("GOOGLETRANSLATE(R2492,""ES"",""EN"")"),"discovery, oil")</f>
        <v>discovery, oil</v>
      </c>
      <c r="R2492" s="34" t="s">
        <v>17415</v>
      </c>
      <c r="S2492" s="52" t="s">
        <v>17416</v>
      </c>
      <c r="T2492" s="22" t="s">
        <v>17417</v>
      </c>
    </row>
    <row r="2493">
      <c r="A2493" s="23" t="s">
        <v>17546</v>
      </c>
      <c r="B2493" s="77" t="s">
        <v>16036</v>
      </c>
      <c r="C2493" s="41">
        <v>45481.0</v>
      </c>
      <c r="D2493" s="40" t="s">
        <v>17547</v>
      </c>
      <c r="E2493" s="41" t="s">
        <v>17548</v>
      </c>
      <c r="F2493" s="43" t="s">
        <v>17549</v>
      </c>
      <c r="G2493" s="43" t="s">
        <v>17550</v>
      </c>
      <c r="H2493" s="51" t="s">
        <v>661</v>
      </c>
      <c r="I2493" s="25" t="str">
        <f>IFERROR(__xludf.DUMMYFUNCTION("GOOGLETRANSLATE(H2493,""EN"",""ES"")"),"Estrategia empresarial")</f>
        <v>Estrategia empresarial</v>
      </c>
      <c r="J2493" s="26" t="s">
        <v>35</v>
      </c>
      <c r="K2493" s="48">
        <v>0.6</v>
      </c>
      <c r="L2493" s="49" t="s">
        <v>17412</v>
      </c>
      <c r="M2493" s="28" t="s">
        <v>17413</v>
      </c>
      <c r="N2493" s="83" t="s">
        <v>17481</v>
      </c>
      <c r="O2493" s="83" t="str">
        <f>IFERROR(__xludf.DUMMYFUNCTION("GOOGLETRANSLATE(N2493,""EN"",""ES"")"),"Positivo ya que indica expansión de los recursos energéticos.")</f>
        <v>Positivo ya que indica expansión de los recursos energéticos.</v>
      </c>
      <c r="P2493" s="30">
        <v>0.5</v>
      </c>
      <c r="Q2493" s="31" t="str">
        <f>IFERROR(__xludf.DUMMYFUNCTION("GOOGLETRANSLATE(R2493,""ES"",""EN"")"),"discovery, site")</f>
        <v>discovery, site</v>
      </c>
      <c r="R2493" s="28" t="s">
        <v>17551</v>
      </c>
      <c r="S2493" s="53" t="s">
        <v>17416</v>
      </c>
      <c r="T2493" s="32" t="s">
        <v>17417</v>
      </c>
    </row>
    <row r="2494">
      <c r="A2494" s="33" t="s">
        <v>17552</v>
      </c>
      <c r="B2494" s="76" t="s">
        <v>17553</v>
      </c>
      <c r="C2494" s="41">
        <v>45481.0</v>
      </c>
      <c r="D2494" s="40" t="s">
        <v>17554</v>
      </c>
      <c r="E2494" s="41" t="s">
        <v>17555</v>
      </c>
      <c r="F2494" s="43" t="s">
        <v>17556</v>
      </c>
      <c r="G2494" s="43" t="s">
        <v>17557</v>
      </c>
      <c r="H2494" s="51" t="s">
        <v>661</v>
      </c>
      <c r="I2494" s="15" t="str">
        <f>IFERROR(__xludf.DUMMYFUNCTION("GOOGLETRANSLATE(H2494,""EN"",""ES"")"),"Estrategia empresarial")</f>
        <v>Estrategia empresarial</v>
      </c>
      <c r="J2494" s="16" t="s">
        <v>35</v>
      </c>
      <c r="K2494" s="48">
        <v>0.6</v>
      </c>
      <c r="L2494" s="51" t="s">
        <v>17412</v>
      </c>
      <c r="M2494" s="34" t="s">
        <v>17413</v>
      </c>
      <c r="N2494" s="86" t="s">
        <v>17558</v>
      </c>
      <c r="O2494" s="86" t="str">
        <f>IFERROR(__xludf.DUMMYFUNCTION("GOOGLETRANSLATE(N2494,""EN"",""ES"")"),"Positivo ya que marca otro descubrimiento exitoso de petróleo.")</f>
        <v>Positivo ya que marca otro descubrimiento exitoso de petróleo.</v>
      </c>
      <c r="P2494" s="30">
        <v>0.5</v>
      </c>
      <c r="Q2494" s="18" t="str">
        <f>IFERROR(__xludf.DUMMYFUNCTION("GOOGLETRANSLATE(R2494,""ES"",""EN"")"),"discovery, oil")</f>
        <v>discovery, oil</v>
      </c>
      <c r="R2494" s="34" t="s">
        <v>17559</v>
      </c>
      <c r="S2494" s="52" t="s">
        <v>17416</v>
      </c>
      <c r="T2494" s="22" t="s">
        <v>17417</v>
      </c>
    </row>
    <row r="2495">
      <c r="A2495" s="23" t="s">
        <v>17560</v>
      </c>
      <c r="B2495" s="77" t="s">
        <v>977</v>
      </c>
      <c r="C2495" s="41">
        <v>45481.0</v>
      </c>
      <c r="D2495" s="40" t="s">
        <v>17561</v>
      </c>
      <c r="E2495" s="41" t="s">
        <v>17562</v>
      </c>
      <c r="F2495" s="43" t="s">
        <v>17563</v>
      </c>
      <c r="G2495" s="43" t="s">
        <v>17564</v>
      </c>
      <c r="H2495" s="51" t="s">
        <v>661</v>
      </c>
      <c r="I2495" s="25" t="str">
        <f>IFERROR(__xludf.DUMMYFUNCTION("GOOGLETRANSLATE(H2495,""EN"",""ES"")"),"Estrategia empresarial")</f>
        <v>Estrategia empresarial</v>
      </c>
      <c r="J2495" s="26" t="s">
        <v>35</v>
      </c>
      <c r="K2495" s="48">
        <v>0.6</v>
      </c>
      <c r="L2495" s="49" t="s">
        <v>17412</v>
      </c>
      <c r="M2495" s="28" t="s">
        <v>17413</v>
      </c>
      <c r="N2495" s="83" t="s">
        <v>17565</v>
      </c>
      <c r="O2495" s="83" t="str">
        <f>IFERROR(__xludf.DUMMYFUNCTION("GOOGLETRANSLATE(N2495,""EN"",""ES"")"),"Positivo ya que analiza los beneficios financieros de la exploración petrolera.")</f>
        <v>Positivo ya que analiza los beneficios financieros de la exploración petrolera.</v>
      </c>
      <c r="P2495" s="30">
        <v>0.4</v>
      </c>
      <c r="Q2495" s="31" t="str">
        <f>IFERROR(__xludf.DUMMYFUNCTION("GOOGLETRANSLATE(R2495,""ES"",""EN"")"),"oil well")</f>
        <v>oil well</v>
      </c>
      <c r="R2495" s="28" t="s">
        <v>17566</v>
      </c>
      <c r="S2495" s="53" t="s">
        <v>17416</v>
      </c>
      <c r="T2495" s="32" t="s">
        <v>17417</v>
      </c>
    </row>
    <row r="2496">
      <c r="A2496" s="33" t="s">
        <v>17567</v>
      </c>
      <c r="B2496" s="76" t="s">
        <v>977</v>
      </c>
      <c r="C2496" s="41">
        <v>45481.0</v>
      </c>
      <c r="D2496" s="40" t="s">
        <v>17568</v>
      </c>
      <c r="E2496" s="41" t="s">
        <v>17569</v>
      </c>
      <c r="F2496" s="43" t="s">
        <v>17570</v>
      </c>
      <c r="G2496" s="43" t="s">
        <v>17571</v>
      </c>
      <c r="H2496" s="51" t="s">
        <v>661</v>
      </c>
      <c r="I2496" s="15" t="str">
        <f>IFERROR(__xludf.DUMMYFUNCTION("GOOGLETRANSLATE(H2496,""EN"",""ES"")"),"Estrategia empresarial")</f>
        <v>Estrategia empresarial</v>
      </c>
      <c r="J2496" s="16" t="s">
        <v>35</v>
      </c>
      <c r="K2496" s="48">
        <v>0.6</v>
      </c>
      <c r="L2496" s="51" t="s">
        <v>17412</v>
      </c>
      <c r="M2496" s="34" t="s">
        <v>17413</v>
      </c>
      <c r="N2496" s="86" t="s">
        <v>17572</v>
      </c>
      <c r="O2496" s="86" t="str">
        <f>IFERROR(__xludf.DUMMYFUNCTION("GOOGLETRANSLATE(N2496,""EN"",""ES"")"),"Positivo ya que destaca un importante descubrimiento energético.")</f>
        <v>Positivo ya que destaca un importante descubrimiento energético.</v>
      </c>
      <c r="P2496" s="30">
        <v>0.5</v>
      </c>
      <c r="Q2496" s="18" t="str">
        <f>IFERROR(__xludf.DUMMYFUNCTION("GOOGLETRANSLATE(R2496,""ES"",""EN"")"),"deposits, oil")</f>
        <v>deposits, oil</v>
      </c>
      <c r="R2496" s="34" t="s">
        <v>17573</v>
      </c>
      <c r="S2496" s="52" t="s">
        <v>17416</v>
      </c>
      <c r="T2496" s="22" t="s">
        <v>17417</v>
      </c>
    </row>
    <row r="2497">
      <c r="A2497" s="23" t="s">
        <v>17574</v>
      </c>
      <c r="B2497" s="77" t="s">
        <v>17575</v>
      </c>
      <c r="C2497" s="41">
        <v>45481.0</v>
      </c>
      <c r="D2497" s="40" t="s">
        <v>17477</v>
      </c>
      <c r="E2497" s="41" t="s">
        <v>17576</v>
      </c>
      <c r="F2497" s="43" t="s">
        <v>17479</v>
      </c>
      <c r="G2497" s="43" t="s">
        <v>17577</v>
      </c>
      <c r="H2497" s="51" t="s">
        <v>661</v>
      </c>
      <c r="I2497" s="25" t="str">
        <f>IFERROR(__xludf.DUMMYFUNCTION("GOOGLETRANSLATE(H2497,""EN"",""ES"")"),"Estrategia empresarial")</f>
        <v>Estrategia empresarial</v>
      </c>
      <c r="J2497" s="26" t="s">
        <v>35</v>
      </c>
      <c r="K2497" s="48">
        <v>0.6</v>
      </c>
      <c r="L2497" s="49" t="s">
        <v>17412</v>
      </c>
      <c r="M2497" s="28" t="s">
        <v>17413</v>
      </c>
      <c r="N2497" s="83" t="s">
        <v>17578</v>
      </c>
      <c r="O2497" s="83" t="str">
        <f>IFERROR(__xludf.DUMMYFUNCTION("GOOGLETRANSLATE(N2497,""EN"",""ES"")"),"Positivo ya que refuerza la expansión de Repsol en exploración petrolera.")</f>
        <v>Positivo ya que refuerza la expansión de Repsol en exploración petrolera.</v>
      </c>
      <c r="P2497" s="30">
        <v>0.5</v>
      </c>
      <c r="Q2497" s="31" t="str">
        <f>IFERROR(__xludf.DUMMYFUNCTION("GOOGLETRANSLATE(R2497,""ES"",""EN"")"),"discovery, oil")</f>
        <v>discovery, oil</v>
      </c>
      <c r="R2497" s="28" t="s">
        <v>17415</v>
      </c>
      <c r="S2497" s="53" t="s">
        <v>17416</v>
      </c>
      <c r="T2497" s="32" t="s">
        <v>17417</v>
      </c>
    </row>
    <row r="2498">
      <c r="A2498" s="33" t="s">
        <v>17579</v>
      </c>
      <c r="B2498" s="76" t="s">
        <v>17580</v>
      </c>
      <c r="C2498" s="41">
        <v>45481.0</v>
      </c>
      <c r="D2498" s="40" t="s">
        <v>17581</v>
      </c>
      <c r="E2498" s="41" t="s">
        <v>17582</v>
      </c>
      <c r="F2498" s="43" t="s">
        <v>17583</v>
      </c>
      <c r="G2498" s="43" t="s">
        <v>17584</v>
      </c>
      <c r="H2498" s="51" t="s">
        <v>661</v>
      </c>
      <c r="I2498" s="15" t="str">
        <f>IFERROR(__xludf.DUMMYFUNCTION("GOOGLETRANSLATE(H2498,""EN"",""ES"")"),"Estrategia empresarial")</f>
        <v>Estrategia empresarial</v>
      </c>
      <c r="J2498" s="16" t="s">
        <v>35</v>
      </c>
      <c r="K2498" s="48">
        <v>0.6</v>
      </c>
      <c r="L2498" s="51" t="s">
        <v>17412</v>
      </c>
      <c r="M2498" s="34" t="s">
        <v>17413</v>
      </c>
      <c r="N2498" s="86" t="s">
        <v>17585</v>
      </c>
      <c r="O2498" s="86" t="str">
        <f>IFERROR(__xludf.DUMMYFUNCTION("GOOGLETRANSLATE(N2498,""EN"",""ES"")"),"Positivo ya que enfatiza el éxito continuo de la exploración energética.")</f>
        <v>Positivo ya que enfatiza el éxito continuo de la exploración energética.</v>
      </c>
      <c r="P2498" s="30">
        <v>0.5</v>
      </c>
      <c r="Q2498" s="18" t="str">
        <f>IFERROR(__xludf.DUMMYFUNCTION("GOOGLETRANSLATE(R2498,""ES"",""EN"")"),"discovery, oil")</f>
        <v>discovery, oil</v>
      </c>
      <c r="R2498" s="34" t="s">
        <v>17415</v>
      </c>
      <c r="S2498" s="52" t="s">
        <v>17416</v>
      </c>
      <c r="T2498" s="22" t="s">
        <v>17417</v>
      </c>
    </row>
    <row r="2499">
      <c r="A2499" s="23" t="s">
        <v>17586</v>
      </c>
      <c r="B2499" s="77" t="s">
        <v>217</v>
      </c>
      <c r="C2499" s="41">
        <v>45482.0</v>
      </c>
      <c r="D2499" s="40" t="s">
        <v>17587</v>
      </c>
      <c r="E2499" s="41" t="s">
        <v>17588</v>
      </c>
      <c r="F2499" s="43" t="s">
        <v>17589</v>
      </c>
      <c r="G2499" s="43" t="s">
        <v>17590</v>
      </c>
      <c r="H2499" s="51" t="s">
        <v>130</v>
      </c>
      <c r="I2499" s="25" t="str">
        <f>IFERROR(__xludf.DUMMYFUNCTION("GOOGLETRANSLATE(H2499,""EN"",""ES"")"),"Sostenibilidad")</f>
        <v>Sostenibilidad</v>
      </c>
      <c r="J2499" s="26" t="s">
        <v>35</v>
      </c>
      <c r="K2499" s="48">
        <v>0.7</v>
      </c>
      <c r="L2499" s="49" t="s">
        <v>17591</v>
      </c>
      <c r="M2499" s="28" t="s">
        <v>17592</v>
      </c>
      <c r="N2499" s="83" t="s">
        <v>17593</v>
      </c>
      <c r="O2499" s="83" t="str">
        <f>IFERROR(__xludf.DUMMYFUNCTION("GOOGLETRANSLATE(N2499,""EN"",""ES"")"),"Positivo porque pone de relieve el papel de Repsol en una importante iniciativa de energías renovables.")</f>
        <v>Positivo porque pone de relieve el papel de Repsol en una importante iniciativa de energías renovables.</v>
      </c>
      <c r="P2499" s="30">
        <v>0.8</v>
      </c>
      <c r="Q2499" s="31" t="str">
        <f>IFERROR(__xludf.DUMMYFUNCTION("GOOGLETRANSLATE(R2499,""ES"",""EN"")"),"green hydrogen")</f>
        <v>green hydrogen</v>
      </c>
      <c r="R2499" s="28" t="s">
        <v>11919</v>
      </c>
      <c r="S2499" s="53" t="s">
        <v>17594</v>
      </c>
      <c r="T2499" s="32" t="s">
        <v>17595</v>
      </c>
    </row>
    <row r="2500">
      <c r="A2500" s="33" t="s">
        <v>17596</v>
      </c>
      <c r="B2500" s="76" t="s">
        <v>17597</v>
      </c>
      <c r="C2500" s="41">
        <v>45482.0</v>
      </c>
      <c r="D2500" s="40" t="s">
        <v>17598</v>
      </c>
      <c r="E2500" s="41" t="s">
        <v>17599</v>
      </c>
      <c r="F2500" s="43" t="s">
        <v>17600</v>
      </c>
      <c r="G2500" s="43" t="s">
        <v>17601</v>
      </c>
      <c r="H2500" s="51" t="s">
        <v>130</v>
      </c>
      <c r="I2500" s="15" t="str">
        <f>IFERROR(__xludf.DUMMYFUNCTION("GOOGLETRANSLATE(H2500,""EN"",""ES"")"),"Sostenibilidad")</f>
        <v>Sostenibilidad</v>
      </c>
      <c r="J2500" s="16" t="s">
        <v>35</v>
      </c>
      <c r="K2500" s="48">
        <v>0.7</v>
      </c>
      <c r="L2500" s="51" t="s">
        <v>17591</v>
      </c>
      <c r="M2500" s="34" t="s">
        <v>17592</v>
      </c>
      <c r="N2500" s="86" t="s">
        <v>17602</v>
      </c>
      <c r="O2500" s="86" t="str">
        <f>IFERROR(__xludf.DUMMYFUNCTION("GOOGLETRANSLATE(N2500,""EN"",""ES"")"),"Positivo ya que indica inversión en tecnología de aviación sostenible.")</f>
        <v>Positivo ya que indica inversión en tecnología de aviación sostenible.</v>
      </c>
      <c r="P2500" s="30">
        <v>0.8</v>
      </c>
      <c r="Q2500" s="18" t="str">
        <f>IFERROR(__xludf.DUMMYFUNCTION("GOOGLETRANSLATE(R2500,""ES"",""EN"")"),"hydrogen, alliance")</f>
        <v>hydrogen, alliance</v>
      </c>
      <c r="R2500" s="34" t="s">
        <v>17603</v>
      </c>
      <c r="S2500" s="52" t="s">
        <v>17604</v>
      </c>
      <c r="T2500" s="22" t="s">
        <v>17605</v>
      </c>
    </row>
    <row r="2501">
      <c r="A2501" s="23" t="s">
        <v>17606</v>
      </c>
      <c r="B2501" s="77" t="s">
        <v>192</v>
      </c>
      <c r="C2501" s="41">
        <v>45482.0</v>
      </c>
      <c r="D2501" s="40" t="s">
        <v>17607</v>
      </c>
      <c r="E2501" s="41" t="s">
        <v>17608</v>
      </c>
      <c r="F2501" s="43" t="s">
        <v>17609</v>
      </c>
      <c r="G2501" s="43" t="s">
        <v>17610</v>
      </c>
      <c r="H2501" s="51" t="s">
        <v>130</v>
      </c>
      <c r="I2501" s="25" t="str">
        <f>IFERROR(__xludf.DUMMYFUNCTION("GOOGLETRANSLATE(H2501,""EN"",""ES"")"),"Sostenibilidad")</f>
        <v>Sostenibilidad</v>
      </c>
      <c r="J2501" s="26" t="s">
        <v>35</v>
      </c>
      <c r="K2501" s="48">
        <v>0.7</v>
      </c>
      <c r="L2501" s="49" t="s">
        <v>17611</v>
      </c>
      <c r="M2501" s="28" t="s">
        <v>17612</v>
      </c>
      <c r="N2501" s="83" t="s">
        <v>17613</v>
      </c>
      <c r="O2501" s="83" t="str">
        <f>IFERROR(__xludf.DUMMYFUNCTION("GOOGLETRANSLATE(N2501,""EN"",""ES"")"),"Positivo ya que destaca el apoyo gubernamental a los proyectos de hidrógeno de Repsol.")</f>
        <v>Positivo ya que destaca el apoyo gubernamental a los proyectos de hidrógeno de Repsol.</v>
      </c>
      <c r="P2501" s="30">
        <v>0.7</v>
      </c>
      <c r="Q2501" s="31" t="str">
        <f>IFERROR(__xludf.DUMMYFUNCTION("GOOGLETRANSLATE(R2501,""ES"",""EN"")"),"aid, green hydrogen")</f>
        <v>aid, green hydrogen</v>
      </c>
      <c r="R2501" s="28" t="s">
        <v>17614</v>
      </c>
      <c r="S2501" s="53" t="s">
        <v>17615</v>
      </c>
      <c r="T2501" s="32" t="s">
        <v>17616</v>
      </c>
    </row>
    <row r="2502">
      <c r="A2502" s="33" t="s">
        <v>17617</v>
      </c>
      <c r="B2502" s="76" t="s">
        <v>1072</v>
      </c>
      <c r="C2502" s="41">
        <v>45482.0</v>
      </c>
      <c r="D2502" s="40" t="s">
        <v>17618</v>
      </c>
      <c r="E2502" s="41" t="s">
        <v>17619</v>
      </c>
      <c r="F2502" s="43" t="s">
        <v>17620</v>
      </c>
      <c r="G2502" s="43" t="s">
        <v>17621</v>
      </c>
      <c r="H2502" s="51" t="s">
        <v>661</v>
      </c>
      <c r="I2502" s="15" t="str">
        <f>IFERROR(__xludf.DUMMYFUNCTION("GOOGLETRANSLATE(H2502,""EN"",""ES"")"),"Estrategia empresarial")</f>
        <v>Estrategia empresarial</v>
      </c>
      <c r="J2502" s="16" t="s">
        <v>35</v>
      </c>
      <c r="K2502" s="48">
        <v>0.6</v>
      </c>
      <c r="L2502" s="51" t="s">
        <v>17622</v>
      </c>
      <c r="M2502" s="34" t="s">
        <v>17623</v>
      </c>
      <c r="N2502" s="86" t="s">
        <v>17624</v>
      </c>
      <c r="O2502" s="86" t="str">
        <f>IFERROR(__xludf.DUMMYFUNCTION("GOOGLETRANSLATE(N2502,""EN"",""ES"")"),"Positivo porque destaca la inversión de Repsol en el desarrollo de los empleados.")</f>
        <v>Positivo porque destaca la inversión de Repsol en el desarrollo de los empleados.</v>
      </c>
      <c r="P2502" s="30">
        <v>0.3</v>
      </c>
      <c r="Q2502" s="18" t="str">
        <f>IFERROR(__xludf.DUMMYFUNCTION("GOOGLETRANSLATE(R2502,""ES"",""EN"")"),"leadership")</f>
        <v>leadership</v>
      </c>
      <c r="R2502" s="34" t="s">
        <v>17625</v>
      </c>
      <c r="S2502" s="52" t="s">
        <v>17626</v>
      </c>
      <c r="T2502" s="22" t="s">
        <v>17627</v>
      </c>
    </row>
    <row r="2503">
      <c r="A2503" s="23" t="s">
        <v>17628</v>
      </c>
      <c r="B2503" s="77" t="s">
        <v>103</v>
      </c>
      <c r="C2503" s="41">
        <v>45482.0</v>
      </c>
      <c r="D2503" s="40" t="s">
        <v>17629</v>
      </c>
      <c r="E2503" s="41" t="s">
        <v>17630</v>
      </c>
      <c r="F2503" s="43" t="s">
        <v>17631</v>
      </c>
      <c r="G2503" s="43" t="s">
        <v>17632</v>
      </c>
      <c r="H2503" s="51" t="s">
        <v>130</v>
      </c>
      <c r="I2503" s="25" t="str">
        <f>IFERROR(__xludf.DUMMYFUNCTION("GOOGLETRANSLATE(H2503,""EN"",""ES"")"),"Sostenibilidad")</f>
        <v>Sostenibilidad</v>
      </c>
      <c r="J2503" s="26" t="s">
        <v>35</v>
      </c>
      <c r="K2503" s="48">
        <v>0.7</v>
      </c>
      <c r="L2503" s="49" t="s">
        <v>17611</v>
      </c>
      <c r="M2503" s="28" t="s">
        <v>17612</v>
      </c>
      <c r="N2503" s="83" t="s">
        <v>17633</v>
      </c>
      <c r="O2503" s="83" t="str">
        <f>IFERROR(__xludf.DUMMYFUNCTION("GOOGLETRANSLATE(N2503,""EN"",""ES"")"),"Positivo ya que enfatiza una financiación sustancial para proyectos de energía verde.")</f>
        <v>Positivo ya que enfatiza una financiación sustancial para proyectos de energía verde.</v>
      </c>
      <c r="P2503" s="30">
        <v>0.7</v>
      </c>
      <c r="Q2503" s="31" t="str">
        <f>IFERROR(__xludf.DUMMYFUNCTION("GOOGLETRANSLATE(R2503,""ES"",""EN"")"),"aids, hydrogen")</f>
        <v>aids, hydrogen</v>
      </c>
      <c r="R2503" s="28" t="s">
        <v>17634</v>
      </c>
      <c r="S2503" s="53" t="s">
        <v>17635</v>
      </c>
      <c r="T2503" s="32" t="s">
        <v>17636</v>
      </c>
    </row>
    <row r="2504">
      <c r="A2504" s="33" t="s">
        <v>17637</v>
      </c>
      <c r="B2504" s="76" t="s">
        <v>6759</v>
      </c>
      <c r="C2504" s="41">
        <v>45482.0</v>
      </c>
      <c r="D2504" s="40" t="s">
        <v>17638</v>
      </c>
      <c r="E2504" s="41" t="s">
        <v>17639</v>
      </c>
      <c r="F2504" s="43" t="s">
        <v>17640</v>
      </c>
      <c r="G2504" s="43" t="s">
        <v>17641</v>
      </c>
      <c r="H2504" s="51" t="s">
        <v>130</v>
      </c>
      <c r="I2504" s="15" t="str">
        <f>IFERROR(__xludf.DUMMYFUNCTION("GOOGLETRANSLATE(H2504,""EN"",""ES"")"),"Sostenibilidad")</f>
        <v>Sostenibilidad</v>
      </c>
      <c r="J2504" s="16" t="s">
        <v>35</v>
      </c>
      <c r="K2504" s="48">
        <v>0.7</v>
      </c>
      <c r="L2504" s="51" t="s">
        <v>17611</v>
      </c>
      <c r="M2504" s="34" t="s">
        <v>17612</v>
      </c>
      <c r="N2504" s="86" t="s">
        <v>17642</v>
      </c>
      <c r="O2504" s="86" t="str">
        <f>IFERROR(__xludf.DUMMYFUNCTION("GOOGLETRANSLATE(N2504,""EN"",""ES"")"),"Positivo porque pone de relieve la inversión gubernamental en los esfuerzos de sostenibilidad de Repsol.")</f>
        <v>Positivo porque pone de relieve la inversión gubernamental en los esfuerzos de sostenibilidad de Repsol.</v>
      </c>
      <c r="P2504" s="30">
        <v>0.8</v>
      </c>
      <c r="Q2504" s="18" t="str">
        <f>IFERROR(__xludf.DUMMYFUNCTION("GOOGLETRANSLATE(R2504,""ES"",""EN"")"),"green hydrogen, investment")</f>
        <v>green hydrogen, investment</v>
      </c>
      <c r="R2504" s="34" t="s">
        <v>1624</v>
      </c>
      <c r="S2504" s="52" t="s">
        <v>17643</v>
      </c>
      <c r="T2504" s="22" t="s">
        <v>17644</v>
      </c>
    </row>
    <row r="2505">
      <c r="A2505" s="23" t="s">
        <v>17645</v>
      </c>
      <c r="B2505" s="77" t="s">
        <v>614</v>
      </c>
      <c r="C2505" s="41">
        <v>45482.0</v>
      </c>
      <c r="D2505" s="40" t="s">
        <v>17646</v>
      </c>
      <c r="E2505" s="41" t="s">
        <v>17647</v>
      </c>
      <c r="F2505" s="43" t="s">
        <v>17648</v>
      </c>
      <c r="G2505" s="43" t="s">
        <v>17649</v>
      </c>
      <c r="H2505" s="51" t="s">
        <v>130</v>
      </c>
      <c r="I2505" s="25" t="str">
        <f>IFERROR(__xludf.DUMMYFUNCTION("GOOGLETRANSLATE(H2505,""EN"",""ES"")"),"Sostenibilidad")</f>
        <v>Sostenibilidad</v>
      </c>
      <c r="J2505" s="26" t="s">
        <v>35</v>
      </c>
      <c r="K2505" s="48">
        <v>0.7</v>
      </c>
      <c r="L2505" s="49" t="s">
        <v>17591</v>
      </c>
      <c r="M2505" s="28" t="s">
        <v>17592</v>
      </c>
      <c r="N2505" s="83" t="s">
        <v>17650</v>
      </c>
      <c r="O2505" s="83" t="str">
        <f>IFERROR(__xludf.DUMMYFUNCTION("GOOGLETRANSLATE(N2505,""EN"",""ES"")"),"Positivo ya que apoya un proyecto innovador de energía sostenible.")</f>
        <v>Positivo ya que apoya un proyecto innovador de energía sostenible.</v>
      </c>
      <c r="P2505" s="30">
        <v>0.8</v>
      </c>
      <c r="Q2505" s="31" t="str">
        <f>IFERROR(__xludf.DUMMYFUNCTION("GOOGLETRANSLATE(R2505,""ES"",""EN"")"),"alliance, hydrogen")</f>
        <v>alliance, hydrogen</v>
      </c>
      <c r="R2505" s="28" t="s">
        <v>13721</v>
      </c>
      <c r="S2505" s="53" t="s">
        <v>17651</v>
      </c>
      <c r="T2505" s="32" t="s">
        <v>17652</v>
      </c>
    </row>
    <row r="2506">
      <c r="A2506" s="33" t="s">
        <v>17653</v>
      </c>
      <c r="B2506" s="76" t="s">
        <v>17654</v>
      </c>
      <c r="C2506" s="41">
        <v>45482.0</v>
      </c>
      <c r="D2506" s="40" t="s">
        <v>17655</v>
      </c>
      <c r="E2506" s="41" t="s">
        <v>17656</v>
      </c>
      <c r="F2506" s="43" t="s">
        <v>17657</v>
      </c>
      <c r="G2506" s="43" t="s">
        <v>17658</v>
      </c>
      <c r="H2506" s="51" t="s">
        <v>408</v>
      </c>
      <c r="I2506" s="15" t="str">
        <f>IFERROR(__xludf.DUMMYFUNCTION("GOOGLETRANSLATE(H2506,""EN"",""ES"")"),"Legal")</f>
        <v>Legal</v>
      </c>
      <c r="J2506" s="16" t="s">
        <v>35</v>
      </c>
      <c r="K2506" s="48">
        <v>-0.6</v>
      </c>
      <c r="L2506" s="51" t="s">
        <v>17659</v>
      </c>
      <c r="M2506" s="34" t="s">
        <v>17660</v>
      </c>
      <c r="N2506" s="86" t="s">
        <v>17661</v>
      </c>
      <c r="O2506" s="86" t="str">
        <f>IFERROR(__xludf.DUMMYFUNCTION("GOOGLETRANSLATE(N2506,""EN"",""ES"")"),"Negativo al informar de una orden de indemnización y perjuicio judicial contra Repsol.")</f>
        <v>Negativo al informar de una orden de indemnización y perjuicio judicial contra Repsol.</v>
      </c>
      <c r="P2506" s="30">
        <v>-0.5</v>
      </c>
      <c r="Q2506" s="18" t="str">
        <f>IFERROR(__xludf.DUMMYFUNCTION("GOOGLETRANSLATE(R2506,""ES"",""EN"")"),"compensate, freedom of association")</f>
        <v>compensate, freedom of association</v>
      </c>
      <c r="R2506" s="34" t="s">
        <v>17662</v>
      </c>
      <c r="S2506" s="52" t="s">
        <v>17663</v>
      </c>
      <c r="T2506" s="22" t="s">
        <v>17664</v>
      </c>
    </row>
    <row r="2507">
      <c r="A2507" s="23" t="s">
        <v>17665</v>
      </c>
      <c r="B2507" s="77" t="s">
        <v>21</v>
      </c>
      <c r="C2507" s="41">
        <v>45482.0</v>
      </c>
      <c r="D2507" s="40" t="s">
        <v>17666</v>
      </c>
      <c r="E2507" s="41" t="s">
        <v>17667</v>
      </c>
      <c r="F2507" s="43" t="s">
        <v>17668</v>
      </c>
      <c r="G2507" s="43" t="s">
        <v>17669</v>
      </c>
      <c r="H2507" s="51" t="s">
        <v>969</v>
      </c>
      <c r="I2507" s="25" t="str">
        <f>IFERROR(__xludf.DUMMYFUNCTION("GOOGLETRANSLATE(H2507,""EN"",""ES"")"),"Turismo")</f>
        <v>Turismo</v>
      </c>
      <c r="J2507" s="26" t="s">
        <v>27</v>
      </c>
      <c r="K2507" s="17">
        <v>0.0</v>
      </c>
      <c r="L2507" s="54"/>
      <c r="M2507" s="31"/>
      <c r="N2507" s="83"/>
      <c r="O2507" s="83"/>
      <c r="P2507" s="20">
        <v>0.0</v>
      </c>
      <c r="Q2507" s="31"/>
      <c r="R2507" s="31"/>
      <c r="S2507" s="53"/>
      <c r="T2507" s="32"/>
    </row>
    <row r="2508">
      <c r="A2508" s="33" t="s">
        <v>17670</v>
      </c>
      <c r="B2508" s="76" t="s">
        <v>85</v>
      </c>
      <c r="C2508" s="41">
        <v>45482.0</v>
      </c>
      <c r="D2508" s="40" t="s">
        <v>17671</v>
      </c>
      <c r="E2508" s="41" t="s">
        <v>17672</v>
      </c>
      <c r="F2508" s="43" t="s">
        <v>17673</v>
      </c>
      <c r="G2508" s="43" t="s">
        <v>17674</v>
      </c>
      <c r="H2508" s="51" t="s">
        <v>130</v>
      </c>
      <c r="I2508" s="15" t="str">
        <f>IFERROR(__xludf.DUMMYFUNCTION("GOOGLETRANSLATE(H2508,""EN"",""ES"")"),"Sostenibilidad")</f>
        <v>Sostenibilidad</v>
      </c>
      <c r="J2508" s="16" t="s">
        <v>35</v>
      </c>
      <c r="K2508" s="48">
        <v>0.7</v>
      </c>
      <c r="L2508" s="51" t="s">
        <v>17591</v>
      </c>
      <c r="M2508" s="34" t="s">
        <v>17592</v>
      </c>
      <c r="N2508" s="86" t="s">
        <v>17675</v>
      </c>
      <c r="O2508" s="86" t="str">
        <f>IFERROR(__xludf.DUMMYFUNCTION("GOOGLETRANSLATE(N2508,""EN"",""ES"")"),"Positivo porque muestra la apuesta de Repsol por las energías renovables.")</f>
        <v>Positivo porque muestra la apuesta de Repsol por las energías renovables.</v>
      </c>
      <c r="P2508" s="30">
        <v>0.8</v>
      </c>
      <c r="Q2508" s="18" t="str">
        <f>IFERROR(__xludf.DUMMYFUNCTION("GOOGLETRANSLATE(R2508,""ES"",""EN"")"),"alliance, hydrogen")</f>
        <v>alliance, hydrogen</v>
      </c>
      <c r="R2508" s="34" t="s">
        <v>13721</v>
      </c>
      <c r="S2508" s="52" t="s">
        <v>17676</v>
      </c>
      <c r="T2508" s="22" t="s">
        <v>17677</v>
      </c>
    </row>
    <row r="2509">
      <c r="A2509" s="23" t="s">
        <v>17678</v>
      </c>
      <c r="B2509" s="77" t="s">
        <v>1831</v>
      </c>
      <c r="C2509" s="41">
        <v>45482.0</v>
      </c>
      <c r="D2509" s="40" t="s">
        <v>17679</v>
      </c>
      <c r="E2509" s="41" t="s">
        <v>17680</v>
      </c>
      <c r="F2509" s="43" t="s">
        <v>17681</v>
      </c>
      <c r="G2509" s="43" t="s">
        <v>17682</v>
      </c>
      <c r="H2509" s="51" t="s">
        <v>130</v>
      </c>
      <c r="I2509" s="25" t="str">
        <f>IFERROR(__xludf.DUMMYFUNCTION("GOOGLETRANSLATE(H2509,""EN"",""ES"")"),"Sostenibilidad")</f>
        <v>Sostenibilidad</v>
      </c>
      <c r="J2509" s="26" t="s">
        <v>35</v>
      </c>
      <c r="K2509" s="48">
        <v>0.7</v>
      </c>
      <c r="L2509" s="49" t="s">
        <v>17683</v>
      </c>
      <c r="M2509" s="28" t="s">
        <v>17684</v>
      </c>
      <c r="N2509" s="83" t="s">
        <v>17685</v>
      </c>
      <c r="O2509" s="83" t="str">
        <f>IFERROR(__xludf.DUMMYFUNCTION("GOOGLETRANSLATE(N2509,""EN"",""ES"")"),"Positivo porque pone de relieve el avance de Repsol en la tecnología de combustibles renovables.")</f>
        <v>Positivo porque pone de relieve el avance de Repsol en la tecnología de combustibles renovables.</v>
      </c>
      <c r="P2509" s="30">
        <v>0.6</v>
      </c>
      <c r="Q2509" s="31" t="str">
        <f>IFERROR(__xludf.DUMMYFUNCTION("GOOGLETRANSLATE(R2509,""ES"",""EN"")"),"renewable fuel")</f>
        <v>renewable fuel</v>
      </c>
      <c r="R2509" s="28" t="s">
        <v>10542</v>
      </c>
      <c r="S2509" s="53" t="s">
        <v>17686</v>
      </c>
      <c r="T2509" s="32" t="s">
        <v>17687</v>
      </c>
    </row>
    <row r="2510">
      <c r="A2510" s="33" t="s">
        <v>17688</v>
      </c>
      <c r="B2510" s="76" t="s">
        <v>163</v>
      </c>
      <c r="C2510" s="41">
        <v>45482.0</v>
      </c>
      <c r="D2510" s="40" t="s">
        <v>17689</v>
      </c>
      <c r="E2510" s="41" t="s">
        <v>17690</v>
      </c>
      <c r="F2510" s="43" t="s">
        <v>17691</v>
      </c>
      <c r="G2510" s="43" t="s">
        <v>17692</v>
      </c>
      <c r="H2510" s="51" t="s">
        <v>130</v>
      </c>
      <c r="I2510" s="15" t="str">
        <f>IFERROR(__xludf.DUMMYFUNCTION("GOOGLETRANSLATE(H2510,""EN"",""ES"")"),"Sostenibilidad")</f>
        <v>Sostenibilidad</v>
      </c>
      <c r="J2510" s="16" t="s">
        <v>35</v>
      </c>
      <c r="K2510" s="48">
        <v>0.7</v>
      </c>
      <c r="L2510" s="51" t="s">
        <v>14412</v>
      </c>
      <c r="M2510" s="34" t="s">
        <v>14413</v>
      </c>
      <c r="N2510" s="86" t="s">
        <v>17693</v>
      </c>
      <c r="O2510" s="86" t="str">
        <f>IFERROR(__xludf.DUMMYFUNCTION("GOOGLETRANSLATE(N2510,""EN"",""ES"")"),"Positivo ya que promueve una iniciativa rentable y respetuosa con el medio ambiente.")</f>
        <v>Positivo ya que promueve una iniciativa rentable y respetuosa con el medio ambiente.</v>
      </c>
      <c r="P2510" s="30">
        <v>0.5</v>
      </c>
      <c r="Q2510" s="18" t="str">
        <f>IFERROR(__xludf.DUMMYFUNCTION("GOOGLETRANSLATE(R2510,""ES"",""EN"")"),"recycled oil")</f>
        <v>recycled oil</v>
      </c>
      <c r="R2510" s="34" t="s">
        <v>17694</v>
      </c>
      <c r="S2510" s="52" t="s">
        <v>17695</v>
      </c>
      <c r="T2510" s="22" t="s">
        <v>17696</v>
      </c>
    </row>
    <row r="2511">
      <c r="A2511" s="23" t="s">
        <v>17697</v>
      </c>
      <c r="B2511" s="77" t="s">
        <v>43</v>
      </c>
      <c r="C2511" s="41">
        <v>45482.0</v>
      </c>
      <c r="D2511" s="40" t="s">
        <v>17698</v>
      </c>
      <c r="E2511" s="41" t="s">
        <v>17699</v>
      </c>
      <c r="F2511" s="43" t="s">
        <v>17700</v>
      </c>
      <c r="G2511" s="43" t="s">
        <v>17701</v>
      </c>
      <c r="H2511" s="51" t="s">
        <v>661</v>
      </c>
      <c r="I2511" s="25" t="str">
        <f>IFERROR(__xludf.DUMMYFUNCTION("GOOGLETRANSLATE(H2511,""EN"",""ES"")"),"Estrategia empresarial")</f>
        <v>Estrategia empresarial</v>
      </c>
      <c r="J2511" s="26" t="s">
        <v>35</v>
      </c>
      <c r="K2511" s="48">
        <v>0.6</v>
      </c>
      <c r="L2511" s="49" t="s">
        <v>17702</v>
      </c>
      <c r="M2511" s="28" t="s">
        <v>17703</v>
      </c>
      <c r="N2511" s="83" t="s">
        <v>17704</v>
      </c>
      <c r="O2511" s="83" t="str">
        <f>IFERROR(__xludf.DUMMYFUNCTION("GOOGLETRANSLATE(N2511,""EN"",""ES"")"),"Positivo porque indica una beneficiosa alianza comercial con el servicio digital de Repsol.")</f>
        <v>Positivo porque indica una beneficiosa alianza comercial con el servicio digital de Repsol.</v>
      </c>
      <c r="P2511" s="30">
        <v>0.4</v>
      </c>
      <c r="Q2511" s="31" t="str">
        <f>IFERROR(__xludf.DUMMYFUNCTION("GOOGLETRANSLATE(R2511,""ES"",""EN"")"),"alliance, Waylet")</f>
        <v>alliance, Waylet</v>
      </c>
      <c r="R2511" s="28" t="s">
        <v>17705</v>
      </c>
      <c r="S2511" s="53" t="s">
        <v>17706</v>
      </c>
      <c r="T2511" s="32" t="s">
        <v>17707</v>
      </c>
    </row>
    <row r="2512">
      <c r="A2512" s="33" t="s">
        <v>17708</v>
      </c>
      <c r="B2512" s="76" t="s">
        <v>977</v>
      </c>
      <c r="C2512" s="41">
        <v>45482.0</v>
      </c>
      <c r="D2512" s="40" t="s">
        <v>17709</v>
      </c>
      <c r="E2512" s="41" t="s">
        <v>17710</v>
      </c>
      <c r="F2512" s="43" t="s">
        <v>17711</v>
      </c>
      <c r="G2512" s="43" t="s">
        <v>17712</v>
      </c>
      <c r="H2512" s="51" t="s">
        <v>148</v>
      </c>
      <c r="I2512" s="15" t="str">
        <f>IFERROR(__xludf.DUMMYFUNCTION("GOOGLETRANSLATE(H2512,""EN"",""ES"")"),"Gastronomía")</f>
        <v>Gastronomía</v>
      </c>
      <c r="J2512" s="16" t="s">
        <v>27</v>
      </c>
      <c r="K2512" s="17">
        <v>0.0</v>
      </c>
      <c r="L2512" s="45"/>
      <c r="M2512" s="18"/>
      <c r="N2512" s="86"/>
      <c r="O2512" s="86"/>
      <c r="P2512" s="20">
        <v>0.0</v>
      </c>
      <c r="Q2512" s="18"/>
      <c r="R2512" s="18"/>
      <c r="S2512" s="52"/>
      <c r="T2512" s="22"/>
    </row>
    <row r="2513">
      <c r="A2513" s="23" t="s">
        <v>17713</v>
      </c>
      <c r="B2513" s="77" t="s">
        <v>15061</v>
      </c>
      <c r="C2513" s="41">
        <v>45482.0</v>
      </c>
      <c r="D2513" s="40" t="s">
        <v>17714</v>
      </c>
      <c r="E2513" s="41" t="s">
        <v>17715</v>
      </c>
      <c r="F2513" s="43" t="s">
        <v>17716</v>
      </c>
      <c r="G2513" s="43" t="s">
        <v>17717</v>
      </c>
      <c r="H2513" s="51" t="s">
        <v>148</v>
      </c>
      <c r="I2513" s="25" t="str">
        <f>IFERROR(__xludf.DUMMYFUNCTION("GOOGLETRANSLATE(H2513,""EN"",""ES"")"),"Gastronomía")</f>
        <v>Gastronomía</v>
      </c>
      <c r="J2513" s="26" t="s">
        <v>27</v>
      </c>
      <c r="K2513" s="17">
        <v>0.0</v>
      </c>
      <c r="L2513" s="54"/>
      <c r="M2513" s="31"/>
      <c r="N2513" s="83"/>
      <c r="O2513" s="83"/>
      <c r="P2513" s="20">
        <v>0.0</v>
      </c>
      <c r="Q2513" s="31"/>
      <c r="R2513" s="31"/>
      <c r="S2513" s="53"/>
      <c r="T2513" s="32"/>
    </row>
    <row r="2514">
      <c r="A2514" s="33" t="s">
        <v>17718</v>
      </c>
      <c r="B2514" s="76" t="s">
        <v>217</v>
      </c>
      <c r="C2514" s="41">
        <v>45482.0</v>
      </c>
      <c r="D2514" s="40" t="s">
        <v>17719</v>
      </c>
      <c r="E2514" s="41" t="s">
        <v>17720</v>
      </c>
      <c r="F2514" s="43" t="s">
        <v>17721</v>
      </c>
      <c r="G2514" s="43" t="s">
        <v>17722</v>
      </c>
      <c r="H2514" s="51" t="s">
        <v>130</v>
      </c>
      <c r="I2514" s="15" t="str">
        <f>IFERROR(__xludf.DUMMYFUNCTION("GOOGLETRANSLATE(H2514,""EN"",""ES"")"),"Sostenibilidad")</f>
        <v>Sostenibilidad</v>
      </c>
      <c r="J2514" s="16" t="s">
        <v>35</v>
      </c>
      <c r="K2514" s="48">
        <v>0.7</v>
      </c>
      <c r="L2514" s="51" t="s">
        <v>17611</v>
      </c>
      <c r="M2514" s="34" t="s">
        <v>17612</v>
      </c>
      <c r="N2514" s="86" t="s">
        <v>17723</v>
      </c>
      <c r="O2514" s="86" t="str">
        <f>IFERROR(__xludf.DUMMYFUNCTION("GOOGLETRANSLATE(N2514,""EN"",""ES"")"),"Positivo ya que destaca un importante apoyo financiero a los proyectos de hidrógeno verde de Repsol.")</f>
        <v>Positivo ya que destaca un importante apoyo financiero a los proyectos de hidrógeno verde de Repsol.</v>
      </c>
      <c r="P2514" s="30">
        <v>0.7</v>
      </c>
      <c r="Q2514" s="18" t="str">
        <f>IFERROR(__xludf.DUMMYFUNCTION("GOOGLETRANSLATE(R2514,""ES"",""EN"")"),"green hydrogen, aid")</f>
        <v>green hydrogen, aid</v>
      </c>
      <c r="R2514" s="34" t="s">
        <v>17724</v>
      </c>
      <c r="S2514" s="52" t="s">
        <v>17725</v>
      </c>
      <c r="T2514" s="22" t="s">
        <v>17726</v>
      </c>
    </row>
    <row r="2515">
      <c r="A2515" s="23" t="s">
        <v>17727</v>
      </c>
      <c r="B2515" s="77" t="s">
        <v>103</v>
      </c>
      <c r="C2515" s="41">
        <v>45482.0</v>
      </c>
      <c r="D2515" s="40" t="s">
        <v>17728</v>
      </c>
      <c r="E2515" s="41" t="s">
        <v>17729</v>
      </c>
      <c r="F2515" s="43" t="s">
        <v>17730</v>
      </c>
      <c r="G2515" s="43" t="s">
        <v>17731</v>
      </c>
      <c r="H2515" s="51" t="s">
        <v>130</v>
      </c>
      <c r="I2515" s="25" t="str">
        <f>IFERROR(__xludf.DUMMYFUNCTION("GOOGLETRANSLATE(H2515,""EN"",""ES"")"),"Sostenibilidad")</f>
        <v>Sostenibilidad</v>
      </c>
      <c r="J2515" s="26" t="s">
        <v>35</v>
      </c>
      <c r="K2515" s="48">
        <v>0.7</v>
      </c>
      <c r="L2515" s="49" t="s">
        <v>17591</v>
      </c>
      <c r="M2515" s="28" t="s">
        <v>17592</v>
      </c>
      <c r="N2515" s="83" t="s">
        <v>17602</v>
      </c>
      <c r="O2515" s="83" t="str">
        <f>IFERROR(__xludf.DUMMYFUNCTION("GOOGLETRANSLATE(N2515,""EN"",""ES"")"),"Positivo ya que indica inversión en tecnología de aviación sostenible.")</f>
        <v>Positivo ya que indica inversión en tecnología de aviación sostenible.</v>
      </c>
      <c r="P2515" s="30">
        <v>0.8</v>
      </c>
      <c r="Q2515" s="31" t="str">
        <f>IFERROR(__xludf.DUMMYFUNCTION("GOOGLETRANSLATE(R2515,""ES"",""EN"")"),"hydrogen, alliance")</f>
        <v>hydrogen, alliance</v>
      </c>
      <c r="R2515" s="28" t="s">
        <v>17603</v>
      </c>
      <c r="S2515" s="53" t="s">
        <v>17676</v>
      </c>
      <c r="T2515" s="32" t="s">
        <v>17677</v>
      </c>
    </row>
    <row r="2516">
      <c r="A2516" s="33" t="s">
        <v>17732</v>
      </c>
      <c r="B2516" s="76" t="s">
        <v>21</v>
      </c>
      <c r="C2516" s="41">
        <v>45482.0</v>
      </c>
      <c r="D2516" s="40" t="s">
        <v>17733</v>
      </c>
      <c r="E2516" s="41" t="s">
        <v>17733</v>
      </c>
      <c r="F2516" s="43" t="s">
        <v>17734</v>
      </c>
      <c r="G2516" s="43" t="s">
        <v>17734</v>
      </c>
      <c r="H2516" s="51" t="s">
        <v>148</v>
      </c>
      <c r="I2516" s="15" t="str">
        <f>IFERROR(__xludf.DUMMYFUNCTION("GOOGLETRANSLATE(H2516,""EN"",""ES"")"),"Gastronomía")</f>
        <v>Gastronomía</v>
      </c>
      <c r="J2516" s="16" t="s">
        <v>27</v>
      </c>
      <c r="K2516" s="17">
        <v>0.0</v>
      </c>
      <c r="L2516" s="45"/>
      <c r="M2516" s="18"/>
      <c r="N2516" s="86"/>
      <c r="O2516" s="86"/>
      <c r="P2516" s="20">
        <v>0.0</v>
      </c>
      <c r="Q2516" s="18"/>
      <c r="R2516" s="18"/>
      <c r="S2516" s="52"/>
      <c r="T2516" s="22"/>
    </row>
    <row r="2517">
      <c r="A2517" s="23" t="s">
        <v>17735</v>
      </c>
      <c r="B2517" s="77" t="s">
        <v>217</v>
      </c>
      <c r="C2517" s="41">
        <v>45482.0</v>
      </c>
      <c r="D2517" s="40" t="s">
        <v>17736</v>
      </c>
      <c r="E2517" s="41" t="s">
        <v>17737</v>
      </c>
      <c r="F2517" s="43" t="s">
        <v>17738</v>
      </c>
      <c r="G2517" s="43" t="s">
        <v>17739</v>
      </c>
      <c r="H2517" s="51" t="s">
        <v>661</v>
      </c>
      <c r="I2517" s="25" t="str">
        <f>IFERROR(__xludf.DUMMYFUNCTION("GOOGLETRANSLATE(H2517,""EN"",""ES"")"),"Estrategia empresarial")</f>
        <v>Estrategia empresarial</v>
      </c>
      <c r="J2517" s="26" t="s">
        <v>35</v>
      </c>
      <c r="K2517" s="48">
        <v>-0.5</v>
      </c>
      <c r="L2517" s="49" t="s">
        <v>17740</v>
      </c>
      <c r="M2517" s="28" t="s">
        <v>17741</v>
      </c>
      <c r="N2517" s="83" t="s">
        <v>17742</v>
      </c>
      <c r="O2517" s="83" t="str">
        <f>IFERROR(__xludf.DUMMYFUNCTION("GOOGLETRANSLATE(N2517,""EN"",""ES"")"),"Ligeramente negativo, ya que enmarca a Repsol como una acción en dificultades en comparación con sus competidores.")</f>
        <v>Ligeramente negativo, ya que enmarca a Repsol como una acción en dificultades en comparación con sus competidores.</v>
      </c>
      <c r="P2517" s="30">
        <v>-0.2</v>
      </c>
      <c r="Q2517" s="31" t="str">
        <f>IFERROR(__xludf.DUMMYFUNCTION("GOOGLETRANSLATE(R2517,""ES"",""EN"")"),"#VALUE!")</f>
        <v>#VALUE!</v>
      </c>
      <c r="R2517" s="31"/>
      <c r="S2517" s="53" t="s">
        <v>17743</v>
      </c>
      <c r="T2517" s="32" t="s">
        <v>17744</v>
      </c>
    </row>
    <row r="2518">
      <c r="A2518" s="33" t="s">
        <v>17745</v>
      </c>
      <c r="B2518" s="76" t="s">
        <v>260</v>
      </c>
      <c r="C2518" s="41">
        <v>45482.0</v>
      </c>
      <c r="D2518" s="40" t="s">
        <v>17746</v>
      </c>
      <c r="E2518" s="41" t="s">
        <v>17747</v>
      </c>
      <c r="F2518" s="43" t="s">
        <v>17748</v>
      </c>
      <c r="G2518" s="43" t="s">
        <v>17749</v>
      </c>
      <c r="H2518" s="51" t="s">
        <v>130</v>
      </c>
      <c r="I2518" s="15" t="str">
        <f>IFERROR(__xludf.DUMMYFUNCTION("GOOGLETRANSLATE(H2518,""EN"",""ES"")"),"Sostenibilidad")</f>
        <v>Sostenibilidad</v>
      </c>
      <c r="J2518" s="16" t="s">
        <v>35</v>
      </c>
      <c r="K2518" s="48">
        <v>0.7</v>
      </c>
      <c r="L2518" s="51" t="s">
        <v>16750</v>
      </c>
      <c r="M2518" s="34" t="s">
        <v>16751</v>
      </c>
      <c r="N2518" s="86" t="s">
        <v>17750</v>
      </c>
      <c r="O2518" s="86" t="str">
        <f>IFERROR(__xludf.DUMMYFUNCTION("GOOGLETRANSLATE(N2518,""EN"",""ES"")"),"Positivo porque pone de relieve el liderazgo de Repsol en iniciativas de energía verde.")</f>
        <v>Positivo porque pone de relieve el liderazgo de Repsol en iniciativas de energía verde.</v>
      </c>
      <c r="P2518" s="30">
        <v>0.8</v>
      </c>
      <c r="Q2518" s="18" t="str">
        <f>IFERROR(__xludf.DUMMYFUNCTION("GOOGLETRANSLATE(R2518,""ES"",""EN"")"),"green hydrogen, alliance")</f>
        <v>green hydrogen, alliance</v>
      </c>
      <c r="R2518" s="34" t="s">
        <v>17751</v>
      </c>
      <c r="S2518" s="52" t="s">
        <v>17752</v>
      </c>
      <c r="T2518" s="22" t="s">
        <v>17753</v>
      </c>
    </row>
    <row r="2519">
      <c r="A2519" s="23" t="s">
        <v>17754</v>
      </c>
      <c r="B2519" s="77" t="s">
        <v>85</v>
      </c>
      <c r="C2519" s="41">
        <v>45482.0</v>
      </c>
      <c r="D2519" s="40" t="s">
        <v>17755</v>
      </c>
      <c r="E2519" s="41" t="s">
        <v>17756</v>
      </c>
      <c r="F2519" s="43" t="s">
        <v>17757</v>
      </c>
      <c r="G2519" s="43" t="s">
        <v>17758</v>
      </c>
      <c r="H2519" s="51" t="s">
        <v>1914</v>
      </c>
      <c r="I2519" s="25" t="str">
        <f>IFERROR(__xludf.DUMMYFUNCTION("GOOGLETRANSLATE(H2519,""EN"",""ES"")"),"Política energética")</f>
        <v>Política energética</v>
      </c>
      <c r="J2519" s="26" t="s">
        <v>35</v>
      </c>
      <c r="K2519" s="48">
        <v>0.0</v>
      </c>
      <c r="L2519" s="54"/>
      <c r="M2519" s="31"/>
      <c r="N2519" s="83" t="s">
        <v>17759</v>
      </c>
      <c r="O2519" s="83" t="str">
        <f>IFERROR(__xludf.DUMMYFUNCTION("GOOGLETRANSLATE(N2519,""EN"",""ES"")"),"Neutral ya que analiza una transacción inmobiliaria no resuelta sin un sentimiento fuerte.")</f>
        <v>Neutral ya que analiza una transacción inmobiliaria no resuelta sin un sentimiento fuerte.</v>
      </c>
      <c r="P2519" s="30">
        <v>-0.4</v>
      </c>
      <c r="Q2519" s="31" t="str">
        <f>IFERROR(__xludf.DUMMYFUNCTION("GOOGLETRANSLATE(R2519,""ES"",""EN"")"),"limbo, problems")</f>
        <v>limbo, problems</v>
      </c>
      <c r="R2519" s="28" t="s">
        <v>17760</v>
      </c>
      <c r="S2519" s="53" t="s">
        <v>17761</v>
      </c>
      <c r="T2519" s="32" t="s">
        <v>17762</v>
      </c>
    </row>
    <row r="2520">
      <c r="A2520" s="33" t="s">
        <v>17763</v>
      </c>
      <c r="B2520" s="76" t="s">
        <v>3511</v>
      </c>
      <c r="C2520" s="41">
        <v>45482.0</v>
      </c>
      <c r="D2520" s="40" t="s">
        <v>17764</v>
      </c>
      <c r="E2520" s="41" t="s">
        <v>17765</v>
      </c>
      <c r="F2520" s="43" t="s">
        <v>17766</v>
      </c>
      <c r="G2520" s="43" t="s">
        <v>17767</v>
      </c>
      <c r="H2520" s="51" t="s">
        <v>661</v>
      </c>
      <c r="I2520" s="15" t="str">
        <f>IFERROR(__xludf.DUMMYFUNCTION("GOOGLETRANSLATE(H2520,""EN"",""ES"")"),"Estrategia empresarial")</f>
        <v>Estrategia empresarial</v>
      </c>
      <c r="J2520" s="16" t="s">
        <v>35</v>
      </c>
      <c r="K2520" s="48">
        <v>0.6</v>
      </c>
      <c r="L2520" s="51" t="s">
        <v>17768</v>
      </c>
      <c r="M2520" s="34" t="s">
        <v>17769</v>
      </c>
      <c r="N2520" s="86" t="s">
        <v>17770</v>
      </c>
      <c r="O2520" s="86" t="str">
        <f>IFERROR(__xludf.DUMMYFUNCTION("GOOGLETRANSLATE(N2520,""EN"",""ES"")"),"Positivo porque afirma la importancia estratégica de un proyecto relacionado con Repsol.")</f>
        <v>Positivo porque afirma la importancia estratégica de un proyecto relacionado con Repsol.</v>
      </c>
      <c r="P2520" s="30">
        <v>0.2</v>
      </c>
      <c r="Q2520" s="18" t="str">
        <f>IFERROR(__xludf.DUMMYFUNCTION("GOOGLETRANSLATE(R2520,""ES"",""EN"")"),"project")</f>
        <v>project</v>
      </c>
      <c r="R2520" s="34" t="s">
        <v>17771</v>
      </c>
      <c r="S2520" s="52" t="s">
        <v>17772</v>
      </c>
      <c r="T2520" s="22" t="s">
        <v>17773</v>
      </c>
    </row>
    <row r="2521">
      <c r="A2521" s="23" t="s">
        <v>17774</v>
      </c>
      <c r="B2521" s="77" t="s">
        <v>21</v>
      </c>
      <c r="C2521" s="41">
        <v>45482.0</v>
      </c>
      <c r="D2521" s="40" t="s">
        <v>17775</v>
      </c>
      <c r="E2521" s="41" t="s">
        <v>17776</v>
      </c>
      <c r="F2521" s="43" t="s">
        <v>17777</v>
      </c>
      <c r="G2521" s="43" t="s">
        <v>17778</v>
      </c>
      <c r="H2521" s="51" t="s">
        <v>148</v>
      </c>
      <c r="I2521" s="25" t="str">
        <f>IFERROR(__xludf.DUMMYFUNCTION("GOOGLETRANSLATE(H2521,""EN"",""ES"")"),"Gastronomía")</f>
        <v>Gastronomía</v>
      </c>
      <c r="J2521" s="26" t="s">
        <v>27</v>
      </c>
      <c r="K2521" s="17">
        <v>0.0</v>
      </c>
      <c r="L2521" s="51"/>
      <c r="M2521" s="31"/>
      <c r="N2521" s="83"/>
      <c r="O2521" s="83"/>
      <c r="P2521" s="20">
        <v>0.0</v>
      </c>
      <c r="Q2521" s="31"/>
      <c r="R2521" s="31"/>
      <c r="S2521" s="53"/>
      <c r="T2521" s="32"/>
    </row>
    <row r="2522">
      <c r="A2522" s="33" t="s">
        <v>17779</v>
      </c>
      <c r="B2522" s="76" t="s">
        <v>558</v>
      </c>
      <c r="C2522" s="41">
        <v>45482.0</v>
      </c>
      <c r="D2522" s="40" t="s">
        <v>17780</v>
      </c>
      <c r="E2522" s="41" t="s">
        <v>17781</v>
      </c>
      <c r="F2522" s="43" t="s">
        <v>17782</v>
      </c>
      <c r="G2522" s="43" t="s">
        <v>17783</v>
      </c>
      <c r="H2522" s="51" t="s">
        <v>48</v>
      </c>
      <c r="I2522" s="15" t="str">
        <f>IFERROR(__xludf.DUMMYFUNCTION("GOOGLETRANSLATE(H2522,""EN"",""ES"")"),"Finanzas")</f>
        <v>Finanzas</v>
      </c>
      <c r="J2522" s="16" t="s">
        <v>35</v>
      </c>
      <c r="K2522" s="48">
        <v>-0.5</v>
      </c>
      <c r="L2522" s="51" t="s">
        <v>15881</v>
      </c>
      <c r="M2522" s="34" t="s">
        <v>15882</v>
      </c>
      <c r="N2522" s="86" t="s">
        <v>17784</v>
      </c>
      <c r="O2522" s="86" t="str">
        <f>IFERROR(__xludf.DUMMYFUNCTION("GOOGLETRANSLATE(N2522,""EN"",""ES"")"),"Ligeramente negativo ya que destaca la caída de las acciones de Repsol.")</f>
        <v>Ligeramente negativo ya que destaca la caída de las acciones de Repsol.</v>
      </c>
      <c r="P2522" s="30">
        <v>-0.3</v>
      </c>
      <c r="Q2522" s="18" t="str">
        <f>IFERROR(__xludf.DUMMYFUNCTION("GOOGLETRANSLATE(R2522,""ES"",""EN"")"),"falls, bag")</f>
        <v>falls, bag</v>
      </c>
      <c r="R2522" s="34" t="s">
        <v>17785</v>
      </c>
      <c r="S2522" s="52" t="s">
        <v>17786</v>
      </c>
      <c r="T2522" s="22" t="s">
        <v>17787</v>
      </c>
    </row>
    <row r="2523">
      <c r="A2523" s="23" t="s">
        <v>17788</v>
      </c>
      <c r="B2523" s="77" t="s">
        <v>103</v>
      </c>
      <c r="C2523" s="41">
        <v>45482.0</v>
      </c>
      <c r="D2523" s="40" t="s">
        <v>17789</v>
      </c>
      <c r="E2523" s="41" t="s">
        <v>17790</v>
      </c>
      <c r="F2523" s="43" t="s">
        <v>17791</v>
      </c>
      <c r="G2523" s="43" t="s">
        <v>17792</v>
      </c>
      <c r="H2523" s="51" t="s">
        <v>130</v>
      </c>
      <c r="I2523" s="25" t="str">
        <f>IFERROR(__xludf.DUMMYFUNCTION("GOOGLETRANSLATE(H2523,""EN"",""ES"")"),"Sostenibilidad")</f>
        <v>Sostenibilidad</v>
      </c>
      <c r="J2523" s="26" t="s">
        <v>35</v>
      </c>
      <c r="K2523" s="48">
        <v>-0.5</v>
      </c>
      <c r="L2523" s="49" t="s">
        <v>17793</v>
      </c>
      <c r="M2523" s="28" t="s">
        <v>17794</v>
      </c>
      <c r="N2523" s="83" t="s">
        <v>17795</v>
      </c>
      <c r="O2523" s="83" t="str">
        <f>IFERROR(__xludf.DUMMYFUNCTION("GOOGLETRANSLATE(N2523,""EN"",""ES"")"),"Ligeramente negativo ya que sugiere incertidumbre para Repsol respecto a la volatilidad de los precios de la energía.")</f>
        <v>Ligeramente negativo ya que sugiere incertidumbre para Repsol respecto a la volatilidad de los precios de la energía.</v>
      </c>
      <c r="P2523" s="30">
        <v>0.0</v>
      </c>
      <c r="Q2523" s="31"/>
      <c r="R2523" s="31"/>
      <c r="S2523" s="53" t="s">
        <v>469</v>
      </c>
      <c r="T2523" s="32" t="s">
        <v>470</v>
      </c>
    </row>
    <row r="2524">
      <c r="A2524" s="33" t="s">
        <v>17796</v>
      </c>
      <c r="B2524" s="76" t="s">
        <v>17797</v>
      </c>
      <c r="C2524" s="41">
        <v>45482.0</v>
      </c>
      <c r="D2524" s="40" t="s">
        <v>17798</v>
      </c>
      <c r="E2524" s="41" t="s">
        <v>17799</v>
      </c>
      <c r="F2524" s="43" t="s">
        <v>17800</v>
      </c>
      <c r="G2524" s="43" t="s">
        <v>17801</v>
      </c>
      <c r="H2524" s="51" t="s">
        <v>48</v>
      </c>
      <c r="I2524" s="15" t="str">
        <f>IFERROR(__xludf.DUMMYFUNCTION("GOOGLETRANSLATE(H2524,""EN"",""ES"")"),"Finanzas")</f>
        <v>Finanzas</v>
      </c>
      <c r="J2524" s="16" t="s">
        <v>35</v>
      </c>
      <c r="K2524" s="48">
        <v>-0.5</v>
      </c>
      <c r="L2524" s="51" t="s">
        <v>15881</v>
      </c>
      <c r="M2524" s="34" t="s">
        <v>15882</v>
      </c>
      <c r="N2524" s="86" t="s">
        <v>17802</v>
      </c>
      <c r="O2524" s="86" t="str">
        <f>IFERROR(__xludf.DUMMYFUNCTION("GOOGLETRANSLATE(N2524,""EN"",""ES"")"),"Ligeramente negativo al mencionar las pérdidas de mercado de Repsol.")</f>
        <v>Ligeramente negativo al mencionar las pérdidas de mercado de Repsol.</v>
      </c>
      <c r="P2524" s="30">
        <v>-0.3</v>
      </c>
      <c r="Q2524" s="18" t="str">
        <f>IFERROR(__xludf.DUMMYFUNCTION("GOOGLETRANSLATE(R2524,""ES"",""EN"")"),"falls, bag")</f>
        <v>falls, bag</v>
      </c>
      <c r="R2524" s="34" t="s">
        <v>17785</v>
      </c>
      <c r="S2524" s="52" t="s">
        <v>17786</v>
      </c>
      <c r="T2524" s="22" t="s">
        <v>17787</v>
      </c>
    </row>
    <row r="2525">
      <c r="A2525" s="23" t="s">
        <v>17803</v>
      </c>
      <c r="B2525" s="77" t="s">
        <v>1577</v>
      </c>
      <c r="C2525" s="41">
        <v>45482.0</v>
      </c>
      <c r="D2525" s="40" t="s">
        <v>17804</v>
      </c>
      <c r="E2525" s="41" t="s">
        <v>17805</v>
      </c>
      <c r="F2525" s="43" t="s">
        <v>17806</v>
      </c>
      <c r="G2525" s="43" t="s">
        <v>17807</v>
      </c>
      <c r="H2525" s="51" t="s">
        <v>130</v>
      </c>
      <c r="I2525" s="25" t="str">
        <f>IFERROR(__xludf.DUMMYFUNCTION("GOOGLETRANSLATE(H2525,""EN"",""ES"")"),"Sostenibilidad")</f>
        <v>Sostenibilidad</v>
      </c>
      <c r="J2525" s="26" t="s">
        <v>35</v>
      </c>
      <c r="K2525" s="48">
        <v>0.7</v>
      </c>
      <c r="L2525" s="49" t="s">
        <v>17611</v>
      </c>
      <c r="M2525" s="28" t="s">
        <v>17612</v>
      </c>
      <c r="N2525" s="83" t="s">
        <v>17808</v>
      </c>
      <c r="O2525" s="83" t="str">
        <f>IFERROR(__xludf.DUMMYFUNCTION("GOOGLETRANSLATE(N2525,""EN"",""ES"")"),"Positivo porque indica financiación gubernamental para proyectos de hidrógeno relacionados con Repsol.")</f>
        <v>Positivo porque indica financiación gubernamental para proyectos de hidrógeno relacionados con Repsol.</v>
      </c>
      <c r="P2525" s="30">
        <v>0.0</v>
      </c>
      <c r="Q2525" s="31"/>
      <c r="R2525" s="31"/>
      <c r="S2525" s="53" t="s">
        <v>17809</v>
      </c>
      <c r="T2525" s="32" t="s">
        <v>17810</v>
      </c>
    </row>
    <row r="2526">
      <c r="A2526" s="33" t="s">
        <v>17811</v>
      </c>
      <c r="B2526" s="76" t="s">
        <v>2713</v>
      </c>
      <c r="C2526" s="41">
        <v>45482.0</v>
      </c>
      <c r="D2526" s="40" t="s">
        <v>17812</v>
      </c>
      <c r="E2526" s="41" t="s">
        <v>17813</v>
      </c>
      <c r="F2526" s="43" t="s">
        <v>17814</v>
      </c>
      <c r="G2526" s="43" t="s">
        <v>17815</v>
      </c>
      <c r="H2526" s="51" t="s">
        <v>661</v>
      </c>
      <c r="I2526" s="15" t="str">
        <f>IFERROR(__xludf.DUMMYFUNCTION("GOOGLETRANSLATE(H2526,""EN"",""ES"")"),"Estrategia empresarial")</f>
        <v>Estrategia empresarial</v>
      </c>
      <c r="J2526" s="16" t="s">
        <v>35</v>
      </c>
      <c r="K2526" s="48">
        <v>0.7</v>
      </c>
      <c r="L2526" s="51" t="s">
        <v>17816</v>
      </c>
      <c r="M2526" s="34" t="s">
        <v>13719</v>
      </c>
      <c r="N2526" s="86" t="s">
        <v>17817</v>
      </c>
      <c r="O2526" s="86" t="str">
        <f>IFERROR(__xludf.DUMMYFUNCTION("GOOGLETRANSLATE(N2526,""EN"",""ES"")"),"Positivo ya que subraya los esfuerzos de colaboración para la infraestructura de energía verde.")</f>
        <v>Positivo ya que subraya los esfuerzos de colaboración para la infraestructura de energía verde.</v>
      </c>
      <c r="P2526" s="30">
        <v>0.8</v>
      </c>
      <c r="Q2526" s="18" t="str">
        <f>IFERROR(__xludf.DUMMYFUNCTION("GOOGLETRANSLATE(R2526,""ES"",""EN"")"),"hydrogen, alliance")</f>
        <v>hydrogen, alliance</v>
      </c>
      <c r="R2526" s="34" t="s">
        <v>17603</v>
      </c>
      <c r="S2526" s="52" t="s">
        <v>17676</v>
      </c>
      <c r="T2526" s="22" t="s">
        <v>17677</v>
      </c>
    </row>
    <row r="2527">
      <c r="A2527" s="23" t="s">
        <v>17818</v>
      </c>
      <c r="B2527" s="77" t="s">
        <v>17819</v>
      </c>
      <c r="C2527" s="41">
        <v>45482.0</v>
      </c>
      <c r="D2527" s="40" t="s">
        <v>17820</v>
      </c>
      <c r="E2527" s="41" t="s">
        <v>17821</v>
      </c>
      <c r="F2527" s="43" t="s">
        <v>17822</v>
      </c>
      <c r="G2527" s="43" t="s">
        <v>17823</v>
      </c>
      <c r="H2527" s="51" t="s">
        <v>130</v>
      </c>
      <c r="I2527" s="25" t="str">
        <f>IFERROR(__xludf.DUMMYFUNCTION("GOOGLETRANSLATE(H2527,""EN"",""ES"")"),"Sostenibilidad")</f>
        <v>Sostenibilidad</v>
      </c>
      <c r="J2527" s="26" t="s">
        <v>27</v>
      </c>
      <c r="K2527" s="17">
        <v>0.0</v>
      </c>
      <c r="L2527" s="54"/>
      <c r="M2527" s="31"/>
      <c r="N2527" s="83"/>
      <c r="O2527" s="83"/>
      <c r="P2527" s="20">
        <v>0.0</v>
      </c>
      <c r="Q2527" s="31"/>
      <c r="R2527" s="31"/>
      <c r="S2527" s="53"/>
      <c r="T2527" s="32"/>
    </row>
    <row r="2528">
      <c r="A2528" s="33" t="s">
        <v>17824</v>
      </c>
      <c r="B2528" s="76" t="s">
        <v>1384</v>
      </c>
      <c r="C2528" s="41">
        <v>45482.0</v>
      </c>
      <c r="D2528" s="40" t="s">
        <v>17825</v>
      </c>
      <c r="E2528" s="41" t="s">
        <v>17826</v>
      </c>
      <c r="F2528" s="43" t="s">
        <v>17827</v>
      </c>
      <c r="G2528" s="43" t="s">
        <v>17828</v>
      </c>
      <c r="H2528" s="51" t="s">
        <v>408</v>
      </c>
      <c r="I2528" s="15" t="str">
        <f>IFERROR(__xludf.DUMMYFUNCTION("GOOGLETRANSLATE(H2528,""EN"",""ES"")"),"Legal")</f>
        <v>Legal</v>
      </c>
      <c r="J2528" s="16" t="s">
        <v>35</v>
      </c>
      <c r="K2528" s="48">
        <v>-0.8</v>
      </c>
      <c r="L2528" s="51" t="s">
        <v>9922</v>
      </c>
      <c r="M2528" s="34" t="s">
        <v>9923</v>
      </c>
      <c r="N2528" s="86" t="s">
        <v>17829</v>
      </c>
      <c r="O2528" s="86" t="str">
        <f>IFERROR(__xludf.DUMMYFUNCTION("GOOGLETRANSLATE(N2528,""EN"",""ES"")"),"Altamente negativo ya que critica la inacción ante el vertido de petróleo de Repsol.")</f>
        <v>Altamente negativo ya que critica la inacción ante el vertido de petróleo de Repsol.</v>
      </c>
      <c r="P2528" s="30">
        <v>-0.7</v>
      </c>
      <c r="Q2528" s="18" t="str">
        <f>IFERROR(__xludf.DUMMYFUNCTION("GOOGLETRANSLATE(R2528,""ES"",""EN"")"),"spill, they report")</f>
        <v>spill, they report</v>
      </c>
      <c r="R2528" s="34" t="s">
        <v>17830</v>
      </c>
      <c r="S2528" s="52" t="s">
        <v>17831</v>
      </c>
      <c r="T2528" s="22" t="s">
        <v>17832</v>
      </c>
    </row>
    <row r="2529">
      <c r="A2529" s="37" t="s">
        <v>17833</v>
      </c>
      <c r="B2529" s="77" t="s">
        <v>17834</v>
      </c>
      <c r="C2529" s="41">
        <v>45482.0</v>
      </c>
      <c r="D2529" s="40" t="s">
        <v>17835</v>
      </c>
      <c r="E2529" s="41" t="s">
        <v>17836</v>
      </c>
      <c r="F2529" s="43" t="s">
        <v>17837</v>
      </c>
      <c r="G2529" s="43" t="s">
        <v>17838</v>
      </c>
      <c r="H2529" s="51" t="s">
        <v>661</v>
      </c>
      <c r="I2529" s="25" t="str">
        <f>IFERROR(__xludf.DUMMYFUNCTION("GOOGLETRANSLATE(H2529,""EN"",""ES"")"),"Estrategia empresarial")</f>
        <v>Estrategia empresarial</v>
      </c>
      <c r="J2529" s="26" t="s">
        <v>35</v>
      </c>
      <c r="K2529" s="48">
        <v>0.6</v>
      </c>
      <c r="L2529" s="49" t="s">
        <v>17412</v>
      </c>
      <c r="M2529" s="28" t="s">
        <v>17413</v>
      </c>
      <c r="N2529" s="83" t="s">
        <v>17839</v>
      </c>
      <c r="O2529" s="83" t="str">
        <f>IFERROR(__xludf.DUMMYFUNCTION("GOOGLETRANSLATE(N2529,""EN"",""ES"")"),"Positivo ya que destaca otro importante descubrimiento de petróleo.")</f>
        <v>Positivo ya que destaca otro importante descubrimiento de petróleo.</v>
      </c>
      <c r="P2529" s="30">
        <v>0.0</v>
      </c>
      <c r="Q2529" s="31"/>
      <c r="R2529" s="31"/>
      <c r="S2529" s="53" t="s">
        <v>469</v>
      </c>
      <c r="T2529" s="32" t="s">
        <v>470</v>
      </c>
    </row>
    <row r="2530">
      <c r="A2530" s="33" t="s">
        <v>17840</v>
      </c>
      <c r="B2530" s="76" t="s">
        <v>8884</v>
      </c>
      <c r="C2530" s="41">
        <v>45483.0</v>
      </c>
      <c r="D2530" s="40" t="s">
        <v>17841</v>
      </c>
      <c r="E2530" s="41" t="s">
        <v>17842</v>
      </c>
      <c r="F2530" s="43" t="s">
        <v>17843</v>
      </c>
      <c r="G2530" s="43" t="s">
        <v>17844</v>
      </c>
      <c r="H2530" s="51" t="s">
        <v>130</v>
      </c>
      <c r="I2530" s="15" t="str">
        <f>IFERROR(__xludf.DUMMYFUNCTION("GOOGLETRANSLATE(H2530,""EN"",""ES"")"),"Sostenibilidad")</f>
        <v>Sostenibilidad</v>
      </c>
      <c r="J2530" s="16" t="s">
        <v>35</v>
      </c>
      <c r="K2530" s="48">
        <v>0.7</v>
      </c>
      <c r="L2530" s="51" t="s">
        <v>17611</v>
      </c>
      <c r="M2530" s="34" t="s">
        <v>17612</v>
      </c>
      <c r="N2530" s="86" t="s">
        <v>17845</v>
      </c>
      <c r="O2530" s="86" t="str">
        <f>IFERROR(__xludf.DUMMYFUNCTION("GOOGLETRANSLATE(N2530,""EN"",""ES"")"),"Positivo porque pone énfasis en una financiación sustancial para los proyectos de hidrógeno verde de Repsol.")</f>
        <v>Positivo porque pone énfasis en una financiación sustancial para los proyectos de hidrógeno verde de Repsol.</v>
      </c>
      <c r="P2530" s="30">
        <v>0.7</v>
      </c>
      <c r="Q2530" s="18" t="str">
        <f>IFERROR(__xludf.DUMMYFUNCTION("GOOGLETRANSLATE(R2530,""ES"",""EN"")"),"hydrogen aids")</f>
        <v>hydrogen aids</v>
      </c>
      <c r="R2530" s="34" t="s">
        <v>17846</v>
      </c>
      <c r="S2530" s="52" t="s">
        <v>17725</v>
      </c>
      <c r="T2530" s="22" t="s">
        <v>17726</v>
      </c>
    </row>
    <row r="2531">
      <c r="A2531" s="23" t="s">
        <v>17847</v>
      </c>
      <c r="B2531" s="77" t="s">
        <v>43</v>
      </c>
      <c r="C2531" s="41">
        <v>45483.0</v>
      </c>
      <c r="D2531" s="40" t="s">
        <v>17848</v>
      </c>
      <c r="E2531" s="41" t="s">
        <v>17849</v>
      </c>
      <c r="F2531" s="43" t="s">
        <v>17850</v>
      </c>
      <c r="G2531" s="43" t="s">
        <v>17851</v>
      </c>
      <c r="H2531" s="51" t="s">
        <v>661</v>
      </c>
      <c r="I2531" s="25" t="str">
        <f>IFERROR(__xludf.DUMMYFUNCTION("GOOGLETRANSLATE(H2531,""EN"",""ES"")"),"Estrategia empresarial")</f>
        <v>Estrategia empresarial</v>
      </c>
      <c r="J2531" s="26" t="s">
        <v>35</v>
      </c>
      <c r="K2531" s="48">
        <v>0.6</v>
      </c>
      <c r="L2531" s="49" t="s">
        <v>16066</v>
      </c>
      <c r="M2531" s="28" t="s">
        <v>16067</v>
      </c>
      <c r="N2531" s="83" t="s">
        <v>17852</v>
      </c>
      <c r="O2531" s="83" t="str">
        <f>IFERROR(__xludf.DUMMYFUNCTION("GOOGLETRANSLATE(N2531,""EN"",""ES"")"),"Positivo ya que promueve la participación del cliente a través de un incentivo financiero.")</f>
        <v>Positivo ya que promueve la participación del cliente a través de un incentivo financiero.</v>
      </c>
      <c r="P2531" s="30">
        <v>0.4</v>
      </c>
      <c r="Q2531" s="31" t="str">
        <f>IFERROR(__xludf.DUMMYFUNCTION("GOOGLETRANSLATE(R2531,""ES"",""EN"")"),"giveaway, Waylet")</f>
        <v>giveaway, Waylet</v>
      </c>
      <c r="R2531" s="28" t="s">
        <v>17853</v>
      </c>
      <c r="S2531" s="53" t="s">
        <v>16480</v>
      </c>
      <c r="T2531" s="32" t="s">
        <v>16481</v>
      </c>
    </row>
    <row r="2532">
      <c r="A2532" s="33" t="s">
        <v>17854</v>
      </c>
      <c r="B2532" s="76" t="s">
        <v>1072</v>
      </c>
      <c r="C2532" s="41">
        <v>45483.0</v>
      </c>
      <c r="D2532" s="40" t="s">
        <v>17855</v>
      </c>
      <c r="E2532" s="41" t="s">
        <v>17856</v>
      </c>
      <c r="F2532" s="43" t="s">
        <v>17857</v>
      </c>
      <c r="G2532" s="43" t="s">
        <v>17858</v>
      </c>
      <c r="H2532" s="51" t="s">
        <v>408</v>
      </c>
      <c r="I2532" s="15" t="str">
        <f>IFERROR(__xludf.DUMMYFUNCTION("GOOGLETRANSLATE(H2532,""EN"",""ES"")"),"Legal")</f>
        <v>Legal</v>
      </c>
      <c r="J2532" s="16" t="s">
        <v>35</v>
      </c>
      <c r="K2532" s="48">
        <v>0.5</v>
      </c>
      <c r="L2532" s="51" t="s">
        <v>17859</v>
      </c>
      <c r="M2532" s="34" t="s">
        <v>17860</v>
      </c>
      <c r="N2532" s="86" t="s">
        <v>17861</v>
      </c>
      <c r="O2532" s="86" t="str">
        <f>IFERROR(__xludf.DUMMYFUNCTION("GOOGLETRANSLATE(N2532,""EN"",""ES"")"),"Ligeramente positivo ya que sugiere mejores relaciones con el gobierno.")</f>
        <v>Ligeramente positivo ya que sugiere mejores relaciones con el gobierno.</v>
      </c>
      <c r="P2532" s="30">
        <v>0.5</v>
      </c>
      <c r="Q2532" s="18" t="str">
        <f>IFERROR(__xludf.DUMMYFUNCTION("GOOGLETRANSLATE(R2532,""ES"",""EN"")"),"help, peace")</f>
        <v>help, peace</v>
      </c>
      <c r="R2532" s="34" t="s">
        <v>17862</v>
      </c>
      <c r="S2532" s="52" t="s">
        <v>17863</v>
      </c>
      <c r="T2532" s="22" t="s">
        <v>17864</v>
      </c>
    </row>
    <row r="2533">
      <c r="A2533" s="23" t="s">
        <v>17865</v>
      </c>
      <c r="B2533" s="77" t="s">
        <v>2792</v>
      </c>
      <c r="C2533" s="41">
        <v>45483.0</v>
      </c>
      <c r="D2533" s="40" t="s">
        <v>17866</v>
      </c>
      <c r="E2533" s="41" t="s">
        <v>17867</v>
      </c>
      <c r="F2533" s="43" t="s">
        <v>17868</v>
      </c>
      <c r="G2533" s="43" t="s">
        <v>17869</v>
      </c>
      <c r="H2533" s="51" t="s">
        <v>130</v>
      </c>
      <c r="I2533" s="25" t="str">
        <f>IFERROR(__xludf.DUMMYFUNCTION("GOOGLETRANSLATE(H2533,""EN"",""ES"")"),"Sostenibilidad")</f>
        <v>Sostenibilidad</v>
      </c>
      <c r="J2533" s="26" t="s">
        <v>35</v>
      </c>
      <c r="K2533" s="48">
        <v>0.7</v>
      </c>
      <c r="L2533" s="49" t="s">
        <v>17611</v>
      </c>
      <c r="M2533" s="28" t="s">
        <v>17612</v>
      </c>
      <c r="N2533" s="83" t="s">
        <v>17642</v>
      </c>
      <c r="O2533" s="83" t="str">
        <f>IFERROR(__xludf.DUMMYFUNCTION("GOOGLETRANSLATE(N2533,""EN"",""ES"")"),"Positivo porque pone de relieve la inversión gubernamental en los esfuerzos de sostenibilidad de Repsol.")</f>
        <v>Positivo porque pone de relieve la inversión gubernamental en los esfuerzos de sostenibilidad de Repsol.</v>
      </c>
      <c r="P2533" s="30">
        <v>0.8</v>
      </c>
      <c r="Q2533" s="31" t="str">
        <f>IFERROR(__xludf.DUMMYFUNCTION("GOOGLETRANSLATE(R2533,""ES"",""EN"")"),"green hydrogen, investment")</f>
        <v>green hydrogen, investment</v>
      </c>
      <c r="R2533" s="28" t="s">
        <v>1624</v>
      </c>
      <c r="S2533" s="53" t="s">
        <v>17643</v>
      </c>
      <c r="T2533" s="32" t="s">
        <v>17644</v>
      </c>
    </row>
    <row r="2534">
      <c r="A2534" s="33" t="s">
        <v>17870</v>
      </c>
      <c r="B2534" s="76" t="s">
        <v>1602</v>
      </c>
      <c r="C2534" s="41">
        <v>45483.0</v>
      </c>
      <c r="D2534" s="40" t="s">
        <v>17871</v>
      </c>
      <c r="E2534" s="41" t="s">
        <v>17872</v>
      </c>
      <c r="F2534" s="43" t="s">
        <v>17873</v>
      </c>
      <c r="G2534" s="43" t="s">
        <v>17874</v>
      </c>
      <c r="H2534" s="51" t="s">
        <v>48</v>
      </c>
      <c r="I2534" s="15" t="str">
        <f>IFERROR(__xludf.DUMMYFUNCTION("GOOGLETRANSLATE(H2534,""EN"",""ES"")"),"Finanzas")</f>
        <v>Finanzas</v>
      </c>
      <c r="J2534" s="16" t="s">
        <v>35</v>
      </c>
      <c r="K2534" s="48">
        <v>0.5</v>
      </c>
      <c r="L2534" s="51" t="s">
        <v>15881</v>
      </c>
      <c r="M2534" s="34" t="s">
        <v>15882</v>
      </c>
      <c r="N2534" s="86" t="s">
        <v>17875</v>
      </c>
      <c r="O2534" s="86" t="str">
        <f>IFERROR(__xludf.DUMMYFUNCTION("GOOGLETRANSLATE(N2534,""EN"",""ES"")"),"Ligeramente positivo ya que analiza el análisis del mercado de valores, lo que implica oportunidades potenciales.")</f>
        <v>Ligeramente positivo ya que analiza el análisis del mercado de valores, lo que implica oportunidades potenciales.</v>
      </c>
      <c r="P2534" s="30">
        <v>0.0</v>
      </c>
      <c r="Q2534" s="18"/>
      <c r="R2534" s="18"/>
      <c r="S2534" s="52" t="s">
        <v>17876</v>
      </c>
      <c r="T2534" s="22" t="s">
        <v>17877</v>
      </c>
    </row>
    <row r="2535">
      <c r="A2535" s="23" t="s">
        <v>17878</v>
      </c>
      <c r="B2535" s="77" t="s">
        <v>3511</v>
      </c>
      <c r="C2535" s="41">
        <v>45483.0</v>
      </c>
      <c r="D2535" s="40" t="s">
        <v>17879</v>
      </c>
      <c r="E2535" s="41" t="s">
        <v>17880</v>
      </c>
      <c r="F2535" s="43" t="s">
        <v>17881</v>
      </c>
      <c r="G2535" s="43" t="s">
        <v>17882</v>
      </c>
      <c r="H2535" s="51" t="s">
        <v>661</v>
      </c>
      <c r="I2535" s="25" t="str">
        <f>IFERROR(__xludf.DUMMYFUNCTION("GOOGLETRANSLATE(H2535,""EN"",""ES"")"),"Estrategia empresarial")</f>
        <v>Estrategia empresarial</v>
      </c>
      <c r="J2535" s="26" t="s">
        <v>35</v>
      </c>
      <c r="K2535" s="48">
        <v>0.5</v>
      </c>
      <c r="L2535" s="49" t="s">
        <v>17470</v>
      </c>
      <c r="M2535" s="28" t="s">
        <v>17471</v>
      </c>
      <c r="N2535" s="83" t="s">
        <v>17883</v>
      </c>
      <c r="O2535" s="83" t="str">
        <f>IFERROR(__xludf.DUMMYFUNCTION("GOOGLETRANSLATE(N2535,""EN"",""ES"")"),"Ligeramente positivo ya que sugiere avances en la resolución de una transacción comercial estancada.")</f>
        <v>Ligeramente positivo ya que sugiere avances en la resolución de una transacción comercial estancada.</v>
      </c>
      <c r="P2535" s="30">
        <v>0.0</v>
      </c>
      <c r="Q2535" s="31"/>
      <c r="R2535" s="31"/>
      <c r="S2535" s="53" t="s">
        <v>17884</v>
      </c>
      <c r="T2535" s="32" t="s">
        <v>17885</v>
      </c>
    </row>
    <row r="2536">
      <c r="A2536" s="33" t="s">
        <v>17886</v>
      </c>
      <c r="B2536" s="76" t="s">
        <v>21</v>
      </c>
      <c r="C2536" s="41">
        <v>45483.0</v>
      </c>
      <c r="D2536" s="40" t="s">
        <v>17887</v>
      </c>
      <c r="E2536" s="41" t="s">
        <v>17888</v>
      </c>
      <c r="F2536" s="43" t="s">
        <v>17889</v>
      </c>
      <c r="G2536" s="43" t="s">
        <v>17890</v>
      </c>
      <c r="H2536" s="51" t="s">
        <v>969</v>
      </c>
      <c r="I2536" s="15" t="str">
        <f>IFERROR(__xludf.DUMMYFUNCTION("GOOGLETRANSLATE(H2536,""EN"",""ES"")"),"Turismo")</f>
        <v>Turismo</v>
      </c>
      <c r="J2536" s="16" t="s">
        <v>27</v>
      </c>
      <c r="K2536" s="17">
        <v>0.0</v>
      </c>
      <c r="L2536" s="45"/>
      <c r="M2536" s="18"/>
      <c r="N2536" s="86"/>
      <c r="O2536" s="86"/>
      <c r="P2536" s="20">
        <v>0.0</v>
      </c>
      <c r="Q2536" s="18"/>
      <c r="R2536" s="18"/>
      <c r="S2536" s="52"/>
      <c r="T2536" s="22"/>
    </row>
    <row r="2537">
      <c r="A2537" s="23" t="s">
        <v>17891</v>
      </c>
      <c r="B2537" s="77" t="s">
        <v>4673</v>
      </c>
      <c r="C2537" s="41">
        <v>45484.0</v>
      </c>
      <c r="D2537" s="40" t="s">
        <v>17892</v>
      </c>
      <c r="E2537" s="41" t="s">
        <v>17893</v>
      </c>
      <c r="F2537" s="43" t="s">
        <v>17894</v>
      </c>
      <c r="G2537" s="43" t="s">
        <v>17895</v>
      </c>
      <c r="H2537" s="51" t="s">
        <v>3871</v>
      </c>
      <c r="I2537" s="25" t="str">
        <f>IFERROR(__xludf.DUMMYFUNCTION("GOOGLETRANSLATE(H2537,""EN"",""ES"")"),"Educación")</f>
        <v>Educación</v>
      </c>
      <c r="J2537" s="26" t="s">
        <v>27</v>
      </c>
      <c r="K2537" s="17">
        <v>0.0</v>
      </c>
      <c r="L2537" s="54"/>
      <c r="M2537" s="31"/>
      <c r="N2537" s="83"/>
      <c r="O2537" s="83"/>
      <c r="P2537" s="20">
        <v>0.0</v>
      </c>
      <c r="Q2537" s="31"/>
      <c r="R2537" s="31"/>
      <c r="S2537" s="53"/>
      <c r="T2537" s="32"/>
    </row>
    <row r="2538">
      <c r="A2538" s="33" t="s">
        <v>17896</v>
      </c>
      <c r="B2538" s="76" t="s">
        <v>2944</v>
      </c>
      <c r="C2538" s="41">
        <v>45483.0</v>
      </c>
      <c r="D2538" s="40" t="s">
        <v>17897</v>
      </c>
      <c r="E2538" s="41" t="s">
        <v>17898</v>
      </c>
      <c r="F2538" s="43" t="s">
        <v>17899</v>
      </c>
      <c r="G2538" s="43" t="s">
        <v>17900</v>
      </c>
      <c r="H2538" s="51" t="s">
        <v>148</v>
      </c>
      <c r="I2538" s="15" t="str">
        <f>IFERROR(__xludf.DUMMYFUNCTION("GOOGLETRANSLATE(H2538,""EN"",""ES"")"),"Gastronomía")</f>
        <v>Gastronomía</v>
      </c>
      <c r="J2538" s="16" t="s">
        <v>27</v>
      </c>
      <c r="K2538" s="17">
        <v>0.0</v>
      </c>
      <c r="L2538" s="45"/>
      <c r="M2538" s="18"/>
      <c r="N2538" s="86"/>
      <c r="O2538" s="86"/>
      <c r="P2538" s="20">
        <v>0.0</v>
      </c>
      <c r="Q2538" s="18"/>
      <c r="R2538" s="18"/>
      <c r="S2538" s="52"/>
      <c r="T2538" s="22"/>
    </row>
    <row r="2539">
      <c r="A2539" s="23" t="s">
        <v>17901</v>
      </c>
      <c r="B2539" s="77" t="s">
        <v>43</v>
      </c>
      <c r="C2539" s="41">
        <v>45483.0</v>
      </c>
      <c r="D2539" s="40" t="s">
        <v>17902</v>
      </c>
      <c r="E2539" s="41" t="s">
        <v>17903</v>
      </c>
      <c r="F2539" s="43" t="s">
        <v>17904</v>
      </c>
      <c r="G2539" s="43" t="s">
        <v>17905</v>
      </c>
      <c r="H2539" s="51" t="s">
        <v>48</v>
      </c>
      <c r="I2539" s="25" t="str">
        <f>IFERROR(__xludf.DUMMYFUNCTION("GOOGLETRANSLATE(H2539,""EN"",""ES"")"),"Finanzas")</f>
        <v>Finanzas</v>
      </c>
      <c r="J2539" s="26" t="s">
        <v>35</v>
      </c>
      <c r="K2539" s="48">
        <v>-0.6</v>
      </c>
      <c r="L2539" s="49" t="s">
        <v>17906</v>
      </c>
      <c r="M2539" s="28" t="s">
        <v>17907</v>
      </c>
      <c r="N2539" s="83" t="s">
        <v>17908</v>
      </c>
      <c r="O2539" s="83" t="str">
        <f>IFERROR(__xludf.DUMMYFUNCTION("GOOGLETRANSLATE(N2539,""EN"",""ES"")"),"Negativo al reportar una caída importante de los márgenes de refino de Repsol.")</f>
        <v>Negativo al reportar una caída importante de los márgenes de refino de Repsol.</v>
      </c>
      <c r="P2539" s="30">
        <v>-0.6</v>
      </c>
      <c r="Q2539" s="31" t="str">
        <f>IFERROR(__xludf.DUMMYFUNCTION("GOOGLETRANSLATE(R2539,""ES"",""EN"")"),"sinks, margin")</f>
        <v>sinks, margin</v>
      </c>
      <c r="R2539" s="28" t="s">
        <v>17909</v>
      </c>
      <c r="S2539" s="53" t="s">
        <v>17910</v>
      </c>
      <c r="T2539" s="32" t="s">
        <v>17911</v>
      </c>
    </row>
    <row r="2540">
      <c r="A2540" s="71" t="s">
        <v>17912</v>
      </c>
      <c r="B2540" s="76" t="s">
        <v>1602</v>
      </c>
      <c r="C2540" s="41">
        <v>45483.0</v>
      </c>
      <c r="D2540" s="40" t="s">
        <v>17913</v>
      </c>
      <c r="E2540" s="41" t="s">
        <v>17914</v>
      </c>
      <c r="F2540" s="43" t="s">
        <v>17915</v>
      </c>
      <c r="G2540" s="43" t="s">
        <v>17916</v>
      </c>
      <c r="H2540" s="51" t="s">
        <v>661</v>
      </c>
      <c r="I2540" s="15" t="str">
        <f>IFERROR(__xludf.DUMMYFUNCTION("GOOGLETRANSLATE(H2540,""EN"",""ES"")"),"Estrategia empresarial")</f>
        <v>Estrategia empresarial</v>
      </c>
      <c r="J2540" s="16" t="s">
        <v>35</v>
      </c>
      <c r="K2540" s="48">
        <v>-0.5</v>
      </c>
      <c r="L2540" s="51" t="s">
        <v>17917</v>
      </c>
      <c r="M2540" s="34" t="s">
        <v>17918</v>
      </c>
      <c r="N2540" s="86" t="s">
        <v>17919</v>
      </c>
      <c r="O2540" s="86" t="str">
        <f>IFERROR(__xludf.DUMMYFUNCTION("GOOGLETRANSLATE(N2540,""EN"",""ES"")"),"Ligeramente negativo ya que indica menor producción y rentabilidad.")</f>
        <v>Ligeramente negativo ya que indica menor producción y rentabilidad.</v>
      </c>
      <c r="P2540" s="30">
        <v>-0.5</v>
      </c>
      <c r="Q2540" s="18" t="str">
        <f>IFERROR(__xludf.DUMMYFUNCTION("GOOGLETRANSLATE(R2540,""ES"",""EN"")"),"reduces, falls")</f>
        <v>reduces, falls</v>
      </c>
      <c r="R2540" s="34" t="s">
        <v>17920</v>
      </c>
      <c r="S2540" s="52" t="s">
        <v>17921</v>
      </c>
      <c r="T2540" s="22" t="s">
        <v>17922</v>
      </c>
    </row>
    <row r="2541">
      <c r="A2541" s="23" t="s">
        <v>17923</v>
      </c>
      <c r="B2541" s="77" t="s">
        <v>2672</v>
      </c>
      <c r="C2541" s="41">
        <v>45484.0</v>
      </c>
      <c r="D2541" s="40" t="s">
        <v>17924</v>
      </c>
      <c r="E2541" s="41" t="s">
        <v>17925</v>
      </c>
      <c r="F2541" s="43" t="s">
        <v>17926</v>
      </c>
      <c r="G2541" s="43" t="s">
        <v>17927</v>
      </c>
      <c r="H2541" s="51" t="s">
        <v>130</v>
      </c>
      <c r="I2541" s="25" t="str">
        <f>IFERROR(__xludf.DUMMYFUNCTION("GOOGLETRANSLATE(H2541,""EN"",""ES"")"),"Sostenibilidad")</f>
        <v>Sostenibilidad</v>
      </c>
      <c r="J2541" s="26" t="s">
        <v>27</v>
      </c>
      <c r="K2541" s="17">
        <v>0.0</v>
      </c>
      <c r="L2541" s="54"/>
      <c r="M2541" s="31"/>
      <c r="N2541" s="83"/>
      <c r="O2541" s="83"/>
      <c r="P2541" s="20">
        <v>0.0</v>
      </c>
      <c r="Q2541" s="31"/>
      <c r="R2541" s="31"/>
      <c r="S2541" s="53"/>
      <c r="T2541" s="32"/>
    </row>
    <row r="2542">
      <c r="A2542" s="33" t="s">
        <v>17928</v>
      </c>
      <c r="B2542" s="76" t="s">
        <v>499</v>
      </c>
      <c r="C2542" s="41">
        <v>45484.0</v>
      </c>
      <c r="D2542" s="40" t="s">
        <v>17929</v>
      </c>
      <c r="E2542" s="41" t="s">
        <v>17930</v>
      </c>
      <c r="F2542" s="43" t="s">
        <v>17931</v>
      </c>
      <c r="G2542" s="43" t="s">
        <v>17932</v>
      </c>
      <c r="H2542" s="51" t="s">
        <v>130</v>
      </c>
      <c r="I2542" s="15" t="str">
        <f>IFERROR(__xludf.DUMMYFUNCTION("GOOGLETRANSLATE(H2542,""EN"",""ES"")"),"Sostenibilidad")</f>
        <v>Sostenibilidad</v>
      </c>
      <c r="J2542" s="16" t="s">
        <v>35</v>
      </c>
      <c r="K2542" s="48">
        <v>0.7</v>
      </c>
      <c r="L2542" s="51" t="s">
        <v>17933</v>
      </c>
      <c r="M2542" s="34" t="s">
        <v>17934</v>
      </c>
      <c r="N2542" s="86" t="s">
        <v>17935</v>
      </c>
      <c r="O2542" s="86" t="str">
        <f>IFERROR(__xludf.DUMMYFUNCTION("GOOGLETRANSLATE(N2542,""EN"",""ES"")"),"Positivo porque refuerza la apuesta de Repsol por las energías renovables.")</f>
        <v>Positivo porque refuerza la apuesta de Repsol por las energías renovables.</v>
      </c>
      <c r="P2542" s="30">
        <v>0.8</v>
      </c>
      <c r="Q2542" s="18" t="str">
        <f>IFERROR(__xludf.DUMMYFUNCTION("GOOGLETRANSLATE(R2542,""ES"",""EN"")"),"renewable fuel")</f>
        <v>renewable fuel</v>
      </c>
      <c r="R2542" s="34" t="s">
        <v>10542</v>
      </c>
      <c r="S2542" s="52" t="s">
        <v>17936</v>
      </c>
      <c r="T2542" s="22" t="s">
        <v>17937</v>
      </c>
    </row>
    <row r="2543">
      <c r="A2543" s="23" t="s">
        <v>17938</v>
      </c>
      <c r="B2543" s="77" t="s">
        <v>17939</v>
      </c>
      <c r="C2543" s="41">
        <v>45484.0</v>
      </c>
      <c r="D2543" s="40" t="s">
        <v>17940</v>
      </c>
      <c r="E2543" s="41" t="s">
        <v>17941</v>
      </c>
      <c r="F2543" s="43" t="s">
        <v>17942</v>
      </c>
      <c r="G2543" s="43" t="s">
        <v>17943</v>
      </c>
      <c r="H2543" s="51" t="s">
        <v>661</v>
      </c>
      <c r="I2543" s="25" t="str">
        <f>IFERROR(__xludf.DUMMYFUNCTION("GOOGLETRANSLATE(H2543,""EN"",""ES"")"),"Estrategia empresarial")</f>
        <v>Estrategia empresarial</v>
      </c>
      <c r="J2543" s="26" t="s">
        <v>35</v>
      </c>
      <c r="K2543" s="48">
        <v>0.6</v>
      </c>
      <c r="L2543" s="49" t="s">
        <v>17702</v>
      </c>
      <c r="M2543" s="28" t="s">
        <v>17703</v>
      </c>
      <c r="N2543" s="83" t="s">
        <v>17944</v>
      </c>
      <c r="O2543" s="83" t="str">
        <f>IFERROR(__xludf.DUMMYFUNCTION("GOOGLETRANSLATE(N2543,""EN"",""ES"")"),"Positivo porque muestra una asociación exitosa en pagos digitales.")</f>
        <v>Positivo porque muestra una asociación exitosa en pagos digitales.</v>
      </c>
      <c r="P2543" s="30">
        <v>0.3</v>
      </c>
      <c r="Q2543" s="31" t="str">
        <f>IFERROR(__xludf.DUMMYFUNCTION("GOOGLETRANSLATE(R2543,""ES"",""EN"")"),"Waylet")</f>
        <v>Waylet</v>
      </c>
      <c r="R2543" s="28" t="s">
        <v>17945</v>
      </c>
      <c r="S2543" s="53" t="s">
        <v>17706</v>
      </c>
      <c r="T2543" s="32" t="s">
        <v>17707</v>
      </c>
    </row>
    <row r="2544">
      <c r="A2544" s="33" t="s">
        <v>17946</v>
      </c>
      <c r="B2544" s="76" t="s">
        <v>217</v>
      </c>
      <c r="C2544" s="41">
        <v>45484.0</v>
      </c>
      <c r="D2544" s="40" t="s">
        <v>17947</v>
      </c>
      <c r="E2544" s="41" t="s">
        <v>17948</v>
      </c>
      <c r="F2544" s="43" t="s">
        <v>17949</v>
      </c>
      <c r="G2544" s="43" t="s">
        <v>17950</v>
      </c>
      <c r="H2544" s="51" t="s">
        <v>130</v>
      </c>
      <c r="I2544" s="15" t="str">
        <f>IFERROR(__xludf.DUMMYFUNCTION("GOOGLETRANSLATE(H2544,""EN"",""ES"")"),"Sostenibilidad")</f>
        <v>Sostenibilidad</v>
      </c>
      <c r="J2544" s="16" t="s">
        <v>35</v>
      </c>
      <c r="K2544" s="48">
        <v>0.7</v>
      </c>
      <c r="L2544" s="51" t="s">
        <v>17951</v>
      </c>
      <c r="M2544" s="34" t="s">
        <v>17952</v>
      </c>
      <c r="N2544" s="86" t="s">
        <v>17953</v>
      </c>
      <c r="O2544" s="86" t="str">
        <f>IFERROR(__xludf.DUMMYFUNCTION("GOOGLETRANSLATE(N2544,""EN"",""ES"")"),"Positivo ya que destaca la colaboración para iniciativas de sostenibilidad.")</f>
        <v>Positivo ya que destaca la colaboración para iniciativas de sostenibilidad.</v>
      </c>
      <c r="P2544" s="30">
        <v>0.7</v>
      </c>
      <c r="Q2544" s="18" t="str">
        <f>IFERROR(__xludf.DUMMYFUNCTION("GOOGLETRANSLATE(R2544,""ES"",""EN"")"),"renewable fuels")</f>
        <v>renewable fuels</v>
      </c>
      <c r="R2544" s="34" t="s">
        <v>584</v>
      </c>
      <c r="S2544" s="52" t="s">
        <v>17954</v>
      </c>
      <c r="T2544" s="22" t="s">
        <v>17955</v>
      </c>
    </row>
    <row r="2545">
      <c r="A2545" s="23" t="s">
        <v>17956</v>
      </c>
      <c r="B2545" s="77" t="s">
        <v>85</v>
      </c>
      <c r="C2545" s="41">
        <v>45484.0</v>
      </c>
      <c r="D2545" s="40" t="s">
        <v>17957</v>
      </c>
      <c r="E2545" s="41" t="s">
        <v>17958</v>
      </c>
      <c r="F2545" s="43" t="s">
        <v>17959</v>
      </c>
      <c r="G2545" s="43" t="s">
        <v>17960</v>
      </c>
      <c r="H2545" s="51" t="s">
        <v>130</v>
      </c>
      <c r="I2545" s="25" t="str">
        <f>IFERROR(__xludf.DUMMYFUNCTION("GOOGLETRANSLATE(H2545,""EN"",""ES"")"),"Sostenibilidad")</f>
        <v>Sostenibilidad</v>
      </c>
      <c r="J2545" s="26" t="s">
        <v>35</v>
      </c>
      <c r="K2545" s="48">
        <v>0.7</v>
      </c>
      <c r="L2545" s="49" t="s">
        <v>17961</v>
      </c>
      <c r="M2545" s="28" t="s">
        <v>17962</v>
      </c>
      <c r="N2545" s="83" t="s">
        <v>17963</v>
      </c>
      <c r="O2545" s="83" t="str">
        <f>IFERROR(__xludf.DUMMYFUNCTION("GOOGLETRANSLATE(N2545,""EN"",""ES"")"),"Positivo ya que indica que Repsol supera sus objetivos medioambientales antes de lo previsto.")</f>
        <v>Positivo ya que indica que Repsol supera sus objetivos medioambientales antes de lo previsto.</v>
      </c>
      <c r="P2545" s="30">
        <v>0.8</v>
      </c>
      <c r="Q2545" s="31" t="str">
        <f>IFERROR(__xludf.DUMMYFUNCTION("GOOGLETRANSLATE(R2545,""ES"",""EN"")"),"green fuel")</f>
        <v>green fuel</v>
      </c>
      <c r="R2545" s="28" t="s">
        <v>17964</v>
      </c>
      <c r="S2545" s="53" t="s">
        <v>17965</v>
      </c>
      <c r="T2545" s="32" t="s">
        <v>17966</v>
      </c>
    </row>
    <row r="2546">
      <c r="A2546" s="33" t="s">
        <v>17967</v>
      </c>
      <c r="B2546" s="76" t="s">
        <v>103</v>
      </c>
      <c r="C2546" s="41">
        <v>45484.0</v>
      </c>
      <c r="D2546" s="40" t="s">
        <v>17968</v>
      </c>
      <c r="E2546" s="41" t="s">
        <v>17969</v>
      </c>
      <c r="F2546" s="43" t="s">
        <v>17970</v>
      </c>
      <c r="G2546" s="43" t="s">
        <v>17971</v>
      </c>
      <c r="H2546" s="51" t="s">
        <v>48</v>
      </c>
      <c r="I2546" s="15" t="str">
        <f>IFERROR(__xludf.DUMMYFUNCTION("GOOGLETRANSLATE(H2546,""EN"",""ES"")"),"Finanzas")</f>
        <v>Finanzas</v>
      </c>
      <c r="J2546" s="16" t="s">
        <v>35</v>
      </c>
      <c r="K2546" s="48">
        <v>-0.6</v>
      </c>
      <c r="L2546" s="51" t="s">
        <v>15881</v>
      </c>
      <c r="M2546" s="34" t="s">
        <v>15882</v>
      </c>
      <c r="N2546" s="86" t="s">
        <v>17972</v>
      </c>
      <c r="O2546" s="86" t="str">
        <f>IFERROR(__xludf.DUMMYFUNCTION("GOOGLETRANSLATE(N2546,""EN"",""ES"")"),"Negativo porque apunta a pérdidas de mercado vinculadas al desempeño financiero.")</f>
        <v>Negativo porque apunta a pérdidas de mercado vinculadas al desempeño financiero.</v>
      </c>
      <c r="P2546" s="30">
        <v>-0.6</v>
      </c>
      <c r="Q2546" s="18" t="str">
        <f>IFERROR(__xludf.DUMMYFUNCTION("GOOGLETRANSLATE(R2546,""ES"",""EN"")"),"punished, margins")</f>
        <v>punished, margins</v>
      </c>
      <c r="R2546" s="34" t="s">
        <v>17973</v>
      </c>
      <c r="S2546" s="52" t="s">
        <v>17910</v>
      </c>
      <c r="T2546" s="22" t="s">
        <v>17911</v>
      </c>
    </row>
    <row r="2547">
      <c r="A2547" s="23" t="s">
        <v>17974</v>
      </c>
      <c r="B2547" s="77" t="s">
        <v>1072</v>
      </c>
      <c r="C2547" s="41">
        <v>45484.0</v>
      </c>
      <c r="D2547" s="40" t="s">
        <v>17975</v>
      </c>
      <c r="E2547" s="41" t="s">
        <v>17976</v>
      </c>
      <c r="F2547" s="43" t="s">
        <v>17977</v>
      </c>
      <c r="G2547" s="43" t="s">
        <v>17978</v>
      </c>
      <c r="H2547" s="51" t="s">
        <v>48</v>
      </c>
      <c r="I2547" s="25" t="str">
        <f>IFERROR(__xludf.DUMMYFUNCTION("GOOGLETRANSLATE(H2547,""EN"",""ES"")"),"Finanzas")</f>
        <v>Finanzas</v>
      </c>
      <c r="J2547" s="26" t="s">
        <v>35</v>
      </c>
      <c r="K2547" s="48">
        <v>-0.5</v>
      </c>
      <c r="L2547" s="49" t="s">
        <v>15881</v>
      </c>
      <c r="M2547" s="28" t="s">
        <v>15882</v>
      </c>
      <c r="N2547" s="83" t="s">
        <v>17979</v>
      </c>
      <c r="O2547" s="83" t="str">
        <f>IFERROR(__xludf.DUMMYFUNCTION("GOOGLETRANSLATE(N2547,""EN"",""ES"")"),"Ligeramente negativo ya que observa una recuperación pero aún enfatiza la caída de las acciones.")</f>
        <v>Ligeramente negativo ya que observa una recuperación pero aún enfatiza la caída de las acciones.</v>
      </c>
      <c r="P2547" s="30">
        <v>-0.4</v>
      </c>
      <c r="Q2547" s="31" t="str">
        <f>IFERROR(__xludf.DUMMYFUNCTION("GOOGLETRANSLATE(R2547,""ES"",""EN"")"),"fall, stock market")</f>
        <v>fall, stock market</v>
      </c>
      <c r="R2547" s="28" t="s">
        <v>17980</v>
      </c>
      <c r="S2547" s="53" t="s">
        <v>17786</v>
      </c>
      <c r="T2547" s="32" t="s">
        <v>17787</v>
      </c>
    </row>
    <row r="2548">
      <c r="A2548" s="33" t="s">
        <v>17981</v>
      </c>
      <c r="B2548" s="76" t="s">
        <v>91</v>
      </c>
      <c r="C2548" s="41">
        <v>45484.0</v>
      </c>
      <c r="D2548" s="40" t="s">
        <v>17982</v>
      </c>
      <c r="E2548" s="41" t="s">
        <v>17983</v>
      </c>
      <c r="F2548" s="43" t="s">
        <v>17984</v>
      </c>
      <c r="G2548" s="43" t="s">
        <v>17985</v>
      </c>
      <c r="H2548" s="51" t="s">
        <v>661</v>
      </c>
      <c r="I2548" s="15" t="str">
        <f>IFERROR(__xludf.DUMMYFUNCTION("GOOGLETRANSLATE(H2548,""EN"",""ES"")"),"Estrategia empresarial")</f>
        <v>Estrategia empresarial</v>
      </c>
      <c r="J2548" s="16" t="s">
        <v>35</v>
      </c>
      <c r="K2548" s="48">
        <v>-0.5</v>
      </c>
      <c r="L2548" s="51" t="s">
        <v>17986</v>
      </c>
      <c r="M2548" s="34" t="s">
        <v>17987</v>
      </c>
      <c r="N2548" s="86" t="s">
        <v>17988</v>
      </c>
      <c r="O2548" s="86" t="str">
        <f>IFERROR(__xludf.DUMMYFUNCTION("GOOGLETRANSLATE(N2548,""EN"",""ES"")"),"Ligeramente negativo ya que presenta a Repsol en contra de la normativa medioambiental.")</f>
        <v>Ligeramente negativo ya que presenta a Repsol en contra de la normativa medioambiental.</v>
      </c>
      <c r="P2548" s="30">
        <v>-0.3</v>
      </c>
      <c r="Q2548" s="18" t="str">
        <f>IFERROR(__xludf.DUMMYFUNCTION("GOOGLETRANSLATE(R2548,""ES"",""EN"")"),"regulations, prohibit")</f>
        <v>regulations, prohibit</v>
      </c>
      <c r="R2548" s="34" t="s">
        <v>17989</v>
      </c>
      <c r="S2548" s="52" t="s">
        <v>17990</v>
      </c>
      <c r="T2548" s="22" t="s">
        <v>17991</v>
      </c>
    </row>
    <row r="2549">
      <c r="A2549" s="23" t="s">
        <v>17992</v>
      </c>
      <c r="B2549" s="77" t="s">
        <v>21</v>
      </c>
      <c r="C2549" s="41">
        <v>45484.0</v>
      </c>
      <c r="D2549" s="40" t="s">
        <v>17993</v>
      </c>
      <c r="E2549" s="41" t="s">
        <v>17994</v>
      </c>
      <c r="F2549" s="43" t="s">
        <v>17995</v>
      </c>
      <c r="G2549" s="43" t="s">
        <v>17996</v>
      </c>
      <c r="H2549" s="51" t="s">
        <v>969</v>
      </c>
      <c r="I2549" s="25" t="str">
        <f>IFERROR(__xludf.DUMMYFUNCTION("GOOGLETRANSLATE(H2549,""EN"",""ES"")"),"Turismo")</f>
        <v>Turismo</v>
      </c>
      <c r="J2549" s="26" t="s">
        <v>27</v>
      </c>
      <c r="K2549" s="17">
        <v>0.0</v>
      </c>
      <c r="L2549" s="54"/>
      <c r="M2549" s="31"/>
      <c r="N2549" s="83"/>
      <c r="O2549" s="83"/>
      <c r="P2549" s="20">
        <v>0.0</v>
      </c>
      <c r="Q2549" s="31"/>
      <c r="R2549" s="31"/>
      <c r="S2549" s="53"/>
      <c r="T2549" s="32"/>
    </row>
    <row r="2550">
      <c r="A2550" s="33" t="s">
        <v>17997</v>
      </c>
      <c r="B2550" s="76" t="s">
        <v>6642</v>
      </c>
      <c r="C2550" s="41">
        <v>45484.0</v>
      </c>
      <c r="D2550" s="40" t="s">
        <v>17998</v>
      </c>
      <c r="E2550" s="41" t="s">
        <v>17999</v>
      </c>
      <c r="F2550" s="43" t="s">
        <v>18000</v>
      </c>
      <c r="G2550" s="43" t="s">
        <v>18001</v>
      </c>
      <c r="H2550" s="51" t="s">
        <v>148</v>
      </c>
      <c r="I2550" s="15" t="str">
        <f>IFERROR(__xludf.DUMMYFUNCTION("GOOGLETRANSLATE(H2550,""EN"",""ES"")"),"Gastronomía")</f>
        <v>Gastronomía</v>
      </c>
      <c r="J2550" s="16" t="s">
        <v>27</v>
      </c>
      <c r="K2550" s="17">
        <v>0.0</v>
      </c>
      <c r="L2550" s="45"/>
      <c r="M2550" s="18"/>
      <c r="N2550" s="86"/>
      <c r="O2550" s="86"/>
      <c r="P2550" s="20">
        <v>0.0</v>
      </c>
      <c r="Q2550" s="18"/>
      <c r="R2550" s="18"/>
      <c r="S2550" s="52"/>
      <c r="T2550" s="22"/>
    </row>
    <row r="2551">
      <c r="A2551" s="23" t="s">
        <v>18002</v>
      </c>
      <c r="B2551" s="77" t="s">
        <v>18003</v>
      </c>
      <c r="C2551" s="41">
        <v>45484.0</v>
      </c>
      <c r="D2551" s="40" t="s">
        <v>18004</v>
      </c>
      <c r="E2551" s="41" t="s">
        <v>18005</v>
      </c>
      <c r="F2551" s="43" t="s">
        <v>18006</v>
      </c>
      <c r="G2551" s="43" t="s">
        <v>18007</v>
      </c>
      <c r="H2551" s="51" t="s">
        <v>48</v>
      </c>
      <c r="I2551" s="25" t="str">
        <f>IFERROR(__xludf.DUMMYFUNCTION("GOOGLETRANSLATE(H2551,""EN"",""ES"")"),"Finanzas")</f>
        <v>Finanzas</v>
      </c>
      <c r="J2551" s="26" t="s">
        <v>35</v>
      </c>
      <c r="K2551" s="48">
        <v>0.0</v>
      </c>
      <c r="L2551" s="54"/>
      <c r="M2551" s="31"/>
      <c r="N2551" s="83" t="s">
        <v>18008</v>
      </c>
      <c r="O2551" s="83" t="str">
        <f>IFERROR(__xludf.DUMMYFUNCTION("GOOGLETRANSLATE(N2551,""EN"",""ES"")"),"Neutral ya que presenta actualizaciones del mercado sin implicaciones más profundas para el sentimiento.")</f>
        <v>Neutral ya que presenta actualizaciones del mercado sin implicaciones más profundas para el sentimiento.</v>
      </c>
      <c r="P2551" s="30">
        <v>-0.4</v>
      </c>
      <c r="Q2551" s="31" t="str">
        <f>IFERROR(__xludf.DUMMYFUNCTION("GOOGLETRANSLATE(R2551,""ES"",""EN"")"),"falls bag")</f>
        <v>falls bag</v>
      </c>
      <c r="R2551" s="28" t="s">
        <v>18009</v>
      </c>
      <c r="S2551" s="53" t="s">
        <v>17786</v>
      </c>
      <c r="T2551" s="32" t="s">
        <v>17787</v>
      </c>
    </row>
    <row r="2552">
      <c r="A2552" s="33" t="s">
        <v>18010</v>
      </c>
      <c r="B2552" s="76" t="s">
        <v>5508</v>
      </c>
      <c r="C2552" s="41">
        <v>45484.0</v>
      </c>
      <c r="D2552" s="40" t="s">
        <v>18011</v>
      </c>
      <c r="E2552" s="41" t="s">
        <v>18012</v>
      </c>
      <c r="F2552" s="43" t="s">
        <v>18013</v>
      </c>
      <c r="G2552" s="43" t="s">
        <v>18014</v>
      </c>
      <c r="H2552" s="51" t="s">
        <v>130</v>
      </c>
      <c r="I2552" s="15" t="str">
        <f>IFERROR(__xludf.DUMMYFUNCTION("GOOGLETRANSLATE(H2552,""EN"",""ES"")"),"Sostenibilidad")</f>
        <v>Sostenibilidad</v>
      </c>
      <c r="J2552" s="16" t="s">
        <v>35</v>
      </c>
      <c r="K2552" s="48">
        <v>0.7</v>
      </c>
      <c r="L2552" s="51" t="s">
        <v>18015</v>
      </c>
      <c r="M2552" s="34" t="s">
        <v>18016</v>
      </c>
      <c r="N2552" s="86" t="s">
        <v>18017</v>
      </c>
      <c r="O2552" s="86" t="str">
        <f>IFERROR(__xludf.DUMMYFUNCTION("GOOGLETRANSLATE(N2552,""EN"",""ES"")"),"Positivo porque pone de relieve la contribución de Repsol a la sostenibilidad.")</f>
        <v>Positivo porque pone de relieve la contribución de Repsol a la sostenibilidad.</v>
      </c>
      <c r="P2552" s="30">
        <v>0.6</v>
      </c>
      <c r="Q2552" s="18" t="str">
        <f>IFERROR(__xludf.DUMMYFUNCTION("GOOGLETRANSLATE(R2552,""ES"",""EN"")"),"CO2, reduce")</f>
        <v>CO2, reduce</v>
      </c>
      <c r="R2552" s="34" t="s">
        <v>18018</v>
      </c>
      <c r="S2552" s="52" t="s">
        <v>18019</v>
      </c>
      <c r="T2552" s="22" t="s">
        <v>18020</v>
      </c>
    </row>
    <row r="2553">
      <c r="A2553" s="23" t="s">
        <v>18021</v>
      </c>
      <c r="B2553" s="77" t="s">
        <v>499</v>
      </c>
      <c r="C2553" s="41">
        <v>45484.0</v>
      </c>
      <c r="D2553" s="40" t="s">
        <v>18022</v>
      </c>
      <c r="E2553" s="41" t="s">
        <v>18023</v>
      </c>
      <c r="F2553" s="43" t="s">
        <v>18024</v>
      </c>
      <c r="G2553" s="43" t="s">
        <v>18025</v>
      </c>
      <c r="H2553" s="51" t="s">
        <v>661</v>
      </c>
      <c r="I2553" s="25" t="str">
        <f>IFERROR(__xludf.DUMMYFUNCTION("GOOGLETRANSLATE(H2553,""EN"",""ES"")"),"Estrategia empresarial")</f>
        <v>Estrategia empresarial</v>
      </c>
      <c r="J2553" s="26" t="s">
        <v>35</v>
      </c>
      <c r="K2553" s="48">
        <v>-0.5</v>
      </c>
      <c r="L2553" s="49" t="s">
        <v>17986</v>
      </c>
      <c r="M2553" s="28" t="s">
        <v>17987</v>
      </c>
      <c r="N2553" s="83" t="s">
        <v>18026</v>
      </c>
      <c r="O2553" s="83" t="str">
        <f>IFERROR(__xludf.DUMMYFUNCTION("GOOGLETRANSLATE(N2553,""EN"",""ES"")"),"Ligeramente negativo ya que posiciona a Repsol frente a las políticas medioambientales.")</f>
        <v>Ligeramente negativo ya que posiciona a Repsol frente a las políticas medioambientales.</v>
      </c>
      <c r="P2553" s="30">
        <v>0.0</v>
      </c>
      <c r="Q2553" s="31"/>
      <c r="R2553" s="31"/>
      <c r="S2553" s="53" t="s">
        <v>18027</v>
      </c>
      <c r="T2553" s="32" t="s">
        <v>18028</v>
      </c>
    </row>
    <row r="2554">
      <c r="A2554" s="33" t="s">
        <v>18029</v>
      </c>
      <c r="B2554" s="76" t="s">
        <v>18030</v>
      </c>
      <c r="C2554" s="41">
        <v>45484.0</v>
      </c>
      <c r="D2554" s="40" t="s">
        <v>18031</v>
      </c>
      <c r="E2554" s="41" t="s">
        <v>18032</v>
      </c>
      <c r="F2554" s="43" t="s">
        <v>18033</v>
      </c>
      <c r="G2554" s="43" t="s">
        <v>18034</v>
      </c>
      <c r="H2554" s="51" t="s">
        <v>130</v>
      </c>
      <c r="I2554" s="15" t="str">
        <f>IFERROR(__xludf.DUMMYFUNCTION("GOOGLETRANSLATE(H2554,""EN"",""ES"")"),"Sostenibilidad")</f>
        <v>Sostenibilidad</v>
      </c>
      <c r="J2554" s="16" t="s">
        <v>35</v>
      </c>
      <c r="K2554" s="48">
        <v>0.6</v>
      </c>
      <c r="L2554" s="51" t="s">
        <v>18035</v>
      </c>
      <c r="M2554" s="34" t="s">
        <v>18036</v>
      </c>
      <c r="N2554" s="86" t="s">
        <v>18037</v>
      </c>
      <c r="O2554" s="86" t="str">
        <f>IFERROR(__xludf.DUMMYFUNCTION("GOOGLETRANSLATE(N2554,""EN"",""ES"")"),"Positivo porque pone de relieve los planes de inversión y expansión de Repsol.")</f>
        <v>Positivo porque pone de relieve los planes de inversión y expansión de Repsol.</v>
      </c>
      <c r="P2554" s="30">
        <v>0.4</v>
      </c>
      <c r="Q2554" s="18" t="str">
        <f>IFERROR(__xludf.DUMMYFUNCTION("GOOGLETRANSLATE(R2554,""ES"",""EN"")"),"investment")</f>
        <v>investment</v>
      </c>
      <c r="R2554" s="34" t="s">
        <v>11615</v>
      </c>
      <c r="S2554" s="52" t="s">
        <v>18038</v>
      </c>
      <c r="T2554" s="22" t="s">
        <v>18039</v>
      </c>
    </row>
    <row r="2555">
      <c r="A2555" s="23" t="s">
        <v>18040</v>
      </c>
      <c r="B2555" s="77" t="s">
        <v>21</v>
      </c>
      <c r="C2555" s="41">
        <v>45484.0</v>
      </c>
      <c r="D2555" s="40" t="s">
        <v>18041</v>
      </c>
      <c r="E2555" s="41" t="s">
        <v>18042</v>
      </c>
      <c r="F2555" s="43" t="s">
        <v>18043</v>
      </c>
      <c r="G2555" s="43" t="s">
        <v>18044</v>
      </c>
      <c r="H2555" s="51" t="s">
        <v>969</v>
      </c>
      <c r="I2555" s="25" t="str">
        <f>IFERROR(__xludf.DUMMYFUNCTION("GOOGLETRANSLATE(H2555,""EN"",""ES"")"),"Turismo")</f>
        <v>Turismo</v>
      </c>
      <c r="J2555" s="26" t="s">
        <v>27</v>
      </c>
      <c r="K2555" s="17">
        <v>0.0</v>
      </c>
      <c r="L2555" s="54"/>
      <c r="M2555" s="31"/>
      <c r="N2555" s="83"/>
      <c r="O2555" s="83"/>
      <c r="P2555" s="20">
        <v>0.0</v>
      </c>
      <c r="Q2555" s="31"/>
      <c r="R2555" s="31"/>
      <c r="S2555" s="53"/>
      <c r="T2555" s="32"/>
    </row>
    <row r="2556">
      <c r="A2556" s="33" t="s">
        <v>18045</v>
      </c>
      <c r="B2556" s="76" t="s">
        <v>85</v>
      </c>
      <c r="C2556" s="41">
        <v>45484.0</v>
      </c>
      <c r="D2556" s="40" t="s">
        <v>18046</v>
      </c>
      <c r="E2556" s="41" t="s">
        <v>18047</v>
      </c>
      <c r="F2556" s="43" t="s">
        <v>18048</v>
      </c>
      <c r="G2556" s="43" t="s">
        <v>18049</v>
      </c>
      <c r="H2556" s="51" t="s">
        <v>661</v>
      </c>
      <c r="I2556" s="15" t="str">
        <f>IFERROR(__xludf.DUMMYFUNCTION("GOOGLETRANSLATE(H2556,""EN"",""ES"")"),"Estrategia empresarial")</f>
        <v>Estrategia empresarial</v>
      </c>
      <c r="J2556" s="16" t="s">
        <v>35</v>
      </c>
      <c r="K2556" s="48">
        <v>-0.5</v>
      </c>
      <c r="L2556" s="51" t="s">
        <v>18050</v>
      </c>
      <c r="M2556" s="34" t="s">
        <v>18051</v>
      </c>
      <c r="N2556" s="86" t="s">
        <v>18052</v>
      </c>
      <c r="O2556" s="86" t="str">
        <f>IFERROR(__xludf.DUMMYFUNCTION("GOOGLETRANSLATE(N2556,""EN"",""ES"")"),"Ligeramente negativo ya que describe la tensión legal y política en torno a las transacciones relacionadas con Repsol.")</f>
        <v>Ligeramente negativo ya que describe la tensión legal y política en torno a las transacciones relacionadas con Repsol.</v>
      </c>
      <c r="P2556" s="30">
        <v>0.0</v>
      </c>
      <c r="Q2556" s="18"/>
      <c r="R2556" s="18"/>
      <c r="S2556" s="52" t="s">
        <v>17884</v>
      </c>
      <c r="T2556" s="22" t="s">
        <v>17885</v>
      </c>
    </row>
    <row r="2557">
      <c r="A2557" s="23" t="s">
        <v>18053</v>
      </c>
      <c r="B2557" s="77" t="s">
        <v>21</v>
      </c>
      <c r="C2557" s="41">
        <v>45484.0</v>
      </c>
      <c r="D2557" s="40" t="s">
        <v>18054</v>
      </c>
      <c r="E2557" s="41" t="s">
        <v>18055</v>
      </c>
      <c r="F2557" s="43" t="s">
        <v>18056</v>
      </c>
      <c r="G2557" s="43" t="s">
        <v>18057</v>
      </c>
      <c r="H2557" s="51" t="s">
        <v>8777</v>
      </c>
      <c r="I2557" s="25" t="str">
        <f>IFERROR(__xludf.DUMMYFUNCTION("GOOGLETRANSLATE(H2557,""EN"",""ES"")"),"Cultura")</f>
        <v>Cultura</v>
      </c>
      <c r="J2557" s="26" t="s">
        <v>27</v>
      </c>
      <c r="K2557" s="17">
        <v>0.0</v>
      </c>
      <c r="L2557" s="54"/>
      <c r="M2557" s="31"/>
      <c r="N2557" s="83"/>
      <c r="O2557" s="83"/>
      <c r="P2557" s="20">
        <v>0.0</v>
      </c>
      <c r="Q2557" s="31"/>
      <c r="R2557" s="31"/>
      <c r="S2557" s="53"/>
      <c r="T2557" s="32"/>
    </row>
    <row r="2558">
      <c r="A2558" s="33" t="s">
        <v>18058</v>
      </c>
      <c r="B2558" s="76" t="s">
        <v>85</v>
      </c>
      <c r="C2558" s="41">
        <v>45484.0</v>
      </c>
      <c r="D2558" s="40" t="s">
        <v>18059</v>
      </c>
      <c r="E2558" s="41" t="s">
        <v>18060</v>
      </c>
      <c r="F2558" s="43" t="s">
        <v>18061</v>
      </c>
      <c r="G2558" s="43" t="s">
        <v>18062</v>
      </c>
      <c r="H2558" s="51" t="s">
        <v>148</v>
      </c>
      <c r="I2558" s="15" t="str">
        <f>IFERROR(__xludf.DUMMYFUNCTION("GOOGLETRANSLATE(H2558,""EN"",""ES"")"),"Gastronomía")</f>
        <v>Gastronomía</v>
      </c>
      <c r="J2558" s="16" t="s">
        <v>27</v>
      </c>
      <c r="K2558" s="17">
        <v>0.0</v>
      </c>
      <c r="L2558" s="45"/>
      <c r="M2558" s="18"/>
      <c r="N2558" s="86"/>
      <c r="O2558" s="86"/>
      <c r="P2558" s="20">
        <v>0.0</v>
      </c>
      <c r="Q2558" s="18"/>
      <c r="R2558" s="18"/>
      <c r="S2558" s="52"/>
      <c r="T2558" s="22"/>
    </row>
    <row r="2559">
      <c r="A2559" s="23" t="s">
        <v>18063</v>
      </c>
      <c r="B2559" s="77" t="s">
        <v>21</v>
      </c>
      <c r="C2559" s="41">
        <v>45484.0</v>
      </c>
      <c r="D2559" s="40" t="s">
        <v>18064</v>
      </c>
      <c r="E2559" s="41" t="s">
        <v>18065</v>
      </c>
      <c r="F2559" s="43" t="s">
        <v>18066</v>
      </c>
      <c r="G2559" s="43" t="s">
        <v>18067</v>
      </c>
      <c r="H2559" s="51" t="s">
        <v>148</v>
      </c>
      <c r="I2559" s="25" t="str">
        <f>IFERROR(__xludf.DUMMYFUNCTION("GOOGLETRANSLATE(H2559,""EN"",""ES"")"),"Gastronomía")</f>
        <v>Gastronomía</v>
      </c>
      <c r="J2559" s="26" t="s">
        <v>27</v>
      </c>
      <c r="K2559" s="17">
        <v>0.0</v>
      </c>
      <c r="L2559" s="54"/>
      <c r="M2559" s="31"/>
      <c r="N2559" s="83"/>
      <c r="O2559" s="83"/>
      <c r="P2559" s="20">
        <v>0.0</v>
      </c>
      <c r="Q2559" s="31"/>
      <c r="R2559" s="31"/>
      <c r="S2559" s="53"/>
      <c r="T2559" s="32"/>
    </row>
    <row r="2560">
      <c r="A2560" s="33" t="s">
        <v>18068</v>
      </c>
      <c r="B2560" s="76" t="s">
        <v>499</v>
      </c>
      <c r="C2560" s="41">
        <v>45485.0</v>
      </c>
      <c r="D2560" s="40" t="s">
        <v>18069</v>
      </c>
      <c r="E2560" s="41" t="s">
        <v>18070</v>
      </c>
      <c r="F2560" s="43" t="s">
        <v>18071</v>
      </c>
      <c r="G2560" s="43" t="s">
        <v>18072</v>
      </c>
      <c r="H2560" s="51" t="s">
        <v>130</v>
      </c>
      <c r="I2560" s="15" t="str">
        <f>IFERROR(__xludf.DUMMYFUNCTION("GOOGLETRANSLATE(H2560,""EN"",""ES"")"),"Sostenibilidad")</f>
        <v>Sostenibilidad</v>
      </c>
      <c r="J2560" s="16" t="s">
        <v>35</v>
      </c>
      <c r="K2560" s="48">
        <v>0.7</v>
      </c>
      <c r="L2560" s="51" t="s">
        <v>12857</v>
      </c>
      <c r="M2560" s="34" t="s">
        <v>12858</v>
      </c>
      <c r="N2560" s="86" t="s">
        <v>18073</v>
      </c>
      <c r="O2560" s="86" t="str">
        <f>IFERROR(__xludf.DUMMYFUNCTION("GOOGLETRANSLATE(N2560,""EN"",""ES"")"),"Positivo porque pone de relieve el compromiso de Repsol con una transición energética.")</f>
        <v>Positivo porque pone de relieve el compromiso de Repsol con una transición energética.</v>
      </c>
      <c r="P2560" s="30">
        <v>0.7</v>
      </c>
      <c r="Q2560" s="18" t="str">
        <f>IFERROR(__xludf.DUMMYFUNCTION("GOOGLETRANSLATE(R2560,""ES"",""EN"")"),"energy transformation")</f>
        <v>energy transformation</v>
      </c>
      <c r="R2560" s="34" t="s">
        <v>18074</v>
      </c>
      <c r="S2560" s="52" t="s">
        <v>18075</v>
      </c>
      <c r="T2560" s="22" t="s">
        <v>18076</v>
      </c>
    </row>
    <row r="2561">
      <c r="A2561" s="23" t="s">
        <v>18077</v>
      </c>
      <c r="B2561" s="77" t="s">
        <v>8442</v>
      </c>
      <c r="C2561" s="41">
        <v>45485.0</v>
      </c>
      <c r="D2561" s="40" t="s">
        <v>18078</v>
      </c>
      <c r="E2561" s="41" t="s">
        <v>18079</v>
      </c>
      <c r="F2561" s="43" t="s">
        <v>18080</v>
      </c>
      <c r="G2561" s="43" t="s">
        <v>18081</v>
      </c>
      <c r="H2561" s="51" t="s">
        <v>130</v>
      </c>
      <c r="I2561" s="25" t="str">
        <f>IFERROR(__xludf.DUMMYFUNCTION("GOOGLETRANSLATE(H2561,""EN"",""ES"")"),"Sostenibilidad")</f>
        <v>Sostenibilidad</v>
      </c>
      <c r="J2561" s="26" t="s">
        <v>35</v>
      </c>
      <c r="K2561" s="48">
        <v>0.7</v>
      </c>
      <c r="L2561" s="49" t="s">
        <v>18015</v>
      </c>
      <c r="M2561" s="28" t="s">
        <v>18016</v>
      </c>
      <c r="N2561" s="83" t="s">
        <v>18082</v>
      </c>
      <c r="O2561" s="83" t="str">
        <f>IFERROR(__xludf.DUMMYFUNCTION("GOOGLETRANSLATE(N2561,""EN"",""ES"")"),"Positivo por presentar el papel de Repsol en iniciativas de energía sostenible.")</f>
        <v>Positivo por presentar el papel de Repsol en iniciativas de energía sostenible.</v>
      </c>
      <c r="P2561" s="30">
        <v>0.6</v>
      </c>
      <c r="Q2561" s="31" t="str">
        <f>IFERROR(__xludf.DUMMYFUNCTION("GOOGLETRANSLATE(R2561,""ES"",""EN"")"),"renewable energies")</f>
        <v>renewable energies</v>
      </c>
      <c r="R2561" s="28" t="s">
        <v>18083</v>
      </c>
      <c r="S2561" s="53" t="s">
        <v>18084</v>
      </c>
      <c r="T2561" s="32" t="s">
        <v>18085</v>
      </c>
    </row>
    <row r="2562">
      <c r="A2562" s="33" t="s">
        <v>18086</v>
      </c>
      <c r="B2562" s="76" t="s">
        <v>10128</v>
      </c>
      <c r="C2562" s="41">
        <v>45485.0</v>
      </c>
      <c r="D2562" s="40" t="s">
        <v>18087</v>
      </c>
      <c r="E2562" s="41" t="s">
        <v>18088</v>
      </c>
      <c r="F2562" s="43" t="s">
        <v>18089</v>
      </c>
      <c r="G2562" s="43" t="s">
        <v>18090</v>
      </c>
      <c r="H2562" s="51" t="s">
        <v>661</v>
      </c>
      <c r="I2562" s="15" t="str">
        <f>IFERROR(__xludf.DUMMYFUNCTION("GOOGLETRANSLATE(H2562,""EN"",""ES"")"),"Estrategia empresarial")</f>
        <v>Estrategia empresarial</v>
      </c>
      <c r="J2562" s="16" t="s">
        <v>35</v>
      </c>
      <c r="K2562" s="48">
        <v>0.0</v>
      </c>
      <c r="L2562" s="45"/>
      <c r="M2562" s="18"/>
      <c r="N2562" s="86" t="s">
        <v>18091</v>
      </c>
      <c r="O2562" s="86" t="str">
        <f>IFERROR(__xludf.DUMMYFUNCTION("GOOGLETRANSLATE(N2562,""EN"",""ES"")"),"Neutral ya que simplemente informa un cambio de liderazgo sin sentimiento emocional.")</f>
        <v>Neutral ya que simplemente informa un cambio de liderazgo sin sentimiento emocional.</v>
      </c>
      <c r="P2562" s="30">
        <v>0.0</v>
      </c>
      <c r="Q2562" s="18"/>
      <c r="R2562" s="18"/>
      <c r="S2562" s="52" t="s">
        <v>18092</v>
      </c>
      <c r="T2562" s="22" t="s">
        <v>18093</v>
      </c>
    </row>
    <row r="2563">
      <c r="A2563" s="23" t="s">
        <v>18094</v>
      </c>
      <c r="B2563" s="77" t="s">
        <v>4450</v>
      </c>
      <c r="C2563" s="41">
        <v>45485.0</v>
      </c>
      <c r="D2563" s="40" t="s">
        <v>18095</v>
      </c>
      <c r="E2563" s="41" t="s">
        <v>18096</v>
      </c>
      <c r="F2563" s="43" t="s">
        <v>18097</v>
      </c>
      <c r="G2563" s="43" t="s">
        <v>18098</v>
      </c>
      <c r="H2563" s="51" t="s">
        <v>661</v>
      </c>
      <c r="I2563" s="25" t="str">
        <f>IFERROR(__xludf.DUMMYFUNCTION("GOOGLETRANSLATE(H2563,""EN"",""ES"")"),"Estrategia empresarial")</f>
        <v>Estrategia empresarial</v>
      </c>
      <c r="J2563" s="26" t="s">
        <v>35</v>
      </c>
      <c r="K2563" s="48">
        <v>0.0</v>
      </c>
      <c r="L2563" s="54"/>
      <c r="M2563" s="31"/>
      <c r="N2563" s="83" t="s">
        <v>18099</v>
      </c>
      <c r="O2563" s="83" t="str">
        <f>IFERROR(__xludf.DUMMYFUNCTION("GOOGLETRANSLATE(N2563,""EN"",""ES"")"),"Neutral porque describe una transición de liderazgo sin sentimiento.")</f>
        <v>Neutral porque describe una transición de liderazgo sin sentimiento.</v>
      </c>
      <c r="P2563" s="30">
        <v>0.5</v>
      </c>
      <c r="Q2563" s="31" t="str">
        <f>IFERROR(__xludf.DUMMYFUNCTION("GOOGLETRANSLATE(R2563,""ES"",""EN"")"),"transformation")</f>
        <v>transformation</v>
      </c>
      <c r="R2563" s="28" t="s">
        <v>18100</v>
      </c>
      <c r="S2563" s="53" t="s">
        <v>18101</v>
      </c>
      <c r="T2563" s="32" t="s">
        <v>18102</v>
      </c>
    </row>
    <row r="2564">
      <c r="A2564" s="33" t="s">
        <v>18103</v>
      </c>
      <c r="B2564" s="76" t="s">
        <v>21</v>
      </c>
      <c r="C2564" s="41">
        <v>45485.0</v>
      </c>
      <c r="D2564" s="40" t="s">
        <v>18104</v>
      </c>
      <c r="E2564" s="41" t="s">
        <v>18105</v>
      </c>
      <c r="F2564" s="43" t="s">
        <v>18106</v>
      </c>
      <c r="G2564" s="43" t="s">
        <v>18107</v>
      </c>
      <c r="H2564" s="51" t="s">
        <v>148</v>
      </c>
      <c r="I2564" s="15" t="str">
        <f>IFERROR(__xludf.DUMMYFUNCTION("GOOGLETRANSLATE(H2564,""EN"",""ES"")"),"Gastronomía")</f>
        <v>Gastronomía</v>
      </c>
      <c r="J2564" s="16" t="s">
        <v>27</v>
      </c>
      <c r="K2564" s="17">
        <v>0.0</v>
      </c>
      <c r="L2564" s="45"/>
      <c r="M2564" s="18"/>
      <c r="N2564" s="86"/>
      <c r="O2564" s="86"/>
      <c r="P2564" s="20">
        <v>0.0</v>
      </c>
      <c r="Q2564" s="18"/>
      <c r="R2564" s="18"/>
      <c r="S2564" s="52"/>
      <c r="T2564" s="22"/>
    </row>
    <row r="2565">
      <c r="A2565" s="23" t="s">
        <v>18108</v>
      </c>
      <c r="B2565" s="77" t="s">
        <v>16303</v>
      </c>
      <c r="C2565" s="41">
        <v>45485.0</v>
      </c>
      <c r="D2565" s="40" t="s">
        <v>18109</v>
      </c>
      <c r="E2565" s="41" t="s">
        <v>18110</v>
      </c>
      <c r="F2565" s="43" t="s">
        <v>18111</v>
      </c>
      <c r="G2565" s="43" t="s">
        <v>18112</v>
      </c>
      <c r="H2565" s="51" t="s">
        <v>148</v>
      </c>
      <c r="I2565" s="25" t="str">
        <f>IFERROR(__xludf.DUMMYFUNCTION("GOOGLETRANSLATE(H2565,""EN"",""ES"")"),"Gastronomía")</f>
        <v>Gastronomía</v>
      </c>
      <c r="J2565" s="26" t="s">
        <v>27</v>
      </c>
      <c r="K2565" s="17">
        <v>0.0</v>
      </c>
      <c r="L2565" s="54"/>
      <c r="M2565" s="31"/>
      <c r="N2565" s="83"/>
      <c r="O2565" s="83"/>
      <c r="P2565" s="20">
        <v>0.0</v>
      </c>
      <c r="Q2565" s="31"/>
      <c r="R2565" s="31"/>
      <c r="S2565" s="53"/>
      <c r="T2565" s="32"/>
    </row>
    <row r="2566">
      <c r="A2566" s="33" t="s">
        <v>18113</v>
      </c>
      <c r="B2566" s="76" t="s">
        <v>977</v>
      </c>
      <c r="C2566" s="41">
        <v>45485.0</v>
      </c>
      <c r="D2566" s="40" t="s">
        <v>18114</v>
      </c>
      <c r="E2566" s="41" t="s">
        <v>18115</v>
      </c>
      <c r="F2566" s="43" t="s">
        <v>18116</v>
      </c>
      <c r="G2566" s="43" t="s">
        <v>18117</v>
      </c>
      <c r="H2566" s="51" t="s">
        <v>148</v>
      </c>
      <c r="I2566" s="15" t="str">
        <f>IFERROR(__xludf.DUMMYFUNCTION("GOOGLETRANSLATE(H2566,""EN"",""ES"")"),"Gastronomía")</f>
        <v>Gastronomía</v>
      </c>
      <c r="J2566" s="16" t="s">
        <v>27</v>
      </c>
      <c r="K2566" s="17">
        <v>0.0</v>
      </c>
      <c r="L2566" s="45"/>
      <c r="M2566" s="18"/>
      <c r="N2566" s="86"/>
      <c r="O2566" s="86"/>
      <c r="P2566" s="20">
        <v>0.0</v>
      </c>
      <c r="Q2566" s="18"/>
      <c r="R2566" s="18"/>
      <c r="S2566" s="52"/>
      <c r="T2566" s="22"/>
    </row>
    <row r="2567">
      <c r="A2567" s="23" t="s">
        <v>18118</v>
      </c>
      <c r="B2567" s="77" t="s">
        <v>18119</v>
      </c>
      <c r="C2567" s="41">
        <v>45485.0</v>
      </c>
      <c r="D2567" s="40" t="s">
        <v>18120</v>
      </c>
      <c r="E2567" s="41" t="s">
        <v>18121</v>
      </c>
      <c r="F2567" s="43" t="s">
        <v>18122</v>
      </c>
      <c r="G2567" s="43" t="s">
        <v>18123</v>
      </c>
      <c r="H2567" s="51" t="s">
        <v>395</v>
      </c>
      <c r="I2567" s="25" t="str">
        <f>IFERROR(__xludf.DUMMYFUNCTION("GOOGLETRANSLATE(H2567,""EN"",""ES"")"),"Ambiente")</f>
        <v>Ambiente</v>
      </c>
      <c r="J2567" s="26" t="s">
        <v>35</v>
      </c>
      <c r="K2567" s="48">
        <v>0.0</v>
      </c>
      <c r="L2567" s="54"/>
      <c r="M2567" s="31"/>
      <c r="N2567" s="83" t="s">
        <v>18124</v>
      </c>
      <c r="O2567" s="83" t="str">
        <f>IFERROR(__xludf.DUMMYFUNCTION("GOOGLETRANSLATE(N2567,""EN"",""ES"")"),"Neutral ya que proporciona una descripción analítica sin sentimiento directo.")</f>
        <v>Neutral ya que proporciona una descripción analítica sin sentimiento directo.</v>
      </c>
      <c r="P2567" s="30">
        <v>0.0</v>
      </c>
      <c r="Q2567" s="31"/>
      <c r="R2567" s="31"/>
      <c r="S2567" s="53" t="s">
        <v>469</v>
      </c>
      <c r="T2567" s="32" t="s">
        <v>470</v>
      </c>
    </row>
    <row r="2568">
      <c r="A2568" s="33" t="s">
        <v>18125</v>
      </c>
      <c r="B2568" s="76" t="s">
        <v>21</v>
      </c>
      <c r="C2568" s="41">
        <v>45485.0</v>
      </c>
      <c r="D2568" s="40" t="s">
        <v>18126</v>
      </c>
      <c r="E2568" s="41" t="s">
        <v>18127</v>
      </c>
      <c r="F2568" s="43" t="s">
        <v>18128</v>
      </c>
      <c r="G2568" s="43" t="s">
        <v>18129</v>
      </c>
      <c r="H2568" s="51" t="s">
        <v>17454</v>
      </c>
      <c r="I2568" s="15" t="str">
        <f>IFERROR(__xludf.DUMMYFUNCTION("GOOGLETRANSLATE(H2568,""EN"",""ES"")"),"Estilo de vida")</f>
        <v>Estilo de vida</v>
      </c>
      <c r="J2568" s="16" t="s">
        <v>27</v>
      </c>
      <c r="K2568" s="17">
        <v>0.0</v>
      </c>
      <c r="L2568" s="45"/>
      <c r="M2568" s="18"/>
      <c r="N2568" s="86"/>
      <c r="O2568" s="86"/>
      <c r="P2568" s="20">
        <v>0.0</v>
      </c>
      <c r="Q2568" s="18"/>
      <c r="R2568" s="18"/>
      <c r="S2568" s="52"/>
      <c r="T2568" s="22"/>
    </row>
    <row r="2569">
      <c r="A2569" s="23" t="s">
        <v>18130</v>
      </c>
      <c r="B2569" s="77" t="s">
        <v>2230</v>
      </c>
      <c r="C2569" s="41">
        <v>45485.0</v>
      </c>
      <c r="D2569" s="40" t="s">
        <v>18131</v>
      </c>
      <c r="E2569" s="41" t="s">
        <v>18132</v>
      </c>
      <c r="F2569" s="43" t="s">
        <v>18133</v>
      </c>
      <c r="G2569" s="43" t="s">
        <v>18134</v>
      </c>
      <c r="H2569" s="51" t="s">
        <v>15092</v>
      </c>
      <c r="I2569" s="25" t="str">
        <f>IFERROR(__xludf.DUMMYFUNCTION("GOOGLETRANSLATE(H2569,""EN"",""ES"")"),"Transporte")</f>
        <v>Transporte</v>
      </c>
      <c r="J2569" s="26" t="s">
        <v>27</v>
      </c>
      <c r="K2569" s="17">
        <v>0.0</v>
      </c>
      <c r="L2569" s="54"/>
      <c r="M2569" s="31"/>
      <c r="N2569" s="83"/>
      <c r="O2569" s="83"/>
      <c r="P2569" s="20">
        <v>0.0</v>
      </c>
      <c r="Q2569" s="31"/>
      <c r="R2569" s="31"/>
      <c r="S2569" s="53"/>
      <c r="T2569" s="32"/>
    </row>
    <row r="2570">
      <c r="A2570" s="33" t="s">
        <v>18135</v>
      </c>
      <c r="B2570" s="76" t="s">
        <v>3511</v>
      </c>
      <c r="C2570" s="41">
        <v>45486.0</v>
      </c>
      <c r="D2570" s="40" t="s">
        <v>18136</v>
      </c>
      <c r="E2570" s="41" t="s">
        <v>18137</v>
      </c>
      <c r="F2570" s="43" t="s">
        <v>18138</v>
      </c>
      <c r="G2570" s="43" t="s">
        <v>18139</v>
      </c>
      <c r="H2570" s="51" t="s">
        <v>661</v>
      </c>
      <c r="I2570" s="15" t="str">
        <f>IFERROR(__xludf.DUMMYFUNCTION("GOOGLETRANSLATE(H2570,""EN"",""ES"")"),"Estrategia empresarial")</f>
        <v>Estrategia empresarial</v>
      </c>
      <c r="J2570" s="16" t="s">
        <v>35</v>
      </c>
      <c r="K2570" s="48">
        <v>-0.5</v>
      </c>
      <c r="L2570" s="51" t="s">
        <v>18050</v>
      </c>
      <c r="M2570" s="34" t="s">
        <v>18051</v>
      </c>
      <c r="N2570" s="86" t="s">
        <v>18140</v>
      </c>
      <c r="O2570" s="86" t="str">
        <f>IFERROR(__xludf.DUMMYFUNCTION("GOOGLETRANSLATE(N2570,""EN"",""ES"")"),"Ligeramente negativo ya que critica una cuestión urbanística relacionada con Repsol.")</f>
        <v>Ligeramente negativo ya que critica una cuestión urbanística relacionada con Repsol.</v>
      </c>
      <c r="P2570" s="30">
        <v>-0.5</v>
      </c>
      <c r="Q2570" s="18" t="str">
        <f>IFERROR(__xludf.DUMMYFUNCTION("GOOGLETRANSLATE(R2570,""ES"",""EN"")"),"indecency")</f>
        <v>indecency</v>
      </c>
      <c r="R2570" s="34" t="s">
        <v>18141</v>
      </c>
      <c r="S2570" s="52" t="s">
        <v>18142</v>
      </c>
      <c r="T2570" s="22" t="s">
        <v>18143</v>
      </c>
    </row>
    <row r="2571">
      <c r="A2571" s="23" t="s">
        <v>18144</v>
      </c>
      <c r="B2571" s="77" t="s">
        <v>1602</v>
      </c>
      <c r="C2571" s="41">
        <v>45486.0</v>
      </c>
      <c r="D2571" s="40" t="s">
        <v>18145</v>
      </c>
      <c r="E2571" s="41" t="s">
        <v>18146</v>
      </c>
      <c r="F2571" s="43" t="s">
        <v>18147</v>
      </c>
      <c r="G2571" s="43" t="s">
        <v>18148</v>
      </c>
      <c r="H2571" s="51" t="s">
        <v>48</v>
      </c>
      <c r="I2571" s="25" t="str">
        <f>IFERROR(__xludf.DUMMYFUNCTION("GOOGLETRANSLATE(H2571,""EN"",""ES"")"),"Finanzas")</f>
        <v>Finanzas</v>
      </c>
      <c r="J2571" s="26" t="s">
        <v>35</v>
      </c>
      <c r="K2571" s="48">
        <v>0.5</v>
      </c>
      <c r="L2571" s="49" t="s">
        <v>15881</v>
      </c>
      <c r="M2571" s="28" t="s">
        <v>15882</v>
      </c>
      <c r="N2571" s="83" t="s">
        <v>18149</v>
      </c>
      <c r="O2571" s="83" t="str">
        <f>IFERROR(__xludf.DUMMYFUNCTION("GOOGLETRANSLATE(N2571,""EN"",""ES"")"),"Ligeramente positivo ya que presenta un desempeño de mercado mixto, pero reconoce los problemas de Repsol.")</f>
        <v>Ligeramente positivo ya que presenta un desempeño de mercado mixto, pero reconoce los problemas de Repsol.</v>
      </c>
      <c r="P2571" s="30">
        <v>-0.4</v>
      </c>
      <c r="Q2571" s="31" t="str">
        <f>IFERROR(__xludf.DUMMYFUNCTION("GOOGLETRANSLATE(R2571,""ES"",""EN"")"),"suffer, bag")</f>
        <v>suffer, bag</v>
      </c>
      <c r="R2571" s="28" t="s">
        <v>18150</v>
      </c>
      <c r="S2571" s="53" t="s">
        <v>17786</v>
      </c>
      <c r="T2571" s="32" t="s">
        <v>17787</v>
      </c>
    </row>
    <row r="2572">
      <c r="A2572" s="33" t="s">
        <v>18151</v>
      </c>
      <c r="B2572" s="76" t="s">
        <v>18119</v>
      </c>
      <c r="C2572" s="41">
        <v>45486.0</v>
      </c>
      <c r="D2572" s="40" t="s">
        <v>18152</v>
      </c>
      <c r="E2572" s="41" t="s">
        <v>18153</v>
      </c>
      <c r="F2572" s="43" t="s">
        <v>18154</v>
      </c>
      <c r="G2572" s="43" t="s">
        <v>18155</v>
      </c>
      <c r="H2572" s="51" t="s">
        <v>395</v>
      </c>
      <c r="I2572" s="15" t="str">
        <f>IFERROR(__xludf.DUMMYFUNCTION("GOOGLETRANSLATE(H2572,""EN"",""ES"")"),"Ambiente")</f>
        <v>Ambiente</v>
      </c>
      <c r="J2572" s="16" t="s">
        <v>35</v>
      </c>
      <c r="K2572" s="48">
        <v>0.0</v>
      </c>
      <c r="L2572" s="45"/>
      <c r="M2572" s="18"/>
      <c r="N2572" s="86" t="s">
        <v>18156</v>
      </c>
      <c r="O2572" s="86" t="str">
        <f>IFERROR(__xludf.DUMMYFUNCTION("GOOGLETRANSLATE(N2572,""EN"",""ES"")"),"Neutral al ofrecer una visión ambiental sin sentimiento directo hacia Repsol.")</f>
        <v>Neutral al ofrecer una visión ambiental sin sentimiento directo hacia Repsol.</v>
      </c>
      <c r="P2572" s="30">
        <v>-0.3</v>
      </c>
      <c r="Q2572" s="18" t="str">
        <f>IFERROR(__xludf.DUMMYFUNCTION("GOOGLETRANSLATE(R2572,""ES"",""EN"")"),"pollution")</f>
        <v>pollution</v>
      </c>
      <c r="R2572" s="34" t="s">
        <v>18157</v>
      </c>
      <c r="S2572" s="52" t="s">
        <v>18158</v>
      </c>
      <c r="T2572" s="22" t="s">
        <v>18159</v>
      </c>
    </row>
    <row r="2573">
      <c r="A2573" s="23" t="s">
        <v>18160</v>
      </c>
      <c r="B2573" s="77" t="s">
        <v>2442</v>
      </c>
      <c r="C2573" s="41">
        <v>45486.0</v>
      </c>
      <c r="D2573" s="40" t="s">
        <v>18161</v>
      </c>
      <c r="E2573" s="41" t="s">
        <v>18162</v>
      </c>
      <c r="F2573" s="43" t="s">
        <v>18163</v>
      </c>
      <c r="G2573" s="43" t="s">
        <v>18164</v>
      </c>
      <c r="H2573" s="51" t="s">
        <v>148</v>
      </c>
      <c r="I2573" s="25" t="str">
        <f>IFERROR(__xludf.DUMMYFUNCTION("GOOGLETRANSLATE(H2573,""EN"",""ES"")"),"Gastronomía")</f>
        <v>Gastronomía</v>
      </c>
      <c r="J2573" s="26" t="s">
        <v>27</v>
      </c>
      <c r="K2573" s="17">
        <v>0.0</v>
      </c>
      <c r="L2573" s="54"/>
      <c r="M2573" s="31"/>
      <c r="N2573" s="83"/>
      <c r="O2573" s="83"/>
      <c r="P2573" s="20">
        <v>0.0</v>
      </c>
      <c r="Q2573" s="31"/>
      <c r="R2573" s="31"/>
      <c r="S2573" s="53"/>
      <c r="T2573" s="32"/>
    </row>
    <row r="2574">
      <c r="A2574" s="33" t="s">
        <v>18165</v>
      </c>
      <c r="B2574" s="76" t="s">
        <v>614</v>
      </c>
      <c r="C2574" s="41">
        <v>45486.0</v>
      </c>
      <c r="D2574" s="40" t="s">
        <v>18166</v>
      </c>
      <c r="E2574" s="41" t="s">
        <v>18167</v>
      </c>
      <c r="F2574" s="43" t="s">
        <v>18168</v>
      </c>
      <c r="G2574" s="43" t="s">
        <v>18169</v>
      </c>
      <c r="H2574" s="51" t="s">
        <v>8166</v>
      </c>
      <c r="I2574" s="15" t="str">
        <f>IFERROR(__xludf.DUMMYFUNCTION("GOOGLETRANSLATE(H2574,""EN"",""ES"")"),"Economía")</f>
        <v>Economía</v>
      </c>
      <c r="J2574" s="16" t="s">
        <v>27</v>
      </c>
      <c r="K2574" s="17">
        <v>0.0</v>
      </c>
      <c r="L2574" s="45"/>
      <c r="M2574" s="18"/>
      <c r="N2574" s="86"/>
      <c r="O2574" s="86"/>
      <c r="P2574" s="20">
        <v>0.0</v>
      </c>
      <c r="Q2574" s="18"/>
      <c r="R2574" s="18"/>
      <c r="S2574" s="52"/>
      <c r="T2574" s="22"/>
    </row>
    <row r="2575">
      <c r="A2575" s="23" t="s">
        <v>18170</v>
      </c>
      <c r="B2575" s="77" t="s">
        <v>43</v>
      </c>
      <c r="C2575" s="41">
        <v>45486.0</v>
      </c>
      <c r="D2575" s="40" t="s">
        <v>18171</v>
      </c>
      <c r="E2575" s="41" t="s">
        <v>18172</v>
      </c>
      <c r="F2575" s="43" t="s">
        <v>18173</v>
      </c>
      <c r="G2575" s="43" t="s">
        <v>18174</v>
      </c>
      <c r="H2575" s="51" t="s">
        <v>1975</v>
      </c>
      <c r="I2575" s="25" t="str">
        <f>IFERROR(__xludf.DUMMYFUNCTION("GOOGLETRANSLATE(H2575,""EN"",""ES"")"),"Política")</f>
        <v>Política</v>
      </c>
      <c r="J2575" s="26" t="s">
        <v>27</v>
      </c>
      <c r="K2575" s="17">
        <v>0.0</v>
      </c>
      <c r="L2575" s="54"/>
      <c r="M2575" s="31"/>
      <c r="N2575" s="83"/>
      <c r="O2575" s="83"/>
      <c r="P2575" s="20">
        <v>0.0</v>
      </c>
      <c r="Q2575" s="31"/>
      <c r="R2575" s="31"/>
      <c r="S2575" s="53"/>
      <c r="T2575" s="32"/>
    </row>
    <row r="2576">
      <c r="A2576" s="33" t="s">
        <v>18175</v>
      </c>
      <c r="B2576" s="76" t="s">
        <v>448</v>
      </c>
      <c r="C2576" s="41">
        <v>45486.0</v>
      </c>
      <c r="D2576" s="40" t="s">
        <v>18176</v>
      </c>
      <c r="E2576" s="41" t="s">
        <v>18177</v>
      </c>
      <c r="F2576" s="43" t="s">
        <v>18178</v>
      </c>
      <c r="G2576" s="43" t="s">
        <v>18179</v>
      </c>
      <c r="H2576" s="51" t="s">
        <v>8777</v>
      </c>
      <c r="I2576" s="15" t="str">
        <f>IFERROR(__xludf.DUMMYFUNCTION("GOOGLETRANSLATE(H2576,""EN"",""ES"")"),"Cultura")</f>
        <v>Cultura</v>
      </c>
      <c r="J2576" s="16" t="s">
        <v>27</v>
      </c>
      <c r="K2576" s="17">
        <v>0.0</v>
      </c>
      <c r="L2576" s="45"/>
      <c r="M2576" s="18"/>
      <c r="N2576" s="86"/>
      <c r="O2576" s="86"/>
      <c r="P2576" s="20">
        <v>0.0</v>
      </c>
      <c r="Q2576" s="18"/>
      <c r="R2576" s="18"/>
      <c r="S2576" s="52"/>
      <c r="T2576" s="22"/>
    </row>
    <row r="2577">
      <c r="A2577" s="23" t="s">
        <v>18180</v>
      </c>
      <c r="B2577" s="77" t="s">
        <v>18119</v>
      </c>
      <c r="C2577" s="41">
        <v>45486.0</v>
      </c>
      <c r="D2577" s="40" t="s">
        <v>18181</v>
      </c>
      <c r="E2577" s="41" t="s">
        <v>18182</v>
      </c>
      <c r="F2577" s="43" t="s">
        <v>18183</v>
      </c>
      <c r="G2577" s="43" t="s">
        <v>18184</v>
      </c>
      <c r="H2577" s="51" t="s">
        <v>395</v>
      </c>
      <c r="I2577" s="25" t="str">
        <f>IFERROR(__xludf.DUMMYFUNCTION("GOOGLETRANSLATE(H2577,""EN"",""ES"")"),"Ambiente")</f>
        <v>Ambiente</v>
      </c>
      <c r="J2577" s="26" t="s">
        <v>35</v>
      </c>
      <c r="K2577" s="48">
        <v>0.0</v>
      </c>
      <c r="L2577" s="54"/>
      <c r="M2577" s="31"/>
      <c r="N2577" s="83" t="s">
        <v>18185</v>
      </c>
      <c r="O2577" s="83" t="str">
        <f>IFERROR(__xludf.DUMMYFUNCTION("GOOGLETRANSLATE(N2577,""EN"",""ES"")"),"Neutral ya que presenta costos ambientales sin encuadre emocional.")</f>
        <v>Neutral ya que presenta costos ambientales sin encuadre emocional.</v>
      </c>
      <c r="P2577" s="30">
        <v>-0.4</v>
      </c>
      <c r="Q2577" s="31" t="str">
        <f>IFERROR(__xludf.DUMMYFUNCTION("GOOGLETRANSLATE(R2577,""ES"",""EN"")"),"pollution")</f>
        <v>pollution</v>
      </c>
      <c r="R2577" s="28" t="s">
        <v>18157</v>
      </c>
      <c r="S2577" s="53" t="s">
        <v>18158</v>
      </c>
      <c r="T2577" s="32" t="s">
        <v>18159</v>
      </c>
    </row>
    <row r="2578">
      <c r="A2578" s="33" t="s">
        <v>18186</v>
      </c>
      <c r="B2578" s="76" t="s">
        <v>3189</v>
      </c>
      <c r="C2578" s="41">
        <v>45487.0</v>
      </c>
      <c r="D2578" s="40" t="s">
        <v>18187</v>
      </c>
      <c r="E2578" s="41" t="s">
        <v>18188</v>
      </c>
      <c r="F2578" s="43" t="s">
        <v>18189</v>
      </c>
      <c r="G2578" s="43" t="s">
        <v>18190</v>
      </c>
      <c r="H2578" s="51" t="s">
        <v>55</v>
      </c>
      <c r="I2578" s="15" t="str">
        <f>IFERROR(__xludf.DUMMYFUNCTION("GOOGLETRANSLATE(H2578,""EN"",""ES"")"),"deportes de motor")</f>
        <v>deportes de motor</v>
      </c>
      <c r="J2578" s="16" t="s">
        <v>35</v>
      </c>
      <c r="K2578" s="48">
        <v>0.6</v>
      </c>
      <c r="L2578" s="51" t="s">
        <v>15685</v>
      </c>
      <c r="M2578" s="34" t="s">
        <v>15686</v>
      </c>
      <c r="N2578" s="86" t="s">
        <v>18191</v>
      </c>
      <c r="O2578" s="86" t="str">
        <f>IFERROR(__xludf.DUMMYFUNCTION("GOOGLETRANSLATE(N2578,""EN"",""ES"")"),"Positivo porque pone de relieve el éxito deportivo de Repsol Honda.")</f>
        <v>Positivo porque pone de relieve el éxito deportivo de Repsol Honda.</v>
      </c>
      <c r="P2578" s="30">
        <v>0.2</v>
      </c>
      <c r="Q2578" s="18" t="str">
        <f>IFERROR(__xludf.DUMMYFUNCTION("GOOGLETRANSLATE(R2578,""ES"",""EN"")"),"#VALUE!")</f>
        <v>#VALUE!</v>
      </c>
      <c r="R2578" s="18"/>
      <c r="S2578" s="52" t="s">
        <v>18192</v>
      </c>
      <c r="T2578" s="22" t="s">
        <v>18193</v>
      </c>
    </row>
    <row r="2579">
      <c r="A2579" s="23" t="s">
        <v>18194</v>
      </c>
      <c r="B2579" s="77" t="s">
        <v>1081</v>
      </c>
      <c r="C2579" s="41">
        <v>45487.0</v>
      </c>
      <c r="D2579" s="40" t="s">
        <v>18195</v>
      </c>
      <c r="E2579" s="41" t="s">
        <v>18196</v>
      </c>
      <c r="F2579" s="43" t="s">
        <v>18197</v>
      </c>
      <c r="G2579" s="43" t="s">
        <v>18198</v>
      </c>
      <c r="H2579" s="51" t="s">
        <v>148</v>
      </c>
      <c r="I2579" s="25" t="str">
        <f>IFERROR(__xludf.DUMMYFUNCTION("GOOGLETRANSLATE(H2579,""EN"",""ES"")"),"Gastronomía")</f>
        <v>Gastronomía</v>
      </c>
      <c r="J2579" s="26" t="s">
        <v>27</v>
      </c>
      <c r="K2579" s="17">
        <v>0.0</v>
      </c>
      <c r="L2579" s="54"/>
      <c r="M2579" s="31"/>
      <c r="N2579" s="83"/>
      <c r="O2579" s="83"/>
      <c r="P2579" s="20">
        <v>0.0</v>
      </c>
      <c r="Q2579" s="31"/>
      <c r="R2579" s="31"/>
      <c r="S2579" s="53"/>
      <c r="T2579" s="32"/>
    </row>
    <row r="2580">
      <c r="A2580" s="33" t="s">
        <v>18199</v>
      </c>
      <c r="B2580" s="76" t="s">
        <v>85</v>
      </c>
      <c r="C2580" s="41">
        <v>45487.0</v>
      </c>
      <c r="D2580" s="40" t="s">
        <v>18200</v>
      </c>
      <c r="E2580" s="41" t="s">
        <v>18201</v>
      </c>
      <c r="F2580" s="43" t="s">
        <v>18202</v>
      </c>
      <c r="G2580" s="43" t="s">
        <v>18203</v>
      </c>
      <c r="H2580" s="51" t="s">
        <v>148</v>
      </c>
      <c r="I2580" s="15" t="str">
        <f>IFERROR(__xludf.DUMMYFUNCTION("GOOGLETRANSLATE(H2580,""EN"",""ES"")"),"Gastronomía")</f>
        <v>Gastronomía</v>
      </c>
      <c r="J2580" s="16" t="s">
        <v>27</v>
      </c>
      <c r="K2580" s="17">
        <v>0.0</v>
      </c>
      <c r="L2580" s="45"/>
      <c r="M2580" s="18"/>
      <c r="N2580" s="86"/>
      <c r="O2580" s="86"/>
      <c r="P2580" s="20">
        <v>0.0</v>
      </c>
      <c r="Q2580" s="18"/>
      <c r="R2580" s="18"/>
      <c r="S2580" s="52"/>
      <c r="T2580" s="22"/>
    </row>
    <row r="2581">
      <c r="A2581" s="23" t="s">
        <v>18204</v>
      </c>
      <c r="B2581" s="77" t="s">
        <v>18205</v>
      </c>
      <c r="C2581" s="41">
        <v>45487.0</v>
      </c>
      <c r="D2581" s="40" t="s">
        <v>18206</v>
      </c>
      <c r="E2581" s="41" t="s">
        <v>18207</v>
      </c>
      <c r="F2581" s="43" t="s">
        <v>18208</v>
      </c>
      <c r="G2581" s="43" t="s">
        <v>18209</v>
      </c>
      <c r="H2581" s="51" t="s">
        <v>55</v>
      </c>
      <c r="I2581" s="25" t="str">
        <f>IFERROR(__xludf.DUMMYFUNCTION("GOOGLETRANSLATE(H2581,""EN"",""ES"")"),"deportes de motor")</f>
        <v>deportes de motor</v>
      </c>
      <c r="J2581" s="26" t="s">
        <v>35</v>
      </c>
      <c r="K2581" s="48">
        <v>0.6</v>
      </c>
      <c r="L2581" s="49" t="s">
        <v>15685</v>
      </c>
      <c r="M2581" s="28" t="s">
        <v>15686</v>
      </c>
      <c r="N2581" s="83" t="s">
        <v>18210</v>
      </c>
      <c r="O2581" s="83" t="str">
        <f>IFERROR(__xludf.DUMMYFUNCTION("GOOGLETRANSLATE(N2581,""EN"",""ES"")"),"Positivo porque pone de relieve el dominio deportivo bajo el patrocinio de Repsol.")</f>
        <v>Positivo porque pone de relieve el dominio deportivo bajo el patrocinio de Repsol.</v>
      </c>
      <c r="P2581" s="30">
        <v>0.0</v>
      </c>
      <c r="Q2581" s="31"/>
      <c r="R2581" s="31"/>
      <c r="S2581" s="53" t="s">
        <v>469</v>
      </c>
      <c r="T2581" s="32" t="s">
        <v>470</v>
      </c>
    </row>
    <row r="2582">
      <c r="A2582" s="33" t="s">
        <v>18211</v>
      </c>
      <c r="B2582" s="76" t="s">
        <v>6835</v>
      </c>
      <c r="C2582" s="41">
        <v>45487.0</v>
      </c>
      <c r="D2582" s="40" t="s">
        <v>18212</v>
      </c>
      <c r="E2582" s="41" t="s">
        <v>18213</v>
      </c>
      <c r="F2582" s="43" t="s">
        <v>18214</v>
      </c>
      <c r="G2582" s="43" t="s">
        <v>18215</v>
      </c>
      <c r="H2582" s="51" t="s">
        <v>148</v>
      </c>
      <c r="I2582" s="15" t="str">
        <f>IFERROR(__xludf.DUMMYFUNCTION("GOOGLETRANSLATE(H2582,""EN"",""ES"")"),"Gastronomía")</f>
        <v>Gastronomía</v>
      </c>
      <c r="J2582" s="16" t="s">
        <v>27</v>
      </c>
      <c r="K2582" s="17">
        <v>0.0</v>
      </c>
      <c r="L2582" s="45"/>
      <c r="M2582" s="18"/>
      <c r="N2582" s="86"/>
      <c r="O2582" s="86"/>
      <c r="P2582" s="20">
        <v>0.0</v>
      </c>
      <c r="Q2582" s="18"/>
      <c r="R2582" s="18"/>
      <c r="S2582" s="52"/>
      <c r="T2582" s="22"/>
    </row>
    <row r="2583">
      <c r="A2583" s="23" t="s">
        <v>18216</v>
      </c>
      <c r="B2583" s="77" t="s">
        <v>614</v>
      </c>
      <c r="C2583" s="41">
        <v>45487.0</v>
      </c>
      <c r="D2583" s="40" t="s">
        <v>18217</v>
      </c>
      <c r="E2583" s="41" t="s">
        <v>18218</v>
      </c>
      <c r="F2583" s="43" t="s">
        <v>18219</v>
      </c>
      <c r="G2583" s="43" t="s">
        <v>18220</v>
      </c>
      <c r="H2583" s="51" t="s">
        <v>661</v>
      </c>
      <c r="I2583" s="25" t="str">
        <f>IFERROR(__xludf.DUMMYFUNCTION("GOOGLETRANSLATE(H2583,""EN"",""ES"")"),"Estrategia empresarial")</f>
        <v>Estrategia empresarial</v>
      </c>
      <c r="J2583" s="26" t="s">
        <v>27</v>
      </c>
      <c r="K2583" s="17">
        <v>0.0</v>
      </c>
      <c r="L2583" s="54"/>
      <c r="M2583" s="31"/>
      <c r="N2583" s="83"/>
      <c r="O2583" s="83"/>
      <c r="P2583" s="20">
        <v>0.0</v>
      </c>
      <c r="Q2583" s="31"/>
      <c r="R2583" s="31"/>
      <c r="S2583" s="53"/>
      <c r="T2583" s="32"/>
    </row>
    <row r="2584">
      <c r="A2584" s="33" t="s">
        <v>18221</v>
      </c>
      <c r="B2584" s="76" t="s">
        <v>91</v>
      </c>
      <c r="C2584" s="41">
        <v>45487.0</v>
      </c>
      <c r="D2584" s="40" t="s">
        <v>18222</v>
      </c>
      <c r="E2584" s="41" t="s">
        <v>18223</v>
      </c>
      <c r="F2584" s="43" t="s">
        <v>18224</v>
      </c>
      <c r="G2584" s="43" t="s">
        <v>18225</v>
      </c>
      <c r="H2584" s="51" t="s">
        <v>148</v>
      </c>
      <c r="I2584" s="15" t="str">
        <f>IFERROR(__xludf.DUMMYFUNCTION("GOOGLETRANSLATE(H2584,""EN"",""ES"")"),"Gastronomía")</f>
        <v>Gastronomía</v>
      </c>
      <c r="J2584" s="16" t="s">
        <v>27</v>
      </c>
      <c r="K2584" s="17">
        <v>0.0</v>
      </c>
      <c r="L2584" s="45"/>
      <c r="M2584" s="18"/>
      <c r="N2584" s="86"/>
      <c r="O2584" s="86"/>
      <c r="P2584" s="20">
        <v>0.0</v>
      </c>
      <c r="Q2584" s="18"/>
      <c r="R2584" s="18"/>
      <c r="S2584" s="52"/>
      <c r="T2584" s="22"/>
    </row>
    <row r="2585">
      <c r="A2585" s="23" t="s">
        <v>18226</v>
      </c>
      <c r="B2585" s="77" t="s">
        <v>1081</v>
      </c>
      <c r="C2585" s="41">
        <v>45487.0</v>
      </c>
      <c r="D2585" s="40" t="s">
        <v>18227</v>
      </c>
      <c r="E2585" s="41" t="s">
        <v>18228</v>
      </c>
      <c r="F2585" s="43" t="s">
        <v>18229</v>
      </c>
      <c r="G2585" s="43" t="s">
        <v>18230</v>
      </c>
      <c r="H2585" s="51" t="s">
        <v>661</v>
      </c>
      <c r="I2585" s="25" t="str">
        <f>IFERROR(__xludf.DUMMYFUNCTION("GOOGLETRANSLATE(H2585,""EN"",""ES"")"),"Estrategia empresarial")</f>
        <v>Estrategia empresarial</v>
      </c>
      <c r="J2585" s="26" t="s">
        <v>35</v>
      </c>
      <c r="K2585" s="48">
        <v>0.0</v>
      </c>
      <c r="L2585" s="54"/>
      <c r="M2585" s="31"/>
      <c r="N2585" s="83" t="s">
        <v>18231</v>
      </c>
      <c r="O2585" s="83" t="str">
        <f>IFERROR(__xludf.DUMMYFUNCTION("GOOGLETRANSLATE(N2585,""EN"",""ES"")"),"Neutral ya que presenta una transacción comercial sin sentimiento.")</f>
        <v>Neutral ya que presenta una transacción comercial sin sentimiento.</v>
      </c>
      <c r="P2585" s="30">
        <v>0.0</v>
      </c>
      <c r="Q2585" s="31"/>
      <c r="R2585" s="31"/>
      <c r="S2585" s="53" t="s">
        <v>469</v>
      </c>
      <c r="T2585" s="32" t="s">
        <v>470</v>
      </c>
    </row>
    <row r="2586">
      <c r="A2586" s="33" t="s">
        <v>18232</v>
      </c>
      <c r="B2586" s="76" t="s">
        <v>339</v>
      </c>
      <c r="C2586" s="41">
        <v>45488.0</v>
      </c>
      <c r="D2586" s="40" t="s">
        <v>18233</v>
      </c>
      <c r="E2586" s="41" t="s">
        <v>18234</v>
      </c>
      <c r="F2586" s="43" t="s">
        <v>18235</v>
      </c>
      <c r="G2586" s="43" t="s">
        <v>18236</v>
      </c>
      <c r="H2586" s="51" t="s">
        <v>661</v>
      </c>
      <c r="I2586" s="15" t="str">
        <f>IFERROR(__xludf.DUMMYFUNCTION("GOOGLETRANSLATE(H2586,""EN"",""ES"")"),"Estrategia empresarial")</f>
        <v>Estrategia empresarial</v>
      </c>
      <c r="J2586" s="16" t="s">
        <v>35</v>
      </c>
      <c r="K2586" s="48">
        <v>0.6</v>
      </c>
      <c r="L2586" s="51" t="s">
        <v>16905</v>
      </c>
      <c r="M2586" s="34" t="s">
        <v>16906</v>
      </c>
      <c r="N2586" s="86" t="s">
        <v>18237</v>
      </c>
      <c r="O2586" s="86" t="str">
        <f>IFERROR(__xludf.DUMMYFUNCTION("GOOGLETRANSLATE(N2586,""EN"",""ES"")"),"Positivo ya que destaca que Repsol amplía su control en una asociación empresarial.")</f>
        <v>Positivo ya que destaca que Repsol amplía su control en una asociación empresarial.</v>
      </c>
      <c r="P2586" s="30">
        <v>0.3</v>
      </c>
      <c r="Q2586" s="18" t="str">
        <f>IFERROR(__xludf.DUMMYFUNCTION("GOOGLETRANSLATE(R2586,""ES"",""EN"")"),"acquires")</f>
        <v>acquires</v>
      </c>
      <c r="R2586" s="34" t="s">
        <v>9522</v>
      </c>
      <c r="S2586" s="52" t="s">
        <v>18238</v>
      </c>
      <c r="T2586" s="22" t="s">
        <v>18239</v>
      </c>
    </row>
    <row r="2587">
      <c r="A2587" s="23" t="s">
        <v>18240</v>
      </c>
      <c r="B2587" s="77" t="s">
        <v>3151</v>
      </c>
      <c r="C2587" s="41">
        <v>45488.0</v>
      </c>
      <c r="D2587" s="40" t="s">
        <v>18241</v>
      </c>
      <c r="E2587" s="41" t="s">
        <v>18242</v>
      </c>
      <c r="F2587" s="43" t="s">
        <v>18243</v>
      </c>
      <c r="G2587" s="43" t="s">
        <v>18244</v>
      </c>
      <c r="H2587" s="51" t="s">
        <v>661</v>
      </c>
      <c r="I2587" s="25" t="str">
        <f>IFERROR(__xludf.DUMMYFUNCTION("GOOGLETRANSLATE(H2587,""EN"",""ES"")"),"Estrategia empresarial")</f>
        <v>Estrategia empresarial</v>
      </c>
      <c r="J2587" s="26" t="s">
        <v>35</v>
      </c>
      <c r="K2587" s="48">
        <v>-0.5</v>
      </c>
      <c r="L2587" s="49" t="s">
        <v>17986</v>
      </c>
      <c r="M2587" s="28" t="s">
        <v>17987</v>
      </c>
      <c r="N2587" s="83" t="s">
        <v>18245</v>
      </c>
      <c r="O2587" s="83" t="str">
        <f>IFERROR(__xludf.DUMMYFUNCTION("GOOGLETRANSLATE(N2587,""EN"",""ES"")"),"Ligeramente negativo ya que posiciona a Repsol frente a la normativa medioambiental.")</f>
        <v>Ligeramente negativo ya que posiciona a Repsol frente a la normativa medioambiental.</v>
      </c>
      <c r="P2587" s="30">
        <v>-0.3</v>
      </c>
      <c r="Q2587" s="31" t="str">
        <f>IFERROR(__xludf.DUMMYFUNCTION("GOOGLETRANSLATE(R2587,""ES"",""EN"")"),"prohibit, error")</f>
        <v>prohibit, error</v>
      </c>
      <c r="R2587" s="28" t="s">
        <v>18246</v>
      </c>
      <c r="S2587" s="53" t="s">
        <v>18247</v>
      </c>
      <c r="T2587" s="32" t="s">
        <v>18248</v>
      </c>
    </row>
    <row r="2588">
      <c r="A2588" s="33" t="s">
        <v>18249</v>
      </c>
      <c r="B2588" s="76" t="s">
        <v>1005</v>
      </c>
      <c r="C2588" s="41">
        <v>45488.0</v>
      </c>
      <c r="D2588" s="40" t="s">
        <v>18250</v>
      </c>
      <c r="E2588" s="41" t="s">
        <v>18251</v>
      </c>
      <c r="F2588" s="43" t="s">
        <v>18252</v>
      </c>
      <c r="G2588" s="43" t="s">
        <v>18253</v>
      </c>
      <c r="H2588" s="51" t="s">
        <v>130</v>
      </c>
      <c r="I2588" s="15" t="str">
        <f>IFERROR(__xludf.DUMMYFUNCTION("GOOGLETRANSLATE(H2588,""EN"",""ES"")"),"Sostenibilidad")</f>
        <v>Sostenibilidad</v>
      </c>
      <c r="J2588" s="16" t="s">
        <v>35</v>
      </c>
      <c r="K2588" s="48">
        <v>0.7</v>
      </c>
      <c r="L2588" s="51" t="s">
        <v>18015</v>
      </c>
      <c r="M2588" s="34" t="s">
        <v>18016</v>
      </c>
      <c r="N2588" s="86" t="s">
        <v>18254</v>
      </c>
      <c r="O2588" s="86" t="str">
        <f>IFERROR(__xludf.DUMMYFUNCTION("GOOGLETRANSLATE(N2588,""EN"",""ES"")"),"Positivo porque pone de relieve la contribución de Repsol a la sostenibilidad en el entretenimiento.")</f>
        <v>Positivo porque pone de relieve la contribución de Repsol a la sostenibilidad en el entretenimiento.</v>
      </c>
      <c r="P2588" s="30">
        <v>0.5</v>
      </c>
      <c r="Q2588" s="18" t="str">
        <f>IFERROR(__xludf.DUMMYFUNCTION("GOOGLETRANSLATE(R2588,""ES"",""EN"")"),"renewable")</f>
        <v>renewable</v>
      </c>
      <c r="R2588" s="34" t="s">
        <v>18255</v>
      </c>
      <c r="S2588" s="52" t="s">
        <v>18084</v>
      </c>
      <c r="T2588" s="22" t="s">
        <v>18085</v>
      </c>
    </row>
    <row r="2589">
      <c r="A2589" s="23" t="s">
        <v>18256</v>
      </c>
      <c r="B2589" s="77" t="s">
        <v>21</v>
      </c>
      <c r="C2589" s="41">
        <v>45488.0</v>
      </c>
      <c r="D2589" s="40" t="s">
        <v>18257</v>
      </c>
      <c r="E2589" s="41" t="s">
        <v>18258</v>
      </c>
      <c r="F2589" s="43" t="s">
        <v>18259</v>
      </c>
      <c r="G2589" s="43" t="s">
        <v>18260</v>
      </c>
      <c r="H2589" s="51" t="s">
        <v>969</v>
      </c>
      <c r="I2589" s="25" t="str">
        <f>IFERROR(__xludf.DUMMYFUNCTION("GOOGLETRANSLATE(H2589,""EN"",""ES"")"),"Turismo")</f>
        <v>Turismo</v>
      </c>
      <c r="J2589" s="26" t="s">
        <v>27</v>
      </c>
      <c r="K2589" s="17">
        <v>0.0</v>
      </c>
      <c r="L2589" s="54"/>
      <c r="M2589" s="31"/>
      <c r="N2589" s="83"/>
      <c r="O2589" s="83"/>
      <c r="P2589" s="20">
        <v>0.0</v>
      </c>
      <c r="Q2589" s="31"/>
      <c r="R2589" s="31"/>
      <c r="S2589" s="53"/>
      <c r="T2589" s="32"/>
    </row>
    <row r="2590">
      <c r="A2590" s="33" t="s">
        <v>18261</v>
      </c>
      <c r="B2590" s="76" t="s">
        <v>15061</v>
      </c>
      <c r="C2590" s="41">
        <v>45488.0</v>
      </c>
      <c r="D2590" s="40" t="s">
        <v>18262</v>
      </c>
      <c r="E2590" s="41" t="s">
        <v>18263</v>
      </c>
      <c r="F2590" s="43" t="s">
        <v>18264</v>
      </c>
      <c r="G2590" s="43" t="s">
        <v>18265</v>
      </c>
      <c r="H2590" s="51" t="s">
        <v>148</v>
      </c>
      <c r="I2590" s="15" t="str">
        <f>IFERROR(__xludf.DUMMYFUNCTION("GOOGLETRANSLATE(H2590,""EN"",""ES"")"),"Gastronomía")</f>
        <v>Gastronomía</v>
      </c>
      <c r="J2590" s="16" t="s">
        <v>27</v>
      </c>
      <c r="K2590" s="17">
        <v>0.0</v>
      </c>
      <c r="L2590" s="45"/>
      <c r="M2590" s="18"/>
      <c r="N2590" s="86"/>
      <c r="O2590" s="86"/>
      <c r="P2590" s="20">
        <v>0.0</v>
      </c>
      <c r="Q2590" s="18"/>
      <c r="R2590" s="18"/>
      <c r="S2590" s="52"/>
      <c r="T2590" s="22"/>
    </row>
    <row r="2591">
      <c r="A2591" s="23" t="s">
        <v>18266</v>
      </c>
      <c r="B2591" s="77" t="s">
        <v>85</v>
      </c>
      <c r="C2591" s="41">
        <v>45488.0</v>
      </c>
      <c r="D2591" s="40" t="s">
        <v>18267</v>
      </c>
      <c r="E2591" s="41" t="s">
        <v>18268</v>
      </c>
      <c r="F2591" s="43" t="s">
        <v>18269</v>
      </c>
      <c r="G2591" s="43" t="s">
        <v>18270</v>
      </c>
      <c r="H2591" s="51" t="s">
        <v>62</v>
      </c>
      <c r="I2591" s="25" t="str">
        <f>IFERROR(__xludf.DUMMYFUNCTION("GOOGLETRANSLATE(H2591,""EN"",""ES"")"),"Energía")</f>
        <v>Energía</v>
      </c>
      <c r="J2591" s="26" t="s">
        <v>35</v>
      </c>
      <c r="K2591" s="48">
        <v>0.0</v>
      </c>
      <c r="L2591" s="54"/>
      <c r="M2591" s="31"/>
      <c r="N2591" s="83" t="s">
        <v>18271</v>
      </c>
      <c r="O2591" s="83" t="str">
        <f>IFERROR(__xludf.DUMMYFUNCTION("GOOGLETRANSLATE(N2591,""EN"",""ES"")"),"Neutral ya que analiza las tendencias de la industria sin implicaciones sentimentales.")</f>
        <v>Neutral ya que analiza las tendencias de la industria sin implicaciones sentimentales.</v>
      </c>
      <c r="P2591" s="30">
        <v>0.0</v>
      </c>
      <c r="Q2591" s="31"/>
      <c r="R2591" s="31"/>
      <c r="S2591" s="53" t="s">
        <v>17809</v>
      </c>
      <c r="T2591" s="32" t="s">
        <v>17810</v>
      </c>
    </row>
    <row r="2592">
      <c r="A2592" s="33" t="s">
        <v>18272</v>
      </c>
      <c r="B2592" s="76" t="s">
        <v>4849</v>
      </c>
      <c r="C2592" s="41">
        <v>45488.0</v>
      </c>
      <c r="D2592" s="40" t="s">
        <v>18273</v>
      </c>
      <c r="E2592" s="41" t="s">
        <v>18274</v>
      </c>
      <c r="F2592" s="43" t="s">
        <v>18275</v>
      </c>
      <c r="G2592" s="43" t="s">
        <v>18276</v>
      </c>
      <c r="H2592" s="51" t="s">
        <v>8777</v>
      </c>
      <c r="I2592" s="15" t="str">
        <f>IFERROR(__xludf.DUMMYFUNCTION("GOOGLETRANSLATE(H2592,""EN"",""ES"")"),"Cultura")</f>
        <v>Cultura</v>
      </c>
      <c r="J2592" s="16" t="s">
        <v>27</v>
      </c>
      <c r="K2592" s="17">
        <v>0.0</v>
      </c>
      <c r="L2592" s="45"/>
      <c r="M2592" s="18"/>
      <c r="N2592" s="86"/>
      <c r="O2592" s="86"/>
      <c r="P2592" s="20">
        <v>0.0</v>
      </c>
      <c r="Q2592" s="18"/>
      <c r="R2592" s="18"/>
      <c r="S2592" s="52"/>
      <c r="T2592" s="22"/>
    </row>
    <row r="2593">
      <c r="A2593" s="23" t="s">
        <v>18277</v>
      </c>
      <c r="B2593" s="77" t="s">
        <v>50</v>
      </c>
      <c r="C2593" s="41">
        <v>45488.0</v>
      </c>
      <c r="D2593" s="40" t="s">
        <v>18278</v>
      </c>
      <c r="E2593" s="41" t="s">
        <v>18279</v>
      </c>
      <c r="F2593" s="43" t="s">
        <v>18280</v>
      </c>
      <c r="G2593" s="43" t="s">
        <v>18281</v>
      </c>
      <c r="H2593" s="51" t="s">
        <v>8756</v>
      </c>
      <c r="I2593" s="25" t="str">
        <f>IFERROR(__xludf.DUMMYFUNCTION("GOOGLETRANSLATE(H2593,""EN"",""ES"")"),"Automotor")</f>
        <v>Automotor</v>
      </c>
      <c r="J2593" s="26" t="s">
        <v>27</v>
      </c>
      <c r="K2593" s="17">
        <v>0.0</v>
      </c>
      <c r="L2593" s="54"/>
      <c r="M2593" s="31"/>
      <c r="N2593" s="83"/>
      <c r="O2593" s="83"/>
      <c r="P2593" s="20">
        <v>0.0</v>
      </c>
      <c r="Q2593" s="31"/>
      <c r="R2593" s="31"/>
      <c r="S2593" s="53"/>
      <c r="T2593" s="32"/>
    </row>
    <row r="2594">
      <c r="A2594" s="33" t="s">
        <v>18282</v>
      </c>
      <c r="B2594" s="76" t="s">
        <v>18283</v>
      </c>
      <c r="C2594" s="41">
        <v>45488.0</v>
      </c>
      <c r="D2594" s="40" t="s">
        <v>18284</v>
      </c>
      <c r="E2594" s="41" t="s">
        <v>18285</v>
      </c>
      <c r="F2594" s="43" t="s">
        <v>18286</v>
      </c>
      <c r="G2594" s="43" t="s">
        <v>18287</v>
      </c>
      <c r="H2594" s="51" t="s">
        <v>408</v>
      </c>
      <c r="I2594" s="15" t="str">
        <f>IFERROR(__xludf.DUMMYFUNCTION("GOOGLETRANSLATE(H2594,""EN"",""ES"")"),"Legal")</f>
        <v>Legal</v>
      </c>
      <c r="J2594" s="16" t="s">
        <v>27</v>
      </c>
      <c r="K2594" s="17">
        <v>0.0</v>
      </c>
      <c r="L2594" s="45"/>
      <c r="M2594" s="18"/>
      <c r="N2594" s="86"/>
      <c r="O2594" s="86"/>
      <c r="P2594" s="20">
        <v>0.0</v>
      </c>
      <c r="Q2594" s="18"/>
      <c r="R2594" s="18"/>
      <c r="S2594" s="52"/>
      <c r="T2594" s="22"/>
    </row>
    <row r="2595">
      <c r="A2595" s="23" t="s">
        <v>18288</v>
      </c>
      <c r="B2595" s="77" t="s">
        <v>3067</v>
      </c>
      <c r="C2595" s="41">
        <v>45488.0</v>
      </c>
      <c r="D2595" s="40" t="s">
        <v>18289</v>
      </c>
      <c r="E2595" s="41" t="s">
        <v>18290</v>
      </c>
      <c r="F2595" s="43" t="s">
        <v>18291</v>
      </c>
      <c r="G2595" s="43" t="s">
        <v>18292</v>
      </c>
      <c r="H2595" s="51" t="s">
        <v>148</v>
      </c>
      <c r="I2595" s="25" t="str">
        <f>IFERROR(__xludf.DUMMYFUNCTION("GOOGLETRANSLATE(H2595,""EN"",""ES"")"),"Gastronomía")</f>
        <v>Gastronomía</v>
      </c>
      <c r="J2595" s="26" t="s">
        <v>27</v>
      </c>
      <c r="K2595" s="17">
        <v>0.0</v>
      </c>
      <c r="L2595" s="54"/>
      <c r="M2595" s="31"/>
      <c r="N2595" s="83"/>
      <c r="O2595" s="83"/>
      <c r="P2595" s="20">
        <v>0.0</v>
      </c>
      <c r="Q2595" s="31"/>
      <c r="R2595" s="31"/>
      <c r="S2595" s="53"/>
      <c r="T2595" s="32"/>
    </row>
    <row r="2596">
      <c r="A2596" s="33" t="s">
        <v>18293</v>
      </c>
      <c r="B2596" s="76" t="s">
        <v>499</v>
      </c>
      <c r="C2596" s="41">
        <v>45489.0</v>
      </c>
      <c r="D2596" s="40" t="s">
        <v>18294</v>
      </c>
      <c r="E2596" s="41" t="s">
        <v>18295</v>
      </c>
      <c r="F2596" s="43" t="s">
        <v>18296</v>
      </c>
      <c r="G2596" s="43" t="s">
        <v>18297</v>
      </c>
      <c r="H2596" s="51" t="s">
        <v>130</v>
      </c>
      <c r="I2596" s="15" t="str">
        <f>IFERROR(__xludf.DUMMYFUNCTION("GOOGLETRANSLATE(H2596,""EN"",""ES"")"),"Sostenibilidad")</f>
        <v>Sostenibilidad</v>
      </c>
      <c r="J2596" s="16" t="s">
        <v>35</v>
      </c>
      <c r="K2596" s="48">
        <v>0.7</v>
      </c>
      <c r="L2596" s="51" t="s">
        <v>18298</v>
      </c>
      <c r="M2596" s="34" t="s">
        <v>18299</v>
      </c>
      <c r="N2596" s="86" t="s">
        <v>18300</v>
      </c>
      <c r="O2596" s="86" t="str">
        <f>IFERROR(__xludf.DUMMYFUNCTION("GOOGLETRANSLATE(N2596,""EN"",""ES"")"),"Positivo porque pone de relieve el liderazgo de Repsol en proyectos innovadores de energías renovables.")</f>
        <v>Positivo porque pone de relieve el liderazgo de Repsol en proyectos innovadores de energías renovables.</v>
      </c>
      <c r="P2596" s="30">
        <v>0.7</v>
      </c>
      <c r="Q2596" s="18" t="str">
        <f>IFERROR(__xludf.DUMMYFUNCTION("GOOGLETRANSLATE(R2596,""ES"",""EN"")"),"agrovoltaic")</f>
        <v>agrovoltaic</v>
      </c>
      <c r="R2596" s="34" t="s">
        <v>18301</v>
      </c>
      <c r="S2596" s="52" t="s">
        <v>18302</v>
      </c>
      <c r="T2596" s="22" t="s">
        <v>18303</v>
      </c>
    </row>
    <row r="2597">
      <c r="A2597" s="23" t="s">
        <v>18304</v>
      </c>
      <c r="B2597" s="77" t="s">
        <v>21</v>
      </c>
      <c r="C2597" s="41">
        <v>45489.0</v>
      </c>
      <c r="D2597" s="40" t="s">
        <v>18305</v>
      </c>
      <c r="E2597" s="41" t="s">
        <v>18306</v>
      </c>
      <c r="F2597" s="43" t="s">
        <v>18307</v>
      </c>
      <c r="G2597" s="43" t="s">
        <v>18308</v>
      </c>
      <c r="H2597" s="51" t="s">
        <v>8777</v>
      </c>
      <c r="I2597" s="25" t="str">
        <f>IFERROR(__xludf.DUMMYFUNCTION("GOOGLETRANSLATE(H2597,""EN"",""ES"")"),"Cultura")</f>
        <v>Cultura</v>
      </c>
      <c r="J2597" s="26" t="s">
        <v>27</v>
      </c>
      <c r="K2597" s="17">
        <v>0.0</v>
      </c>
      <c r="L2597" s="54"/>
      <c r="M2597" s="31"/>
      <c r="N2597" s="83"/>
      <c r="O2597" s="83"/>
      <c r="P2597" s="20">
        <v>0.0</v>
      </c>
      <c r="Q2597" s="31"/>
      <c r="R2597" s="31"/>
      <c r="S2597" s="53"/>
      <c r="T2597" s="32"/>
    </row>
    <row r="2598">
      <c r="A2598" s="33" t="s">
        <v>18309</v>
      </c>
      <c r="B2598" s="76" t="s">
        <v>260</v>
      </c>
      <c r="C2598" s="41">
        <v>45489.0</v>
      </c>
      <c r="D2598" s="40" t="s">
        <v>18310</v>
      </c>
      <c r="E2598" s="41" t="s">
        <v>18311</v>
      </c>
      <c r="F2598" s="43" t="s">
        <v>18312</v>
      </c>
      <c r="G2598" s="43" t="s">
        <v>18313</v>
      </c>
      <c r="H2598" s="51" t="s">
        <v>661</v>
      </c>
      <c r="I2598" s="15" t="str">
        <f>IFERROR(__xludf.DUMMYFUNCTION("GOOGLETRANSLATE(H2598,""EN"",""ES"")"),"Estrategia empresarial")</f>
        <v>Estrategia empresarial</v>
      </c>
      <c r="J2598" s="16" t="s">
        <v>35</v>
      </c>
      <c r="K2598" s="48">
        <v>-0.5</v>
      </c>
      <c r="L2598" s="51" t="s">
        <v>18314</v>
      </c>
      <c r="M2598" s="34" t="s">
        <v>18315</v>
      </c>
      <c r="N2598" s="86" t="s">
        <v>18316</v>
      </c>
      <c r="O2598" s="86" t="str">
        <f>IFERROR(__xludf.DUMMYFUNCTION("GOOGLETRANSLATE(N2598,""EN"",""ES"")"),"Ligeramente negativo ya que pone de relieve la creciente competencia frente a Repsol.")</f>
        <v>Ligeramente negativo ya que pone de relieve la creciente competencia frente a Repsol.</v>
      </c>
      <c r="P2598" s="30">
        <v>-0.4</v>
      </c>
      <c r="Q2598" s="18" t="str">
        <f>IFERROR(__xludf.DUMMYFUNCTION("GOOGLETRANSLATE(R2598,""ES"",""EN"")"),"low cost, overflows")</f>
        <v>low cost, overflows</v>
      </c>
      <c r="R2598" s="34" t="s">
        <v>18317</v>
      </c>
      <c r="S2598" s="52" t="s">
        <v>18318</v>
      </c>
      <c r="T2598" s="22" t="s">
        <v>18319</v>
      </c>
    </row>
    <row r="2599">
      <c r="A2599" s="23" t="s">
        <v>18320</v>
      </c>
      <c r="B2599" s="77" t="s">
        <v>1602</v>
      </c>
      <c r="C2599" s="41">
        <v>45489.0</v>
      </c>
      <c r="D2599" s="40" t="s">
        <v>18321</v>
      </c>
      <c r="E2599" s="41" t="s">
        <v>18322</v>
      </c>
      <c r="F2599" s="43" t="s">
        <v>18323</v>
      </c>
      <c r="G2599" s="43" t="s">
        <v>18324</v>
      </c>
      <c r="H2599" s="51" t="s">
        <v>48</v>
      </c>
      <c r="I2599" s="25" t="str">
        <f>IFERROR(__xludf.DUMMYFUNCTION("GOOGLETRANSLATE(H2599,""EN"",""ES"")"),"Finanzas")</f>
        <v>Finanzas</v>
      </c>
      <c r="J2599" s="26" t="s">
        <v>35</v>
      </c>
      <c r="K2599" s="48">
        <v>-0.5</v>
      </c>
      <c r="L2599" s="49" t="s">
        <v>15881</v>
      </c>
      <c r="M2599" s="28" t="s">
        <v>15882</v>
      </c>
      <c r="N2599" s="83" t="s">
        <v>18325</v>
      </c>
      <c r="O2599" s="83" t="str">
        <f>IFERROR(__xludf.DUMMYFUNCTION("GOOGLETRANSLATE(N2599,""EN"",""ES"")"),"Ligeramente negativo ya que pone de relieve el papel de Repsol en las caídas del mercado.")</f>
        <v>Ligeramente negativo ya que pone de relieve el papel de Repsol en las caídas del mercado.</v>
      </c>
      <c r="P2599" s="30">
        <v>-0.5</v>
      </c>
      <c r="Q2599" s="31" t="str">
        <f>IFERROR(__xludf.DUMMYFUNCTION("GOOGLETRANSLATE(R2599,""ES"",""EN"")"),"falls, weighed down")</f>
        <v>falls, weighed down</v>
      </c>
      <c r="R2599" s="28" t="s">
        <v>18326</v>
      </c>
      <c r="S2599" s="53" t="s">
        <v>17786</v>
      </c>
      <c r="T2599" s="32" t="s">
        <v>17787</v>
      </c>
    </row>
    <row r="2600">
      <c r="A2600" s="33" t="s">
        <v>18327</v>
      </c>
      <c r="B2600" s="76" t="s">
        <v>1072</v>
      </c>
      <c r="C2600" s="41">
        <v>45489.0</v>
      </c>
      <c r="D2600" s="40" t="s">
        <v>18328</v>
      </c>
      <c r="E2600" s="41" t="s">
        <v>18329</v>
      </c>
      <c r="F2600" s="43" t="s">
        <v>18330</v>
      </c>
      <c r="G2600" s="43" t="s">
        <v>18331</v>
      </c>
      <c r="H2600" s="51" t="s">
        <v>48</v>
      </c>
      <c r="I2600" s="15" t="str">
        <f>IFERROR(__xludf.DUMMYFUNCTION("GOOGLETRANSLATE(H2600,""EN"",""ES"")"),"Finanzas")</f>
        <v>Finanzas</v>
      </c>
      <c r="J2600" s="16" t="s">
        <v>35</v>
      </c>
      <c r="K2600" s="48">
        <v>-0.5</v>
      </c>
      <c r="L2600" s="51" t="s">
        <v>15881</v>
      </c>
      <c r="M2600" s="34" t="s">
        <v>15882</v>
      </c>
      <c r="N2600" s="86" t="s">
        <v>18331</v>
      </c>
      <c r="O2600" s="86" t="str">
        <f>IFERROR(__xludf.DUMMYFUNCTION("GOOGLETRANSLATE(N2600,""EN"",""ES"")"),"El Ibex 35 cerró la jornada con una nueva caída tras sumar un 2% la semana pasada. Hoy, el selectivo español ha perdido un 0,47% y ha cerrado a....")</f>
        <v>El Ibex 35 cerró la jornada con una nueva caída tras sumar un 2% la semana pasada. Hoy, el selectivo español ha perdido un 0,47% y ha cerrado a....</v>
      </c>
      <c r="P2600" s="30">
        <v>-0.3</v>
      </c>
      <c r="Q2600" s="18" t="str">
        <f>IFERROR(__xludf.DUMMYFUNCTION("GOOGLETRANSLATE(R2600,""ES"",""EN"")"),"cut, yield")</f>
        <v>cut, yield</v>
      </c>
      <c r="R2600" s="34" t="s">
        <v>18332</v>
      </c>
      <c r="S2600" s="52" t="s">
        <v>18333</v>
      </c>
      <c r="T2600" s="22" t="s">
        <v>18334</v>
      </c>
    </row>
    <row r="2601">
      <c r="A2601" s="23" t="s">
        <v>18335</v>
      </c>
      <c r="B2601" s="77" t="s">
        <v>18336</v>
      </c>
      <c r="C2601" s="41">
        <v>45489.0</v>
      </c>
      <c r="D2601" s="40" t="s">
        <v>18337</v>
      </c>
      <c r="E2601" s="41" t="s">
        <v>18338</v>
      </c>
      <c r="F2601" s="43" t="s">
        <v>18339</v>
      </c>
      <c r="G2601" s="43" t="s">
        <v>18340</v>
      </c>
      <c r="H2601" s="51" t="s">
        <v>661</v>
      </c>
      <c r="I2601" s="25" t="str">
        <f>IFERROR(__xludf.DUMMYFUNCTION("GOOGLETRANSLATE(H2601,""EN"",""ES"")"),"Estrategia empresarial")</f>
        <v>Estrategia empresarial</v>
      </c>
      <c r="J2601" s="26" t="s">
        <v>35</v>
      </c>
      <c r="K2601" s="48">
        <v>-0.5</v>
      </c>
      <c r="L2601" s="49" t="s">
        <v>18314</v>
      </c>
      <c r="M2601" s="28" t="s">
        <v>18315</v>
      </c>
      <c r="N2601" s="83" t="s">
        <v>18341</v>
      </c>
      <c r="O2601" s="83" t="str">
        <f>IFERROR(__xludf.DUMMYFUNCTION("GOOGLETRANSLATE(N2601,""EN"",""ES"")"),"Ligeramente negativo ya que habla de una creciente competencia contra Repsol.")</f>
        <v>Ligeramente negativo ya que habla de una creciente competencia contra Repsol.</v>
      </c>
      <c r="P2601" s="30">
        <v>-0.6</v>
      </c>
      <c r="Q2601" s="31" t="str">
        <f>IFERROR(__xludf.DUMMYFUNCTION("GOOGLETRANSLATE(R2601,""ES"",""EN"")"),"threaten, low cost")</f>
        <v>threaten, low cost</v>
      </c>
      <c r="R2601" s="28" t="s">
        <v>18342</v>
      </c>
      <c r="S2601" s="53" t="s">
        <v>18343</v>
      </c>
      <c r="T2601" s="32" t="s">
        <v>18344</v>
      </c>
    </row>
    <row r="2602">
      <c r="A2602" s="33" t="s">
        <v>18345</v>
      </c>
      <c r="B2602" s="76" t="s">
        <v>3067</v>
      </c>
      <c r="C2602" s="41">
        <v>45489.0</v>
      </c>
      <c r="D2602" s="40" t="s">
        <v>18346</v>
      </c>
      <c r="E2602" s="41" t="s">
        <v>18347</v>
      </c>
      <c r="F2602" s="43" t="s">
        <v>18348</v>
      </c>
      <c r="G2602" s="43" t="s">
        <v>18349</v>
      </c>
      <c r="H2602" s="51" t="s">
        <v>48</v>
      </c>
      <c r="I2602" s="15" t="str">
        <f>IFERROR(__xludf.DUMMYFUNCTION("GOOGLETRANSLATE(H2602,""EN"",""ES"")"),"Finanzas")</f>
        <v>Finanzas</v>
      </c>
      <c r="J2602" s="16" t="s">
        <v>35</v>
      </c>
      <c r="K2602" s="48">
        <v>-0.5</v>
      </c>
      <c r="L2602" s="51" t="s">
        <v>15881</v>
      </c>
      <c r="M2602" s="34" t="s">
        <v>15882</v>
      </c>
      <c r="N2602" s="86" t="s">
        <v>18350</v>
      </c>
      <c r="O2602" s="86" t="str">
        <f>IFERROR(__xludf.DUMMYFUNCTION("GOOGLETRANSLATE(N2602,""EN"",""ES"")"),"Ligeramente negativo ya que vincula a Repsol con una caída en Bolsa.")</f>
        <v>Ligeramente negativo ya que vincula a Repsol con una caída en Bolsa.</v>
      </c>
      <c r="P2602" s="30">
        <v>-0.4</v>
      </c>
      <c r="Q2602" s="18" t="str">
        <f>IFERROR(__xludf.DUMMYFUNCTION("GOOGLETRANSLATE(R2602,""ES"",""EN"")"),"falls")</f>
        <v>falls</v>
      </c>
      <c r="R2602" s="34" t="s">
        <v>18351</v>
      </c>
      <c r="S2602" s="52" t="s">
        <v>18352</v>
      </c>
      <c r="T2602" s="22" t="s">
        <v>18353</v>
      </c>
    </row>
    <row r="2603">
      <c r="A2603" s="23" t="s">
        <v>18354</v>
      </c>
      <c r="B2603" s="77" t="s">
        <v>163</v>
      </c>
      <c r="C2603" s="41">
        <v>45489.0</v>
      </c>
      <c r="D2603" s="40" t="s">
        <v>18355</v>
      </c>
      <c r="E2603" s="41" t="s">
        <v>18356</v>
      </c>
      <c r="F2603" s="43" t="s">
        <v>18357</v>
      </c>
      <c r="G2603" s="43" t="s">
        <v>18358</v>
      </c>
      <c r="H2603" s="51" t="s">
        <v>18359</v>
      </c>
      <c r="I2603" s="25" t="str">
        <f>IFERROR(__xludf.DUMMYFUNCTION("GOOGLETRANSLATE(H2603,""EN"",""ES"")"),"Bienes de consumo")</f>
        <v>Bienes de consumo</v>
      </c>
      <c r="J2603" s="26" t="s">
        <v>27</v>
      </c>
      <c r="K2603" s="17">
        <v>0.0</v>
      </c>
      <c r="L2603" s="54"/>
      <c r="M2603" s="31"/>
      <c r="N2603" s="83"/>
      <c r="O2603" s="83"/>
      <c r="P2603" s="20">
        <v>0.0</v>
      </c>
      <c r="Q2603" s="31"/>
      <c r="R2603" s="31"/>
      <c r="S2603" s="53"/>
      <c r="T2603" s="32"/>
    </row>
    <row r="2604">
      <c r="A2604" s="33" t="s">
        <v>18360</v>
      </c>
      <c r="B2604" s="76" t="s">
        <v>43</v>
      </c>
      <c r="C2604" s="41">
        <v>45489.0</v>
      </c>
      <c r="D2604" s="40" t="s">
        <v>18361</v>
      </c>
      <c r="E2604" s="41" t="s">
        <v>18362</v>
      </c>
      <c r="F2604" s="43" t="s">
        <v>18363</v>
      </c>
      <c r="G2604" s="43" t="s">
        <v>18364</v>
      </c>
      <c r="H2604" s="51" t="s">
        <v>148</v>
      </c>
      <c r="I2604" s="15" t="str">
        <f>IFERROR(__xludf.DUMMYFUNCTION("GOOGLETRANSLATE(H2604,""EN"",""ES"")"),"Gastronomía")</f>
        <v>Gastronomía</v>
      </c>
      <c r="J2604" s="16" t="s">
        <v>27</v>
      </c>
      <c r="K2604" s="17">
        <v>0.0</v>
      </c>
      <c r="L2604" s="45"/>
      <c r="M2604" s="18"/>
      <c r="N2604" s="86"/>
      <c r="O2604" s="86"/>
      <c r="P2604" s="20">
        <v>0.0</v>
      </c>
      <c r="Q2604" s="18"/>
      <c r="R2604" s="18"/>
      <c r="S2604" s="52"/>
      <c r="T2604" s="22"/>
    </row>
    <row r="2605">
      <c r="A2605" s="23" t="s">
        <v>18365</v>
      </c>
      <c r="B2605" s="77" t="s">
        <v>2230</v>
      </c>
      <c r="C2605" s="41">
        <v>45489.0</v>
      </c>
      <c r="D2605" s="40" t="s">
        <v>18366</v>
      </c>
      <c r="E2605" s="41" t="s">
        <v>18367</v>
      </c>
      <c r="F2605" s="43" t="s">
        <v>18368</v>
      </c>
      <c r="G2605" s="43" t="s">
        <v>18369</v>
      </c>
      <c r="H2605" s="51" t="s">
        <v>148</v>
      </c>
      <c r="I2605" s="25" t="str">
        <f>IFERROR(__xludf.DUMMYFUNCTION("GOOGLETRANSLATE(H2605,""EN"",""ES"")"),"Gastronomía")</f>
        <v>Gastronomía</v>
      </c>
      <c r="J2605" s="26" t="s">
        <v>27</v>
      </c>
      <c r="K2605" s="17">
        <v>0.0</v>
      </c>
      <c r="L2605" s="54"/>
      <c r="M2605" s="31"/>
      <c r="N2605" s="83"/>
      <c r="O2605" s="83"/>
      <c r="P2605" s="20">
        <v>0.0</v>
      </c>
      <c r="Q2605" s="31"/>
      <c r="R2605" s="31"/>
      <c r="S2605" s="53"/>
      <c r="T2605" s="32"/>
    </row>
    <row r="2606">
      <c r="A2606" s="33" t="s">
        <v>18370</v>
      </c>
      <c r="B2606" s="76" t="s">
        <v>431</v>
      </c>
      <c r="C2606" s="41">
        <v>45489.0</v>
      </c>
      <c r="D2606" s="40" t="s">
        <v>18371</v>
      </c>
      <c r="E2606" s="41" t="s">
        <v>18372</v>
      </c>
      <c r="F2606" s="43" t="s">
        <v>18373</v>
      </c>
      <c r="G2606" s="43" t="s">
        <v>18374</v>
      </c>
      <c r="H2606" s="51" t="s">
        <v>148</v>
      </c>
      <c r="I2606" s="15" t="str">
        <f>IFERROR(__xludf.DUMMYFUNCTION("GOOGLETRANSLATE(H2606,""EN"",""ES"")"),"Gastronomía")</f>
        <v>Gastronomía</v>
      </c>
      <c r="J2606" s="16" t="s">
        <v>27</v>
      </c>
      <c r="K2606" s="17">
        <v>0.0</v>
      </c>
      <c r="L2606" s="45"/>
      <c r="M2606" s="18"/>
      <c r="N2606" s="86"/>
      <c r="O2606" s="86"/>
      <c r="P2606" s="20">
        <v>0.0</v>
      </c>
      <c r="Q2606" s="18"/>
      <c r="R2606" s="18"/>
      <c r="S2606" s="52"/>
      <c r="T2606" s="22"/>
    </row>
    <row r="2607">
      <c r="A2607" s="23" t="s">
        <v>18375</v>
      </c>
      <c r="B2607" s="77" t="s">
        <v>21</v>
      </c>
      <c r="C2607" s="41">
        <v>45489.0</v>
      </c>
      <c r="D2607" s="40" t="s">
        <v>18376</v>
      </c>
      <c r="E2607" s="41" t="s">
        <v>18377</v>
      </c>
      <c r="F2607" s="43" t="s">
        <v>18378</v>
      </c>
      <c r="G2607" s="43" t="s">
        <v>18379</v>
      </c>
      <c r="H2607" s="51" t="s">
        <v>148</v>
      </c>
      <c r="I2607" s="25" t="str">
        <f>IFERROR(__xludf.DUMMYFUNCTION("GOOGLETRANSLATE(H2607,""EN"",""ES"")"),"Gastronomía")</f>
        <v>Gastronomía</v>
      </c>
      <c r="J2607" s="26" t="s">
        <v>27</v>
      </c>
      <c r="K2607" s="17">
        <v>0.0</v>
      </c>
      <c r="L2607" s="54"/>
      <c r="M2607" s="31"/>
      <c r="N2607" s="83"/>
      <c r="O2607" s="83"/>
      <c r="P2607" s="20">
        <v>0.0</v>
      </c>
      <c r="Q2607" s="31"/>
      <c r="R2607" s="31"/>
      <c r="S2607" s="53"/>
      <c r="T2607" s="32"/>
    </row>
    <row r="2608">
      <c r="A2608" s="33" t="s">
        <v>18380</v>
      </c>
      <c r="B2608" s="76" t="s">
        <v>499</v>
      </c>
      <c r="C2608" s="41">
        <v>45489.0</v>
      </c>
      <c r="D2608" s="40" t="s">
        <v>18381</v>
      </c>
      <c r="E2608" s="41" t="s">
        <v>18382</v>
      </c>
      <c r="F2608" s="43" t="s">
        <v>18383</v>
      </c>
      <c r="G2608" s="43" t="s">
        <v>18384</v>
      </c>
      <c r="H2608" s="51" t="s">
        <v>661</v>
      </c>
      <c r="I2608" s="15" t="str">
        <f>IFERROR(__xludf.DUMMYFUNCTION("GOOGLETRANSLATE(H2608,""EN"",""ES"")"),"Estrategia empresarial")</f>
        <v>Estrategia empresarial</v>
      </c>
      <c r="J2608" s="16" t="s">
        <v>35</v>
      </c>
      <c r="K2608" s="48">
        <v>-0.5</v>
      </c>
      <c r="L2608" s="51" t="s">
        <v>18314</v>
      </c>
      <c r="M2608" s="34" t="s">
        <v>18315</v>
      </c>
      <c r="N2608" s="86" t="s">
        <v>18385</v>
      </c>
      <c r="O2608" s="86" t="str">
        <f>IFERROR(__xludf.DUMMYFUNCTION("GOOGLETRANSLATE(N2608,""EN"",""ES"")"),"Ligeramente negativo ya que enfatiza la competencia por la cuota de mercado de Repsol.")</f>
        <v>Ligeramente negativo ya que enfatiza la competencia por la cuota de mercado de Repsol.</v>
      </c>
      <c r="P2608" s="30">
        <v>-0.2</v>
      </c>
      <c r="Q2608" s="18" t="str">
        <f>IFERROR(__xludf.DUMMYFUNCTION("GOOGLETRANSLATE(R2608,""ES"",""EN"")"),"low cost")</f>
        <v>low cost</v>
      </c>
      <c r="R2608" s="34" t="s">
        <v>18386</v>
      </c>
      <c r="S2608" s="52" t="s">
        <v>18387</v>
      </c>
      <c r="T2608" s="22" t="s">
        <v>18388</v>
      </c>
    </row>
    <row r="2609">
      <c r="A2609" s="23" t="s">
        <v>18389</v>
      </c>
      <c r="B2609" s="77" t="s">
        <v>21</v>
      </c>
      <c r="C2609" s="41">
        <v>45489.0</v>
      </c>
      <c r="D2609" s="40" t="s">
        <v>18390</v>
      </c>
      <c r="E2609" s="41" t="s">
        <v>18391</v>
      </c>
      <c r="F2609" s="43" t="s">
        <v>18392</v>
      </c>
      <c r="G2609" s="43" t="s">
        <v>18393</v>
      </c>
      <c r="H2609" s="51" t="s">
        <v>969</v>
      </c>
      <c r="I2609" s="25" t="str">
        <f>IFERROR(__xludf.DUMMYFUNCTION("GOOGLETRANSLATE(H2609,""EN"",""ES"")"),"Turismo")</f>
        <v>Turismo</v>
      </c>
      <c r="J2609" s="26" t="s">
        <v>27</v>
      </c>
      <c r="K2609" s="17">
        <v>0.0</v>
      </c>
      <c r="L2609" s="54"/>
      <c r="M2609" s="31"/>
      <c r="N2609" s="83"/>
      <c r="O2609" s="83"/>
      <c r="P2609" s="20">
        <v>0.0</v>
      </c>
      <c r="Q2609" s="31"/>
      <c r="R2609" s="31"/>
      <c r="S2609" s="53"/>
      <c r="T2609" s="32"/>
    </row>
    <row r="2610">
      <c r="A2610" s="33" t="s">
        <v>18394</v>
      </c>
      <c r="B2610" s="76" t="s">
        <v>614</v>
      </c>
      <c r="C2610" s="41">
        <v>45490.0</v>
      </c>
      <c r="D2610" s="40" t="s">
        <v>18395</v>
      </c>
      <c r="E2610" s="41" t="s">
        <v>18396</v>
      </c>
      <c r="F2610" s="43" t="s">
        <v>18397</v>
      </c>
      <c r="G2610" s="43" t="s">
        <v>18398</v>
      </c>
      <c r="H2610" s="51" t="s">
        <v>130</v>
      </c>
      <c r="I2610" s="15" t="str">
        <f>IFERROR(__xludf.DUMMYFUNCTION("GOOGLETRANSLATE(H2610,""EN"",""ES"")"),"Sostenibilidad")</f>
        <v>Sostenibilidad</v>
      </c>
      <c r="J2610" s="16" t="s">
        <v>35</v>
      </c>
      <c r="K2610" s="48">
        <v>0.7</v>
      </c>
      <c r="L2610" s="51" t="s">
        <v>18298</v>
      </c>
      <c r="M2610" s="34" t="s">
        <v>18299</v>
      </c>
      <c r="N2610" s="86" t="s">
        <v>18399</v>
      </c>
      <c r="O2610" s="86" t="str">
        <f>IFERROR(__xludf.DUMMYFUNCTION("GOOGLETRANSLATE(N2610,""EN"",""ES"")"),"Positivo porque destaca la innovación de Repsol en proyectos de energías renovables.")</f>
        <v>Positivo porque destaca la innovación de Repsol en proyectos de energías renovables.</v>
      </c>
      <c r="P2610" s="30">
        <v>0.8</v>
      </c>
      <c r="Q2610" s="18" t="str">
        <f>IFERROR(__xludf.DUMMYFUNCTION("GOOGLETRANSLATE(R2610,""ES"",""EN"")"),"agrovoltaic")</f>
        <v>agrovoltaic</v>
      </c>
      <c r="R2610" s="34" t="s">
        <v>18301</v>
      </c>
      <c r="S2610" s="52" t="s">
        <v>18400</v>
      </c>
      <c r="T2610" s="22" t="s">
        <v>18401</v>
      </c>
    </row>
    <row r="2611">
      <c r="A2611" s="23" t="s">
        <v>18402</v>
      </c>
      <c r="B2611" s="77" t="s">
        <v>4617</v>
      </c>
      <c r="C2611" s="41">
        <v>45490.0</v>
      </c>
      <c r="D2611" s="40" t="s">
        <v>18403</v>
      </c>
      <c r="E2611" s="41" t="s">
        <v>18404</v>
      </c>
      <c r="F2611" s="43" t="s">
        <v>18405</v>
      </c>
      <c r="G2611" s="43" t="s">
        <v>18406</v>
      </c>
      <c r="H2611" s="51" t="s">
        <v>34</v>
      </c>
      <c r="I2611" s="25" t="str">
        <f>IFERROR(__xludf.DUMMYFUNCTION("GOOGLETRANSLATE(H2611,""EN"",""ES"")"),"Responsabilidad Social Corporativa")</f>
        <v>Responsabilidad Social Corporativa</v>
      </c>
      <c r="J2611" s="26" t="s">
        <v>35</v>
      </c>
      <c r="K2611" s="48">
        <v>0.7</v>
      </c>
      <c r="L2611" s="49" t="s">
        <v>18407</v>
      </c>
      <c r="M2611" s="28" t="s">
        <v>18408</v>
      </c>
      <c r="N2611" s="83" t="s">
        <v>18409</v>
      </c>
      <c r="O2611" s="83" t="str">
        <f>IFERROR(__xludf.DUMMYFUNCTION("GOOGLETRANSLATE(N2611,""EN"",""ES"")"),"Positivo por presentar la iniciativa de responsabilidad social corporativa de Repsol.")</f>
        <v>Positivo por presentar la iniciativa de responsabilidad social corporativa de Repsol.</v>
      </c>
      <c r="P2611" s="30">
        <v>0.7</v>
      </c>
      <c r="Q2611" s="31" t="str">
        <f>IFERROR(__xludf.DUMMYFUNCTION("GOOGLETRANSLATE(R2611,""ES"",""EN"")"),"training, vulnerability")</f>
        <v>training, vulnerability</v>
      </c>
      <c r="R2611" s="28" t="s">
        <v>18410</v>
      </c>
      <c r="S2611" s="53" t="s">
        <v>18411</v>
      </c>
      <c r="T2611" s="32" t="s">
        <v>18412</v>
      </c>
    </row>
    <row r="2612">
      <c r="A2612" s="33" t="s">
        <v>18413</v>
      </c>
      <c r="B2612" s="76" t="s">
        <v>3992</v>
      </c>
      <c r="C2612" s="41">
        <v>45490.0</v>
      </c>
      <c r="D2612" s="40" t="s">
        <v>18414</v>
      </c>
      <c r="E2612" s="41" t="s">
        <v>18415</v>
      </c>
      <c r="F2612" s="43" t="s">
        <v>18416</v>
      </c>
      <c r="G2612" s="43" t="s">
        <v>18417</v>
      </c>
      <c r="H2612" s="51" t="s">
        <v>148</v>
      </c>
      <c r="I2612" s="15" t="str">
        <f>IFERROR(__xludf.DUMMYFUNCTION("GOOGLETRANSLATE(H2612,""EN"",""ES"")"),"Gastronomía")</f>
        <v>Gastronomía</v>
      </c>
      <c r="J2612" s="16" t="s">
        <v>27</v>
      </c>
      <c r="K2612" s="17">
        <v>0.0</v>
      </c>
      <c r="L2612" s="45"/>
      <c r="M2612" s="18"/>
      <c r="N2612" s="86"/>
      <c r="O2612" s="86"/>
      <c r="P2612" s="20">
        <v>0.0</v>
      </c>
      <c r="Q2612" s="18"/>
      <c r="R2612" s="18"/>
      <c r="S2612" s="52"/>
      <c r="T2612" s="22"/>
    </row>
    <row r="2613">
      <c r="A2613" s="23" t="s">
        <v>18418</v>
      </c>
      <c r="B2613" s="77" t="s">
        <v>1970</v>
      </c>
      <c r="C2613" s="41">
        <v>45490.0</v>
      </c>
      <c r="D2613" s="40" t="s">
        <v>18419</v>
      </c>
      <c r="E2613" s="41" t="s">
        <v>18420</v>
      </c>
      <c r="F2613" s="43" t="s">
        <v>18421</v>
      </c>
      <c r="G2613" s="43" t="s">
        <v>18422</v>
      </c>
      <c r="H2613" s="51" t="s">
        <v>661</v>
      </c>
      <c r="I2613" s="25" t="str">
        <f>IFERROR(__xludf.DUMMYFUNCTION("GOOGLETRANSLATE(H2613,""EN"",""ES"")"),"Estrategia empresarial")</f>
        <v>Estrategia empresarial</v>
      </c>
      <c r="J2613" s="26" t="s">
        <v>35</v>
      </c>
      <c r="K2613" s="48">
        <v>0.6</v>
      </c>
      <c r="L2613" s="49" t="s">
        <v>16066</v>
      </c>
      <c r="M2613" s="28" t="s">
        <v>16067</v>
      </c>
      <c r="N2613" s="83" t="s">
        <v>18423</v>
      </c>
      <c r="O2613" s="83" t="str">
        <f>IFERROR(__xludf.DUMMYFUNCTION("GOOGLETRANSLATE(N2613,""EN"",""ES"")"),"Positivo porque pone de relieve la campaña promocional de Repsol.")</f>
        <v>Positivo porque pone de relieve la campaña promocional de Repsol.</v>
      </c>
      <c r="P2613" s="30">
        <v>0.0</v>
      </c>
      <c r="Q2613" s="31"/>
      <c r="R2613" s="31"/>
      <c r="S2613" s="53" t="s">
        <v>12139</v>
      </c>
      <c r="T2613" s="32" t="s">
        <v>12140</v>
      </c>
    </row>
    <row r="2614">
      <c r="A2614" s="33" t="s">
        <v>18424</v>
      </c>
      <c r="B2614" s="76" t="s">
        <v>18003</v>
      </c>
      <c r="C2614" s="41">
        <v>45490.0</v>
      </c>
      <c r="D2614" s="40" t="s">
        <v>18425</v>
      </c>
      <c r="E2614" s="41" t="s">
        <v>18426</v>
      </c>
      <c r="F2614" s="43" t="s">
        <v>18427</v>
      </c>
      <c r="G2614" s="43" t="s">
        <v>18428</v>
      </c>
      <c r="H2614" s="51" t="s">
        <v>48</v>
      </c>
      <c r="I2614" s="15" t="str">
        <f>IFERROR(__xludf.DUMMYFUNCTION("GOOGLETRANSLATE(H2614,""EN"",""ES"")"),"Finanzas")</f>
        <v>Finanzas</v>
      </c>
      <c r="J2614" s="16" t="s">
        <v>35</v>
      </c>
      <c r="K2614" s="48">
        <v>0.7</v>
      </c>
      <c r="L2614" s="51" t="s">
        <v>15881</v>
      </c>
      <c r="M2614" s="34" t="s">
        <v>15882</v>
      </c>
      <c r="N2614" s="86" t="s">
        <v>18429</v>
      </c>
      <c r="O2614" s="86" t="str">
        <f>IFERROR(__xludf.DUMMYFUNCTION("GOOGLETRANSLATE(N2614,""EN"",""ES"")"),"Ligeramente negativo ya que informa de una caída bursátil que involucra a Repsol.")</f>
        <v>Ligeramente negativo ya que informa de una caída bursátil que involucra a Repsol.</v>
      </c>
      <c r="P2614" s="30">
        <v>-0.6</v>
      </c>
      <c r="Q2614" s="18" t="str">
        <f>IFERROR(__xludf.DUMMYFUNCTION("GOOGLETRANSLATE(R2614,""ES"",""EN"")"),"falls")</f>
        <v>falls</v>
      </c>
      <c r="R2614" s="34" t="s">
        <v>18430</v>
      </c>
      <c r="S2614" s="52" t="s">
        <v>18431</v>
      </c>
      <c r="T2614" s="22" t="s">
        <v>18432</v>
      </c>
    </row>
    <row r="2615">
      <c r="A2615" s="23" t="s">
        <v>18433</v>
      </c>
      <c r="B2615" s="77" t="s">
        <v>614</v>
      </c>
      <c r="C2615" s="41">
        <v>45490.0</v>
      </c>
      <c r="D2615" s="40" t="s">
        <v>18434</v>
      </c>
      <c r="E2615" s="41" t="s">
        <v>18435</v>
      </c>
      <c r="F2615" s="43" t="s">
        <v>18436</v>
      </c>
      <c r="G2615" s="43" t="s">
        <v>18437</v>
      </c>
      <c r="H2615" s="51" t="s">
        <v>8777</v>
      </c>
      <c r="I2615" s="25" t="str">
        <f>IFERROR(__xludf.DUMMYFUNCTION("GOOGLETRANSLATE(H2615,""EN"",""ES"")"),"Cultura")</f>
        <v>Cultura</v>
      </c>
      <c r="J2615" s="26" t="s">
        <v>27</v>
      </c>
      <c r="K2615" s="17">
        <v>0.0</v>
      </c>
      <c r="L2615" s="54"/>
      <c r="M2615" s="31"/>
      <c r="N2615" s="83"/>
      <c r="O2615" s="83"/>
      <c r="P2615" s="20">
        <v>0.0</v>
      </c>
      <c r="Q2615" s="31"/>
      <c r="R2615" s="31"/>
      <c r="S2615" s="53"/>
      <c r="T2615" s="32"/>
    </row>
    <row r="2616">
      <c r="A2616" s="33" t="s">
        <v>18438</v>
      </c>
      <c r="B2616" s="76" t="s">
        <v>9427</v>
      </c>
      <c r="C2616" s="41">
        <v>45490.0</v>
      </c>
      <c r="D2616" s="40" t="s">
        <v>18439</v>
      </c>
      <c r="E2616" s="41" t="s">
        <v>18440</v>
      </c>
      <c r="F2616" s="43" t="s">
        <v>18441</v>
      </c>
      <c r="G2616" s="43" t="s">
        <v>18442</v>
      </c>
      <c r="H2616" s="51" t="s">
        <v>661</v>
      </c>
      <c r="I2616" s="15" t="str">
        <f>IFERROR(__xludf.DUMMYFUNCTION("GOOGLETRANSLATE(H2616,""EN"",""ES"")"),"Estrategia empresarial")</f>
        <v>Estrategia empresarial</v>
      </c>
      <c r="J2616" s="16" t="s">
        <v>35</v>
      </c>
      <c r="K2616" s="48">
        <v>-0.5</v>
      </c>
      <c r="L2616" s="51" t="s">
        <v>18443</v>
      </c>
      <c r="M2616" s="34" t="s">
        <v>18444</v>
      </c>
      <c r="N2616" s="86" t="s">
        <v>18445</v>
      </c>
      <c r="O2616" s="86" t="str">
        <f>IFERROR(__xludf.DUMMYFUNCTION("GOOGLETRANSLATE(N2616,""EN"",""ES"")"),"Ligeramente negativo ya que restringe un tipo de biocombustible que puede impactar a Repsol.")</f>
        <v>Ligeramente negativo ya que restringe un tipo de biocombustible que puede impactar a Repsol.</v>
      </c>
      <c r="P2616" s="30">
        <v>0.0</v>
      </c>
      <c r="Q2616" s="18"/>
      <c r="R2616" s="18"/>
      <c r="S2616" s="52" t="s">
        <v>18446</v>
      </c>
      <c r="T2616" s="22" t="s">
        <v>18447</v>
      </c>
    </row>
    <row r="2617">
      <c r="A2617" s="23" t="s">
        <v>18448</v>
      </c>
      <c r="B2617" s="77" t="s">
        <v>1384</v>
      </c>
      <c r="C2617" s="41">
        <v>45490.0</v>
      </c>
      <c r="D2617" s="40" t="s">
        <v>18449</v>
      </c>
      <c r="E2617" s="41" t="s">
        <v>18449</v>
      </c>
      <c r="F2617" s="43" t="s">
        <v>18450</v>
      </c>
      <c r="G2617" s="43" t="s">
        <v>18450</v>
      </c>
      <c r="H2617" s="51" t="s">
        <v>408</v>
      </c>
      <c r="I2617" s="25" t="str">
        <f>IFERROR(__xludf.DUMMYFUNCTION("GOOGLETRANSLATE(H2617,""EN"",""ES"")"),"Legal")</f>
        <v>Legal</v>
      </c>
      <c r="J2617" s="26" t="s">
        <v>35</v>
      </c>
      <c r="K2617" s="48">
        <v>-0.8</v>
      </c>
      <c r="L2617" s="49" t="s">
        <v>9922</v>
      </c>
      <c r="M2617" s="28" t="s">
        <v>9923</v>
      </c>
      <c r="N2617" s="83" t="s">
        <v>18451</v>
      </c>
      <c r="O2617" s="83" t="str">
        <f>IFERROR(__xludf.DUMMYFUNCTION("GOOGLETRANSLATE(N2617,""EN"",""ES"")"),"Altamente negativo ya que analiza nuevos detalles de un incidente de derrame de petróleo.")</f>
        <v>Altamente negativo ya que analiza nuevos detalles de un incidente de derrame de petróleo.</v>
      </c>
      <c r="P2617" s="30">
        <v>-0.7</v>
      </c>
      <c r="Q2617" s="31" t="str">
        <f>IFERROR(__xludf.DUMMYFUNCTION("GOOGLETRANSLATE(R2617,""ES"",""EN"")"),"spill")</f>
        <v>spill</v>
      </c>
      <c r="R2617" s="28" t="s">
        <v>18452</v>
      </c>
      <c r="S2617" s="53" t="s">
        <v>18453</v>
      </c>
      <c r="T2617" s="32" t="s">
        <v>18454</v>
      </c>
    </row>
    <row r="2618">
      <c r="A2618" s="33" t="s">
        <v>18455</v>
      </c>
      <c r="B2618" s="76" t="s">
        <v>977</v>
      </c>
      <c r="C2618" s="41">
        <v>45490.0</v>
      </c>
      <c r="D2618" s="40" t="s">
        <v>18456</v>
      </c>
      <c r="E2618" s="41" t="s">
        <v>18457</v>
      </c>
      <c r="F2618" s="43" t="s">
        <v>18458</v>
      </c>
      <c r="G2618" s="43" t="s">
        <v>18459</v>
      </c>
      <c r="H2618" s="51" t="s">
        <v>148</v>
      </c>
      <c r="I2618" s="15" t="str">
        <f>IFERROR(__xludf.DUMMYFUNCTION("GOOGLETRANSLATE(H2618,""EN"",""ES"")"),"Gastronomía")</f>
        <v>Gastronomía</v>
      </c>
      <c r="J2618" s="16" t="s">
        <v>27</v>
      </c>
      <c r="K2618" s="17">
        <v>0.0</v>
      </c>
      <c r="L2618" s="45"/>
      <c r="M2618" s="18"/>
      <c r="N2618" s="86"/>
      <c r="O2618" s="86"/>
      <c r="P2618" s="20">
        <v>0.0</v>
      </c>
      <c r="Q2618" s="18"/>
      <c r="R2618" s="18"/>
      <c r="S2618" s="52"/>
      <c r="T2618" s="22"/>
    </row>
    <row r="2619">
      <c r="A2619" s="23" t="s">
        <v>18460</v>
      </c>
      <c r="B2619" s="77" t="s">
        <v>6555</v>
      </c>
      <c r="C2619" s="41">
        <v>45490.0</v>
      </c>
      <c r="D2619" s="40" t="s">
        <v>18461</v>
      </c>
      <c r="E2619" s="41" t="s">
        <v>18462</v>
      </c>
      <c r="F2619" s="43" t="s">
        <v>18463</v>
      </c>
      <c r="G2619" s="43" t="s">
        <v>18464</v>
      </c>
      <c r="H2619" s="51" t="s">
        <v>969</v>
      </c>
      <c r="I2619" s="25" t="str">
        <f>IFERROR(__xludf.DUMMYFUNCTION("GOOGLETRANSLATE(H2619,""EN"",""ES"")"),"Turismo")</f>
        <v>Turismo</v>
      </c>
      <c r="J2619" s="26" t="s">
        <v>27</v>
      </c>
      <c r="K2619" s="17">
        <v>0.0</v>
      </c>
      <c r="L2619" s="54"/>
      <c r="M2619" s="31"/>
      <c r="N2619" s="83"/>
      <c r="O2619" s="83"/>
      <c r="P2619" s="20">
        <v>0.0</v>
      </c>
      <c r="Q2619" s="31"/>
      <c r="R2619" s="31"/>
      <c r="S2619" s="53"/>
      <c r="T2619" s="32"/>
    </row>
    <row r="2620">
      <c r="A2620" s="33" t="s">
        <v>18465</v>
      </c>
      <c r="B2620" s="76" t="s">
        <v>163</v>
      </c>
      <c r="C2620" s="41">
        <v>45491.0</v>
      </c>
      <c r="D2620" s="40" t="s">
        <v>18466</v>
      </c>
      <c r="E2620" s="41" t="s">
        <v>18467</v>
      </c>
      <c r="F2620" s="43" t="s">
        <v>18468</v>
      </c>
      <c r="G2620" s="43" t="s">
        <v>18469</v>
      </c>
      <c r="H2620" s="51" t="s">
        <v>130</v>
      </c>
      <c r="I2620" s="15" t="str">
        <f>IFERROR(__xludf.DUMMYFUNCTION("GOOGLETRANSLATE(H2620,""EN"",""ES"")"),"Sostenibilidad")</f>
        <v>Sostenibilidad</v>
      </c>
      <c r="J2620" s="16" t="s">
        <v>35</v>
      </c>
      <c r="K2620" s="48">
        <v>0.7</v>
      </c>
      <c r="L2620" s="51" t="s">
        <v>16837</v>
      </c>
      <c r="M2620" s="34" t="s">
        <v>16838</v>
      </c>
      <c r="N2620" s="86" t="s">
        <v>18470</v>
      </c>
      <c r="O2620" s="86" t="str">
        <f>IFERROR(__xludf.DUMMYFUNCTION("GOOGLETRANSLATE(N2620,""EN"",""ES"")"),"Positivo porque pone de relieve la expansión de Repsol hacia la energía eólica marina.")</f>
        <v>Positivo porque pone de relieve la expansión de Repsol hacia la energía eólica marina.</v>
      </c>
      <c r="P2620" s="30">
        <v>0.8</v>
      </c>
      <c r="Q2620" s="18" t="str">
        <f>IFERROR(__xludf.DUMMYFUNCTION("GOOGLETRANSLATE(R2620,""ES"",""EN"")"),"offshore wind, agreement")</f>
        <v>offshore wind, agreement</v>
      </c>
      <c r="R2620" s="34" t="s">
        <v>18471</v>
      </c>
      <c r="S2620" s="52" t="s">
        <v>18472</v>
      </c>
      <c r="T2620" s="22" t="s">
        <v>18473</v>
      </c>
    </row>
    <row r="2621">
      <c r="A2621" s="23" t="s">
        <v>18474</v>
      </c>
      <c r="B2621" s="77" t="s">
        <v>207</v>
      </c>
      <c r="C2621" s="41">
        <v>45491.0</v>
      </c>
      <c r="D2621" s="40" t="s">
        <v>18475</v>
      </c>
      <c r="E2621" s="41" t="s">
        <v>18476</v>
      </c>
      <c r="F2621" s="43" t="s">
        <v>18477</v>
      </c>
      <c r="G2621" s="43" t="s">
        <v>18478</v>
      </c>
      <c r="H2621" s="51" t="s">
        <v>130</v>
      </c>
      <c r="I2621" s="25" t="str">
        <f>IFERROR(__xludf.DUMMYFUNCTION("GOOGLETRANSLATE(H2621,""EN"",""ES"")"),"Sostenibilidad")</f>
        <v>Sostenibilidad</v>
      </c>
      <c r="J2621" s="26" t="s">
        <v>35</v>
      </c>
      <c r="K2621" s="48">
        <v>0.7</v>
      </c>
      <c r="L2621" s="49" t="s">
        <v>16837</v>
      </c>
      <c r="M2621" s="28" t="s">
        <v>16838</v>
      </c>
      <c r="N2621" s="83" t="s">
        <v>18479</v>
      </c>
      <c r="O2621" s="83" t="str">
        <f>IFERROR(__xludf.DUMMYFUNCTION("GOOGLETRANSLATE(N2621,""EN"",""ES"")"),"Positivo porque destaca las iniciativas de Repsol en energías renovables.")</f>
        <v>Positivo porque destaca las iniciativas de Repsol en energías renovables.</v>
      </c>
      <c r="P2621" s="30">
        <v>0.8</v>
      </c>
      <c r="Q2621" s="31" t="str">
        <f>IFERROR(__xludf.DUMMYFUNCTION("GOOGLETRANSLATE(R2621,""ES"",""EN"")"),"offshore wind, agreement")</f>
        <v>offshore wind, agreement</v>
      </c>
      <c r="R2621" s="28" t="s">
        <v>18471</v>
      </c>
      <c r="S2621" s="53" t="s">
        <v>18472</v>
      </c>
      <c r="T2621" s="32" t="s">
        <v>18473</v>
      </c>
    </row>
    <row r="2622">
      <c r="A2622" s="33" t="s">
        <v>18480</v>
      </c>
      <c r="B2622" s="76" t="s">
        <v>499</v>
      </c>
      <c r="C2622" s="41">
        <v>45491.0</v>
      </c>
      <c r="D2622" s="40" t="s">
        <v>18481</v>
      </c>
      <c r="E2622" s="41" t="s">
        <v>18482</v>
      </c>
      <c r="F2622" s="43" t="s">
        <v>18483</v>
      </c>
      <c r="G2622" s="43" t="s">
        <v>18484</v>
      </c>
      <c r="H2622" s="51" t="s">
        <v>130</v>
      </c>
      <c r="I2622" s="15" t="str">
        <f>IFERROR(__xludf.DUMMYFUNCTION("GOOGLETRANSLATE(H2622,""EN"",""ES"")"),"Sostenibilidad")</f>
        <v>Sostenibilidad</v>
      </c>
      <c r="J2622" s="16" t="s">
        <v>35</v>
      </c>
      <c r="K2622" s="48">
        <v>0.7</v>
      </c>
      <c r="L2622" s="51" t="s">
        <v>16837</v>
      </c>
      <c r="M2622" s="34" t="s">
        <v>16838</v>
      </c>
      <c r="N2622" s="86" t="s">
        <v>18485</v>
      </c>
      <c r="O2622" s="86" t="str">
        <f>IFERROR(__xludf.DUMMYFUNCTION("GOOGLETRANSLATE(N2622,""EN"",""ES"")"),"Positivo porque refuerza la apuesta de Repsol por los proyectos de energías renovables.")</f>
        <v>Positivo porque refuerza la apuesta de Repsol por los proyectos de energías renovables.</v>
      </c>
      <c r="P2622" s="30">
        <v>0.8</v>
      </c>
      <c r="Q2622" s="18" t="str">
        <f>IFERROR(__xludf.DUMMYFUNCTION("GOOGLETRANSLATE(R2622,""ES"",""EN"")"),"offshore wind, alliance")</f>
        <v>offshore wind, alliance</v>
      </c>
      <c r="R2622" s="34" t="s">
        <v>18486</v>
      </c>
      <c r="S2622" s="52" t="s">
        <v>18472</v>
      </c>
      <c r="T2622" s="22" t="s">
        <v>18473</v>
      </c>
    </row>
    <row r="2623">
      <c r="A2623" s="23" t="s">
        <v>18487</v>
      </c>
      <c r="B2623" s="77" t="s">
        <v>18488</v>
      </c>
      <c r="C2623" s="41">
        <v>45491.0</v>
      </c>
      <c r="D2623" s="40" t="s">
        <v>18489</v>
      </c>
      <c r="E2623" s="41" t="s">
        <v>18490</v>
      </c>
      <c r="F2623" s="43" t="s">
        <v>18491</v>
      </c>
      <c r="G2623" s="43" t="s">
        <v>18492</v>
      </c>
      <c r="H2623" s="51" t="s">
        <v>130</v>
      </c>
      <c r="I2623" s="25" t="str">
        <f>IFERROR(__xludf.DUMMYFUNCTION("GOOGLETRANSLATE(H2623,""EN"",""ES"")"),"Sostenibilidad")</f>
        <v>Sostenibilidad</v>
      </c>
      <c r="J2623" s="26" t="s">
        <v>35</v>
      </c>
      <c r="K2623" s="48">
        <v>0.7</v>
      </c>
      <c r="L2623" s="49" t="s">
        <v>18015</v>
      </c>
      <c r="M2623" s="28" t="s">
        <v>18016</v>
      </c>
      <c r="N2623" s="83" t="s">
        <v>18493</v>
      </c>
      <c r="O2623" s="83" t="str">
        <f>IFERROR(__xludf.DUMMYFUNCTION("GOOGLETRANSLATE(N2623,""EN"",""ES"")"),"Positivo porque pone de relieve el papel de Repsol en los esfuerzos por la sostenibilidad.")</f>
        <v>Positivo porque pone de relieve el papel de Repsol en los esfuerzos por la sostenibilidad.</v>
      </c>
      <c r="P2623" s="30">
        <v>0.7</v>
      </c>
      <c r="Q2623" s="31" t="str">
        <f>IFERROR(__xludf.DUMMYFUNCTION("GOOGLETRANSLATE(R2623,""ES"",""EN"")"),"renewable fuel")</f>
        <v>renewable fuel</v>
      </c>
      <c r="R2623" s="28" t="s">
        <v>10542</v>
      </c>
      <c r="S2623" s="53" t="s">
        <v>18494</v>
      </c>
      <c r="T2623" s="32" t="s">
        <v>18495</v>
      </c>
    </row>
    <row r="2624">
      <c r="A2624" s="33" t="s">
        <v>18496</v>
      </c>
      <c r="B2624" s="76" t="s">
        <v>85</v>
      </c>
      <c r="C2624" s="41">
        <v>45491.0</v>
      </c>
      <c r="D2624" s="40" t="s">
        <v>18497</v>
      </c>
      <c r="E2624" s="41" t="s">
        <v>18498</v>
      </c>
      <c r="F2624" s="43" t="s">
        <v>18468</v>
      </c>
      <c r="G2624" s="43" t="s">
        <v>18499</v>
      </c>
      <c r="H2624" s="51" t="s">
        <v>130</v>
      </c>
      <c r="I2624" s="15" t="str">
        <f>IFERROR(__xludf.DUMMYFUNCTION("GOOGLETRANSLATE(H2624,""EN"",""ES"")"),"Sostenibilidad")</f>
        <v>Sostenibilidad</v>
      </c>
      <c r="J2624" s="16" t="s">
        <v>35</v>
      </c>
      <c r="K2624" s="48">
        <v>0.7</v>
      </c>
      <c r="L2624" s="51" t="s">
        <v>16837</v>
      </c>
      <c r="M2624" s="34" t="s">
        <v>16838</v>
      </c>
      <c r="N2624" s="86" t="s">
        <v>18500</v>
      </c>
      <c r="O2624" s="86" t="str">
        <f>IFERROR(__xludf.DUMMYFUNCTION("GOOGLETRANSLATE(N2624,""EN"",""ES"")"),"Positivo porque refuerza la expansión de Repsol hacia la energía eólica marina.")</f>
        <v>Positivo porque refuerza la expansión de Repsol hacia la energía eólica marina.</v>
      </c>
      <c r="P2624" s="30">
        <v>0.8</v>
      </c>
      <c r="Q2624" s="18" t="str">
        <f>IFERROR(__xludf.DUMMYFUNCTION("GOOGLETRANSLATE(R2624,""ES"",""EN"")"),"offshore wind, agreement")</f>
        <v>offshore wind, agreement</v>
      </c>
      <c r="R2624" s="34" t="s">
        <v>18471</v>
      </c>
      <c r="S2624" s="52" t="s">
        <v>18472</v>
      </c>
      <c r="T2624" s="22" t="s">
        <v>18473</v>
      </c>
    </row>
    <row r="2625">
      <c r="A2625" s="23" t="s">
        <v>18501</v>
      </c>
      <c r="B2625" s="77" t="s">
        <v>217</v>
      </c>
      <c r="C2625" s="41">
        <v>45491.0</v>
      </c>
      <c r="D2625" s="40" t="s">
        <v>18502</v>
      </c>
      <c r="E2625" s="41" t="s">
        <v>18503</v>
      </c>
      <c r="F2625" s="43" t="s">
        <v>18504</v>
      </c>
      <c r="G2625" s="43" t="s">
        <v>18505</v>
      </c>
      <c r="H2625" s="51" t="s">
        <v>130</v>
      </c>
      <c r="I2625" s="25" t="str">
        <f>IFERROR(__xludf.DUMMYFUNCTION("GOOGLETRANSLATE(H2625,""EN"",""ES"")"),"Sostenibilidad")</f>
        <v>Sostenibilidad</v>
      </c>
      <c r="J2625" s="26" t="s">
        <v>35</v>
      </c>
      <c r="K2625" s="48">
        <v>0.7</v>
      </c>
      <c r="L2625" s="49" t="s">
        <v>16837</v>
      </c>
      <c r="M2625" s="28" t="s">
        <v>16838</v>
      </c>
      <c r="N2625" s="83" t="s">
        <v>18506</v>
      </c>
      <c r="O2625" s="83" t="str">
        <f>IFERROR(__xludf.DUMMYFUNCTION("GOOGLETRANSLATE(N2625,""EN"",""ES"")"),"Positivo porque respalda el liderazgo de Repsol en energías renovables.")</f>
        <v>Positivo porque respalda el liderazgo de Repsol en energías renovables.</v>
      </c>
      <c r="P2625" s="30">
        <v>0.8</v>
      </c>
      <c r="Q2625" s="31" t="str">
        <f>IFERROR(__xludf.DUMMYFUNCTION("GOOGLETRANSLATE(R2625,""ES"",""EN"")"),"offshore wind, agreement")</f>
        <v>offshore wind, agreement</v>
      </c>
      <c r="R2625" s="28" t="s">
        <v>18471</v>
      </c>
      <c r="S2625" s="53" t="s">
        <v>18472</v>
      </c>
      <c r="T2625" s="32" t="s">
        <v>18473</v>
      </c>
    </row>
    <row r="2626">
      <c r="A2626" s="33" t="s">
        <v>18507</v>
      </c>
      <c r="B2626" s="76" t="s">
        <v>21</v>
      </c>
      <c r="C2626" s="41">
        <v>45491.0</v>
      </c>
      <c r="D2626" s="40" t="s">
        <v>18508</v>
      </c>
      <c r="E2626" s="41" t="s">
        <v>18509</v>
      </c>
      <c r="F2626" s="43" t="s">
        <v>18510</v>
      </c>
      <c r="G2626" s="43" t="s">
        <v>18511</v>
      </c>
      <c r="H2626" s="51" t="s">
        <v>148</v>
      </c>
      <c r="I2626" s="15" t="str">
        <f>IFERROR(__xludf.DUMMYFUNCTION("GOOGLETRANSLATE(H2626,""EN"",""ES"")"),"Gastronomía")</f>
        <v>Gastronomía</v>
      </c>
      <c r="J2626" s="16" t="s">
        <v>27</v>
      </c>
      <c r="K2626" s="17">
        <v>0.0</v>
      </c>
      <c r="L2626" s="45"/>
      <c r="M2626" s="18"/>
      <c r="N2626" s="86"/>
      <c r="O2626" s="86"/>
      <c r="P2626" s="20">
        <v>0.0</v>
      </c>
      <c r="Q2626" s="18"/>
      <c r="R2626" s="18"/>
      <c r="S2626" s="52"/>
      <c r="T2626" s="22"/>
    </row>
    <row r="2627">
      <c r="A2627" s="23" t="s">
        <v>18512</v>
      </c>
      <c r="B2627" s="77" t="s">
        <v>1192</v>
      </c>
      <c r="C2627" s="41">
        <v>45491.0</v>
      </c>
      <c r="D2627" s="40" t="s">
        <v>18513</v>
      </c>
      <c r="E2627" s="41" t="s">
        <v>18514</v>
      </c>
      <c r="F2627" s="43" t="s">
        <v>18515</v>
      </c>
      <c r="G2627" s="43" t="s">
        <v>18516</v>
      </c>
      <c r="H2627" s="51" t="s">
        <v>130</v>
      </c>
      <c r="I2627" s="25" t="str">
        <f>IFERROR(__xludf.DUMMYFUNCTION("GOOGLETRANSLATE(H2627,""EN"",""ES"")"),"Sostenibilidad")</f>
        <v>Sostenibilidad</v>
      </c>
      <c r="J2627" s="26" t="s">
        <v>35</v>
      </c>
      <c r="K2627" s="48">
        <v>0.7</v>
      </c>
      <c r="L2627" s="49" t="s">
        <v>16837</v>
      </c>
      <c r="M2627" s="28" t="s">
        <v>16838</v>
      </c>
      <c r="N2627" s="83" t="s">
        <v>18517</v>
      </c>
      <c r="O2627" s="83" t="str">
        <f>IFERROR(__xludf.DUMMYFUNCTION("GOOGLETRANSLATE(N2627,""EN"",""ES"")"),"Positivo porque pone de relieve la expansión de Repsol en energía eólica marina.")</f>
        <v>Positivo porque pone de relieve la expansión de Repsol en energía eólica marina.</v>
      </c>
      <c r="P2627" s="30">
        <v>0.8</v>
      </c>
      <c r="Q2627" s="31" t="str">
        <f>IFERROR(__xludf.DUMMYFUNCTION("GOOGLETRANSLATE(R2627,""ES"",""EN"")"),"offshore wind, alliance")</f>
        <v>offshore wind, alliance</v>
      </c>
      <c r="R2627" s="28" t="s">
        <v>18486</v>
      </c>
      <c r="S2627" s="53" t="s">
        <v>18472</v>
      </c>
      <c r="T2627" s="32" t="s">
        <v>18473</v>
      </c>
    </row>
    <row r="2628">
      <c r="A2628" s="33" t="s">
        <v>18518</v>
      </c>
      <c r="B2628" s="76" t="s">
        <v>260</v>
      </c>
      <c r="C2628" s="41">
        <v>45491.0</v>
      </c>
      <c r="D2628" s="40" t="s">
        <v>18519</v>
      </c>
      <c r="E2628" s="41" t="s">
        <v>18520</v>
      </c>
      <c r="F2628" s="43" t="s">
        <v>18521</v>
      </c>
      <c r="G2628" s="43" t="s">
        <v>18522</v>
      </c>
      <c r="H2628" s="51" t="s">
        <v>130</v>
      </c>
      <c r="I2628" s="15" t="str">
        <f>IFERROR(__xludf.DUMMYFUNCTION("GOOGLETRANSLATE(H2628,""EN"",""ES"")"),"Sostenibilidad")</f>
        <v>Sostenibilidad</v>
      </c>
      <c r="J2628" s="16" t="s">
        <v>35</v>
      </c>
      <c r="K2628" s="48">
        <v>0.7</v>
      </c>
      <c r="L2628" s="51" t="s">
        <v>16837</v>
      </c>
      <c r="M2628" s="34" t="s">
        <v>16838</v>
      </c>
      <c r="N2628" s="86" t="s">
        <v>18523</v>
      </c>
      <c r="O2628" s="86" t="str">
        <f>IFERROR(__xludf.DUMMYFUNCTION("GOOGLETRANSLATE(N2628,""EN"",""ES"")"),"Positivo ya que destaca una nueva asociación para el desarrollo de energías renovables.")</f>
        <v>Positivo ya que destaca una nueva asociación para el desarrollo de energías renovables.</v>
      </c>
      <c r="P2628" s="30">
        <v>0.8</v>
      </c>
      <c r="Q2628" s="18" t="str">
        <f>IFERROR(__xludf.DUMMYFUNCTION("GOOGLETRANSLATE(R2628,""ES"",""EN"")"),"offshore wind, alliance")</f>
        <v>offshore wind, alliance</v>
      </c>
      <c r="R2628" s="34" t="s">
        <v>18486</v>
      </c>
      <c r="S2628" s="52" t="s">
        <v>18472</v>
      </c>
      <c r="T2628" s="22" t="s">
        <v>18473</v>
      </c>
    </row>
    <row r="2629">
      <c r="A2629" s="23" t="s">
        <v>18524</v>
      </c>
      <c r="B2629" s="77" t="s">
        <v>18525</v>
      </c>
      <c r="C2629" s="41">
        <v>45491.0</v>
      </c>
      <c r="D2629" s="40" t="s">
        <v>18526</v>
      </c>
      <c r="E2629" s="41" t="s">
        <v>18527</v>
      </c>
      <c r="F2629" s="43" t="s">
        <v>18528</v>
      </c>
      <c r="G2629" s="43" t="s">
        <v>18529</v>
      </c>
      <c r="H2629" s="51" t="s">
        <v>939</v>
      </c>
      <c r="I2629" s="25" t="str">
        <f>IFERROR(__xludf.DUMMYFUNCTION("GOOGLETRANSLATE(H2629,""EN"",""ES"")"),"Seguridad")</f>
        <v>Seguridad</v>
      </c>
      <c r="J2629" s="26" t="s">
        <v>35</v>
      </c>
      <c r="K2629" s="48">
        <v>-0.5</v>
      </c>
      <c r="L2629" s="49" t="s">
        <v>18530</v>
      </c>
      <c r="M2629" s="28" t="s">
        <v>18531</v>
      </c>
      <c r="N2629" s="83" t="s">
        <v>18532</v>
      </c>
      <c r="O2629" s="83" t="str">
        <f>IFERROR(__xludf.DUMMYFUNCTION("GOOGLETRANSLATE(N2629,""EN"",""ES"")"),"Ligeramente negativo ya que habla de una estafa que afecta a la imagen de Repsol.")</f>
        <v>Ligeramente negativo ya que habla de una estafa que afecta a la imagen de Repsol.</v>
      </c>
      <c r="P2629" s="30">
        <v>-0.5</v>
      </c>
      <c r="Q2629" s="31" t="str">
        <f>IFERROR(__xludf.DUMMYFUNCTION("GOOGLETRANSLATE(R2629,""ES"",""EN"")"),"scam")</f>
        <v>scam</v>
      </c>
      <c r="R2629" s="28" t="s">
        <v>18533</v>
      </c>
      <c r="S2629" s="53" t="s">
        <v>18534</v>
      </c>
      <c r="T2629" s="32" t="s">
        <v>18535</v>
      </c>
    </row>
    <row r="2630">
      <c r="A2630" s="33" t="s">
        <v>18536</v>
      </c>
      <c r="B2630" s="76" t="s">
        <v>431</v>
      </c>
      <c r="C2630" s="41">
        <v>45491.0</v>
      </c>
      <c r="D2630" s="40" t="s">
        <v>18537</v>
      </c>
      <c r="E2630" s="41" t="s">
        <v>18538</v>
      </c>
      <c r="F2630" s="43" t="s">
        <v>18539</v>
      </c>
      <c r="G2630" s="43" t="s">
        <v>18540</v>
      </c>
      <c r="H2630" s="51" t="s">
        <v>148</v>
      </c>
      <c r="I2630" s="15" t="str">
        <f>IFERROR(__xludf.DUMMYFUNCTION("GOOGLETRANSLATE(H2630,""EN"",""ES"")"),"Gastronomía")</f>
        <v>Gastronomía</v>
      </c>
      <c r="J2630" s="16" t="s">
        <v>27</v>
      </c>
      <c r="K2630" s="17">
        <v>0.0</v>
      </c>
      <c r="L2630" s="45"/>
      <c r="M2630" s="18"/>
      <c r="N2630" s="86"/>
      <c r="O2630" s="86"/>
      <c r="P2630" s="20">
        <v>0.0</v>
      </c>
      <c r="Q2630" s="18"/>
      <c r="R2630" s="18"/>
      <c r="S2630" s="52"/>
      <c r="T2630" s="22"/>
    </row>
    <row r="2631">
      <c r="A2631" s="23" t="s">
        <v>18541</v>
      </c>
      <c r="B2631" s="77" t="s">
        <v>21</v>
      </c>
      <c r="C2631" s="41">
        <v>45491.0</v>
      </c>
      <c r="D2631" s="40" t="s">
        <v>18542</v>
      </c>
      <c r="E2631" s="41" t="s">
        <v>18543</v>
      </c>
      <c r="F2631" s="43" t="s">
        <v>18544</v>
      </c>
      <c r="G2631" s="43" t="s">
        <v>18545</v>
      </c>
      <c r="H2631" s="51" t="s">
        <v>8777</v>
      </c>
      <c r="I2631" s="25" t="str">
        <f>IFERROR(__xludf.DUMMYFUNCTION("GOOGLETRANSLATE(H2631,""EN"",""ES"")"),"Cultura")</f>
        <v>Cultura</v>
      </c>
      <c r="J2631" s="26" t="s">
        <v>27</v>
      </c>
      <c r="K2631" s="17">
        <v>0.0</v>
      </c>
      <c r="L2631" s="54"/>
      <c r="M2631" s="31"/>
      <c r="N2631" s="83"/>
      <c r="O2631" s="83"/>
      <c r="P2631" s="20">
        <v>0.0</v>
      </c>
      <c r="Q2631" s="31"/>
      <c r="R2631" s="31"/>
      <c r="S2631" s="53"/>
      <c r="T2631" s="32"/>
    </row>
    <row r="2632">
      <c r="A2632" s="33" t="s">
        <v>18546</v>
      </c>
      <c r="B2632" s="76" t="s">
        <v>6835</v>
      </c>
      <c r="C2632" s="41">
        <v>45491.0</v>
      </c>
      <c r="D2632" s="40" t="s">
        <v>18547</v>
      </c>
      <c r="E2632" s="41" t="s">
        <v>18548</v>
      </c>
      <c r="F2632" s="43" t="s">
        <v>18549</v>
      </c>
      <c r="G2632" s="43" t="s">
        <v>18550</v>
      </c>
      <c r="H2632" s="51" t="s">
        <v>148</v>
      </c>
      <c r="I2632" s="15" t="str">
        <f>IFERROR(__xludf.DUMMYFUNCTION("GOOGLETRANSLATE(H2632,""EN"",""ES"")"),"Gastronomía")</f>
        <v>Gastronomía</v>
      </c>
      <c r="J2632" s="16" t="s">
        <v>27</v>
      </c>
      <c r="K2632" s="17">
        <v>0.0</v>
      </c>
      <c r="L2632" s="45"/>
      <c r="M2632" s="18"/>
      <c r="N2632" s="86"/>
      <c r="O2632" s="86"/>
      <c r="P2632" s="20">
        <v>0.0</v>
      </c>
      <c r="Q2632" s="18"/>
      <c r="R2632" s="18"/>
      <c r="S2632" s="52"/>
      <c r="T2632" s="22"/>
    </row>
    <row r="2633">
      <c r="A2633" s="23" t="s">
        <v>18551</v>
      </c>
      <c r="B2633" s="77" t="s">
        <v>499</v>
      </c>
      <c r="C2633" s="41">
        <v>45491.0</v>
      </c>
      <c r="D2633" s="40" t="s">
        <v>18552</v>
      </c>
      <c r="E2633" s="41" t="s">
        <v>18553</v>
      </c>
      <c r="F2633" s="43" t="s">
        <v>18554</v>
      </c>
      <c r="G2633" s="43" t="s">
        <v>18555</v>
      </c>
      <c r="H2633" s="51" t="s">
        <v>661</v>
      </c>
      <c r="I2633" s="25" t="str">
        <f>IFERROR(__xludf.DUMMYFUNCTION("GOOGLETRANSLATE(H2633,""EN"",""ES"")"),"Estrategia empresarial")</f>
        <v>Estrategia empresarial</v>
      </c>
      <c r="J2633" s="26" t="s">
        <v>35</v>
      </c>
      <c r="K2633" s="48">
        <v>0.6</v>
      </c>
      <c r="L2633" s="49" t="s">
        <v>13429</v>
      </c>
      <c r="M2633" s="28" t="s">
        <v>13430</v>
      </c>
      <c r="N2633" s="83" t="s">
        <v>18556</v>
      </c>
      <c r="O2633" s="83" t="str">
        <f>IFERROR(__xludf.DUMMYFUNCTION("GOOGLETRANSLATE(N2633,""EN"",""ES"")"),"Positivo porque pone de relieve la fuerte presencia de Repsol en el mercado energético de autoconsumo.")</f>
        <v>Positivo porque pone de relieve la fuerte presencia de Repsol en el mercado energético de autoconsumo.</v>
      </c>
      <c r="P2633" s="30">
        <v>0.6</v>
      </c>
      <c r="Q2633" s="31" t="str">
        <f>IFERROR(__xludf.DUMMYFUNCTION("GOOGLETRANSLATE(R2633,""ES"",""EN"")"),"self-consumption")</f>
        <v>self-consumption</v>
      </c>
      <c r="R2633" s="28" t="s">
        <v>18557</v>
      </c>
      <c r="S2633" s="53" t="s">
        <v>18558</v>
      </c>
      <c r="T2633" s="32" t="s">
        <v>18559</v>
      </c>
    </row>
    <row r="2634">
      <c r="A2634" s="33" t="s">
        <v>18560</v>
      </c>
      <c r="B2634" s="76" t="s">
        <v>977</v>
      </c>
      <c r="C2634" s="41">
        <v>45491.0</v>
      </c>
      <c r="D2634" s="40" t="s">
        <v>18561</v>
      </c>
      <c r="E2634" s="41" t="s">
        <v>18562</v>
      </c>
      <c r="F2634" s="43" t="s">
        <v>18563</v>
      </c>
      <c r="G2634" s="43" t="s">
        <v>18564</v>
      </c>
      <c r="H2634" s="51" t="s">
        <v>148</v>
      </c>
      <c r="I2634" s="15" t="str">
        <f>IFERROR(__xludf.DUMMYFUNCTION("GOOGLETRANSLATE(H2634,""EN"",""ES"")"),"Gastronomía")</f>
        <v>Gastronomía</v>
      </c>
      <c r="J2634" s="16" t="s">
        <v>27</v>
      </c>
      <c r="K2634" s="17">
        <v>0.0</v>
      </c>
      <c r="L2634" s="45"/>
      <c r="M2634" s="18"/>
      <c r="N2634" s="86"/>
      <c r="O2634" s="86"/>
      <c r="P2634" s="20">
        <v>0.0</v>
      </c>
      <c r="Q2634" s="18"/>
      <c r="R2634" s="18"/>
      <c r="S2634" s="52"/>
      <c r="T2634" s="22"/>
    </row>
    <row r="2635">
      <c r="A2635" s="23" t="s">
        <v>18565</v>
      </c>
      <c r="B2635" s="77" t="s">
        <v>85</v>
      </c>
      <c r="C2635" s="41">
        <v>45491.0</v>
      </c>
      <c r="D2635" s="40" t="s">
        <v>18566</v>
      </c>
      <c r="E2635" s="41" t="s">
        <v>18567</v>
      </c>
      <c r="F2635" s="43" t="s">
        <v>18568</v>
      </c>
      <c r="G2635" s="43" t="s">
        <v>18569</v>
      </c>
      <c r="H2635" s="51" t="s">
        <v>148</v>
      </c>
      <c r="I2635" s="25" t="str">
        <f>IFERROR(__xludf.DUMMYFUNCTION("GOOGLETRANSLATE(H2635,""EN"",""ES"")"),"Gastronomía")</f>
        <v>Gastronomía</v>
      </c>
      <c r="J2635" s="26" t="s">
        <v>27</v>
      </c>
      <c r="K2635" s="17">
        <v>0.0</v>
      </c>
      <c r="L2635" s="54"/>
      <c r="M2635" s="31"/>
      <c r="N2635" s="83"/>
      <c r="O2635" s="83"/>
      <c r="P2635" s="20">
        <v>0.0</v>
      </c>
      <c r="Q2635" s="31"/>
      <c r="R2635" s="31"/>
      <c r="S2635" s="53"/>
      <c r="T2635" s="32"/>
    </row>
    <row r="2636">
      <c r="A2636" s="33" t="s">
        <v>18570</v>
      </c>
      <c r="B2636" s="76" t="s">
        <v>21</v>
      </c>
      <c r="C2636" s="41">
        <v>45491.0</v>
      </c>
      <c r="D2636" s="40" t="s">
        <v>18571</v>
      </c>
      <c r="E2636" s="41" t="s">
        <v>18572</v>
      </c>
      <c r="F2636" s="43" t="s">
        <v>18573</v>
      </c>
      <c r="G2636" s="43" t="s">
        <v>18574</v>
      </c>
      <c r="H2636" s="51" t="s">
        <v>148</v>
      </c>
      <c r="I2636" s="15" t="str">
        <f>IFERROR(__xludf.DUMMYFUNCTION("GOOGLETRANSLATE(H2636,""EN"",""ES"")"),"Gastronomía")</f>
        <v>Gastronomía</v>
      </c>
      <c r="J2636" s="16" t="s">
        <v>27</v>
      </c>
      <c r="K2636" s="17">
        <v>0.0</v>
      </c>
      <c r="L2636" s="45"/>
      <c r="M2636" s="18"/>
      <c r="N2636" s="86"/>
      <c r="O2636" s="86"/>
      <c r="P2636" s="20">
        <v>0.0</v>
      </c>
      <c r="Q2636" s="18"/>
      <c r="R2636" s="18"/>
      <c r="S2636" s="52"/>
      <c r="T2636" s="22"/>
    </row>
    <row r="2637">
      <c r="A2637" s="23" t="s">
        <v>18575</v>
      </c>
      <c r="B2637" s="77" t="s">
        <v>85</v>
      </c>
      <c r="C2637" s="41">
        <v>45491.0</v>
      </c>
      <c r="D2637" s="40" t="s">
        <v>18576</v>
      </c>
      <c r="E2637" s="41" t="s">
        <v>18577</v>
      </c>
      <c r="F2637" s="43" t="s">
        <v>18578</v>
      </c>
      <c r="G2637" s="43" t="s">
        <v>18579</v>
      </c>
      <c r="H2637" s="51" t="s">
        <v>148</v>
      </c>
      <c r="I2637" s="25" t="str">
        <f>IFERROR(__xludf.DUMMYFUNCTION("GOOGLETRANSLATE(H2637,""EN"",""ES"")"),"Gastronomía")</f>
        <v>Gastronomía</v>
      </c>
      <c r="J2637" s="26" t="s">
        <v>27</v>
      </c>
      <c r="K2637" s="17">
        <v>0.0</v>
      </c>
      <c r="L2637" s="54"/>
      <c r="M2637" s="31"/>
      <c r="N2637" s="83"/>
      <c r="O2637" s="83"/>
      <c r="P2637" s="20">
        <v>0.0</v>
      </c>
      <c r="Q2637" s="31"/>
      <c r="R2637" s="31"/>
      <c r="S2637" s="53"/>
      <c r="T2637" s="32"/>
    </row>
    <row r="2638">
      <c r="A2638" s="33" t="s">
        <v>18580</v>
      </c>
      <c r="B2638" s="76" t="s">
        <v>10158</v>
      </c>
      <c r="C2638" s="41">
        <v>45492.0</v>
      </c>
      <c r="D2638" s="40" t="s">
        <v>18581</v>
      </c>
      <c r="E2638" s="41" t="s">
        <v>18582</v>
      </c>
      <c r="F2638" s="43" t="s">
        <v>18583</v>
      </c>
      <c r="G2638" s="43" t="s">
        <v>18584</v>
      </c>
      <c r="H2638" s="51" t="s">
        <v>661</v>
      </c>
      <c r="I2638" s="15" t="str">
        <f>IFERROR(__xludf.DUMMYFUNCTION("GOOGLETRANSLATE(H2638,""EN"",""ES"")"),"Estrategia empresarial")</f>
        <v>Estrategia empresarial</v>
      </c>
      <c r="J2638" s="16" t="s">
        <v>35</v>
      </c>
      <c r="K2638" s="48">
        <v>0.6</v>
      </c>
      <c r="L2638" s="51" t="s">
        <v>18585</v>
      </c>
      <c r="M2638" s="34" t="s">
        <v>18586</v>
      </c>
      <c r="N2638" s="86" t="s">
        <v>18587</v>
      </c>
      <c r="O2638" s="86" t="str">
        <f>IFERROR(__xludf.DUMMYFUNCTION("GOOGLETRANSLATE(N2638,""EN"",""ES"")"),"Positivo ya que destaca una colaboración empresarial estratégica.")</f>
        <v>Positivo ya que destaca una colaboración empresarial estratégica.</v>
      </c>
      <c r="P2638" s="30">
        <v>0.3</v>
      </c>
      <c r="Q2638" s="18" t="str">
        <f>IFERROR(__xludf.DUMMYFUNCTION("GOOGLETRANSLATE(R2638,""ES"",""EN"")"),"returns")</f>
        <v>returns</v>
      </c>
      <c r="R2638" s="34" t="s">
        <v>14216</v>
      </c>
      <c r="S2638" s="52" t="s">
        <v>18588</v>
      </c>
      <c r="T2638" s="22" t="s">
        <v>18589</v>
      </c>
    </row>
    <row r="2639">
      <c r="A2639" s="23" t="s">
        <v>18590</v>
      </c>
      <c r="B2639" s="77" t="s">
        <v>163</v>
      </c>
      <c r="C2639" s="41">
        <v>45492.0</v>
      </c>
      <c r="D2639" s="40" t="s">
        <v>18591</v>
      </c>
      <c r="E2639" s="41" t="s">
        <v>18592</v>
      </c>
      <c r="F2639" s="43" t="s">
        <v>18593</v>
      </c>
      <c r="G2639" s="43" t="s">
        <v>18594</v>
      </c>
      <c r="H2639" s="51" t="s">
        <v>661</v>
      </c>
      <c r="I2639" s="25" t="str">
        <f>IFERROR(__xludf.DUMMYFUNCTION("GOOGLETRANSLATE(H2639,""EN"",""ES"")"),"Estrategia empresarial")</f>
        <v>Estrategia empresarial</v>
      </c>
      <c r="J2639" s="26" t="s">
        <v>35</v>
      </c>
      <c r="K2639" s="48">
        <v>0.5</v>
      </c>
      <c r="L2639" s="49" t="s">
        <v>18595</v>
      </c>
      <c r="M2639" s="28" t="s">
        <v>18596</v>
      </c>
      <c r="N2639" s="83" t="s">
        <v>18597</v>
      </c>
      <c r="O2639" s="83" t="str">
        <f>IFERROR(__xludf.DUMMYFUNCTION("GOOGLETRANSLATE(N2639,""EN"",""ES"")"),"Ligeramente positivo ya que tranquiliza a los clientes tras una interrupción temporal.")</f>
        <v>Ligeramente positivo ya que tranquiliza a los clientes tras una interrupción temporal.</v>
      </c>
      <c r="P2639" s="30">
        <v>-0.2</v>
      </c>
      <c r="Q2639" s="31" t="str">
        <f>IFERROR(__xludf.DUMMYFUNCTION("GOOGLETRANSLATE(R2639,""ES"",""EN"")"),"failed")</f>
        <v>failed</v>
      </c>
      <c r="R2639" s="28" t="s">
        <v>18598</v>
      </c>
      <c r="S2639" s="53" t="s">
        <v>18599</v>
      </c>
      <c r="T2639" s="32" t="s">
        <v>18600</v>
      </c>
    </row>
    <row r="2640">
      <c r="A2640" s="33" t="s">
        <v>18601</v>
      </c>
      <c r="B2640" s="76" t="s">
        <v>217</v>
      </c>
      <c r="C2640" s="41">
        <v>45492.0</v>
      </c>
      <c r="D2640" s="40" t="s">
        <v>18602</v>
      </c>
      <c r="E2640" s="41" t="s">
        <v>18603</v>
      </c>
      <c r="F2640" s="43" t="s">
        <v>18604</v>
      </c>
      <c r="G2640" s="43" t="s">
        <v>18605</v>
      </c>
      <c r="H2640" s="51" t="s">
        <v>782</v>
      </c>
      <c r="I2640" s="15" t="str">
        <f>IFERROR(__xludf.DUMMYFUNCTION("GOOGLETRANSLATE(H2640,""EN"",""ES"")"),"Tecnología")</f>
        <v>Tecnología</v>
      </c>
      <c r="J2640" s="16" t="s">
        <v>35</v>
      </c>
      <c r="K2640" s="48">
        <v>0.0</v>
      </c>
      <c r="L2640" s="45"/>
      <c r="M2640" s="18"/>
      <c r="N2640" s="86" t="s">
        <v>18606</v>
      </c>
      <c r="O2640" s="86" t="str">
        <f>IFERROR(__xludf.DUMMYFUNCTION("GOOGLETRANSLATE(N2640,""EN"",""ES"")"),"Neutral ya que describe un problema global de TI sin sentimiento directo hacia Repsol.")</f>
        <v>Neutral ya que describe un problema global de TI sin sentimiento directo hacia Repsol.</v>
      </c>
      <c r="P2640" s="30">
        <v>-0.4</v>
      </c>
      <c r="Q2640" s="18" t="str">
        <f>IFERROR(__xludf.DUMMYFUNCTION("GOOGLETRANSLATE(R2640,""ES"",""EN"")"),"failed")</f>
        <v>failed</v>
      </c>
      <c r="R2640" s="34" t="s">
        <v>18598</v>
      </c>
      <c r="S2640" s="52" t="s">
        <v>18607</v>
      </c>
      <c r="T2640" s="22" t="s">
        <v>18608</v>
      </c>
    </row>
    <row r="2641">
      <c r="A2641" s="23" t="s">
        <v>18609</v>
      </c>
      <c r="B2641" s="77" t="s">
        <v>6297</v>
      </c>
      <c r="C2641" s="41">
        <v>45492.0</v>
      </c>
      <c r="D2641" s="40" t="s">
        <v>18610</v>
      </c>
      <c r="E2641" s="41" t="s">
        <v>18611</v>
      </c>
      <c r="F2641" s="43" t="s">
        <v>18612</v>
      </c>
      <c r="G2641" s="43" t="s">
        <v>18613</v>
      </c>
      <c r="H2641" s="51" t="s">
        <v>782</v>
      </c>
      <c r="I2641" s="25" t="str">
        <f>IFERROR(__xludf.DUMMYFUNCTION("GOOGLETRANSLATE(H2641,""EN"",""ES"")"),"Tecnología")</f>
        <v>Tecnología</v>
      </c>
      <c r="J2641" s="26" t="s">
        <v>35</v>
      </c>
      <c r="K2641" s="48">
        <v>0.0</v>
      </c>
      <c r="L2641" s="54"/>
      <c r="M2641" s="31"/>
      <c r="N2641" s="83" t="s">
        <v>18614</v>
      </c>
      <c r="O2641" s="83" t="str">
        <f>IFERROR(__xludf.DUMMYFUNCTION("GOOGLETRANSLATE(N2641,""EN"",""ES"")"),"Neutral al informar de un fallo del sistema externo sin sentimiento específico sobre Repsol.")</f>
        <v>Neutral al informar de un fallo del sistema externo sin sentimiento específico sobre Repsol.</v>
      </c>
      <c r="P2641" s="30">
        <v>-0.5</v>
      </c>
      <c r="Q2641" s="31" t="str">
        <f>IFERROR(__xludf.DUMMYFUNCTION("GOOGLETRANSLATE(R2641,""ES"",""EN"")"),"chaos")</f>
        <v>chaos</v>
      </c>
      <c r="R2641" s="28" t="s">
        <v>18615</v>
      </c>
      <c r="S2641" s="53" t="s">
        <v>18607</v>
      </c>
      <c r="T2641" s="32" t="s">
        <v>18608</v>
      </c>
    </row>
    <row r="2642">
      <c r="A2642" s="33" t="s">
        <v>18616</v>
      </c>
      <c r="B2642" s="76" t="s">
        <v>18617</v>
      </c>
      <c r="C2642" s="41">
        <v>45492.0</v>
      </c>
      <c r="D2642" s="40" t="s">
        <v>18618</v>
      </c>
      <c r="E2642" s="41" t="s">
        <v>18619</v>
      </c>
      <c r="F2642" s="43" t="s">
        <v>18620</v>
      </c>
      <c r="G2642" s="43" t="s">
        <v>18621</v>
      </c>
      <c r="H2642" s="51" t="s">
        <v>148</v>
      </c>
      <c r="I2642" s="15" t="str">
        <f>IFERROR(__xludf.DUMMYFUNCTION("GOOGLETRANSLATE(H2642,""EN"",""ES"")"),"Gastronomía")</f>
        <v>Gastronomía</v>
      </c>
      <c r="J2642" s="16" t="s">
        <v>27</v>
      </c>
      <c r="K2642" s="17">
        <v>0.0</v>
      </c>
      <c r="L2642" s="45"/>
      <c r="M2642" s="18"/>
      <c r="N2642" s="86"/>
      <c r="O2642" s="86"/>
      <c r="P2642" s="20">
        <v>0.0</v>
      </c>
      <c r="Q2642" s="18"/>
      <c r="R2642" s="18"/>
      <c r="S2642" s="52"/>
      <c r="T2642" s="22"/>
    </row>
    <row r="2643">
      <c r="A2643" s="23" t="s">
        <v>18622</v>
      </c>
      <c r="B2643" s="77" t="s">
        <v>18623</v>
      </c>
      <c r="C2643" s="41">
        <v>45492.0</v>
      </c>
      <c r="D2643" s="40" t="s">
        <v>18624</v>
      </c>
      <c r="E2643" s="41" t="s">
        <v>18625</v>
      </c>
      <c r="F2643" s="43" t="s">
        <v>18626</v>
      </c>
      <c r="G2643" s="43" t="s">
        <v>18627</v>
      </c>
      <c r="H2643" s="51" t="s">
        <v>661</v>
      </c>
      <c r="I2643" s="25" t="str">
        <f>IFERROR(__xludf.DUMMYFUNCTION("GOOGLETRANSLATE(H2643,""EN"",""ES"")"),"Estrategia empresarial")</f>
        <v>Estrategia empresarial</v>
      </c>
      <c r="J2643" s="26" t="s">
        <v>35</v>
      </c>
      <c r="K2643" s="48">
        <v>0.6</v>
      </c>
      <c r="L2643" s="49" t="s">
        <v>18628</v>
      </c>
      <c r="M2643" s="28" t="s">
        <v>18629</v>
      </c>
      <c r="N2643" s="83" t="s">
        <v>18630</v>
      </c>
      <c r="O2643" s="83" t="str">
        <f>IFERROR(__xludf.DUMMYFUNCTION("GOOGLETRANSLATE(N2643,""EN"",""ES"")"),"Positivo porque destaca la implicación de Repsol en la oferta de descuentos en combustible.")</f>
        <v>Positivo porque destaca la implicación de Repsol en la oferta de descuentos en combustible.</v>
      </c>
      <c r="P2643" s="30">
        <v>0.0</v>
      </c>
      <c r="Q2643" s="31"/>
      <c r="R2643" s="31"/>
      <c r="S2643" s="53" t="s">
        <v>12139</v>
      </c>
      <c r="T2643" s="32" t="s">
        <v>12140</v>
      </c>
    </row>
    <row r="2644">
      <c r="A2644" s="33" t="s">
        <v>18631</v>
      </c>
      <c r="B2644" s="76" t="s">
        <v>43</v>
      </c>
      <c r="C2644" s="41">
        <v>45492.0</v>
      </c>
      <c r="D2644" s="40" t="s">
        <v>18632</v>
      </c>
      <c r="E2644" s="41" t="s">
        <v>18633</v>
      </c>
      <c r="F2644" s="43" t="s">
        <v>18634</v>
      </c>
      <c r="G2644" s="43" t="s">
        <v>18635</v>
      </c>
      <c r="H2644" s="51" t="s">
        <v>782</v>
      </c>
      <c r="I2644" s="15" t="str">
        <f>IFERROR(__xludf.DUMMYFUNCTION("GOOGLETRANSLATE(H2644,""EN"",""ES"")"),"Tecnología")</f>
        <v>Tecnología</v>
      </c>
      <c r="J2644" s="16" t="s">
        <v>35</v>
      </c>
      <c r="K2644" s="48">
        <v>0.0</v>
      </c>
      <c r="L2644" s="45"/>
      <c r="M2644" s="18"/>
      <c r="N2644" s="86" t="s">
        <v>18636</v>
      </c>
      <c r="O2644" s="86" t="str">
        <f>IFERROR(__xludf.DUMMYFUNCTION("GOOGLETRANSLATE(N2644,""EN"",""ES"")"),"Neutral ya que analiza un problema técnico generalizado sin un sentimiento directo hacia Repsol.")</f>
        <v>Neutral ya que analiza un problema técnico generalizado sin un sentimiento directo hacia Repsol.</v>
      </c>
      <c r="P2644" s="30">
        <v>0.0</v>
      </c>
      <c r="Q2644" s="18"/>
      <c r="R2644" s="18"/>
      <c r="S2644" s="52" t="s">
        <v>12139</v>
      </c>
      <c r="T2644" s="22" t="s">
        <v>12140</v>
      </c>
    </row>
    <row r="2645">
      <c r="A2645" s="23" t="s">
        <v>18637</v>
      </c>
      <c r="B2645" s="77" t="s">
        <v>2944</v>
      </c>
      <c r="C2645" s="41">
        <v>45492.0</v>
      </c>
      <c r="D2645" s="40" t="s">
        <v>18638</v>
      </c>
      <c r="E2645" s="41" t="s">
        <v>18639</v>
      </c>
      <c r="F2645" s="43" t="s">
        <v>18640</v>
      </c>
      <c r="G2645" s="43" t="s">
        <v>18641</v>
      </c>
      <c r="H2645" s="51" t="s">
        <v>148</v>
      </c>
      <c r="I2645" s="25" t="str">
        <f>IFERROR(__xludf.DUMMYFUNCTION("GOOGLETRANSLATE(H2645,""EN"",""ES"")"),"Gastronomía")</f>
        <v>Gastronomía</v>
      </c>
      <c r="J2645" s="26" t="s">
        <v>27</v>
      </c>
      <c r="K2645" s="17">
        <v>0.0</v>
      </c>
      <c r="L2645" s="54"/>
      <c r="M2645" s="31"/>
      <c r="N2645" s="83"/>
      <c r="O2645" s="83"/>
      <c r="P2645" s="20">
        <v>0.0</v>
      </c>
      <c r="Q2645" s="31"/>
      <c r="R2645" s="31"/>
      <c r="S2645" s="53"/>
      <c r="T2645" s="32"/>
    </row>
    <row r="2646">
      <c r="A2646" s="33" t="s">
        <v>18642</v>
      </c>
      <c r="B2646" s="76" t="s">
        <v>7322</v>
      </c>
      <c r="C2646" s="41">
        <v>45492.0</v>
      </c>
      <c r="D2646" s="40" t="s">
        <v>18643</v>
      </c>
      <c r="E2646" s="41" t="s">
        <v>18644</v>
      </c>
      <c r="F2646" s="43" t="s">
        <v>18645</v>
      </c>
      <c r="G2646" s="43" t="s">
        <v>18646</v>
      </c>
      <c r="H2646" s="51" t="s">
        <v>939</v>
      </c>
      <c r="I2646" s="15" t="str">
        <f>IFERROR(__xludf.DUMMYFUNCTION("GOOGLETRANSLATE(H2646,""EN"",""ES"")"),"Seguridad")</f>
        <v>Seguridad</v>
      </c>
      <c r="J2646" s="16" t="s">
        <v>35</v>
      </c>
      <c r="K2646" s="48">
        <v>-0.5</v>
      </c>
      <c r="L2646" s="51" t="s">
        <v>18647</v>
      </c>
      <c r="M2646" s="34" t="s">
        <v>18648</v>
      </c>
      <c r="N2646" s="86" t="s">
        <v>18649</v>
      </c>
      <c r="O2646" s="86" t="str">
        <f>IFERROR(__xludf.DUMMYFUNCTION("GOOGLETRANSLATE(N2646,""EN"",""ES"")"),"Ligeramente negativo ya que informa de un fallo informático que afecta a Repsol.")</f>
        <v>Ligeramente negativo ya que informa de un fallo informático que afecta a Repsol.</v>
      </c>
      <c r="P2646" s="30">
        <v>-0.3</v>
      </c>
      <c r="Q2646" s="18" t="str">
        <f>IFERROR(__xludf.DUMMYFUNCTION("GOOGLETRANSLATE(R2646,""ES"",""EN"")"),"failed")</f>
        <v>failed</v>
      </c>
      <c r="R2646" s="34" t="s">
        <v>18598</v>
      </c>
      <c r="S2646" s="52" t="s">
        <v>18650</v>
      </c>
      <c r="T2646" s="22" t="s">
        <v>18651</v>
      </c>
    </row>
    <row r="2647">
      <c r="A2647" s="23" t="s">
        <v>18652</v>
      </c>
      <c r="B2647" s="77" t="s">
        <v>21</v>
      </c>
      <c r="C2647" s="41">
        <v>45492.0</v>
      </c>
      <c r="D2647" s="40" t="s">
        <v>18653</v>
      </c>
      <c r="E2647" s="41" t="s">
        <v>18654</v>
      </c>
      <c r="F2647" s="43" t="s">
        <v>18655</v>
      </c>
      <c r="G2647" s="43" t="s">
        <v>18656</v>
      </c>
      <c r="H2647" s="51" t="s">
        <v>148</v>
      </c>
      <c r="I2647" s="25" t="str">
        <f>IFERROR(__xludf.DUMMYFUNCTION("GOOGLETRANSLATE(H2647,""EN"",""ES"")"),"Gastronomía")</f>
        <v>Gastronomía</v>
      </c>
      <c r="J2647" s="26" t="s">
        <v>27</v>
      </c>
      <c r="K2647" s="17">
        <v>0.0</v>
      </c>
      <c r="L2647" s="54"/>
      <c r="M2647" s="31"/>
      <c r="N2647" s="83"/>
      <c r="O2647" s="83"/>
      <c r="P2647" s="20">
        <v>0.0</v>
      </c>
      <c r="Q2647" s="31"/>
      <c r="R2647" s="31"/>
      <c r="S2647" s="53"/>
      <c r="T2647" s="32"/>
    </row>
    <row r="2648">
      <c r="A2648" s="33" t="s">
        <v>18657</v>
      </c>
      <c r="B2648" s="76" t="s">
        <v>6429</v>
      </c>
      <c r="C2648" s="41">
        <v>45492.0</v>
      </c>
      <c r="D2648" s="40" t="s">
        <v>18658</v>
      </c>
      <c r="E2648" s="41" t="s">
        <v>18659</v>
      </c>
      <c r="F2648" s="43" t="s">
        <v>18660</v>
      </c>
      <c r="G2648" s="43" t="s">
        <v>18661</v>
      </c>
      <c r="H2648" s="51" t="s">
        <v>939</v>
      </c>
      <c r="I2648" s="15" t="str">
        <f>IFERROR(__xludf.DUMMYFUNCTION("GOOGLETRANSLATE(H2648,""EN"",""ES"")"),"Seguridad")</f>
        <v>Seguridad</v>
      </c>
      <c r="J2648" s="16" t="s">
        <v>35</v>
      </c>
      <c r="K2648" s="48">
        <v>-0.5</v>
      </c>
      <c r="L2648" s="51" t="s">
        <v>18647</v>
      </c>
      <c r="M2648" s="34" t="s">
        <v>18648</v>
      </c>
      <c r="N2648" s="86" t="s">
        <v>18662</v>
      </c>
      <c r="O2648" s="86" t="str">
        <f>IFERROR(__xludf.DUMMYFUNCTION("GOOGLETRANSLATE(N2648,""EN"",""ES"")"),"Ligeramente negativo ya que pone de relieve problemas operativos en Repsol por un fallo externo.")</f>
        <v>Ligeramente negativo ya que pone de relieve problemas operativos en Repsol por un fallo externo.</v>
      </c>
      <c r="P2648" s="30">
        <v>-0.3</v>
      </c>
      <c r="Q2648" s="18" t="str">
        <f>IFERROR(__xludf.DUMMYFUNCTION("GOOGLETRANSLATE(R2648,""ES"",""EN"")"),"incidents")</f>
        <v>incidents</v>
      </c>
      <c r="R2648" s="34" t="s">
        <v>18663</v>
      </c>
      <c r="S2648" s="52" t="s">
        <v>18650</v>
      </c>
      <c r="T2648" s="22" t="s">
        <v>18651</v>
      </c>
    </row>
    <row r="2649">
      <c r="A2649" s="23" t="s">
        <v>18664</v>
      </c>
      <c r="B2649" s="77" t="s">
        <v>6885</v>
      </c>
      <c r="C2649" s="41">
        <v>45492.0</v>
      </c>
      <c r="D2649" s="40" t="s">
        <v>18665</v>
      </c>
      <c r="E2649" s="41" t="s">
        <v>18666</v>
      </c>
      <c r="F2649" s="43" t="s">
        <v>18667</v>
      </c>
      <c r="G2649" s="43" t="s">
        <v>18668</v>
      </c>
      <c r="H2649" s="51" t="s">
        <v>782</v>
      </c>
      <c r="I2649" s="25" t="str">
        <f>IFERROR(__xludf.DUMMYFUNCTION("GOOGLETRANSLATE(H2649,""EN"",""ES"")"),"Tecnología")</f>
        <v>Tecnología</v>
      </c>
      <c r="J2649" s="26" t="s">
        <v>35</v>
      </c>
      <c r="K2649" s="48">
        <v>0.0</v>
      </c>
      <c r="L2649" s="54"/>
      <c r="M2649" s="31"/>
      <c r="N2649" s="83" t="s">
        <v>18669</v>
      </c>
      <c r="O2649" s="83" t="str">
        <f>IFERROR(__xludf.DUMMYFUNCTION("GOOGLETRANSLATE(N2649,""EN"",""ES"")"),"Neutral ya que describe un problema técnico sin implicaciones sentimentales.")</f>
        <v>Neutral ya que describe un problema técnico sin implicaciones sentimentales.</v>
      </c>
      <c r="P2649" s="30">
        <v>-0.3</v>
      </c>
      <c r="Q2649" s="31" t="str">
        <f>IFERROR(__xludf.DUMMYFUNCTION("GOOGLETRANSLATE(R2649,""ES"",""EN"")"),"failed")</f>
        <v>failed</v>
      </c>
      <c r="R2649" s="28" t="s">
        <v>18598</v>
      </c>
      <c r="S2649" s="53" t="s">
        <v>18650</v>
      </c>
      <c r="T2649" s="32" t="s">
        <v>18651</v>
      </c>
    </row>
    <row r="2650">
      <c r="A2650" s="33" t="s">
        <v>18670</v>
      </c>
      <c r="B2650" s="76" t="s">
        <v>977</v>
      </c>
      <c r="C2650" s="41">
        <v>45492.0</v>
      </c>
      <c r="D2650" s="40" t="s">
        <v>18671</v>
      </c>
      <c r="E2650" s="41" t="s">
        <v>18672</v>
      </c>
      <c r="F2650" s="43" t="s">
        <v>18673</v>
      </c>
      <c r="G2650" s="43" t="s">
        <v>18674</v>
      </c>
      <c r="H2650" s="51" t="s">
        <v>148</v>
      </c>
      <c r="I2650" s="15" t="str">
        <f>IFERROR(__xludf.DUMMYFUNCTION("GOOGLETRANSLATE(H2650,""EN"",""ES"")"),"Gastronomía")</f>
        <v>Gastronomía</v>
      </c>
      <c r="J2650" s="16" t="s">
        <v>27</v>
      </c>
      <c r="K2650" s="17">
        <v>0.0</v>
      </c>
      <c r="L2650" s="45"/>
      <c r="M2650" s="18"/>
      <c r="N2650" s="86"/>
      <c r="O2650" s="86"/>
      <c r="P2650" s="20">
        <v>0.0</v>
      </c>
      <c r="Q2650" s="18"/>
      <c r="R2650" s="18"/>
      <c r="S2650" s="52"/>
      <c r="T2650" s="22"/>
    </row>
    <row r="2651">
      <c r="A2651" s="23" t="s">
        <v>18675</v>
      </c>
      <c r="B2651" s="77" t="s">
        <v>1093</v>
      </c>
      <c r="C2651" s="41">
        <v>45492.0</v>
      </c>
      <c r="D2651" s="40" t="s">
        <v>18676</v>
      </c>
      <c r="E2651" s="41" t="s">
        <v>18677</v>
      </c>
      <c r="F2651" s="43" t="s">
        <v>18678</v>
      </c>
      <c r="G2651" s="43" t="s">
        <v>18679</v>
      </c>
      <c r="H2651" s="51" t="s">
        <v>939</v>
      </c>
      <c r="I2651" s="25" t="str">
        <f>IFERROR(__xludf.DUMMYFUNCTION("GOOGLETRANSLATE(H2651,""EN"",""ES"")"),"Seguridad")</f>
        <v>Seguridad</v>
      </c>
      <c r="J2651" s="26" t="s">
        <v>35</v>
      </c>
      <c r="K2651" s="48">
        <v>-0.5</v>
      </c>
      <c r="L2651" s="49" t="s">
        <v>18647</v>
      </c>
      <c r="M2651" s="28" t="s">
        <v>18648</v>
      </c>
      <c r="N2651" s="83" t="s">
        <v>18680</v>
      </c>
      <c r="O2651" s="83" t="str">
        <f>IFERROR(__xludf.DUMMYFUNCTION("GOOGLETRANSLATE(N2651,""EN"",""ES"")"),"Ligeramente negativo ya que informa que Repsol se ve afectada por un fallo externo en el sistema.")</f>
        <v>Ligeramente negativo ya que informa que Repsol se ve afectada por un fallo externo en el sistema.</v>
      </c>
      <c r="P2651" s="30">
        <v>-0.4</v>
      </c>
      <c r="Q2651" s="31" t="str">
        <f>IFERROR(__xludf.DUMMYFUNCTION("GOOGLETRANSLATE(R2651,""ES"",""EN"")"),"drop")</f>
        <v>drop</v>
      </c>
      <c r="R2651" s="28" t="s">
        <v>18681</v>
      </c>
      <c r="S2651" s="53" t="s">
        <v>18650</v>
      </c>
      <c r="T2651" s="32" t="s">
        <v>18651</v>
      </c>
    </row>
    <row r="2652">
      <c r="A2652" s="33" t="s">
        <v>18682</v>
      </c>
      <c r="B2652" s="76" t="s">
        <v>7322</v>
      </c>
      <c r="C2652" s="41">
        <v>45492.0</v>
      </c>
      <c r="D2652" s="40" t="s">
        <v>18683</v>
      </c>
      <c r="E2652" s="41" t="s">
        <v>18684</v>
      </c>
      <c r="F2652" s="43" t="s">
        <v>18685</v>
      </c>
      <c r="G2652" s="43" t="s">
        <v>18686</v>
      </c>
      <c r="H2652" s="51" t="s">
        <v>939</v>
      </c>
      <c r="I2652" s="15" t="str">
        <f>IFERROR(__xludf.DUMMYFUNCTION("GOOGLETRANSLATE(H2652,""EN"",""ES"")"),"Seguridad")</f>
        <v>Seguridad</v>
      </c>
      <c r="J2652" s="16" t="s">
        <v>35</v>
      </c>
      <c r="K2652" s="48">
        <v>-0.5</v>
      </c>
      <c r="L2652" s="51" t="s">
        <v>18647</v>
      </c>
      <c r="M2652" s="34" t="s">
        <v>18648</v>
      </c>
      <c r="N2652" s="86" t="s">
        <v>18687</v>
      </c>
      <c r="O2652" s="86" t="str">
        <f>IFERROR(__xludf.DUMMYFUNCTION("GOOGLETRANSLATE(N2652,""EN"",""ES"")"),"Ligeramente negativo ya que menciona perturbaciones generalizadas que afectan a Repsol.")</f>
        <v>Ligeramente negativo ya que menciona perturbaciones generalizadas que afectan a Repsol.</v>
      </c>
      <c r="P2652" s="30">
        <v>-0.5</v>
      </c>
      <c r="Q2652" s="18" t="str">
        <f>IFERROR(__xludf.DUMMYFUNCTION("GOOGLETRANSLATE(R2652,""ES"",""EN"")"),"chaos")</f>
        <v>chaos</v>
      </c>
      <c r="R2652" s="34" t="s">
        <v>18615</v>
      </c>
      <c r="S2652" s="52" t="s">
        <v>18607</v>
      </c>
      <c r="T2652" s="22" t="s">
        <v>18608</v>
      </c>
    </row>
    <row r="2653">
      <c r="A2653" s="23" t="s">
        <v>18688</v>
      </c>
      <c r="B2653" s="77" t="s">
        <v>18689</v>
      </c>
      <c r="C2653" s="41">
        <v>45492.0</v>
      </c>
      <c r="D2653" s="40" t="s">
        <v>18690</v>
      </c>
      <c r="E2653" s="41" t="s">
        <v>18691</v>
      </c>
      <c r="F2653" s="43" t="s">
        <v>18692</v>
      </c>
      <c r="G2653" s="43" t="s">
        <v>18693</v>
      </c>
      <c r="H2653" s="51" t="s">
        <v>782</v>
      </c>
      <c r="I2653" s="25" t="str">
        <f>IFERROR(__xludf.DUMMYFUNCTION("GOOGLETRANSLATE(H2653,""EN"",""ES"")"),"Tecnología")</f>
        <v>Tecnología</v>
      </c>
      <c r="J2653" s="26" t="s">
        <v>35</v>
      </c>
      <c r="K2653" s="48">
        <v>0.0</v>
      </c>
      <c r="L2653" s="54"/>
      <c r="M2653" s="31"/>
      <c r="N2653" s="83" t="s">
        <v>18694</v>
      </c>
      <c r="O2653" s="83" t="str">
        <f>IFERROR(__xludf.DUMMYFUNCTION("GOOGLETRANSLATE(N2653,""EN"",""ES"")"),"Neutral al describir un error del sistema sin sentimiento hacia Repsol.")</f>
        <v>Neutral al describir un error del sistema sin sentimiento hacia Repsol.</v>
      </c>
      <c r="P2653" s="30">
        <v>-0.4</v>
      </c>
      <c r="Q2653" s="31" t="str">
        <f>IFERROR(__xludf.DUMMYFUNCTION("GOOGLETRANSLATE(R2653,""ES"",""EN"")"),"mistake")</f>
        <v>mistake</v>
      </c>
      <c r="R2653" s="28" t="s">
        <v>18695</v>
      </c>
      <c r="S2653" s="53" t="s">
        <v>18650</v>
      </c>
      <c r="T2653" s="32" t="s">
        <v>18651</v>
      </c>
    </row>
    <row r="2654">
      <c r="A2654" s="33" t="s">
        <v>18696</v>
      </c>
      <c r="B2654" s="76" t="s">
        <v>1831</v>
      </c>
      <c r="C2654" s="41">
        <v>45493.0</v>
      </c>
      <c r="D2654" s="40" t="s">
        <v>18697</v>
      </c>
      <c r="E2654" s="41" t="s">
        <v>18698</v>
      </c>
      <c r="F2654" s="43" t="s">
        <v>18699</v>
      </c>
      <c r="G2654" s="43" t="s">
        <v>18700</v>
      </c>
      <c r="H2654" s="51" t="s">
        <v>148</v>
      </c>
      <c r="I2654" s="15" t="str">
        <f>IFERROR(__xludf.DUMMYFUNCTION("GOOGLETRANSLATE(H2654,""EN"",""ES"")"),"Gastronomía")</f>
        <v>Gastronomía</v>
      </c>
      <c r="J2654" s="16" t="s">
        <v>27</v>
      </c>
      <c r="K2654" s="17">
        <v>0.0</v>
      </c>
      <c r="L2654" s="45"/>
      <c r="M2654" s="18"/>
      <c r="N2654" s="86"/>
      <c r="O2654" s="86"/>
      <c r="P2654" s="20">
        <v>0.0</v>
      </c>
      <c r="Q2654" s="18"/>
      <c r="R2654" s="18"/>
      <c r="S2654" s="52"/>
      <c r="T2654" s="22"/>
    </row>
    <row r="2655">
      <c r="A2655" s="23" t="s">
        <v>18701</v>
      </c>
      <c r="B2655" s="77" t="s">
        <v>85</v>
      </c>
      <c r="C2655" s="41">
        <v>45493.0</v>
      </c>
      <c r="D2655" s="40" t="s">
        <v>18702</v>
      </c>
      <c r="E2655" s="41" t="s">
        <v>18703</v>
      </c>
      <c r="F2655" s="43" t="s">
        <v>18704</v>
      </c>
      <c r="G2655" s="43" t="s">
        <v>18705</v>
      </c>
      <c r="H2655" s="51" t="s">
        <v>969</v>
      </c>
      <c r="I2655" s="25" t="str">
        <f>IFERROR(__xludf.DUMMYFUNCTION("GOOGLETRANSLATE(H2655,""EN"",""ES"")"),"Turismo")</f>
        <v>Turismo</v>
      </c>
      <c r="J2655" s="26" t="s">
        <v>27</v>
      </c>
      <c r="K2655" s="17">
        <v>0.0</v>
      </c>
      <c r="L2655" s="54"/>
      <c r="M2655" s="31"/>
      <c r="N2655" s="83"/>
      <c r="O2655" s="83"/>
      <c r="P2655" s="20">
        <v>0.0</v>
      </c>
      <c r="Q2655" s="31"/>
      <c r="R2655" s="31"/>
      <c r="S2655" s="53"/>
      <c r="T2655" s="32"/>
    </row>
    <row r="2656">
      <c r="A2656" s="33" t="s">
        <v>18706</v>
      </c>
      <c r="B2656" s="76" t="s">
        <v>260</v>
      </c>
      <c r="C2656" s="41">
        <v>45493.0</v>
      </c>
      <c r="D2656" s="40" t="s">
        <v>18707</v>
      </c>
      <c r="E2656" s="41" t="s">
        <v>18708</v>
      </c>
      <c r="F2656" s="43" t="s">
        <v>18709</v>
      </c>
      <c r="G2656" s="43" t="s">
        <v>18710</v>
      </c>
      <c r="H2656" s="51" t="s">
        <v>782</v>
      </c>
      <c r="I2656" s="15" t="str">
        <f>IFERROR(__xludf.DUMMYFUNCTION("GOOGLETRANSLATE(H2656,""EN"",""ES"")"),"Tecnología")</f>
        <v>Tecnología</v>
      </c>
      <c r="J2656" s="16" t="s">
        <v>27</v>
      </c>
      <c r="K2656" s="17">
        <v>0.0</v>
      </c>
      <c r="L2656" s="45"/>
      <c r="M2656" s="18"/>
      <c r="N2656" s="86"/>
      <c r="O2656" s="86"/>
      <c r="P2656" s="20">
        <v>0.0</v>
      </c>
      <c r="Q2656" s="18"/>
      <c r="R2656" s="18"/>
      <c r="S2656" s="52"/>
      <c r="T2656" s="22"/>
    </row>
    <row r="2657">
      <c r="A2657" s="23" t="s">
        <v>18711</v>
      </c>
      <c r="B2657" s="77" t="s">
        <v>1072</v>
      </c>
      <c r="C2657" s="41">
        <v>45493.0</v>
      </c>
      <c r="D2657" s="40" t="s">
        <v>18712</v>
      </c>
      <c r="E2657" s="41" t="s">
        <v>18713</v>
      </c>
      <c r="F2657" s="43" t="s">
        <v>18714</v>
      </c>
      <c r="G2657" s="43" t="s">
        <v>18715</v>
      </c>
      <c r="H2657" s="51" t="s">
        <v>48</v>
      </c>
      <c r="I2657" s="25" t="str">
        <f>IFERROR(__xludf.DUMMYFUNCTION("GOOGLETRANSLATE(H2657,""EN"",""ES"")"),"Finanzas")</f>
        <v>Finanzas</v>
      </c>
      <c r="J2657" s="26" t="s">
        <v>35</v>
      </c>
      <c r="K2657" s="48">
        <v>0.7</v>
      </c>
      <c r="L2657" s="49" t="s">
        <v>15881</v>
      </c>
      <c r="M2657" s="28" t="s">
        <v>15882</v>
      </c>
      <c r="N2657" s="83" t="s">
        <v>18716</v>
      </c>
      <c r="O2657" s="83" t="str">
        <f>IFERROR(__xludf.DUMMYFUNCTION("GOOGLETRANSLATE(N2657,""EN"",""ES"")"),"Positivo porque pone de relieve el atractivo de Repsol como inversión bursátil.")</f>
        <v>Positivo porque pone de relieve el atractivo de Repsol como inversión bursátil.</v>
      </c>
      <c r="P2657" s="30">
        <v>0.0</v>
      </c>
      <c r="Q2657" s="31"/>
      <c r="R2657" s="31"/>
      <c r="S2657" s="53" t="s">
        <v>12139</v>
      </c>
      <c r="T2657" s="32" t="s">
        <v>12140</v>
      </c>
    </row>
    <row r="2658">
      <c r="A2658" s="33" t="s">
        <v>18717</v>
      </c>
      <c r="B2658" s="76" t="s">
        <v>91</v>
      </c>
      <c r="C2658" s="41">
        <v>45493.0</v>
      </c>
      <c r="D2658" s="40" t="s">
        <v>18718</v>
      </c>
      <c r="E2658" s="41" t="s">
        <v>18719</v>
      </c>
      <c r="F2658" s="43" t="s">
        <v>18720</v>
      </c>
      <c r="G2658" s="43" t="s">
        <v>18721</v>
      </c>
      <c r="H2658" s="51" t="s">
        <v>10346</v>
      </c>
      <c r="I2658" s="15" t="str">
        <f>IFERROR(__xludf.DUMMYFUNCTION("GOOGLETRANSLATE(H2658,""EN"",""ES"")"),"Clima")</f>
        <v>Clima</v>
      </c>
      <c r="J2658" s="16" t="s">
        <v>27</v>
      </c>
      <c r="K2658" s="17">
        <v>0.0</v>
      </c>
      <c r="L2658" s="45"/>
      <c r="M2658" s="18"/>
      <c r="N2658" s="86"/>
      <c r="O2658" s="86"/>
      <c r="P2658" s="20">
        <v>0.0</v>
      </c>
      <c r="Q2658" s="18"/>
      <c r="R2658" s="18"/>
      <c r="S2658" s="52"/>
      <c r="T2658" s="22"/>
    </row>
    <row r="2659">
      <c r="A2659" s="23" t="s">
        <v>18722</v>
      </c>
      <c r="B2659" s="77" t="s">
        <v>43</v>
      </c>
      <c r="C2659" s="41">
        <v>45493.0</v>
      </c>
      <c r="D2659" s="40" t="s">
        <v>18723</v>
      </c>
      <c r="E2659" s="41" t="s">
        <v>18724</v>
      </c>
      <c r="F2659" s="43" t="s">
        <v>18725</v>
      </c>
      <c r="G2659" s="43" t="s">
        <v>18726</v>
      </c>
      <c r="H2659" s="51" t="s">
        <v>939</v>
      </c>
      <c r="I2659" s="25" t="str">
        <f>IFERROR(__xludf.DUMMYFUNCTION("GOOGLETRANSLATE(H2659,""EN"",""ES"")"),"Seguridad")</f>
        <v>Seguridad</v>
      </c>
      <c r="J2659" s="26" t="s">
        <v>35</v>
      </c>
      <c r="K2659" s="48">
        <v>-0.5</v>
      </c>
      <c r="L2659" s="49" t="s">
        <v>18647</v>
      </c>
      <c r="M2659" s="28" t="s">
        <v>18648</v>
      </c>
      <c r="N2659" s="83" t="s">
        <v>18727</v>
      </c>
      <c r="O2659" s="83" t="str">
        <f>IFERROR(__xludf.DUMMYFUNCTION("GOOGLETRANSLATE(N2659,""EN"",""ES"")"),"Ligeramente negativo ya que pone de relieve los efectos generalizados de un fallo en el sistema que afecta a Repsol.")</f>
        <v>Ligeramente negativo ya que pone de relieve los efectos generalizados de un fallo en el sistema que afecta a Repsol.</v>
      </c>
      <c r="P2659" s="30">
        <v>-0.3</v>
      </c>
      <c r="Q2659" s="31" t="str">
        <f>IFERROR(__xludf.DUMMYFUNCTION("GOOGLETRANSLATE(R2659,""ES"",""EN"")"),"failed")</f>
        <v>failed</v>
      </c>
      <c r="R2659" s="28" t="s">
        <v>18598</v>
      </c>
      <c r="S2659" s="53" t="s">
        <v>18650</v>
      </c>
      <c r="T2659" s="32" t="s">
        <v>18651</v>
      </c>
    </row>
    <row r="2660">
      <c r="A2660" s="33" t="s">
        <v>18728</v>
      </c>
      <c r="B2660" s="76" t="s">
        <v>3792</v>
      </c>
      <c r="C2660" s="41">
        <v>45493.0</v>
      </c>
      <c r="D2660" s="40" t="s">
        <v>18729</v>
      </c>
      <c r="E2660" s="41" t="s">
        <v>18730</v>
      </c>
      <c r="F2660" s="43" t="s">
        <v>18731</v>
      </c>
      <c r="G2660" s="43" t="s">
        <v>18732</v>
      </c>
      <c r="H2660" s="51" t="s">
        <v>8777</v>
      </c>
      <c r="I2660" s="15" t="str">
        <f>IFERROR(__xludf.DUMMYFUNCTION("GOOGLETRANSLATE(H2660,""EN"",""ES"")"),"Cultura")</f>
        <v>Cultura</v>
      </c>
      <c r="J2660" s="16" t="s">
        <v>27</v>
      </c>
      <c r="K2660" s="17">
        <v>0.0</v>
      </c>
      <c r="L2660" s="45"/>
      <c r="M2660" s="18"/>
      <c r="N2660" s="86"/>
      <c r="O2660" s="86"/>
      <c r="P2660" s="20">
        <v>0.0</v>
      </c>
      <c r="Q2660" s="18"/>
      <c r="R2660" s="18"/>
      <c r="S2660" s="52"/>
      <c r="T2660" s="22"/>
    </row>
    <row r="2661">
      <c r="A2661" s="23" t="s">
        <v>18733</v>
      </c>
      <c r="B2661" s="77" t="s">
        <v>260</v>
      </c>
      <c r="C2661" s="41">
        <v>45493.0</v>
      </c>
      <c r="D2661" s="40" t="s">
        <v>18734</v>
      </c>
      <c r="E2661" s="41" t="s">
        <v>18735</v>
      </c>
      <c r="F2661" s="43" t="s">
        <v>18736</v>
      </c>
      <c r="G2661" s="43" t="s">
        <v>18737</v>
      </c>
      <c r="H2661" s="51" t="s">
        <v>8777</v>
      </c>
      <c r="I2661" s="25" t="str">
        <f>IFERROR(__xludf.DUMMYFUNCTION("GOOGLETRANSLATE(H2661,""EN"",""ES"")"),"Cultura")</f>
        <v>Cultura</v>
      </c>
      <c r="J2661" s="26" t="s">
        <v>27</v>
      </c>
      <c r="K2661" s="17">
        <v>0.0</v>
      </c>
      <c r="L2661" s="54"/>
      <c r="M2661" s="31"/>
      <c r="N2661" s="83"/>
      <c r="O2661" s="83"/>
      <c r="P2661" s="20">
        <v>0.0</v>
      </c>
      <c r="Q2661" s="31"/>
      <c r="R2661" s="31"/>
      <c r="S2661" s="53"/>
      <c r="T2661" s="32"/>
    </row>
    <row r="2662">
      <c r="A2662" s="33" t="s">
        <v>18738</v>
      </c>
      <c r="B2662" s="76" t="s">
        <v>43</v>
      </c>
      <c r="C2662" s="41">
        <v>45493.0</v>
      </c>
      <c r="D2662" s="40" t="s">
        <v>18739</v>
      </c>
      <c r="E2662" s="41" t="s">
        <v>18740</v>
      </c>
      <c r="F2662" s="43" t="s">
        <v>18741</v>
      </c>
      <c r="G2662" s="43" t="s">
        <v>18742</v>
      </c>
      <c r="H2662" s="51" t="s">
        <v>148</v>
      </c>
      <c r="I2662" s="15" t="str">
        <f>IFERROR(__xludf.DUMMYFUNCTION("GOOGLETRANSLATE(H2662,""EN"",""ES"")"),"Gastronomía")</f>
        <v>Gastronomía</v>
      </c>
      <c r="J2662" s="16" t="s">
        <v>27</v>
      </c>
      <c r="K2662" s="17">
        <v>0.0</v>
      </c>
      <c r="L2662" s="45"/>
      <c r="M2662" s="18"/>
      <c r="N2662" s="86"/>
      <c r="O2662" s="86"/>
      <c r="P2662" s="20">
        <v>0.0</v>
      </c>
      <c r="Q2662" s="18"/>
      <c r="R2662" s="18"/>
      <c r="S2662" s="52"/>
      <c r="T2662" s="22"/>
    </row>
    <row r="2663">
      <c r="A2663" s="23" t="s">
        <v>18743</v>
      </c>
      <c r="B2663" s="77" t="s">
        <v>18744</v>
      </c>
      <c r="C2663" s="41">
        <v>45493.0</v>
      </c>
      <c r="D2663" s="40" t="s">
        <v>18745</v>
      </c>
      <c r="E2663" s="41" t="s">
        <v>18746</v>
      </c>
      <c r="F2663" s="43" t="s">
        <v>18747</v>
      </c>
      <c r="G2663" s="43" t="s">
        <v>18748</v>
      </c>
      <c r="H2663" s="51" t="s">
        <v>130</v>
      </c>
      <c r="I2663" s="25" t="str">
        <f>IFERROR(__xludf.DUMMYFUNCTION("GOOGLETRANSLATE(H2663,""EN"",""ES"")"),"Sostenibilidad")</f>
        <v>Sostenibilidad</v>
      </c>
      <c r="J2663" s="26" t="s">
        <v>35</v>
      </c>
      <c r="K2663" s="48">
        <v>0.7</v>
      </c>
      <c r="L2663" s="49" t="s">
        <v>18015</v>
      </c>
      <c r="M2663" s="28" t="s">
        <v>18016</v>
      </c>
      <c r="N2663" s="83" t="s">
        <v>18749</v>
      </c>
      <c r="O2663" s="83" t="str">
        <f>IFERROR(__xludf.DUMMYFUNCTION("GOOGLETRANSLATE(N2663,""EN"",""ES"")"),"Positivo porque pone de relieve el esfuerzo de Repsol en sostenibilidad en la industria musical.")</f>
        <v>Positivo porque pone de relieve el esfuerzo de Repsol en sostenibilidad en la industria musical.</v>
      </c>
      <c r="P2663" s="30">
        <v>0.6</v>
      </c>
      <c r="Q2663" s="31" t="str">
        <f>IFERROR(__xludf.DUMMYFUNCTION("GOOGLETRANSLATE(R2663,""ES"",""EN"")"),"multi-energy")</f>
        <v>multi-energy</v>
      </c>
      <c r="R2663" s="28" t="s">
        <v>11221</v>
      </c>
      <c r="S2663" s="53" t="s">
        <v>18750</v>
      </c>
      <c r="T2663" s="32" t="s">
        <v>18751</v>
      </c>
    </row>
    <row r="2664">
      <c r="A2664" s="33" t="s">
        <v>18752</v>
      </c>
      <c r="B2664" s="76" t="s">
        <v>403</v>
      </c>
      <c r="C2664" s="41">
        <v>45494.0</v>
      </c>
      <c r="D2664" s="40" t="s">
        <v>18753</v>
      </c>
      <c r="E2664" s="41" t="s">
        <v>18754</v>
      </c>
      <c r="F2664" s="43" t="s">
        <v>18755</v>
      </c>
      <c r="G2664" s="43" t="s">
        <v>18756</v>
      </c>
      <c r="H2664" s="51" t="s">
        <v>661</v>
      </c>
      <c r="I2664" s="15" t="str">
        <f>IFERROR(__xludf.DUMMYFUNCTION("GOOGLETRANSLATE(H2664,""EN"",""ES"")"),"Estrategia empresarial")</f>
        <v>Estrategia empresarial</v>
      </c>
      <c r="J2664" s="16" t="s">
        <v>35</v>
      </c>
      <c r="K2664" s="48">
        <v>0.7</v>
      </c>
      <c r="L2664" s="51" t="s">
        <v>13558</v>
      </c>
      <c r="M2664" s="34" t="s">
        <v>13559</v>
      </c>
      <c r="N2664" s="86" t="s">
        <v>18757</v>
      </c>
      <c r="O2664" s="86" t="str">
        <f>IFERROR(__xludf.DUMMYFUNCTION("GOOGLETRANSLATE(N2664,""EN"",""ES"")"),"Positivo porque pone de relieve la expansión de Repsol en infraestructuras de carga eléctrica.")</f>
        <v>Positivo porque pone de relieve la expansión de Repsol en infraestructuras de carga eléctrica.</v>
      </c>
      <c r="P2664" s="30">
        <v>0.7</v>
      </c>
      <c r="Q2664" s="18" t="str">
        <f>IFERROR(__xludf.DUMMYFUNCTION("GOOGLETRANSLATE(R2664,""ES"",""EN"")"),"electric chargers")</f>
        <v>electric chargers</v>
      </c>
      <c r="R2664" s="34" t="s">
        <v>18758</v>
      </c>
      <c r="S2664" s="52" t="s">
        <v>18759</v>
      </c>
      <c r="T2664" s="22" t="s">
        <v>18760</v>
      </c>
    </row>
    <row r="2665">
      <c r="A2665" s="23" t="s">
        <v>18761</v>
      </c>
      <c r="B2665" s="77" t="s">
        <v>499</v>
      </c>
      <c r="C2665" s="41">
        <v>45494.0</v>
      </c>
      <c r="D2665" s="40" t="s">
        <v>18762</v>
      </c>
      <c r="E2665" s="41" t="s">
        <v>18763</v>
      </c>
      <c r="F2665" s="43" t="s">
        <v>18764</v>
      </c>
      <c r="G2665" s="43" t="s">
        <v>18765</v>
      </c>
      <c r="H2665" s="51" t="s">
        <v>62</v>
      </c>
      <c r="I2665" s="25" t="str">
        <f>IFERROR(__xludf.DUMMYFUNCTION("GOOGLETRANSLATE(H2665,""EN"",""ES"")"),"Energía")</f>
        <v>Energía</v>
      </c>
      <c r="J2665" s="26" t="s">
        <v>35</v>
      </c>
      <c r="K2665" s="48">
        <v>0.0</v>
      </c>
      <c r="L2665" s="54"/>
      <c r="M2665" s="31"/>
      <c r="N2665" s="83" t="s">
        <v>18766</v>
      </c>
      <c r="O2665" s="83" t="str">
        <f>IFERROR(__xludf.DUMMYFUNCTION("GOOGLETRANSLATE(N2665,""EN"",""ES"")"),"Neutral ya que analiza las tendencias de la industria energética sin sentimiento.")</f>
        <v>Neutral ya que analiza las tendencias de la industria energética sin sentimiento.</v>
      </c>
      <c r="P2665" s="30">
        <v>0.0</v>
      </c>
      <c r="Q2665" s="31"/>
      <c r="R2665" s="31"/>
      <c r="S2665" s="53" t="s">
        <v>12139</v>
      </c>
      <c r="T2665" s="32" t="s">
        <v>12140</v>
      </c>
    </row>
    <row r="2666">
      <c r="A2666" s="33" t="s">
        <v>18767</v>
      </c>
      <c r="B2666" s="76" t="s">
        <v>5669</v>
      </c>
      <c r="C2666" s="41">
        <v>45494.0</v>
      </c>
      <c r="D2666" s="40" t="s">
        <v>18768</v>
      </c>
      <c r="E2666" s="41" t="s">
        <v>18769</v>
      </c>
      <c r="F2666" s="43" t="s">
        <v>18770</v>
      </c>
      <c r="G2666" s="43" t="s">
        <v>18771</v>
      </c>
      <c r="H2666" s="51" t="s">
        <v>18772</v>
      </c>
      <c r="I2666" s="15" t="str">
        <f>IFERROR(__xludf.DUMMYFUNCTION("GOOGLETRANSLATE(H2666,""EN"",""ES"")"),"Ética empresarial")</f>
        <v>Ética empresarial</v>
      </c>
      <c r="J2666" s="16" t="s">
        <v>27</v>
      </c>
      <c r="K2666" s="17">
        <v>0.0</v>
      </c>
      <c r="L2666" s="45"/>
      <c r="M2666" s="18"/>
      <c r="N2666" s="86"/>
      <c r="O2666" s="86"/>
      <c r="P2666" s="20">
        <v>0.0</v>
      </c>
      <c r="Q2666" s="18"/>
      <c r="R2666" s="18"/>
      <c r="S2666" s="52"/>
      <c r="T2666" s="22"/>
    </row>
    <row r="2667">
      <c r="A2667" s="23" t="s">
        <v>18773</v>
      </c>
      <c r="B2667" s="77" t="s">
        <v>6759</v>
      </c>
      <c r="C2667" s="41">
        <v>45494.0</v>
      </c>
      <c r="D2667" s="40" t="s">
        <v>18774</v>
      </c>
      <c r="E2667" s="41" t="s">
        <v>18775</v>
      </c>
      <c r="F2667" s="43" t="s">
        <v>18776</v>
      </c>
      <c r="G2667" s="43" t="s">
        <v>18777</v>
      </c>
      <c r="H2667" s="51" t="s">
        <v>11484</v>
      </c>
      <c r="I2667" s="25" t="str">
        <f>IFERROR(__xludf.DUMMYFUNCTION("GOOGLETRANSLATE(H2667,""EN"",""ES"")"),"Sociedad")</f>
        <v>Sociedad</v>
      </c>
      <c r="J2667" s="26" t="s">
        <v>27</v>
      </c>
      <c r="K2667" s="17">
        <v>0.0</v>
      </c>
      <c r="L2667" s="54"/>
      <c r="M2667" s="31"/>
      <c r="N2667" s="83"/>
      <c r="O2667" s="83"/>
      <c r="P2667" s="20">
        <v>0.0</v>
      </c>
      <c r="Q2667" s="31"/>
      <c r="R2667" s="31"/>
      <c r="S2667" s="53"/>
      <c r="T2667" s="32"/>
    </row>
    <row r="2668">
      <c r="A2668" s="33" t="s">
        <v>18778</v>
      </c>
      <c r="B2668" s="76" t="s">
        <v>16248</v>
      </c>
      <c r="C2668" s="41">
        <v>45494.0</v>
      </c>
      <c r="D2668" s="40" t="s">
        <v>18779</v>
      </c>
      <c r="E2668" s="41" t="s">
        <v>18780</v>
      </c>
      <c r="F2668" s="43" t="s">
        <v>18781</v>
      </c>
      <c r="G2668" s="43" t="s">
        <v>18782</v>
      </c>
      <c r="H2668" s="51" t="s">
        <v>148</v>
      </c>
      <c r="I2668" s="15" t="str">
        <f>IFERROR(__xludf.DUMMYFUNCTION("GOOGLETRANSLATE(H2668,""EN"",""ES"")"),"Gastronomía")</f>
        <v>Gastronomía</v>
      </c>
      <c r="J2668" s="16" t="s">
        <v>27</v>
      </c>
      <c r="K2668" s="17">
        <v>0.0</v>
      </c>
      <c r="L2668" s="45"/>
      <c r="M2668" s="18"/>
      <c r="N2668" s="86"/>
      <c r="O2668" s="86"/>
      <c r="P2668" s="20">
        <v>0.0</v>
      </c>
      <c r="Q2668" s="18"/>
      <c r="R2668" s="18"/>
      <c r="S2668" s="52"/>
      <c r="T2668" s="22"/>
    </row>
    <row r="2669">
      <c r="A2669" s="23" t="s">
        <v>18783</v>
      </c>
      <c r="B2669" s="77" t="s">
        <v>499</v>
      </c>
      <c r="C2669" s="41">
        <v>45494.0</v>
      </c>
      <c r="D2669" s="40" t="s">
        <v>18784</v>
      </c>
      <c r="E2669" s="41" t="s">
        <v>18785</v>
      </c>
      <c r="F2669" s="43" t="s">
        <v>18786</v>
      </c>
      <c r="G2669" s="43" t="s">
        <v>18787</v>
      </c>
      <c r="H2669" s="51" t="s">
        <v>62</v>
      </c>
      <c r="I2669" s="25" t="str">
        <f>IFERROR(__xludf.DUMMYFUNCTION("GOOGLETRANSLATE(H2669,""EN"",""ES"")"),"Energía")</f>
        <v>Energía</v>
      </c>
      <c r="J2669" s="26" t="s">
        <v>27</v>
      </c>
      <c r="K2669" s="17">
        <v>0.0</v>
      </c>
      <c r="L2669" s="54"/>
      <c r="M2669" s="31"/>
      <c r="N2669" s="83"/>
      <c r="O2669" s="83"/>
      <c r="P2669" s="20">
        <v>0.0</v>
      </c>
      <c r="Q2669" s="31"/>
      <c r="R2669" s="31"/>
      <c r="S2669" s="53"/>
      <c r="T2669" s="32"/>
    </row>
    <row r="2670">
      <c r="A2670" s="33" t="s">
        <v>18788</v>
      </c>
      <c r="B2670" s="76" t="s">
        <v>499</v>
      </c>
      <c r="C2670" s="41">
        <v>45494.0</v>
      </c>
      <c r="D2670" s="40" t="s">
        <v>18789</v>
      </c>
      <c r="E2670" s="41" t="s">
        <v>18790</v>
      </c>
      <c r="F2670" s="43" t="s">
        <v>18791</v>
      </c>
      <c r="G2670" s="43" t="s">
        <v>18792</v>
      </c>
      <c r="H2670" s="51" t="s">
        <v>661</v>
      </c>
      <c r="I2670" s="15" t="str">
        <f>IFERROR(__xludf.DUMMYFUNCTION("GOOGLETRANSLATE(H2670,""EN"",""ES"")"),"Estrategia empresarial")</f>
        <v>Estrategia empresarial</v>
      </c>
      <c r="J2670" s="16" t="s">
        <v>35</v>
      </c>
      <c r="K2670" s="48">
        <v>0.6</v>
      </c>
      <c r="L2670" s="51" t="s">
        <v>12776</v>
      </c>
      <c r="M2670" s="34" t="s">
        <v>12777</v>
      </c>
      <c r="N2670" s="86" t="s">
        <v>18793</v>
      </c>
      <c r="O2670" s="86" t="str">
        <f>IFERROR(__xludf.DUMMYFUNCTION("GOOGLETRANSLATE(N2670,""EN"",""ES"")"),"Positivo ya que destaca la inversión y la competencia económica en el sector energético.")</f>
        <v>Positivo ya que destaca la inversión y la competencia económica en el sector energético.</v>
      </c>
      <c r="P2670" s="30">
        <v>0.0</v>
      </c>
      <c r="Q2670" s="18"/>
      <c r="R2670" s="18"/>
      <c r="S2670" s="52" t="s">
        <v>12139</v>
      </c>
      <c r="T2670" s="22" t="s">
        <v>12140</v>
      </c>
    </row>
    <row r="2671">
      <c r="A2671" s="23" t="s">
        <v>18794</v>
      </c>
      <c r="B2671" s="77" t="s">
        <v>1338</v>
      </c>
      <c r="C2671" s="41">
        <v>45494.0</v>
      </c>
      <c r="D2671" s="40" t="s">
        <v>18795</v>
      </c>
      <c r="E2671" s="41" t="s">
        <v>18796</v>
      </c>
      <c r="F2671" s="43" t="s">
        <v>18797</v>
      </c>
      <c r="G2671" s="43" t="s">
        <v>18798</v>
      </c>
      <c r="H2671" s="51" t="s">
        <v>408</v>
      </c>
      <c r="I2671" s="25" t="str">
        <f>IFERROR(__xludf.DUMMYFUNCTION("GOOGLETRANSLATE(H2671,""EN"",""ES"")"),"Legal")</f>
        <v>Legal</v>
      </c>
      <c r="J2671" s="26" t="s">
        <v>27</v>
      </c>
      <c r="K2671" s="17">
        <v>0.0</v>
      </c>
      <c r="L2671" s="54"/>
      <c r="M2671" s="31"/>
      <c r="N2671" s="83"/>
      <c r="O2671" s="83"/>
      <c r="P2671" s="20">
        <v>0.0</v>
      </c>
      <c r="Q2671" s="31"/>
      <c r="R2671" s="31"/>
      <c r="S2671" s="53"/>
      <c r="T2671" s="32"/>
    </row>
    <row r="2672">
      <c r="A2672" s="33" t="s">
        <v>18799</v>
      </c>
      <c r="B2672" s="76" t="s">
        <v>21</v>
      </c>
      <c r="C2672" s="41">
        <v>45495.0</v>
      </c>
      <c r="D2672" s="40" t="s">
        <v>18800</v>
      </c>
      <c r="E2672" s="41" t="s">
        <v>18801</v>
      </c>
      <c r="F2672" s="43" t="s">
        <v>18802</v>
      </c>
      <c r="G2672" s="43" t="s">
        <v>18803</v>
      </c>
      <c r="H2672" s="51" t="s">
        <v>155</v>
      </c>
      <c r="I2672" s="15" t="str">
        <f>IFERROR(__xludf.DUMMYFUNCTION("GOOGLETRANSLATE(H2672,""EN"",""ES"")"),"Marketing")</f>
        <v>Marketing</v>
      </c>
      <c r="J2672" s="16" t="s">
        <v>27</v>
      </c>
      <c r="K2672" s="17">
        <v>0.0</v>
      </c>
      <c r="L2672" s="45"/>
      <c r="M2672" s="18"/>
      <c r="N2672" s="86"/>
      <c r="O2672" s="86"/>
      <c r="P2672" s="20">
        <v>0.0</v>
      </c>
      <c r="Q2672" s="18"/>
      <c r="R2672" s="18"/>
      <c r="S2672" s="52"/>
      <c r="T2672" s="22"/>
    </row>
    <row r="2673">
      <c r="A2673" s="23" t="s">
        <v>18804</v>
      </c>
      <c r="B2673" s="77" t="s">
        <v>4151</v>
      </c>
      <c r="C2673" s="41">
        <v>45495.0</v>
      </c>
      <c r="D2673" s="40" t="s">
        <v>18805</v>
      </c>
      <c r="E2673" s="41" t="s">
        <v>18806</v>
      </c>
      <c r="F2673" s="43" t="s">
        <v>18807</v>
      </c>
      <c r="G2673" s="43" t="s">
        <v>18808</v>
      </c>
      <c r="H2673" s="51" t="s">
        <v>55</v>
      </c>
      <c r="I2673" s="25" t="str">
        <f>IFERROR(__xludf.DUMMYFUNCTION("GOOGLETRANSLATE(H2673,""EN"",""ES"")"),"deportes de motor")</f>
        <v>deportes de motor</v>
      </c>
      <c r="J2673" s="26" t="s">
        <v>35</v>
      </c>
      <c r="K2673" s="48">
        <v>0.6</v>
      </c>
      <c r="L2673" s="49" t="s">
        <v>15685</v>
      </c>
      <c r="M2673" s="28" t="s">
        <v>15686</v>
      </c>
      <c r="N2673" s="83" t="s">
        <v>18809</v>
      </c>
      <c r="O2673" s="83" t="str">
        <f>IFERROR(__xludf.DUMMYFUNCTION("GOOGLETRANSLATE(N2673,""EN"",""ES"")"),"Positivo porque vincula a Repsol Honda con un desarrollo apasionante en el deporte del motor.")</f>
        <v>Positivo porque vincula a Repsol Honda con un desarrollo apasionante en el deporte del motor.</v>
      </c>
      <c r="P2673" s="30">
        <v>0.3</v>
      </c>
      <c r="Q2673" s="31" t="str">
        <f>IFERROR(__xludf.DUMMYFUNCTION("GOOGLETRANSLATE(R2673,""ES"",""EN"")"),"#VALUE!")</f>
        <v>#VALUE!</v>
      </c>
      <c r="R2673" s="31"/>
      <c r="S2673" s="53" t="s">
        <v>18810</v>
      </c>
      <c r="T2673" s="32" t="s">
        <v>18811</v>
      </c>
    </row>
    <row r="2674">
      <c r="A2674" s="33" t="s">
        <v>18812</v>
      </c>
      <c r="B2674" s="76" t="s">
        <v>614</v>
      </c>
      <c r="C2674" s="41">
        <v>45495.0</v>
      </c>
      <c r="D2674" s="40" t="s">
        <v>18813</v>
      </c>
      <c r="E2674" s="41" t="s">
        <v>18814</v>
      </c>
      <c r="F2674" s="43" t="s">
        <v>18815</v>
      </c>
      <c r="G2674" s="43" t="s">
        <v>18816</v>
      </c>
      <c r="H2674" s="51" t="s">
        <v>55</v>
      </c>
      <c r="I2674" s="15" t="str">
        <f>IFERROR(__xludf.DUMMYFUNCTION("GOOGLETRANSLATE(H2674,""EN"",""ES"")"),"deportes de motor")</f>
        <v>deportes de motor</v>
      </c>
      <c r="J2674" s="16" t="s">
        <v>35</v>
      </c>
      <c r="K2674" s="48">
        <v>0.6</v>
      </c>
      <c r="L2674" s="51" t="s">
        <v>15685</v>
      </c>
      <c r="M2674" s="34" t="s">
        <v>15686</v>
      </c>
      <c r="N2674" s="86" t="s">
        <v>18817</v>
      </c>
      <c r="O2674" s="86" t="str">
        <f>IFERROR(__xludf.DUMMYFUNCTION("GOOGLETRANSLATE(N2674,""EN"",""ES"")"),"Positivo porque muestra la apuesta de Repsol por los combustibles renovables en el deporte del motor.")</f>
        <v>Positivo porque muestra la apuesta de Repsol por los combustibles renovables en el deporte del motor.</v>
      </c>
      <c r="P2674" s="30">
        <v>0.3</v>
      </c>
      <c r="Q2674" s="18" t="str">
        <f>IFERROR(__xludf.DUMMYFUNCTION("GOOGLETRANSLATE(R2674,""ES"",""EN"")"),"#VALUE!")</f>
        <v>#VALUE!</v>
      </c>
      <c r="R2674" s="18"/>
      <c r="S2674" s="52" t="s">
        <v>18810</v>
      </c>
      <c r="T2674" s="22" t="s">
        <v>18811</v>
      </c>
    </row>
    <row r="2675">
      <c r="A2675" s="23" t="s">
        <v>18818</v>
      </c>
      <c r="B2675" s="77" t="s">
        <v>85</v>
      </c>
      <c r="C2675" s="41">
        <v>45495.0</v>
      </c>
      <c r="D2675" s="40" t="s">
        <v>18819</v>
      </c>
      <c r="E2675" s="41" t="s">
        <v>18820</v>
      </c>
      <c r="F2675" s="43" t="s">
        <v>18821</v>
      </c>
      <c r="G2675" s="43" t="s">
        <v>18822</v>
      </c>
      <c r="H2675" s="51" t="s">
        <v>148</v>
      </c>
      <c r="I2675" s="25" t="str">
        <f>IFERROR(__xludf.DUMMYFUNCTION("GOOGLETRANSLATE(H2675,""EN"",""ES"")"),"Gastronomía")</f>
        <v>Gastronomía</v>
      </c>
      <c r="J2675" s="26" t="s">
        <v>27</v>
      </c>
      <c r="K2675" s="17">
        <v>0.0</v>
      </c>
      <c r="L2675" s="54"/>
      <c r="M2675" s="31"/>
      <c r="N2675" s="83"/>
      <c r="O2675" s="83"/>
      <c r="P2675" s="20">
        <v>0.0</v>
      </c>
      <c r="Q2675" s="31"/>
      <c r="R2675" s="31"/>
      <c r="S2675" s="53"/>
      <c r="T2675" s="32"/>
    </row>
    <row r="2676">
      <c r="A2676" s="33" t="s">
        <v>18823</v>
      </c>
      <c r="B2676" s="76" t="s">
        <v>977</v>
      </c>
      <c r="C2676" s="41">
        <v>45495.0</v>
      </c>
      <c r="D2676" s="40" t="s">
        <v>18824</v>
      </c>
      <c r="E2676" s="41" t="s">
        <v>18825</v>
      </c>
      <c r="F2676" s="43" t="s">
        <v>18826</v>
      </c>
      <c r="G2676" s="43" t="s">
        <v>18827</v>
      </c>
      <c r="H2676" s="51" t="s">
        <v>148</v>
      </c>
      <c r="I2676" s="15" t="str">
        <f>IFERROR(__xludf.DUMMYFUNCTION("GOOGLETRANSLATE(H2676,""EN"",""ES"")"),"Gastronomía")</f>
        <v>Gastronomía</v>
      </c>
      <c r="J2676" s="16" t="s">
        <v>27</v>
      </c>
      <c r="K2676" s="17">
        <v>0.0</v>
      </c>
      <c r="L2676" s="45"/>
      <c r="M2676" s="18"/>
      <c r="N2676" s="86"/>
      <c r="O2676" s="86"/>
      <c r="P2676" s="20">
        <v>0.0</v>
      </c>
      <c r="Q2676" s="18"/>
      <c r="R2676" s="18"/>
      <c r="S2676" s="52"/>
      <c r="T2676" s="22"/>
    </row>
    <row r="2677">
      <c r="A2677" s="23" t="s">
        <v>18828</v>
      </c>
      <c r="B2677" s="77" t="s">
        <v>21</v>
      </c>
      <c r="C2677" s="41">
        <v>45495.0</v>
      </c>
      <c r="D2677" s="40" t="s">
        <v>18829</v>
      </c>
      <c r="E2677" s="41" t="s">
        <v>18830</v>
      </c>
      <c r="F2677" s="43" t="s">
        <v>18831</v>
      </c>
      <c r="G2677" s="43" t="s">
        <v>18832</v>
      </c>
      <c r="H2677" s="51" t="s">
        <v>148</v>
      </c>
      <c r="I2677" s="25" t="str">
        <f>IFERROR(__xludf.DUMMYFUNCTION("GOOGLETRANSLATE(H2677,""EN"",""ES"")"),"Gastronomía")</f>
        <v>Gastronomía</v>
      </c>
      <c r="J2677" s="26" t="s">
        <v>27</v>
      </c>
      <c r="K2677" s="17">
        <v>0.0</v>
      </c>
      <c r="L2677" s="54"/>
      <c r="M2677" s="31"/>
      <c r="N2677" s="83"/>
      <c r="O2677" s="83"/>
      <c r="P2677" s="20">
        <v>0.0</v>
      </c>
      <c r="Q2677" s="31"/>
      <c r="R2677" s="31"/>
      <c r="S2677" s="53"/>
      <c r="T2677" s="32"/>
    </row>
    <row r="2678">
      <c r="A2678" s="33" t="s">
        <v>18833</v>
      </c>
      <c r="B2678" s="76" t="s">
        <v>513</v>
      </c>
      <c r="C2678" s="41">
        <v>45495.0</v>
      </c>
      <c r="D2678" s="40" t="s">
        <v>18834</v>
      </c>
      <c r="E2678" s="41" t="s">
        <v>18835</v>
      </c>
      <c r="F2678" s="43" t="s">
        <v>18836</v>
      </c>
      <c r="G2678" s="43" t="s">
        <v>18837</v>
      </c>
      <c r="H2678" s="51" t="s">
        <v>55</v>
      </c>
      <c r="I2678" s="15" t="str">
        <f>IFERROR(__xludf.DUMMYFUNCTION("GOOGLETRANSLATE(H2678,""EN"",""ES"")"),"deportes de motor")</f>
        <v>deportes de motor</v>
      </c>
      <c r="J2678" s="16" t="s">
        <v>35</v>
      </c>
      <c r="K2678" s="48">
        <v>0.6</v>
      </c>
      <c r="L2678" s="51" t="s">
        <v>15685</v>
      </c>
      <c r="M2678" s="34" t="s">
        <v>15686</v>
      </c>
      <c r="N2678" s="86" t="s">
        <v>18838</v>
      </c>
      <c r="O2678" s="86" t="str">
        <f>IFERROR(__xludf.DUMMYFUNCTION("GOOGLETRANSLATE(N2678,""EN"",""ES"")"),"Positivo porque pone de relieve la participación de Repsol Honda en el automovilismo sostenible.")</f>
        <v>Positivo porque pone de relieve la participación de Repsol Honda en el automovilismo sostenible.</v>
      </c>
      <c r="P2678" s="30">
        <v>0.3</v>
      </c>
      <c r="Q2678" s="18" t="str">
        <f>IFERROR(__xludf.DUMMYFUNCTION("GOOGLETRANSLATE(R2678,""ES"",""EN"")"),"#VALUE!")</f>
        <v>#VALUE!</v>
      </c>
      <c r="R2678" s="18"/>
      <c r="S2678" s="52" t="s">
        <v>18810</v>
      </c>
      <c r="T2678" s="22" t="s">
        <v>18811</v>
      </c>
    </row>
    <row r="2679">
      <c r="A2679" s="23" t="s">
        <v>18839</v>
      </c>
      <c r="B2679" s="77" t="s">
        <v>6458</v>
      </c>
      <c r="C2679" s="41">
        <v>45495.0</v>
      </c>
      <c r="D2679" s="40" t="s">
        <v>18840</v>
      </c>
      <c r="E2679" s="41" t="s">
        <v>18841</v>
      </c>
      <c r="F2679" s="43" t="s">
        <v>18842</v>
      </c>
      <c r="G2679" s="43" t="s">
        <v>18843</v>
      </c>
      <c r="H2679" s="51" t="s">
        <v>148</v>
      </c>
      <c r="I2679" s="25" t="str">
        <f>IFERROR(__xludf.DUMMYFUNCTION("GOOGLETRANSLATE(H2679,""EN"",""ES"")"),"Gastronomía")</f>
        <v>Gastronomía</v>
      </c>
      <c r="J2679" s="26" t="s">
        <v>27</v>
      </c>
      <c r="K2679" s="17">
        <v>0.0</v>
      </c>
      <c r="L2679" s="54"/>
      <c r="M2679" s="31"/>
      <c r="N2679" s="83"/>
      <c r="O2679" s="83"/>
      <c r="P2679" s="20">
        <v>0.0</v>
      </c>
      <c r="Q2679" s="31"/>
      <c r="R2679" s="31"/>
      <c r="S2679" s="53"/>
      <c r="T2679" s="32"/>
    </row>
    <row r="2680">
      <c r="A2680" s="33" t="s">
        <v>18844</v>
      </c>
      <c r="B2680" s="76" t="s">
        <v>21</v>
      </c>
      <c r="C2680" s="41">
        <v>45495.0</v>
      </c>
      <c r="D2680" s="40" t="s">
        <v>18845</v>
      </c>
      <c r="E2680" s="41" t="s">
        <v>18846</v>
      </c>
      <c r="F2680" s="43" t="s">
        <v>18847</v>
      </c>
      <c r="G2680" s="43" t="s">
        <v>18848</v>
      </c>
      <c r="H2680" s="51" t="s">
        <v>782</v>
      </c>
      <c r="I2680" s="15" t="str">
        <f>IFERROR(__xludf.DUMMYFUNCTION("GOOGLETRANSLATE(H2680,""EN"",""ES"")"),"Tecnología")</f>
        <v>Tecnología</v>
      </c>
      <c r="J2680" s="16" t="s">
        <v>27</v>
      </c>
      <c r="K2680" s="17">
        <v>0.0</v>
      </c>
      <c r="L2680" s="45"/>
      <c r="M2680" s="18"/>
      <c r="N2680" s="86"/>
      <c r="O2680" s="86"/>
      <c r="P2680" s="20">
        <v>0.0</v>
      </c>
      <c r="Q2680" s="18"/>
      <c r="R2680" s="18"/>
      <c r="S2680" s="52"/>
      <c r="T2680" s="22"/>
    </row>
    <row r="2681">
      <c r="A2681" s="23" t="s">
        <v>18849</v>
      </c>
      <c r="B2681" s="77" t="s">
        <v>17597</v>
      </c>
      <c r="C2681" s="41">
        <v>45496.0</v>
      </c>
      <c r="D2681" s="40" t="s">
        <v>18850</v>
      </c>
      <c r="E2681" s="41" t="s">
        <v>18851</v>
      </c>
      <c r="F2681" s="43" t="s">
        <v>18852</v>
      </c>
      <c r="G2681" s="43" t="s">
        <v>18853</v>
      </c>
      <c r="H2681" s="51" t="s">
        <v>130</v>
      </c>
      <c r="I2681" s="25" t="str">
        <f>IFERROR(__xludf.DUMMYFUNCTION("GOOGLETRANSLATE(H2681,""EN"",""ES"")"),"Sostenibilidad")</f>
        <v>Sostenibilidad</v>
      </c>
      <c r="J2681" s="26" t="s">
        <v>35</v>
      </c>
      <c r="K2681" s="48">
        <v>0.7</v>
      </c>
      <c r="L2681" s="49" t="s">
        <v>18854</v>
      </c>
      <c r="M2681" s="28" t="s">
        <v>18855</v>
      </c>
      <c r="N2681" s="83" t="s">
        <v>18856</v>
      </c>
      <c r="O2681" s="83" t="str">
        <f>IFERROR(__xludf.DUMMYFUNCTION("GOOGLETRANSLATE(N2681,""EN"",""ES"")"),"Positivo porque pone de relieve las iniciativas de sostenibilidad de Repsol en la aviación.")</f>
        <v>Positivo porque pone de relieve las iniciativas de sostenibilidad de Repsol en la aviación.</v>
      </c>
      <c r="P2681" s="30">
        <v>0.8</v>
      </c>
      <c r="Q2681" s="31" t="str">
        <f>IFERROR(__xludf.DUMMYFUNCTION("GOOGLETRANSLATE(R2681,""ES"",""EN"")"),"SAF, agreement")</f>
        <v>SAF, agreement</v>
      </c>
      <c r="R2681" s="28" t="s">
        <v>18857</v>
      </c>
      <c r="S2681" s="53" t="s">
        <v>18858</v>
      </c>
      <c r="T2681" s="32" t="s">
        <v>18859</v>
      </c>
    </row>
    <row r="2682">
      <c r="A2682" s="33" t="s">
        <v>18860</v>
      </c>
      <c r="B2682" s="76" t="s">
        <v>2696</v>
      </c>
      <c r="C2682" s="41">
        <v>45496.0</v>
      </c>
      <c r="D2682" s="40" t="s">
        <v>18861</v>
      </c>
      <c r="E2682" s="41" t="s">
        <v>18862</v>
      </c>
      <c r="F2682" s="43" t="s">
        <v>18863</v>
      </c>
      <c r="G2682" s="43" t="s">
        <v>18864</v>
      </c>
      <c r="H2682" s="51" t="s">
        <v>408</v>
      </c>
      <c r="I2682" s="15" t="str">
        <f>IFERROR(__xludf.DUMMYFUNCTION("GOOGLETRANSLATE(H2682,""EN"",""ES"")"),"Legal")</f>
        <v>Legal</v>
      </c>
      <c r="J2682" s="16" t="s">
        <v>35</v>
      </c>
      <c r="K2682" s="48">
        <v>-0.6</v>
      </c>
      <c r="L2682" s="51" t="s">
        <v>18865</v>
      </c>
      <c r="M2682" s="34" t="s">
        <v>18866</v>
      </c>
      <c r="N2682" s="86" t="s">
        <v>18867</v>
      </c>
      <c r="O2682" s="86" t="str">
        <f>IFERROR(__xludf.DUMMYFUNCTION("GOOGLETRANSLATE(N2682,""EN"",""ES"")"),"Negativo ya que menciona un tema legal que involucra a Repsol y acusaciones de greenwashing.")</f>
        <v>Negativo ya que menciona un tema legal que involucra a Repsol y acusaciones de greenwashing.</v>
      </c>
      <c r="P2682" s="30">
        <v>-0.5</v>
      </c>
      <c r="Q2682" s="18" t="str">
        <f>IFERROR(__xludf.DUMMYFUNCTION("GOOGLETRANSLATE(R2682,""ES"",""EN"")"),"greenwashing")</f>
        <v>greenwashing</v>
      </c>
      <c r="R2682" s="34" t="s">
        <v>11135</v>
      </c>
      <c r="S2682" s="52" t="s">
        <v>18868</v>
      </c>
      <c r="T2682" s="22" t="s">
        <v>18869</v>
      </c>
    </row>
    <row r="2683">
      <c r="A2683" s="23" t="s">
        <v>18870</v>
      </c>
      <c r="B2683" s="77" t="s">
        <v>217</v>
      </c>
      <c r="C2683" s="41">
        <v>45496.0</v>
      </c>
      <c r="D2683" s="40" t="s">
        <v>18871</v>
      </c>
      <c r="E2683" s="41" t="s">
        <v>18872</v>
      </c>
      <c r="F2683" s="43" t="s">
        <v>18873</v>
      </c>
      <c r="G2683" s="43" t="s">
        <v>18874</v>
      </c>
      <c r="H2683" s="51" t="s">
        <v>130</v>
      </c>
      <c r="I2683" s="25" t="str">
        <f>IFERROR(__xludf.DUMMYFUNCTION("GOOGLETRANSLATE(H2683,""EN"",""ES"")"),"Sostenibilidad")</f>
        <v>Sostenibilidad</v>
      </c>
      <c r="J2683" s="26" t="s">
        <v>35</v>
      </c>
      <c r="K2683" s="48">
        <v>0.7</v>
      </c>
      <c r="L2683" s="49" t="s">
        <v>12580</v>
      </c>
      <c r="M2683" s="28" t="s">
        <v>12581</v>
      </c>
      <c r="N2683" s="83" t="s">
        <v>18875</v>
      </c>
      <c r="O2683" s="83" t="str">
        <f>IFERROR(__xludf.DUMMYFUNCTION("GOOGLETRANSLATE(N2683,""EN"",""ES"")"),"Positivo porque muestra la innovación de Repsol en la producción de diésel renovable.")</f>
        <v>Positivo porque muestra la innovación de Repsol en la producción de diésel renovable.</v>
      </c>
      <c r="P2683" s="30">
        <v>0.7</v>
      </c>
      <c r="Q2683" s="31" t="str">
        <f>IFERROR(__xludf.DUMMYFUNCTION("GOOGLETRANSLATE(R2683,""ES"",""EN"")"),"renewable diesel")</f>
        <v>renewable diesel</v>
      </c>
      <c r="R2683" s="28" t="s">
        <v>13210</v>
      </c>
      <c r="S2683" s="53" t="s">
        <v>18876</v>
      </c>
      <c r="T2683" s="32" t="s">
        <v>18877</v>
      </c>
    </row>
    <row r="2684">
      <c r="A2684" s="33" t="s">
        <v>18878</v>
      </c>
      <c r="B2684" s="76" t="s">
        <v>192</v>
      </c>
      <c r="C2684" s="41">
        <v>45496.0</v>
      </c>
      <c r="D2684" s="40" t="s">
        <v>18879</v>
      </c>
      <c r="E2684" s="41" t="s">
        <v>18880</v>
      </c>
      <c r="F2684" s="43" t="s">
        <v>18881</v>
      </c>
      <c r="G2684" s="43" t="s">
        <v>18882</v>
      </c>
      <c r="H2684" s="51" t="s">
        <v>130</v>
      </c>
      <c r="I2684" s="15" t="str">
        <f>IFERROR(__xludf.DUMMYFUNCTION("GOOGLETRANSLATE(H2684,""EN"",""ES"")"),"Sostenibilidad")</f>
        <v>Sostenibilidad</v>
      </c>
      <c r="J2684" s="16" t="s">
        <v>35</v>
      </c>
      <c r="K2684" s="48">
        <v>0.7</v>
      </c>
      <c r="L2684" s="51" t="s">
        <v>18854</v>
      </c>
      <c r="M2684" s="34" t="s">
        <v>18855</v>
      </c>
      <c r="N2684" s="86" t="s">
        <v>18883</v>
      </c>
      <c r="O2684" s="86" t="str">
        <f>IFERROR(__xludf.DUMMYFUNCTION("GOOGLETRANSLATE(N2684,""EN"",""ES"")"),"Positivo porque refuerza el compromiso de Repsol con las iniciativas de combustibles sostenibles.")</f>
        <v>Positivo porque refuerza el compromiso de Repsol con las iniciativas de combustibles sostenibles.</v>
      </c>
      <c r="P2684" s="30">
        <v>0.8</v>
      </c>
      <c r="Q2684" s="18" t="str">
        <f>IFERROR(__xludf.DUMMYFUNCTION("GOOGLETRANSLATE(R2684,""ES"",""EN"")"),"SAF, agreement")</f>
        <v>SAF, agreement</v>
      </c>
      <c r="R2684" s="34" t="s">
        <v>18857</v>
      </c>
      <c r="S2684" s="52" t="s">
        <v>18858</v>
      </c>
      <c r="T2684" s="22" t="s">
        <v>18859</v>
      </c>
    </row>
    <row r="2685">
      <c r="A2685" s="23" t="s">
        <v>18884</v>
      </c>
      <c r="B2685" s="77" t="s">
        <v>499</v>
      </c>
      <c r="C2685" s="41">
        <v>45617.0</v>
      </c>
      <c r="D2685" s="40" t="s">
        <v>18885</v>
      </c>
      <c r="E2685" s="41" t="s">
        <v>18886</v>
      </c>
      <c r="F2685" s="43" t="s">
        <v>18887</v>
      </c>
      <c r="G2685" s="43" t="s">
        <v>18888</v>
      </c>
      <c r="H2685" s="51" t="s">
        <v>408</v>
      </c>
      <c r="I2685" s="25" t="str">
        <f>IFERROR(__xludf.DUMMYFUNCTION("GOOGLETRANSLATE(H2685,""EN"",""ES"")"),"Legal")</f>
        <v>Legal</v>
      </c>
      <c r="J2685" s="26" t="s">
        <v>35</v>
      </c>
      <c r="K2685" s="48">
        <v>-0.6</v>
      </c>
      <c r="L2685" s="49" t="s">
        <v>18865</v>
      </c>
      <c r="M2685" s="28" t="s">
        <v>18866</v>
      </c>
      <c r="N2685" s="83" t="s">
        <v>18889</v>
      </c>
      <c r="O2685" s="83" t="str">
        <f>IFERROR(__xludf.DUMMYFUNCTION("GOOGLETRANSLATE(N2685,""EN"",""ES"")"),"Negativo ya que implica una disputa legal sobre prácticas competitivas.")</f>
        <v>Negativo ya que implica una disputa legal sobre prácticas competitivas.</v>
      </c>
      <c r="P2685" s="30">
        <v>-0.5</v>
      </c>
      <c r="Q2685" s="31" t="str">
        <f>IFERROR(__xludf.DUMMYFUNCTION("GOOGLETRANSLATE(R2685,""ES"",""EN"")"),"unfair competition")</f>
        <v>unfair competition</v>
      </c>
      <c r="R2685" s="28" t="s">
        <v>18890</v>
      </c>
      <c r="S2685" s="53" t="s">
        <v>18891</v>
      </c>
      <c r="T2685" s="32" t="s">
        <v>18892</v>
      </c>
    </row>
    <row r="2686">
      <c r="A2686" s="33" t="s">
        <v>18893</v>
      </c>
      <c r="B2686" s="76" t="s">
        <v>3151</v>
      </c>
      <c r="C2686" s="41">
        <v>45496.0</v>
      </c>
      <c r="D2686" s="40" t="s">
        <v>18894</v>
      </c>
      <c r="E2686" s="41" t="s">
        <v>18895</v>
      </c>
      <c r="F2686" s="43" t="s">
        <v>18896</v>
      </c>
      <c r="G2686" s="43" t="s">
        <v>18897</v>
      </c>
      <c r="H2686" s="51" t="s">
        <v>55</v>
      </c>
      <c r="I2686" s="15" t="str">
        <f>IFERROR(__xludf.DUMMYFUNCTION("GOOGLETRANSLATE(H2686,""EN"",""ES"")"),"deportes de motor")</f>
        <v>deportes de motor</v>
      </c>
      <c r="J2686" s="16" t="s">
        <v>35</v>
      </c>
      <c r="K2686" s="48">
        <v>0.6</v>
      </c>
      <c r="L2686" s="51" t="s">
        <v>15685</v>
      </c>
      <c r="M2686" s="34" t="s">
        <v>15686</v>
      </c>
      <c r="N2686" s="86" t="s">
        <v>18898</v>
      </c>
      <c r="O2686" s="86" t="str">
        <f>IFERROR(__xludf.DUMMYFUNCTION("GOOGLETRANSLATE(N2686,""EN"",""ES"")"),"Positivo porque asocia Repsol Honda a un evento deportivo apasionante.")</f>
        <v>Positivo porque asocia Repsol Honda a un evento deportivo apasionante.</v>
      </c>
      <c r="P2686" s="30">
        <v>0.3</v>
      </c>
      <c r="Q2686" s="18" t="str">
        <f>IFERROR(__xludf.DUMMYFUNCTION("GOOGLETRANSLATE(R2686,""ES"",""EN"")"),"#VALUE!")</f>
        <v>#VALUE!</v>
      </c>
      <c r="R2686" s="18"/>
      <c r="S2686" s="52" t="s">
        <v>18810</v>
      </c>
      <c r="T2686" s="22" t="s">
        <v>18811</v>
      </c>
    </row>
    <row r="2687">
      <c r="A2687" s="23" t="s">
        <v>18899</v>
      </c>
      <c r="B2687" s="77" t="s">
        <v>614</v>
      </c>
      <c r="C2687" s="41">
        <v>45496.0</v>
      </c>
      <c r="D2687" s="40" t="s">
        <v>18900</v>
      </c>
      <c r="E2687" s="41" t="s">
        <v>18901</v>
      </c>
      <c r="F2687" s="43" t="s">
        <v>18902</v>
      </c>
      <c r="G2687" s="43" t="s">
        <v>18903</v>
      </c>
      <c r="H2687" s="51" t="s">
        <v>130</v>
      </c>
      <c r="I2687" s="25" t="str">
        <f>IFERROR(__xludf.DUMMYFUNCTION("GOOGLETRANSLATE(H2687,""EN"",""ES"")"),"Sostenibilidad")</f>
        <v>Sostenibilidad</v>
      </c>
      <c r="J2687" s="26" t="s">
        <v>35</v>
      </c>
      <c r="K2687" s="48">
        <v>0.7</v>
      </c>
      <c r="L2687" s="49" t="s">
        <v>18854</v>
      </c>
      <c r="M2687" s="28" t="s">
        <v>18855</v>
      </c>
      <c r="N2687" s="83" t="s">
        <v>18904</v>
      </c>
      <c r="O2687" s="83" t="str">
        <f>IFERROR(__xludf.DUMMYFUNCTION("GOOGLETRANSLATE(N2687,""EN"",""ES"")"),"Positivo porque pone de relieve el papel de Repsol en las alianzas en materia de sostenibilidad.")</f>
        <v>Positivo porque pone de relieve el papel de Repsol en las alianzas en materia de sostenibilidad.</v>
      </c>
      <c r="P2687" s="30">
        <v>0.8</v>
      </c>
      <c r="Q2687" s="31" t="str">
        <f>IFERROR(__xludf.DUMMYFUNCTION("GOOGLETRANSLATE(R2687,""ES"",""EN"")"),"SAF, agreement")</f>
        <v>SAF, agreement</v>
      </c>
      <c r="R2687" s="28" t="s">
        <v>18857</v>
      </c>
      <c r="S2687" s="53" t="s">
        <v>18858</v>
      </c>
      <c r="T2687" s="32" t="s">
        <v>18859</v>
      </c>
    </row>
    <row r="2688">
      <c r="A2688" s="33" t="s">
        <v>18905</v>
      </c>
      <c r="B2688" s="76" t="s">
        <v>18906</v>
      </c>
      <c r="C2688" s="41">
        <v>45496.0</v>
      </c>
      <c r="D2688" s="40" t="s">
        <v>18907</v>
      </c>
      <c r="E2688" s="41" t="s">
        <v>18908</v>
      </c>
      <c r="F2688" s="43" t="s">
        <v>18909</v>
      </c>
      <c r="G2688" s="43" t="s">
        <v>18910</v>
      </c>
      <c r="H2688" s="51" t="s">
        <v>130</v>
      </c>
      <c r="I2688" s="15" t="str">
        <f>IFERROR(__xludf.DUMMYFUNCTION("GOOGLETRANSLATE(H2688,""EN"",""ES"")"),"Sostenibilidad")</f>
        <v>Sostenibilidad</v>
      </c>
      <c r="J2688" s="16" t="s">
        <v>35</v>
      </c>
      <c r="K2688" s="48">
        <v>0.7</v>
      </c>
      <c r="L2688" s="51" t="s">
        <v>18854</v>
      </c>
      <c r="M2688" s="34" t="s">
        <v>18855</v>
      </c>
      <c r="N2688" s="86" t="s">
        <v>18911</v>
      </c>
      <c r="O2688" s="86" t="str">
        <f>IFERROR(__xludf.DUMMYFUNCTION("GOOGLETRANSLATE(N2688,""EN"",""ES"")"),"Positivo porque refuerza la expansión de Repsol en el sector de la aviación sostenible.")</f>
        <v>Positivo porque refuerza la expansión de Repsol en el sector de la aviación sostenible.</v>
      </c>
      <c r="P2688" s="30">
        <v>0.8</v>
      </c>
      <c r="Q2688" s="18" t="str">
        <f>IFERROR(__xludf.DUMMYFUNCTION("GOOGLETRANSLATE(R2688,""ES"",""EN"")"),"SAF")</f>
        <v>SAF</v>
      </c>
      <c r="R2688" s="34" t="s">
        <v>18912</v>
      </c>
      <c r="S2688" s="52" t="s">
        <v>18858</v>
      </c>
      <c r="T2688" s="22" t="s">
        <v>18859</v>
      </c>
    </row>
    <row r="2689">
      <c r="A2689" s="23" t="s">
        <v>18913</v>
      </c>
      <c r="B2689" s="77" t="s">
        <v>15061</v>
      </c>
      <c r="C2689" s="41">
        <v>45496.0</v>
      </c>
      <c r="D2689" s="40" t="s">
        <v>18914</v>
      </c>
      <c r="E2689" s="41" t="s">
        <v>18915</v>
      </c>
      <c r="F2689" s="43" t="s">
        <v>18916</v>
      </c>
      <c r="G2689" s="43" t="s">
        <v>18917</v>
      </c>
      <c r="H2689" s="51" t="s">
        <v>148</v>
      </c>
      <c r="I2689" s="25" t="str">
        <f>IFERROR(__xludf.DUMMYFUNCTION("GOOGLETRANSLATE(H2689,""EN"",""ES"")"),"Gastronomía")</f>
        <v>Gastronomía</v>
      </c>
      <c r="J2689" s="26" t="s">
        <v>27</v>
      </c>
      <c r="K2689" s="17">
        <v>0.0</v>
      </c>
      <c r="L2689" s="54"/>
      <c r="M2689" s="31"/>
      <c r="N2689" s="83"/>
      <c r="O2689" s="83"/>
      <c r="P2689" s="20">
        <v>0.0</v>
      </c>
      <c r="Q2689" s="31"/>
      <c r="R2689" s="31"/>
      <c r="S2689" s="53"/>
      <c r="T2689" s="32"/>
    </row>
    <row r="2690">
      <c r="A2690" s="33" t="s">
        <v>18918</v>
      </c>
      <c r="B2690" s="76" t="s">
        <v>977</v>
      </c>
      <c r="C2690" s="41">
        <v>45496.0</v>
      </c>
      <c r="D2690" s="40" t="s">
        <v>18919</v>
      </c>
      <c r="E2690" s="41" t="s">
        <v>18920</v>
      </c>
      <c r="F2690" s="43" t="s">
        <v>18921</v>
      </c>
      <c r="G2690" s="43" t="s">
        <v>18922</v>
      </c>
      <c r="H2690" s="51" t="s">
        <v>148</v>
      </c>
      <c r="I2690" s="15" t="str">
        <f>IFERROR(__xludf.DUMMYFUNCTION("GOOGLETRANSLATE(H2690,""EN"",""ES"")"),"Gastronomía")</f>
        <v>Gastronomía</v>
      </c>
      <c r="J2690" s="16" t="s">
        <v>27</v>
      </c>
      <c r="K2690" s="17">
        <v>0.0</v>
      </c>
      <c r="L2690" s="45"/>
      <c r="M2690" s="18"/>
      <c r="N2690" s="86"/>
      <c r="O2690" s="86"/>
      <c r="P2690" s="20">
        <v>0.0</v>
      </c>
      <c r="Q2690" s="18"/>
      <c r="R2690" s="18"/>
      <c r="S2690" s="52"/>
      <c r="T2690" s="22"/>
    </row>
    <row r="2691">
      <c r="A2691" s="23" t="s">
        <v>18923</v>
      </c>
      <c r="B2691" s="77" t="s">
        <v>9223</v>
      </c>
      <c r="C2691" s="41">
        <v>45496.0</v>
      </c>
      <c r="D2691" s="40" t="s">
        <v>18924</v>
      </c>
      <c r="E2691" s="41" t="s">
        <v>18925</v>
      </c>
      <c r="F2691" s="43" t="s">
        <v>18926</v>
      </c>
      <c r="G2691" s="43" t="s">
        <v>18927</v>
      </c>
      <c r="H2691" s="51" t="s">
        <v>130</v>
      </c>
      <c r="I2691" s="25" t="str">
        <f>IFERROR(__xludf.DUMMYFUNCTION("GOOGLETRANSLATE(H2691,""EN"",""ES"")"),"Sostenibilidad")</f>
        <v>Sostenibilidad</v>
      </c>
      <c r="J2691" s="26" t="s">
        <v>35</v>
      </c>
      <c r="K2691" s="48">
        <v>0.7</v>
      </c>
      <c r="L2691" s="49" t="s">
        <v>18928</v>
      </c>
      <c r="M2691" s="28" t="s">
        <v>18929</v>
      </c>
      <c r="N2691" s="83" t="s">
        <v>18930</v>
      </c>
      <c r="O2691" s="83" t="str">
        <f>IFERROR(__xludf.DUMMYFUNCTION("GOOGLETRANSLATE(N2691,""EN"",""ES"")"),"Positivo porque pone de relieve la implicación de Repsol en la sostenibilidad y el reciclaje de residuos.")</f>
        <v>Positivo porque pone de relieve la implicación de Repsol en la sostenibilidad y el reciclaje de residuos.</v>
      </c>
      <c r="P2691" s="30">
        <v>0.4</v>
      </c>
      <c r="Q2691" s="31" t="str">
        <f>IFERROR(__xludf.DUMMYFUNCTION("GOOGLETRANSLATE(R2691,""ES"",""EN"")"),"recycling")</f>
        <v>recycling</v>
      </c>
      <c r="R2691" s="28" t="s">
        <v>18931</v>
      </c>
      <c r="S2691" s="53" t="s">
        <v>18932</v>
      </c>
      <c r="T2691" s="32" t="s">
        <v>18933</v>
      </c>
    </row>
    <row r="2692">
      <c r="A2692" s="33" t="s">
        <v>18934</v>
      </c>
      <c r="B2692" s="76" t="s">
        <v>16248</v>
      </c>
      <c r="C2692" s="41">
        <v>45496.0</v>
      </c>
      <c r="D2692" s="40" t="s">
        <v>18935</v>
      </c>
      <c r="E2692" s="41" t="s">
        <v>18936</v>
      </c>
      <c r="F2692" s="43" t="s">
        <v>18937</v>
      </c>
      <c r="G2692" s="43" t="s">
        <v>18938</v>
      </c>
      <c r="H2692" s="51" t="s">
        <v>148</v>
      </c>
      <c r="I2692" s="15" t="str">
        <f>IFERROR(__xludf.DUMMYFUNCTION("GOOGLETRANSLATE(H2692,""EN"",""ES"")"),"Gastronomía")</f>
        <v>Gastronomía</v>
      </c>
      <c r="J2692" s="16" t="s">
        <v>27</v>
      </c>
      <c r="K2692" s="17">
        <v>0.0</v>
      </c>
      <c r="L2692" s="45"/>
      <c r="M2692" s="18"/>
      <c r="N2692" s="86"/>
      <c r="O2692" s="86"/>
      <c r="P2692" s="20">
        <v>0.0</v>
      </c>
      <c r="Q2692" s="18"/>
      <c r="R2692" s="18"/>
      <c r="S2692" s="52"/>
      <c r="T2692" s="22"/>
    </row>
    <row r="2693">
      <c r="A2693" s="23" t="s">
        <v>18939</v>
      </c>
      <c r="B2693" s="77" t="s">
        <v>1072</v>
      </c>
      <c r="C2693" s="41">
        <v>45497.0</v>
      </c>
      <c r="D2693" s="40" t="s">
        <v>18940</v>
      </c>
      <c r="E2693" s="41" t="s">
        <v>18941</v>
      </c>
      <c r="F2693" s="43" t="s">
        <v>18942</v>
      </c>
      <c r="G2693" s="43" t="s">
        <v>18943</v>
      </c>
      <c r="H2693" s="51" t="s">
        <v>48</v>
      </c>
      <c r="I2693" s="25" t="str">
        <f>IFERROR(__xludf.DUMMYFUNCTION("GOOGLETRANSLATE(H2693,""EN"",""ES"")"),"Finanzas")</f>
        <v>Finanzas</v>
      </c>
      <c r="J2693" s="26" t="s">
        <v>35</v>
      </c>
      <c r="K2693" s="48">
        <v>0.7</v>
      </c>
      <c r="L2693" s="49" t="s">
        <v>15881</v>
      </c>
      <c r="M2693" s="28" t="s">
        <v>15882</v>
      </c>
      <c r="N2693" s="83" t="s">
        <v>18944</v>
      </c>
      <c r="O2693" s="83" t="str">
        <f>IFERROR(__xludf.DUMMYFUNCTION("GOOGLETRANSLATE(N2693,""EN"",""ES"")"),"Positivo ya que destaca el sólido desempeño financiero y la rentabilidad para los accionistas.")</f>
        <v>Positivo ya que destaca el sólido desempeño financiero y la rentabilidad para los accionistas.</v>
      </c>
      <c r="P2693" s="30">
        <v>0.7</v>
      </c>
      <c r="Q2693" s="31" t="str">
        <f>IFERROR(__xludf.DUMMYFUNCTION("GOOGLETRANSLATE(R2693,""ES"",""EN"")"),"win, buyback")</f>
        <v>win, buyback</v>
      </c>
      <c r="R2693" s="28" t="s">
        <v>18945</v>
      </c>
      <c r="S2693" s="53" t="s">
        <v>18946</v>
      </c>
      <c r="T2693" s="32" t="s">
        <v>18947</v>
      </c>
    </row>
    <row r="2694">
      <c r="A2694" s="33" t="s">
        <v>18948</v>
      </c>
      <c r="B2694" s="76" t="s">
        <v>3151</v>
      </c>
      <c r="C2694" s="41">
        <v>45497.0</v>
      </c>
      <c r="D2694" s="40" t="s">
        <v>18949</v>
      </c>
      <c r="E2694" s="41" t="s">
        <v>18950</v>
      </c>
      <c r="F2694" s="43" t="s">
        <v>18951</v>
      </c>
      <c r="G2694" s="43" t="s">
        <v>18952</v>
      </c>
      <c r="H2694" s="51" t="s">
        <v>48</v>
      </c>
      <c r="I2694" s="15" t="str">
        <f>IFERROR(__xludf.DUMMYFUNCTION("GOOGLETRANSLATE(H2694,""EN"",""ES"")"),"Finanzas")</f>
        <v>Finanzas</v>
      </c>
      <c r="J2694" s="16" t="s">
        <v>35</v>
      </c>
      <c r="K2694" s="48">
        <v>0.7</v>
      </c>
      <c r="L2694" s="51" t="s">
        <v>18953</v>
      </c>
      <c r="M2694" s="34" t="s">
        <v>18954</v>
      </c>
      <c r="N2694" s="86" t="s">
        <v>18955</v>
      </c>
      <c r="O2694" s="86" t="str">
        <f>IFERROR(__xludf.DUMMYFUNCTION("GOOGLETRANSLATE(N2694,""EN"",""ES"")"),"Positivo porque pone de relieve el crecimiento de los beneficios y la evolución estratégica de Repsol.")</f>
        <v>Positivo porque pone de relieve el crecimiento de los beneficios y la evolución estratégica de Repsol.</v>
      </c>
      <c r="P2694" s="30">
        <v>0.6</v>
      </c>
      <c r="Q2694" s="18" t="str">
        <f>IFERROR(__xludf.DUMMYFUNCTION("GOOGLETRANSLATE(R2694,""ES"",""EN"")"),"win")</f>
        <v>win</v>
      </c>
      <c r="R2694" s="34" t="s">
        <v>11737</v>
      </c>
      <c r="S2694" s="52" t="s">
        <v>18956</v>
      </c>
      <c r="T2694" s="22" t="s">
        <v>18957</v>
      </c>
    </row>
    <row r="2695">
      <c r="A2695" s="23" t="s">
        <v>18958</v>
      </c>
      <c r="B2695" s="77" t="s">
        <v>558</v>
      </c>
      <c r="C2695" s="41">
        <v>45497.0</v>
      </c>
      <c r="D2695" s="40" t="s">
        <v>18959</v>
      </c>
      <c r="E2695" s="41" t="s">
        <v>18960</v>
      </c>
      <c r="F2695" s="43" t="s">
        <v>18961</v>
      </c>
      <c r="G2695" s="43" t="s">
        <v>18962</v>
      </c>
      <c r="H2695" s="51" t="s">
        <v>48</v>
      </c>
      <c r="I2695" s="25" t="str">
        <f>IFERROR(__xludf.DUMMYFUNCTION("GOOGLETRANSLATE(H2695,""EN"",""ES"")"),"Finanzas")</f>
        <v>Finanzas</v>
      </c>
      <c r="J2695" s="26" t="s">
        <v>35</v>
      </c>
      <c r="K2695" s="48">
        <v>0.7</v>
      </c>
      <c r="L2695" s="49" t="s">
        <v>18953</v>
      </c>
      <c r="M2695" s="28" t="s">
        <v>18954</v>
      </c>
      <c r="N2695" s="83" t="s">
        <v>18963</v>
      </c>
      <c r="O2695" s="83" t="str">
        <f>IFERROR(__xludf.DUMMYFUNCTION("GOOGLETRANSLATE(N2695,""EN"",""ES"")"),"Positivo ya que destaca un sólido desempeño financiero y mayores dividendos.")</f>
        <v>Positivo ya que destaca un sólido desempeño financiero y mayores dividendos.</v>
      </c>
      <c r="P2695" s="30">
        <v>0.8</v>
      </c>
      <c r="Q2695" s="31" t="str">
        <f>IFERROR(__xludf.DUMMYFUNCTION("GOOGLETRANSLATE(R2695,""ES"",""EN"")"),"profit, dividend")</f>
        <v>profit, dividend</v>
      </c>
      <c r="R2695" s="28" t="s">
        <v>18964</v>
      </c>
      <c r="S2695" s="53" t="s">
        <v>18965</v>
      </c>
      <c r="T2695" s="32" t="s">
        <v>18966</v>
      </c>
    </row>
    <row r="2696">
      <c r="A2696" s="33" t="s">
        <v>18967</v>
      </c>
      <c r="B2696" s="76" t="s">
        <v>8894</v>
      </c>
      <c r="C2696" s="41">
        <v>45497.0</v>
      </c>
      <c r="D2696" s="40" t="s">
        <v>18968</v>
      </c>
      <c r="E2696" s="41" t="s">
        <v>18969</v>
      </c>
      <c r="F2696" s="43" t="s">
        <v>18970</v>
      </c>
      <c r="G2696" s="43" t="s">
        <v>18971</v>
      </c>
      <c r="H2696" s="51" t="s">
        <v>48</v>
      </c>
      <c r="I2696" s="15" t="str">
        <f>IFERROR(__xludf.DUMMYFUNCTION("GOOGLETRANSLATE(H2696,""EN"",""ES"")"),"Finanzas")</f>
        <v>Finanzas</v>
      </c>
      <c r="J2696" s="16" t="s">
        <v>35</v>
      </c>
      <c r="K2696" s="48">
        <v>0.7</v>
      </c>
      <c r="L2696" s="51" t="s">
        <v>15881</v>
      </c>
      <c r="M2696" s="34" t="s">
        <v>15882</v>
      </c>
      <c r="N2696" s="86" t="s">
        <v>18972</v>
      </c>
      <c r="O2696" s="86" t="str">
        <f>IFERROR(__xludf.DUMMYFUNCTION("GOOGLETRANSLATE(N2696,""EN"",""ES"")"),"Positivo ya que indica un aumento en las ganancias por acción, lo que refleja el crecimiento financiero.")</f>
        <v>Positivo ya que indica un aumento en las ganancias por acción, lo que refleja el crecimiento financiero.</v>
      </c>
      <c r="P2696" s="30">
        <v>0.6</v>
      </c>
      <c r="Q2696" s="18" t="str">
        <f>IFERROR(__xludf.DUMMYFUNCTION("GOOGLETRANSLATE(R2696,""ES"",""EN"")"),"BPA")</f>
        <v>BPA</v>
      </c>
      <c r="R2696" s="34" t="s">
        <v>18973</v>
      </c>
      <c r="S2696" s="52" t="s">
        <v>18974</v>
      </c>
      <c r="T2696" s="22" t="s">
        <v>18975</v>
      </c>
    </row>
    <row r="2697">
      <c r="A2697" s="23" t="s">
        <v>18976</v>
      </c>
      <c r="B2697" s="77" t="s">
        <v>103</v>
      </c>
      <c r="C2697" s="41">
        <v>45497.0</v>
      </c>
      <c r="D2697" s="40" t="s">
        <v>18977</v>
      </c>
      <c r="E2697" s="41" t="s">
        <v>18978</v>
      </c>
      <c r="F2697" s="43" t="s">
        <v>18979</v>
      </c>
      <c r="G2697" s="43" t="s">
        <v>18980</v>
      </c>
      <c r="H2697" s="51" t="s">
        <v>48</v>
      </c>
      <c r="I2697" s="25" t="str">
        <f>IFERROR(__xludf.DUMMYFUNCTION("GOOGLETRANSLATE(H2697,""EN"",""ES"")"),"Finanzas")</f>
        <v>Finanzas</v>
      </c>
      <c r="J2697" s="26" t="s">
        <v>35</v>
      </c>
      <c r="K2697" s="48">
        <v>0.7</v>
      </c>
      <c r="L2697" s="49" t="s">
        <v>18953</v>
      </c>
      <c r="M2697" s="28" t="s">
        <v>18954</v>
      </c>
      <c r="N2697" s="83" t="s">
        <v>18981</v>
      </c>
      <c r="O2697" s="83" t="str">
        <f>IFERROR(__xludf.DUMMYFUNCTION("GOOGLETRANSLATE(N2697,""EN"",""ES"")"),"Positivo porque pone de relieve la resiliencia y el éxito financiero de Repsol.")</f>
        <v>Positivo porque pone de relieve la resiliencia y el éxito financiero de Repsol.</v>
      </c>
      <c r="P2697" s="30">
        <v>0.6</v>
      </c>
      <c r="Q2697" s="31" t="str">
        <f>IFERROR(__xludf.DUMMYFUNCTION("GOOGLETRANSLATE(R2697,""ES"",""EN"")"),"win")</f>
        <v>win</v>
      </c>
      <c r="R2697" s="28" t="s">
        <v>11737</v>
      </c>
      <c r="S2697" s="53" t="s">
        <v>18982</v>
      </c>
      <c r="T2697" s="32" t="s">
        <v>18983</v>
      </c>
    </row>
    <row r="2698">
      <c r="A2698" s="33" t="s">
        <v>18984</v>
      </c>
      <c r="B2698" s="76" t="s">
        <v>272</v>
      </c>
      <c r="C2698" s="41">
        <v>45497.0</v>
      </c>
      <c r="D2698" s="40" t="s">
        <v>18985</v>
      </c>
      <c r="E2698" s="41" t="s">
        <v>18986</v>
      </c>
      <c r="F2698" s="43" t="s">
        <v>18987</v>
      </c>
      <c r="G2698" s="43" t="s">
        <v>18988</v>
      </c>
      <c r="H2698" s="51" t="s">
        <v>155</v>
      </c>
      <c r="I2698" s="15" t="str">
        <f>IFERROR(__xludf.DUMMYFUNCTION("GOOGLETRANSLATE(H2698,""EN"",""ES"")"),"Marketing")</f>
        <v>Marketing</v>
      </c>
      <c r="J2698" s="16" t="s">
        <v>27</v>
      </c>
      <c r="K2698" s="17">
        <v>0.0</v>
      </c>
      <c r="L2698" s="45"/>
      <c r="M2698" s="18"/>
      <c r="N2698" s="86"/>
      <c r="O2698" s="86"/>
      <c r="P2698" s="20">
        <v>0.0</v>
      </c>
      <c r="Q2698" s="18"/>
      <c r="R2698" s="18"/>
      <c r="S2698" s="52"/>
      <c r="T2698" s="22"/>
    </row>
    <row r="2699">
      <c r="A2699" s="23" t="s">
        <v>18989</v>
      </c>
      <c r="B2699" s="77" t="s">
        <v>3992</v>
      </c>
      <c r="C2699" s="41">
        <v>45497.0</v>
      </c>
      <c r="D2699" s="40" t="s">
        <v>18990</v>
      </c>
      <c r="E2699" s="41" t="s">
        <v>18991</v>
      </c>
      <c r="F2699" s="43" t="s">
        <v>18992</v>
      </c>
      <c r="G2699" s="43" t="s">
        <v>18993</v>
      </c>
      <c r="H2699" s="51" t="s">
        <v>48</v>
      </c>
      <c r="I2699" s="25" t="str">
        <f>IFERROR(__xludf.DUMMYFUNCTION("GOOGLETRANSLATE(H2699,""EN"",""ES"")"),"Finanzas")</f>
        <v>Finanzas</v>
      </c>
      <c r="J2699" s="26" t="s">
        <v>35</v>
      </c>
      <c r="K2699" s="48">
        <v>0.7</v>
      </c>
      <c r="L2699" s="49" t="s">
        <v>18953</v>
      </c>
      <c r="M2699" s="28" t="s">
        <v>18954</v>
      </c>
      <c r="N2699" s="83" t="s">
        <v>18994</v>
      </c>
      <c r="O2699" s="83" t="str">
        <f>IFERROR(__xludf.DUMMYFUNCTION("GOOGLETRANSLATE(N2699,""EN"",""ES"")"),"Positivo ya que destaca la resiliencia financiera y mayores recompensas para los accionistas.")</f>
        <v>Positivo ya que destaca la resiliencia financiera y mayores recompensas para los accionistas.</v>
      </c>
      <c r="P2699" s="30">
        <v>0.8</v>
      </c>
      <c r="Q2699" s="31" t="str">
        <f>IFERROR(__xludf.DUMMYFUNCTION("GOOGLETRANSLATE(R2699,""ES"",""EN"")"),"benefit, prize")</f>
        <v>benefit, prize</v>
      </c>
      <c r="R2699" s="28" t="s">
        <v>18995</v>
      </c>
      <c r="S2699" s="53" t="s">
        <v>18965</v>
      </c>
      <c r="T2699" s="32" t="s">
        <v>18966</v>
      </c>
    </row>
    <row r="2700">
      <c r="A2700" s="33" t="s">
        <v>18996</v>
      </c>
      <c r="B2700" s="76" t="s">
        <v>614</v>
      </c>
      <c r="C2700" s="41">
        <v>45497.0</v>
      </c>
      <c r="D2700" s="40" t="s">
        <v>18997</v>
      </c>
      <c r="E2700" s="41" t="s">
        <v>18998</v>
      </c>
      <c r="F2700" s="43" t="s">
        <v>18999</v>
      </c>
      <c r="G2700" s="43" t="s">
        <v>19000</v>
      </c>
      <c r="H2700" s="51" t="s">
        <v>48</v>
      </c>
      <c r="I2700" s="15" t="str">
        <f>IFERROR(__xludf.DUMMYFUNCTION("GOOGLETRANSLATE(H2700,""EN"",""ES"")"),"Finanzas")</f>
        <v>Finanzas</v>
      </c>
      <c r="J2700" s="16" t="s">
        <v>35</v>
      </c>
      <c r="K2700" s="48">
        <v>0.7</v>
      </c>
      <c r="L2700" s="51" t="s">
        <v>18953</v>
      </c>
      <c r="M2700" s="34" t="s">
        <v>18954</v>
      </c>
      <c r="N2700" s="86" t="s">
        <v>19001</v>
      </c>
      <c r="O2700" s="86" t="str">
        <f>IFERROR(__xludf.DUMMYFUNCTION("GOOGLETRANSLATE(N2700,""EN"",""ES"")"),"Positivo ya que destaca el crecimiento financiero y la estabilidad.")</f>
        <v>Positivo ya que destaca el crecimiento financiero y la estabilidad.</v>
      </c>
      <c r="P2700" s="30">
        <v>0.8</v>
      </c>
      <c r="Q2700" s="18" t="str">
        <f>IFERROR(__xludf.DUMMYFUNCTION("GOOGLETRANSLATE(R2700,""ES"",""EN"")"),"skyrockets profits, earns 1,626 million")</f>
        <v>skyrockets profits, earns 1,626 million</v>
      </c>
      <c r="R2700" s="34" t="s">
        <v>19002</v>
      </c>
      <c r="S2700" s="52" t="s">
        <v>19003</v>
      </c>
      <c r="T2700" s="22" t="s">
        <v>19004</v>
      </c>
    </row>
    <row r="2701">
      <c r="A2701" s="23" t="s">
        <v>19005</v>
      </c>
      <c r="B2701" s="77" t="s">
        <v>499</v>
      </c>
      <c r="C2701" s="41">
        <v>45497.0</v>
      </c>
      <c r="D2701" s="40" t="s">
        <v>19006</v>
      </c>
      <c r="E2701" s="41" t="s">
        <v>19007</v>
      </c>
      <c r="F2701" s="43" t="s">
        <v>19008</v>
      </c>
      <c r="G2701" s="43" t="s">
        <v>19009</v>
      </c>
      <c r="H2701" s="51" t="s">
        <v>661</v>
      </c>
      <c r="I2701" s="25" t="str">
        <f>IFERROR(__xludf.DUMMYFUNCTION("GOOGLETRANSLATE(H2701,""EN"",""ES"")"),"Estrategia empresarial")</f>
        <v>Estrategia empresarial</v>
      </c>
      <c r="J2701" s="26" t="s">
        <v>35</v>
      </c>
      <c r="K2701" s="48">
        <v>0.7</v>
      </c>
      <c r="L2701" s="49" t="s">
        <v>19010</v>
      </c>
      <c r="M2701" s="28" t="s">
        <v>19011</v>
      </c>
      <c r="N2701" s="83" t="s">
        <v>19012</v>
      </c>
      <c r="O2701" s="83" t="str">
        <f>IFERROR(__xludf.DUMMYFUNCTION("GOOGLETRANSLATE(N2701,""EN"",""ES"")"),"Positivo ya que indica la expansión de Repsol en inversiones en energías renovables.")</f>
        <v>Positivo ya que indica la expansión de Repsol en inversiones en energías renovables.</v>
      </c>
      <c r="P2701" s="30">
        <v>0.6</v>
      </c>
      <c r="Q2701" s="31" t="str">
        <f>IFERROR(__xludf.DUMMYFUNCTION("GOOGLETRANSLATE(R2701,""ES"",""EN"")"),"acquire, Hecate Energy")</f>
        <v>acquire, Hecate Energy</v>
      </c>
      <c r="R2701" s="28" t="s">
        <v>19013</v>
      </c>
      <c r="S2701" s="53" t="s">
        <v>19014</v>
      </c>
      <c r="T2701" s="32" t="s">
        <v>19015</v>
      </c>
    </row>
    <row r="2702">
      <c r="A2702" s="33" t="s">
        <v>19016</v>
      </c>
      <c r="B2702" s="76" t="s">
        <v>19017</v>
      </c>
      <c r="C2702" s="41">
        <v>45497.0</v>
      </c>
      <c r="D2702" s="40" t="s">
        <v>19018</v>
      </c>
      <c r="E2702" s="41" t="s">
        <v>19019</v>
      </c>
      <c r="F2702" s="43" t="s">
        <v>19020</v>
      </c>
      <c r="G2702" s="43" t="s">
        <v>19021</v>
      </c>
      <c r="H2702" s="51" t="s">
        <v>48</v>
      </c>
      <c r="I2702" s="15" t="str">
        <f>IFERROR(__xludf.DUMMYFUNCTION("GOOGLETRANSLATE(H2702,""EN"",""ES"")"),"Finanzas")</f>
        <v>Finanzas</v>
      </c>
      <c r="J2702" s="16" t="s">
        <v>35</v>
      </c>
      <c r="K2702" s="48">
        <v>0.7</v>
      </c>
      <c r="L2702" s="51" t="s">
        <v>18953</v>
      </c>
      <c r="M2702" s="34" t="s">
        <v>18954</v>
      </c>
      <c r="N2702" s="86" t="s">
        <v>19022</v>
      </c>
      <c r="O2702" s="86" t="str">
        <f>IFERROR(__xludf.DUMMYFUNCTION("GOOGLETRANSLATE(N2702,""EN"",""ES"")"),"Positivo ya que destaca importantes aumentos de beneficios en el sector energético.")</f>
        <v>Positivo ya que destaca importantes aumentos de beneficios en el sector energético.</v>
      </c>
      <c r="P2702" s="30">
        <v>0.7</v>
      </c>
      <c r="Q2702" s="18" t="str">
        <f>IFERROR(__xludf.DUMMYFUNCTION("GOOGLETRANSLATE(R2702,""ES"",""EN"")"),"record profits")</f>
        <v>record profits</v>
      </c>
      <c r="R2702" s="34" t="s">
        <v>19023</v>
      </c>
      <c r="S2702" s="52" t="s">
        <v>19024</v>
      </c>
      <c r="T2702" s="22" t="s">
        <v>19025</v>
      </c>
    </row>
    <row r="2703">
      <c r="A2703" s="23" t="s">
        <v>19026</v>
      </c>
      <c r="B2703" s="77" t="s">
        <v>43</v>
      </c>
      <c r="C2703" s="41">
        <v>45497.0</v>
      </c>
      <c r="D2703" s="40" t="s">
        <v>19027</v>
      </c>
      <c r="E2703" s="41" t="s">
        <v>19028</v>
      </c>
      <c r="F2703" s="43" t="s">
        <v>19029</v>
      </c>
      <c r="G2703" s="43" t="s">
        <v>19030</v>
      </c>
      <c r="H2703" s="51" t="s">
        <v>48</v>
      </c>
      <c r="I2703" s="25" t="str">
        <f>IFERROR(__xludf.DUMMYFUNCTION("GOOGLETRANSLATE(H2703,""EN"",""ES"")"),"Finanzas")</f>
        <v>Finanzas</v>
      </c>
      <c r="J2703" s="26" t="s">
        <v>35</v>
      </c>
      <c r="K2703" s="48">
        <v>0.7</v>
      </c>
      <c r="L2703" s="49" t="s">
        <v>15881</v>
      </c>
      <c r="M2703" s="28" t="s">
        <v>15882</v>
      </c>
      <c r="N2703" s="83" t="s">
        <v>19031</v>
      </c>
      <c r="O2703" s="83" t="str">
        <f>IFERROR(__xludf.DUMMYFUNCTION("GOOGLETRANSLATE(N2703,""EN"",""ES"")"),"Positivo ya que refleja solidez financiera y beneficios para los accionistas.")</f>
        <v>Positivo ya que refleja solidez financiera y beneficios para los accionistas.</v>
      </c>
      <c r="P2703" s="30">
        <v>0.8</v>
      </c>
      <c r="Q2703" s="31" t="str">
        <f>IFERROR(__xludf.DUMMYFUNCTION("GOOGLETRANSLATE(R2703,""ES"",""EN"")"),"raises dividend, boosts profit")</f>
        <v>raises dividend, boosts profit</v>
      </c>
      <c r="R2703" s="28" t="s">
        <v>19032</v>
      </c>
      <c r="S2703" s="53" t="s">
        <v>19033</v>
      </c>
      <c r="T2703" s="32" t="s">
        <v>19034</v>
      </c>
    </row>
    <row r="2704">
      <c r="A2704" s="33" t="s">
        <v>19035</v>
      </c>
      <c r="B2704" s="76" t="s">
        <v>1602</v>
      </c>
      <c r="C2704" s="41">
        <v>45497.0</v>
      </c>
      <c r="D2704" s="40" t="s">
        <v>19036</v>
      </c>
      <c r="E2704" s="41" t="s">
        <v>19037</v>
      </c>
      <c r="F2704" s="43" t="s">
        <v>19038</v>
      </c>
      <c r="G2704" s="43" t="s">
        <v>19039</v>
      </c>
      <c r="H2704" s="51" t="s">
        <v>48</v>
      </c>
      <c r="I2704" s="15" t="str">
        <f>IFERROR(__xludf.DUMMYFUNCTION("GOOGLETRANSLATE(H2704,""EN"",""ES"")"),"Finanzas")</f>
        <v>Finanzas</v>
      </c>
      <c r="J2704" s="16" t="s">
        <v>35</v>
      </c>
      <c r="K2704" s="48">
        <v>0.7</v>
      </c>
      <c r="L2704" s="51" t="s">
        <v>18953</v>
      </c>
      <c r="M2704" s="34" t="s">
        <v>18954</v>
      </c>
      <c r="N2704" s="86" t="s">
        <v>19040</v>
      </c>
      <c r="O2704" s="86" t="str">
        <f>IFERROR(__xludf.DUMMYFUNCTION("GOOGLETRANSLATE(N2704,""EN"",""ES"")"),"Positivo porque destaca fuertes ganancias y beneficios adicionales para los accionistas.")</f>
        <v>Positivo porque destaca fuertes ganancias y beneficios adicionales para los accionistas.</v>
      </c>
      <c r="P2704" s="30">
        <v>0.8</v>
      </c>
      <c r="Q2704" s="18" t="str">
        <f>IFERROR(__xludf.DUMMYFUNCTION("GOOGLETRANSLATE(R2704,""ES"",""EN"")"),"profit 1,626 million, share repurchase")</f>
        <v>profit 1,626 million, share repurchase</v>
      </c>
      <c r="R2704" s="34" t="s">
        <v>19041</v>
      </c>
      <c r="S2704" s="52" t="s">
        <v>19003</v>
      </c>
      <c r="T2704" s="22" t="s">
        <v>19004</v>
      </c>
    </row>
    <row r="2705">
      <c r="A2705" s="23" t="s">
        <v>19042</v>
      </c>
      <c r="B2705" s="77" t="s">
        <v>19043</v>
      </c>
      <c r="C2705" s="41">
        <v>45497.0</v>
      </c>
      <c r="D2705" s="40" t="s">
        <v>19044</v>
      </c>
      <c r="E2705" s="41" t="s">
        <v>19045</v>
      </c>
      <c r="F2705" s="43" t="s">
        <v>19046</v>
      </c>
      <c r="G2705" s="43" t="s">
        <v>19047</v>
      </c>
      <c r="H2705" s="51" t="s">
        <v>48</v>
      </c>
      <c r="I2705" s="25" t="str">
        <f>IFERROR(__xludf.DUMMYFUNCTION("GOOGLETRANSLATE(H2705,""EN"",""ES"")"),"Finanzas")</f>
        <v>Finanzas</v>
      </c>
      <c r="J2705" s="26" t="s">
        <v>35</v>
      </c>
      <c r="K2705" s="48">
        <v>0.7</v>
      </c>
      <c r="L2705" s="49" t="s">
        <v>18953</v>
      </c>
      <c r="M2705" s="28" t="s">
        <v>18954</v>
      </c>
      <c r="N2705" s="83" t="s">
        <v>19048</v>
      </c>
      <c r="O2705" s="83" t="str">
        <f>IFERROR(__xludf.DUMMYFUNCTION("GOOGLETRANSLATE(N2705,""EN"",""ES"")"),"Positivo ya que enfatiza el crecimiento financiero a pesar de los desafíos económicos.")</f>
        <v>Positivo ya que enfatiza el crecimiento financiero a pesar de los desafíos económicos.</v>
      </c>
      <c r="P2705" s="30">
        <v>0.7</v>
      </c>
      <c r="Q2705" s="31" t="str">
        <f>IFERROR(__xludf.DUMMYFUNCTION("GOOGLETRANSLATE(R2705,""ES"",""EN"")"),"profit 1,626 million")</f>
        <v>profit 1,626 million</v>
      </c>
      <c r="R2705" s="28" t="s">
        <v>19049</v>
      </c>
      <c r="S2705" s="53" t="s">
        <v>19050</v>
      </c>
      <c r="T2705" s="32" t="s">
        <v>19051</v>
      </c>
    </row>
    <row r="2706">
      <c r="A2706" s="33" t="s">
        <v>19052</v>
      </c>
      <c r="B2706" s="76" t="s">
        <v>217</v>
      </c>
      <c r="C2706" s="41">
        <v>45497.0</v>
      </c>
      <c r="D2706" s="40" t="s">
        <v>19053</v>
      </c>
      <c r="E2706" s="41" t="s">
        <v>19054</v>
      </c>
      <c r="F2706" s="43" t="s">
        <v>19055</v>
      </c>
      <c r="G2706" s="43" t="s">
        <v>19056</v>
      </c>
      <c r="H2706" s="51" t="s">
        <v>661</v>
      </c>
      <c r="I2706" s="15" t="str">
        <f>IFERROR(__xludf.DUMMYFUNCTION("GOOGLETRANSLATE(H2706,""EN"",""ES"")"),"Estrategia empresarial")</f>
        <v>Estrategia empresarial</v>
      </c>
      <c r="J2706" s="16" t="s">
        <v>35</v>
      </c>
      <c r="K2706" s="48">
        <v>0.7</v>
      </c>
      <c r="L2706" s="51" t="s">
        <v>19010</v>
      </c>
      <c r="M2706" s="34" t="s">
        <v>19011</v>
      </c>
      <c r="N2706" s="86" t="s">
        <v>19057</v>
      </c>
      <c r="O2706" s="86" t="str">
        <f>IFERROR(__xludf.DUMMYFUNCTION("GOOGLETRANSLATE(N2706,""EN"",""ES"")"),"Positivo porque subraya la apuesta de Repsol por la expansión de las energías renovables.")</f>
        <v>Positivo porque subraya la apuesta de Repsol por la expansión de las energías renovables.</v>
      </c>
      <c r="P2706" s="30">
        <v>0.7</v>
      </c>
      <c r="Q2706" s="18" t="str">
        <f>IFERROR(__xludf.DUMMYFUNCTION("GOOGLETRANSLATE(R2706,""ES"",""EN"")"),"purchase, renewable")</f>
        <v>purchase, renewable</v>
      </c>
      <c r="R2706" s="34" t="s">
        <v>19058</v>
      </c>
      <c r="S2706" s="52" t="s">
        <v>19059</v>
      </c>
      <c r="T2706" s="22" t="s">
        <v>19015</v>
      </c>
    </row>
    <row r="2707">
      <c r="A2707" s="23" t="s">
        <v>19060</v>
      </c>
      <c r="B2707" s="77" t="s">
        <v>19061</v>
      </c>
      <c r="C2707" s="41">
        <v>45497.0</v>
      </c>
      <c r="D2707" s="40" t="s">
        <v>19062</v>
      </c>
      <c r="E2707" s="41" t="s">
        <v>19063</v>
      </c>
      <c r="F2707" s="43" t="s">
        <v>19064</v>
      </c>
      <c r="G2707" s="43" t="s">
        <v>19065</v>
      </c>
      <c r="H2707" s="51" t="s">
        <v>130</v>
      </c>
      <c r="I2707" s="25" t="str">
        <f>IFERROR(__xludf.DUMMYFUNCTION("GOOGLETRANSLATE(H2707,""EN"",""ES"")"),"Sostenibilidad")</f>
        <v>Sostenibilidad</v>
      </c>
      <c r="J2707" s="26" t="s">
        <v>35</v>
      </c>
      <c r="K2707" s="48">
        <v>0.7</v>
      </c>
      <c r="L2707" s="49" t="s">
        <v>18854</v>
      </c>
      <c r="M2707" s="28" t="s">
        <v>18855</v>
      </c>
      <c r="N2707" s="83" t="s">
        <v>19066</v>
      </c>
      <c r="O2707" s="83" t="str">
        <f>IFERROR(__xludf.DUMMYFUNCTION("GOOGLETRANSLATE(N2707,""EN"",""ES"")"),"Positivo porque pone de relieve la implicación de Repsol en alianzas en materia de sostenibilidad.")</f>
        <v>Positivo porque pone de relieve la implicación de Repsol en alianzas en materia de sostenibilidad.</v>
      </c>
      <c r="P2707" s="30">
        <v>0.5</v>
      </c>
      <c r="Q2707" s="31" t="str">
        <f>IFERROR(__xludf.DUMMYFUNCTION("GOOGLETRANSLATE(R2707,""ES"",""EN"")"),"sustainable image")</f>
        <v>sustainable image</v>
      </c>
      <c r="R2707" s="28" t="s">
        <v>19067</v>
      </c>
      <c r="S2707" s="53" t="s">
        <v>13443</v>
      </c>
      <c r="T2707" s="32" t="s">
        <v>13444</v>
      </c>
    </row>
    <row r="2708">
      <c r="A2708" s="33" t="s">
        <v>19068</v>
      </c>
      <c r="B2708" s="76" t="s">
        <v>21</v>
      </c>
      <c r="C2708" s="41">
        <v>45497.0</v>
      </c>
      <c r="D2708" s="40" t="s">
        <v>19069</v>
      </c>
      <c r="E2708" s="41" t="s">
        <v>19070</v>
      </c>
      <c r="F2708" s="43" t="s">
        <v>19071</v>
      </c>
      <c r="G2708" s="43" t="s">
        <v>19072</v>
      </c>
      <c r="H2708" s="51" t="s">
        <v>148</v>
      </c>
      <c r="I2708" s="15" t="str">
        <f>IFERROR(__xludf.DUMMYFUNCTION("GOOGLETRANSLATE(H2708,""EN"",""ES"")"),"Gastronomía")</f>
        <v>Gastronomía</v>
      </c>
      <c r="J2708" s="16" t="s">
        <v>27</v>
      </c>
      <c r="K2708" s="17">
        <v>0.0</v>
      </c>
      <c r="L2708" s="45"/>
      <c r="M2708" s="18"/>
      <c r="N2708" s="86"/>
      <c r="O2708" s="86"/>
      <c r="P2708" s="20">
        <v>0.0</v>
      </c>
      <c r="Q2708" s="18"/>
      <c r="R2708" s="18"/>
      <c r="S2708" s="52"/>
      <c r="T2708" s="22"/>
    </row>
    <row r="2709">
      <c r="A2709" s="23" t="s">
        <v>19073</v>
      </c>
      <c r="B2709" s="77" t="s">
        <v>3490</v>
      </c>
      <c r="C2709" s="41">
        <v>45497.0</v>
      </c>
      <c r="D2709" s="40" t="s">
        <v>19074</v>
      </c>
      <c r="E2709" s="41" t="s">
        <v>19075</v>
      </c>
      <c r="F2709" s="43" t="s">
        <v>19076</v>
      </c>
      <c r="G2709" s="43" t="s">
        <v>19077</v>
      </c>
      <c r="H2709" s="51" t="s">
        <v>48</v>
      </c>
      <c r="I2709" s="25" t="str">
        <f>IFERROR(__xludf.DUMMYFUNCTION("GOOGLETRANSLATE(H2709,""EN"",""ES"")"),"Finanzas")</f>
        <v>Finanzas</v>
      </c>
      <c r="J2709" s="26" t="s">
        <v>35</v>
      </c>
      <c r="K2709" s="48">
        <v>0.7</v>
      </c>
      <c r="L2709" s="49" t="s">
        <v>18953</v>
      </c>
      <c r="M2709" s="28" t="s">
        <v>18954</v>
      </c>
      <c r="N2709" s="83" t="s">
        <v>19078</v>
      </c>
      <c r="O2709" s="83" t="str">
        <f>IFERROR(__xludf.DUMMYFUNCTION("GOOGLETRANSLATE(N2709,""EN"",""ES"")"),"Positivo ya que destaca el crecimiento de las ganancias a pesar de una disminución en los resultados netos ajustados.")</f>
        <v>Positivo ya que destaca el crecimiento de las ganancias a pesar de una disminución en los resultados netos ajustados.</v>
      </c>
      <c r="P2709" s="30">
        <v>0.7</v>
      </c>
      <c r="Q2709" s="31" t="str">
        <f>IFERROR(__xludf.DUMMYFUNCTION("GOOGLETRANSLATE(R2709,""ES"",""EN"")"),"profits 1,626 million")</f>
        <v>profits 1,626 million</v>
      </c>
      <c r="R2709" s="28" t="s">
        <v>19079</v>
      </c>
      <c r="S2709" s="53" t="s">
        <v>19050</v>
      </c>
      <c r="T2709" s="32" t="s">
        <v>19051</v>
      </c>
    </row>
    <row r="2710">
      <c r="A2710" s="33" t="s">
        <v>19080</v>
      </c>
      <c r="B2710" s="76" t="s">
        <v>103</v>
      </c>
      <c r="C2710" s="41">
        <v>45497.0</v>
      </c>
      <c r="D2710" s="40" t="s">
        <v>19081</v>
      </c>
      <c r="E2710" s="41" t="s">
        <v>19082</v>
      </c>
      <c r="F2710" s="43" t="s">
        <v>19083</v>
      </c>
      <c r="G2710" s="43" t="s">
        <v>19084</v>
      </c>
      <c r="H2710" s="51" t="s">
        <v>408</v>
      </c>
      <c r="I2710" s="15" t="str">
        <f>IFERROR(__xludf.DUMMYFUNCTION("GOOGLETRANSLATE(H2710,""EN"",""ES"")"),"Legal")</f>
        <v>Legal</v>
      </c>
      <c r="J2710" s="16" t="s">
        <v>27</v>
      </c>
      <c r="K2710" s="17">
        <v>0.0</v>
      </c>
      <c r="L2710" s="45"/>
      <c r="M2710" s="18"/>
      <c r="N2710" s="86"/>
      <c r="O2710" s="86"/>
      <c r="P2710" s="20">
        <v>0.0</v>
      </c>
      <c r="Q2710" s="18"/>
      <c r="R2710" s="18"/>
      <c r="S2710" s="52"/>
      <c r="T2710" s="22"/>
    </row>
    <row r="2711">
      <c r="A2711" s="23" t="s">
        <v>19085</v>
      </c>
      <c r="B2711" s="77" t="s">
        <v>43</v>
      </c>
      <c r="C2711" s="41">
        <v>45497.0</v>
      </c>
      <c r="D2711" s="40" t="s">
        <v>19086</v>
      </c>
      <c r="E2711" s="41" t="s">
        <v>19087</v>
      </c>
      <c r="F2711" s="43" t="s">
        <v>19088</v>
      </c>
      <c r="G2711" s="43" t="s">
        <v>19089</v>
      </c>
      <c r="H2711" s="51" t="s">
        <v>148</v>
      </c>
      <c r="I2711" s="25" t="str">
        <f>IFERROR(__xludf.DUMMYFUNCTION("GOOGLETRANSLATE(H2711,""EN"",""ES"")"),"Gastronomía")</f>
        <v>Gastronomía</v>
      </c>
      <c r="J2711" s="26" t="s">
        <v>27</v>
      </c>
      <c r="K2711" s="17">
        <v>0.0</v>
      </c>
      <c r="L2711" s="54"/>
      <c r="M2711" s="31"/>
      <c r="N2711" s="83"/>
      <c r="O2711" s="83"/>
      <c r="P2711" s="20">
        <v>0.0</v>
      </c>
      <c r="Q2711" s="31"/>
      <c r="R2711" s="31"/>
      <c r="S2711" s="53"/>
      <c r="T2711" s="32"/>
    </row>
    <row r="2712">
      <c r="A2712" s="33" t="s">
        <v>19090</v>
      </c>
      <c r="B2712" s="76" t="s">
        <v>217</v>
      </c>
      <c r="C2712" s="41">
        <v>45497.0</v>
      </c>
      <c r="D2712" s="40" t="s">
        <v>19091</v>
      </c>
      <c r="E2712" s="41" t="s">
        <v>19092</v>
      </c>
      <c r="F2712" s="43" t="s">
        <v>19093</v>
      </c>
      <c r="G2712" s="43" t="s">
        <v>19094</v>
      </c>
      <c r="H2712" s="51" t="s">
        <v>48</v>
      </c>
      <c r="I2712" s="15" t="str">
        <f>IFERROR(__xludf.DUMMYFUNCTION("GOOGLETRANSLATE(H2712,""EN"",""ES"")"),"Finanzas")</f>
        <v>Finanzas</v>
      </c>
      <c r="J2712" s="16" t="s">
        <v>35</v>
      </c>
      <c r="K2712" s="48">
        <v>0.7</v>
      </c>
      <c r="L2712" s="51" t="s">
        <v>15881</v>
      </c>
      <c r="M2712" s="34" t="s">
        <v>15882</v>
      </c>
      <c r="N2712" s="86" t="s">
        <v>19095</v>
      </c>
      <c r="O2712" s="86" t="str">
        <f>IFERROR(__xludf.DUMMYFUNCTION("GOOGLETRANSLATE(N2712,""EN"",""ES"")"),"Positivo ya que destaca la solidez financiera y los beneficios para los accionistas.")</f>
        <v>Positivo ya que destaca la solidez financiera y los beneficios para los accionistas.</v>
      </c>
      <c r="P2712" s="30">
        <v>0.7</v>
      </c>
      <c r="Q2712" s="18" t="str">
        <f>IFERROR(__xludf.DUMMYFUNCTION("GOOGLETRANSLATE(R2712,""ES"",""EN"")"),"will buy back shares, improve results")</f>
        <v>will buy back shares, improve results</v>
      </c>
      <c r="R2712" s="34" t="s">
        <v>19096</v>
      </c>
      <c r="S2712" s="52" t="s">
        <v>19097</v>
      </c>
      <c r="T2712" s="22" t="s">
        <v>19098</v>
      </c>
    </row>
    <row r="2713">
      <c r="A2713" s="23" t="s">
        <v>19099</v>
      </c>
      <c r="B2713" s="77" t="s">
        <v>1178</v>
      </c>
      <c r="C2713" s="57">
        <v>45467.0</v>
      </c>
      <c r="D2713" s="40" t="s">
        <v>19100</v>
      </c>
      <c r="E2713" s="41" t="s">
        <v>19101</v>
      </c>
      <c r="F2713" s="43" t="s">
        <v>19102</v>
      </c>
      <c r="G2713" s="43" t="s">
        <v>19103</v>
      </c>
      <c r="H2713" s="51" t="s">
        <v>55</v>
      </c>
      <c r="I2713" s="25" t="str">
        <f>IFERROR(__xludf.DUMMYFUNCTION("GOOGLETRANSLATE(H2713,""EN"",""ES"")"),"deportes de motor")</f>
        <v>deportes de motor</v>
      </c>
      <c r="J2713" s="26" t="s">
        <v>35</v>
      </c>
      <c r="K2713" s="48">
        <v>0.6</v>
      </c>
      <c r="L2713" s="49" t="s">
        <v>15685</v>
      </c>
      <c r="M2713" s="28" t="s">
        <v>15686</v>
      </c>
      <c r="N2713" s="83" t="s">
        <v>19104</v>
      </c>
      <c r="O2713" s="83" t="str">
        <f>IFERROR(__xludf.DUMMYFUNCTION("GOOGLETRANSLATE(N2713,""EN"",""ES"")"),"Positivo porque vincula Repsol Honda con la sostenibilidad y el automovilismo.")</f>
        <v>Positivo porque vincula Repsol Honda con la sostenibilidad y el automovilismo.</v>
      </c>
      <c r="P2713" s="30">
        <v>0.1</v>
      </c>
      <c r="Q2713" s="31" t="str">
        <f>IFERROR(__xludf.DUMMYFUNCTION("GOOGLETRANSLATE(R2713,""ES"",""EN"")"),"None")</f>
        <v>None</v>
      </c>
      <c r="R2713" s="28" t="s">
        <v>14309</v>
      </c>
      <c r="S2713" s="53" t="s">
        <v>19105</v>
      </c>
      <c r="T2713" s="32" t="s">
        <v>19106</v>
      </c>
    </row>
    <row r="2714">
      <c r="A2714" s="33" t="s">
        <v>19107</v>
      </c>
      <c r="B2714" s="76" t="s">
        <v>2952</v>
      </c>
      <c r="C2714" s="41">
        <v>45497.0</v>
      </c>
      <c r="D2714" s="40" t="s">
        <v>19108</v>
      </c>
      <c r="E2714" s="41" t="s">
        <v>19109</v>
      </c>
      <c r="F2714" s="43" t="s">
        <v>19110</v>
      </c>
      <c r="G2714" s="43" t="s">
        <v>19111</v>
      </c>
      <c r="H2714" s="51" t="s">
        <v>48</v>
      </c>
      <c r="I2714" s="15" t="str">
        <f>IFERROR(__xludf.DUMMYFUNCTION("GOOGLETRANSLATE(H2714,""EN"",""ES"")"),"Finanzas")</f>
        <v>Finanzas</v>
      </c>
      <c r="J2714" s="16" t="s">
        <v>35</v>
      </c>
      <c r="K2714" s="48">
        <v>0.7</v>
      </c>
      <c r="L2714" s="51" t="s">
        <v>18953</v>
      </c>
      <c r="M2714" s="34" t="s">
        <v>18954</v>
      </c>
      <c r="N2714" s="86" t="s">
        <v>19112</v>
      </c>
      <c r="O2714" s="86" t="str">
        <f>IFERROR(__xludf.DUMMYFUNCTION("GOOGLETRANSLATE(N2714,""EN"",""ES"")"),"Positivo ya que destaca el sólido desempeño financiero en el sector energético.")</f>
        <v>Positivo ya que destaca el sólido desempeño financiero en el sector energético.</v>
      </c>
      <c r="P2714" s="30">
        <v>0.6</v>
      </c>
      <c r="Q2714" s="18" t="str">
        <f>IFERROR(__xludf.DUMMYFUNCTION("GOOGLETRANSLATE(R2714,""ES"",""EN"")"),"earn 30% more")</f>
        <v>earn 30% more</v>
      </c>
      <c r="R2714" s="34" t="s">
        <v>19113</v>
      </c>
      <c r="S2714" s="52" t="s">
        <v>19024</v>
      </c>
      <c r="T2714" s="22" t="s">
        <v>19025</v>
      </c>
    </row>
    <row r="2715">
      <c r="A2715" s="23" t="s">
        <v>19114</v>
      </c>
      <c r="B2715" s="77" t="s">
        <v>4750</v>
      </c>
      <c r="C2715" s="41">
        <v>45497.0</v>
      </c>
      <c r="D2715" s="40" t="s">
        <v>19115</v>
      </c>
      <c r="E2715" s="41" t="s">
        <v>19116</v>
      </c>
      <c r="F2715" s="43" t="s">
        <v>19117</v>
      </c>
      <c r="G2715" s="43" t="s">
        <v>19118</v>
      </c>
      <c r="H2715" s="51" t="s">
        <v>148</v>
      </c>
      <c r="I2715" s="25" t="str">
        <f>IFERROR(__xludf.DUMMYFUNCTION("GOOGLETRANSLATE(H2715,""EN"",""ES"")"),"Gastronomía")</f>
        <v>Gastronomía</v>
      </c>
      <c r="J2715" s="26" t="s">
        <v>27</v>
      </c>
      <c r="K2715" s="17">
        <v>0.0</v>
      </c>
      <c r="L2715" s="54"/>
      <c r="M2715" s="31"/>
      <c r="N2715" s="83"/>
      <c r="O2715" s="83"/>
      <c r="P2715" s="20">
        <v>0.0</v>
      </c>
      <c r="Q2715" s="31"/>
      <c r="R2715" s="31"/>
      <c r="S2715" s="53"/>
      <c r="T2715" s="32"/>
    </row>
    <row r="2716">
      <c r="A2716" s="33" t="s">
        <v>19119</v>
      </c>
      <c r="B2716" s="76" t="s">
        <v>254</v>
      </c>
      <c r="C2716" s="41">
        <v>45497.0</v>
      </c>
      <c r="D2716" s="40" t="s">
        <v>19120</v>
      </c>
      <c r="E2716" s="41" t="s">
        <v>19121</v>
      </c>
      <c r="F2716" s="43" t="s">
        <v>19122</v>
      </c>
      <c r="G2716" s="43" t="s">
        <v>19123</v>
      </c>
      <c r="H2716" s="51" t="s">
        <v>48</v>
      </c>
      <c r="I2716" s="15" t="str">
        <f>IFERROR(__xludf.DUMMYFUNCTION("GOOGLETRANSLATE(H2716,""EN"",""ES"")"),"Finanzas")</f>
        <v>Finanzas</v>
      </c>
      <c r="J2716" s="16" t="s">
        <v>35</v>
      </c>
      <c r="K2716" s="48">
        <v>0.7</v>
      </c>
      <c r="L2716" s="51" t="s">
        <v>18953</v>
      </c>
      <c r="M2716" s="34" t="s">
        <v>18954</v>
      </c>
      <c r="N2716" s="86" t="s">
        <v>19124</v>
      </c>
      <c r="O2716" s="86" t="str">
        <f>IFERROR(__xludf.DUMMYFUNCTION("GOOGLETRANSLATE(N2716,""EN"",""ES"")"),"Positivo ya que destaca el crecimiento financiero y los planes de expansión.")</f>
        <v>Positivo ya que destaca el crecimiento financiero y los planes de expansión.</v>
      </c>
      <c r="P2716" s="30">
        <v>0.7</v>
      </c>
      <c r="Q2716" s="18" t="str">
        <f>IFERROR(__xludf.DUMMYFUNCTION("GOOGLETRANSLATE(R2716,""ES"",""EN"")"),"profit rises 14.5%")</f>
        <v>profit rises 14.5%</v>
      </c>
      <c r="R2716" s="34" t="s">
        <v>19125</v>
      </c>
      <c r="S2716" s="52" t="s">
        <v>19126</v>
      </c>
      <c r="T2716" s="22" t="s">
        <v>19127</v>
      </c>
    </row>
    <row r="2717">
      <c r="A2717" s="23" t="s">
        <v>19128</v>
      </c>
      <c r="B2717" s="77" t="s">
        <v>558</v>
      </c>
      <c r="C2717" s="41">
        <v>45498.0</v>
      </c>
      <c r="D2717" s="40" t="s">
        <v>19129</v>
      </c>
      <c r="E2717" s="41" t="s">
        <v>19130</v>
      </c>
      <c r="F2717" s="43" t="s">
        <v>19131</v>
      </c>
      <c r="G2717" s="43" t="s">
        <v>19132</v>
      </c>
      <c r="H2717" s="51" t="s">
        <v>48</v>
      </c>
      <c r="I2717" s="25" t="str">
        <f>IFERROR(__xludf.DUMMYFUNCTION("GOOGLETRANSLATE(H2717,""EN"",""ES"")"),"Finanzas")</f>
        <v>Finanzas</v>
      </c>
      <c r="J2717" s="26" t="s">
        <v>35</v>
      </c>
      <c r="K2717" s="48">
        <v>-0.5</v>
      </c>
      <c r="L2717" s="49" t="s">
        <v>15881</v>
      </c>
      <c r="M2717" s="28" t="s">
        <v>15882</v>
      </c>
      <c r="N2717" s="83" t="s">
        <v>19133</v>
      </c>
      <c r="O2717" s="83" t="str">
        <f>IFERROR(__xludf.DUMMYFUNCTION("GOOGLETRANSLATE(N2717,""EN"",""ES"")"),"Ligeramente negativo ya que menciona preocupaciones de los inversores y críticas medioambientales.")</f>
        <v>Ligeramente negativo ya que menciona preocupaciones de los inversores y críticas medioambientales.</v>
      </c>
      <c r="P2717" s="30">
        <v>-0.6</v>
      </c>
      <c r="Q2717" s="31" t="str">
        <f>IFERROR(__xludf.DUMMYFUNCTION("GOOGLETRANSLATE(R2717,""ES"",""EN"")"),"disappoints, environmentalists denounce")</f>
        <v>disappoints, environmentalists denounce</v>
      </c>
      <c r="R2717" s="28" t="s">
        <v>19134</v>
      </c>
      <c r="S2717" s="53" t="s">
        <v>19135</v>
      </c>
      <c r="T2717" s="32" t="s">
        <v>19136</v>
      </c>
    </row>
    <row r="2718">
      <c r="A2718" s="33" t="s">
        <v>19137</v>
      </c>
      <c r="B2718" s="76" t="s">
        <v>272</v>
      </c>
      <c r="C2718" s="41">
        <v>45498.0</v>
      </c>
      <c r="D2718" s="40" t="s">
        <v>19138</v>
      </c>
      <c r="E2718" s="41" t="s">
        <v>19139</v>
      </c>
      <c r="F2718" s="43" t="s">
        <v>19140</v>
      </c>
      <c r="G2718" s="43" t="s">
        <v>19141</v>
      </c>
      <c r="H2718" s="51" t="s">
        <v>155</v>
      </c>
      <c r="I2718" s="15" t="str">
        <f>IFERROR(__xludf.DUMMYFUNCTION("GOOGLETRANSLATE(H2718,""EN"",""ES"")"),"Marketing")</f>
        <v>Marketing</v>
      </c>
      <c r="J2718" s="16" t="s">
        <v>27</v>
      </c>
      <c r="K2718" s="17">
        <v>0.0</v>
      </c>
      <c r="L2718" s="45"/>
      <c r="M2718" s="18"/>
      <c r="N2718" s="86"/>
      <c r="O2718" s="86"/>
      <c r="P2718" s="20">
        <v>0.0</v>
      </c>
      <c r="Q2718" s="18"/>
      <c r="R2718" s="18"/>
      <c r="S2718" s="52"/>
      <c r="T2718" s="22"/>
    </row>
    <row r="2719">
      <c r="A2719" s="23" t="s">
        <v>19142</v>
      </c>
      <c r="B2719" s="77" t="s">
        <v>207</v>
      </c>
      <c r="C2719" s="41">
        <v>45498.0</v>
      </c>
      <c r="D2719" s="40" t="s">
        <v>19143</v>
      </c>
      <c r="E2719" s="41" t="s">
        <v>19144</v>
      </c>
      <c r="F2719" s="43" t="s">
        <v>19145</v>
      </c>
      <c r="G2719" s="43" t="s">
        <v>19146</v>
      </c>
      <c r="H2719" s="51" t="s">
        <v>62</v>
      </c>
      <c r="I2719" s="25" t="str">
        <f>IFERROR(__xludf.DUMMYFUNCTION("GOOGLETRANSLATE(H2719,""EN"",""ES"")"),"Energía")</f>
        <v>Energía</v>
      </c>
      <c r="J2719" s="26" t="s">
        <v>35</v>
      </c>
      <c r="K2719" s="48">
        <v>0.0</v>
      </c>
      <c r="L2719" s="54"/>
      <c r="M2719" s="31"/>
      <c r="N2719" s="83" t="s">
        <v>19147</v>
      </c>
      <c r="O2719" s="83" t="str">
        <f>IFERROR(__xludf.DUMMYFUNCTION("GOOGLETRANSLATE(N2719,""EN"",""ES"")"),"Neutral al ofrecer una evaluación ambiental sin sentimiento directo sobre Repsol.")</f>
        <v>Neutral al ofrecer una evaluación ambiental sin sentimiento directo sobre Repsol.</v>
      </c>
      <c r="P2719" s="30">
        <v>0.0</v>
      </c>
      <c r="Q2719" s="31"/>
      <c r="R2719" s="31"/>
      <c r="S2719" s="53" t="s">
        <v>12139</v>
      </c>
      <c r="T2719" s="32" t="s">
        <v>12140</v>
      </c>
    </row>
    <row r="2720">
      <c r="A2720" s="33" t="s">
        <v>19148</v>
      </c>
      <c r="B2720" s="76" t="s">
        <v>19149</v>
      </c>
      <c r="C2720" s="41">
        <v>45498.0</v>
      </c>
      <c r="D2720" s="40" t="s">
        <v>19150</v>
      </c>
      <c r="E2720" s="41" t="s">
        <v>19151</v>
      </c>
      <c r="F2720" s="43" t="s">
        <v>19152</v>
      </c>
      <c r="G2720" s="43" t="s">
        <v>19153</v>
      </c>
      <c r="H2720" s="51" t="s">
        <v>661</v>
      </c>
      <c r="I2720" s="15" t="str">
        <f>IFERROR(__xludf.DUMMYFUNCTION("GOOGLETRANSLATE(H2720,""EN"",""ES"")"),"Estrategia empresarial")</f>
        <v>Estrategia empresarial</v>
      </c>
      <c r="J2720" s="16" t="s">
        <v>27</v>
      </c>
      <c r="K2720" s="17">
        <v>0.0</v>
      </c>
      <c r="L2720" s="45"/>
      <c r="M2720" s="18"/>
      <c r="N2720" s="86"/>
      <c r="O2720" s="86"/>
      <c r="P2720" s="20">
        <v>0.0</v>
      </c>
      <c r="Q2720" s="18"/>
      <c r="R2720" s="18"/>
      <c r="S2720" s="52"/>
      <c r="T2720" s="22"/>
    </row>
    <row r="2721">
      <c r="A2721" s="23" t="s">
        <v>19154</v>
      </c>
      <c r="B2721" s="77" t="s">
        <v>1072</v>
      </c>
      <c r="C2721" s="41">
        <v>45498.0</v>
      </c>
      <c r="D2721" s="40" t="s">
        <v>19155</v>
      </c>
      <c r="E2721" s="41" t="s">
        <v>19156</v>
      </c>
      <c r="F2721" s="43" t="s">
        <v>19157</v>
      </c>
      <c r="G2721" s="43" t="s">
        <v>19158</v>
      </c>
      <c r="H2721" s="51" t="s">
        <v>48</v>
      </c>
      <c r="I2721" s="25" t="str">
        <f>IFERROR(__xludf.DUMMYFUNCTION("GOOGLETRANSLATE(H2721,""EN"",""ES"")"),"Finanzas")</f>
        <v>Finanzas</v>
      </c>
      <c r="J2721" s="26" t="s">
        <v>27</v>
      </c>
      <c r="K2721" s="17">
        <v>0.0</v>
      </c>
      <c r="L2721" s="54"/>
      <c r="M2721" s="31"/>
      <c r="N2721" s="83"/>
      <c r="O2721" s="83"/>
      <c r="P2721" s="20">
        <v>0.0</v>
      </c>
      <c r="Q2721" s="31"/>
      <c r="R2721" s="31"/>
      <c r="S2721" s="53"/>
      <c r="T2721" s="32"/>
    </row>
    <row r="2722">
      <c r="A2722" s="33" t="s">
        <v>19159</v>
      </c>
      <c r="B2722" s="76" t="s">
        <v>217</v>
      </c>
      <c r="C2722" s="41">
        <v>45498.0</v>
      </c>
      <c r="D2722" s="40" t="s">
        <v>19160</v>
      </c>
      <c r="E2722" s="41" t="s">
        <v>19161</v>
      </c>
      <c r="F2722" s="43" t="s">
        <v>19162</v>
      </c>
      <c r="G2722" s="43" t="s">
        <v>19163</v>
      </c>
      <c r="H2722" s="51" t="s">
        <v>661</v>
      </c>
      <c r="I2722" s="15" t="str">
        <f>IFERROR(__xludf.DUMMYFUNCTION("GOOGLETRANSLATE(H2722,""EN"",""ES"")"),"Estrategia empresarial")</f>
        <v>Estrategia empresarial</v>
      </c>
      <c r="J2722" s="16" t="s">
        <v>35</v>
      </c>
      <c r="K2722" s="48">
        <v>-0.5</v>
      </c>
      <c r="L2722" s="51" t="s">
        <v>19164</v>
      </c>
      <c r="M2722" s="34" t="s">
        <v>19165</v>
      </c>
      <c r="N2722" s="86" t="s">
        <v>19166</v>
      </c>
      <c r="O2722" s="86" t="str">
        <f>IFERROR(__xludf.DUMMYFUNCTION("GOOGLETRANSLATE(N2722,""EN"",""ES"")"),"Ligeramente negativo ya que menciona una posible pérdida de ingresos para las empresas energéticas.")</f>
        <v>Ligeramente negativo ya que menciona una posible pérdida de ingresos para las empresas energéticas.</v>
      </c>
      <c r="P2722" s="30">
        <v>0.0</v>
      </c>
      <c r="Q2722" s="18"/>
      <c r="R2722" s="18"/>
      <c r="S2722" s="52" t="s">
        <v>12139</v>
      </c>
      <c r="T2722" s="22" t="s">
        <v>12140</v>
      </c>
    </row>
    <row r="2723">
      <c r="A2723" s="23" t="s">
        <v>19167</v>
      </c>
      <c r="B2723" s="77" t="s">
        <v>1970</v>
      </c>
      <c r="C2723" s="41">
        <v>45498.0</v>
      </c>
      <c r="D2723" s="40" t="s">
        <v>19168</v>
      </c>
      <c r="E2723" s="41" t="s">
        <v>19169</v>
      </c>
      <c r="F2723" s="43" t="s">
        <v>19170</v>
      </c>
      <c r="G2723" s="43" t="s">
        <v>19171</v>
      </c>
      <c r="H2723" s="51" t="s">
        <v>15539</v>
      </c>
      <c r="I2723" s="25" t="str">
        <f>IFERROR(__xludf.DUMMYFUNCTION("GOOGLETRANSLATE(H2723,""EN"",""ES"")"),"Economía global")</f>
        <v>Economía global</v>
      </c>
      <c r="J2723" s="26" t="s">
        <v>35</v>
      </c>
      <c r="K2723" s="48">
        <v>0.0</v>
      </c>
      <c r="L2723" s="54"/>
      <c r="M2723" s="31"/>
      <c r="N2723" s="83" t="s">
        <v>19172</v>
      </c>
      <c r="O2723" s="83" t="str">
        <f>IFERROR(__xludf.DUMMYFUNCTION("GOOGLETRANSLATE(N2723,""EN"",""ES"")"),"Neutral ya que analiza la dinámica político-económica sin un sentimiento directo sobre Repsol.")</f>
        <v>Neutral ya que analiza la dinámica político-económica sin un sentimiento directo sobre Repsol.</v>
      </c>
      <c r="P2723" s="30">
        <v>0.0</v>
      </c>
      <c r="Q2723" s="31"/>
      <c r="R2723" s="31"/>
      <c r="S2723" s="53" t="s">
        <v>12139</v>
      </c>
      <c r="T2723" s="32" t="s">
        <v>12140</v>
      </c>
    </row>
    <row r="2724">
      <c r="A2724" s="33" t="s">
        <v>19173</v>
      </c>
      <c r="B2724" s="76" t="s">
        <v>4190</v>
      </c>
      <c r="C2724" s="41">
        <v>45498.0</v>
      </c>
      <c r="D2724" s="40" t="s">
        <v>19174</v>
      </c>
      <c r="E2724" s="41" t="s">
        <v>19175</v>
      </c>
      <c r="F2724" s="43" t="s">
        <v>19176</v>
      </c>
      <c r="G2724" s="43" t="s">
        <v>19177</v>
      </c>
      <c r="H2724" s="51" t="s">
        <v>55</v>
      </c>
      <c r="I2724" s="15" t="str">
        <f>IFERROR(__xludf.DUMMYFUNCTION("GOOGLETRANSLATE(H2724,""EN"",""ES"")"),"deportes de motor")</f>
        <v>deportes de motor</v>
      </c>
      <c r="J2724" s="16" t="s">
        <v>35</v>
      </c>
      <c r="K2724" s="48">
        <v>0.6</v>
      </c>
      <c r="L2724" s="51" t="s">
        <v>15685</v>
      </c>
      <c r="M2724" s="34" t="s">
        <v>15686</v>
      </c>
      <c r="N2724" s="86" t="s">
        <v>19178</v>
      </c>
      <c r="O2724" s="86" t="str">
        <f>IFERROR(__xludf.DUMMYFUNCTION("GOOGLETRANSLATE(N2724,""EN"",""ES"")"),"Positivo porque promueve la implicación de Repsol en el deporte del motor y los combustibles renovables.")</f>
        <v>Positivo porque promueve la implicación de Repsol en el deporte del motor y los combustibles renovables.</v>
      </c>
      <c r="P2724" s="30">
        <v>0.0</v>
      </c>
      <c r="Q2724" s="18"/>
      <c r="R2724" s="18"/>
      <c r="S2724" s="52" t="s">
        <v>12139</v>
      </c>
      <c r="T2724" s="22" t="s">
        <v>12140</v>
      </c>
    </row>
    <row r="2725">
      <c r="A2725" s="23" t="s">
        <v>19179</v>
      </c>
      <c r="B2725" s="77" t="s">
        <v>19180</v>
      </c>
      <c r="C2725" s="41">
        <v>45498.0</v>
      </c>
      <c r="D2725" s="40" t="s">
        <v>19181</v>
      </c>
      <c r="E2725" s="41" t="s">
        <v>19182</v>
      </c>
      <c r="F2725" s="43" t="s">
        <v>19183</v>
      </c>
      <c r="G2725" s="43" t="s">
        <v>19184</v>
      </c>
      <c r="H2725" s="51" t="s">
        <v>661</v>
      </c>
      <c r="I2725" s="25" t="str">
        <f>IFERROR(__xludf.DUMMYFUNCTION("GOOGLETRANSLATE(H2725,""EN"",""ES"")"),"Estrategia empresarial")</f>
        <v>Estrategia empresarial</v>
      </c>
      <c r="J2725" s="26" t="s">
        <v>35</v>
      </c>
      <c r="K2725" s="48">
        <v>0.6</v>
      </c>
      <c r="L2725" s="49" t="s">
        <v>19185</v>
      </c>
      <c r="M2725" s="28" t="s">
        <v>19186</v>
      </c>
      <c r="N2725" s="83" t="s">
        <v>19187</v>
      </c>
      <c r="O2725" s="83" t="str">
        <f>IFERROR(__xludf.DUMMYFUNCTION("GOOGLETRANSLATE(N2725,""EN"",""ES"")"),"Positivo ya que menciona la implicación de Repsol en la recuperación petrolera de Venezuela.")</f>
        <v>Positivo ya que menciona la implicación de Repsol en la recuperación petrolera de Venezuela.</v>
      </c>
      <c r="P2725" s="30">
        <v>0.0</v>
      </c>
      <c r="Q2725" s="31"/>
      <c r="R2725" s="31"/>
      <c r="S2725" s="53" t="s">
        <v>12139</v>
      </c>
      <c r="T2725" s="32" t="s">
        <v>12140</v>
      </c>
    </row>
    <row r="2726">
      <c r="A2726" s="33" t="s">
        <v>19188</v>
      </c>
      <c r="B2726" s="76" t="s">
        <v>217</v>
      </c>
      <c r="C2726" s="41">
        <v>45498.0</v>
      </c>
      <c r="D2726" s="40" t="s">
        <v>19189</v>
      </c>
      <c r="E2726" s="41" t="s">
        <v>19190</v>
      </c>
      <c r="F2726" s="43" t="s">
        <v>19191</v>
      </c>
      <c r="G2726" s="43" t="s">
        <v>19192</v>
      </c>
      <c r="H2726" s="51" t="s">
        <v>148</v>
      </c>
      <c r="I2726" s="15" t="str">
        <f>IFERROR(__xludf.DUMMYFUNCTION("GOOGLETRANSLATE(H2726,""EN"",""ES"")"),"Gastronomía")</f>
        <v>Gastronomía</v>
      </c>
      <c r="J2726" s="16" t="s">
        <v>27</v>
      </c>
      <c r="K2726" s="17">
        <v>0.0</v>
      </c>
      <c r="L2726" s="45"/>
      <c r="M2726" s="18"/>
      <c r="N2726" s="86"/>
      <c r="O2726" s="86"/>
      <c r="P2726" s="20">
        <v>0.0</v>
      </c>
      <c r="Q2726" s="18"/>
      <c r="R2726" s="18"/>
      <c r="S2726" s="52"/>
      <c r="T2726" s="22"/>
    </row>
    <row r="2727">
      <c r="A2727" s="23" t="s">
        <v>19193</v>
      </c>
      <c r="B2727" s="77" t="s">
        <v>19194</v>
      </c>
      <c r="C2727" s="41">
        <v>45499.0</v>
      </c>
      <c r="D2727" s="40" t="s">
        <v>19195</v>
      </c>
      <c r="E2727" s="41" t="s">
        <v>19196</v>
      </c>
      <c r="F2727" s="43" t="s">
        <v>19197</v>
      </c>
      <c r="G2727" s="43" t="s">
        <v>19198</v>
      </c>
      <c r="H2727" s="51" t="s">
        <v>48</v>
      </c>
      <c r="I2727" s="25" t="str">
        <f>IFERROR(__xludf.DUMMYFUNCTION("GOOGLETRANSLATE(H2727,""EN"",""ES"")"),"Finanzas")</f>
        <v>Finanzas</v>
      </c>
      <c r="J2727" s="26" t="s">
        <v>35</v>
      </c>
      <c r="K2727" s="48">
        <v>0.7</v>
      </c>
      <c r="L2727" s="49" t="s">
        <v>15881</v>
      </c>
      <c r="M2727" s="28" t="s">
        <v>15882</v>
      </c>
      <c r="N2727" s="83" t="s">
        <v>19199</v>
      </c>
      <c r="O2727" s="83" t="str">
        <f>IFERROR(__xludf.DUMMYFUNCTION("GOOGLETRANSLATE(N2727,""EN"",""ES"")"),"Positivo ya que destaca el fuerte crecimiento financiero del beneficio por acción.")</f>
        <v>Positivo ya que destaca el fuerte crecimiento financiero del beneficio por acción.</v>
      </c>
      <c r="P2727" s="30">
        <v>0.7</v>
      </c>
      <c r="Q2727" s="31" t="str">
        <f>IFERROR(__xludf.DUMMYFUNCTION("GOOGLETRANSLATE(R2727,""ES"",""EN"")"),"EPS 0.54 euros")</f>
        <v>EPS 0.54 euros</v>
      </c>
      <c r="R2727" s="28" t="s">
        <v>19200</v>
      </c>
      <c r="S2727" s="53" t="s">
        <v>19050</v>
      </c>
      <c r="T2727" s="32" t="s">
        <v>19051</v>
      </c>
    </row>
    <row r="2728">
      <c r="A2728" s="33" t="s">
        <v>19201</v>
      </c>
      <c r="B2728" s="76" t="s">
        <v>19202</v>
      </c>
      <c r="C2728" s="41">
        <v>45499.0</v>
      </c>
      <c r="D2728" s="40" t="s">
        <v>19203</v>
      </c>
      <c r="E2728" s="41" t="s">
        <v>19204</v>
      </c>
      <c r="F2728" s="43" t="s">
        <v>19205</v>
      </c>
      <c r="G2728" s="43" t="s">
        <v>19206</v>
      </c>
      <c r="H2728" s="51" t="s">
        <v>130</v>
      </c>
      <c r="I2728" s="15" t="str">
        <f>IFERROR(__xludf.DUMMYFUNCTION("GOOGLETRANSLATE(H2728,""EN"",""ES"")"),"Sostenibilidad")</f>
        <v>Sostenibilidad</v>
      </c>
      <c r="J2728" s="16" t="s">
        <v>35</v>
      </c>
      <c r="K2728" s="48">
        <v>0.7</v>
      </c>
      <c r="L2728" s="51" t="s">
        <v>18854</v>
      </c>
      <c r="M2728" s="34" t="s">
        <v>18855</v>
      </c>
      <c r="N2728" s="86" t="s">
        <v>19207</v>
      </c>
      <c r="O2728" s="86" t="str">
        <f>IFERROR(__xludf.DUMMYFUNCTION("GOOGLETRANSLATE(N2728,""EN"",""ES"")"),"Positivo porque refuerza las iniciativas de sostenibilidad de Repsol en aviación.")</f>
        <v>Positivo porque refuerza las iniciativas de sostenibilidad de Repsol en aviación.</v>
      </c>
      <c r="P2728" s="30">
        <v>0.6</v>
      </c>
      <c r="Q2728" s="18" t="str">
        <f>IFERROR(__xludf.DUMMYFUNCTION("GOOGLETRANSLATE(R2728,""ES"",""EN"")"),"SAF, Repsol")</f>
        <v>SAF, Repsol</v>
      </c>
      <c r="R2728" s="34" t="s">
        <v>19208</v>
      </c>
      <c r="S2728" s="52" t="s">
        <v>19209</v>
      </c>
      <c r="T2728" s="22" t="s">
        <v>19210</v>
      </c>
    </row>
    <row r="2729">
      <c r="A2729" s="23" t="s">
        <v>19211</v>
      </c>
      <c r="B2729" s="77" t="s">
        <v>1602</v>
      </c>
      <c r="C2729" s="41">
        <v>45499.0</v>
      </c>
      <c r="D2729" s="40" t="s">
        <v>19212</v>
      </c>
      <c r="E2729" s="41" t="s">
        <v>19213</v>
      </c>
      <c r="F2729" s="43" t="s">
        <v>19214</v>
      </c>
      <c r="G2729" s="43" t="s">
        <v>19215</v>
      </c>
      <c r="H2729" s="51" t="s">
        <v>48</v>
      </c>
      <c r="I2729" s="25" t="str">
        <f>IFERROR(__xludf.DUMMYFUNCTION("GOOGLETRANSLATE(H2729,""EN"",""ES"")"),"Finanzas")</f>
        <v>Finanzas</v>
      </c>
      <c r="J2729" s="26" t="s">
        <v>35</v>
      </c>
      <c r="K2729" s="48">
        <v>-0.5</v>
      </c>
      <c r="L2729" s="49" t="s">
        <v>19216</v>
      </c>
      <c r="M2729" s="28" t="s">
        <v>19217</v>
      </c>
      <c r="N2729" s="83" t="s">
        <v>19218</v>
      </c>
      <c r="O2729" s="83" t="str">
        <f>IFERROR(__xludf.DUMMYFUNCTION("GOOGLETRANSLATE(N2729,""EN"",""ES"")"),"Ligeramente negativo, ya que indica una rebaja de la confianza por parte de una importante institución financiera.")</f>
        <v>Ligeramente negativo, ya que indica una rebaja de la confianza por parte de una importante institución financiera.</v>
      </c>
      <c r="P2729" s="30">
        <v>-0.3</v>
      </c>
      <c r="Q2729" s="31" t="str">
        <f>IFERROR(__xludf.DUMMYFUNCTION("GOOGLETRANSLATE(R2729,""ES"",""EN"")"),"trust less")</f>
        <v>trust less</v>
      </c>
      <c r="R2729" s="28" t="s">
        <v>19219</v>
      </c>
      <c r="S2729" s="53" t="s">
        <v>19220</v>
      </c>
      <c r="T2729" s="32" t="s">
        <v>19221</v>
      </c>
    </row>
    <row r="2730">
      <c r="A2730" s="33" t="s">
        <v>19222</v>
      </c>
      <c r="B2730" s="76" t="s">
        <v>21</v>
      </c>
      <c r="C2730" s="41">
        <v>45499.0</v>
      </c>
      <c r="D2730" s="40" t="s">
        <v>19223</v>
      </c>
      <c r="E2730" s="41" t="s">
        <v>19224</v>
      </c>
      <c r="F2730" s="43" t="s">
        <v>19225</v>
      </c>
      <c r="G2730" s="43" t="s">
        <v>19226</v>
      </c>
      <c r="H2730" s="51" t="s">
        <v>148</v>
      </c>
      <c r="I2730" s="15" t="str">
        <f>IFERROR(__xludf.DUMMYFUNCTION("GOOGLETRANSLATE(H2730,""EN"",""ES"")"),"Gastronomía")</f>
        <v>Gastronomía</v>
      </c>
      <c r="J2730" s="16" t="s">
        <v>27</v>
      </c>
      <c r="K2730" s="17">
        <v>0.0</v>
      </c>
      <c r="L2730" s="45"/>
      <c r="M2730" s="18"/>
      <c r="N2730" s="86"/>
      <c r="O2730" s="86"/>
      <c r="P2730" s="20">
        <v>0.0</v>
      </c>
      <c r="Q2730" s="18"/>
      <c r="R2730" s="18"/>
      <c r="S2730" s="52"/>
      <c r="T2730" s="22"/>
    </row>
    <row r="2731">
      <c r="A2731" s="23" t="s">
        <v>19227</v>
      </c>
      <c r="B2731" s="77" t="s">
        <v>977</v>
      </c>
      <c r="C2731" s="41">
        <v>45499.0</v>
      </c>
      <c r="D2731" s="40" t="s">
        <v>19228</v>
      </c>
      <c r="E2731" s="41" t="s">
        <v>19229</v>
      </c>
      <c r="F2731" s="43" t="s">
        <v>19230</v>
      </c>
      <c r="G2731" s="43" t="s">
        <v>19231</v>
      </c>
      <c r="H2731" s="51" t="s">
        <v>148</v>
      </c>
      <c r="I2731" s="25" t="str">
        <f>IFERROR(__xludf.DUMMYFUNCTION("GOOGLETRANSLATE(H2731,""EN"",""ES"")"),"Gastronomía")</f>
        <v>Gastronomía</v>
      </c>
      <c r="J2731" s="26" t="s">
        <v>27</v>
      </c>
      <c r="K2731" s="17">
        <v>0.0</v>
      </c>
      <c r="L2731" s="54"/>
      <c r="M2731" s="31"/>
      <c r="N2731" s="83"/>
      <c r="O2731" s="83"/>
      <c r="P2731" s="20">
        <v>0.0</v>
      </c>
      <c r="Q2731" s="31"/>
      <c r="R2731" s="31"/>
      <c r="S2731" s="53"/>
      <c r="T2731" s="32"/>
    </row>
    <row r="2732">
      <c r="A2732" s="33" t="s">
        <v>19232</v>
      </c>
      <c r="B2732" s="76" t="s">
        <v>4157</v>
      </c>
      <c r="C2732" s="41">
        <v>45499.0</v>
      </c>
      <c r="D2732" s="40" t="s">
        <v>19233</v>
      </c>
      <c r="E2732" s="41" t="s">
        <v>19234</v>
      </c>
      <c r="F2732" s="43" t="s">
        <v>19235</v>
      </c>
      <c r="G2732" s="43" t="s">
        <v>19236</v>
      </c>
      <c r="H2732" s="51" t="s">
        <v>55</v>
      </c>
      <c r="I2732" s="15" t="str">
        <f>IFERROR(__xludf.DUMMYFUNCTION("GOOGLETRANSLATE(H2732,""EN"",""ES"")"),"deportes de motor")</f>
        <v>deportes de motor</v>
      </c>
      <c r="J2732" s="16" t="s">
        <v>35</v>
      </c>
      <c r="K2732" s="48">
        <v>0.6</v>
      </c>
      <c r="L2732" s="51" t="s">
        <v>15685</v>
      </c>
      <c r="M2732" s="34" t="s">
        <v>15686</v>
      </c>
      <c r="N2732" s="86" t="s">
        <v>19237</v>
      </c>
      <c r="O2732" s="86" t="str">
        <f>IFERROR(__xludf.DUMMYFUNCTION("GOOGLETRANSLATE(N2732,""EN"",""ES"")"),"Positivo porque refuerza la confianza en la continuidad de Repsol Honda en MotoGP.")</f>
        <v>Positivo porque refuerza la confianza en la continuidad de Repsol Honda en MotoGP.</v>
      </c>
      <c r="P2732" s="30">
        <v>0.2</v>
      </c>
      <c r="Q2732" s="18" t="str">
        <f>IFERROR(__xludf.DUMMYFUNCTION("GOOGLETRANSLATE(R2732,""ES"",""EN"")"),"None")</f>
        <v>None</v>
      </c>
      <c r="R2732" s="34" t="s">
        <v>14309</v>
      </c>
      <c r="S2732" s="52" t="s">
        <v>19238</v>
      </c>
      <c r="T2732" s="22" t="s">
        <v>19239</v>
      </c>
    </row>
    <row r="2733">
      <c r="A2733" s="23" t="s">
        <v>19240</v>
      </c>
      <c r="B2733" s="77" t="s">
        <v>21</v>
      </c>
      <c r="C2733" s="41">
        <v>45499.0</v>
      </c>
      <c r="D2733" s="40" t="s">
        <v>19241</v>
      </c>
      <c r="E2733" s="41" t="s">
        <v>19242</v>
      </c>
      <c r="F2733" s="43" t="s">
        <v>19243</v>
      </c>
      <c r="G2733" s="43" t="s">
        <v>19244</v>
      </c>
      <c r="H2733" s="51" t="s">
        <v>969</v>
      </c>
      <c r="I2733" s="25" t="str">
        <f>IFERROR(__xludf.DUMMYFUNCTION("GOOGLETRANSLATE(H2733,""EN"",""ES"")"),"Turismo")</f>
        <v>Turismo</v>
      </c>
      <c r="J2733" s="26" t="s">
        <v>27</v>
      </c>
      <c r="K2733" s="17">
        <v>0.0</v>
      </c>
      <c r="L2733" s="54"/>
      <c r="M2733" s="31"/>
      <c r="N2733" s="83"/>
      <c r="O2733" s="83"/>
      <c r="P2733" s="20">
        <v>0.0</v>
      </c>
      <c r="Q2733" s="31"/>
      <c r="R2733" s="31"/>
      <c r="S2733" s="53"/>
      <c r="T2733" s="32"/>
    </row>
    <row r="2734">
      <c r="A2734" s="33" t="s">
        <v>19245</v>
      </c>
      <c r="B2734" s="76" t="s">
        <v>21</v>
      </c>
      <c r="C2734" s="41">
        <v>45499.0</v>
      </c>
      <c r="D2734" s="40" t="s">
        <v>19246</v>
      </c>
      <c r="E2734" s="41" t="s">
        <v>19247</v>
      </c>
      <c r="F2734" s="43" t="s">
        <v>19248</v>
      </c>
      <c r="G2734" s="43" t="s">
        <v>19249</v>
      </c>
      <c r="H2734" s="51" t="s">
        <v>148</v>
      </c>
      <c r="I2734" s="15" t="str">
        <f>IFERROR(__xludf.DUMMYFUNCTION("GOOGLETRANSLATE(H2734,""EN"",""ES"")"),"Gastronomía")</f>
        <v>Gastronomía</v>
      </c>
      <c r="J2734" s="16" t="s">
        <v>27</v>
      </c>
      <c r="K2734" s="17">
        <v>0.0</v>
      </c>
      <c r="L2734" s="45"/>
      <c r="M2734" s="18"/>
      <c r="N2734" s="86"/>
      <c r="O2734" s="86"/>
      <c r="P2734" s="20">
        <v>0.0</v>
      </c>
      <c r="Q2734" s="18"/>
      <c r="R2734" s="18"/>
      <c r="S2734" s="52"/>
      <c r="T2734" s="22"/>
    </row>
    <row r="2735">
      <c r="A2735" s="23" t="s">
        <v>19250</v>
      </c>
      <c r="B2735" s="77" t="s">
        <v>217</v>
      </c>
      <c r="C2735" s="41">
        <v>45500.0</v>
      </c>
      <c r="D2735" s="40" t="s">
        <v>19251</v>
      </c>
      <c r="E2735" s="41" t="s">
        <v>19252</v>
      </c>
      <c r="F2735" s="43" t="s">
        <v>19253</v>
      </c>
      <c r="G2735" s="43" t="s">
        <v>19254</v>
      </c>
      <c r="H2735" s="51" t="s">
        <v>661</v>
      </c>
      <c r="I2735" s="25" t="str">
        <f>IFERROR(__xludf.DUMMYFUNCTION("GOOGLETRANSLATE(H2735,""EN"",""ES"")"),"Estrategia empresarial")</f>
        <v>Estrategia empresarial</v>
      </c>
      <c r="J2735" s="26" t="s">
        <v>35</v>
      </c>
      <c r="K2735" s="48">
        <v>0.7</v>
      </c>
      <c r="L2735" s="49" t="s">
        <v>16837</v>
      </c>
      <c r="M2735" s="28" t="s">
        <v>16838</v>
      </c>
      <c r="N2735" s="83" t="s">
        <v>19255</v>
      </c>
      <c r="O2735" s="83" t="str">
        <f>IFERROR(__xludf.DUMMYFUNCTION("GOOGLETRANSLATE(N2735,""EN"",""ES"")"),"Positivo porque pone de relieve la expansión y el posicionamiento competitivo de Repsol en el mercado energético.")</f>
        <v>Positivo porque pone de relieve la expansión y el posicionamiento competitivo de Repsol en el mercado energético.</v>
      </c>
      <c r="P2735" s="30">
        <v>0.5</v>
      </c>
      <c r="Q2735" s="31" t="str">
        <f>IFERROR(__xludf.DUMMYFUNCTION("GOOGLETRANSLATE(R2735,""ES"",""EN"")"),"grow in electricity")</f>
        <v>grow in electricity</v>
      </c>
      <c r="R2735" s="28" t="s">
        <v>19256</v>
      </c>
      <c r="S2735" s="53" t="s">
        <v>11616</v>
      </c>
      <c r="T2735" s="32" t="s">
        <v>11617</v>
      </c>
    </row>
    <row r="2736">
      <c r="A2736" s="33" t="s">
        <v>19257</v>
      </c>
      <c r="B2736" s="76" t="s">
        <v>91</v>
      </c>
      <c r="C2736" s="41">
        <v>45500.0</v>
      </c>
      <c r="D2736" s="40" t="s">
        <v>19258</v>
      </c>
      <c r="E2736" s="41" t="s">
        <v>19259</v>
      </c>
      <c r="F2736" s="43" t="s">
        <v>19260</v>
      </c>
      <c r="G2736" s="43" t="s">
        <v>19261</v>
      </c>
      <c r="H2736" s="51" t="s">
        <v>130</v>
      </c>
      <c r="I2736" s="15" t="str">
        <f>IFERROR(__xludf.DUMMYFUNCTION("GOOGLETRANSLATE(H2736,""EN"",""ES"")"),"Sostenibilidad")</f>
        <v>Sostenibilidad</v>
      </c>
      <c r="J2736" s="16" t="s">
        <v>35</v>
      </c>
      <c r="K2736" s="48">
        <v>0.7</v>
      </c>
      <c r="L2736" s="51" t="s">
        <v>12580</v>
      </c>
      <c r="M2736" s="34" t="s">
        <v>12581</v>
      </c>
      <c r="N2736" s="86" t="s">
        <v>19262</v>
      </c>
      <c r="O2736" s="86" t="str">
        <f>IFERROR(__xludf.DUMMYFUNCTION("GOOGLETRANSLATE(N2736,""EN"",""ES"")"),"Positivo porque impulsa la innovación en diésel renovable de Repsol.")</f>
        <v>Positivo porque impulsa la innovación en diésel renovable de Repsol.</v>
      </c>
      <c r="P2736" s="30">
        <v>0.6</v>
      </c>
      <c r="Q2736" s="18" t="str">
        <f>IFERROR(__xludf.DUMMYFUNCTION("GOOGLETRANSLATE(R2736,""ES"",""EN"")"),"renewable diesel")</f>
        <v>renewable diesel</v>
      </c>
      <c r="R2736" s="34" t="s">
        <v>13210</v>
      </c>
      <c r="S2736" s="52" t="s">
        <v>19263</v>
      </c>
      <c r="T2736" s="22" t="s">
        <v>19264</v>
      </c>
    </row>
    <row r="2737">
      <c r="A2737" s="23" t="s">
        <v>19265</v>
      </c>
      <c r="B2737" s="77" t="s">
        <v>85</v>
      </c>
      <c r="C2737" s="41">
        <v>45500.0</v>
      </c>
      <c r="D2737" s="40" t="s">
        <v>19266</v>
      </c>
      <c r="E2737" s="41" t="s">
        <v>19267</v>
      </c>
      <c r="F2737" s="43" t="s">
        <v>19268</v>
      </c>
      <c r="G2737" s="43" t="s">
        <v>19269</v>
      </c>
      <c r="H2737" s="51" t="s">
        <v>130</v>
      </c>
      <c r="I2737" s="25" t="str">
        <f>IFERROR(__xludf.DUMMYFUNCTION("GOOGLETRANSLATE(H2737,""EN"",""ES"")"),"Sostenibilidad")</f>
        <v>Sostenibilidad</v>
      </c>
      <c r="J2737" s="26" t="s">
        <v>35</v>
      </c>
      <c r="K2737" s="48">
        <v>0.7</v>
      </c>
      <c r="L2737" s="49" t="s">
        <v>12580</v>
      </c>
      <c r="M2737" s="28" t="s">
        <v>12581</v>
      </c>
      <c r="N2737" s="83" t="s">
        <v>19270</v>
      </c>
      <c r="O2737" s="83" t="str">
        <f>IFERROR(__xludf.DUMMYFUNCTION("GOOGLETRANSLATE(N2737,""EN"",""ES"")"),"Positivo porque refuerza el compromiso de Repsol con la sostenibilidad.")</f>
        <v>Positivo porque refuerza el compromiso de Repsol con la sostenibilidad.</v>
      </c>
      <c r="P2737" s="30">
        <v>0.6</v>
      </c>
      <c r="Q2737" s="31" t="str">
        <f>IFERROR(__xludf.DUMMYFUNCTION("GOOGLETRANSLATE(R2737,""ES"",""EN"")"),"pollute less")</f>
        <v>pollute less</v>
      </c>
      <c r="R2737" s="28" t="s">
        <v>19271</v>
      </c>
      <c r="S2737" s="53" t="s">
        <v>19272</v>
      </c>
      <c r="T2737" s="32" t="s">
        <v>19273</v>
      </c>
    </row>
    <row r="2738">
      <c r="A2738" s="33" t="s">
        <v>19274</v>
      </c>
      <c r="B2738" s="76" t="s">
        <v>217</v>
      </c>
      <c r="C2738" s="41">
        <v>45500.0</v>
      </c>
      <c r="D2738" s="40" t="s">
        <v>19275</v>
      </c>
      <c r="E2738" s="41" t="s">
        <v>19276</v>
      </c>
      <c r="F2738" s="43" t="s">
        <v>19277</v>
      </c>
      <c r="G2738" s="43" t="s">
        <v>19278</v>
      </c>
      <c r="H2738" s="51" t="s">
        <v>48</v>
      </c>
      <c r="I2738" s="15" t="str">
        <f>IFERROR(__xludf.DUMMYFUNCTION("GOOGLETRANSLATE(H2738,""EN"",""ES"")"),"Finanzas")</f>
        <v>Finanzas</v>
      </c>
      <c r="J2738" s="16" t="s">
        <v>35</v>
      </c>
      <c r="K2738" s="48">
        <v>0.7</v>
      </c>
      <c r="L2738" s="51" t="s">
        <v>15881</v>
      </c>
      <c r="M2738" s="34" t="s">
        <v>15882</v>
      </c>
      <c r="N2738" s="86" t="s">
        <v>19279</v>
      </c>
      <c r="O2738" s="86" t="str">
        <f>IFERROR(__xludf.DUMMYFUNCTION("GOOGLETRANSLATE(N2738,""EN"",""ES"")"),"Positivo porque pone en valor la rentabilidad para el accionista de Repsol.")</f>
        <v>Positivo porque pone en valor la rentabilidad para el accionista de Repsol.</v>
      </c>
      <c r="P2738" s="30">
        <v>0.4</v>
      </c>
      <c r="Q2738" s="18" t="str">
        <f>IFERROR(__xludf.DUMMYFUNCTION("GOOGLETRANSLATE(R2738,""ES"",""EN"")"),"dividends")</f>
        <v>dividends</v>
      </c>
      <c r="R2738" s="34" t="s">
        <v>16640</v>
      </c>
      <c r="S2738" s="52" t="s">
        <v>19280</v>
      </c>
      <c r="T2738" s="22" t="s">
        <v>19281</v>
      </c>
    </row>
    <row r="2739">
      <c r="A2739" s="23" t="s">
        <v>19282</v>
      </c>
      <c r="B2739" s="77" t="s">
        <v>3045</v>
      </c>
      <c r="C2739" s="41">
        <v>45500.0</v>
      </c>
      <c r="D2739" s="40" t="s">
        <v>19283</v>
      </c>
      <c r="E2739" s="41" t="s">
        <v>19284</v>
      </c>
      <c r="F2739" s="43" t="s">
        <v>19285</v>
      </c>
      <c r="G2739" s="43" t="s">
        <v>19286</v>
      </c>
      <c r="H2739" s="51" t="s">
        <v>148</v>
      </c>
      <c r="I2739" s="25" t="str">
        <f>IFERROR(__xludf.DUMMYFUNCTION("GOOGLETRANSLATE(H2739,""EN"",""ES"")"),"Gastronomía")</f>
        <v>Gastronomía</v>
      </c>
      <c r="J2739" s="26" t="s">
        <v>27</v>
      </c>
      <c r="K2739" s="17">
        <v>0.0</v>
      </c>
      <c r="L2739" s="54"/>
      <c r="M2739" s="31"/>
      <c r="N2739" s="83"/>
      <c r="O2739" s="83"/>
      <c r="P2739" s="20">
        <v>0.0</v>
      </c>
      <c r="Q2739" s="31"/>
      <c r="R2739" s="31"/>
      <c r="S2739" s="53"/>
      <c r="T2739" s="32"/>
    </row>
    <row r="2740">
      <c r="A2740" s="33" t="s">
        <v>19287</v>
      </c>
      <c r="B2740" s="76" t="s">
        <v>2210</v>
      </c>
      <c r="C2740" s="41">
        <v>45500.0</v>
      </c>
      <c r="D2740" s="40" t="s">
        <v>19288</v>
      </c>
      <c r="E2740" s="41" t="s">
        <v>19289</v>
      </c>
      <c r="F2740" s="43" t="s">
        <v>19290</v>
      </c>
      <c r="G2740" s="43" t="s">
        <v>19291</v>
      </c>
      <c r="H2740" s="51" t="s">
        <v>19292</v>
      </c>
      <c r="I2740" s="15" t="str">
        <f>IFERROR(__xludf.DUMMYFUNCTION("GOOGLETRANSLATE(H2740,""EN"",""ES"")"),"Servicios al consumidor")</f>
        <v>Servicios al consumidor</v>
      </c>
      <c r="J2740" s="16" t="s">
        <v>35</v>
      </c>
      <c r="K2740" s="48">
        <v>0.0</v>
      </c>
      <c r="L2740" s="45"/>
      <c r="M2740" s="18"/>
      <c r="N2740" s="86" t="s">
        <v>19293</v>
      </c>
      <c r="O2740" s="86" t="str">
        <f>IFERROR(__xludf.DUMMYFUNCTION("GOOGLETRANSLATE(N2740,""EN"",""ES"")"),"Neutral ya que proporciona información logística sin implicaciones sentimentales.")</f>
        <v>Neutral ya que proporciona información logística sin implicaciones sentimentales.</v>
      </c>
      <c r="P2740" s="30">
        <v>0.0</v>
      </c>
      <c r="Q2740" s="18"/>
      <c r="R2740" s="18"/>
      <c r="S2740" s="52" t="s">
        <v>12139</v>
      </c>
      <c r="T2740" s="22" t="s">
        <v>12140</v>
      </c>
    </row>
    <row r="2741">
      <c r="A2741" s="23" t="s">
        <v>19294</v>
      </c>
      <c r="B2741" s="77" t="s">
        <v>7561</v>
      </c>
      <c r="C2741" s="41">
        <v>45500.0</v>
      </c>
      <c r="D2741" s="40" t="s">
        <v>19295</v>
      </c>
      <c r="E2741" s="41" t="s">
        <v>19296</v>
      </c>
      <c r="F2741" s="43" t="s">
        <v>19297</v>
      </c>
      <c r="G2741" s="43" t="s">
        <v>19298</v>
      </c>
      <c r="H2741" s="51" t="s">
        <v>148</v>
      </c>
      <c r="I2741" s="25" t="str">
        <f>IFERROR(__xludf.DUMMYFUNCTION("GOOGLETRANSLATE(H2741,""EN"",""ES"")"),"Gastronomía")</f>
        <v>Gastronomía</v>
      </c>
      <c r="J2741" s="26" t="s">
        <v>27</v>
      </c>
      <c r="K2741" s="17">
        <v>0.0</v>
      </c>
      <c r="L2741" s="54"/>
      <c r="M2741" s="31"/>
      <c r="N2741" s="83"/>
      <c r="O2741" s="83"/>
      <c r="P2741" s="20">
        <v>0.0</v>
      </c>
      <c r="Q2741" s="31"/>
      <c r="R2741" s="31"/>
      <c r="S2741" s="53"/>
      <c r="T2741" s="32"/>
    </row>
    <row r="2742">
      <c r="A2742" s="33" t="s">
        <v>19299</v>
      </c>
      <c r="B2742" s="76" t="s">
        <v>43</v>
      </c>
      <c r="C2742" s="41">
        <v>45500.0</v>
      </c>
      <c r="D2742" s="40" t="s">
        <v>19300</v>
      </c>
      <c r="E2742" s="41" t="s">
        <v>19301</v>
      </c>
      <c r="F2742" s="43" t="s">
        <v>19302</v>
      </c>
      <c r="G2742" s="43" t="s">
        <v>19303</v>
      </c>
      <c r="H2742" s="51" t="s">
        <v>148</v>
      </c>
      <c r="I2742" s="15" t="str">
        <f>IFERROR(__xludf.DUMMYFUNCTION("GOOGLETRANSLATE(H2742,""EN"",""ES"")"),"Gastronomía")</f>
        <v>Gastronomía</v>
      </c>
      <c r="J2742" s="16" t="s">
        <v>27</v>
      </c>
      <c r="K2742" s="17">
        <v>0.0</v>
      </c>
      <c r="L2742" s="45"/>
      <c r="M2742" s="18"/>
      <c r="N2742" s="86"/>
      <c r="O2742" s="86"/>
      <c r="P2742" s="20">
        <v>0.0</v>
      </c>
      <c r="Q2742" s="18"/>
      <c r="R2742" s="18"/>
      <c r="S2742" s="52"/>
      <c r="T2742" s="22"/>
    </row>
    <row r="2743">
      <c r="A2743" s="23" t="s">
        <v>19304</v>
      </c>
      <c r="B2743" s="77" t="s">
        <v>4038</v>
      </c>
      <c r="C2743" s="41">
        <v>45500.0</v>
      </c>
      <c r="D2743" s="40" t="s">
        <v>19305</v>
      </c>
      <c r="E2743" s="41" t="s">
        <v>19306</v>
      </c>
      <c r="F2743" s="43" t="s">
        <v>19307</v>
      </c>
      <c r="G2743" s="43" t="s">
        <v>19308</v>
      </c>
      <c r="H2743" s="51" t="s">
        <v>148</v>
      </c>
      <c r="I2743" s="25" t="str">
        <f>IFERROR(__xludf.DUMMYFUNCTION("GOOGLETRANSLATE(H2743,""EN"",""ES"")"),"Gastronomía")</f>
        <v>Gastronomía</v>
      </c>
      <c r="J2743" s="26" t="s">
        <v>27</v>
      </c>
      <c r="K2743" s="17">
        <v>0.0</v>
      </c>
      <c r="L2743" s="54"/>
      <c r="M2743" s="31"/>
      <c r="N2743" s="83"/>
      <c r="O2743" s="83"/>
      <c r="P2743" s="20">
        <v>0.0</v>
      </c>
      <c r="Q2743" s="31"/>
      <c r="R2743" s="31"/>
      <c r="S2743" s="53"/>
      <c r="T2743" s="32"/>
    </row>
    <row r="2744">
      <c r="A2744" s="33" t="s">
        <v>19309</v>
      </c>
      <c r="B2744" s="76" t="s">
        <v>14279</v>
      </c>
      <c r="C2744" s="41">
        <v>45500.0</v>
      </c>
      <c r="D2744" s="40" t="s">
        <v>19310</v>
      </c>
      <c r="E2744" s="41" t="s">
        <v>19311</v>
      </c>
      <c r="F2744" s="43" t="s">
        <v>19312</v>
      </c>
      <c r="G2744" s="43" t="s">
        <v>19313</v>
      </c>
      <c r="H2744" s="51" t="s">
        <v>148</v>
      </c>
      <c r="I2744" s="15" t="str">
        <f>IFERROR(__xludf.DUMMYFUNCTION("GOOGLETRANSLATE(H2744,""EN"",""ES"")"),"Gastronomía")</f>
        <v>Gastronomía</v>
      </c>
      <c r="J2744" s="16" t="s">
        <v>27</v>
      </c>
      <c r="K2744" s="17">
        <v>0.0</v>
      </c>
      <c r="L2744" s="45"/>
      <c r="M2744" s="18"/>
      <c r="N2744" s="86"/>
      <c r="O2744" s="86"/>
      <c r="P2744" s="20">
        <v>0.0</v>
      </c>
      <c r="Q2744" s="18"/>
      <c r="R2744" s="18"/>
      <c r="S2744" s="52"/>
      <c r="T2744" s="22"/>
    </row>
    <row r="2745">
      <c r="A2745" s="23" t="s">
        <v>19314</v>
      </c>
      <c r="B2745" s="77" t="s">
        <v>1072</v>
      </c>
      <c r="C2745" s="41">
        <v>45501.0</v>
      </c>
      <c r="D2745" s="40" t="s">
        <v>19315</v>
      </c>
      <c r="E2745" s="41" t="s">
        <v>19316</v>
      </c>
      <c r="F2745" s="43" t="s">
        <v>19317</v>
      </c>
      <c r="G2745" s="43" t="s">
        <v>19318</v>
      </c>
      <c r="H2745" s="51" t="s">
        <v>48</v>
      </c>
      <c r="I2745" s="25" t="str">
        <f>IFERROR(__xludf.DUMMYFUNCTION("GOOGLETRANSLATE(H2745,""EN"",""ES"")"),"Finanzas")</f>
        <v>Finanzas</v>
      </c>
      <c r="J2745" s="26" t="s">
        <v>27</v>
      </c>
      <c r="K2745" s="17">
        <v>0.0</v>
      </c>
      <c r="L2745" s="54"/>
      <c r="M2745" s="31"/>
      <c r="N2745" s="83"/>
      <c r="O2745" s="83"/>
      <c r="P2745" s="20">
        <v>0.0</v>
      </c>
      <c r="Q2745" s="31"/>
      <c r="R2745" s="31"/>
      <c r="S2745" s="53"/>
      <c r="T2745" s="32"/>
    </row>
    <row r="2746">
      <c r="A2746" s="33" t="s">
        <v>19319</v>
      </c>
      <c r="B2746" s="76" t="s">
        <v>217</v>
      </c>
      <c r="C2746" s="41">
        <v>45501.0</v>
      </c>
      <c r="D2746" s="40" t="s">
        <v>19320</v>
      </c>
      <c r="E2746" s="41" t="s">
        <v>19321</v>
      </c>
      <c r="F2746" s="43" t="s">
        <v>19322</v>
      </c>
      <c r="G2746" s="43" t="s">
        <v>19323</v>
      </c>
      <c r="H2746" s="51" t="s">
        <v>48</v>
      </c>
      <c r="I2746" s="15" t="str">
        <f>IFERROR(__xludf.DUMMYFUNCTION("GOOGLETRANSLATE(H2746,""EN"",""ES"")"),"Finanzas")</f>
        <v>Finanzas</v>
      </c>
      <c r="J2746" s="16" t="s">
        <v>35</v>
      </c>
      <c r="K2746" s="48">
        <v>0.7</v>
      </c>
      <c r="L2746" s="51" t="s">
        <v>18953</v>
      </c>
      <c r="M2746" s="34" t="s">
        <v>18954</v>
      </c>
      <c r="N2746" s="86" t="s">
        <v>19112</v>
      </c>
      <c r="O2746" s="86" t="str">
        <f>IFERROR(__xludf.DUMMYFUNCTION("GOOGLETRANSLATE(N2746,""EN"",""ES"")"),"Positivo ya que destaca el sólido desempeño financiero en el sector energético.")</f>
        <v>Positivo ya que destaca el sólido desempeño financiero en el sector energético.</v>
      </c>
      <c r="P2746" s="30">
        <v>0.6</v>
      </c>
      <c r="Q2746" s="18" t="str">
        <f>IFERROR(__xludf.DUMMYFUNCTION("GOOGLETRANSLATE(R2746,""ES"",""EN"")"),"they earned 7.6 billion")</f>
        <v>they earned 7.6 billion</v>
      </c>
      <c r="R2746" s="34" t="s">
        <v>19324</v>
      </c>
      <c r="S2746" s="52" t="s">
        <v>19024</v>
      </c>
      <c r="T2746" s="22" t="s">
        <v>19025</v>
      </c>
    </row>
    <row r="2747">
      <c r="A2747" s="23" t="s">
        <v>19325</v>
      </c>
      <c r="B2747" s="77" t="s">
        <v>1168</v>
      </c>
      <c r="C2747" s="41">
        <v>45501.0</v>
      </c>
      <c r="D2747" s="40" t="s">
        <v>19326</v>
      </c>
      <c r="E2747" s="41" t="s">
        <v>19327</v>
      </c>
      <c r="F2747" s="43" t="s">
        <v>19328</v>
      </c>
      <c r="G2747" s="43" t="s">
        <v>19329</v>
      </c>
      <c r="H2747" s="51" t="s">
        <v>148</v>
      </c>
      <c r="I2747" s="25" t="str">
        <f>IFERROR(__xludf.DUMMYFUNCTION("GOOGLETRANSLATE(H2747,""EN"",""ES"")"),"Gastronomía")</f>
        <v>Gastronomía</v>
      </c>
      <c r="J2747" s="26" t="s">
        <v>27</v>
      </c>
      <c r="K2747" s="17">
        <v>0.0</v>
      </c>
      <c r="L2747" s="54"/>
      <c r="M2747" s="31"/>
      <c r="N2747" s="83"/>
      <c r="O2747" s="83"/>
      <c r="P2747" s="20">
        <v>0.0</v>
      </c>
      <c r="Q2747" s="31"/>
      <c r="R2747" s="31"/>
      <c r="S2747" s="53"/>
      <c r="T2747" s="32"/>
    </row>
    <row r="2748">
      <c r="A2748" s="33" t="s">
        <v>19330</v>
      </c>
      <c r="B2748" s="76" t="s">
        <v>15920</v>
      </c>
      <c r="C2748" s="41">
        <v>45501.0</v>
      </c>
      <c r="D2748" s="40" t="s">
        <v>19331</v>
      </c>
      <c r="E2748" s="41" t="s">
        <v>19332</v>
      </c>
      <c r="F2748" s="43" t="s">
        <v>19333</v>
      </c>
      <c r="G2748" s="43" t="s">
        <v>19334</v>
      </c>
      <c r="H2748" s="51" t="s">
        <v>19335</v>
      </c>
      <c r="I2748" s="15" t="str">
        <f>IFERROR(__xludf.DUMMYFUNCTION("GOOGLETRANSLATE(H2748,""EN"",""ES"")"),"Noticias generales")</f>
        <v>Noticias generales</v>
      </c>
      <c r="J2748" s="16" t="s">
        <v>35</v>
      </c>
      <c r="K2748" s="48">
        <v>0.0</v>
      </c>
      <c r="L2748" s="45"/>
      <c r="M2748" s="18"/>
      <c r="N2748" s="86" t="s">
        <v>19336</v>
      </c>
      <c r="O2748" s="86" t="str">
        <f>IFERROR(__xludf.DUMMYFUNCTION("GOOGLETRANSLATE(N2748,""EN"",""ES"")"),"Neutral ya que informa de un incidente desafortunado sin implicaciones sentimentales directas para Repsol.")</f>
        <v>Neutral ya que informa de un incidente desafortunado sin implicaciones sentimentales directas para Repsol.</v>
      </c>
      <c r="P2748" s="30">
        <v>0.0</v>
      </c>
      <c r="Q2748" s="18"/>
      <c r="R2748" s="18"/>
      <c r="S2748" s="52" t="s">
        <v>12139</v>
      </c>
      <c r="T2748" s="22" t="s">
        <v>12140</v>
      </c>
    </row>
    <row r="2749">
      <c r="A2749" s="23" t="s">
        <v>19337</v>
      </c>
      <c r="B2749" s="77" t="s">
        <v>9506</v>
      </c>
      <c r="C2749" s="41">
        <v>45502.0</v>
      </c>
      <c r="D2749" s="40" t="s">
        <v>19338</v>
      </c>
      <c r="E2749" s="41" t="s">
        <v>19339</v>
      </c>
      <c r="F2749" s="43" t="s">
        <v>19340</v>
      </c>
      <c r="G2749" s="43" t="s">
        <v>19341</v>
      </c>
      <c r="H2749" s="51" t="s">
        <v>130</v>
      </c>
      <c r="I2749" s="25" t="str">
        <f>IFERROR(__xludf.DUMMYFUNCTION("GOOGLETRANSLATE(H2749,""EN"",""ES"")"),"Sostenibilidad")</f>
        <v>Sostenibilidad</v>
      </c>
      <c r="J2749" s="26" t="s">
        <v>35</v>
      </c>
      <c r="K2749" s="48">
        <v>0.7</v>
      </c>
      <c r="L2749" s="49" t="s">
        <v>18854</v>
      </c>
      <c r="M2749" s="28" t="s">
        <v>18855</v>
      </c>
      <c r="N2749" s="83" t="s">
        <v>19342</v>
      </c>
      <c r="O2749" s="83" t="str">
        <f>IFERROR(__xludf.DUMMYFUNCTION("GOOGLETRANSLATE(N2749,""EN"",""ES"")"),"Positivo porque pone de relieve un importante acuerdo centrado en la sostenibilidad para Repsol.")</f>
        <v>Positivo porque pone de relieve un importante acuerdo centrado en la sostenibilidad para Repsol.</v>
      </c>
      <c r="P2749" s="30">
        <v>0.8</v>
      </c>
      <c r="Q2749" s="31" t="str">
        <f>IFERROR(__xludf.DUMMYFUNCTION("GOOGLETRANSLATE(R2749,""ES"",""EN"")"),"sustainable fuel")</f>
        <v>sustainable fuel</v>
      </c>
      <c r="R2749" s="28" t="s">
        <v>10979</v>
      </c>
      <c r="S2749" s="53" t="s">
        <v>19343</v>
      </c>
      <c r="T2749" s="32" t="s">
        <v>19344</v>
      </c>
    </row>
    <row r="2750">
      <c r="A2750" s="33" t="s">
        <v>19345</v>
      </c>
      <c r="B2750" s="76" t="s">
        <v>217</v>
      </c>
      <c r="C2750" s="41">
        <v>45502.0</v>
      </c>
      <c r="D2750" s="40" t="s">
        <v>19346</v>
      </c>
      <c r="E2750" s="41" t="s">
        <v>19347</v>
      </c>
      <c r="F2750" s="43" t="s">
        <v>19348</v>
      </c>
      <c r="G2750" s="43" t="s">
        <v>19349</v>
      </c>
      <c r="H2750" s="51" t="s">
        <v>661</v>
      </c>
      <c r="I2750" s="15" t="str">
        <f>IFERROR(__xludf.DUMMYFUNCTION("GOOGLETRANSLATE(H2750,""EN"",""ES"")"),"Estrategia empresarial")</f>
        <v>Estrategia empresarial</v>
      </c>
      <c r="J2750" s="16" t="s">
        <v>35</v>
      </c>
      <c r="K2750" s="48">
        <v>0.6</v>
      </c>
      <c r="L2750" s="51" t="s">
        <v>19185</v>
      </c>
      <c r="M2750" s="34" t="s">
        <v>19186</v>
      </c>
      <c r="N2750" s="86" t="s">
        <v>19350</v>
      </c>
      <c r="O2750" s="86" t="str">
        <f>IFERROR(__xludf.DUMMYFUNCTION("GOOGLETRANSLATE(N2750,""EN"",""ES"")"),"Positivo porque señala la expansión de Repsol y la renovada inversión en mercados clave.")</f>
        <v>Positivo porque señala la expansión de Repsol y la renovada inversión en mercados clave.</v>
      </c>
      <c r="P2750" s="30">
        <v>0.3</v>
      </c>
      <c r="Q2750" s="18" t="str">
        <f>IFERROR(__xludf.DUMMYFUNCTION("GOOGLETRANSLATE(R2750,""ES"",""EN"")"),"deposits Venezuela, Libya")</f>
        <v>deposits Venezuela, Libya</v>
      </c>
      <c r="R2750" s="34" t="s">
        <v>19351</v>
      </c>
      <c r="S2750" s="52" t="s">
        <v>13624</v>
      </c>
      <c r="T2750" s="22" t="s">
        <v>13625</v>
      </c>
    </row>
    <row r="2751">
      <c r="A2751" s="23" t="s">
        <v>19352</v>
      </c>
      <c r="B2751" s="77" t="s">
        <v>674</v>
      </c>
      <c r="C2751" s="41">
        <v>45502.0</v>
      </c>
      <c r="D2751" s="40" t="s">
        <v>19353</v>
      </c>
      <c r="E2751" s="41" t="s">
        <v>19354</v>
      </c>
      <c r="F2751" s="43" t="s">
        <v>19355</v>
      </c>
      <c r="G2751" s="43" t="s">
        <v>19356</v>
      </c>
      <c r="H2751" s="51" t="s">
        <v>130</v>
      </c>
      <c r="I2751" s="25" t="str">
        <f>IFERROR(__xludf.DUMMYFUNCTION("GOOGLETRANSLATE(H2751,""EN"",""ES"")"),"Sostenibilidad")</f>
        <v>Sostenibilidad</v>
      </c>
      <c r="J2751" s="26" t="s">
        <v>35</v>
      </c>
      <c r="K2751" s="48">
        <v>0.7</v>
      </c>
      <c r="L2751" s="49" t="s">
        <v>19357</v>
      </c>
      <c r="M2751" s="28" t="s">
        <v>19358</v>
      </c>
      <c r="N2751" s="83" t="s">
        <v>19359</v>
      </c>
      <c r="O2751" s="83" t="str">
        <f>IFERROR(__xludf.DUMMYFUNCTION("GOOGLETRANSLATE(N2751,""EN"",""ES"")"),"Positivo ya que destaca la expansión de la empresa en la distribución de combustibles.")</f>
        <v>Positivo ya que destaca la expansión de la empresa en la distribución de combustibles.</v>
      </c>
      <c r="P2751" s="30">
        <v>0.5</v>
      </c>
      <c r="Q2751" s="31" t="str">
        <f>IFERROR(__xludf.DUMMYFUNCTION("GOOGLETRANSLATE(R2751,""ES"",""EN"")"),"new gasoline, diesel")</f>
        <v>new gasoline, diesel</v>
      </c>
      <c r="R2751" s="28" t="s">
        <v>19360</v>
      </c>
      <c r="S2751" s="53" t="s">
        <v>19361</v>
      </c>
      <c r="T2751" s="32" t="s">
        <v>19362</v>
      </c>
    </row>
    <row r="2752">
      <c r="A2752" s="33" t="s">
        <v>19363</v>
      </c>
      <c r="B2752" s="76" t="s">
        <v>3067</v>
      </c>
      <c r="C2752" s="41">
        <v>45502.0</v>
      </c>
      <c r="D2752" s="40" t="s">
        <v>19364</v>
      </c>
      <c r="E2752" s="41" t="s">
        <v>19365</v>
      </c>
      <c r="F2752" s="43" t="s">
        <v>19366</v>
      </c>
      <c r="G2752" s="43" t="s">
        <v>19367</v>
      </c>
      <c r="H2752" s="51" t="s">
        <v>130</v>
      </c>
      <c r="I2752" s="15" t="str">
        <f>IFERROR(__xludf.DUMMYFUNCTION("GOOGLETRANSLATE(H2752,""EN"",""ES"")"),"Sostenibilidad")</f>
        <v>Sostenibilidad</v>
      </c>
      <c r="J2752" s="16" t="s">
        <v>35</v>
      </c>
      <c r="K2752" s="48">
        <v>0.7</v>
      </c>
      <c r="L2752" s="51" t="s">
        <v>18854</v>
      </c>
      <c r="M2752" s="34" t="s">
        <v>18855</v>
      </c>
      <c r="N2752" s="86" t="s">
        <v>19368</v>
      </c>
      <c r="O2752" s="86" t="str">
        <f>IFERROR(__xludf.DUMMYFUNCTION("GOOGLETRANSLATE(N2752,""EN"",""ES"")"),"Positivo porque refuerza el papel de Repsol en el suministro sostenible de combustible de aviación.")</f>
        <v>Positivo porque refuerza el papel de Repsol en el suministro sostenible de combustible de aviación.</v>
      </c>
      <c r="P2752" s="30">
        <v>0.8</v>
      </c>
      <c r="Q2752" s="18" t="str">
        <f>IFERROR(__xludf.DUMMYFUNCTION("GOOGLETRANSLATE(R2752,""ES"",""EN"")"),"sustainable fuel")</f>
        <v>sustainable fuel</v>
      </c>
      <c r="R2752" s="34" t="s">
        <v>10979</v>
      </c>
      <c r="S2752" s="52" t="s">
        <v>19369</v>
      </c>
      <c r="T2752" s="22" t="s">
        <v>19370</v>
      </c>
    </row>
    <row r="2753">
      <c r="A2753" s="23" t="s">
        <v>19371</v>
      </c>
      <c r="B2753" s="77" t="s">
        <v>103</v>
      </c>
      <c r="C2753" s="41">
        <v>45502.0</v>
      </c>
      <c r="D2753" s="40" t="s">
        <v>19372</v>
      </c>
      <c r="E2753" s="41" t="s">
        <v>19373</v>
      </c>
      <c r="F2753" s="43" t="s">
        <v>19374</v>
      </c>
      <c r="G2753" s="43" t="s">
        <v>19375</v>
      </c>
      <c r="H2753" s="51" t="s">
        <v>130</v>
      </c>
      <c r="I2753" s="25" t="str">
        <f>IFERROR(__xludf.DUMMYFUNCTION("GOOGLETRANSLATE(H2753,""EN"",""ES"")"),"Sostenibilidad")</f>
        <v>Sostenibilidad</v>
      </c>
      <c r="J2753" s="26" t="s">
        <v>35</v>
      </c>
      <c r="K2753" s="48">
        <v>0.7</v>
      </c>
      <c r="L2753" s="49" t="s">
        <v>18854</v>
      </c>
      <c r="M2753" s="28" t="s">
        <v>18855</v>
      </c>
      <c r="N2753" s="83" t="s">
        <v>19376</v>
      </c>
      <c r="O2753" s="83" t="str">
        <f>IFERROR(__xludf.DUMMYFUNCTION("GOOGLETRANSLATE(N2753,""EN"",""ES"")"),"Positivo porque subraya la contribución de Repsol a los esfuerzos de descarbonización.")</f>
        <v>Positivo porque subraya la contribución de Repsol a los esfuerzos de descarbonización.</v>
      </c>
      <c r="P2753" s="30">
        <v>0.8</v>
      </c>
      <c r="Q2753" s="31" t="str">
        <f>IFERROR(__xludf.DUMMYFUNCTION("GOOGLETRANSLATE(R2753,""ES"",""EN"")"),"decarbonization, SAF")</f>
        <v>decarbonization, SAF</v>
      </c>
      <c r="R2753" s="28" t="s">
        <v>19377</v>
      </c>
      <c r="S2753" s="53" t="s">
        <v>19378</v>
      </c>
      <c r="T2753" s="32" t="s">
        <v>19379</v>
      </c>
    </row>
    <row r="2754">
      <c r="A2754" s="33" t="s">
        <v>19380</v>
      </c>
      <c r="B2754" s="76" t="s">
        <v>1742</v>
      </c>
      <c r="C2754" s="41">
        <v>45502.0</v>
      </c>
      <c r="D2754" s="40" t="s">
        <v>19381</v>
      </c>
      <c r="E2754" s="41" t="s">
        <v>19382</v>
      </c>
      <c r="F2754" s="43" t="s">
        <v>19383</v>
      </c>
      <c r="G2754" s="43" t="s">
        <v>19384</v>
      </c>
      <c r="H2754" s="51" t="s">
        <v>130</v>
      </c>
      <c r="I2754" s="15" t="str">
        <f>IFERROR(__xludf.DUMMYFUNCTION("GOOGLETRANSLATE(H2754,""EN"",""ES"")"),"Sostenibilidad")</f>
        <v>Sostenibilidad</v>
      </c>
      <c r="J2754" s="16" t="s">
        <v>35</v>
      </c>
      <c r="K2754" s="48">
        <v>-0.6</v>
      </c>
      <c r="L2754" s="51" t="s">
        <v>19385</v>
      </c>
      <c r="M2754" s="34" t="s">
        <v>19386</v>
      </c>
      <c r="N2754" s="86" t="s">
        <v>19387</v>
      </c>
      <c r="O2754" s="86" t="str">
        <f>IFERROR(__xludf.DUMMYFUNCTION("GOOGLETRANSLATE(N2754,""EN"",""ES"")"),"Negativo ya que critica a Repsol por posibles afirmaciones engañosas sobre sostenibilidad.")</f>
        <v>Negativo ya que critica a Repsol por posibles afirmaciones engañosas sobre sostenibilidad.</v>
      </c>
      <c r="P2754" s="30">
        <v>-0.6</v>
      </c>
      <c r="Q2754" s="18" t="str">
        <f>IFERROR(__xludf.DUMMYFUNCTION("GOOGLETRANSLATE(R2754,""ES"",""EN"")"),"greenwashing")</f>
        <v>greenwashing</v>
      </c>
      <c r="R2754" s="34" t="s">
        <v>11135</v>
      </c>
      <c r="S2754" s="52" t="s">
        <v>13181</v>
      </c>
      <c r="T2754" s="22" t="s">
        <v>13182</v>
      </c>
    </row>
    <row r="2755">
      <c r="A2755" s="23" t="s">
        <v>19388</v>
      </c>
      <c r="B2755" s="77" t="s">
        <v>21</v>
      </c>
      <c r="C2755" s="41">
        <v>45502.0</v>
      </c>
      <c r="D2755" s="40" t="s">
        <v>19389</v>
      </c>
      <c r="E2755" s="41" t="s">
        <v>19390</v>
      </c>
      <c r="F2755" s="43" t="s">
        <v>19391</v>
      </c>
      <c r="G2755" s="43" t="s">
        <v>19392</v>
      </c>
      <c r="H2755" s="51" t="s">
        <v>148</v>
      </c>
      <c r="I2755" s="25" t="str">
        <f>IFERROR(__xludf.DUMMYFUNCTION("GOOGLETRANSLATE(H2755,""EN"",""ES"")"),"Gastronomía")</f>
        <v>Gastronomía</v>
      </c>
      <c r="J2755" s="26" t="s">
        <v>27</v>
      </c>
      <c r="K2755" s="17">
        <v>0.0</v>
      </c>
      <c r="L2755" s="54"/>
      <c r="M2755" s="31"/>
      <c r="N2755" s="83"/>
      <c r="O2755" s="83"/>
      <c r="P2755" s="20">
        <v>0.0</v>
      </c>
      <c r="Q2755" s="31"/>
      <c r="R2755" s="31"/>
      <c r="S2755" s="53"/>
      <c r="T2755" s="32"/>
    </row>
    <row r="2756">
      <c r="A2756" s="33" t="s">
        <v>19393</v>
      </c>
      <c r="B2756" s="76" t="s">
        <v>18906</v>
      </c>
      <c r="C2756" s="41">
        <v>45502.0</v>
      </c>
      <c r="D2756" s="40" t="s">
        <v>19394</v>
      </c>
      <c r="E2756" s="41" t="s">
        <v>19395</v>
      </c>
      <c r="F2756" s="43" t="s">
        <v>19396</v>
      </c>
      <c r="G2756" s="43" t="s">
        <v>19397</v>
      </c>
      <c r="H2756" s="51" t="s">
        <v>130</v>
      </c>
      <c r="I2756" s="15" t="str">
        <f>IFERROR(__xludf.DUMMYFUNCTION("GOOGLETRANSLATE(H2756,""EN"",""ES"")"),"Sostenibilidad")</f>
        <v>Sostenibilidad</v>
      </c>
      <c r="J2756" s="16" t="s">
        <v>35</v>
      </c>
      <c r="K2756" s="48">
        <v>0.7</v>
      </c>
      <c r="L2756" s="51" t="s">
        <v>18854</v>
      </c>
      <c r="M2756" s="34" t="s">
        <v>18855</v>
      </c>
      <c r="N2756" s="86" t="s">
        <v>19398</v>
      </c>
      <c r="O2756" s="86" t="str">
        <f>IFERROR(__xludf.DUMMYFUNCTION("GOOGLETRANSLATE(N2756,""EN"",""ES"")"),"Positivo porque refuerza la posición de Repsol en combustibles de aviación sostenibles.")</f>
        <v>Positivo porque refuerza la posición de Repsol en combustibles de aviación sostenibles.</v>
      </c>
      <c r="P2756" s="30">
        <v>0.8</v>
      </c>
      <c r="Q2756" s="18" t="str">
        <f>IFERROR(__xludf.DUMMYFUNCTION("GOOGLETRANSLATE(R2756,""ES"",""EN"")"),"SAF, record agreement")</f>
        <v>SAF, record agreement</v>
      </c>
      <c r="R2756" s="34" t="s">
        <v>19399</v>
      </c>
      <c r="S2756" s="52" t="s">
        <v>19369</v>
      </c>
      <c r="T2756" s="22" t="s">
        <v>19370</v>
      </c>
    </row>
    <row r="2757">
      <c r="A2757" s="23" t="s">
        <v>19400</v>
      </c>
      <c r="B2757" s="77" t="s">
        <v>7701</v>
      </c>
      <c r="C2757" s="41">
        <v>45502.0</v>
      </c>
      <c r="D2757" s="40" t="s">
        <v>19401</v>
      </c>
      <c r="E2757" s="41" t="s">
        <v>19402</v>
      </c>
      <c r="F2757" s="43" t="s">
        <v>19403</v>
      </c>
      <c r="G2757" s="43" t="s">
        <v>19404</v>
      </c>
      <c r="H2757" s="51" t="s">
        <v>130</v>
      </c>
      <c r="I2757" s="25" t="str">
        <f>IFERROR(__xludf.DUMMYFUNCTION("GOOGLETRANSLATE(H2757,""EN"",""ES"")"),"Sostenibilidad")</f>
        <v>Sostenibilidad</v>
      </c>
      <c r="J2757" s="26" t="s">
        <v>35</v>
      </c>
      <c r="K2757" s="48">
        <v>0.7</v>
      </c>
      <c r="L2757" s="49" t="s">
        <v>18854</v>
      </c>
      <c r="M2757" s="28" t="s">
        <v>18855</v>
      </c>
      <c r="N2757" s="83" t="s">
        <v>19405</v>
      </c>
      <c r="O2757" s="83" t="str">
        <f>IFERROR(__xludf.DUMMYFUNCTION("GOOGLETRANSLATE(N2757,""EN"",""ES"")"),"Positivo porque refuerza la contribución de Repsol a la adopción de combustibles sostenibles.")</f>
        <v>Positivo porque refuerza la contribución de Repsol a la adopción de combustibles sostenibles.</v>
      </c>
      <c r="P2757" s="30">
        <v>0.7</v>
      </c>
      <c r="Q2757" s="31" t="str">
        <f>IFERROR(__xludf.DUMMYFUNCTION("GOOGLETRANSLATE(R2757,""ES"",""EN"")"),"SAF, record purchase")</f>
        <v>SAF, record purchase</v>
      </c>
      <c r="R2757" s="28" t="s">
        <v>19406</v>
      </c>
      <c r="S2757" s="53" t="s">
        <v>19407</v>
      </c>
      <c r="T2757" s="32" t="s">
        <v>19408</v>
      </c>
    </row>
    <row r="2758">
      <c r="A2758" s="33" t="s">
        <v>19409</v>
      </c>
      <c r="B2758" s="76" t="s">
        <v>8029</v>
      </c>
      <c r="C2758" s="41">
        <v>45502.0</v>
      </c>
      <c r="D2758" s="40" t="s">
        <v>19410</v>
      </c>
      <c r="E2758" s="41" t="s">
        <v>19411</v>
      </c>
      <c r="F2758" s="43" t="s">
        <v>19412</v>
      </c>
      <c r="G2758" s="43" t="s">
        <v>19413</v>
      </c>
      <c r="H2758" s="51" t="s">
        <v>661</v>
      </c>
      <c r="I2758" s="15" t="str">
        <f>IFERROR(__xludf.DUMMYFUNCTION("GOOGLETRANSLATE(H2758,""EN"",""ES"")"),"Estrategia empresarial")</f>
        <v>Estrategia empresarial</v>
      </c>
      <c r="J2758" s="16" t="s">
        <v>35</v>
      </c>
      <c r="K2758" s="48">
        <v>0.6</v>
      </c>
      <c r="L2758" s="51" t="s">
        <v>12776</v>
      </c>
      <c r="M2758" s="34" t="s">
        <v>12777</v>
      </c>
      <c r="N2758" s="86" t="s">
        <v>19414</v>
      </c>
      <c r="O2758" s="86" t="str">
        <f>IFERROR(__xludf.DUMMYFUNCTION("GOOGLETRANSLATE(N2758,""EN"",""ES"")"),"Positivo porque combina la expansión internacional de Repsol con una importante operación de SAF.")</f>
        <v>Positivo porque combina la expansión internacional de Repsol con una importante operación de SAF.</v>
      </c>
      <c r="P2758" s="30">
        <v>0.5</v>
      </c>
      <c r="Q2758" s="18" t="str">
        <f>IFERROR(__xludf.DUMMYFUNCTION("GOOGLETRANSLATE(R2758,""ES"",""EN"")"),"agreement with IAG")</f>
        <v>agreement with IAG</v>
      </c>
      <c r="R2758" s="34" t="s">
        <v>19415</v>
      </c>
      <c r="S2758" s="52" t="s">
        <v>11829</v>
      </c>
      <c r="T2758" s="22" t="s">
        <v>11830</v>
      </c>
    </row>
    <row r="2759">
      <c r="A2759" s="23" t="s">
        <v>19416</v>
      </c>
      <c r="B2759" s="77" t="s">
        <v>3151</v>
      </c>
      <c r="C2759" s="41">
        <v>45502.0</v>
      </c>
      <c r="D2759" s="40" t="s">
        <v>19417</v>
      </c>
      <c r="E2759" s="41" t="s">
        <v>19418</v>
      </c>
      <c r="F2759" s="43" t="s">
        <v>19419</v>
      </c>
      <c r="G2759" s="43" t="s">
        <v>19420</v>
      </c>
      <c r="H2759" s="51" t="s">
        <v>969</v>
      </c>
      <c r="I2759" s="25" t="str">
        <f>IFERROR(__xludf.DUMMYFUNCTION("GOOGLETRANSLATE(H2759,""EN"",""ES"")"),"Turismo")</f>
        <v>Turismo</v>
      </c>
      <c r="J2759" s="26" t="s">
        <v>27</v>
      </c>
      <c r="K2759" s="17">
        <v>0.0</v>
      </c>
      <c r="L2759" s="54"/>
      <c r="M2759" s="31"/>
      <c r="N2759" s="83"/>
      <c r="O2759" s="83"/>
      <c r="P2759" s="20">
        <v>0.0</v>
      </c>
      <c r="Q2759" s="31"/>
      <c r="R2759" s="31"/>
      <c r="S2759" s="53"/>
      <c r="T2759" s="32"/>
    </row>
    <row r="2760">
      <c r="A2760" s="33" t="s">
        <v>19421</v>
      </c>
      <c r="B2760" s="76" t="s">
        <v>1568</v>
      </c>
      <c r="C2760" s="41">
        <v>45502.0</v>
      </c>
      <c r="D2760" s="40" t="s">
        <v>19422</v>
      </c>
      <c r="E2760" s="41" t="s">
        <v>19423</v>
      </c>
      <c r="F2760" s="43" t="s">
        <v>19424</v>
      </c>
      <c r="G2760" s="43" t="s">
        <v>19425</v>
      </c>
      <c r="H2760" s="51" t="s">
        <v>661</v>
      </c>
      <c r="I2760" s="15" t="str">
        <f>IFERROR(__xludf.DUMMYFUNCTION("GOOGLETRANSLATE(H2760,""EN"",""ES"")"),"Estrategia empresarial")</f>
        <v>Estrategia empresarial</v>
      </c>
      <c r="J2760" s="16" t="s">
        <v>35</v>
      </c>
      <c r="K2760" s="48">
        <v>-0.5</v>
      </c>
      <c r="L2760" s="51" t="s">
        <v>19426</v>
      </c>
      <c r="M2760" s="34" t="s">
        <v>19427</v>
      </c>
      <c r="N2760" s="86" t="s">
        <v>19428</v>
      </c>
      <c r="O2760" s="86" t="str">
        <f>IFERROR(__xludf.DUMMYFUNCTION("GOOGLETRANSLATE(N2760,""EN"",""ES"")"),"Ligeramente negativo ya que sugiere desequilibrios comerciales que afectan a las exportaciones vascas.")</f>
        <v>Ligeramente negativo ya que sugiere desequilibrios comerciales que afectan a las exportaciones vascas.</v>
      </c>
      <c r="P2760" s="30">
        <v>0.0</v>
      </c>
      <c r="Q2760" s="18"/>
      <c r="R2760" s="18"/>
      <c r="S2760" s="52" t="s">
        <v>12139</v>
      </c>
      <c r="T2760" s="22" t="s">
        <v>12140</v>
      </c>
    </row>
    <row r="2761">
      <c r="A2761" s="23" t="s">
        <v>19429</v>
      </c>
      <c r="B2761" s="77" t="s">
        <v>3992</v>
      </c>
      <c r="C2761" s="41">
        <v>45502.0</v>
      </c>
      <c r="D2761" s="40" t="s">
        <v>19430</v>
      </c>
      <c r="E2761" s="41" t="s">
        <v>19431</v>
      </c>
      <c r="F2761" s="43" t="s">
        <v>19432</v>
      </c>
      <c r="G2761" s="43" t="s">
        <v>19433</v>
      </c>
      <c r="H2761" s="51" t="s">
        <v>17454</v>
      </c>
      <c r="I2761" s="25" t="str">
        <f>IFERROR(__xludf.DUMMYFUNCTION("GOOGLETRANSLATE(H2761,""EN"",""ES"")"),"Estilo de vida")</f>
        <v>Estilo de vida</v>
      </c>
      <c r="J2761" s="26" t="s">
        <v>27</v>
      </c>
      <c r="K2761" s="17">
        <v>0.0</v>
      </c>
      <c r="L2761" s="54"/>
      <c r="M2761" s="31"/>
      <c r="N2761" s="83"/>
      <c r="O2761" s="83"/>
      <c r="P2761" s="20">
        <v>0.0</v>
      </c>
      <c r="Q2761" s="31"/>
      <c r="R2761" s="31"/>
      <c r="S2761" s="53"/>
      <c r="T2761" s="32"/>
    </row>
    <row r="2762">
      <c r="A2762" s="33" t="s">
        <v>19434</v>
      </c>
      <c r="B2762" s="76" t="s">
        <v>217</v>
      </c>
      <c r="C2762" s="41">
        <v>45502.0</v>
      </c>
      <c r="D2762" s="40" t="s">
        <v>19435</v>
      </c>
      <c r="E2762" s="41" t="s">
        <v>19436</v>
      </c>
      <c r="F2762" s="43" t="s">
        <v>19437</v>
      </c>
      <c r="G2762" s="43" t="s">
        <v>19438</v>
      </c>
      <c r="H2762" s="51" t="s">
        <v>130</v>
      </c>
      <c r="I2762" s="15" t="str">
        <f>IFERROR(__xludf.DUMMYFUNCTION("GOOGLETRANSLATE(H2762,""EN"",""ES"")"),"Sostenibilidad")</f>
        <v>Sostenibilidad</v>
      </c>
      <c r="J2762" s="16" t="s">
        <v>35</v>
      </c>
      <c r="K2762" s="48">
        <v>0.7</v>
      </c>
      <c r="L2762" s="51" t="s">
        <v>18854</v>
      </c>
      <c r="M2762" s="34" t="s">
        <v>18855</v>
      </c>
      <c r="N2762" s="86" t="s">
        <v>19439</v>
      </c>
      <c r="O2762" s="86" t="str">
        <f>IFERROR(__xludf.DUMMYFUNCTION("GOOGLETRANSLATE(N2762,""EN"",""ES"")"),"Positivo porque refuerza el liderazgo de Repsol en combustibles de aviación sostenibles.")</f>
        <v>Positivo porque refuerza el liderazgo de Repsol en combustibles de aviación sostenibles.</v>
      </c>
      <c r="P2762" s="30">
        <v>0.8</v>
      </c>
      <c r="Q2762" s="18" t="str">
        <f>IFERROR(__xludf.DUMMYFUNCTION("GOOGLETRANSLATE(R2762,""ES"",""EN"")"),"sustainable fuel")</f>
        <v>sustainable fuel</v>
      </c>
      <c r="R2762" s="34" t="s">
        <v>10979</v>
      </c>
      <c r="S2762" s="52" t="s">
        <v>19440</v>
      </c>
      <c r="T2762" s="22" t="s">
        <v>19441</v>
      </c>
    </row>
    <row r="2763">
      <c r="A2763" s="23" t="s">
        <v>19442</v>
      </c>
      <c r="B2763" s="77" t="s">
        <v>11295</v>
      </c>
      <c r="C2763" s="41">
        <v>45502.0</v>
      </c>
      <c r="D2763" s="40" t="s">
        <v>19443</v>
      </c>
      <c r="E2763" s="41" t="s">
        <v>19444</v>
      </c>
      <c r="F2763" s="43" t="s">
        <v>19445</v>
      </c>
      <c r="G2763" s="43" t="s">
        <v>19446</v>
      </c>
      <c r="H2763" s="51" t="s">
        <v>661</v>
      </c>
      <c r="I2763" s="25" t="str">
        <f>IFERROR(__xludf.DUMMYFUNCTION("GOOGLETRANSLATE(H2763,""EN"",""ES"")"),"Estrategia empresarial")</f>
        <v>Estrategia empresarial</v>
      </c>
      <c r="J2763" s="26" t="s">
        <v>35</v>
      </c>
      <c r="K2763" s="48">
        <v>0.6</v>
      </c>
      <c r="L2763" s="49" t="s">
        <v>19185</v>
      </c>
      <c r="M2763" s="28" t="s">
        <v>19186</v>
      </c>
      <c r="N2763" s="83" t="s">
        <v>19447</v>
      </c>
      <c r="O2763" s="83" t="str">
        <f>IFERROR(__xludf.DUMMYFUNCTION("GOOGLETRANSLATE(N2763,""EN"",""ES"")"),"Positivo porque pone de relieve las inversiones estratégicas en energía de Repsol.")</f>
        <v>Positivo porque pone de relieve las inversiones estratégicas en energía de Repsol.</v>
      </c>
      <c r="P2763" s="30">
        <v>0.3</v>
      </c>
      <c r="Q2763" s="31" t="str">
        <f>IFERROR(__xludf.DUMMYFUNCTION("GOOGLETRANSLATE(R2763,""ES"",""EN"")"),"oil lands")</f>
        <v>oil lands</v>
      </c>
      <c r="R2763" s="28" t="s">
        <v>19448</v>
      </c>
      <c r="S2763" s="53" t="s">
        <v>13624</v>
      </c>
      <c r="T2763" s="32" t="s">
        <v>13625</v>
      </c>
    </row>
    <row r="2764">
      <c r="A2764" s="33" t="s">
        <v>19449</v>
      </c>
      <c r="B2764" s="76" t="s">
        <v>3045</v>
      </c>
      <c r="C2764" s="41">
        <v>45502.0</v>
      </c>
      <c r="D2764" s="40" t="s">
        <v>19450</v>
      </c>
      <c r="E2764" s="41" t="s">
        <v>19451</v>
      </c>
      <c r="F2764" s="43" t="s">
        <v>19452</v>
      </c>
      <c r="G2764" s="43" t="s">
        <v>19453</v>
      </c>
      <c r="H2764" s="51" t="s">
        <v>130</v>
      </c>
      <c r="I2764" s="15" t="str">
        <f>IFERROR(__xludf.DUMMYFUNCTION("GOOGLETRANSLATE(H2764,""EN"",""ES"")"),"Sostenibilidad")</f>
        <v>Sostenibilidad</v>
      </c>
      <c r="J2764" s="16" t="s">
        <v>35</v>
      </c>
      <c r="K2764" s="48">
        <v>0.7</v>
      </c>
      <c r="L2764" s="51" t="s">
        <v>18854</v>
      </c>
      <c r="M2764" s="34" t="s">
        <v>18855</v>
      </c>
      <c r="N2764" s="86" t="s">
        <v>19454</v>
      </c>
      <c r="O2764" s="86" t="str">
        <f>IFERROR(__xludf.DUMMYFUNCTION("GOOGLETRANSLATE(N2764,""EN"",""ES"")"),"Positivo porque enfatiza la sostenibilidad en el suministro de combustible de aviación.")</f>
        <v>Positivo porque enfatiza la sostenibilidad en el suministro de combustible de aviación.</v>
      </c>
      <c r="P2764" s="30">
        <v>0.8</v>
      </c>
      <c r="Q2764" s="18" t="str">
        <f>IFERROR(__xludf.DUMMYFUNCTION("GOOGLETRANSLATE(R2764,""ES"",""EN"")"),"decarbonization, SAF")</f>
        <v>decarbonization, SAF</v>
      </c>
      <c r="R2764" s="34" t="s">
        <v>19377</v>
      </c>
      <c r="S2764" s="52" t="s">
        <v>19378</v>
      </c>
      <c r="T2764" s="22" t="s">
        <v>19379</v>
      </c>
    </row>
    <row r="2765">
      <c r="A2765" s="23" t="s">
        <v>19455</v>
      </c>
      <c r="B2765" s="77" t="s">
        <v>217</v>
      </c>
      <c r="C2765" s="41">
        <v>45503.0</v>
      </c>
      <c r="D2765" s="40" t="s">
        <v>19456</v>
      </c>
      <c r="E2765" s="41" t="s">
        <v>19457</v>
      </c>
      <c r="F2765" s="43" t="s">
        <v>19458</v>
      </c>
      <c r="G2765" s="43" t="s">
        <v>19459</v>
      </c>
      <c r="H2765" s="51" t="s">
        <v>661</v>
      </c>
      <c r="I2765" s="25" t="str">
        <f>IFERROR(__xludf.DUMMYFUNCTION("GOOGLETRANSLATE(H2765,""EN"",""ES"")"),"Estrategia empresarial")</f>
        <v>Estrategia empresarial</v>
      </c>
      <c r="J2765" s="26" t="s">
        <v>35</v>
      </c>
      <c r="K2765" s="48">
        <v>0.7</v>
      </c>
      <c r="L2765" s="49" t="s">
        <v>19460</v>
      </c>
      <c r="M2765" s="28" t="s">
        <v>19461</v>
      </c>
      <c r="N2765" s="83" t="s">
        <v>19462</v>
      </c>
      <c r="O2765" s="83" t="str">
        <f>IFERROR(__xludf.DUMMYFUNCTION("GOOGLETRANSLATE(N2765,""EN"",""ES"")"),"Positivo porque refleja la reestructuración estratégica y la optimización de activos de Repsol.")</f>
        <v>Positivo porque refleja la reestructuración estratégica y la optimización de activos de Repsol.</v>
      </c>
      <c r="P2765" s="30">
        <v>0.2</v>
      </c>
      <c r="Q2765" s="31" t="str">
        <f>IFERROR(__xludf.DUMMYFUNCTION("GOOGLETRANSLATE(R2765,""ES"",""EN"")"),"divestments")</f>
        <v>divestments</v>
      </c>
      <c r="R2765" s="28" t="s">
        <v>19463</v>
      </c>
      <c r="S2765" s="53" t="s">
        <v>19464</v>
      </c>
      <c r="T2765" s="32" t="s">
        <v>19465</v>
      </c>
    </row>
    <row r="2766">
      <c r="A2766" s="33" t="s">
        <v>19466</v>
      </c>
      <c r="B2766" s="76" t="s">
        <v>952</v>
      </c>
      <c r="C2766" s="41">
        <v>45503.0</v>
      </c>
      <c r="D2766" s="40" t="s">
        <v>19467</v>
      </c>
      <c r="E2766" s="41" t="s">
        <v>19468</v>
      </c>
      <c r="F2766" s="43" t="s">
        <v>19469</v>
      </c>
      <c r="G2766" s="43" t="s">
        <v>19470</v>
      </c>
      <c r="H2766" s="51" t="s">
        <v>34</v>
      </c>
      <c r="I2766" s="15" t="str">
        <f>IFERROR(__xludf.DUMMYFUNCTION("GOOGLETRANSLATE(H2766,""EN"",""ES"")"),"Responsabilidad Social Corporativa")</f>
        <v>Responsabilidad Social Corporativa</v>
      </c>
      <c r="J2766" s="16" t="s">
        <v>35</v>
      </c>
      <c r="K2766" s="48">
        <v>0.7</v>
      </c>
      <c r="L2766" s="51" t="s">
        <v>17016</v>
      </c>
      <c r="M2766" s="34" t="s">
        <v>17017</v>
      </c>
      <c r="N2766" s="86" t="s">
        <v>19471</v>
      </c>
      <c r="O2766" s="86" t="str">
        <f>IFERROR(__xludf.DUMMYFUNCTION("GOOGLETRANSLATE(N2766,""EN"",""ES"")"),"Positivo porque muestra el apoyo de Repsol a la educación y el desarrollo laboral.")</f>
        <v>Positivo porque muestra el apoyo de Repsol a la educación y el desarrollo laboral.</v>
      </c>
      <c r="P2766" s="30">
        <v>0.2</v>
      </c>
      <c r="Q2766" s="18" t="str">
        <f>IFERROR(__xludf.DUMMYFUNCTION("GOOGLETRANSLATE(R2766,""ES"",""EN"")"),"practices")</f>
        <v>practices</v>
      </c>
      <c r="R2766" s="34" t="s">
        <v>17019</v>
      </c>
      <c r="S2766" s="52" t="s">
        <v>15490</v>
      </c>
      <c r="T2766" s="22" t="s">
        <v>15491</v>
      </c>
    </row>
    <row r="2767">
      <c r="A2767" s="23" t="s">
        <v>19472</v>
      </c>
      <c r="B2767" s="77" t="s">
        <v>163</v>
      </c>
      <c r="C2767" s="41">
        <v>45503.0</v>
      </c>
      <c r="D2767" s="40" t="s">
        <v>19473</v>
      </c>
      <c r="E2767" s="41" t="s">
        <v>19473</v>
      </c>
      <c r="F2767" s="43" t="s">
        <v>19474</v>
      </c>
      <c r="G2767" s="43" t="s">
        <v>19474</v>
      </c>
      <c r="H2767" s="51" t="s">
        <v>8777</v>
      </c>
      <c r="I2767" s="25" t="str">
        <f>IFERROR(__xludf.DUMMYFUNCTION("GOOGLETRANSLATE(H2767,""EN"",""ES"")"),"Cultura")</f>
        <v>Cultura</v>
      </c>
      <c r="J2767" s="26" t="s">
        <v>27</v>
      </c>
      <c r="K2767" s="17">
        <v>0.0</v>
      </c>
      <c r="L2767" s="54"/>
      <c r="M2767" s="31"/>
      <c r="N2767" s="83"/>
      <c r="O2767" s="83"/>
      <c r="P2767" s="20">
        <v>0.0</v>
      </c>
      <c r="Q2767" s="31"/>
      <c r="R2767" s="31"/>
      <c r="S2767" s="53"/>
      <c r="T2767" s="32"/>
    </row>
    <row r="2768">
      <c r="A2768" s="33" t="s">
        <v>19475</v>
      </c>
      <c r="B2768" s="76" t="s">
        <v>21</v>
      </c>
      <c r="C2768" s="41">
        <v>45503.0</v>
      </c>
      <c r="D2768" s="40" t="s">
        <v>19476</v>
      </c>
      <c r="E2768" s="41" t="s">
        <v>19477</v>
      </c>
      <c r="F2768" s="43" t="s">
        <v>19478</v>
      </c>
      <c r="G2768" s="43" t="s">
        <v>19479</v>
      </c>
      <c r="H2768" s="51" t="s">
        <v>969</v>
      </c>
      <c r="I2768" s="15" t="str">
        <f>IFERROR(__xludf.DUMMYFUNCTION("GOOGLETRANSLATE(H2768,""EN"",""ES"")"),"Turismo")</f>
        <v>Turismo</v>
      </c>
      <c r="J2768" s="16" t="s">
        <v>27</v>
      </c>
      <c r="K2768" s="17">
        <v>0.0</v>
      </c>
      <c r="L2768" s="45"/>
      <c r="M2768" s="18"/>
      <c r="N2768" s="86"/>
      <c r="O2768" s="86"/>
      <c r="P2768" s="20">
        <v>0.0</v>
      </c>
      <c r="Q2768" s="18"/>
      <c r="R2768" s="18"/>
      <c r="S2768" s="52"/>
      <c r="T2768" s="22"/>
    </row>
    <row r="2769">
      <c r="A2769" s="23" t="s">
        <v>19480</v>
      </c>
      <c r="B2769" s="77" t="s">
        <v>4432</v>
      </c>
      <c r="C2769" s="41">
        <v>45503.0</v>
      </c>
      <c r="D2769" s="40" t="s">
        <v>19481</v>
      </c>
      <c r="E2769" s="41" t="s">
        <v>19482</v>
      </c>
      <c r="F2769" s="43" t="s">
        <v>19483</v>
      </c>
      <c r="G2769" s="43" t="s">
        <v>19484</v>
      </c>
      <c r="H2769" s="51" t="s">
        <v>55</v>
      </c>
      <c r="I2769" s="25" t="str">
        <f>IFERROR(__xludf.DUMMYFUNCTION("GOOGLETRANSLATE(H2769,""EN"",""ES"")"),"deportes de motor")</f>
        <v>deportes de motor</v>
      </c>
      <c r="J2769" s="26" t="s">
        <v>27</v>
      </c>
      <c r="K2769" s="17">
        <v>0.0</v>
      </c>
      <c r="L2769" s="54"/>
      <c r="M2769" s="31"/>
      <c r="N2769" s="83"/>
      <c r="O2769" s="83"/>
      <c r="P2769" s="20">
        <v>0.0</v>
      </c>
      <c r="Q2769" s="31"/>
      <c r="R2769" s="31"/>
      <c r="S2769" s="53"/>
      <c r="T2769" s="32"/>
    </row>
    <row r="2770">
      <c r="A2770" s="33" t="s">
        <v>19485</v>
      </c>
      <c r="B2770" s="76" t="s">
        <v>2696</v>
      </c>
      <c r="C2770" s="41">
        <v>45503.0</v>
      </c>
      <c r="D2770" s="40" t="s">
        <v>19486</v>
      </c>
      <c r="E2770" s="41" t="s">
        <v>19487</v>
      </c>
      <c r="F2770" s="43" t="s">
        <v>19488</v>
      </c>
      <c r="G2770" s="43" t="s">
        <v>19489</v>
      </c>
      <c r="H2770" s="51" t="s">
        <v>48</v>
      </c>
      <c r="I2770" s="15" t="str">
        <f>IFERROR(__xludf.DUMMYFUNCTION("GOOGLETRANSLATE(H2770,""EN"",""ES"")"),"Finanzas")</f>
        <v>Finanzas</v>
      </c>
      <c r="J2770" s="16" t="s">
        <v>35</v>
      </c>
      <c r="K2770" s="48">
        <v>0.7</v>
      </c>
      <c r="L2770" s="51" t="s">
        <v>18953</v>
      </c>
      <c r="M2770" s="34" t="s">
        <v>18954</v>
      </c>
      <c r="N2770" s="86" t="s">
        <v>19490</v>
      </c>
      <c r="O2770" s="86" t="str">
        <f>IFERROR(__xludf.DUMMYFUNCTION("GOOGLETRANSLATE(N2770,""EN"",""ES"")"),"Positivo porque pone de relieve el buen desempeño financiero de Repsol.")</f>
        <v>Positivo porque pone de relieve el buen desempeño financiero de Repsol.</v>
      </c>
      <c r="P2770" s="30">
        <v>0.6</v>
      </c>
      <c r="Q2770" s="18" t="str">
        <f>IFERROR(__xludf.DUMMYFUNCTION("GOOGLETRANSLATE(R2770,""ES"",""EN"")"),"historical profit")</f>
        <v>historical profit</v>
      </c>
      <c r="R2770" s="34" t="s">
        <v>19491</v>
      </c>
      <c r="S2770" s="52" t="s">
        <v>19024</v>
      </c>
      <c r="T2770" s="22" t="s">
        <v>19025</v>
      </c>
    </row>
    <row r="2771">
      <c r="A2771" s="23" t="s">
        <v>19492</v>
      </c>
      <c r="B2771" s="77" t="s">
        <v>1072</v>
      </c>
      <c r="C2771" s="41">
        <v>45503.0</v>
      </c>
      <c r="D2771" s="40" t="s">
        <v>19493</v>
      </c>
      <c r="E2771" s="41" t="s">
        <v>19494</v>
      </c>
      <c r="F2771" s="43" t="s">
        <v>19495</v>
      </c>
      <c r="G2771" s="43" t="s">
        <v>19496</v>
      </c>
      <c r="H2771" s="51" t="s">
        <v>48</v>
      </c>
      <c r="I2771" s="25" t="str">
        <f>IFERROR(__xludf.DUMMYFUNCTION("GOOGLETRANSLATE(H2771,""EN"",""ES"")"),"Finanzas")</f>
        <v>Finanzas</v>
      </c>
      <c r="J2771" s="26" t="s">
        <v>27</v>
      </c>
      <c r="K2771" s="17">
        <v>0.0</v>
      </c>
      <c r="L2771" s="54"/>
      <c r="M2771" s="31"/>
      <c r="N2771" s="83"/>
      <c r="O2771" s="83"/>
      <c r="P2771" s="20">
        <v>0.0</v>
      </c>
      <c r="Q2771" s="31"/>
      <c r="R2771" s="31"/>
      <c r="S2771" s="53"/>
      <c r="T2771" s="32"/>
    </row>
    <row r="2772">
      <c r="A2772" s="33" t="s">
        <v>19497</v>
      </c>
      <c r="B2772" s="76" t="s">
        <v>19498</v>
      </c>
      <c r="C2772" s="41">
        <v>45503.0</v>
      </c>
      <c r="D2772" s="40" t="s">
        <v>19499</v>
      </c>
      <c r="E2772" s="41" t="s">
        <v>19500</v>
      </c>
      <c r="F2772" s="43" t="s">
        <v>19501</v>
      </c>
      <c r="G2772" s="43" t="s">
        <v>19502</v>
      </c>
      <c r="H2772" s="51" t="s">
        <v>148</v>
      </c>
      <c r="I2772" s="15" t="str">
        <f>IFERROR(__xludf.DUMMYFUNCTION("GOOGLETRANSLATE(H2772,""EN"",""ES"")"),"Gastronomía")</f>
        <v>Gastronomía</v>
      </c>
      <c r="J2772" s="16" t="s">
        <v>27</v>
      </c>
      <c r="K2772" s="17">
        <v>0.0</v>
      </c>
      <c r="L2772" s="45"/>
      <c r="M2772" s="18"/>
      <c r="N2772" s="86"/>
      <c r="O2772" s="86"/>
      <c r="P2772" s="20">
        <v>0.0</v>
      </c>
      <c r="Q2772" s="18"/>
      <c r="R2772" s="18"/>
      <c r="S2772" s="52"/>
      <c r="T2772" s="22"/>
    </row>
    <row r="2773">
      <c r="A2773" s="23" t="s">
        <v>19503</v>
      </c>
      <c r="B2773" s="77" t="s">
        <v>4283</v>
      </c>
      <c r="C2773" s="41">
        <v>45503.0</v>
      </c>
      <c r="D2773" s="40" t="s">
        <v>19504</v>
      </c>
      <c r="E2773" s="41" t="s">
        <v>19505</v>
      </c>
      <c r="F2773" s="43" t="s">
        <v>19506</v>
      </c>
      <c r="G2773" s="43" t="s">
        <v>19507</v>
      </c>
      <c r="H2773" s="51" t="s">
        <v>55</v>
      </c>
      <c r="I2773" s="25" t="str">
        <f>IFERROR(__xludf.DUMMYFUNCTION("GOOGLETRANSLATE(H2773,""EN"",""ES"")"),"deportes de motor")</f>
        <v>deportes de motor</v>
      </c>
      <c r="J2773" s="26" t="s">
        <v>27</v>
      </c>
      <c r="K2773" s="17">
        <v>0.0</v>
      </c>
      <c r="L2773" s="54"/>
      <c r="M2773" s="31"/>
      <c r="N2773" s="83"/>
      <c r="O2773" s="83"/>
      <c r="P2773" s="20">
        <v>0.0</v>
      </c>
      <c r="Q2773" s="31"/>
      <c r="R2773" s="31"/>
      <c r="S2773" s="53"/>
      <c r="T2773" s="32"/>
    </row>
    <row r="2774">
      <c r="A2774" s="33" t="s">
        <v>19508</v>
      </c>
      <c r="B2774" s="76" t="s">
        <v>85</v>
      </c>
      <c r="C2774" s="41">
        <v>45503.0</v>
      </c>
      <c r="D2774" s="40" t="s">
        <v>19509</v>
      </c>
      <c r="E2774" s="41" t="s">
        <v>19510</v>
      </c>
      <c r="F2774" s="43" t="s">
        <v>19511</v>
      </c>
      <c r="G2774" s="43" t="s">
        <v>19512</v>
      </c>
      <c r="H2774" s="51" t="s">
        <v>48</v>
      </c>
      <c r="I2774" s="15" t="str">
        <f>IFERROR(__xludf.DUMMYFUNCTION("GOOGLETRANSLATE(H2774,""EN"",""ES"")"),"Finanzas")</f>
        <v>Finanzas</v>
      </c>
      <c r="J2774" s="16" t="s">
        <v>27</v>
      </c>
      <c r="K2774" s="17">
        <v>0.0</v>
      </c>
      <c r="L2774" s="45"/>
      <c r="M2774" s="18"/>
      <c r="N2774" s="86"/>
      <c r="O2774" s="86"/>
      <c r="P2774" s="20">
        <v>0.0</v>
      </c>
      <c r="Q2774" s="18"/>
      <c r="R2774" s="18"/>
      <c r="S2774" s="52"/>
      <c r="T2774" s="22"/>
    </row>
    <row r="2775">
      <c r="A2775" s="23" t="s">
        <v>19513</v>
      </c>
      <c r="B2775" s="77" t="s">
        <v>19514</v>
      </c>
      <c r="C2775" s="41">
        <v>45504.0</v>
      </c>
      <c r="D2775" s="40" t="s">
        <v>19515</v>
      </c>
      <c r="E2775" s="41" t="s">
        <v>19516</v>
      </c>
      <c r="F2775" s="43" t="s">
        <v>19517</v>
      </c>
      <c r="G2775" s="43" t="s">
        <v>19518</v>
      </c>
      <c r="H2775" s="51" t="s">
        <v>130</v>
      </c>
      <c r="I2775" s="25" t="str">
        <f>IFERROR(__xludf.DUMMYFUNCTION("GOOGLETRANSLATE(H2775,""EN"",""ES"")"),"Sostenibilidad")</f>
        <v>Sostenibilidad</v>
      </c>
      <c r="J2775" s="26" t="s">
        <v>35</v>
      </c>
      <c r="K2775" s="48">
        <v>0.7</v>
      </c>
      <c r="L2775" s="49" t="s">
        <v>18854</v>
      </c>
      <c r="M2775" s="28" t="s">
        <v>18855</v>
      </c>
      <c r="N2775" s="83" t="s">
        <v>19519</v>
      </c>
      <c r="O2775" s="83" t="str">
        <f>IFERROR(__xludf.DUMMYFUNCTION("GOOGLETRANSLATE(N2775,""EN"",""ES"")"),"Positivo porque refuerza el papel de Repsol en sostenibilidad.")</f>
        <v>Positivo porque refuerza el papel de Repsol en sostenibilidad.</v>
      </c>
      <c r="P2775" s="30">
        <v>0.7</v>
      </c>
      <c r="Q2775" s="31" t="str">
        <f>IFERROR(__xludf.DUMMYFUNCTION("GOOGLETRANSLATE(R2775,""ES"",""EN"")"),"sustainable fuel")</f>
        <v>sustainable fuel</v>
      </c>
      <c r="R2775" s="28" t="s">
        <v>10979</v>
      </c>
      <c r="S2775" s="53" t="s">
        <v>19272</v>
      </c>
      <c r="T2775" s="32" t="s">
        <v>19273</v>
      </c>
    </row>
    <row r="2776">
      <c r="A2776" s="33" t="s">
        <v>19520</v>
      </c>
      <c r="B2776" s="76" t="s">
        <v>19521</v>
      </c>
      <c r="C2776" s="41">
        <v>45504.0</v>
      </c>
      <c r="D2776" s="40" t="s">
        <v>19522</v>
      </c>
      <c r="E2776" s="41" t="s">
        <v>19523</v>
      </c>
      <c r="F2776" s="43" t="s">
        <v>19524</v>
      </c>
      <c r="G2776" s="43" t="s">
        <v>19525</v>
      </c>
      <c r="H2776" s="51" t="s">
        <v>130</v>
      </c>
      <c r="I2776" s="15" t="str">
        <f>IFERROR(__xludf.DUMMYFUNCTION("GOOGLETRANSLATE(H2776,""EN"",""ES"")"),"Sostenibilidad")</f>
        <v>Sostenibilidad</v>
      </c>
      <c r="J2776" s="16" t="s">
        <v>35</v>
      </c>
      <c r="K2776" s="48">
        <v>0.7</v>
      </c>
      <c r="L2776" s="51" t="s">
        <v>16837</v>
      </c>
      <c r="M2776" s="34" t="s">
        <v>16838</v>
      </c>
      <c r="N2776" s="86" t="s">
        <v>19526</v>
      </c>
      <c r="O2776" s="86" t="str">
        <f>IFERROR(__xludf.DUMMYFUNCTION("GOOGLETRANSLATE(N2776,""EN"",""ES"")"),"Positivo porque pone de relieve la expansión del negocio de Repsol.")</f>
        <v>Positivo porque pone de relieve la expansión del negocio de Repsol.</v>
      </c>
      <c r="P2776" s="30">
        <v>0.4</v>
      </c>
      <c r="Q2776" s="18" t="str">
        <f>IFERROR(__xludf.DUMMYFUNCTION("GOOGLETRANSLATE(R2776,""ES"",""EN"")"),"becomes a shareholder")</f>
        <v>becomes a shareholder</v>
      </c>
      <c r="R2776" s="34" t="s">
        <v>19527</v>
      </c>
      <c r="S2776" s="52" t="s">
        <v>11616</v>
      </c>
      <c r="T2776" s="22" t="s">
        <v>11617</v>
      </c>
    </row>
    <row r="2777">
      <c r="A2777" s="23" t="s">
        <v>19528</v>
      </c>
      <c r="B2777" s="77" t="s">
        <v>21</v>
      </c>
      <c r="C2777" s="41">
        <v>45504.0</v>
      </c>
      <c r="D2777" s="40" t="s">
        <v>19529</v>
      </c>
      <c r="E2777" s="41" t="s">
        <v>19530</v>
      </c>
      <c r="F2777" s="43" t="s">
        <v>19531</v>
      </c>
      <c r="G2777" s="43" t="s">
        <v>19532</v>
      </c>
      <c r="H2777" s="51" t="s">
        <v>148</v>
      </c>
      <c r="I2777" s="25" t="str">
        <f>IFERROR(__xludf.DUMMYFUNCTION("GOOGLETRANSLATE(H2777,""EN"",""ES"")"),"Gastronomía")</f>
        <v>Gastronomía</v>
      </c>
      <c r="J2777" s="26" t="s">
        <v>27</v>
      </c>
      <c r="K2777" s="17">
        <v>0.0</v>
      </c>
      <c r="L2777" s="54"/>
      <c r="M2777" s="31"/>
      <c r="N2777" s="83"/>
      <c r="O2777" s="83"/>
      <c r="P2777" s="20">
        <v>0.0</v>
      </c>
      <c r="Q2777" s="31"/>
      <c r="R2777" s="31"/>
      <c r="S2777" s="53"/>
      <c r="T2777" s="32"/>
    </row>
    <row r="2778">
      <c r="A2778" s="33" t="s">
        <v>19533</v>
      </c>
      <c r="B2778" s="76" t="s">
        <v>85</v>
      </c>
      <c r="C2778" s="41">
        <v>45504.0</v>
      </c>
      <c r="D2778" s="40" t="s">
        <v>19534</v>
      </c>
      <c r="E2778" s="41" t="s">
        <v>19535</v>
      </c>
      <c r="F2778" s="43" t="s">
        <v>19536</v>
      </c>
      <c r="G2778" s="43" t="s">
        <v>19537</v>
      </c>
      <c r="H2778" s="51" t="s">
        <v>48</v>
      </c>
      <c r="I2778" s="15" t="str">
        <f>IFERROR(__xludf.DUMMYFUNCTION("GOOGLETRANSLATE(H2778,""EN"",""ES"")"),"Finanzas")</f>
        <v>Finanzas</v>
      </c>
      <c r="J2778" s="16" t="s">
        <v>35</v>
      </c>
      <c r="K2778" s="48">
        <v>-0.5</v>
      </c>
      <c r="L2778" s="51" t="s">
        <v>15881</v>
      </c>
      <c r="M2778" s="34" t="s">
        <v>15882</v>
      </c>
      <c r="N2778" s="86" t="s">
        <v>19538</v>
      </c>
      <c r="O2778" s="86" t="str">
        <f>IFERROR(__xludf.DUMMYFUNCTION("GOOGLETRANSLATE(N2778,""EN"",""ES"")"),"Negativo ya que involucra a Repsol en un supuesto caso de cártel.")</f>
        <v>Negativo ya que involucra a Repsol en un supuesto caso de cártel.</v>
      </c>
      <c r="P2778" s="30">
        <v>-0.7</v>
      </c>
      <c r="Q2778" s="18" t="str">
        <f>IFERROR(__xludf.DUMMYFUNCTION("GOOGLETRANSLATE(R2778,""ES"",""EN"")"),"denounce, poster")</f>
        <v>denounce, poster</v>
      </c>
      <c r="R2778" s="34" t="s">
        <v>19539</v>
      </c>
      <c r="S2778" s="52" t="s">
        <v>19540</v>
      </c>
      <c r="T2778" s="22" t="s">
        <v>19541</v>
      </c>
    </row>
    <row r="2779">
      <c r="A2779" s="23" t="s">
        <v>19542</v>
      </c>
      <c r="B2779" s="77" t="s">
        <v>19543</v>
      </c>
      <c r="C2779" s="41">
        <v>45505.0</v>
      </c>
      <c r="D2779" s="40" t="s">
        <v>19544</v>
      </c>
      <c r="E2779" s="41" t="s">
        <v>19545</v>
      </c>
      <c r="F2779" s="43" t="s">
        <v>19546</v>
      </c>
      <c r="G2779" s="43" t="s">
        <v>19547</v>
      </c>
      <c r="H2779" s="51" t="s">
        <v>17454</v>
      </c>
      <c r="I2779" s="25" t="str">
        <f>IFERROR(__xludf.DUMMYFUNCTION("GOOGLETRANSLATE(H2779,""EN"",""ES"")"),"Estilo de vida")</f>
        <v>Estilo de vida</v>
      </c>
      <c r="J2779" s="26" t="s">
        <v>27</v>
      </c>
      <c r="K2779" s="17">
        <v>0.0</v>
      </c>
      <c r="L2779" s="54"/>
      <c r="M2779" s="31"/>
      <c r="N2779" s="83"/>
      <c r="O2779" s="83"/>
      <c r="P2779" s="20">
        <v>0.0</v>
      </c>
      <c r="Q2779" s="31"/>
      <c r="R2779" s="31"/>
      <c r="S2779" s="53"/>
      <c r="T2779" s="32"/>
    </row>
    <row r="2780">
      <c r="A2780" s="33" t="s">
        <v>19548</v>
      </c>
      <c r="B2780" s="76" t="s">
        <v>4038</v>
      </c>
      <c r="C2780" s="41">
        <v>45504.0</v>
      </c>
      <c r="D2780" s="40" t="s">
        <v>19549</v>
      </c>
      <c r="E2780" s="41" t="s">
        <v>19550</v>
      </c>
      <c r="F2780" s="43" t="s">
        <v>19551</v>
      </c>
      <c r="G2780" s="43" t="s">
        <v>19552</v>
      </c>
      <c r="H2780" s="51" t="s">
        <v>148</v>
      </c>
      <c r="I2780" s="15" t="str">
        <f>IFERROR(__xludf.DUMMYFUNCTION("GOOGLETRANSLATE(H2780,""EN"",""ES"")"),"Gastronomía")</f>
        <v>Gastronomía</v>
      </c>
      <c r="J2780" s="16" t="s">
        <v>27</v>
      </c>
      <c r="K2780" s="17">
        <v>0.0</v>
      </c>
      <c r="L2780" s="45"/>
      <c r="M2780" s="18"/>
      <c r="N2780" s="86"/>
      <c r="O2780" s="86"/>
      <c r="P2780" s="20">
        <v>0.0</v>
      </c>
      <c r="Q2780" s="18"/>
      <c r="R2780" s="18"/>
      <c r="S2780" s="52"/>
      <c r="T2780" s="22"/>
    </row>
    <row r="2781">
      <c r="A2781" s="23" t="s">
        <v>19553</v>
      </c>
      <c r="B2781" s="77" t="s">
        <v>163</v>
      </c>
      <c r="C2781" s="41">
        <v>45504.0</v>
      </c>
      <c r="D2781" s="40" t="s">
        <v>19554</v>
      </c>
      <c r="E2781" s="41" t="s">
        <v>19555</v>
      </c>
      <c r="F2781" s="43" t="s">
        <v>19556</v>
      </c>
      <c r="G2781" s="43" t="s">
        <v>19557</v>
      </c>
      <c r="H2781" s="51" t="s">
        <v>8756</v>
      </c>
      <c r="I2781" s="25" t="str">
        <f>IFERROR(__xludf.DUMMYFUNCTION("GOOGLETRANSLATE(H2781,""EN"",""ES"")"),"Automotor")</f>
        <v>Automotor</v>
      </c>
      <c r="J2781" s="26" t="s">
        <v>27</v>
      </c>
      <c r="K2781" s="17">
        <v>0.0</v>
      </c>
      <c r="L2781" s="54"/>
      <c r="M2781" s="31"/>
      <c r="N2781" s="83"/>
      <c r="O2781" s="83"/>
      <c r="P2781" s="20">
        <v>0.0</v>
      </c>
      <c r="Q2781" s="31"/>
      <c r="R2781" s="31"/>
      <c r="S2781" s="53"/>
      <c r="T2781" s="32"/>
    </row>
    <row r="2782">
      <c r="A2782" s="33" t="s">
        <v>19558</v>
      </c>
      <c r="B2782" s="76" t="s">
        <v>977</v>
      </c>
      <c r="C2782" s="41">
        <v>45504.0</v>
      </c>
      <c r="D2782" s="40" t="s">
        <v>19559</v>
      </c>
      <c r="E2782" s="41" t="s">
        <v>19560</v>
      </c>
      <c r="F2782" s="43" t="s">
        <v>19561</v>
      </c>
      <c r="G2782" s="43" t="s">
        <v>19562</v>
      </c>
      <c r="H2782" s="51" t="s">
        <v>148</v>
      </c>
      <c r="I2782" s="15" t="str">
        <f>IFERROR(__xludf.DUMMYFUNCTION("GOOGLETRANSLATE(H2782,""EN"",""ES"")"),"Gastronomía")</f>
        <v>Gastronomía</v>
      </c>
      <c r="J2782" s="16" t="s">
        <v>27</v>
      </c>
      <c r="K2782" s="17">
        <v>0.0</v>
      </c>
      <c r="L2782" s="45"/>
      <c r="M2782" s="18"/>
      <c r="N2782" s="86"/>
      <c r="O2782" s="86"/>
      <c r="P2782" s="20">
        <v>0.0</v>
      </c>
      <c r="Q2782" s="18"/>
      <c r="R2782" s="18"/>
      <c r="S2782" s="52"/>
      <c r="T2782" s="22"/>
    </row>
    <row r="2783">
      <c r="A2783" s="23" t="s">
        <v>19563</v>
      </c>
      <c r="B2783" s="77" t="s">
        <v>85</v>
      </c>
      <c r="C2783" s="41">
        <v>45504.0</v>
      </c>
      <c r="D2783" s="40" t="s">
        <v>19564</v>
      </c>
      <c r="E2783" s="41" t="s">
        <v>19565</v>
      </c>
      <c r="F2783" s="43" t="s">
        <v>19566</v>
      </c>
      <c r="G2783" s="43" t="s">
        <v>19567</v>
      </c>
      <c r="H2783" s="51" t="s">
        <v>148</v>
      </c>
      <c r="I2783" s="25" t="str">
        <f>IFERROR(__xludf.DUMMYFUNCTION("GOOGLETRANSLATE(H2783,""EN"",""ES"")"),"Gastronomía")</f>
        <v>Gastronomía</v>
      </c>
      <c r="J2783" s="26" t="s">
        <v>27</v>
      </c>
      <c r="K2783" s="17">
        <v>0.0</v>
      </c>
      <c r="L2783" s="54"/>
      <c r="M2783" s="31"/>
      <c r="N2783" s="83"/>
      <c r="O2783" s="83"/>
      <c r="P2783" s="20">
        <v>0.0</v>
      </c>
      <c r="Q2783" s="31"/>
      <c r="R2783" s="31"/>
      <c r="S2783" s="53"/>
      <c r="T2783" s="32"/>
    </row>
    <row r="2784">
      <c r="A2784" s="33" t="s">
        <v>19568</v>
      </c>
      <c r="B2784" s="76" t="s">
        <v>254</v>
      </c>
      <c r="C2784" s="41">
        <v>45504.0</v>
      </c>
      <c r="D2784" s="40" t="s">
        <v>19569</v>
      </c>
      <c r="E2784" s="41" t="s">
        <v>19570</v>
      </c>
      <c r="F2784" s="43" t="s">
        <v>19571</v>
      </c>
      <c r="G2784" s="43" t="s">
        <v>19572</v>
      </c>
      <c r="H2784" s="51" t="s">
        <v>130</v>
      </c>
      <c r="I2784" s="15" t="str">
        <f>IFERROR(__xludf.DUMMYFUNCTION("GOOGLETRANSLATE(H2784,""EN"",""ES"")"),"Sostenibilidad")</f>
        <v>Sostenibilidad</v>
      </c>
      <c r="J2784" s="16" t="s">
        <v>35</v>
      </c>
      <c r="K2784" s="48">
        <v>0.7</v>
      </c>
      <c r="L2784" s="51" t="s">
        <v>18035</v>
      </c>
      <c r="M2784" s="34" t="s">
        <v>18036</v>
      </c>
      <c r="N2784" s="86" t="s">
        <v>19573</v>
      </c>
      <c r="O2784" s="86" t="str">
        <f>IFERROR(__xludf.DUMMYFUNCTION("GOOGLETRANSLATE(N2784,""EN"",""ES"")"),"Positivo porque pone de relieve la apuesta de Repsol por los avances tecnológicos.")</f>
        <v>Positivo porque pone de relieve la apuesta de Repsol por los avances tecnológicos.</v>
      </c>
      <c r="P2784" s="30">
        <v>0.4</v>
      </c>
      <c r="Q2784" s="18" t="str">
        <f>IFERROR(__xludf.DUMMYFUNCTION("GOOGLETRANSLATE(R2784,""ES"",""EN"")"),"technological improvement")</f>
        <v>technological improvement</v>
      </c>
      <c r="R2784" s="34" t="s">
        <v>19574</v>
      </c>
      <c r="S2784" s="52" t="s">
        <v>19575</v>
      </c>
      <c r="T2784" s="22" t="s">
        <v>19576</v>
      </c>
    </row>
    <row r="2785">
      <c r="A2785" s="23" t="s">
        <v>19577</v>
      </c>
      <c r="B2785" s="77" t="s">
        <v>1602</v>
      </c>
      <c r="C2785" s="41">
        <v>45504.0</v>
      </c>
      <c r="D2785" s="40" t="s">
        <v>19578</v>
      </c>
      <c r="E2785" s="41" t="s">
        <v>19579</v>
      </c>
      <c r="F2785" s="43" t="s">
        <v>19580</v>
      </c>
      <c r="G2785" s="43" t="s">
        <v>19581</v>
      </c>
      <c r="H2785" s="51" t="s">
        <v>48</v>
      </c>
      <c r="I2785" s="25" t="str">
        <f>IFERROR(__xludf.DUMMYFUNCTION("GOOGLETRANSLATE(H2785,""EN"",""ES"")"),"Finanzas")</f>
        <v>Finanzas</v>
      </c>
      <c r="J2785" s="26" t="s">
        <v>27</v>
      </c>
      <c r="K2785" s="17">
        <v>0.0</v>
      </c>
      <c r="L2785" s="54"/>
      <c r="M2785" s="31"/>
      <c r="N2785" s="83"/>
      <c r="O2785" s="83"/>
      <c r="P2785" s="20">
        <v>0.0</v>
      </c>
      <c r="Q2785" s="31"/>
      <c r="R2785" s="31"/>
      <c r="S2785" s="53"/>
      <c r="T2785" s="32"/>
    </row>
    <row r="2786">
      <c r="A2786" s="33" t="s">
        <v>19582</v>
      </c>
      <c r="B2786" s="76" t="s">
        <v>12124</v>
      </c>
      <c r="C2786" s="41">
        <v>45504.0</v>
      </c>
      <c r="D2786" s="40" t="s">
        <v>19583</v>
      </c>
      <c r="E2786" s="41" t="s">
        <v>19584</v>
      </c>
      <c r="F2786" s="43" t="s">
        <v>19585</v>
      </c>
      <c r="G2786" s="43" t="s">
        <v>19586</v>
      </c>
      <c r="H2786" s="51" t="s">
        <v>661</v>
      </c>
      <c r="I2786" s="15" t="str">
        <f>IFERROR(__xludf.DUMMYFUNCTION("GOOGLETRANSLATE(H2786,""EN"",""ES"")"),"Estrategia empresarial")</f>
        <v>Estrategia empresarial</v>
      </c>
      <c r="J2786" s="16" t="s">
        <v>35</v>
      </c>
      <c r="K2786" s="48">
        <v>0.7</v>
      </c>
      <c r="L2786" s="51" t="s">
        <v>19587</v>
      </c>
      <c r="M2786" s="34" t="s">
        <v>19588</v>
      </c>
      <c r="N2786" s="86" t="s">
        <v>19589</v>
      </c>
      <c r="O2786" s="86" t="str">
        <f>IFERROR(__xludf.DUMMYFUNCTION("GOOGLETRANSLATE(N2786,""EN"",""ES"")"),"Positivo ya que demuestra la mayor capacidad productiva de Repsol.")</f>
        <v>Positivo ya que demuestra la mayor capacidad productiva de Repsol.</v>
      </c>
      <c r="P2786" s="30">
        <v>0.5</v>
      </c>
      <c r="Q2786" s="18" t="str">
        <f>IFERROR(__xludf.DUMMYFUNCTION("GOOGLETRANSLATE(R2786,""ES"",""EN"")"),"production +20%")</f>
        <v>production +20%</v>
      </c>
      <c r="R2786" s="34" t="s">
        <v>19590</v>
      </c>
      <c r="S2786" s="52" t="s">
        <v>19575</v>
      </c>
      <c r="T2786" s="22" t="s">
        <v>19576</v>
      </c>
    </row>
    <row r="2787">
      <c r="A2787" s="23" t="s">
        <v>19591</v>
      </c>
      <c r="B2787" s="77" t="s">
        <v>254</v>
      </c>
      <c r="C2787" s="41">
        <v>45504.0</v>
      </c>
      <c r="D2787" s="40" t="s">
        <v>19592</v>
      </c>
      <c r="E2787" s="41" t="s">
        <v>19593</v>
      </c>
      <c r="F2787" s="43" t="s">
        <v>19594</v>
      </c>
      <c r="G2787" s="43" t="s">
        <v>19595</v>
      </c>
      <c r="H2787" s="51" t="s">
        <v>130</v>
      </c>
      <c r="I2787" s="25" t="str">
        <f>IFERROR(__xludf.DUMMYFUNCTION("GOOGLETRANSLATE(H2787,""EN"",""ES"")"),"Sostenibilidad")</f>
        <v>Sostenibilidad</v>
      </c>
      <c r="J2787" s="26" t="s">
        <v>35</v>
      </c>
      <c r="K2787" s="48">
        <v>0.7</v>
      </c>
      <c r="L2787" s="49" t="s">
        <v>18035</v>
      </c>
      <c r="M2787" s="28" t="s">
        <v>18036</v>
      </c>
      <c r="N2787" s="83" t="s">
        <v>19596</v>
      </c>
      <c r="O2787" s="83" t="str">
        <f>IFERROR(__xludf.DUMMYFUNCTION("GOOGLETRANSLATE(N2787,""EN"",""ES"")"),"Positivo porque destaca las mejoras de eficiencia en la refinería de Repsol.")</f>
        <v>Positivo porque destaca las mejoras de eficiencia en la refinería de Repsol.</v>
      </c>
      <c r="P2787" s="30">
        <v>0.5</v>
      </c>
      <c r="Q2787" s="31" t="str">
        <f>IFERROR(__xludf.DUMMYFUNCTION("GOOGLETRANSLATE(R2787,""ES"",""EN"")"),"production +20%")</f>
        <v>production +20%</v>
      </c>
      <c r="R2787" s="28" t="s">
        <v>19590</v>
      </c>
      <c r="S2787" s="53" t="s">
        <v>19575</v>
      </c>
      <c r="T2787" s="32" t="s">
        <v>19576</v>
      </c>
    </row>
    <row r="2788">
      <c r="A2788" s="33" t="s">
        <v>19597</v>
      </c>
      <c r="B2788" s="76" t="s">
        <v>3067</v>
      </c>
      <c r="C2788" s="41">
        <v>45505.0</v>
      </c>
      <c r="D2788" s="40" t="s">
        <v>19598</v>
      </c>
      <c r="E2788" s="41" t="s">
        <v>19599</v>
      </c>
      <c r="F2788" s="43" t="s">
        <v>19600</v>
      </c>
      <c r="G2788" s="43" t="s">
        <v>19601</v>
      </c>
      <c r="H2788" s="51" t="s">
        <v>130</v>
      </c>
      <c r="I2788" s="15" t="str">
        <f>IFERROR(__xludf.DUMMYFUNCTION("GOOGLETRANSLATE(H2788,""EN"",""ES"")"),"Sostenibilidad")</f>
        <v>Sostenibilidad</v>
      </c>
      <c r="J2788" s="16" t="s">
        <v>35</v>
      </c>
      <c r="K2788" s="48">
        <v>0.7</v>
      </c>
      <c r="L2788" s="51" t="s">
        <v>18854</v>
      </c>
      <c r="M2788" s="34" t="s">
        <v>18855</v>
      </c>
      <c r="N2788" s="86" t="s">
        <v>19602</v>
      </c>
      <c r="O2788" s="86" t="str">
        <f>IFERROR(__xludf.DUMMYFUNCTION("GOOGLETRANSLATE(N2788,""EN"",""ES"")"),"Positivo porque pone de relieve el liderazgo de Repsol en iniciativas de combustibles sostenibles.")</f>
        <v>Positivo porque pone de relieve el liderazgo de Repsol en iniciativas de combustibles sostenibles.</v>
      </c>
      <c r="P2788" s="30">
        <v>0.8</v>
      </c>
      <c r="Q2788" s="18" t="str">
        <f>IFERROR(__xludf.DUMMYFUNCTION("GOOGLETRANSLATE(R2788,""ES"",""EN"")"),"green fuel")</f>
        <v>green fuel</v>
      </c>
      <c r="R2788" s="34" t="s">
        <v>17964</v>
      </c>
      <c r="S2788" s="52" t="s">
        <v>19440</v>
      </c>
      <c r="T2788" s="22" t="s">
        <v>19441</v>
      </c>
    </row>
    <row r="2789">
      <c r="A2789" s="23" t="s">
        <v>19603</v>
      </c>
      <c r="B2789" s="77" t="s">
        <v>21</v>
      </c>
      <c r="C2789" s="41">
        <v>45505.0</v>
      </c>
      <c r="D2789" s="40" t="s">
        <v>19604</v>
      </c>
      <c r="E2789" s="41" t="s">
        <v>19605</v>
      </c>
      <c r="F2789" s="43" t="s">
        <v>19606</v>
      </c>
      <c r="G2789" s="43" t="s">
        <v>19607</v>
      </c>
      <c r="H2789" s="51" t="s">
        <v>148</v>
      </c>
      <c r="I2789" s="25" t="str">
        <f>IFERROR(__xludf.DUMMYFUNCTION("GOOGLETRANSLATE(H2789,""EN"",""ES"")"),"Gastronomía")</f>
        <v>Gastronomía</v>
      </c>
      <c r="J2789" s="26" t="s">
        <v>27</v>
      </c>
      <c r="K2789" s="17">
        <v>0.0</v>
      </c>
      <c r="L2789" s="54"/>
      <c r="M2789" s="31"/>
      <c r="N2789" s="83"/>
      <c r="O2789" s="83"/>
      <c r="P2789" s="20">
        <v>0.0</v>
      </c>
      <c r="Q2789" s="31"/>
      <c r="R2789" s="31"/>
      <c r="S2789" s="53"/>
      <c r="T2789" s="32"/>
    </row>
    <row r="2790">
      <c r="A2790" s="33" t="s">
        <v>19608</v>
      </c>
      <c r="B2790" s="76" t="s">
        <v>2417</v>
      </c>
      <c r="C2790" s="41">
        <v>45505.0</v>
      </c>
      <c r="D2790" s="40" t="s">
        <v>19609</v>
      </c>
      <c r="E2790" s="41" t="s">
        <v>19610</v>
      </c>
      <c r="F2790" s="43" t="s">
        <v>19611</v>
      </c>
      <c r="G2790" s="43" t="s">
        <v>19612</v>
      </c>
      <c r="H2790" s="51" t="s">
        <v>130</v>
      </c>
      <c r="I2790" s="15" t="str">
        <f>IFERROR(__xludf.DUMMYFUNCTION("GOOGLETRANSLATE(H2790,""EN"",""ES"")"),"Sostenibilidad")</f>
        <v>Sostenibilidad</v>
      </c>
      <c r="J2790" s="16" t="s">
        <v>35</v>
      </c>
      <c r="K2790" s="48">
        <v>0.7</v>
      </c>
      <c r="L2790" s="51" t="s">
        <v>18854</v>
      </c>
      <c r="M2790" s="34" t="s">
        <v>18855</v>
      </c>
      <c r="N2790" s="86" t="s">
        <v>19613</v>
      </c>
      <c r="O2790" s="86" t="str">
        <f>IFERROR(__xludf.DUMMYFUNCTION("GOOGLETRANSLATE(N2790,""EN"",""ES"")"),"Positivo porque pone de relieve el papel de Repsol en el avance de la aviación sostenible.")</f>
        <v>Positivo porque pone de relieve el papel de Repsol en el avance de la aviación sostenible.</v>
      </c>
      <c r="P2790" s="30">
        <v>0.7</v>
      </c>
      <c r="Q2790" s="18" t="str">
        <f>IFERROR(__xludf.DUMMYFUNCTION("GOOGLETRANSLATE(R2790,""ES"",""EN"")"),"sustainable fuel")</f>
        <v>sustainable fuel</v>
      </c>
      <c r="R2790" s="34" t="s">
        <v>10979</v>
      </c>
      <c r="S2790" s="52" t="s">
        <v>19272</v>
      </c>
      <c r="T2790" s="22" t="s">
        <v>19273</v>
      </c>
    </row>
    <row r="2791">
      <c r="A2791" s="23" t="s">
        <v>19614</v>
      </c>
      <c r="B2791" s="77" t="s">
        <v>19615</v>
      </c>
      <c r="C2791" s="41">
        <v>45505.0</v>
      </c>
      <c r="D2791" s="40" t="s">
        <v>19616</v>
      </c>
      <c r="E2791" s="41" t="s">
        <v>19617</v>
      </c>
      <c r="F2791" s="43" t="s">
        <v>19618</v>
      </c>
      <c r="G2791" s="43" t="s">
        <v>19619</v>
      </c>
      <c r="H2791" s="51" t="s">
        <v>55</v>
      </c>
      <c r="I2791" s="25" t="str">
        <f>IFERROR(__xludf.DUMMYFUNCTION("GOOGLETRANSLATE(H2791,""EN"",""ES"")"),"deportes de motor")</f>
        <v>deportes de motor</v>
      </c>
      <c r="J2791" s="26" t="s">
        <v>27</v>
      </c>
      <c r="K2791" s="17">
        <v>0.0</v>
      </c>
      <c r="L2791" s="72"/>
      <c r="M2791" s="31"/>
      <c r="N2791" s="83"/>
      <c r="O2791" s="83"/>
      <c r="P2791" s="20">
        <v>0.0</v>
      </c>
      <c r="Q2791" s="31"/>
      <c r="R2791" s="31"/>
      <c r="S2791" s="53"/>
      <c r="T2791" s="32"/>
    </row>
    <row r="2792">
      <c r="A2792" s="33" t="s">
        <v>19620</v>
      </c>
      <c r="B2792" s="76" t="s">
        <v>21</v>
      </c>
      <c r="C2792" s="41">
        <v>45505.0</v>
      </c>
      <c r="D2792" s="40" t="s">
        <v>19621</v>
      </c>
      <c r="E2792" s="41" t="s">
        <v>19622</v>
      </c>
      <c r="F2792" s="43" t="s">
        <v>19623</v>
      </c>
      <c r="G2792" s="43" t="s">
        <v>19624</v>
      </c>
      <c r="H2792" s="51" t="s">
        <v>969</v>
      </c>
      <c r="I2792" s="15" t="str">
        <f>IFERROR(__xludf.DUMMYFUNCTION("GOOGLETRANSLATE(H2792,""EN"",""ES"")"),"Turismo")</f>
        <v>Turismo</v>
      </c>
      <c r="J2792" s="16" t="s">
        <v>27</v>
      </c>
      <c r="K2792" s="17">
        <v>0.0</v>
      </c>
      <c r="L2792" s="72"/>
      <c r="M2792" s="18"/>
      <c r="N2792" s="86"/>
      <c r="O2792" s="86"/>
      <c r="P2792" s="20">
        <v>0.0</v>
      </c>
      <c r="Q2792" s="18"/>
      <c r="R2792" s="18"/>
      <c r="S2792" s="52"/>
      <c r="T2792" s="22"/>
    </row>
    <row r="2793">
      <c r="A2793" s="23" t="s">
        <v>19625</v>
      </c>
      <c r="B2793" s="77" t="s">
        <v>163</v>
      </c>
      <c r="C2793" s="41">
        <v>45505.0</v>
      </c>
      <c r="D2793" s="40" t="s">
        <v>19626</v>
      </c>
      <c r="E2793" s="41" t="s">
        <v>19627</v>
      </c>
      <c r="F2793" s="43" t="s">
        <v>19628</v>
      </c>
      <c r="G2793" s="43" t="s">
        <v>19629</v>
      </c>
      <c r="H2793" s="51" t="s">
        <v>8756</v>
      </c>
      <c r="I2793" s="25" t="str">
        <f>IFERROR(__xludf.DUMMYFUNCTION("GOOGLETRANSLATE(H2793,""EN"",""ES"")"),"Automotor")</f>
        <v>Automotor</v>
      </c>
      <c r="J2793" s="26" t="s">
        <v>27</v>
      </c>
      <c r="K2793" s="17">
        <v>0.0</v>
      </c>
      <c r="L2793" s="72"/>
      <c r="M2793" s="31"/>
      <c r="N2793" s="83"/>
      <c r="O2793" s="83"/>
      <c r="P2793" s="20">
        <v>0.0</v>
      </c>
      <c r="Q2793" s="31"/>
      <c r="R2793" s="31"/>
      <c r="S2793" s="53"/>
      <c r="T2793" s="32"/>
    </row>
    <row r="2794">
      <c r="A2794" s="33" t="s">
        <v>19630</v>
      </c>
      <c r="B2794" s="76" t="s">
        <v>21</v>
      </c>
      <c r="C2794" s="41">
        <v>45505.0</v>
      </c>
      <c r="D2794" s="40" t="s">
        <v>19631</v>
      </c>
      <c r="E2794" s="41" t="s">
        <v>19632</v>
      </c>
      <c r="F2794" s="43" t="s">
        <v>19633</v>
      </c>
      <c r="G2794" s="43" t="s">
        <v>19634</v>
      </c>
      <c r="H2794" s="51" t="s">
        <v>148</v>
      </c>
      <c r="I2794" s="15" t="str">
        <f>IFERROR(__xludf.DUMMYFUNCTION("GOOGLETRANSLATE(H2794,""EN"",""ES"")"),"Gastronomía")</f>
        <v>Gastronomía</v>
      </c>
      <c r="J2794" s="16" t="s">
        <v>27</v>
      </c>
      <c r="K2794" s="17">
        <v>0.0</v>
      </c>
      <c r="L2794" s="72"/>
      <c r="M2794" s="18"/>
      <c r="N2794" s="86"/>
      <c r="O2794" s="86"/>
      <c r="P2794" s="20">
        <v>0.0</v>
      </c>
      <c r="Q2794" s="18"/>
      <c r="R2794" s="18"/>
      <c r="S2794" s="52"/>
      <c r="T2794" s="22"/>
    </row>
    <row r="2795">
      <c r="A2795" s="23" t="s">
        <v>19635</v>
      </c>
      <c r="B2795" s="77" t="s">
        <v>14748</v>
      </c>
      <c r="C2795" s="41">
        <v>45505.0</v>
      </c>
      <c r="D2795" s="40" t="s">
        <v>19636</v>
      </c>
      <c r="E2795" s="41" t="s">
        <v>19637</v>
      </c>
      <c r="F2795" s="43" t="s">
        <v>19638</v>
      </c>
      <c r="G2795" s="43" t="s">
        <v>19639</v>
      </c>
      <c r="H2795" s="51" t="s">
        <v>55</v>
      </c>
      <c r="I2795" s="25" t="str">
        <f>IFERROR(__xludf.DUMMYFUNCTION("GOOGLETRANSLATE(H2795,""EN"",""ES"")"),"deportes de motor")</f>
        <v>deportes de motor</v>
      </c>
      <c r="J2795" s="26" t="s">
        <v>27</v>
      </c>
      <c r="K2795" s="17">
        <v>0.0</v>
      </c>
      <c r="L2795" s="72"/>
      <c r="M2795" s="31"/>
      <c r="N2795" s="83"/>
      <c r="O2795" s="83"/>
      <c r="P2795" s="20">
        <v>0.0</v>
      </c>
      <c r="Q2795" s="31"/>
      <c r="R2795" s="31"/>
      <c r="S2795" s="53"/>
      <c r="T2795" s="32"/>
    </row>
    <row r="2796">
      <c r="A2796" s="33" t="s">
        <v>19640</v>
      </c>
      <c r="B2796" s="76" t="s">
        <v>57</v>
      </c>
      <c r="C2796" s="41">
        <v>45505.0</v>
      </c>
      <c r="D2796" s="40" t="s">
        <v>19641</v>
      </c>
      <c r="E2796" s="41" t="s">
        <v>19642</v>
      </c>
      <c r="F2796" s="43" t="s">
        <v>19643</v>
      </c>
      <c r="G2796" s="43" t="s">
        <v>19644</v>
      </c>
      <c r="H2796" s="51" t="s">
        <v>661</v>
      </c>
      <c r="I2796" s="15" t="str">
        <f>IFERROR(__xludf.DUMMYFUNCTION("GOOGLETRANSLATE(H2796,""EN"",""ES"")"),"Estrategia empresarial")</f>
        <v>Estrategia empresarial</v>
      </c>
      <c r="J2796" s="16" t="s">
        <v>35</v>
      </c>
      <c r="K2796" s="48">
        <v>-0.5</v>
      </c>
      <c r="L2796" s="73" t="s">
        <v>19645</v>
      </c>
      <c r="M2796" s="34" t="s">
        <v>19646</v>
      </c>
      <c r="N2796" s="86" t="s">
        <v>19647</v>
      </c>
      <c r="O2796" s="86" t="str">
        <f>IFERROR(__xludf.DUMMYFUNCTION("GOOGLETRANSLATE(N2796,""EN"",""ES"")"),"Negativo porque pone de relieve las fluctuaciones de los precios del combustible, que pueden considerarse desfavorables para los consumidores.")</f>
        <v>Negativo porque pone de relieve las fluctuaciones de los precios del combustible, que pueden considerarse desfavorables para los consumidores.</v>
      </c>
      <c r="P2796" s="30">
        <v>0.0</v>
      </c>
      <c r="Q2796" s="18"/>
      <c r="R2796" s="18"/>
      <c r="S2796" s="52" t="s">
        <v>12139</v>
      </c>
      <c r="T2796" s="22" t="s">
        <v>12140</v>
      </c>
    </row>
    <row r="2797">
      <c r="A2797" s="23" t="s">
        <v>19648</v>
      </c>
      <c r="B2797" s="77" t="s">
        <v>2008</v>
      </c>
      <c r="C2797" s="41">
        <v>45506.0</v>
      </c>
      <c r="D2797" s="40" t="s">
        <v>19649</v>
      </c>
      <c r="E2797" s="41" t="s">
        <v>19650</v>
      </c>
      <c r="F2797" s="43" t="s">
        <v>19651</v>
      </c>
      <c r="G2797" s="43" t="s">
        <v>19652</v>
      </c>
      <c r="H2797" s="51" t="s">
        <v>130</v>
      </c>
      <c r="I2797" s="25" t="str">
        <f>IFERROR(__xludf.DUMMYFUNCTION("GOOGLETRANSLATE(H2797,""EN"",""ES"")"),"Sostenibilidad")</f>
        <v>Sostenibilidad</v>
      </c>
      <c r="J2797" s="26" t="s">
        <v>35</v>
      </c>
      <c r="K2797" s="48">
        <v>0.7</v>
      </c>
      <c r="L2797" s="73" t="s">
        <v>19653</v>
      </c>
      <c r="M2797" s="28" t="s">
        <v>19654</v>
      </c>
      <c r="N2797" s="83" t="s">
        <v>19655</v>
      </c>
      <c r="O2797" s="83" t="str">
        <f>IFERROR(__xludf.DUMMYFUNCTION("GOOGLETRANSLATE(N2797,""EN"",""ES"")"),"Positivo porque pone de relieve la apuesta de Repsol por los patrocinios culturales.")</f>
        <v>Positivo porque pone de relieve la apuesta de Repsol por los patrocinios culturales.</v>
      </c>
      <c r="P2797" s="30">
        <v>0.3</v>
      </c>
      <c r="Q2797" s="31" t="str">
        <f>IFERROR(__xludf.DUMMYFUNCTION("GOOGLETRANSLATE(R2797,""ES"",""EN"")"),"multi-energy")</f>
        <v>multi-energy</v>
      </c>
      <c r="R2797" s="28" t="s">
        <v>11221</v>
      </c>
      <c r="S2797" s="53" t="s">
        <v>19656</v>
      </c>
      <c r="T2797" s="32" t="s">
        <v>19657</v>
      </c>
    </row>
    <row r="2798">
      <c r="A2798" s="33" t="s">
        <v>19658</v>
      </c>
      <c r="B2798" s="76" t="s">
        <v>2696</v>
      </c>
      <c r="C2798" s="41">
        <v>45506.0</v>
      </c>
      <c r="D2798" s="40" t="s">
        <v>19659</v>
      </c>
      <c r="E2798" s="41" t="s">
        <v>19660</v>
      </c>
      <c r="F2798" s="43" t="s">
        <v>19661</v>
      </c>
      <c r="G2798" s="43" t="s">
        <v>19662</v>
      </c>
      <c r="H2798" s="51" t="s">
        <v>939</v>
      </c>
      <c r="I2798" s="15" t="str">
        <f>IFERROR(__xludf.DUMMYFUNCTION("GOOGLETRANSLATE(H2798,""EN"",""ES"")"),"Seguridad")</f>
        <v>Seguridad</v>
      </c>
      <c r="J2798" s="16" t="s">
        <v>35</v>
      </c>
      <c r="K2798" s="48">
        <v>-0.5</v>
      </c>
      <c r="L2798" s="73" t="s">
        <v>19663</v>
      </c>
      <c r="M2798" s="34" t="s">
        <v>19664</v>
      </c>
      <c r="N2798" s="86" t="s">
        <v>19665</v>
      </c>
      <c r="O2798" s="86" t="str">
        <f>IFERROR(__xludf.DUMMYFUNCTION("GOOGLETRANSLATE(N2798,""EN"",""ES"")"),"Negativo porque habla de intentos de fraude utilizando el nombre de Repsol.")</f>
        <v>Negativo porque habla de intentos de fraude utilizando el nombre de Repsol.</v>
      </c>
      <c r="P2798" s="30">
        <v>-0.3</v>
      </c>
      <c r="Q2798" s="18" t="str">
        <f>IFERROR(__xludf.DUMMYFUNCTION("GOOGLETRANSLATE(R2798,""ES"",""EN"")"),"telephone scams")</f>
        <v>telephone scams</v>
      </c>
      <c r="R2798" s="34" t="s">
        <v>19666</v>
      </c>
      <c r="S2798" s="52" t="s">
        <v>19667</v>
      </c>
      <c r="T2798" s="22" t="s">
        <v>19668</v>
      </c>
    </row>
    <row r="2799">
      <c r="A2799" s="23" t="s">
        <v>19669</v>
      </c>
      <c r="B2799" s="77" t="s">
        <v>19670</v>
      </c>
      <c r="C2799" s="41">
        <v>45506.0</v>
      </c>
      <c r="D2799" s="40" t="s">
        <v>19671</v>
      </c>
      <c r="E2799" s="41" t="s">
        <v>19672</v>
      </c>
      <c r="F2799" s="43" t="s">
        <v>19673</v>
      </c>
      <c r="G2799" s="43" t="s">
        <v>19674</v>
      </c>
      <c r="H2799" s="51" t="s">
        <v>661</v>
      </c>
      <c r="I2799" s="25" t="str">
        <f>IFERROR(__xludf.DUMMYFUNCTION("GOOGLETRANSLATE(H2799,""EN"",""ES"")"),"Estrategia empresarial")</f>
        <v>Estrategia empresarial</v>
      </c>
      <c r="J2799" s="26" t="s">
        <v>35</v>
      </c>
      <c r="K2799" s="48">
        <v>0.6</v>
      </c>
      <c r="L2799" s="73" t="s">
        <v>19185</v>
      </c>
      <c r="M2799" s="28" t="s">
        <v>19186</v>
      </c>
      <c r="N2799" s="83" t="s">
        <v>19675</v>
      </c>
      <c r="O2799" s="83" t="str">
        <f>IFERROR(__xludf.DUMMYFUNCTION("GOOGLETRANSLATE(N2799,""EN"",""ES"")"),"Positivo porque señala la expansión de Repsol en Venezuela.")</f>
        <v>Positivo porque señala la expansión de Repsol en Venezuela.</v>
      </c>
      <c r="P2799" s="30">
        <v>0.3</v>
      </c>
      <c r="Q2799" s="31" t="str">
        <f>IFERROR(__xludf.DUMMYFUNCTION("GOOGLETRANSLATE(R2799,""ES"",""EN"")"),"Venezuela collaboration")</f>
        <v>Venezuela collaboration</v>
      </c>
      <c r="R2799" s="28" t="s">
        <v>19676</v>
      </c>
      <c r="S2799" s="53" t="s">
        <v>13624</v>
      </c>
      <c r="T2799" s="32" t="s">
        <v>13625</v>
      </c>
    </row>
    <row r="2800">
      <c r="A2800" s="33" t="s">
        <v>19677</v>
      </c>
      <c r="B2800" s="76" t="s">
        <v>2527</v>
      </c>
      <c r="C2800" s="41">
        <v>45506.0</v>
      </c>
      <c r="D2800" s="40" t="s">
        <v>19678</v>
      </c>
      <c r="E2800" s="41" t="s">
        <v>19679</v>
      </c>
      <c r="F2800" s="43" t="s">
        <v>19680</v>
      </c>
      <c r="G2800" s="43" t="s">
        <v>19681</v>
      </c>
      <c r="H2800" s="51" t="s">
        <v>661</v>
      </c>
      <c r="I2800" s="15" t="str">
        <f>IFERROR(__xludf.DUMMYFUNCTION("GOOGLETRANSLATE(H2800,""EN"",""ES"")"),"Estrategia empresarial")</f>
        <v>Estrategia empresarial</v>
      </c>
      <c r="J2800" s="16" t="s">
        <v>35</v>
      </c>
      <c r="K2800" s="48">
        <v>-0.5</v>
      </c>
      <c r="L2800" s="73" t="s">
        <v>19682</v>
      </c>
      <c r="M2800" s="34" t="s">
        <v>19683</v>
      </c>
      <c r="N2800" s="86" t="s">
        <v>19684</v>
      </c>
      <c r="O2800" s="86" t="str">
        <f>IFERROR(__xludf.DUMMYFUNCTION("GOOGLETRANSLATE(N2800,""EN"",""ES"")"),"Negativo ya que menciona riesgos asociados a la permanencia en Venezuela.")</f>
        <v>Negativo ya que menciona riesgos asociados a la permanencia en Venezuela.</v>
      </c>
      <c r="P2800" s="30">
        <v>0.2</v>
      </c>
      <c r="Q2800" s="18" t="str">
        <f>IFERROR(__xludf.DUMMYFUNCTION("GOOGLETRANSLATE(R2800,""ES"",""EN"")"),"not abandon Venezuela")</f>
        <v>not abandon Venezuela</v>
      </c>
      <c r="R2800" s="34" t="s">
        <v>19685</v>
      </c>
      <c r="S2800" s="52" t="s">
        <v>19686</v>
      </c>
      <c r="T2800" s="22" t="s">
        <v>19687</v>
      </c>
    </row>
    <row r="2801">
      <c r="A2801" s="23" t="s">
        <v>19688</v>
      </c>
      <c r="B2801" s="77" t="s">
        <v>21</v>
      </c>
      <c r="C2801" s="41">
        <v>45506.0</v>
      </c>
      <c r="D2801" s="40" t="s">
        <v>19689</v>
      </c>
      <c r="E2801" s="41" t="s">
        <v>19690</v>
      </c>
      <c r="F2801" s="43" t="s">
        <v>19691</v>
      </c>
      <c r="G2801" s="43" t="s">
        <v>19692</v>
      </c>
      <c r="H2801" s="51" t="s">
        <v>969</v>
      </c>
      <c r="I2801" s="25" t="str">
        <f>IFERROR(__xludf.DUMMYFUNCTION("GOOGLETRANSLATE(H2801,""EN"",""ES"")"),"Turismo")</f>
        <v>Turismo</v>
      </c>
      <c r="J2801" s="26" t="s">
        <v>27</v>
      </c>
      <c r="K2801" s="17">
        <v>0.0</v>
      </c>
      <c r="L2801" s="72"/>
      <c r="M2801" s="31"/>
      <c r="N2801" s="83"/>
      <c r="O2801" s="83"/>
      <c r="P2801" s="20">
        <v>0.0</v>
      </c>
      <c r="Q2801" s="31"/>
      <c r="R2801" s="31"/>
      <c r="S2801" s="53"/>
      <c r="T2801" s="32"/>
    </row>
    <row r="2802">
      <c r="A2802" s="33" t="s">
        <v>19693</v>
      </c>
      <c r="B2802" s="76" t="s">
        <v>103</v>
      </c>
      <c r="C2802" s="41">
        <v>45506.0</v>
      </c>
      <c r="D2802" s="40" t="s">
        <v>19694</v>
      </c>
      <c r="E2802" s="41" t="s">
        <v>19695</v>
      </c>
      <c r="F2802" s="43" t="s">
        <v>19696</v>
      </c>
      <c r="G2802" s="43" t="s">
        <v>19697</v>
      </c>
      <c r="H2802" s="51" t="s">
        <v>48</v>
      </c>
      <c r="I2802" s="15" t="str">
        <f>IFERROR(__xludf.DUMMYFUNCTION("GOOGLETRANSLATE(H2802,""EN"",""ES"")"),"Finanzas")</f>
        <v>Finanzas</v>
      </c>
      <c r="J2802" s="16" t="s">
        <v>27</v>
      </c>
      <c r="K2802" s="17">
        <v>0.0</v>
      </c>
      <c r="L2802" s="72"/>
      <c r="M2802" s="18"/>
      <c r="N2802" s="86"/>
      <c r="O2802" s="86"/>
      <c r="P2802" s="20">
        <v>0.0</v>
      </c>
      <c r="Q2802" s="18"/>
      <c r="R2802" s="18"/>
      <c r="S2802" s="52"/>
      <c r="T2802" s="22"/>
    </row>
    <row r="2803">
      <c r="A2803" s="23" t="s">
        <v>19698</v>
      </c>
      <c r="B2803" s="77" t="s">
        <v>558</v>
      </c>
      <c r="C2803" s="41">
        <v>45506.0</v>
      </c>
      <c r="D2803" s="40" t="s">
        <v>19699</v>
      </c>
      <c r="E2803" s="41" t="s">
        <v>19700</v>
      </c>
      <c r="F2803" s="43" t="s">
        <v>19701</v>
      </c>
      <c r="G2803" s="43" t="s">
        <v>19702</v>
      </c>
      <c r="H2803" s="51" t="s">
        <v>661</v>
      </c>
      <c r="I2803" s="25" t="str">
        <f>IFERROR(__xludf.DUMMYFUNCTION("GOOGLETRANSLATE(H2803,""EN"",""ES"")"),"Estrategia empresarial")</f>
        <v>Estrategia empresarial</v>
      </c>
      <c r="J2803" s="26" t="s">
        <v>35</v>
      </c>
      <c r="K2803" s="48">
        <v>0.6</v>
      </c>
      <c r="L2803" s="73" t="s">
        <v>19185</v>
      </c>
      <c r="M2803" s="28" t="s">
        <v>19186</v>
      </c>
      <c r="N2803" s="83" t="s">
        <v>19703</v>
      </c>
      <c r="O2803" s="83" t="str">
        <f>IFERROR(__xludf.DUMMYFUNCTION("GOOGLETRANSLATE(N2803,""EN"",""ES"")"),"Ligeramente positivo ya que destaca inversiones importantes, aunque con algunos riesgos.")</f>
        <v>Ligeramente positivo ya que destaca inversiones importantes, aunque con algunos riesgos.</v>
      </c>
      <c r="P2803" s="30">
        <v>0.3</v>
      </c>
      <c r="Q2803" s="31" t="str">
        <f>IFERROR(__xludf.DUMMYFUNCTION("GOOGLETRANSLATE(R2803,""ES"",""EN"")"),"investments")</f>
        <v>investments</v>
      </c>
      <c r="R2803" s="28" t="s">
        <v>19704</v>
      </c>
      <c r="S2803" s="53" t="s">
        <v>19705</v>
      </c>
      <c r="T2803" s="32" t="s">
        <v>19706</v>
      </c>
    </row>
    <row r="2804">
      <c r="A2804" s="33" t="s">
        <v>19707</v>
      </c>
      <c r="B2804" s="76" t="s">
        <v>21</v>
      </c>
      <c r="C2804" s="41">
        <v>45506.0</v>
      </c>
      <c r="D2804" s="40" t="s">
        <v>19708</v>
      </c>
      <c r="E2804" s="41" t="s">
        <v>19709</v>
      </c>
      <c r="F2804" s="43" t="s">
        <v>19710</v>
      </c>
      <c r="G2804" s="43" t="s">
        <v>19711</v>
      </c>
      <c r="H2804" s="51" t="s">
        <v>969</v>
      </c>
      <c r="I2804" s="15" t="str">
        <f>IFERROR(__xludf.DUMMYFUNCTION("GOOGLETRANSLATE(H2804,""EN"",""ES"")"),"Turismo")</f>
        <v>Turismo</v>
      </c>
      <c r="J2804" s="16" t="s">
        <v>27</v>
      </c>
      <c r="K2804" s="17">
        <v>0.0</v>
      </c>
      <c r="L2804" s="72"/>
      <c r="M2804" s="18"/>
      <c r="N2804" s="86"/>
      <c r="O2804" s="86"/>
      <c r="P2804" s="20">
        <v>0.0</v>
      </c>
      <c r="Q2804" s="18"/>
      <c r="R2804" s="18"/>
      <c r="S2804" s="52"/>
      <c r="T2804" s="22"/>
    </row>
    <row r="2805">
      <c r="A2805" s="23" t="s">
        <v>19712</v>
      </c>
      <c r="B2805" s="77" t="s">
        <v>21</v>
      </c>
      <c r="C2805" s="41">
        <v>45506.0</v>
      </c>
      <c r="D2805" s="40" t="s">
        <v>19713</v>
      </c>
      <c r="E2805" s="41" t="s">
        <v>19714</v>
      </c>
      <c r="F2805" s="43" t="s">
        <v>19715</v>
      </c>
      <c r="G2805" s="43" t="s">
        <v>19716</v>
      </c>
      <c r="H2805" s="51" t="s">
        <v>969</v>
      </c>
      <c r="I2805" s="25" t="str">
        <f>IFERROR(__xludf.DUMMYFUNCTION("GOOGLETRANSLATE(H2805,""EN"",""ES"")"),"Turismo")</f>
        <v>Turismo</v>
      </c>
      <c r="J2805" s="26" t="s">
        <v>27</v>
      </c>
      <c r="K2805" s="17">
        <v>0.0</v>
      </c>
      <c r="L2805" s="72"/>
      <c r="M2805" s="31"/>
      <c r="N2805" s="83"/>
      <c r="O2805" s="83"/>
      <c r="P2805" s="20">
        <v>0.0</v>
      </c>
      <c r="Q2805" s="31"/>
      <c r="R2805" s="31"/>
      <c r="S2805" s="53"/>
      <c r="T2805" s="32"/>
    </row>
    <row r="2806">
      <c r="A2806" s="33" t="s">
        <v>19717</v>
      </c>
      <c r="B2806" s="76" t="s">
        <v>103</v>
      </c>
      <c r="C2806" s="41">
        <v>45506.0</v>
      </c>
      <c r="D2806" s="40" t="s">
        <v>19718</v>
      </c>
      <c r="E2806" s="41" t="s">
        <v>19719</v>
      </c>
      <c r="F2806" s="43" t="s">
        <v>19720</v>
      </c>
      <c r="G2806" s="43" t="s">
        <v>19721</v>
      </c>
      <c r="H2806" s="51" t="s">
        <v>48</v>
      </c>
      <c r="I2806" s="15" t="str">
        <f>IFERROR(__xludf.DUMMYFUNCTION("GOOGLETRANSLATE(H2806,""EN"",""ES"")"),"Finanzas")</f>
        <v>Finanzas</v>
      </c>
      <c r="J2806" s="16" t="s">
        <v>27</v>
      </c>
      <c r="K2806" s="17">
        <v>0.0</v>
      </c>
      <c r="L2806" s="72"/>
      <c r="M2806" s="18"/>
      <c r="N2806" s="86"/>
      <c r="O2806" s="86"/>
      <c r="P2806" s="20">
        <v>0.0</v>
      </c>
      <c r="Q2806" s="18"/>
      <c r="R2806" s="18"/>
      <c r="S2806" s="52"/>
      <c r="T2806" s="22"/>
    </row>
    <row r="2807">
      <c r="A2807" s="23" t="s">
        <v>19722</v>
      </c>
      <c r="B2807" s="77" t="s">
        <v>103</v>
      </c>
      <c r="C2807" s="41">
        <v>45507.0</v>
      </c>
      <c r="D2807" s="40" t="s">
        <v>19723</v>
      </c>
      <c r="E2807" s="41" t="s">
        <v>19724</v>
      </c>
      <c r="F2807" s="43" t="s">
        <v>19725</v>
      </c>
      <c r="G2807" s="43" t="s">
        <v>19726</v>
      </c>
      <c r="H2807" s="51" t="s">
        <v>48</v>
      </c>
      <c r="I2807" s="25" t="str">
        <f>IFERROR(__xludf.DUMMYFUNCTION("GOOGLETRANSLATE(H2807,""EN"",""ES"")"),"Finanzas")</f>
        <v>Finanzas</v>
      </c>
      <c r="J2807" s="26" t="s">
        <v>35</v>
      </c>
      <c r="K2807" s="48">
        <v>-0.5</v>
      </c>
      <c r="L2807" s="73" t="s">
        <v>19216</v>
      </c>
      <c r="M2807" s="28" t="s">
        <v>19727</v>
      </c>
      <c r="N2807" s="83" t="s">
        <v>19728</v>
      </c>
      <c r="O2807" s="83" t="str">
        <f>IFERROR(__xludf.DUMMYFUNCTION("GOOGLETRANSLATE(N2807,""EN"",""ES"")"),"Negativo ya que enfatiza la caída de las acciones de Repsol.")</f>
        <v>Negativo ya que enfatiza la caída de las acciones de Repsol.</v>
      </c>
      <c r="P2807" s="30">
        <v>0.5</v>
      </c>
      <c r="Q2807" s="31" t="str">
        <f>IFERROR(__xludf.DUMMYFUNCTION("GOOGLETRANSLATE(R2807,""ES"",""EN"")"),"high attractive")</f>
        <v>high attractive</v>
      </c>
      <c r="R2807" s="28" t="s">
        <v>19729</v>
      </c>
      <c r="S2807" s="53" t="s">
        <v>19730</v>
      </c>
      <c r="T2807" s="32" t="s">
        <v>19731</v>
      </c>
    </row>
    <row r="2808">
      <c r="A2808" s="33" t="s">
        <v>19732</v>
      </c>
      <c r="B2808" s="76" t="s">
        <v>163</v>
      </c>
      <c r="C2808" s="41">
        <v>45507.0</v>
      </c>
      <c r="D2808" s="40" t="s">
        <v>19733</v>
      </c>
      <c r="E2808" s="41" t="s">
        <v>19734</v>
      </c>
      <c r="F2808" s="43" t="s">
        <v>19735</v>
      </c>
      <c r="G2808" s="43" t="s">
        <v>19736</v>
      </c>
      <c r="H2808" s="51" t="s">
        <v>130</v>
      </c>
      <c r="I2808" s="15" t="str">
        <f>IFERROR(__xludf.DUMMYFUNCTION("GOOGLETRANSLATE(H2808,""EN"",""ES"")"),"Sostenibilidad")</f>
        <v>Sostenibilidad</v>
      </c>
      <c r="J2808" s="16" t="s">
        <v>35</v>
      </c>
      <c r="K2808" s="48">
        <v>0.7</v>
      </c>
      <c r="L2808" s="73" t="s">
        <v>16837</v>
      </c>
      <c r="M2808" s="34" t="s">
        <v>16838</v>
      </c>
      <c r="N2808" s="86" t="s">
        <v>19737</v>
      </c>
      <c r="O2808" s="86" t="str">
        <f>IFERROR(__xludf.DUMMYFUNCTION("GOOGLETRANSLATE(N2808,""EN"",""ES"")"),"Positivo porque destaca la inversión de Repsol en energías renovables.")</f>
        <v>Positivo porque destaca la inversión de Repsol en energías renovables.</v>
      </c>
      <c r="P2808" s="30">
        <v>0.7</v>
      </c>
      <c r="Q2808" s="18" t="str">
        <f>IFERROR(__xludf.DUMMYFUNCTION("GOOGLETRANSLATE(R2808,""ES"",""EN"")"),"wind, will invest")</f>
        <v>wind, will invest</v>
      </c>
      <c r="R2808" s="34" t="s">
        <v>19738</v>
      </c>
      <c r="S2808" s="52" t="s">
        <v>19739</v>
      </c>
      <c r="T2808" s="22" t="s">
        <v>19740</v>
      </c>
    </row>
    <row r="2809">
      <c r="A2809" s="23" t="s">
        <v>19741</v>
      </c>
      <c r="B2809" s="77" t="s">
        <v>260</v>
      </c>
      <c r="C2809" s="41">
        <v>45507.0</v>
      </c>
      <c r="D2809" s="40" t="s">
        <v>19742</v>
      </c>
      <c r="E2809" s="41" t="s">
        <v>19743</v>
      </c>
      <c r="F2809" s="43" t="s">
        <v>19744</v>
      </c>
      <c r="G2809" s="43" t="s">
        <v>19745</v>
      </c>
      <c r="H2809" s="51" t="s">
        <v>48</v>
      </c>
      <c r="I2809" s="25" t="str">
        <f>IFERROR(__xludf.DUMMYFUNCTION("GOOGLETRANSLATE(H2809,""EN"",""ES"")"),"Finanzas")</f>
        <v>Finanzas</v>
      </c>
      <c r="J2809" s="26" t="s">
        <v>27</v>
      </c>
      <c r="K2809" s="17">
        <v>0.0</v>
      </c>
      <c r="L2809" s="72"/>
      <c r="M2809" s="31"/>
      <c r="N2809" s="83"/>
      <c r="O2809" s="83"/>
      <c r="P2809" s="20">
        <v>0.0</v>
      </c>
      <c r="Q2809" s="31"/>
      <c r="R2809" s="31"/>
      <c r="S2809" s="53"/>
      <c r="T2809" s="32"/>
    </row>
    <row r="2810">
      <c r="A2810" s="33" t="s">
        <v>19746</v>
      </c>
      <c r="B2810" s="76" t="s">
        <v>43</v>
      </c>
      <c r="C2810" s="41">
        <v>45507.0</v>
      </c>
      <c r="D2810" s="40" t="s">
        <v>19747</v>
      </c>
      <c r="E2810" s="41" t="s">
        <v>19748</v>
      </c>
      <c r="F2810" s="43" t="s">
        <v>19749</v>
      </c>
      <c r="G2810" s="43" t="s">
        <v>19750</v>
      </c>
      <c r="H2810" s="51" t="s">
        <v>19292</v>
      </c>
      <c r="I2810" s="15" t="str">
        <f>IFERROR(__xludf.DUMMYFUNCTION("GOOGLETRANSLATE(H2810,""EN"",""ES"")"),"Servicios al consumidor")</f>
        <v>Servicios al consumidor</v>
      </c>
      <c r="J2810" s="16" t="s">
        <v>27</v>
      </c>
      <c r="K2810" s="17">
        <v>0.0</v>
      </c>
      <c r="L2810" s="72"/>
      <c r="M2810" s="18"/>
      <c r="N2810" s="86"/>
      <c r="O2810" s="86"/>
      <c r="P2810" s="20">
        <v>0.0</v>
      </c>
      <c r="Q2810" s="18"/>
      <c r="R2810" s="18"/>
      <c r="S2810" s="52"/>
      <c r="T2810" s="22"/>
    </row>
    <row r="2811">
      <c r="A2811" s="23" t="s">
        <v>19751</v>
      </c>
      <c r="B2811" s="77" t="s">
        <v>2384</v>
      </c>
      <c r="C2811" s="41">
        <v>45507.0</v>
      </c>
      <c r="D2811" s="40" t="s">
        <v>19752</v>
      </c>
      <c r="E2811" s="41" t="s">
        <v>19753</v>
      </c>
      <c r="F2811" s="43" t="s">
        <v>19754</v>
      </c>
      <c r="G2811" s="43" t="s">
        <v>19755</v>
      </c>
      <c r="H2811" s="51" t="s">
        <v>2591</v>
      </c>
      <c r="I2811" s="25" t="str">
        <f>IFERROR(__xludf.DUMMYFUNCTION("GOOGLETRANSLATE(H2811,""EN"",""ES"")"),"Negocio")</f>
        <v>Negocio</v>
      </c>
      <c r="J2811" s="26" t="s">
        <v>27</v>
      </c>
      <c r="K2811" s="17">
        <v>0.0</v>
      </c>
      <c r="L2811" s="72"/>
      <c r="M2811" s="31"/>
      <c r="N2811" s="83"/>
      <c r="O2811" s="83"/>
      <c r="P2811" s="20">
        <v>0.0</v>
      </c>
      <c r="Q2811" s="31"/>
      <c r="R2811" s="31"/>
      <c r="S2811" s="53"/>
      <c r="T2811" s="32"/>
    </row>
    <row r="2812">
      <c r="A2812" s="33" t="s">
        <v>19756</v>
      </c>
      <c r="B2812" s="76" t="s">
        <v>3045</v>
      </c>
      <c r="C2812" s="41">
        <v>45507.0</v>
      </c>
      <c r="D2812" s="40" t="s">
        <v>19757</v>
      </c>
      <c r="E2812" s="41" t="s">
        <v>19758</v>
      </c>
      <c r="F2812" s="43" t="s">
        <v>19759</v>
      </c>
      <c r="G2812" s="43" t="s">
        <v>19760</v>
      </c>
      <c r="H2812" s="51" t="s">
        <v>148</v>
      </c>
      <c r="I2812" s="15" t="str">
        <f>IFERROR(__xludf.DUMMYFUNCTION("GOOGLETRANSLATE(H2812,""EN"",""ES"")"),"Gastronomía")</f>
        <v>Gastronomía</v>
      </c>
      <c r="J2812" s="16" t="s">
        <v>27</v>
      </c>
      <c r="K2812" s="17">
        <v>0.0</v>
      </c>
      <c r="L2812" s="72"/>
      <c r="M2812" s="18"/>
      <c r="N2812" s="86"/>
      <c r="O2812" s="86"/>
      <c r="P2812" s="20">
        <v>0.0</v>
      </c>
      <c r="Q2812" s="18"/>
      <c r="R2812" s="18"/>
      <c r="S2812" s="52"/>
      <c r="T2812" s="22"/>
    </row>
    <row r="2813">
      <c r="A2813" s="23" t="s">
        <v>19761</v>
      </c>
      <c r="B2813" s="77" t="s">
        <v>91</v>
      </c>
      <c r="C2813" s="41">
        <v>45507.0</v>
      </c>
      <c r="D2813" s="40" t="s">
        <v>19762</v>
      </c>
      <c r="E2813" s="41" t="s">
        <v>19763</v>
      </c>
      <c r="F2813" s="43" t="s">
        <v>19764</v>
      </c>
      <c r="G2813" s="43" t="s">
        <v>19765</v>
      </c>
      <c r="H2813" s="51" t="s">
        <v>395</v>
      </c>
      <c r="I2813" s="25" t="str">
        <f>IFERROR(__xludf.DUMMYFUNCTION("GOOGLETRANSLATE(H2813,""EN"",""ES"")"),"Ambiente")</f>
        <v>Ambiente</v>
      </c>
      <c r="J2813" s="26" t="s">
        <v>27</v>
      </c>
      <c r="K2813" s="17">
        <v>0.0</v>
      </c>
      <c r="L2813" s="72"/>
      <c r="M2813" s="31"/>
      <c r="N2813" s="83"/>
      <c r="O2813" s="83"/>
      <c r="P2813" s="20">
        <v>0.0</v>
      </c>
      <c r="Q2813" s="31"/>
      <c r="R2813" s="31"/>
      <c r="S2813" s="53"/>
      <c r="T2813" s="32"/>
    </row>
    <row r="2814">
      <c r="A2814" s="33" t="s">
        <v>19766</v>
      </c>
      <c r="B2814" s="76" t="s">
        <v>15061</v>
      </c>
      <c r="C2814" s="41">
        <v>45507.0</v>
      </c>
      <c r="D2814" s="40" t="s">
        <v>19767</v>
      </c>
      <c r="E2814" s="41" t="s">
        <v>19768</v>
      </c>
      <c r="F2814" s="43" t="s">
        <v>19769</v>
      </c>
      <c r="G2814" s="43" t="s">
        <v>19770</v>
      </c>
      <c r="H2814" s="51" t="s">
        <v>148</v>
      </c>
      <c r="I2814" s="15" t="str">
        <f>IFERROR(__xludf.DUMMYFUNCTION("GOOGLETRANSLATE(H2814,""EN"",""ES"")"),"Gastronomía")</f>
        <v>Gastronomía</v>
      </c>
      <c r="J2814" s="16" t="s">
        <v>27</v>
      </c>
      <c r="K2814" s="17">
        <v>0.0</v>
      </c>
      <c r="L2814" s="72"/>
      <c r="M2814" s="18"/>
      <c r="N2814" s="86"/>
      <c r="O2814" s="86"/>
      <c r="P2814" s="20">
        <v>0.0</v>
      </c>
      <c r="Q2814" s="18"/>
      <c r="R2814" s="18"/>
      <c r="S2814" s="52"/>
      <c r="T2814" s="22"/>
    </row>
    <row r="2815">
      <c r="A2815" s="23" t="s">
        <v>19771</v>
      </c>
      <c r="B2815" s="77" t="s">
        <v>43</v>
      </c>
      <c r="C2815" s="41">
        <v>45507.0</v>
      </c>
      <c r="D2815" s="40" t="s">
        <v>19772</v>
      </c>
      <c r="E2815" s="41" t="s">
        <v>19773</v>
      </c>
      <c r="F2815" s="43" t="s">
        <v>19774</v>
      </c>
      <c r="G2815" s="43" t="s">
        <v>19775</v>
      </c>
      <c r="H2815" s="51" t="s">
        <v>661</v>
      </c>
      <c r="I2815" s="25" t="str">
        <f>IFERROR(__xludf.DUMMYFUNCTION("GOOGLETRANSLATE(H2815,""EN"",""ES"")"),"Estrategia empresarial")</f>
        <v>Estrategia empresarial</v>
      </c>
      <c r="J2815" s="26" t="s">
        <v>35</v>
      </c>
      <c r="K2815" s="48">
        <v>-0.5</v>
      </c>
      <c r="L2815" s="73" t="s">
        <v>19645</v>
      </c>
      <c r="M2815" s="28" t="s">
        <v>19646</v>
      </c>
      <c r="N2815" s="83" t="s">
        <v>19776</v>
      </c>
      <c r="O2815" s="83" t="str">
        <f>IFERROR(__xludf.DUMMYFUNCTION("GOOGLETRANSLATE(N2815,""EN"",""ES"")"),"Negativo ya que pone de relieve el aumento de los precios de los combustibles.")</f>
        <v>Negativo ya que pone de relieve el aumento de los precios de los combustibles.</v>
      </c>
      <c r="P2815" s="30">
        <v>0.0</v>
      </c>
      <c r="Q2815" s="31"/>
      <c r="R2815" s="31"/>
      <c r="S2815" s="53" t="s">
        <v>12139</v>
      </c>
      <c r="T2815" s="32" t="s">
        <v>12140</v>
      </c>
    </row>
    <row r="2816">
      <c r="A2816" s="33" t="s">
        <v>19777</v>
      </c>
      <c r="B2816" s="76" t="s">
        <v>85</v>
      </c>
      <c r="C2816" s="41">
        <v>45507.0</v>
      </c>
      <c r="D2816" s="40" t="s">
        <v>19778</v>
      </c>
      <c r="E2816" s="41" t="s">
        <v>19779</v>
      </c>
      <c r="F2816" s="43" t="s">
        <v>19780</v>
      </c>
      <c r="G2816" s="43" t="s">
        <v>19781</v>
      </c>
      <c r="H2816" s="51" t="s">
        <v>148</v>
      </c>
      <c r="I2816" s="15" t="str">
        <f>IFERROR(__xludf.DUMMYFUNCTION("GOOGLETRANSLATE(H2816,""EN"",""ES"")"),"Gastronomía")</f>
        <v>Gastronomía</v>
      </c>
      <c r="J2816" s="16" t="s">
        <v>27</v>
      </c>
      <c r="K2816" s="17">
        <v>0.0</v>
      </c>
      <c r="L2816" s="72"/>
      <c r="M2816" s="18"/>
      <c r="N2816" s="86"/>
      <c r="O2816" s="86"/>
      <c r="P2816" s="20">
        <v>0.0</v>
      </c>
      <c r="Q2816" s="18"/>
      <c r="R2816" s="18"/>
      <c r="S2816" s="52"/>
      <c r="T2816" s="22"/>
    </row>
    <row r="2817">
      <c r="A2817" s="23" t="s">
        <v>19782</v>
      </c>
      <c r="B2817" s="77" t="s">
        <v>163</v>
      </c>
      <c r="C2817" s="41">
        <v>45508.0</v>
      </c>
      <c r="D2817" s="40" t="s">
        <v>19783</v>
      </c>
      <c r="E2817" s="41" t="s">
        <v>19783</v>
      </c>
      <c r="F2817" s="43" t="s">
        <v>19784</v>
      </c>
      <c r="G2817" s="43" t="s">
        <v>19784</v>
      </c>
      <c r="H2817" s="51" t="s">
        <v>55</v>
      </c>
      <c r="I2817" s="25" t="str">
        <f>IFERROR(__xludf.DUMMYFUNCTION("GOOGLETRANSLATE(H2817,""EN"",""ES"")"),"deportes de motor")</f>
        <v>deportes de motor</v>
      </c>
      <c r="J2817" s="26" t="s">
        <v>27</v>
      </c>
      <c r="K2817" s="17">
        <v>0.0</v>
      </c>
      <c r="L2817" s="72"/>
      <c r="M2817" s="31"/>
      <c r="N2817" s="83"/>
      <c r="O2817" s="83"/>
      <c r="P2817" s="20">
        <v>0.0</v>
      </c>
      <c r="Q2817" s="31"/>
      <c r="R2817" s="31"/>
      <c r="S2817" s="53"/>
      <c r="T2817" s="32"/>
    </row>
    <row r="2818">
      <c r="A2818" s="33" t="s">
        <v>19785</v>
      </c>
      <c r="B2818" s="76" t="s">
        <v>13989</v>
      </c>
      <c r="C2818" s="41">
        <v>45508.0</v>
      </c>
      <c r="D2818" s="40" t="s">
        <v>19786</v>
      </c>
      <c r="E2818" s="41" t="s">
        <v>19787</v>
      </c>
      <c r="F2818" s="43" t="s">
        <v>19788</v>
      </c>
      <c r="G2818" s="43" t="s">
        <v>19789</v>
      </c>
      <c r="H2818" s="51" t="s">
        <v>661</v>
      </c>
      <c r="I2818" s="15" t="str">
        <f>IFERROR(__xludf.DUMMYFUNCTION("GOOGLETRANSLATE(H2818,""EN"",""ES"")"),"Estrategia empresarial")</f>
        <v>Estrategia empresarial</v>
      </c>
      <c r="J2818" s="16" t="s">
        <v>35</v>
      </c>
      <c r="K2818" s="48">
        <v>-0.5</v>
      </c>
      <c r="L2818" s="73" t="s">
        <v>19185</v>
      </c>
      <c r="M2818" s="34" t="s">
        <v>19186</v>
      </c>
      <c r="N2818" s="86" t="s">
        <v>19790</v>
      </c>
      <c r="O2818" s="86" t="str">
        <f>IFERROR(__xludf.DUMMYFUNCTION("GOOGLETRANSLATE(N2818,""EN"",""ES"")"),"Negativo ya que pone de relieve la inestabilidad en el mercado petrolero.")</f>
        <v>Negativo ya que pone de relieve la inestabilidad en el mercado petrolero.</v>
      </c>
      <c r="P2818" s="30">
        <v>-0.5</v>
      </c>
      <c r="Q2818" s="18" t="str">
        <f>IFERROR(__xludf.DUMMYFUNCTION("GOOGLETRANSLATE(R2818,""ES"",""EN"")"),"blockade")</f>
        <v>blockade</v>
      </c>
      <c r="R2818" s="34" t="s">
        <v>19791</v>
      </c>
      <c r="S2818" s="52" t="s">
        <v>19792</v>
      </c>
      <c r="T2818" s="22" t="s">
        <v>19793</v>
      </c>
    </row>
    <row r="2819">
      <c r="A2819" s="23" t="s">
        <v>19794</v>
      </c>
      <c r="B2819" s="77" t="s">
        <v>674</v>
      </c>
      <c r="C2819" s="41">
        <v>45509.0</v>
      </c>
      <c r="D2819" s="40" t="s">
        <v>19795</v>
      </c>
      <c r="E2819" s="41" t="s">
        <v>19796</v>
      </c>
      <c r="F2819" s="43" t="s">
        <v>19797</v>
      </c>
      <c r="G2819" s="43" t="s">
        <v>19798</v>
      </c>
      <c r="H2819" s="51" t="s">
        <v>130</v>
      </c>
      <c r="I2819" s="25" t="str">
        <f>IFERROR(__xludf.DUMMYFUNCTION("GOOGLETRANSLATE(H2819,""EN"",""ES"")"),"Sostenibilidad")</f>
        <v>Sostenibilidad</v>
      </c>
      <c r="J2819" s="26" t="s">
        <v>35</v>
      </c>
      <c r="K2819" s="48">
        <v>0.7</v>
      </c>
      <c r="L2819" s="73" t="s">
        <v>19357</v>
      </c>
      <c r="M2819" s="28" t="s">
        <v>19799</v>
      </c>
      <c r="N2819" s="83" t="s">
        <v>19800</v>
      </c>
      <c r="O2819" s="83" t="str">
        <f>IFERROR(__xludf.DUMMYFUNCTION("GOOGLETRANSLATE(N2819,""EN"",""ES"")"),"Positivo ya que pone de relieve la expansión de producto y la innovación de Repsol.")</f>
        <v>Positivo ya que pone de relieve la expansión de producto y la innovación de Repsol.</v>
      </c>
      <c r="P2819" s="30">
        <v>0.6</v>
      </c>
      <c r="Q2819" s="31" t="str">
        <f>IFERROR(__xludf.DUMMYFUNCTION("GOOGLETRANSLATE(R2819,""ES"",""EN"")"),"new diesel")</f>
        <v>new diesel</v>
      </c>
      <c r="R2819" s="28" t="s">
        <v>19801</v>
      </c>
      <c r="S2819" s="53" t="s">
        <v>19802</v>
      </c>
      <c r="T2819" s="32" t="s">
        <v>19803</v>
      </c>
    </row>
    <row r="2820">
      <c r="A2820" s="33" t="s">
        <v>19804</v>
      </c>
      <c r="B2820" s="76" t="s">
        <v>21</v>
      </c>
      <c r="C2820" s="41">
        <v>45509.0</v>
      </c>
      <c r="D2820" s="40" t="s">
        <v>19805</v>
      </c>
      <c r="E2820" s="41" t="s">
        <v>19806</v>
      </c>
      <c r="F2820" s="43" t="s">
        <v>19807</v>
      </c>
      <c r="G2820" s="43" t="s">
        <v>19808</v>
      </c>
      <c r="H2820" s="51" t="s">
        <v>969</v>
      </c>
      <c r="I2820" s="15" t="str">
        <f>IFERROR(__xludf.DUMMYFUNCTION("GOOGLETRANSLATE(H2820,""EN"",""ES"")"),"Turismo")</f>
        <v>Turismo</v>
      </c>
      <c r="J2820" s="16" t="s">
        <v>27</v>
      </c>
      <c r="K2820" s="17">
        <v>0.0</v>
      </c>
      <c r="L2820" s="72"/>
      <c r="M2820" s="18"/>
      <c r="N2820" s="86"/>
      <c r="O2820" s="86"/>
      <c r="P2820" s="20">
        <v>0.0</v>
      </c>
      <c r="Q2820" s="18"/>
      <c r="R2820" s="18"/>
      <c r="S2820" s="52"/>
      <c r="T2820" s="22"/>
    </row>
    <row r="2821">
      <c r="A2821" s="23" t="s">
        <v>19809</v>
      </c>
      <c r="B2821" s="77" t="s">
        <v>1993</v>
      </c>
      <c r="C2821" s="41">
        <v>45509.0</v>
      </c>
      <c r="D2821" s="40" t="s">
        <v>19810</v>
      </c>
      <c r="E2821" s="41" t="s">
        <v>19811</v>
      </c>
      <c r="F2821" s="43" t="s">
        <v>19812</v>
      </c>
      <c r="G2821" s="43" t="s">
        <v>19813</v>
      </c>
      <c r="H2821" s="51" t="s">
        <v>975</v>
      </c>
      <c r="I2821" s="25" t="str">
        <f>IFERROR(__xludf.DUMMYFUNCTION("GOOGLETRANSLATE(H2821,""EN"",""ES"")"),"Patrocinio")</f>
        <v>Patrocinio</v>
      </c>
      <c r="J2821" s="26" t="s">
        <v>35</v>
      </c>
      <c r="K2821" s="48">
        <v>0.6</v>
      </c>
      <c r="L2821" s="49" t="s">
        <v>19814</v>
      </c>
      <c r="M2821" s="28" t="s">
        <v>19815</v>
      </c>
      <c r="N2821" s="83" t="s">
        <v>19816</v>
      </c>
      <c r="O2821" s="83" t="str">
        <f>IFERROR(__xludf.DUMMYFUNCTION("GOOGLETRANSLATE(N2821,""EN"",""ES"")"),"Positivo porque pone de relieve la implicación de Repsol en un evento náutico de prestigio.")</f>
        <v>Positivo porque pone de relieve la implicación de Repsol en un evento náutico de prestigio.</v>
      </c>
      <c r="P2821" s="30">
        <v>0.4</v>
      </c>
      <c r="Q2821" s="31" t="str">
        <f>IFERROR(__xludf.DUMMYFUNCTION("GOOGLETRANSLATE(R2821,""ES"",""EN"")"),"Repsol Cup")</f>
        <v>Repsol Cup</v>
      </c>
      <c r="R2821" s="28" t="s">
        <v>19817</v>
      </c>
      <c r="S2821" s="53" t="s">
        <v>19818</v>
      </c>
      <c r="T2821" s="32" t="s">
        <v>19819</v>
      </c>
    </row>
    <row r="2822">
      <c r="A2822" s="33" t="s">
        <v>19820</v>
      </c>
      <c r="B2822" s="76" t="s">
        <v>19821</v>
      </c>
      <c r="C2822" s="41">
        <v>45509.0</v>
      </c>
      <c r="D2822" s="40" t="s">
        <v>19822</v>
      </c>
      <c r="E2822" s="41" t="s">
        <v>19823</v>
      </c>
      <c r="F2822" s="43" t="s">
        <v>19824</v>
      </c>
      <c r="G2822" s="43" t="s">
        <v>19825</v>
      </c>
      <c r="H2822" s="51" t="s">
        <v>48</v>
      </c>
      <c r="I2822" s="15" t="str">
        <f>IFERROR(__xludf.DUMMYFUNCTION("GOOGLETRANSLATE(H2822,""EN"",""ES"")"),"Finanzas")</f>
        <v>Finanzas</v>
      </c>
      <c r="J2822" s="16" t="s">
        <v>35</v>
      </c>
      <c r="K2822" s="48">
        <v>-0.5</v>
      </c>
      <c r="L2822" s="51" t="s">
        <v>19216</v>
      </c>
      <c r="M2822" s="34" t="s">
        <v>19217</v>
      </c>
      <c r="N2822" s="86" t="s">
        <v>19826</v>
      </c>
      <c r="O2822" s="86" t="str">
        <f>IFERROR(__xludf.DUMMYFUNCTION("GOOGLETRANSLATE(N2822,""EN"",""ES"")"),"Negativo ya que informa de una caída en la cotización de las acciones de Repsol.")</f>
        <v>Negativo ya que informa de una caída en la cotización de las acciones de Repsol.</v>
      </c>
      <c r="P2822" s="30">
        <v>-0.4</v>
      </c>
      <c r="Q2822" s="18" t="str">
        <f>IFERROR(__xludf.DUMMYFUNCTION("GOOGLETRANSLATE(R2822,""ES"",""EN"")"),"fall")</f>
        <v>fall</v>
      </c>
      <c r="R2822" s="34" t="s">
        <v>19827</v>
      </c>
      <c r="S2822" s="52" t="s">
        <v>18431</v>
      </c>
      <c r="T2822" s="22" t="s">
        <v>18432</v>
      </c>
    </row>
    <row r="2823">
      <c r="A2823" s="23" t="s">
        <v>19828</v>
      </c>
      <c r="B2823" s="77" t="s">
        <v>4393</v>
      </c>
      <c r="C2823" s="41">
        <v>45509.0</v>
      </c>
      <c r="D2823" s="40" t="s">
        <v>19829</v>
      </c>
      <c r="E2823" s="41" t="s">
        <v>19830</v>
      </c>
      <c r="F2823" s="43" t="s">
        <v>19831</v>
      </c>
      <c r="G2823" s="43" t="s">
        <v>19832</v>
      </c>
      <c r="H2823" s="51" t="s">
        <v>148</v>
      </c>
      <c r="I2823" s="25" t="str">
        <f>IFERROR(__xludf.DUMMYFUNCTION("GOOGLETRANSLATE(H2823,""EN"",""ES"")"),"Gastronomía")</f>
        <v>Gastronomía</v>
      </c>
      <c r="J2823" s="26" t="s">
        <v>27</v>
      </c>
      <c r="K2823" s="17">
        <v>0.0</v>
      </c>
      <c r="L2823" s="54"/>
      <c r="M2823" s="31"/>
      <c r="N2823" s="83"/>
      <c r="O2823" s="83"/>
      <c r="P2823" s="20">
        <v>0.0</v>
      </c>
      <c r="Q2823" s="31"/>
      <c r="R2823" s="31"/>
      <c r="S2823" s="53"/>
      <c r="T2823" s="32"/>
    </row>
    <row r="2824">
      <c r="A2824" s="33" t="s">
        <v>19833</v>
      </c>
      <c r="B2824" s="76" t="s">
        <v>7048</v>
      </c>
      <c r="C2824" s="41">
        <v>45509.0</v>
      </c>
      <c r="D2824" s="40" t="s">
        <v>19834</v>
      </c>
      <c r="E2824" s="41" t="s">
        <v>19835</v>
      </c>
      <c r="F2824" s="43" t="s">
        <v>19836</v>
      </c>
      <c r="G2824" s="43" t="s">
        <v>19837</v>
      </c>
      <c r="H2824" s="51" t="s">
        <v>148</v>
      </c>
      <c r="I2824" s="15" t="str">
        <f>IFERROR(__xludf.DUMMYFUNCTION("GOOGLETRANSLATE(H2824,""EN"",""ES"")"),"Gastronomía")</f>
        <v>Gastronomía</v>
      </c>
      <c r="J2824" s="16" t="s">
        <v>27</v>
      </c>
      <c r="K2824" s="17">
        <v>0.0</v>
      </c>
      <c r="L2824" s="45"/>
      <c r="M2824" s="18"/>
      <c r="N2824" s="86"/>
      <c r="O2824" s="86"/>
      <c r="P2824" s="20">
        <v>0.0</v>
      </c>
      <c r="Q2824" s="18"/>
      <c r="R2824" s="18"/>
      <c r="S2824" s="52"/>
      <c r="T2824" s="22"/>
    </row>
    <row r="2825">
      <c r="A2825" s="23" t="s">
        <v>19838</v>
      </c>
      <c r="B2825" s="77" t="s">
        <v>21</v>
      </c>
      <c r="C2825" s="41">
        <v>45509.0</v>
      </c>
      <c r="D2825" s="40" t="s">
        <v>19839</v>
      </c>
      <c r="E2825" s="41" t="s">
        <v>19840</v>
      </c>
      <c r="F2825" s="43" t="s">
        <v>19841</v>
      </c>
      <c r="G2825" s="43" t="s">
        <v>19842</v>
      </c>
      <c r="H2825" s="51" t="s">
        <v>969</v>
      </c>
      <c r="I2825" s="25" t="str">
        <f>IFERROR(__xludf.DUMMYFUNCTION("GOOGLETRANSLATE(H2825,""EN"",""ES"")"),"Turismo")</f>
        <v>Turismo</v>
      </c>
      <c r="J2825" s="26" t="s">
        <v>27</v>
      </c>
      <c r="K2825" s="17">
        <v>0.0</v>
      </c>
      <c r="L2825" s="54"/>
      <c r="M2825" s="31"/>
      <c r="N2825" s="83"/>
      <c r="O2825" s="83"/>
      <c r="P2825" s="20">
        <v>0.0</v>
      </c>
      <c r="Q2825" s="31"/>
      <c r="R2825" s="31"/>
      <c r="S2825" s="53"/>
      <c r="T2825" s="32"/>
    </row>
    <row r="2826">
      <c r="A2826" s="33" t="s">
        <v>19843</v>
      </c>
      <c r="B2826" s="76" t="s">
        <v>21</v>
      </c>
      <c r="C2826" s="41">
        <v>45509.0</v>
      </c>
      <c r="D2826" s="40" t="s">
        <v>19844</v>
      </c>
      <c r="E2826" s="41" t="s">
        <v>19845</v>
      </c>
      <c r="F2826" s="43" t="s">
        <v>19846</v>
      </c>
      <c r="G2826" s="43" t="s">
        <v>19847</v>
      </c>
      <c r="H2826" s="51" t="s">
        <v>969</v>
      </c>
      <c r="I2826" s="15" t="str">
        <f>IFERROR(__xludf.DUMMYFUNCTION("GOOGLETRANSLATE(H2826,""EN"",""ES"")"),"Turismo")</f>
        <v>Turismo</v>
      </c>
      <c r="J2826" s="16" t="s">
        <v>27</v>
      </c>
      <c r="K2826" s="17">
        <v>0.0</v>
      </c>
      <c r="L2826" s="45"/>
      <c r="M2826" s="18"/>
      <c r="N2826" s="86"/>
      <c r="O2826" s="86"/>
      <c r="P2826" s="20">
        <v>0.0</v>
      </c>
      <c r="Q2826" s="18"/>
      <c r="R2826" s="18"/>
      <c r="S2826" s="52"/>
      <c r="T2826" s="22"/>
    </row>
    <row r="2827">
      <c r="A2827" s="23" t="s">
        <v>19848</v>
      </c>
      <c r="B2827" s="77" t="s">
        <v>217</v>
      </c>
      <c r="C2827" s="41">
        <v>45509.0</v>
      </c>
      <c r="D2827" s="40" t="s">
        <v>19849</v>
      </c>
      <c r="E2827" s="41" t="s">
        <v>19850</v>
      </c>
      <c r="F2827" s="43" t="s">
        <v>19851</v>
      </c>
      <c r="G2827" s="43" t="s">
        <v>19852</v>
      </c>
      <c r="H2827" s="51" t="s">
        <v>661</v>
      </c>
      <c r="I2827" s="25" t="str">
        <f>IFERROR(__xludf.DUMMYFUNCTION("GOOGLETRANSLATE(H2827,""EN"",""ES"")"),"Estrategia empresarial")</f>
        <v>Estrategia empresarial</v>
      </c>
      <c r="J2827" s="26" t="s">
        <v>35</v>
      </c>
      <c r="K2827" s="48">
        <v>-0.6</v>
      </c>
      <c r="L2827" s="49" t="s">
        <v>19853</v>
      </c>
      <c r="M2827" s="28" t="s">
        <v>19854</v>
      </c>
      <c r="N2827" s="83" t="s">
        <v>19855</v>
      </c>
      <c r="O2827" s="83" t="str">
        <f>IFERROR(__xludf.DUMMYFUNCTION("GOOGLETRANSLATE(N2827,""EN"",""ES"")"),"Negativo ya que pone de relieve una importante perturbación en la producción de petróleo.")</f>
        <v>Negativo ya que pone de relieve una importante perturbación en la producción de petróleo.</v>
      </c>
      <c r="P2827" s="30">
        <v>-0.6</v>
      </c>
      <c r="Q2827" s="31" t="str">
        <f>IFERROR(__xludf.DUMMYFUNCTION("GOOGLETRANSLATE(R2827,""ES"",""EN"")"),"stops")</f>
        <v>stops</v>
      </c>
      <c r="R2827" s="28" t="s">
        <v>19856</v>
      </c>
      <c r="S2827" s="53" t="s">
        <v>19792</v>
      </c>
      <c r="T2827" s="32" t="s">
        <v>19793</v>
      </c>
    </row>
    <row r="2828">
      <c r="A2828" s="33" t="s">
        <v>19857</v>
      </c>
      <c r="B2828" s="76" t="s">
        <v>16414</v>
      </c>
      <c r="C2828" s="41">
        <v>45509.0</v>
      </c>
      <c r="D2828" s="40" t="s">
        <v>19858</v>
      </c>
      <c r="E2828" s="41" t="s">
        <v>19859</v>
      </c>
      <c r="F2828" s="43" t="s">
        <v>19860</v>
      </c>
      <c r="G2828" s="43" t="s">
        <v>19861</v>
      </c>
      <c r="H2828" s="51" t="s">
        <v>148</v>
      </c>
      <c r="I2828" s="15" t="str">
        <f>IFERROR(__xludf.DUMMYFUNCTION("GOOGLETRANSLATE(H2828,""EN"",""ES"")"),"Gastronomía")</f>
        <v>Gastronomía</v>
      </c>
      <c r="J2828" s="16" t="s">
        <v>27</v>
      </c>
      <c r="K2828" s="17">
        <v>0.0</v>
      </c>
      <c r="L2828" s="45"/>
      <c r="M2828" s="18"/>
      <c r="N2828" s="86"/>
      <c r="O2828" s="86"/>
      <c r="P2828" s="20">
        <v>0.0</v>
      </c>
      <c r="Q2828" s="18"/>
      <c r="R2828" s="18"/>
      <c r="S2828" s="52"/>
      <c r="T2828" s="22"/>
    </row>
    <row r="2829">
      <c r="A2829" s="23" t="s">
        <v>19862</v>
      </c>
      <c r="B2829" s="77" t="s">
        <v>1072</v>
      </c>
      <c r="C2829" s="41">
        <v>45510.0</v>
      </c>
      <c r="D2829" s="40" t="s">
        <v>19863</v>
      </c>
      <c r="E2829" s="41" t="s">
        <v>19864</v>
      </c>
      <c r="F2829" s="43" t="s">
        <v>19865</v>
      </c>
      <c r="G2829" s="43" t="s">
        <v>19866</v>
      </c>
      <c r="H2829" s="51" t="s">
        <v>48</v>
      </c>
      <c r="I2829" s="25" t="str">
        <f>IFERROR(__xludf.DUMMYFUNCTION("GOOGLETRANSLATE(H2829,""EN"",""ES"")"),"Finanzas")</f>
        <v>Finanzas</v>
      </c>
      <c r="J2829" s="26" t="s">
        <v>35</v>
      </c>
      <c r="K2829" s="48">
        <v>0.7</v>
      </c>
      <c r="L2829" s="49" t="s">
        <v>15881</v>
      </c>
      <c r="M2829" s="28" t="s">
        <v>15882</v>
      </c>
      <c r="N2829" s="83" t="s">
        <v>19867</v>
      </c>
      <c r="O2829" s="83" t="str">
        <f>IFERROR(__xludf.DUMMYFUNCTION("GOOGLETRANSLATE(N2829,""EN"",""ES"")"),"Positivo ya que destaca la rentabilidad para los accionistas y la solidez financiera.")</f>
        <v>Positivo ya que destaca la rentabilidad para los accionistas y la solidez financiera.</v>
      </c>
      <c r="P2829" s="30">
        <v>0.6</v>
      </c>
      <c r="Q2829" s="31" t="str">
        <f>IFERROR(__xludf.DUMMYFUNCTION("GOOGLETRANSLATE(R2829,""ES"",""EN"")"),"buyback")</f>
        <v>buyback</v>
      </c>
      <c r="R2829" s="28" t="s">
        <v>19868</v>
      </c>
      <c r="S2829" s="53" t="s">
        <v>19869</v>
      </c>
      <c r="T2829" s="32" t="s">
        <v>19870</v>
      </c>
    </row>
    <row r="2830">
      <c r="A2830" s="33" t="s">
        <v>19871</v>
      </c>
      <c r="B2830" s="76" t="s">
        <v>626</v>
      </c>
      <c r="C2830" s="41">
        <v>45510.0</v>
      </c>
      <c r="D2830" s="40" t="s">
        <v>19872</v>
      </c>
      <c r="E2830" s="41" t="s">
        <v>19873</v>
      </c>
      <c r="F2830" s="43" t="s">
        <v>19874</v>
      </c>
      <c r="G2830" s="43" t="s">
        <v>19875</v>
      </c>
      <c r="H2830" s="51" t="s">
        <v>130</v>
      </c>
      <c r="I2830" s="15" t="str">
        <f>IFERROR(__xludf.DUMMYFUNCTION("GOOGLETRANSLATE(H2830,""EN"",""ES"")"),"Sostenibilidad")</f>
        <v>Sostenibilidad</v>
      </c>
      <c r="J2830" s="16" t="s">
        <v>35</v>
      </c>
      <c r="K2830" s="48">
        <v>0.7</v>
      </c>
      <c r="L2830" s="51" t="s">
        <v>12580</v>
      </c>
      <c r="M2830" s="34" t="s">
        <v>12581</v>
      </c>
      <c r="N2830" s="86" t="s">
        <v>19876</v>
      </c>
      <c r="O2830" s="86" t="str">
        <f>IFERROR(__xludf.DUMMYFUNCTION("GOOGLETRANSLATE(N2830,""EN"",""ES"")"),"Positivo porque refuerza el compromiso de Repsol con la sostenibilidad y las energías renovables.")</f>
        <v>Positivo porque refuerza el compromiso de Repsol con la sostenibilidad y las energías renovables.</v>
      </c>
      <c r="P2830" s="30">
        <v>0.7</v>
      </c>
      <c r="Q2830" s="18" t="str">
        <f>IFERROR(__xludf.DUMMYFUNCTION("GOOGLETRANSLATE(R2830,""ES"",""EN"")"),"renewable fuel")</f>
        <v>renewable fuel</v>
      </c>
      <c r="R2830" s="34" t="s">
        <v>10542</v>
      </c>
      <c r="S2830" s="52" t="s">
        <v>19877</v>
      </c>
      <c r="T2830" s="22" t="s">
        <v>19878</v>
      </c>
    </row>
    <row r="2831">
      <c r="A2831" s="23" t="s">
        <v>19879</v>
      </c>
      <c r="B2831" s="77" t="s">
        <v>19880</v>
      </c>
      <c r="C2831" s="41">
        <v>45510.0</v>
      </c>
      <c r="D2831" s="40" t="s">
        <v>19881</v>
      </c>
      <c r="E2831" s="41" t="s">
        <v>19882</v>
      </c>
      <c r="F2831" s="43" t="s">
        <v>19883</v>
      </c>
      <c r="G2831" s="43" t="s">
        <v>19884</v>
      </c>
      <c r="H2831" s="51" t="s">
        <v>661</v>
      </c>
      <c r="I2831" s="25" t="str">
        <f>IFERROR(__xludf.DUMMYFUNCTION("GOOGLETRANSLATE(H2831,""EN"",""ES"")"),"Estrategia empresarial")</f>
        <v>Estrategia empresarial</v>
      </c>
      <c r="J2831" s="26" t="s">
        <v>35</v>
      </c>
      <c r="K2831" s="48">
        <v>-0.6</v>
      </c>
      <c r="L2831" s="49" t="s">
        <v>19885</v>
      </c>
      <c r="M2831" s="28" t="s">
        <v>19886</v>
      </c>
      <c r="N2831" s="83" t="s">
        <v>19887</v>
      </c>
      <c r="O2831" s="83" t="str">
        <f>IFERROR(__xludf.DUMMYFUNCTION("GOOGLETRANSLATE(N2831,""EN"",""ES"")"),"Negativo porque pone de relieve los riesgos geopolíticos que afectan a las operaciones de Repsol.")</f>
        <v>Negativo porque pone de relieve los riesgos geopolíticos que afectan a las operaciones de Repsol.</v>
      </c>
      <c r="P2831" s="30">
        <v>-0.7</v>
      </c>
      <c r="Q2831" s="31" t="str">
        <f>IFERROR(__xludf.DUMMYFUNCTION("GOOGLETRANSLATE(R2831,""ES"",""EN"")"),"closed")</f>
        <v>closed</v>
      </c>
      <c r="R2831" s="28" t="s">
        <v>19888</v>
      </c>
      <c r="S2831" s="53" t="s">
        <v>19889</v>
      </c>
      <c r="T2831" s="32" t="s">
        <v>19890</v>
      </c>
    </row>
    <row r="2832">
      <c r="A2832" s="33" t="s">
        <v>19891</v>
      </c>
      <c r="B2832" s="76" t="s">
        <v>1970</v>
      </c>
      <c r="C2832" s="41">
        <v>45510.0</v>
      </c>
      <c r="D2832" s="40" t="s">
        <v>19892</v>
      </c>
      <c r="E2832" s="41" t="s">
        <v>19893</v>
      </c>
      <c r="F2832" s="43" t="s">
        <v>19894</v>
      </c>
      <c r="G2832" s="43" t="s">
        <v>19895</v>
      </c>
      <c r="H2832" s="51" t="s">
        <v>661</v>
      </c>
      <c r="I2832" s="15" t="str">
        <f>IFERROR(__xludf.DUMMYFUNCTION("GOOGLETRANSLATE(H2832,""EN"",""ES"")"),"Estrategia empresarial")</f>
        <v>Estrategia empresarial</v>
      </c>
      <c r="J2832" s="16" t="s">
        <v>35</v>
      </c>
      <c r="K2832" s="48">
        <v>0.6</v>
      </c>
      <c r="L2832" s="51" t="s">
        <v>18628</v>
      </c>
      <c r="M2832" s="34" t="s">
        <v>18629</v>
      </c>
      <c r="N2832" s="86" t="s">
        <v>19896</v>
      </c>
      <c r="O2832" s="86" t="str">
        <f>IFERROR(__xludf.DUMMYFUNCTION("GOOGLETRANSLATE(N2832,""EN"",""ES"")"),"Positivo porque destaca las iniciativas de fidelización de clientes de Repsol.")</f>
        <v>Positivo porque destaca las iniciativas de fidelización de clientes de Repsol.</v>
      </c>
      <c r="P2832" s="30">
        <v>0.4</v>
      </c>
      <c r="Q2832" s="18" t="str">
        <f>IFERROR(__xludf.DUMMYFUNCTION("GOOGLETRANSLATE(R2832,""ES"",""EN"")"),"Waylet")</f>
        <v>Waylet</v>
      </c>
      <c r="R2832" s="34" t="s">
        <v>17945</v>
      </c>
      <c r="S2832" s="52" t="s">
        <v>19897</v>
      </c>
      <c r="T2832" s="22" t="s">
        <v>19898</v>
      </c>
    </row>
    <row r="2833">
      <c r="A2833" s="23" t="s">
        <v>19899</v>
      </c>
      <c r="B2833" s="77" t="s">
        <v>21</v>
      </c>
      <c r="C2833" s="41">
        <v>45510.0</v>
      </c>
      <c r="D2833" s="40" t="s">
        <v>19900</v>
      </c>
      <c r="E2833" s="41" t="s">
        <v>19901</v>
      </c>
      <c r="F2833" s="43" t="s">
        <v>19902</v>
      </c>
      <c r="G2833" s="43" t="s">
        <v>19903</v>
      </c>
      <c r="H2833" s="51" t="s">
        <v>969</v>
      </c>
      <c r="I2833" s="25" t="str">
        <f>IFERROR(__xludf.DUMMYFUNCTION("GOOGLETRANSLATE(H2833,""EN"",""ES"")"),"Turismo")</f>
        <v>Turismo</v>
      </c>
      <c r="J2833" s="26" t="s">
        <v>27</v>
      </c>
      <c r="K2833" s="17">
        <v>0.0</v>
      </c>
      <c r="L2833" s="54"/>
      <c r="M2833" s="31"/>
      <c r="N2833" s="83"/>
      <c r="O2833" s="83"/>
      <c r="P2833" s="20">
        <v>0.0</v>
      </c>
      <c r="Q2833" s="31"/>
      <c r="R2833" s="31"/>
      <c r="S2833" s="53"/>
      <c r="T2833" s="32"/>
    </row>
    <row r="2834">
      <c r="A2834" s="33" t="s">
        <v>19904</v>
      </c>
      <c r="B2834" s="76" t="s">
        <v>192</v>
      </c>
      <c r="C2834" s="41">
        <v>45510.0</v>
      </c>
      <c r="D2834" s="40" t="s">
        <v>19905</v>
      </c>
      <c r="E2834" s="41" t="s">
        <v>19906</v>
      </c>
      <c r="F2834" s="43" t="s">
        <v>19907</v>
      </c>
      <c r="G2834" s="43" t="s">
        <v>19908</v>
      </c>
      <c r="H2834" s="51" t="s">
        <v>661</v>
      </c>
      <c r="I2834" s="15" t="str">
        <f>IFERROR(__xludf.DUMMYFUNCTION("GOOGLETRANSLATE(H2834,""EN"",""ES"")"),"Estrategia empresarial")</f>
        <v>Estrategia empresarial</v>
      </c>
      <c r="J2834" s="16" t="s">
        <v>35</v>
      </c>
      <c r="K2834" s="48">
        <v>0.6</v>
      </c>
      <c r="L2834" s="51" t="s">
        <v>19909</v>
      </c>
      <c r="M2834" s="34" t="s">
        <v>19910</v>
      </c>
      <c r="N2834" s="86" t="s">
        <v>19911</v>
      </c>
      <c r="O2834" s="86" t="str">
        <f>IFERROR(__xludf.DUMMYFUNCTION("GOOGLETRANSLATE(N2834,""EN"",""ES"")"),"Positivo porque amplía el uso de la plataforma de pagos digitales de Repsol.")</f>
        <v>Positivo porque amplía el uso de la plataforma de pagos digitales de Repsol.</v>
      </c>
      <c r="P2834" s="30">
        <v>0.3</v>
      </c>
      <c r="Q2834" s="18" t="str">
        <f>IFERROR(__xludf.DUMMYFUNCTION("GOOGLETRANSLATE(R2834,""ES"",""EN"")"),"Waylet")</f>
        <v>Waylet</v>
      </c>
      <c r="R2834" s="34" t="s">
        <v>17945</v>
      </c>
      <c r="S2834" s="52" t="s">
        <v>19912</v>
      </c>
      <c r="T2834" s="22" t="s">
        <v>19913</v>
      </c>
    </row>
    <row r="2835">
      <c r="A2835" s="23" t="s">
        <v>19914</v>
      </c>
      <c r="B2835" s="77" t="s">
        <v>217</v>
      </c>
      <c r="C2835" s="41">
        <v>45510.0</v>
      </c>
      <c r="D2835" s="40" t="s">
        <v>19915</v>
      </c>
      <c r="E2835" s="41" t="s">
        <v>19916</v>
      </c>
      <c r="F2835" s="43" t="s">
        <v>19917</v>
      </c>
      <c r="G2835" s="43" t="s">
        <v>19918</v>
      </c>
      <c r="H2835" s="51" t="s">
        <v>17454</v>
      </c>
      <c r="I2835" s="25" t="str">
        <f>IFERROR(__xludf.DUMMYFUNCTION("GOOGLETRANSLATE(H2835,""EN"",""ES"")"),"Estilo de vida")</f>
        <v>Estilo de vida</v>
      </c>
      <c r="J2835" s="26" t="s">
        <v>27</v>
      </c>
      <c r="K2835" s="17">
        <v>0.0</v>
      </c>
      <c r="L2835" s="54"/>
      <c r="M2835" s="31"/>
      <c r="N2835" s="83"/>
      <c r="O2835" s="83"/>
      <c r="P2835" s="20">
        <v>0.0</v>
      </c>
      <c r="Q2835" s="31"/>
      <c r="R2835" s="31"/>
      <c r="S2835" s="53"/>
      <c r="T2835" s="32"/>
    </row>
    <row r="2836">
      <c r="A2836" s="33" t="s">
        <v>19919</v>
      </c>
      <c r="B2836" s="76" t="s">
        <v>7171</v>
      </c>
      <c r="C2836" s="41">
        <v>45510.0</v>
      </c>
      <c r="D2836" s="40" t="s">
        <v>19920</v>
      </c>
      <c r="E2836" s="41" t="s">
        <v>19921</v>
      </c>
      <c r="F2836" s="43" t="s">
        <v>19922</v>
      </c>
      <c r="G2836" s="43" t="s">
        <v>19923</v>
      </c>
      <c r="H2836" s="51" t="s">
        <v>148</v>
      </c>
      <c r="I2836" s="15" t="str">
        <f>IFERROR(__xludf.DUMMYFUNCTION("GOOGLETRANSLATE(H2836,""EN"",""ES"")"),"Gastronomía")</f>
        <v>Gastronomía</v>
      </c>
      <c r="J2836" s="16" t="s">
        <v>27</v>
      </c>
      <c r="K2836" s="17">
        <v>0.0</v>
      </c>
      <c r="L2836" s="45"/>
      <c r="M2836" s="18"/>
      <c r="N2836" s="86"/>
      <c r="O2836" s="86"/>
      <c r="P2836" s="20">
        <v>0.0</v>
      </c>
      <c r="Q2836" s="18"/>
      <c r="R2836" s="18"/>
      <c r="S2836" s="52"/>
      <c r="T2836" s="22"/>
    </row>
    <row r="2837">
      <c r="A2837" s="23" t="s">
        <v>19924</v>
      </c>
      <c r="B2837" s="77" t="s">
        <v>1568</v>
      </c>
      <c r="C2837" s="41">
        <v>45510.0</v>
      </c>
      <c r="D2837" s="40" t="s">
        <v>19925</v>
      </c>
      <c r="E2837" s="41" t="s">
        <v>19926</v>
      </c>
      <c r="F2837" s="43" t="s">
        <v>19927</v>
      </c>
      <c r="G2837" s="43" t="s">
        <v>19928</v>
      </c>
      <c r="H2837" s="51" t="s">
        <v>130</v>
      </c>
      <c r="I2837" s="25" t="str">
        <f>IFERROR(__xludf.DUMMYFUNCTION("GOOGLETRANSLATE(H2837,""EN"",""ES"")"),"Sostenibilidad")</f>
        <v>Sostenibilidad</v>
      </c>
      <c r="J2837" s="26" t="s">
        <v>35</v>
      </c>
      <c r="K2837" s="48">
        <v>0.7</v>
      </c>
      <c r="L2837" s="49" t="s">
        <v>19929</v>
      </c>
      <c r="M2837" s="28" t="s">
        <v>19930</v>
      </c>
      <c r="N2837" s="83" t="s">
        <v>19931</v>
      </c>
      <c r="O2837" s="83" t="str">
        <f>IFERROR(__xludf.DUMMYFUNCTION("GOOGLETRANSLATE(N2837,""EN"",""ES"")"),"Positivo porque destaca la inversión de Repsol en materiales sostenibles.")</f>
        <v>Positivo porque destaca la inversión de Repsol en materiales sostenibles.</v>
      </c>
      <c r="P2837" s="30">
        <v>0.5</v>
      </c>
      <c r="Q2837" s="31" t="str">
        <f>IFERROR(__xludf.DUMMYFUNCTION("GOOGLETRANSLATE(R2837,""ES"",""EN"")"),"recycling")</f>
        <v>recycling</v>
      </c>
      <c r="R2837" s="28" t="s">
        <v>19932</v>
      </c>
      <c r="S2837" s="53" t="s">
        <v>19877</v>
      </c>
      <c r="T2837" s="32" t="s">
        <v>19878</v>
      </c>
    </row>
    <row r="2838">
      <c r="A2838" s="33" t="s">
        <v>19933</v>
      </c>
      <c r="B2838" s="76" t="s">
        <v>217</v>
      </c>
      <c r="C2838" s="41">
        <v>45510.0</v>
      </c>
      <c r="D2838" s="40" t="s">
        <v>19934</v>
      </c>
      <c r="E2838" s="41" t="s">
        <v>19935</v>
      </c>
      <c r="F2838" s="43" t="s">
        <v>19936</v>
      </c>
      <c r="G2838" s="43" t="s">
        <v>19937</v>
      </c>
      <c r="H2838" s="51" t="s">
        <v>48</v>
      </c>
      <c r="I2838" s="15" t="str">
        <f>IFERROR(__xludf.DUMMYFUNCTION("GOOGLETRANSLATE(H2838,""EN"",""ES"")"),"Finanzas")</f>
        <v>Finanzas</v>
      </c>
      <c r="J2838" s="16" t="s">
        <v>35</v>
      </c>
      <c r="K2838" s="48">
        <v>0.7</v>
      </c>
      <c r="L2838" s="51" t="s">
        <v>15881</v>
      </c>
      <c r="M2838" s="34" t="s">
        <v>15882</v>
      </c>
      <c r="N2838" s="86" t="s">
        <v>19938</v>
      </c>
      <c r="O2838" s="86" t="str">
        <f>IFERROR(__xludf.DUMMYFUNCTION("GOOGLETRANSLATE(N2838,""EN"",""ES"")"),"Positivo porque pone de relieve el compromiso de Repsol con la rentabilidad para el accionista.")</f>
        <v>Positivo porque pone de relieve el compromiso de Repsol con la rentabilidad para el accionista.</v>
      </c>
      <c r="P2838" s="30">
        <v>0.6</v>
      </c>
      <c r="Q2838" s="18" t="str">
        <f>IFERROR(__xludf.DUMMYFUNCTION("GOOGLETRANSLATE(R2838,""ES"",""EN"")"),"buyback")</f>
        <v>buyback</v>
      </c>
      <c r="R2838" s="34" t="s">
        <v>19868</v>
      </c>
      <c r="S2838" s="52" t="s">
        <v>19869</v>
      </c>
      <c r="T2838" s="22" t="s">
        <v>19870</v>
      </c>
    </row>
    <row r="2839">
      <c r="A2839" s="23" t="s">
        <v>19939</v>
      </c>
      <c r="B2839" s="77" t="s">
        <v>977</v>
      </c>
      <c r="C2839" s="41">
        <v>45510.0</v>
      </c>
      <c r="D2839" s="40" t="s">
        <v>19940</v>
      </c>
      <c r="E2839" s="41" t="s">
        <v>19941</v>
      </c>
      <c r="F2839" s="43" t="s">
        <v>19942</v>
      </c>
      <c r="G2839" s="43" t="s">
        <v>19943</v>
      </c>
      <c r="H2839" s="51" t="s">
        <v>408</v>
      </c>
      <c r="I2839" s="25" t="str">
        <f>IFERROR(__xludf.DUMMYFUNCTION("GOOGLETRANSLATE(H2839,""EN"",""ES"")"),"Legal")</f>
        <v>Legal</v>
      </c>
      <c r="J2839" s="26" t="s">
        <v>35</v>
      </c>
      <c r="K2839" s="48">
        <v>-0.8</v>
      </c>
      <c r="L2839" s="49" t="s">
        <v>9922</v>
      </c>
      <c r="M2839" s="28" t="s">
        <v>9923</v>
      </c>
      <c r="N2839" s="83" t="s">
        <v>19944</v>
      </c>
      <c r="O2839" s="83" t="str">
        <f>IFERROR(__xludf.DUMMYFUNCTION("GOOGLETRANSLATE(N2839,""EN"",""ES"")"),"Muy negativo ya que denuncia los continuos daños medioambientales causados ​​por Repsol.")</f>
        <v>Muy negativo ya que denuncia los continuos daños medioambientales causados ​​por Repsol.</v>
      </c>
      <c r="P2839" s="30">
        <v>-0.8</v>
      </c>
      <c r="Q2839" s="31" t="str">
        <f>IFERROR(__xludf.DUMMYFUNCTION("GOOGLETRANSLATE(R2839,""ES"",""EN"")"),"spill, contamination")</f>
        <v>spill, contamination</v>
      </c>
      <c r="R2839" s="28" t="s">
        <v>19945</v>
      </c>
      <c r="S2839" s="53" t="s">
        <v>19946</v>
      </c>
      <c r="T2839" s="32" t="s">
        <v>19947</v>
      </c>
    </row>
    <row r="2840">
      <c r="A2840" s="33" t="s">
        <v>19948</v>
      </c>
      <c r="B2840" s="76" t="s">
        <v>217</v>
      </c>
      <c r="C2840" s="41">
        <v>45510.0</v>
      </c>
      <c r="D2840" s="40" t="s">
        <v>19949</v>
      </c>
      <c r="E2840" s="41" t="s">
        <v>19950</v>
      </c>
      <c r="F2840" s="43" t="s">
        <v>19951</v>
      </c>
      <c r="G2840" s="43" t="s">
        <v>19952</v>
      </c>
      <c r="H2840" s="51" t="s">
        <v>130</v>
      </c>
      <c r="I2840" s="15" t="str">
        <f>IFERROR(__xludf.DUMMYFUNCTION("GOOGLETRANSLATE(H2840,""EN"",""ES"")"),"Sostenibilidad")</f>
        <v>Sostenibilidad</v>
      </c>
      <c r="J2840" s="16" t="s">
        <v>35</v>
      </c>
      <c r="K2840" s="48">
        <v>0.7</v>
      </c>
      <c r="L2840" s="51" t="s">
        <v>19357</v>
      </c>
      <c r="M2840" s="34" t="s">
        <v>19358</v>
      </c>
      <c r="N2840" s="86" t="s">
        <v>19953</v>
      </c>
      <c r="O2840" s="86" t="str">
        <f>IFERROR(__xludf.DUMMYFUNCTION("GOOGLETRANSLATE(N2840,""EN"",""ES"")"),"Positivo ya que pone de relieve el liderazgo de España en la adopción de nuevos productos petrolíferos.")</f>
        <v>Positivo ya que pone de relieve el liderazgo de España en la adopción de nuevos productos petrolíferos.</v>
      </c>
      <c r="P2840" s="30">
        <v>0.0</v>
      </c>
      <c r="Q2840" s="18"/>
      <c r="R2840" s="18"/>
      <c r="S2840" s="52" t="s">
        <v>12139</v>
      </c>
      <c r="T2840" s="22" t="s">
        <v>12140</v>
      </c>
    </row>
    <row r="2841">
      <c r="A2841" s="23" t="s">
        <v>19954</v>
      </c>
      <c r="B2841" s="77" t="s">
        <v>21</v>
      </c>
      <c r="C2841" s="41">
        <v>45510.0</v>
      </c>
      <c r="D2841" s="40" t="s">
        <v>19955</v>
      </c>
      <c r="E2841" s="41" t="s">
        <v>19956</v>
      </c>
      <c r="F2841" s="43" t="s">
        <v>19957</v>
      </c>
      <c r="G2841" s="43" t="s">
        <v>19958</v>
      </c>
      <c r="H2841" s="51" t="s">
        <v>148</v>
      </c>
      <c r="I2841" s="25" t="str">
        <f>IFERROR(__xludf.DUMMYFUNCTION("GOOGLETRANSLATE(H2841,""EN"",""ES"")"),"Gastronomía")</f>
        <v>Gastronomía</v>
      </c>
      <c r="J2841" s="26" t="s">
        <v>27</v>
      </c>
      <c r="K2841" s="17">
        <v>0.0</v>
      </c>
      <c r="L2841" s="54"/>
      <c r="M2841" s="31"/>
      <c r="N2841" s="83"/>
      <c r="O2841" s="83"/>
      <c r="P2841" s="20">
        <v>0.0</v>
      </c>
      <c r="Q2841" s="31"/>
      <c r="R2841" s="31"/>
      <c r="S2841" s="53"/>
      <c r="T2841" s="32"/>
    </row>
    <row r="2842">
      <c r="A2842" s="33" t="s">
        <v>19959</v>
      </c>
      <c r="B2842" s="76" t="s">
        <v>626</v>
      </c>
      <c r="C2842" s="41">
        <v>45511.0</v>
      </c>
      <c r="D2842" s="40" t="s">
        <v>19960</v>
      </c>
      <c r="E2842" s="41" t="s">
        <v>19961</v>
      </c>
      <c r="F2842" s="43" t="s">
        <v>19962</v>
      </c>
      <c r="G2842" s="43" t="s">
        <v>19963</v>
      </c>
      <c r="H2842" s="51" t="s">
        <v>48</v>
      </c>
      <c r="I2842" s="15" t="str">
        <f>IFERROR(__xludf.DUMMYFUNCTION("GOOGLETRANSLATE(H2842,""EN"",""ES"")"),"Finanzas")</f>
        <v>Finanzas</v>
      </c>
      <c r="J2842" s="16" t="s">
        <v>35</v>
      </c>
      <c r="K2842" s="48">
        <v>0.7</v>
      </c>
      <c r="L2842" s="51" t="s">
        <v>15881</v>
      </c>
      <c r="M2842" s="34" t="s">
        <v>15882</v>
      </c>
      <c r="N2842" s="86" t="s">
        <v>19964</v>
      </c>
      <c r="O2842" s="86" t="str">
        <f>IFERROR(__xludf.DUMMYFUNCTION("GOOGLETRANSLATE(N2842,""EN"",""ES"")"),"Positivo porque subraya la estabilidad financiera de Repsol y el beneficio para los accionistas.")</f>
        <v>Positivo porque subraya la estabilidad financiera de Repsol y el beneficio para los accionistas.</v>
      </c>
      <c r="P2842" s="30">
        <v>0.6</v>
      </c>
      <c r="Q2842" s="18" t="str">
        <f>IFERROR(__xludf.DUMMYFUNCTION("GOOGLETRANSLATE(R2842,""ES"",""EN"")"),"buyback")</f>
        <v>buyback</v>
      </c>
      <c r="R2842" s="34" t="s">
        <v>19868</v>
      </c>
      <c r="S2842" s="52" t="s">
        <v>19869</v>
      </c>
      <c r="T2842" s="22" t="s">
        <v>19870</v>
      </c>
    </row>
    <row r="2843">
      <c r="A2843" s="23" t="s">
        <v>19965</v>
      </c>
      <c r="B2843" s="77" t="s">
        <v>2175</v>
      </c>
      <c r="C2843" s="41">
        <v>45511.0</v>
      </c>
      <c r="D2843" s="40" t="s">
        <v>19966</v>
      </c>
      <c r="E2843" s="41" t="s">
        <v>19967</v>
      </c>
      <c r="F2843" s="43" t="s">
        <v>19968</v>
      </c>
      <c r="G2843" s="43" t="s">
        <v>19969</v>
      </c>
      <c r="H2843" s="51" t="s">
        <v>48</v>
      </c>
      <c r="I2843" s="25" t="str">
        <f>IFERROR(__xludf.DUMMYFUNCTION("GOOGLETRANSLATE(H2843,""EN"",""ES"")"),"Finanzas")</f>
        <v>Finanzas</v>
      </c>
      <c r="J2843" s="26" t="s">
        <v>27</v>
      </c>
      <c r="K2843" s="17">
        <v>0.0</v>
      </c>
      <c r="L2843" s="54"/>
      <c r="M2843" s="31"/>
      <c r="N2843" s="83"/>
      <c r="O2843" s="83"/>
      <c r="P2843" s="20">
        <v>0.0</v>
      </c>
      <c r="Q2843" s="31"/>
      <c r="R2843" s="31"/>
      <c r="S2843" s="53"/>
      <c r="T2843" s="32"/>
    </row>
    <row r="2844">
      <c r="A2844" s="33" t="s">
        <v>19970</v>
      </c>
      <c r="B2844" s="76" t="s">
        <v>558</v>
      </c>
      <c r="C2844" s="41">
        <v>45511.0</v>
      </c>
      <c r="D2844" s="40" t="s">
        <v>19971</v>
      </c>
      <c r="E2844" s="41" t="s">
        <v>19972</v>
      </c>
      <c r="F2844" s="43" t="s">
        <v>19973</v>
      </c>
      <c r="G2844" s="43" t="s">
        <v>19974</v>
      </c>
      <c r="H2844" s="51" t="s">
        <v>48</v>
      </c>
      <c r="I2844" s="15" t="str">
        <f>IFERROR(__xludf.DUMMYFUNCTION("GOOGLETRANSLATE(H2844,""EN"",""ES"")"),"Finanzas")</f>
        <v>Finanzas</v>
      </c>
      <c r="J2844" s="16" t="s">
        <v>35</v>
      </c>
      <c r="K2844" s="48">
        <v>0.7</v>
      </c>
      <c r="L2844" s="51" t="s">
        <v>15881</v>
      </c>
      <c r="M2844" s="34" t="s">
        <v>15882</v>
      </c>
      <c r="N2844" s="86" t="s">
        <v>19975</v>
      </c>
      <c r="O2844" s="86" t="str">
        <f>IFERROR(__xludf.DUMMYFUNCTION("GOOGLETRANSLATE(N2844,""EN"",""ES"")"),"Positivo porque pone de relieve el compromiso de Repsol con la recompensa al accionista.")</f>
        <v>Positivo porque pone de relieve el compromiso de Repsol con la recompensa al accionista.</v>
      </c>
      <c r="P2844" s="30">
        <v>0.6</v>
      </c>
      <c r="Q2844" s="18" t="str">
        <f>IFERROR(__xludf.DUMMYFUNCTION("GOOGLETRANSLATE(R2844,""ES"",""EN"")"),"buyback")</f>
        <v>buyback</v>
      </c>
      <c r="R2844" s="34" t="s">
        <v>19868</v>
      </c>
      <c r="S2844" s="52" t="s">
        <v>19869</v>
      </c>
      <c r="T2844" s="22" t="s">
        <v>19870</v>
      </c>
    </row>
    <row r="2845">
      <c r="A2845" s="23" t="s">
        <v>19976</v>
      </c>
      <c r="B2845" s="77" t="s">
        <v>21</v>
      </c>
      <c r="C2845" s="41">
        <v>45511.0</v>
      </c>
      <c r="D2845" s="40" t="s">
        <v>19977</v>
      </c>
      <c r="E2845" s="41" t="s">
        <v>19978</v>
      </c>
      <c r="F2845" s="43" t="s">
        <v>19979</v>
      </c>
      <c r="G2845" s="43" t="s">
        <v>19980</v>
      </c>
      <c r="H2845" s="51" t="s">
        <v>969</v>
      </c>
      <c r="I2845" s="25" t="str">
        <f>IFERROR(__xludf.DUMMYFUNCTION("GOOGLETRANSLATE(H2845,""EN"",""ES"")"),"Turismo")</f>
        <v>Turismo</v>
      </c>
      <c r="J2845" s="26" t="s">
        <v>27</v>
      </c>
      <c r="K2845" s="17">
        <v>0.0</v>
      </c>
      <c r="L2845" s="54"/>
      <c r="M2845" s="31"/>
      <c r="N2845" s="83"/>
      <c r="O2845" s="83"/>
      <c r="P2845" s="20">
        <v>0.0</v>
      </c>
      <c r="Q2845" s="31"/>
      <c r="R2845" s="31"/>
      <c r="S2845" s="53"/>
      <c r="T2845" s="32"/>
    </row>
    <row r="2846">
      <c r="A2846" s="33" t="s">
        <v>19981</v>
      </c>
      <c r="B2846" s="76" t="s">
        <v>2696</v>
      </c>
      <c r="C2846" s="41">
        <v>45511.0</v>
      </c>
      <c r="D2846" s="40" t="s">
        <v>19982</v>
      </c>
      <c r="E2846" s="41" t="s">
        <v>19983</v>
      </c>
      <c r="F2846" s="43" t="s">
        <v>19984</v>
      </c>
      <c r="G2846" s="43" t="s">
        <v>19985</v>
      </c>
      <c r="H2846" s="51" t="s">
        <v>661</v>
      </c>
      <c r="I2846" s="15" t="str">
        <f>IFERROR(__xludf.DUMMYFUNCTION("GOOGLETRANSLATE(H2846,""EN"",""ES"")"),"Estrategia empresarial")</f>
        <v>Estrategia empresarial</v>
      </c>
      <c r="J2846" s="16" t="s">
        <v>35</v>
      </c>
      <c r="K2846" s="48">
        <v>-0.6</v>
      </c>
      <c r="L2846" s="51" t="s">
        <v>19885</v>
      </c>
      <c r="M2846" s="34" t="s">
        <v>19886</v>
      </c>
      <c r="N2846" s="86" t="s">
        <v>19986</v>
      </c>
      <c r="O2846" s="86" t="str">
        <f>IFERROR(__xludf.DUMMYFUNCTION("GOOGLETRANSLATE(N2846,""EN"",""ES"")"),"Negativo ya que informa tensiones geopolíticas que afectan a las operaciones de Repsol.")</f>
        <v>Negativo ya que informa tensiones geopolíticas que afectan a las operaciones de Repsol.</v>
      </c>
      <c r="P2846" s="30">
        <v>-0.8</v>
      </c>
      <c r="Q2846" s="18" t="str">
        <f>IFERROR(__xludf.DUMMYFUNCTION("GOOGLETRANSLATE(R2846,""ES"",""EN"")"),"sanctions, closing")</f>
        <v>sanctions, closing</v>
      </c>
      <c r="R2846" s="34" t="s">
        <v>19987</v>
      </c>
      <c r="S2846" s="52" t="s">
        <v>19889</v>
      </c>
      <c r="T2846" s="22" t="s">
        <v>19890</v>
      </c>
    </row>
    <row r="2847">
      <c r="A2847" s="23" t="s">
        <v>19988</v>
      </c>
      <c r="B2847" s="77" t="s">
        <v>8357</v>
      </c>
      <c r="C2847" s="41">
        <v>45511.0</v>
      </c>
      <c r="D2847" s="40" t="s">
        <v>19989</v>
      </c>
      <c r="E2847" s="41" t="s">
        <v>19990</v>
      </c>
      <c r="F2847" s="43" t="s">
        <v>19991</v>
      </c>
      <c r="G2847" s="43" t="s">
        <v>19992</v>
      </c>
      <c r="H2847" s="51" t="s">
        <v>130</v>
      </c>
      <c r="I2847" s="25" t="str">
        <f>IFERROR(__xludf.DUMMYFUNCTION("GOOGLETRANSLATE(H2847,""EN"",""ES"")"),"Sostenibilidad")</f>
        <v>Sostenibilidad</v>
      </c>
      <c r="J2847" s="26" t="s">
        <v>35</v>
      </c>
      <c r="K2847" s="48">
        <v>0.7</v>
      </c>
      <c r="L2847" s="49" t="s">
        <v>18015</v>
      </c>
      <c r="M2847" s="28" t="s">
        <v>18016</v>
      </c>
      <c r="N2847" s="83" t="s">
        <v>19993</v>
      </c>
      <c r="O2847" s="83" t="str">
        <f>IFERROR(__xludf.DUMMYFUNCTION("GOOGLETRANSLATE(N2847,""EN"",""ES"")"),"Positivo porque destaca en los eventos la contribución de Repsol a la sostenibilidad.")</f>
        <v>Positivo porque destaca en los eventos la contribución de Repsol a la sostenibilidad.</v>
      </c>
      <c r="P2847" s="30">
        <v>0.7</v>
      </c>
      <c r="Q2847" s="31" t="str">
        <f>IFERROR(__xludf.DUMMYFUNCTION("GOOGLETRANSLATE(R2847,""ES"",""EN"")"),"renewable fuel")</f>
        <v>renewable fuel</v>
      </c>
      <c r="R2847" s="28" t="s">
        <v>10542</v>
      </c>
      <c r="S2847" s="53" t="s">
        <v>19877</v>
      </c>
      <c r="T2847" s="32" t="s">
        <v>19878</v>
      </c>
    </row>
    <row r="2848">
      <c r="A2848" s="33" t="s">
        <v>19994</v>
      </c>
      <c r="B2848" s="76" t="s">
        <v>21</v>
      </c>
      <c r="C2848" s="41">
        <v>45511.0</v>
      </c>
      <c r="D2848" s="40" t="s">
        <v>19995</v>
      </c>
      <c r="E2848" s="41" t="s">
        <v>19996</v>
      </c>
      <c r="F2848" s="43" t="s">
        <v>19997</v>
      </c>
      <c r="G2848" s="43" t="s">
        <v>19998</v>
      </c>
      <c r="H2848" s="51" t="s">
        <v>8777</v>
      </c>
      <c r="I2848" s="15" t="str">
        <f>IFERROR(__xludf.DUMMYFUNCTION("GOOGLETRANSLATE(H2848,""EN"",""ES"")"),"Cultura")</f>
        <v>Cultura</v>
      </c>
      <c r="J2848" s="16" t="s">
        <v>27</v>
      </c>
      <c r="K2848" s="17">
        <v>0.0</v>
      </c>
      <c r="L2848" s="45"/>
      <c r="M2848" s="18"/>
      <c r="N2848" s="86"/>
      <c r="O2848" s="86"/>
      <c r="P2848" s="20">
        <v>0.0</v>
      </c>
      <c r="Q2848" s="18"/>
      <c r="R2848" s="18"/>
      <c r="S2848" s="52"/>
      <c r="T2848" s="22"/>
    </row>
    <row r="2849">
      <c r="A2849" s="23" t="s">
        <v>19999</v>
      </c>
      <c r="B2849" s="77" t="s">
        <v>21</v>
      </c>
      <c r="C2849" s="41">
        <v>45511.0</v>
      </c>
      <c r="D2849" s="40" t="s">
        <v>20000</v>
      </c>
      <c r="E2849" s="41" t="s">
        <v>20001</v>
      </c>
      <c r="F2849" s="43" t="s">
        <v>20002</v>
      </c>
      <c r="G2849" s="43" t="s">
        <v>20003</v>
      </c>
      <c r="H2849" s="51" t="s">
        <v>969</v>
      </c>
      <c r="I2849" s="25" t="str">
        <f>IFERROR(__xludf.DUMMYFUNCTION("GOOGLETRANSLATE(H2849,""EN"",""ES"")"),"Turismo")</f>
        <v>Turismo</v>
      </c>
      <c r="J2849" s="26" t="s">
        <v>27</v>
      </c>
      <c r="K2849" s="17">
        <v>0.0</v>
      </c>
      <c r="L2849" s="54"/>
      <c r="M2849" s="31"/>
      <c r="N2849" s="83"/>
      <c r="O2849" s="83"/>
      <c r="P2849" s="20">
        <v>0.0</v>
      </c>
      <c r="Q2849" s="31"/>
      <c r="R2849" s="31"/>
      <c r="S2849" s="53"/>
      <c r="T2849" s="32"/>
    </row>
    <row r="2850">
      <c r="A2850" s="33" t="s">
        <v>20004</v>
      </c>
      <c r="B2850" s="76" t="s">
        <v>614</v>
      </c>
      <c r="C2850" s="41">
        <v>45511.0</v>
      </c>
      <c r="D2850" s="40" t="s">
        <v>20005</v>
      </c>
      <c r="E2850" s="41" t="s">
        <v>20006</v>
      </c>
      <c r="F2850" s="43" t="s">
        <v>20007</v>
      </c>
      <c r="G2850" s="43" t="s">
        <v>20008</v>
      </c>
      <c r="H2850" s="51" t="s">
        <v>130</v>
      </c>
      <c r="I2850" s="15" t="str">
        <f>IFERROR(__xludf.DUMMYFUNCTION("GOOGLETRANSLATE(H2850,""EN"",""ES"")"),"Sostenibilidad")</f>
        <v>Sostenibilidad</v>
      </c>
      <c r="J2850" s="16" t="s">
        <v>35</v>
      </c>
      <c r="K2850" s="48">
        <v>0.7</v>
      </c>
      <c r="L2850" s="51" t="s">
        <v>12580</v>
      </c>
      <c r="M2850" s="34" t="s">
        <v>12581</v>
      </c>
      <c r="N2850" s="86" t="s">
        <v>20009</v>
      </c>
      <c r="O2850" s="86" t="str">
        <f>IFERROR(__xludf.DUMMYFUNCTION("GOOGLETRANSLATE(N2850,""EN"",""ES"")"),"Positivo porque pone de relieve el esfuerzo de Repsol en materia de sostenibilidad.")</f>
        <v>Positivo porque pone de relieve el esfuerzo de Repsol en materia de sostenibilidad.</v>
      </c>
      <c r="P2850" s="30">
        <v>0.7</v>
      </c>
      <c r="Q2850" s="18" t="str">
        <f>IFERROR(__xludf.DUMMYFUNCTION("GOOGLETRANSLATE(R2850,""ES"",""EN"")"),"renewable fuel")</f>
        <v>renewable fuel</v>
      </c>
      <c r="R2850" s="34" t="s">
        <v>10542</v>
      </c>
      <c r="S2850" s="52" t="s">
        <v>19877</v>
      </c>
      <c r="T2850" s="22" t="s">
        <v>19878</v>
      </c>
    </row>
    <row r="2851">
      <c r="A2851" s="23" t="s">
        <v>20010</v>
      </c>
      <c r="B2851" s="77" t="s">
        <v>403</v>
      </c>
      <c r="C2851" s="41">
        <v>45511.0</v>
      </c>
      <c r="D2851" s="40" t="s">
        <v>20011</v>
      </c>
      <c r="E2851" s="41" t="s">
        <v>20012</v>
      </c>
      <c r="F2851" s="43" t="s">
        <v>20013</v>
      </c>
      <c r="G2851" s="43" t="s">
        <v>20014</v>
      </c>
      <c r="H2851" s="51" t="s">
        <v>148</v>
      </c>
      <c r="I2851" s="25" t="str">
        <f>IFERROR(__xludf.DUMMYFUNCTION("GOOGLETRANSLATE(H2851,""EN"",""ES"")"),"Gastronomía")</f>
        <v>Gastronomía</v>
      </c>
      <c r="J2851" s="26" t="s">
        <v>27</v>
      </c>
      <c r="K2851" s="17">
        <v>0.0</v>
      </c>
      <c r="L2851" s="54"/>
      <c r="M2851" s="31"/>
      <c r="N2851" s="83"/>
      <c r="O2851" s="83"/>
      <c r="P2851" s="20">
        <v>0.0</v>
      </c>
      <c r="Q2851" s="31"/>
      <c r="R2851" s="31"/>
      <c r="S2851" s="53"/>
      <c r="T2851" s="32"/>
    </row>
    <row r="2852">
      <c r="A2852" s="33" t="s">
        <v>20015</v>
      </c>
      <c r="B2852" s="76" t="s">
        <v>43</v>
      </c>
      <c r="C2852" s="41">
        <v>45512.0</v>
      </c>
      <c r="D2852" s="40" t="s">
        <v>20016</v>
      </c>
      <c r="E2852" s="41" t="s">
        <v>20017</v>
      </c>
      <c r="F2852" s="43" t="s">
        <v>20018</v>
      </c>
      <c r="G2852" s="43" t="s">
        <v>20019</v>
      </c>
      <c r="H2852" s="51" t="s">
        <v>130</v>
      </c>
      <c r="I2852" s="15" t="str">
        <f>IFERROR(__xludf.DUMMYFUNCTION("GOOGLETRANSLATE(H2852,""EN"",""ES"")"),"Sostenibilidad")</f>
        <v>Sostenibilidad</v>
      </c>
      <c r="J2852" s="16" t="s">
        <v>35</v>
      </c>
      <c r="K2852" s="48">
        <v>0.7</v>
      </c>
      <c r="L2852" s="51" t="s">
        <v>16837</v>
      </c>
      <c r="M2852" s="34" t="s">
        <v>16838</v>
      </c>
      <c r="N2852" s="86" t="s">
        <v>20020</v>
      </c>
      <c r="O2852" s="86" t="str">
        <f>IFERROR(__xludf.DUMMYFUNCTION("GOOGLETRANSLATE(N2852,""EN"",""ES"")"),"Positivo ya que destaca el crecimiento de las energías renovables.")</f>
        <v>Positivo ya que destaca el crecimiento de las energías renovables.</v>
      </c>
      <c r="P2852" s="30">
        <v>0.7</v>
      </c>
      <c r="Q2852" s="18" t="str">
        <f>IFERROR(__xludf.DUMMYFUNCTION("GOOGLETRANSLATE(R2852,""ES"",""EN"")"),"renewable")</f>
        <v>renewable</v>
      </c>
      <c r="R2852" s="34" t="s">
        <v>13833</v>
      </c>
      <c r="S2852" s="52" t="s">
        <v>20021</v>
      </c>
      <c r="T2852" s="22" t="s">
        <v>20022</v>
      </c>
    </row>
    <row r="2853">
      <c r="A2853" s="23" t="s">
        <v>20023</v>
      </c>
      <c r="B2853" s="77" t="s">
        <v>21</v>
      </c>
      <c r="C2853" s="41">
        <v>45512.0</v>
      </c>
      <c r="D2853" s="40" t="s">
        <v>20024</v>
      </c>
      <c r="E2853" s="41" t="s">
        <v>20025</v>
      </c>
      <c r="F2853" s="43" t="s">
        <v>20026</v>
      </c>
      <c r="G2853" s="43" t="s">
        <v>20027</v>
      </c>
      <c r="H2853" s="51" t="s">
        <v>148</v>
      </c>
      <c r="I2853" s="25" t="str">
        <f>IFERROR(__xludf.DUMMYFUNCTION("GOOGLETRANSLATE(H2853,""EN"",""ES"")"),"Gastronomía")</f>
        <v>Gastronomía</v>
      </c>
      <c r="J2853" s="26" t="s">
        <v>27</v>
      </c>
      <c r="K2853" s="17">
        <v>0.0</v>
      </c>
      <c r="L2853" s="54"/>
      <c r="M2853" s="31"/>
      <c r="N2853" s="83"/>
      <c r="O2853" s="83"/>
      <c r="P2853" s="20">
        <v>0.0</v>
      </c>
      <c r="Q2853" s="31"/>
      <c r="R2853" s="31"/>
      <c r="S2853" s="53"/>
      <c r="T2853" s="32"/>
    </row>
    <row r="2854">
      <c r="A2854" s="33" t="s">
        <v>20028</v>
      </c>
      <c r="B2854" s="76" t="s">
        <v>21</v>
      </c>
      <c r="C2854" s="41">
        <v>45512.0</v>
      </c>
      <c r="D2854" s="40" t="s">
        <v>20029</v>
      </c>
      <c r="E2854" s="41" t="s">
        <v>20030</v>
      </c>
      <c r="F2854" s="43" t="s">
        <v>20031</v>
      </c>
      <c r="G2854" s="43" t="s">
        <v>20032</v>
      </c>
      <c r="H2854" s="51" t="s">
        <v>969</v>
      </c>
      <c r="I2854" s="15" t="str">
        <f>IFERROR(__xludf.DUMMYFUNCTION("GOOGLETRANSLATE(H2854,""EN"",""ES"")"),"Turismo")</f>
        <v>Turismo</v>
      </c>
      <c r="J2854" s="16" t="s">
        <v>27</v>
      </c>
      <c r="K2854" s="17">
        <v>0.0</v>
      </c>
      <c r="L2854" s="45"/>
      <c r="M2854" s="18"/>
      <c r="N2854" s="86"/>
      <c r="O2854" s="86"/>
      <c r="P2854" s="20">
        <v>0.0</v>
      </c>
      <c r="Q2854" s="18"/>
      <c r="R2854" s="18"/>
      <c r="S2854" s="52"/>
      <c r="T2854" s="22"/>
    </row>
    <row r="2855">
      <c r="A2855" s="23" t="s">
        <v>20033</v>
      </c>
      <c r="B2855" s="77" t="s">
        <v>85</v>
      </c>
      <c r="C2855" s="41">
        <v>45512.0</v>
      </c>
      <c r="D2855" s="40" t="s">
        <v>20034</v>
      </c>
      <c r="E2855" s="41" t="s">
        <v>20035</v>
      </c>
      <c r="F2855" s="43" t="s">
        <v>20036</v>
      </c>
      <c r="G2855" s="43" t="s">
        <v>20037</v>
      </c>
      <c r="H2855" s="51" t="s">
        <v>55</v>
      </c>
      <c r="I2855" s="25" t="str">
        <f>IFERROR(__xludf.DUMMYFUNCTION("GOOGLETRANSLATE(H2855,""EN"",""ES"")"),"deportes de motor")</f>
        <v>deportes de motor</v>
      </c>
      <c r="J2855" s="26" t="s">
        <v>35</v>
      </c>
      <c r="K2855" s="48">
        <v>0.0</v>
      </c>
      <c r="L2855" s="54"/>
      <c r="M2855" s="31"/>
      <c r="N2855" s="83" t="s">
        <v>20038</v>
      </c>
      <c r="O2855" s="83" t="str">
        <f>IFERROR(__xludf.DUMMYFUNCTION("GOOGLETRANSLATE(N2855,""EN"",""ES"")"),"Positivo porque pone de relieve la implicación de Repsol en el patrocinio deportivo.")</f>
        <v>Positivo porque pone de relieve la implicación de Repsol en el patrocinio deportivo.</v>
      </c>
      <c r="P2855" s="30">
        <v>0.0</v>
      </c>
      <c r="Q2855" s="31"/>
      <c r="R2855" s="31"/>
      <c r="S2855" s="53" t="s">
        <v>12139</v>
      </c>
      <c r="T2855" s="32" t="s">
        <v>12140</v>
      </c>
    </row>
    <row r="2856">
      <c r="A2856" s="33" t="s">
        <v>20039</v>
      </c>
      <c r="B2856" s="76" t="s">
        <v>3490</v>
      </c>
      <c r="C2856" s="41">
        <v>45512.0</v>
      </c>
      <c r="D2856" s="40" t="s">
        <v>20040</v>
      </c>
      <c r="E2856" s="41" t="s">
        <v>20041</v>
      </c>
      <c r="F2856" s="43" t="s">
        <v>20042</v>
      </c>
      <c r="G2856" s="43" t="s">
        <v>20043</v>
      </c>
      <c r="H2856" s="51" t="s">
        <v>48</v>
      </c>
      <c r="I2856" s="15" t="str">
        <f>IFERROR(__xludf.DUMMYFUNCTION("GOOGLETRANSLATE(H2856,""EN"",""ES"")"),"Finanzas")</f>
        <v>Finanzas</v>
      </c>
      <c r="J2856" s="16" t="s">
        <v>27</v>
      </c>
      <c r="K2856" s="17">
        <v>0.0</v>
      </c>
      <c r="L2856" s="45"/>
      <c r="M2856" s="18"/>
      <c r="N2856" s="86"/>
      <c r="O2856" s="86"/>
      <c r="P2856" s="20">
        <v>0.0</v>
      </c>
      <c r="Q2856" s="18"/>
      <c r="R2856" s="18"/>
      <c r="S2856" s="52"/>
      <c r="T2856" s="22"/>
    </row>
    <row r="2857">
      <c r="A2857" s="23" t="s">
        <v>20044</v>
      </c>
      <c r="B2857" s="77" t="s">
        <v>1192</v>
      </c>
      <c r="C2857" s="41">
        <v>45512.0</v>
      </c>
      <c r="D2857" s="40" t="s">
        <v>20045</v>
      </c>
      <c r="E2857" s="41" t="s">
        <v>20046</v>
      </c>
      <c r="F2857" s="43" t="s">
        <v>20047</v>
      </c>
      <c r="G2857" s="43" t="s">
        <v>20048</v>
      </c>
      <c r="H2857" s="51" t="s">
        <v>48</v>
      </c>
      <c r="I2857" s="25" t="str">
        <f>IFERROR(__xludf.DUMMYFUNCTION("GOOGLETRANSLATE(H2857,""EN"",""ES"")"),"Finanzas")</f>
        <v>Finanzas</v>
      </c>
      <c r="J2857" s="26" t="s">
        <v>27</v>
      </c>
      <c r="K2857" s="17">
        <v>0.0</v>
      </c>
      <c r="L2857" s="54"/>
      <c r="M2857" s="31"/>
      <c r="N2857" s="83"/>
      <c r="O2857" s="83"/>
      <c r="P2857" s="20">
        <v>0.0</v>
      </c>
      <c r="Q2857" s="31"/>
      <c r="R2857" s="31"/>
      <c r="S2857" s="53"/>
      <c r="T2857" s="32"/>
    </row>
    <row r="2858">
      <c r="A2858" s="33" t="s">
        <v>20049</v>
      </c>
      <c r="B2858" s="76" t="s">
        <v>11876</v>
      </c>
      <c r="C2858" s="41">
        <v>45512.0</v>
      </c>
      <c r="D2858" s="40" t="s">
        <v>20050</v>
      </c>
      <c r="E2858" s="41" t="s">
        <v>20051</v>
      </c>
      <c r="F2858" s="43" t="s">
        <v>20052</v>
      </c>
      <c r="G2858" s="43" t="s">
        <v>20053</v>
      </c>
      <c r="H2858" s="51" t="s">
        <v>661</v>
      </c>
      <c r="I2858" s="15" t="str">
        <f>IFERROR(__xludf.DUMMYFUNCTION("GOOGLETRANSLATE(H2858,""EN"",""ES"")"),"Estrategia empresarial")</f>
        <v>Estrategia empresarial</v>
      </c>
      <c r="J2858" s="16" t="s">
        <v>35</v>
      </c>
      <c r="K2858" s="48">
        <v>-0.6</v>
      </c>
      <c r="L2858" s="51" t="s">
        <v>19885</v>
      </c>
      <c r="M2858" s="34" t="s">
        <v>19886</v>
      </c>
      <c r="N2858" s="86" t="s">
        <v>20054</v>
      </c>
      <c r="O2858" s="86" t="str">
        <f>IFERROR(__xludf.DUMMYFUNCTION("GOOGLETRANSLATE(N2858,""EN"",""ES"")"),"Negativo ya que pone de relieve la inestabilidad geopolítica que afecta al sector petrolero.")</f>
        <v>Negativo ya que pone de relieve la inestabilidad geopolítica que afecta al sector petrolero.</v>
      </c>
      <c r="P2858" s="30">
        <v>0.0</v>
      </c>
      <c r="Q2858" s="18"/>
      <c r="R2858" s="18"/>
      <c r="S2858" s="52" t="s">
        <v>12139</v>
      </c>
      <c r="T2858" s="22" t="s">
        <v>12140</v>
      </c>
    </row>
    <row r="2859">
      <c r="A2859" s="23" t="s">
        <v>20055</v>
      </c>
      <c r="B2859" s="77" t="s">
        <v>43</v>
      </c>
      <c r="C2859" s="41">
        <v>45512.0</v>
      </c>
      <c r="D2859" s="40" t="s">
        <v>20056</v>
      </c>
      <c r="E2859" s="41" t="s">
        <v>20057</v>
      </c>
      <c r="F2859" s="43" t="s">
        <v>20058</v>
      </c>
      <c r="G2859" s="43" t="s">
        <v>20059</v>
      </c>
      <c r="H2859" s="51" t="s">
        <v>661</v>
      </c>
      <c r="I2859" s="25" t="str">
        <f>IFERROR(__xludf.DUMMYFUNCTION("GOOGLETRANSLATE(H2859,""EN"",""ES"")"),"Estrategia empresarial")</f>
        <v>Estrategia empresarial</v>
      </c>
      <c r="J2859" s="26" t="s">
        <v>35</v>
      </c>
      <c r="K2859" s="48">
        <v>0.6</v>
      </c>
      <c r="L2859" s="49" t="s">
        <v>20060</v>
      </c>
      <c r="M2859" s="28" t="s">
        <v>20061</v>
      </c>
      <c r="N2859" s="83" t="s">
        <v>20062</v>
      </c>
      <c r="O2859" s="83" t="str">
        <f>IFERROR(__xludf.DUMMYFUNCTION("GOOGLETRANSLATE(N2859,""EN"",""ES"")"),"Positivo ya que informa sobre riesgos potenciales para los consumidores.")</f>
        <v>Positivo ya que informa sobre riesgos potenciales para los consumidores.</v>
      </c>
      <c r="P2859" s="30">
        <v>0.0</v>
      </c>
      <c r="Q2859" s="31"/>
      <c r="R2859" s="31"/>
      <c r="S2859" s="53" t="s">
        <v>12139</v>
      </c>
      <c r="T2859" s="32" t="s">
        <v>12140</v>
      </c>
    </row>
    <row r="2860">
      <c r="A2860" s="33" t="s">
        <v>20063</v>
      </c>
      <c r="B2860" s="76" t="s">
        <v>20064</v>
      </c>
      <c r="C2860" s="41">
        <v>45512.0</v>
      </c>
      <c r="D2860" s="40" t="s">
        <v>20065</v>
      </c>
      <c r="E2860" s="41" t="s">
        <v>20066</v>
      </c>
      <c r="F2860" s="43" t="s">
        <v>20067</v>
      </c>
      <c r="G2860" s="43" t="s">
        <v>20068</v>
      </c>
      <c r="H2860" s="51" t="s">
        <v>408</v>
      </c>
      <c r="I2860" s="15" t="str">
        <f>IFERROR(__xludf.DUMMYFUNCTION("GOOGLETRANSLATE(H2860,""EN"",""ES"")"),"Legal")</f>
        <v>Legal</v>
      </c>
      <c r="J2860" s="16" t="s">
        <v>35</v>
      </c>
      <c r="K2860" s="48">
        <v>-0.5</v>
      </c>
      <c r="L2860" s="51" t="s">
        <v>20069</v>
      </c>
      <c r="M2860" s="34" t="s">
        <v>20070</v>
      </c>
      <c r="N2860" s="86" t="s">
        <v>20071</v>
      </c>
      <c r="O2860" s="86" t="str">
        <f>IFERROR(__xludf.DUMMYFUNCTION("GOOGLETRANSLATE(N2860,""EN"",""ES"")"),"Negativo ya que analiza la incertidumbre financiera relacionada con YPF.")</f>
        <v>Negativo ya que analiza la incertidumbre financiera relacionada con YPF.</v>
      </c>
      <c r="P2860" s="30">
        <v>0.0</v>
      </c>
      <c r="Q2860" s="18"/>
      <c r="R2860" s="18"/>
      <c r="S2860" s="52" t="s">
        <v>12139</v>
      </c>
      <c r="T2860" s="22" t="s">
        <v>12140</v>
      </c>
    </row>
    <row r="2861">
      <c r="A2861" s="23" t="s">
        <v>20072</v>
      </c>
      <c r="B2861" s="77" t="s">
        <v>20073</v>
      </c>
      <c r="C2861" s="41">
        <v>45512.0</v>
      </c>
      <c r="D2861" s="40" t="s">
        <v>20074</v>
      </c>
      <c r="E2861" s="41" t="s">
        <v>20075</v>
      </c>
      <c r="F2861" s="43" t="s">
        <v>20076</v>
      </c>
      <c r="G2861" s="43" t="s">
        <v>20077</v>
      </c>
      <c r="H2861" s="51" t="s">
        <v>48</v>
      </c>
      <c r="I2861" s="25" t="str">
        <f>IFERROR(__xludf.DUMMYFUNCTION("GOOGLETRANSLATE(H2861,""EN"",""ES"")"),"Finanzas")</f>
        <v>Finanzas</v>
      </c>
      <c r="J2861" s="26" t="s">
        <v>35</v>
      </c>
      <c r="K2861" s="48">
        <v>0.0</v>
      </c>
      <c r="L2861" s="72"/>
      <c r="M2861" s="31"/>
      <c r="N2861" s="83" t="s">
        <v>20078</v>
      </c>
      <c r="O2861" s="83" t="str">
        <f>IFERROR(__xludf.DUMMYFUNCTION("GOOGLETRANSLATE(N2861,""EN"",""ES"")"),"Neutral ya que proporciona información financiera.")</f>
        <v>Neutral ya que proporciona información financiera.</v>
      </c>
      <c r="P2861" s="30">
        <v>0.3</v>
      </c>
      <c r="Q2861" s="31" t="str">
        <f>IFERROR(__xludf.DUMMYFUNCTION("GOOGLETRANSLATE(R2861,""ES"",""EN"")"),"bond")</f>
        <v>bond</v>
      </c>
      <c r="R2861" s="28" t="s">
        <v>20079</v>
      </c>
      <c r="S2861" s="53" t="s">
        <v>20080</v>
      </c>
      <c r="T2861" s="32" t="s">
        <v>20081</v>
      </c>
    </row>
    <row r="2862">
      <c r="A2862" s="33" t="s">
        <v>20082</v>
      </c>
      <c r="B2862" s="76" t="s">
        <v>20083</v>
      </c>
      <c r="C2862" s="41">
        <v>45513.0</v>
      </c>
      <c r="D2862" s="40" t="s">
        <v>20084</v>
      </c>
      <c r="E2862" s="41" t="s">
        <v>20085</v>
      </c>
      <c r="F2862" s="43" t="s">
        <v>20086</v>
      </c>
      <c r="G2862" s="43" t="s">
        <v>20087</v>
      </c>
      <c r="H2862" s="51" t="s">
        <v>661</v>
      </c>
      <c r="I2862" s="15" t="str">
        <f>IFERROR(__xludf.DUMMYFUNCTION("GOOGLETRANSLATE(H2862,""EN"",""ES"")"),"Estrategia empresarial")</f>
        <v>Estrategia empresarial</v>
      </c>
      <c r="J2862" s="16" t="s">
        <v>35</v>
      </c>
      <c r="K2862" s="48">
        <v>0.6</v>
      </c>
      <c r="L2862" s="73" t="s">
        <v>16066</v>
      </c>
      <c r="M2862" s="34" t="s">
        <v>20088</v>
      </c>
      <c r="N2862" s="86" t="s">
        <v>20089</v>
      </c>
      <c r="O2862" s="86" t="str">
        <f>IFERROR(__xludf.DUMMYFUNCTION("GOOGLETRANSLATE(N2862,""EN"",""ES"")"),"Positivo ya que promociona un evento patrocinado por Repsol.")</f>
        <v>Positivo ya que promociona un evento patrocinado por Repsol.</v>
      </c>
      <c r="P2862" s="30">
        <v>0.3</v>
      </c>
      <c r="Q2862" s="18" t="str">
        <f>IFERROR(__xludf.DUMMYFUNCTION("GOOGLETRANSLATE(R2862,""ES"",""EN"")"),"Waylet")</f>
        <v>Waylet</v>
      </c>
      <c r="R2862" s="34" t="s">
        <v>17945</v>
      </c>
      <c r="S2862" s="52" t="s">
        <v>20090</v>
      </c>
      <c r="T2862" s="22" t="s">
        <v>20091</v>
      </c>
    </row>
    <row r="2863">
      <c r="A2863" s="23" t="s">
        <v>20092</v>
      </c>
      <c r="B2863" s="77" t="s">
        <v>21</v>
      </c>
      <c r="C2863" s="41">
        <v>45513.0</v>
      </c>
      <c r="D2863" s="40" t="s">
        <v>20093</v>
      </c>
      <c r="E2863" s="41" t="s">
        <v>20094</v>
      </c>
      <c r="F2863" s="43" t="s">
        <v>20095</v>
      </c>
      <c r="G2863" s="43" t="s">
        <v>20096</v>
      </c>
      <c r="H2863" s="51" t="s">
        <v>969</v>
      </c>
      <c r="I2863" s="25" t="str">
        <f>IFERROR(__xludf.DUMMYFUNCTION("GOOGLETRANSLATE(H2863,""EN"",""ES"")"),"Turismo")</f>
        <v>Turismo</v>
      </c>
      <c r="J2863" s="26" t="s">
        <v>27</v>
      </c>
      <c r="K2863" s="17">
        <v>0.0</v>
      </c>
      <c r="L2863" s="72"/>
      <c r="M2863" s="31"/>
      <c r="N2863" s="83"/>
      <c r="O2863" s="83"/>
      <c r="P2863" s="20">
        <v>0.0</v>
      </c>
      <c r="Q2863" s="31"/>
      <c r="R2863" s="31"/>
      <c r="S2863" s="53"/>
      <c r="T2863" s="32"/>
    </row>
    <row r="2864">
      <c r="A2864" s="33" t="s">
        <v>20097</v>
      </c>
      <c r="B2864" s="76" t="s">
        <v>43</v>
      </c>
      <c r="C2864" s="41">
        <v>45513.0</v>
      </c>
      <c r="D2864" s="40" t="s">
        <v>20098</v>
      </c>
      <c r="E2864" s="41" t="s">
        <v>20099</v>
      </c>
      <c r="F2864" s="43" t="s">
        <v>20100</v>
      </c>
      <c r="G2864" s="43" t="s">
        <v>20101</v>
      </c>
      <c r="H2864" s="51" t="s">
        <v>130</v>
      </c>
      <c r="I2864" s="15" t="str">
        <f>IFERROR(__xludf.DUMMYFUNCTION("GOOGLETRANSLATE(H2864,""EN"",""ES"")"),"Sostenibilidad")</f>
        <v>Sostenibilidad</v>
      </c>
      <c r="J2864" s="16" t="s">
        <v>35</v>
      </c>
      <c r="K2864" s="48">
        <v>0.7</v>
      </c>
      <c r="L2864" s="73" t="s">
        <v>20102</v>
      </c>
      <c r="M2864" s="34" t="s">
        <v>20103</v>
      </c>
      <c r="N2864" s="86" t="s">
        <v>20104</v>
      </c>
      <c r="O2864" s="86" t="str">
        <f>IFERROR(__xludf.DUMMYFUNCTION("GOOGLETRANSLATE(N2864,""EN"",""ES"")"),"Positivo ya que destaca la creciente inversión en energías renovables.")</f>
        <v>Positivo ya que destaca la creciente inversión en energías renovables.</v>
      </c>
      <c r="P2864" s="30">
        <v>0.7</v>
      </c>
      <c r="Q2864" s="18" t="str">
        <f>IFERROR(__xludf.DUMMYFUNCTION("GOOGLETRANSLATE(R2864,""ES"",""EN"")"),"hydrogen")</f>
        <v>hydrogen</v>
      </c>
      <c r="R2864" s="34" t="s">
        <v>20105</v>
      </c>
      <c r="S2864" s="52" t="s">
        <v>20021</v>
      </c>
      <c r="T2864" s="22" t="s">
        <v>20022</v>
      </c>
    </row>
    <row r="2865">
      <c r="A2865" s="23" t="s">
        <v>20106</v>
      </c>
      <c r="B2865" s="77" t="s">
        <v>163</v>
      </c>
      <c r="C2865" s="41">
        <v>45513.0</v>
      </c>
      <c r="D2865" s="40" t="s">
        <v>20107</v>
      </c>
      <c r="E2865" s="41" t="s">
        <v>20108</v>
      </c>
      <c r="F2865" s="43" t="s">
        <v>20109</v>
      </c>
      <c r="G2865" s="43" t="s">
        <v>20110</v>
      </c>
      <c r="H2865" s="51" t="s">
        <v>62</v>
      </c>
      <c r="I2865" s="25" t="str">
        <f>IFERROR(__xludf.DUMMYFUNCTION("GOOGLETRANSLATE(H2865,""EN"",""ES"")"),"Energía")</f>
        <v>Energía</v>
      </c>
      <c r="J2865" s="26" t="s">
        <v>27</v>
      </c>
      <c r="K2865" s="17">
        <v>0.0</v>
      </c>
      <c r="L2865" s="72"/>
      <c r="M2865" s="31"/>
      <c r="N2865" s="83"/>
      <c r="O2865" s="83"/>
      <c r="P2865" s="20">
        <v>0.0</v>
      </c>
      <c r="Q2865" s="31"/>
      <c r="R2865" s="31"/>
      <c r="S2865" s="53"/>
      <c r="T2865" s="32"/>
    </row>
    <row r="2866">
      <c r="A2866" s="33" t="s">
        <v>20111</v>
      </c>
      <c r="B2866" s="76" t="s">
        <v>977</v>
      </c>
      <c r="C2866" s="41">
        <v>45513.0</v>
      </c>
      <c r="D2866" s="40" t="s">
        <v>20112</v>
      </c>
      <c r="E2866" s="41" t="s">
        <v>20113</v>
      </c>
      <c r="F2866" s="43" t="s">
        <v>20114</v>
      </c>
      <c r="G2866" s="43" t="s">
        <v>20115</v>
      </c>
      <c r="H2866" s="51" t="s">
        <v>661</v>
      </c>
      <c r="I2866" s="15" t="str">
        <f>IFERROR(__xludf.DUMMYFUNCTION("GOOGLETRANSLATE(H2866,""EN"",""ES"")"),"Estrategia empresarial")</f>
        <v>Estrategia empresarial</v>
      </c>
      <c r="J2866" s="16" t="s">
        <v>35</v>
      </c>
      <c r="K2866" s="48">
        <v>-0.7</v>
      </c>
      <c r="L2866" s="73" t="s">
        <v>20116</v>
      </c>
      <c r="M2866" s="34" t="s">
        <v>20117</v>
      </c>
      <c r="N2866" s="86" t="s">
        <v>20118</v>
      </c>
      <c r="O2866" s="86" t="str">
        <f>IFERROR(__xludf.DUMMYFUNCTION("GOOGLETRANSLATE(N2866,""EN"",""ES"")"),"Negativo ya que pone de relieve un incidente de incendio que afecta a Repsol.")</f>
        <v>Negativo ya que pone de relieve un incidente de incendio que afecta a Repsol.</v>
      </c>
      <c r="P2866" s="30">
        <v>-0.8</v>
      </c>
      <c r="Q2866" s="18" t="str">
        <f>IFERROR(__xludf.DUMMYFUNCTION("GOOGLETRANSLATE(R2866,""ES"",""EN"")"),"fire, injuries")</f>
        <v>fire, injuries</v>
      </c>
      <c r="R2866" s="34" t="s">
        <v>20119</v>
      </c>
      <c r="S2866" s="52" t="s">
        <v>20120</v>
      </c>
      <c r="T2866" s="22" t="s">
        <v>20121</v>
      </c>
    </row>
    <row r="2867">
      <c r="A2867" s="23" t="s">
        <v>20122</v>
      </c>
      <c r="B2867" s="77" t="s">
        <v>163</v>
      </c>
      <c r="C2867" s="41">
        <v>45513.0</v>
      </c>
      <c r="D2867" s="40" t="s">
        <v>20123</v>
      </c>
      <c r="E2867" s="41" t="s">
        <v>20124</v>
      </c>
      <c r="F2867" s="43" t="s">
        <v>20125</v>
      </c>
      <c r="G2867" s="43" t="s">
        <v>20126</v>
      </c>
      <c r="H2867" s="51" t="s">
        <v>62</v>
      </c>
      <c r="I2867" s="25" t="str">
        <f>IFERROR(__xludf.DUMMYFUNCTION("GOOGLETRANSLATE(H2867,""EN"",""ES"")"),"Energía")</f>
        <v>Energía</v>
      </c>
      <c r="J2867" s="26" t="s">
        <v>27</v>
      </c>
      <c r="K2867" s="17">
        <v>0.0</v>
      </c>
      <c r="L2867" s="72"/>
      <c r="M2867" s="31"/>
      <c r="N2867" s="83"/>
      <c r="O2867" s="83"/>
      <c r="P2867" s="20">
        <v>0.0</v>
      </c>
      <c r="Q2867" s="31"/>
      <c r="R2867" s="31"/>
      <c r="S2867" s="53"/>
      <c r="T2867" s="32"/>
    </row>
    <row r="2868">
      <c r="A2868" s="33" t="s">
        <v>20127</v>
      </c>
      <c r="B2868" s="76" t="s">
        <v>254</v>
      </c>
      <c r="C2868" s="41">
        <v>45513.0</v>
      </c>
      <c r="D2868" s="40" t="s">
        <v>20128</v>
      </c>
      <c r="E2868" s="41" t="s">
        <v>20129</v>
      </c>
      <c r="F2868" s="43" t="s">
        <v>20130</v>
      </c>
      <c r="G2868" s="43" t="s">
        <v>20131</v>
      </c>
      <c r="H2868" s="51" t="s">
        <v>661</v>
      </c>
      <c r="I2868" s="15" t="str">
        <f>IFERROR(__xludf.DUMMYFUNCTION("GOOGLETRANSLATE(H2868,""EN"",""ES"")"),"Estrategia empresarial")</f>
        <v>Estrategia empresarial</v>
      </c>
      <c r="J2868" s="16" t="s">
        <v>35</v>
      </c>
      <c r="K2868" s="48">
        <v>-0.7</v>
      </c>
      <c r="L2868" s="73" t="s">
        <v>20116</v>
      </c>
      <c r="M2868" s="34" t="s">
        <v>20117</v>
      </c>
      <c r="N2868" s="86" t="s">
        <v>20132</v>
      </c>
      <c r="O2868" s="86" t="str">
        <f>IFERROR(__xludf.DUMMYFUNCTION("GOOGLETRANSLATE(N2868,""EN"",""ES"")"),"Negativo ya que informa de una incidencia que afecta a Repsol.")</f>
        <v>Negativo ya que informa de una incidencia que afecta a Repsol.</v>
      </c>
      <c r="P2868" s="30">
        <v>-0.7</v>
      </c>
      <c r="Q2868" s="18" t="str">
        <f>IFERROR(__xludf.DUMMYFUNCTION("GOOGLETRANSLATE(R2868,""ES"",""EN"")"),"fire")</f>
        <v>fire</v>
      </c>
      <c r="R2868" s="34" t="s">
        <v>11746</v>
      </c>
      <c r="S2868" s="52" t="s">
        <v>20133</v>
      </c>
      <c r="T2868" s="22" t="s">
        <v>20134</v>
      </c>
    </row>
    <row r="2869">
      <c r="A2869" s="23" t="s">
        <v>20135</v>
      </c>
      <c r="B2869" s="77" t="s">
        <v>1011</v>
      </c>
      <c r="C2869" s="41">
        <v>45513.0</v>
      </c>
      <c r="D2869" s="40" t="s">
        <v>20136</v>
      </c>
      <c r="E2869" s="41" t="s">
        <v>20137</v>
      </c>
      <c r="F2869" s="43" t="s">
        <v>20138</v>
      </c>
      <c r="G2869" s="43" t="s">
        <v>20139</v>
      </c>
      <c r="H2869" s="51" t="s">
        <v>661</v>
      </c>
      <c r="I2869" s="25" t="str">
        <f>IFERROR(__xludf.DUMMYFUNCTION("GOOGLETRANSLATE(H2869,""EN"",""ES"")"),"Estrategia empresarial")</f>
        <v>Estrategia empresarial</v>
      </c>
      <c r="J2869" s="26" t="s">
        <v>35</v>
      </c>
      <c r="K2869" s="48">
        <v>-0.8</v>
      </c>
      <c r="L2869" s="49" t="s">
        <v>20116</v>
      </c>
      <c r="M2869" s="28" t="s">
        <v>20140</v>
      </c>
      <c r="N2869" s="83" t="s">
        <v>20141</v>
      </c>
      <c r="O2869" s="83" t="str">
        <f>IFERROR(__xludf.DUMMYFUNCTION("GOOGLETRANSLATE(N2869,""EN"",""ES"")"),"Negativo ya que reporta lesiones provocadas por un accidente industrial.")</f>
        <v>Negativo ya que reporta lesiones provocadas por un accidente industrial.</v>
      </c>
      <c r="P2869" s="30">
        <v>-0.8</v>
      </c>
      <c r="Q2869" s="31" t="str">
        <f>IFERROR(__xludf.DUMMYFUNCTION("GOOGLETRANSLATE(R2869,""ES"",""EN"")"),"fire, injuries")</f>
        <v>fire, injuries</v>
      </c>
      <c r="R2869" s="28" t="s">
        <v>20119</v>
      </c>
      <c r="S2869" s="53" t="s">
        <v>20120</v>
      </c>
      <c r="T2869" s="32" t="s">
        <v>20121</v>
      </c>
    </row>
    <row r="2870">
      <c r="A2870" s="33" t="s">
        <v>20142</v>
      </c>
      <c r="B2870" s="76" t="s">
        <v>21</v>
      </c>
      <c r="C2870" s="41">
        <v>45513.0</v>
      </c>
      <c r="D2870" s="40" t="s">
        <v>20143</v>
      </c>
      <c r="E2870" s="41" t="s">
        <v>20144</v>
      </c>
      <c r="F2870" s="43" t="s">
        <v>20145</v>
      </c>
      <c r="G2870" s="43" t="s">
        <v>20146</v>
      </c>
      <c r="H2870" s="51" t="s">
        <v>969</v>
      </c>
      <c r="I2870" s="15" t="str">
        <f>IFERROR(__xludf.DUMMYFUNCTION("GOOGLETRANSLATE(H2870,""EN"",""ES"")"),"Turismo")</f>
        <v>Turismo</v>
      </c>
      <c r="J2870" s="16" t="s">
        <v>27</v>
      </c>
      <c r="K2870" s="17">
        <v>0.0</v>
      </c>
      <c r="L2870" s="45"/>
      <c r="M2870" s="18"/>
      <c r="N2870" s="86"/>
      <c r="O2870" s="86"/>
      <c r="P2870" s="20">
        <v>0.0</v>
      </c>
      <c r="Q2870" s="18"/>
      <c r="R2870" s="18"/>
      <c r="S2870" s="52"/>
      <c r="T2870" s="22"/>
    </row>
    <row r="2871">
      <c r="A2871" s="23" t="s">
        <v>20147</v>
      </c>
      <c r="B2871" s="77" t="s">
        <v>1115</v>
      </c>
      <c r="C2871" s="41">
        <v>45513.0</v>
      </c>
      <c r="D2871" s="40" t="s">
        <v>20148</v>
      </c>
      <c r="E2871" s="41" t="s">
        <v>20149</v>
      </c>
      <c r="F2871" s="43" t="s">
        <v>20150</v>
      </c>
      <c r="G2871" s="43" t="s">
        <v>20151</v>
      </c>
      <c r="H2871" s="51" t="s">
        <v>661</v>
      </c>
      <c r="I2871" s="25" t="str">
        <f>IFERROR(__xludf.DUMMYFUNCTION("GOOGLETRANSLATE(H2871,""EN"",""ES"")"),"Estrategia empresarial")</f>
        <v>Estrategia empresarial</v>
      </c>
      <c r="J2871" s="26" t="s">
        <v>35</v>
      </c>
      <c r="K2871" s="48">
        <v>-0.8</v>
      </c>
      <c r="L2871" s="49" t="s">
        <v>20116</v>
      </c>
      <c r="M2871" s="28" t="s">
        <v>20140</v>
      </c>
      <c r="N2871" s="83" t="s">
        <v>20152</v>
      </c>
      <c r="O2871" s="83" t="str">
        <f>IFERROR(__xludf.DUMMYFUNCTION("GOOGLETRANSLATE(N2871,""EN"",""ES"")"),"Negativo ya que destaca un incendio industrial con heridos.")</f>
        <v>Negativo ya que destaca un incendio industrial con heridos.</v>
      </c>
      <c r="P2871" s="30">
        <v>-0.8</v>
      </c>
      <c r="Q2871" s="31" t="str">
        <f>IFERROR(__xludf.DUMMYFUNCTION("GOOGLETRANSLATE(R2871,""ES"",""EN"")"),"fire, injuries")</f>
        <v>fire, injuries</v>
      </c>
      <c r="R2871" s="28" t="s">
        <v>20119</v>
      </c>
      <c r="S2871" s="53" t="s">
        <v>20120</v>
      </c>
      <c r="T2871" s="32" t="s">
        <v>20121</v>
      </c>
    </row>
    <row r="2872">
      <c r="A2872" s="33" t="s">
        <v>20153</v>
      </c>
      <c r="B2872" s="76" t="s">
        <v>1402</v>
      </c>
      <c r="C2872" s="41">
        <v>45513.0</v>
      </c>
      <c r="D2872" s="40" t="s">
        <v>20154</v>
      </c>
      <c r="E2872" s="41" t="s">
        <v>20155</v>
      </c>
      <c r="F2872" s="43" t="s">
        <v>20156</v>
      </c>
      <c r="G2872" s="43" t="s">
        <v>20157</v>
      </c>
      <c r="H2872" s="51" t="s">
        <v>661</v>
      </c>
      <c r="I2872" s="15" t="str">
        <f>IFERROR(__xludf.DUMMYFUNCTION("GOOGLETRANSLATE(H2872,""EN"",""ES"")"),"Estrategia empresarial")</f>
        <v>Estrategia empresarial</v>
      </c>
      <c r="J2872" s="16" t="s">
        <v>35</v>
      </c>
      <c r="K2872" s="48">
        <v>-0.7</v>
      </c>
      <c r="L2872" s="51" t="s">
        <v>20116</v>
      </c>
      <c r="M2872" s="34" t="s">
        <v>20140</v>
      </c>
      <c r="N2872" s="86" t="s">
        <v>20158</v>
      </c>
      <c r="O2872" s="86" t="str">
        <f>IFERROR(__xludf.DUMMYFUNCTION("GOOGLETRANSLATE(N2872,""EN"",""ES"")"),"Negativo ya que describe un accidente industrial, aunque señala que el incendio fue extinguido.")</f>
        <v>Negativo ya que describe un accidente industrial, aunque señala que el incendio fue extinguido.</v>
      </c>
      <c r="P2872" s="30">
        <v>-0.8</v>
      </c>
      <c r="Q2872" s="18" t="str">
        <f>IFERROR(__xludf.DUMMYFUNCTION("GOOGLETRANSLATE(R2872,""ES"",""EN"")"),"fire, injuries")</f>
        <v>fire, injuries</v>
      </c>
      <c r="R2872" s="34" t="s">
        <v>20119</v>
      </c>
      <c r="S2872" s="52" t="s">
        <v>20120</v>
      </c>
      <c r="T2872" s="22" t="s">
        <v>20121</v>
      </c>
    </row>
    <row r="2873">
      <c r="A2873" s="23" t="s">
        <v>20159</v>
      </c>
      <c r="B2873" s="77" t="s">
        <v>16445</v>
      </c>
      <c r="C2873" s="41">
        <v>45513.0</v>
      </c>
      <c r="D2873" s="40" t="s">
        <v>20160</v>
      </c>
      <c r="E2873" s="41" t="s">
        <v>20161</v>
      </c>
      <c r="F2873" s="43" t="s">
        <v>20162</v>
      </c>
      <c r="G2873" s="43" t="s">
        <v>20163</v>
      </c>
      <c r="H2873" s="51" t="s">
        <v>661</v>
      </c>
      <c r="I2873" s="25" t="str">
        <f>IFERROR(__xludf.DUMMYFUNCTION("GOOGLETRANSLATE(H2873,""EN"",""ES"")"),"Estrategia empresarial")</f>
        <v>Estrategia empresarial</v>
      </c>
      <c r="J2873" s="26" t="s">
        <v>35</v>
      </c>
      <c r="K2873" s="48">
        <v>-0.7</v>
      </c>
      <c r="L2873" s="49" t="s">
        <v>20116</v>
      </c>
      <c r="M2873" s="28" t="s">
        <v>20140</v>
      </c>
      <c r="N2873" s="83" t="s">
        <v>20164</v>
      </c>
      <c r="O2873" s="83" t="str">
        <f>IFERROR(__xludf.DUMMYFUNCTION("GOOGLETRANSLATE(N2873,""EN"",""ES"")"),"Negativo por lesiones y problemas de seguridad en las instalaciones de Repsol.")</f>
        <v>Negativo por lesiones y problemas de seguridad en las instalaciones de Repsol.</v>
      </c>
      <c r="P2873" s="30">
        <v>-0.8</v>
      </c>
      <c r="Q2873" s="31" t="str">
        <f>IFERROR(__xludf.DUMMYFUNCTION("GOOGLETRANSLATE(R2873,""ES"",""EN"")"),"fire, injuries")</f>
        <v>fire, injuries</v>
      </c>
      <c r="R2873" s="28" t="s">
        <v>20119</v>
      </c>
      <c r="S2873" s="53" t="s">
        <v>20120</v>
      </c>
      <c r="T2873" s="32" t="s">
        <v>20121</v>
      </c>
    </row>
    <row r="2874">
      <c r="A2874" s="33" t="s">
        <v>20165</v>
      </c>
      <c r="B2874" s="76" t="s">
        <v>20166</v>
      </c>
      <c r="C2874" s="41">
        <v>45513.0</v>
      </c>
      <c r="D2874" s="40" t="s">
        <v>20167</v>
      </c>
      <c r="E2874" s="41" t="s">
        <v>20168</v>
      </c>
      <c r="F2874" s="43" t="s">
        <v>20169</v>
      </c>
      <c r="G2874" s="43" t="s">
        <v>20170</v>
      </c>
      <c r="H2874" s="51" t="s">
        <v>661</v>
      </c>
      <c r="I2874" s="15" t="str">
        <f>IFERROR(__xludf.DUMMYFUNCTION("GOOGLETRANSLATE(H2874,""EN"",""ES"")"),"Estrategia empresarial")</f>
        <v>Estrategia empresarial</v>
      </c>
      <c r="J2874" s="16" t="s">
        <v>35</v>
      </c>
      <c r="K2874" s="48">
        <v>-0.8</v>
      </c>
      <c r="L2874" s="73" t="s">
        <v>20171</v>
      </c>
      <c r="M2874" s="34" t="s">
        <v>20172</v>
      </c>
      <c r="N2874" s="86" t="s">
        <v>20173</v>
      </c>
      <c r="O2874" s="86" t="str">
        <f>IFERROR(__xludf.DUMMYFUNCTION("GOOGLETRANSLATE(N2874,""EN"",""ES"")"),"Negativo ya que destaca un accidente con heridos.")</f>
        <v>Negativo ya que destaca un accidente con heridos.</v>
      </c>
      <c r="P2874" s="30">
        <v>-0.8</v>
      </c>
      <c r="Q2874" s="18" t="str">
        <f>IFERROR(__xludf.DUMMYFUNCTION("GOOGLETRANSLATE(R2874,""ES"",""EN"")"),"fire, injuries")</f>
        <v>fire, injuries</v>
      </c>
      <c r="R2874" s="34" t="s">
        <v>20119</v>
      </c>
      <c r="S2874" s="52" t="s">
        <v>20120</v>
      </c>
      <c r="T2874" s="22" t="s">
        <v>20121</v>
      </c>
    </row>
    <row r="2875">
      <c r="A2875" s="23" t="s">
        <v>20174</v>
      </c>
      <c r="B2875" s="77" t="s">
        <v>20175</v>
      </c>
      <c r="C2875" s="41">
        <v>45513.0</v>
      </c>
      <c r="D2875" s="40" t="s">
        <v>20176</v>
      </c>
      <c r="E2875" s="41" t="s">
        <v>20177</v>
      </c>
      <c r="F2875" s="43" t="s">
        <v>20178</v>
      </c>
      <c r="G2875" s="43" t="s">
        <v>20179</v>
      </c>
      <c r="H2875" s="51" t="s">
        <v>661</v>
      </c>
      <c r="I2875" s="25" t="str">
        <f>IFERROR(__xludf.DUMMYFUNCTION("GOOGLETRANSLATE(H2875,""EN"",""ES"")"),"Estrategia empresarial")</f>
        <v>Estrategia empresarial</v>
      </c>
      <c r="J2875" s="26" t="s">
        <v>35</v>
      </c>
      <c r="K2875" s="48">
        <v>-0.6</v>
      </c>
      <c r="L2875" s="49" t="s">
        <v>20116</v>
      </c>
      <c r="M2875" s="28" t="s">
        <v>20140</v>
      </c>
      <c r="N2875" s="83" t="s">
        <v>20180</v>
      </c>
      <c r="O2875" s="83" t="str">
        <f>IFERROR(__xludf.DUMMYFUNCTION("GOOGLETRANSLATE(N2875,""EN"",""ES"")"),"Negativo debido a la respuesta de emergencia requerida.")</f>
        <v>Negativo debido a la respuesta de emergencia requerida.</v>
      </c>
      <c r="P2875" s="30">
        <v>-0.7</v>
      </c>
      <c r="Q2875" s="31" t="str">
        <f>IFERROR(__xludf.DUMMYFUNCTION("GOOGLETRANSLATE(R2875,""ES"",""EN"")"),"fire")</f>
        <v>fire</v>
      </c>
      <c r="R2875" s="28" t="s">
        <v>11746</v>
      </c>
      <c r="S2875" s="53" t="s">
        <v>20133</v>
      </c>
      <c r="T2875" s="32" t="s">
        <v>20134</v>
      </c>
    </row>
    <row r="2876">
      <c r="A2876" s="33" t="s">
        <v>20181</v>
      </c>
      <c r="B2876" s="76" t="s">
        <v>20182</v>
      </c>
      <c r="C2876" s="41">
        <v>45513.0</v>
      </c>
      <c r="D2876" s="40" t="s">
        <v>20183</v>
      </c>
      <c r="E2876" s="41" t="s">
        <v>20184</v>
      </c>
      <c r="F2876" s="43" t="s">
        <v>20185</v>
      </c>
      <c r="G2876" s="43" t="s">
        <v>20186</v>
      </c>
      <c r="H2876" s="51" t="s">
        <v>661</v>
      </c>
      <c r="I2876" s="15" t="str">
        <f>IFERROR(__xludf.DUMMYFUNCTION("GOOGLETRANSLATE(H2876,""EN"",""ES"")"),"Estrategia empresarial")</f>
        <v>Estrategia empresarial</v>
      </c>
      <c r="J2876" s="16" t="s">
        <v>35</v>
      </c>
      <c r="K2876" s="48">
        <v>-0.7</v>
      </c>
      <c r="L2876" s="51" t="s">
        <v>20116</v>
      </c>
      <c r="M2876" s="34" t="s">
        <v>20140</v>
      </c>
      <c r="N2876" s="86" t="s">
        <v>20187</v>
      </c>
      <c r="O2876" s="86" t="str">
        <f>IFERROR(__xludf.DUMMYFUNCTION("GOOGLETRANSLATE(N2876,""EN"",""ES"")"),"Negativo ya que pone de relieve un incidente industrial importante a pesar de estar controlado.")</f>
        <v>Negativo ya que pone de relieve un incidente industrial importante a pesar de estar controlado.</v>
      </c>
      <c r="P2876" s="30">
        <v>-0.7</v>
      </c>
      <c r="Q2876" s="18" t="str">
        <f>IFERROR(__xludf.DUMMYFUNCTION("GOOGLETRANSLATE(R2876,""ES"",""EN"")"),"fire")</f>
        <v>fire</v>
      </c>
      <c r="R2876" s="34" t="s">
        <v>11746</v>
      </c>
      <c r="S2876" s="52" t="s">
        <v>20133</v>
      </c>
      <c r="T2876" s="22" t="s">
        <v>20134</v>
      </c>
    </row>
    <row r="2877">
      <c r="A2877" s="23" t="s">
        <v>20188</v>
      </c>
      <c r="B2877" s="77" t="s">
        <v>1338</v>
      </c>
      <c r="C2877" s="41">
        <v>45513.0</v>
      </c>
      <c r="D2877" s="40" t="s">
        <v>20189</v>
      </c>
      <c r="E2877" s="41" t="s">
        <v>20190</v>
      </c>
      <c r="F2877" s="43" t="s">
        <v>20191</v>
      </c>
      <c r="G2877" s="43" t="s">
        <v>20190</v>
      </c>
      <c r="H2877" s="51" t="s">
        <v>661</v>
      </c>
      <c r="I2877" s="25" t="str">
        <f>IFERROR(__xludf.DUMMYFUNCTION("GOOGLETRANSLATE(H2877,""EN"",""ES"")"),"Estrategia empresarial")</f>
        <v>Estrategia empresarial</v>
      </c>
      <c r="J2877" s="26" t="s">
        <v>35</v>
      </c>
      <c r="K2877" s="48">
        <v>-0.8</v>
      </c>
      <c r="L2877" s="49" t="s">
        <v>20116</v>
      </c>
      <c r="M2877" s="28" t="s">
        <v>20140</v>
      </c>
      <c r="N2877" s="83" t="s">
        <v>20192</v>
      </c>
      <c r="O2877" s="83" t="str">
        <f>IFERROR(__xludf.DUMMYFUNCTION("GOOGLETRANSLATE(N2877,""EN"",""ES"")"),"Negativo por la gravedad del incendio y los heridos reportados.")</f>
        <v>Negativo por la gravedad del incendio y los heridos reportados.</v>
      </c>
      <c r="P2877" s="30">
        <v>-0.9</v>
      </c>
      <c r="Q2877" s="31" t="str">
        <f>IFERROR(__xludf.DUMMYFUNCTION("GOOGLETRANSLATE(R2877,""ES"",""EN"")"),"fire, injuries")</f>
        <v>fire, injuries</v>
      </c>
      <c r="R2877" s="28" t="s">
        <v>20119</v>
      </c>
      <c r="S2877" s="53" t="s">
        <v>20193</v>
      </c>
      <c r="T2877" s="32" t="s">
        <v>20194</v>
      </c>
    </row>
    <row r="2878">
      <c r="A2878" s="33" t="s">
        <v>20195</v>
      </c>
      <c r="B2878" s="76" t="s">
        <v>91</v>
      </c>
      <c r="C2878" s="41">
        <v>45514.0</v>
      </c>
      <c r="D2878" s="40" t="s">
        <v>20196</v>
      </c>
      <c r="E2878" s="41" t="s">
        <v>20197</v>
      </c>
      <c r="F2878" s="43" t="s">
        <v>20198</v>
      </c>
      <c r="G2878" s="43" t="s">
        <v>20199</v>
      </c>
      <c r="H2878" s="51" t="s">
        <v>661</v>
      </c>
      <c r="I2878" s="15" t="str">
        <f>IFERROR(__xludf.DUMMYFUNCTION("GOOGLETRANSLATE(H2878,""EN"",""ES"")"),"Estrategia empresarial")</f>
        <v>Estrategia empresarial</v>
      </c>
      <c r="J2878" s="16" t="s">
        <v>35</v>
      </c>
      <c r="K2878" s="48">
        <v>-0.7</v>
      </c>
      <c r="L2878" s="51" t="s">
        <v>19885</v>
      </c>
      <c r="M2878" s="34" t="s">
        <v>19886</v>
      </c>
      <c r="N2878" s="86" t="s">
        <v>20200</v>
      </c>
      <c r="O2878" s="86" t="str">
        <f>IFERROR(__xludf.DUMMYFUNCTION("GOOGLETRANSLATE(N2878,""EN"",""ES"")"),"Negativo porque describe la inestabilidad política que afecta a las operaciones de Repsol.")</f>
        <v>Negativo porque describe la inestabilidad política que afecta a las operaciones de Repsol.</v>
      </c>
      <c r="P2878" s="30">
        <v>-0.7</v>
      </c>
      <c r="Q2878" s="18" t="str">
        <f>IFERROR(__xludf.DUMMYFUNCTION("GOOGLETRANSLATE(R2878,""ES"",""EN"")"),"close")</f>
        <v>close</v>
      </c>
      <c r="R2878" s="34" t="s">
        <v>20201</v>
      </c>
      <c r="S2878" s="52" t="s">
        <v>19792</v>
      </c>
      <c r="T2878" s="22" t="s">
        <v>19793</v>
      </c>
    </row>
    <row r="2879">
      <c r="A2879" s="23" t="s">
        <v>20202</v>
      </c>
      <c r="B2879" s="77" t="s">
        <v>5525</v>
      </c>
      <c r="C2879" s="41">
        <v>45514.0</v>
      </c>
      <c r="D2879" s="40" t="s">
        <v>20203</v>
      </c>
      <c r="E2879" s="41" t="s">
        <v>20204</v>
      </c>
      <c r="F2879" s="43" t="s">
        <v>20205</v>
      </c>
      <c r="G2879" s="43" t="s">
        <v>20206</v>
      </c>
      <c r="H2879" s="51" t="s">
        <v>48</v>
      </c>
      <c r="I2879" s="25" t="str">
        <f>IFERROR(__xludf.DUMMYFUNCTION("GOOGLETRANSLATE(H2879,""EN"",""ES"")"),"Finanzas")</f>
        <v>Finanzas</v>
      </c>
      <c r="J2879" s="26" t="s">
        <v>27</v>
      </c>
      <c r="K2879" s="17">
        <v>0.0</v>
      </c>
      <c r="L2879" s="54"/>
      <c r="M2879" s="31"/>
      <c r="N2879" s="83"/>
      <c r="O2879" s="83"/>
      <c r="P2879" s="20">
        <v>0.0</v>
      </c>
      <c r="Q2879" s="31"/>
      <c r="R2879" s="31"/>
      <c r="S2879" s="53"/>
      <c r="T2879" s="32"/>
    </row>
    <row r="2880">
      <c r="A2880" s="33" t="s">
        <v>20207</v>
      </c>
      <c r="B2880" s="76" t="s">
        <v>217</v>
      </c>
      <c r="C2880" s="41">
        <v>45514.0</v>
      </c>
      <c r="D2880" s="40" t="s">
        <v>20208</v>
      </c>
      <c r="E2880" s="41" t="s">
        <v>20209</v>
      </c>
      <c r="F2880" s="43" t="s">
        <v>20210</v>
      </c>
      <c r="G2880" s="43" t="s">
        <v>20211</v>
      </c>
      <c r="H2880" s="51" t="s">
        <v>48</v>
      </c>
      <c r="I2880" s="15" t="str">
        <f>IFERROR(__xludf.DUMMYFUNCTION("GOOGLETRANSLATE(H2880,""EN"",""ES"")"),"Finanzas")</f>
        <v>Finanzas</v>
      </c>
      <c r="J2880" s="16" t="s">
        <v>27</v>
      </c>
      <c r="K2880" s="17">
        <v>0.0</v>
      </c>
      <c r="L2880" s="45"/>
      <c r="M2880" s="18"/>
      <c r="N2880" s="86"/>
      <c r="O2880" s="86"/>
      <c r="P2880" s="20">
        <v>0.0</v>
      </c>
      <c r="Q2880" s="18"/>
      <c r="R2880" s="18"/>
      <c r="S2880" s="52"/>
      <c r="T2880" s="22"/>
    </row>
    <row r="2881">
      <c r="A2881" s="23" t="s">
        <v>20212</v>
      </c>
      <c r="B2881" s="77" t="s">
        <v>977</v>
      </c>
      <c r="C2881" s="41">
        <v>45514.0</v>
      </c>
      <c r="D2881" s="40" t="s">
        <v>20213</v>
      </c>
      <c r="E2881" s="41" t="s">
        <v>20214</v>
      </c>
      <c r="F2881" s="43" t="s">
        <v>20215</v>
      </c>
      <c r="G2881" s="43" t="s">
        <v>20216</v>
      </c>
      <c r="H2881" s="51" t="s">
        <v>148</v>
      </c>
      <c r="I2881" s="25" t="str">
        <f>IFERROR(__xludf.DUMMYFUNCTION("GOOGLETRANSLATE(H2881,""EN"",""ES"")"),"Gastronomía")</f>
        <v>Gastronomía</v>
      </c>
      <c r="J2881" s="26" t="s">
        <v>27</v>
      </c>
      <c r="K2881" s="17">
        <v>0.0</v>
      </c>
      <c r="L2881" s="54"/>
      <c r="M2881" s="31"/>
      <c r="N2881" s="83"/>
      <c r="O2881" s="83"/>
      <c r="P2881" s="20">
        <v>0.0</v>
      </c>
      <c r="Q2881" s="31"/>
      <c r="R2881" s="31"/>
      <c r="S2881" s="53"/>
      <c r="T2881" s="32"/>
    </row>
    <row r="2882">
      <c r="A2882" s="33" t="s">
        <v>20217</v>
      </c>
      <c r="B2882" s="76" t="s">
        <v>91</v>
      </c>
      <c r="C2882" s="41">
        <v>45514.0</v>
      </c>
      <c r="D2882" s="40" t="s">
        <v>20218</v>
      </c>
      <c r="E2882" s="41" t="s">
        <v>20219</v>
      </c>
      <c r="F2882" s="43" t="s">
        <v>20220</v>
      </c>
      <c r="G2882" s="43" t="s">
        <v>20221</v>
      </c>
      <c r="H2882" s="51" t="s">
        <v>130</v>
      </c>
      <c r="I2882" s="15" t="str">
        <f>IFERROR(__xludf.DUMMYFUNCTION("GOOGLETRANSLATE(H2882,""EN"",""ES"")"),"Sostenibilidad")</f>
        <v>Sostenibilidad</v>
      </c>
      <c r="J2882" s="16" t="s">
        <v>35</v>
      </c>
      <c r="K2882" s="48">
        <v>0.7</v>
      </c>
      <c r="L2882" s="51" t="s">
        <v>18015</v>
      </c>
      <c r="M2882" s="34" t="s">
        <v>18016</v>
      </c>
      <c r="N2882" s="86" t="s">
        <v>18017</v>
      </c>
      <c r="O2882" s="86" t="str">
        <f>IFERROR(__xludf.DUMMYFUNCTION("GOOGLETRANSLATE(N2882,""EN"",""ES"")"),"Positivo porque pone de relieve la contribución de Repsol a la sostenibilidad.")</f>
        <v>Positivo porque pone de relieve la contribución de Repsol a la sostenibilidad.</v>
      </c>
      <c r="P2882" s="30">
        <v>0.7</v>
      </c>
      <c r="Q2882" s="18" t="str">
        <f>IFERROR(__xludf.DUMMYFUNCTION("GOOGLETRANSLATE(R2882,""ES"",""EN"")"),"renewable fuel")</f>
        <v>renewable fuel</v>
      </c>
      <c r="R2882" s="34" t="s">
        <v>10542</v>
      </c>
      <c r="S2882" s="52" t="s">
        <v>19877</v>
      </c>
      <c r="T2882" s="22" t="s">
        <v>19878</v>
      </c>
    </row>
    <row r="2883">
      <c r="A2883" s="23" t="s">
        <v>20222</v>
      </c>
      <c r="B2883" s="77" t="s">
        <v>217</v>
      </c>
      <c r="C2883" s="41">
        <v>45514.0</v>
      </c>
      <c r="D2883" s="40" t="s">
        <v>20223</v>
      </c>
      <c r="E2883" s="41" t="s">
        <v>20224</v>
      </c>
      <c r="F2883" s="43" t="s">
        <v>20225</v>
      </c>
      <c r="G2883" s="43" t="s">
        <v>20226</v>
      </c>
      <c r="H2883" s="51" t="s">
        <v>48</v>
      </c>
      <c r="I2883" s="25" t="str">
        <f>IFERROR(__xludf.DUMMYFUNCTION("GOOGLETRANSLATE(H2883,""EN"",""ES"")"),"Finanzas")</f>
        <v>Finanzas</v>
      </c>
      <c r="J2883" s="26" t="s">
        <v>27</v>
      </c>
      <c r="K2883" s="17">
        <v>0.0</v>
      </c>
      <c r="L2883" s="54"/>
      <c r="M2883" s="31"/>
      <c r="N2883" s="83"/>
      <c r="O2883" s="83"/>
      <c r="P2883" s="20">
        <v>0.0</v>
      </c>
      <c r="Q2883" s="31"/>
      <c r="R2883" s="31"/>
      <c r="S2883" s="53"/>
      <c r="T2883" s="32"/>
    </row>
    <row r="2884">
      <c r="A2884" s="33" t="s">
        <v>20227</v>
      </c>
      <c r="B2884" s="76" t="s">
        <v>91</v>
      </c>
      <c r="C2884" s="41">
        <v>45514.0</v>
      </c>
      <c r="D2884" s="40" t="s">
        <v>20228</v>
      </c>
      <c r="E2884" s="41" t="s">
        <v>20229</v>
      </c>
      <c r="F2884" s="43" t="s">
        <v>20230</v>
      </c>
      <c r="G2884" s="43" t="s">
        <v>20231</v>
      </c>
      <c r="H2884" s="51" t="s">
        <v>130</v>
      </c>
      <c r="I2884" s="15" t="str">
        <f>IFERROR(__xludf.DUMMYFUNCTION("GOOGLETRANSLATE(H2884,""EN"",""ES"")"),"Sostenibilidad")</f>
        <v>Sostenibilidad</v>
      </c>
      <c r="J2884" s="16" t="s">
        <v>27</v>
      </c>
      <c r="K2884" s="17">
        <v>0.0</v>
      </c>
      <c r="L2884" s="45"/>
      <c r="M2884" s="18"/>
      <c r="N2884" s="86"/>
      <c r="O2884" s="86"/>
      <c r="P2884" s="20">
        <v>0.0</v>
      </c>
      <c r="Q2884" s="18"/>
      <c r="R2884" s="18"/>
      <c r="S2884" s="52"/>
      <c r="T2884" s="22"/>
    </row>
    <row r="2885">
      <c r="A2885" s="23" t="s">
        <v>20232</v>
      </c>
      <c r="B2885" s="77" t="s">
        <v>91</v>
      </c>
      <c r="C2885" s="41">
        <v>45514.0</v>
      </c>
      <c r="D2885" s="40" t="s">
        <v>20233</v>
      </c>
      <c r="E2885" s="41" t="s">
        <v>20234</v>
      </c>
      <c r="F2885" s="43" t="s">
        <v>20235</v>
      </c>
      <c r="G2885" s="43" t="s">
        <v>20236</v>
      </c>
      <c r="H2885" s="51" t="s">
        <v>661</v>
      </c>
      <c r="I2885" s="25" t="str">
        <f>IFERROR(__xludf.DUMMYFUNCTION("GOOGLETRANSLATE(H2885,""EN"",""ES"")"),"Estrategia empresarial")</f>
        <v>Estrategia empresarial</v>
      </c>
      <c r="J2885" s="26" t="s">
        <v>35</v>
      </c>
      <c r="K2885" s="48">
        <v>-0.5</v>
      </c>
      <c r="L2885" s="49" t="s">
        <v>20237</v>
      </c>
      <c r="M2885" s="28" t="s">
        <v>20238</v>
      </c>
      <c r="N2885" s="83" t="s">
        <v>20239</v>
      </c>
      <c r="O2885" s="83" t="str">
        <f>IFERROR(__xludf.DUMMYFUNCTION("GOOGLETRANSLATE(N2885,""EN"",""ES"")"),"Negativo porque sugiere posibles desafíos en el suministro de energía.")</f>
        <v>Negativo porque sugiere posibles desafíos en el suministro de energía.</v>
      </c>
      <c r="P2885" s="30">
        <v>0.0</v>
      </c>
      <c r="Q2885" s="31"/>
      <c r="R2885" s="31"/>
      <c r="S2885" s="53" t="s">
        <v>12139</v>
      </c>
      <c r="T2885" s="32" t="s">
        <v>12140</v>
      </c>
    </row>
    <row r="2886">
      <c r="A2886" s="33" t="s">
        <v>20240</v>
      </c>
      <c r="B2886" s="76" t="s">
        <v>85</v>
      </c>
      <c r="C2886" s="41">
        <v>45515.0</v>
      </c>
      <c r="D2886" s="40" t="s">
        <v>20241</v>
      </c>
      <c r="E2886" s="41" t="s">
        <v>20242</v>
      </c>
      <c r="F2886" s="43" t="s">
        <v>20243</v>
      </c>
      <c r="G2886" s="43" t="s">
        <v>20244</v>
      </c>
      <c r="H2886" s="51" t="s">
        <v>148</v>
      </c>
      <c r="I2886" s="15" t="str">
        <f>IFERROR(__xludf.DUMMYFUNCTION("GOOGLETRANSLATE(H2886,""EN"",""ES"")"),"Gastronomía")</f>
        <v>Gastronomía</v>
      </c>
      <c r="J2886" s="16" t="s">
        <v>27</v>
      </c>
      <c r="K2886" s="17">
        <v>0.0</v>
      </c>
      <c r="L2886" s="45"/>
      <c r="M2886" s="18"/>
      <c r="N2886" s="86"/>
      <c r="O2886" s="86"/>
      <c r="P2886" s="20">
        <v>0.0</v>
      </c>
      <c r="Q2886" s="18"/>
      <c r="R2886" s="18"/>
      <c r="S2886" s="52"/>
      <c r="T2886" s="22"/>
    </row>
    <row r="2887">
      <c r="A2887" s="23" t="s">
        <v>20245</v>
      </c>
      <c r="B2887" s="77" t="s">
        <v>977</v>
      </c>
      <c r="C2887" s="41">
        <v>45515.0</v>
      </c>
      <c r="D2887" s="40" t="s">
        <v>20246</v>
      </c>
      <c r="E2887" s="41" t="s">
        <v>20247</v>
      </c>
      <c r="F2887" s="43" t="s">
        <v>20248</v>
      </c>
      <c r="G2887" s="43" t="s">
        <v>20249</v>
      </c>
      <c r="H2887" s="51" t="s">
        <v>148</v>
      </c>
      <c r="I2887" s="25" t="str">
        <f>IFERROR(__xludf.DUMMYFUNCTION("GOOGLETRANSLATE(H2887,""EN"",""ES"")"),"Gastronomía")</f>
        <v>Gastronomía</v>
      </c>
      <c r="J2887" s="26" t="s">
        <v>27</v>
      </c>
      <c r="K2887" s="17">
        <v>0.0</v>
      </c>
      <c r="L2887" s="54"/>
      <c r="M2887" s="31"/>
      <c r="N2887" s="83"/>
      <c r="O2887" s="83"/>
      <c r="P2887" s="20">
        <v>0.0</v>
      </c>
      <c r="Q2887" s="31"/>
      <c r="R2887" s="31"/>
      <c r="S2887" s="53"/>
      <c r="T2887" s="32"/>
    </row>
    <row r="2888">
      <c r="A2888" s="33" t="s">
        <v>20250</v>
      </c>
      <c r="B2888" s="76" t="s">
        <v>6297</v>
      </c>
      <c r="C2888" s="41">
        <v>45515.0</v>
      </c>
      <c r="D2888" s="40" t="s">
        <v>20251</v>
      </c>
      <c r="E2888" s="41" t="s">
        <v>20252</v>
      </c>
      <c r="F2888" s="43" t="s">
        <v>20253</v>
      </c>
      <c r="G2888" s="43" t="s">
        <v>20254</v>
      </c>
      <c r="H2888" s="51" t="s">
        <v>130</v>
      </c>
      <c r="I2888" s="15" t="str">
        <f>IFERROR(__xludf.DUMMYFUNCTION("GOOGLETRANSLATE(H2888,""EN"",""ES"")"),"Sostenibilidad")</f>
        <v>Sostenibilidad</v>
      </c>
      <c r="J2888" s="16" t="s">
        <v>27</v>
      </c>
      <c r="K2888" s="17">
        <v>0.0</v>
      </c>
      <c r="L2888" s="45"/>
      <c r="M2888" s="18"/>
      <c r="N2888" s="86"/>
      <c r="O2888" s="86"/>
      <c r="P2888" s="20">
        <v>0.0</v>
      </c>
      <c r="Q2888" s="18"/>
      <c r="R2888" s="18"/>
      <c r="S2888" s="52"/>
      <c r="T2888" s="22"/>
    </row>
    <row r="2889">
      <c r="A2889" s="23" t="s">
        <v>20255</v>
      </c>
      <c r="B2889" s="77" t="s">
        <v>1081</v>
      </c>
      <c r="C2889" s="41">
        <v>45515.0</v>
      </c>
      <c r="D2889" s="40" t="s">
        <v>20256</v>
      </c>
      <c r="E2889" s="41" t="s">
        <v>20257</v>
      </c>
      <c r="F2889" s="43" t="s">
        <v>20258</v>
      </c>
      <c r="G2889" s="43" t="s">
        <v>20259</v>
      </c>
      <c r="H2889" s="51" t="s">
        <v>130</v>
      </c>
      <c r="I2889" s="25" t="str">
        <f>IFERROR(__xludf.DUMMYFUNCTION("GOOGLETRANSLATE(H2889,""EN"",""ES"")"),"Sostenibilidad")</f>
        <v>Sostenibilidad</v>
      </c>
      <c r="J2889" s="26" t="s">
        <v>35</v>
      </c>
      <c r="K2889" s="48">
        <v>0.7</v>
      </c>
      <c r="L2889" s="49" t="s">
        <v>19357</v>
      </c>
      <c r="M2889" s="28" t="s">
        <v>19358</v>
      </c>
      <c r="N2889" s="83" t="s">
        <v>20260</v>
      </c>
      <c r="O2889" s="83" t="str">
        <f>IFERROR(__xludf.DUMMYFUNCTION("GOOGLETRANSLATE(N2889,""EN"",""ES"")"),"Positivo porque pone de relieve el esfuerzo de Repsol en la producción de combustibles renovables.")</f>
        <v>Positivo porque pone de relieve el esfuerzo de Repsol en la producción de combustibles renovables.</v>
      </c>
      <c r="P2889" s="30">
        <v>0.5</v>
      </c>
      <c r="Q2889" s="31" t="str">
        <f>IFERROR(__xludf.DUMMYFUNCTION("GOOGLETRANSLATE(R2889,""ES"",""EN"")"),"green stamp")</f>
        <v>green stamp</v>
      </c>
      <c r="R2889" s="28" t="s">
        <v>20261</v>
      </c>
      <c r="S2889" s="53" t="s">
        <v>19877</v>
      </c>
      <c r="T2889" s="32" t="s">
        <v>19878</v>
      </c>
    </row>
    <row r="2890">
      <c r="A2890" s="33" t="s">
        <v>20262</v>
      </c>
      <c r="B2890" s="76" t="s">
        <v>91</v>
      </c>
      <c r="C2890" s="41">
        <v>45515.0</v>
      </c>
      <c r="D2890" s="40" t="s">
        <v>20263</v>
      </c>
      <c r="E2890" s="41" t="s">
        <v>20264</v>
      </c>
      <c r="F2890" s="43" t="s">
        <v>20265</v>
      </c>
      <c r="G2890" s="43" t="s">
        <v>20266</v>
      </c>
      <c r="H2890" s="51" t="s">
        <v>395</v>
      </c>
      <c r="I2890" s="15" t="str">
        <f>IFERROR(__xludf.DUMMYFUNCTION("GOOGLETRANSLATE(H2890,""EN"",""ES"")"),"Ambiente")</f>
        <v>Ambiente</v>
      </c>
      <c r="J2890" s="16" t="s">
        <v>27</v>
      </c>
      <c r="K2890" s="17">
        <v>0.0</v>
      </c>
      <c r="L2890" s="45"/>
      <c r="M2890" s="18"/>
      <c r="N2890" s="86"/>
      <c r="O2890" s="86"/>
      <c r="P2890" s="20">
        <v>0.0</v>
      </c>
      <c r="Q2890" s="18"/>
      <c r="R2890" s="18"/>
      <c r="S2890" s="52"/>
      <c r="T2890" s="22"/>
    </row>
    <row r="2891">
      <c r="A2891" s="23" t="s">
        <v>20267</v>
      </c>
      <c r="B2891" s="77" t="s">
        <v>977</v>
      </c>
      <c r="C2891" s="41">
        <v>45515.0</v>
      </c>
      <c r="D2891" s="40" t="s">
        <v>20268</v>
      </c>
      <c r="E2891" s="41" t="s">
        <v>20269</v>
      </c>
      <c r="F2891" s="43" t="s">
        <v>20270</v>
      </c>
      <c r="G2891" s="43" t="s">
        <v>20271</v>
      </c>
      <c r="H2891" s="51" t="s">
        <v>148</v>
      </c>
      <c r="I2891" s="25" t="str">
        <f>IFERROR(__xludf.DUMMYFUNCTION("GOOGLETRANSLATE(H2891,""EN"",""ES"")"),"Gastronomía")</f>
        <v>Gastronomía</v>
      </c>
      <c r="J2891" s="26" t="s">
        <v>27</v>
      </c>
      <c r="K2891" s="17">
        <v>0.0</v>
      </c>
      <c r="L2891" s="54"/>
      <c r="M2891" s="31"/>
      <c r="N2891" s="83"/>
      <c r="O2891" s="83"/>
      <c r="P2891" s="20">
        <v>0.0</v>
      </c>
      <c r="Q2891" s="31"/>
      <c r="R2891" s="31"/>
      <c r="S2891" s="53"/>
      <c r="T2891" s="32"/>
    </row>
    <row r="2892">
      <c r="A2892" s="33" t="s">
        <v>20272</v>
      </c>
      <c r="B2892" s="76" t="s">
        <v>20073</v>
      </c>
      <c r="C2892" s="41">
        <v>45515.0</v>
      </c>
      <c r="D2892" s="40" t="s">
        <v>20273</v>
      </c>
      <c r="E2892" s="41" t="s">
        <v>20274</v>
      </c>
      <c r="F2892" s="43" t="s">
        <v>20275</v>
      </c>
      <c r="G2892" s="43" t="s">
        <v>20276</v>
      </c>
      <c r="H2892" s="51" t="s">
        <v>48</v>
      </c>
      <c r="I2892" s="15" t="str">
        <f>IFERROR(__xludf.DUMMYFUNCTION("GOOGLETRANSLATE(H2892,""EN"",""ES"")"),"Finanzas")</f>
        <v>Finanzas</v>
      </c>
      <c r="J2892" s="16" t="s">
        <v>35</v>
      </c>
      <c r="K2892" s="48">
        <v>0.0</v>
      </c>
      <c r="L2892" s="45"/>
      <c r="M2892" s="18"/>
      <c r="N2892" s="86" t="s">
        <v>20277</v>
      </c>
      <c r="O2892" s="86" t="str">
        <f>IFERROR(__xludf.DUMMYFUNCTION("GOOGLETRANSLATE(N2892,""EN"",""ES"")"),"Neutral ya que habla de ayuda financiera sin un sentimiento fuerte.")</f>
        <v>Neutral ya que habla de ayuda financiera sin un sentimiento fuerte.</v>
      </c>
      <c r="P2892" s="30">
        <v>0.3</v>
      </c>
      <c r="Q2892" s="18" t="str">
        <f>IFERROR(__xludf.DUMMYFUNCTION("GOOGLETRANSLATE(R2892,""ES"",""EN"")"),"bond")</f>
        <v>bond</v>
      </c>
      <c r="R2892" s="34" t="s">
        <v>20079</v>
      </c>
      <c r="S2892" s="52" t="s">
        <v>20080</v>
      </c>
      <c r="T2892" s="22" t="s">
        <v>20081</v>
      </c>
    </row>
    <row r="2893">
      <c r="A2893" s="23" t="s">
        <v>20278</v>
      </c>
      <c r="B2893" s="77" t="s">
        <v>91</v>
      </c>
      <c r="C2893" s="41">
        <v>45516.0</v>
      </c>
      <c r="D2893" s="40" t="s">
        <v>20279</v>
      </c>
      <c r="E2893" s="41" t="s">
        <v>20280</v>
      </c>
      <c r="F2893" s="43" t="s">
        <v>20281</v>
      </c>
      <c r="G2893" s="43" t="s">
        <v>20282</v>
      </c>
      <c r="H2893" s="51" t="s">
        <v>661</v>
      </c>
      <c r="I2893" s="25" t="str">
        <f>IFERROR(__xludf.DUMMYFUNCTION("GOOGLETRANSLATE(H2893,""EN"",""ES"")"),"Estrategia empresarial")</f>
        <v>Estrategia empresarial</v>
      </c>
      <c r="J2893" s="26" t="s">
        <v>35</v>
      </c>
      <c r="K2893" s="48">
        <v>0.6</v>
      </c>
      <c r="L2893" s="49" t="s">
        <v>12776</v>
      </c>
      <c r="M2893" s="28" t="s">
        <v>12777</v>
      </c>
      <c r="N2893" s="83" t="s">
        <v>20283</v>
      </c>
      <c r="O2893" s="83" t="str">
        <f>IFERROR(__xludf.DUMMYFUNCTION("GOOGLETRANSLATE(N2893,""EN"",""ES"")"),"Positivo por la expansión del negocio de Repsol, pero ligera preocupación por la inestabilidad política.")</f>
        <v>Positivo por la expansión del negocio de Repsol, pero ligera preocupación por la inestabilidad política.</v>
      </c>
      <c r="P2893" s="30">
        <v>0.3</v>
      </c>
      <c r="Q2893" s="31" t="str">
        <f>IFERROR(__xludf.DUMMYFUNCTION("GOOGLETRANSLATE(R2893,""ES"",""EN"")"),"recover")</f>
        <v>recover</v>
      </c>
      <c r="R2893" s="28" t="s">
        <v>20284</v>
      </c>
      <c r="S2893" s="53" t="s">
        <v>20285</v>
      </c>
      <c r="T2893" s="32" t="s">
        <v>20286</v>
      </c>
    </row>
    <row r="2894">
      <c r="A2894" s="33" t="s">
        <v>20287</v>
      </c>
      <c r="B2894" s="76" t="s">
        <v>6804</v>
      </c>
      <c r="C2894" s="41">
        <v>45516.0</v>
      </c>
      <c r="D2894" s="40" t="s">
        <v>20288</v>
      </c>
      <c r="E2894" s="41" t="s">
        <v>20289</v>
      </c>
      <c r="F2894" s="43" t="s">
        <v>20290</v>
      </c>
      <c r="G2894" s="43" t="s">
        <v>20291</v>
      </c>
      <c r="H2894" s="51" t="s">
        <v>148</v>
      </c>
      <c r="I2894" s="15" t="str">
        <f>IFERROR(__xludf.DUMMYFUNCTION("GOOGLETRANSLATE(H2894,""EN"",""ES"")"),"Gastronomía")</f>
        <v>Gastronomía</v>
      </c>
      <c r="J2894" s="16" t="s">
        <v>27</v>
      </c>
      <c r="K2894" s="17">
        <v>0.0</v>
      </c>
      <c r="L2894" s="45"/>
      <c r="M2894" s="18"/>
      <c r="N2894" s="86"/>
      <c r="O2894" s="86"/>
      <c r="P2894" s="20">
        <v>0.0</v>
      </c>
      <c r="Q2894" s="18"/>
      <c r="R2894" s="18"/>
      <c r="S2894" s="52"/>
      <c r="T2894" s="22"/>
    </row>
    <row r="2895">
      <c r="A2895" s="23" t="s">
        <v>20292</v>
      </c>
      <c r="B2895" s="77" t="s">
        <v>21</v>
      </c>
      <c r="C2895" s="41">
        <v>45516.0</v>
      </c>
      <c r="D2895" s="40" t="s">
        <v>20293</v>
      </c>
      <c r="E2895" s="41" t="s">
        <v>20294</v>
      </c>
      <c r="F2895" s="43" t="s">
        <v>20295</v>
      </c>
      <c r="G2895" s="43" t="s">
        <v>20296</v>
      </c>
      <c r="H2895" s="51" t="s">
        <v>20297</v>
      </c>
      <c r="I2895" s="25" t="str">
        <f>IFERROR(__xludf.DUMMYFUNCTION("GOOGLETRANSLATE(H2895,""EN"",""ES"")"),"Agricultura")</f>
        <v>Agricultura</v>
      </c>
      <c r="J2895" s="26" t="s">
        <v>27</v>
      </c>
      <c r="K2895" s="17">
        <v>0.0</v>
      </c>
      <c r="L2895" s="54"/>
      <c r="M2895" s="31"/>
      <c r="N2895" s="83"/>
      <c r="O2895" s="83"/>
      <c r="P2895" s="20">
        <v>0.0</v>
      </c>
      <c r="Q2895" s="31"/>
      <c r="R2895" s="31"/>
      <c r="S2895" s="53"/>
      <c r="T2895" s="32"/>
    </row>
    <row r="2896">
      <c r="A2896" s="33" t="s">
        <v>20298</v>
      </c>
      <c r="B2896" s="76" t="s">
        <v>2696</v>
      </c>
      <c r="C2896" s="41">
        <v>45516.0</v>
      </c>
      <c r="D2896" s="40" t="s">
        <v>20299</v>
      </c>
      <c r="E2896" s="41" t="s">
        <v>20300</v>
      </c>
      <c r="F2896" s="43" t="s">
        <v>20301</v>
      </c>
      <c r="G2896" s="43" t="s">
        <v>20302</v>
      </c>
      <c r="H2896" s="51" t="s">
        <v>395</v>
      </c>
      <c r="I2896" s="15" t="str">
        <f>IFERROR(__xludf.DUMMYFUNCTION("GOOGLETRANSLATE(H2896,""EN"",""ES"")"),"Ambiente")</f>
        <v>Ambiente</v>
      </c>
      <c r="J2896" s="16" t="s">
        <v>35</v>
      </c>
      <c r="K2896" s="48">
        <v>0.0</v>
      </c>
      <c r="L2896" s="45"/>
      <c r="M2896" s="18"/>
      <c r="N2896" s="86" t="s">
        <v>20009</v>
      </c>
      <c r="O2896" s="86" t="str">
        <f>IFERROR(__xludf.DUMMYFUNCTION("GOOGLETRANSLATE(N2896,""EN"",""ES"")"),"Positivo porque pone de relieve el esfuerzo de Repsol en materia de sostenibilidad.")</f>
        <v>Positivo porque pone de relieve el esfuerzo de Repsol en materia de sostenibilidad.</v>
      </c>
      <c r="P2896" s="30">
        <v>0.0</v>
      </c>
      <c r="Q2896" s="18"/>
      <c r="R2896" s="18"/>
      <c r="S2896" s="52" t="s">
        <v>12139</v>
      </c>
      <c r="T2896" s="22" t="s">
        <v>12140</v>
      </c>
    </row>
    <row r="2897">
      <c r="A2897" s="23" t="s">
        <v>20303</v>
      </c>
      <c r="B2897" s="77" t="s">
        <v>1751</v>
      </c>
      <c r="C2897" s="41">
        <v>45516.0</v>
      </c>
      <c r="D2897" s="40" t="s">
        <v>20304</v>
      </c>
      <c r="E2897" s="41" t="s">
        <v>20305</v>
      </c>
      <c r="F2897" s="43" t="s">
        <v>20306</v>
      </c>
      <c r="G2897" s="43" t="s">
        <v>20307</v>
      </c>
      <c r="H2897" s="51" t="s">
        <v>2591</v>
      </c>
      <c r="I2897" s="25" t="str">
        <f>IFERROR(__xludf.DUMMYFUNCTION("GOOGLETRANSLATE(H2897,""EN"",""ES"")"),"Negocio")</f>
        <v>Negocio</v>
      </c>
      <c r="J2897" s="26" t="s">
        <v>27</v>
      </c>
      <c r="K2897" s="17">
        <v>0.0</v>
      </c>
      <c r="L2897" s="54"/>
      <c r="M2897" s="31"/>
      <c r="N2897" s="83"/>
      <c r="O2897" s="83"/>
      <c r="P2897" s="20">
        <v>0.0</v>
      </c>
      <c r="Q2897" s="31"/>
      <c r="R2897" s="31"/>
      <c r="S2897" s="53"/>
      <c r="T2897" s="32"/>
    </row>
    <row r="2898">
      <c r="A2898" s="33" t="s">
        <v>20308</v>
      </c>
      <c r="B2898" s="76" t="s">
        <v>85</v>
      </c>
      <c r="C2898" s="41">
        <v>45516.0</v>
      </c>
      <c r="D2898" s="40" t="s">
        <v>20309</v>
      </c>
      <c r="E2898" s="41" t="s">
        <v>20310</v>
      </c>
      <c r="F2898" s="43" t="s">
        <v>20311</v>
      </c>
      <c r="G2898" s="43" t="s">
        <v>20312</v>
      </c>
      <c r="H2898" s="51" t="s">
        <v>148</v>
      </c>
      <c r="I2898" s="15" t="str">
        <f>IFERROR(__xludf.DUMMYFUNCTION("GOOGLETRANSLATE(H2898,""EN"",""ES"")"),"Gastronomía")</f>
        <v>Gastronomía</v>
      </c>
      <c r="J2898" s="16" t="s">
        <v>27</v>
      </c>
      <c r="K2898" s="17">
        <v>0.0</v>
      </c>
      <c r="L2898" s="45"/>
      <c r="M2898" s="18"/>
      <c r="N2898" s="86"/>
      <c r="O2898" s="86"/>
      <c r="P2898" s="20">
        <v>0.0</v>
      </c>
      <c r="Q2898" s="18"/>
      <c r="R2898" s="18"/>
      <c r="S2898" s="52"/>
      <c r="T2898" s="22"/>
    </row>
    <row r="2899">
      <c r="A2899" s="23" t="s">
        <v>20313</v>
      </c>
      <c r="B2899" s="77" t="s">
        <v>163</v>
      </c>
      <c r="C2899" s="41">
        <v>45516.0</v>
      </c>
      <c r="D2899" s="40" t="s">
        <v>20314</v>
      </c>
      <c r="E2899" s="41" t="s">
        <v>20315</v>
      </c>
      <c r="F2899" s="43" t="s">
        <v>20316</v>
      </c>
      <c r="G2899" s="43" t="s">
        <v>20317</v>
      </c>
      <c r="H2899" s="51" t="s">
        <v>55</v>
      </c>
      <c r="I2899" s="25" t="str">
        <f>IFERROR(__xludf.DUMMYFUNCTION("GOOGLETRANSLATE(H2899,""EN"",""ES"")"),"deportes de motor")</f>
        <v>deportes de motor</v>
      </c>
      <c r="J2899" s="26" t="s">
        <v>27</v>
      </c>
      <c r="K2899" s="17">
        <v>0.0</v>
      </c>
      <c r="L2899" s="54"/>
      <c r="M2899" s="31"/>
      <c r="N2899" s="83"/>
      <c r="O2899" s="83"/>
      <c r="P2899" s="20">
        <v>0.0</v>
      </c>
      <c r="Q2899" s="31"/>
      <c r="R2899" s="31"/>
      <c r="S2899" s="53"/>
      <c r="T2899" s="32"/>
    </row>
    <row r="2900">
      <c r="A2900" s="33" t="s">
        <v>20318</v>
      </c>
      <c r="B2900" s="76" t="s">
        <v>356</v>
      </c>
      <c r="C2900" s="41">
        <v>45516.0</v>
      </c>
      <c r="D2900" s="40" t="s">
        <v>20319</v>
      </c>
      <c r="E2900" s="41" t="s">
        <v>20320</v>
      </c>
      <c r="F2900" s="43" t="s">
        <v>20321</v>
      </c>
      <c r="G2900" s="43" t="s">
        <v>20322</v>
      </c>
      <c r="H2900" s="51" t="s">
        <v>130</v>
      </c>
      <c r="I2900" s="15" t="str">
        <f>IFERROR(__xludf.DUMMYFUNCTION("GOOGLETRANSLATE(H2900,""EN"",""ES"")"),"Sostenibilidad")</f>
        <v>Sostenibilidad</v>
      </c>
      <c r="J2900" s="16" t="s">
        <v>35</v>
      </c>
      <c r="K2900" s="48">
        <v>0.7</v>
      </c>
      <c r="L2900" s="51" t="s">
        <v>16837</v>
      </c>
      <c r="M2900" s="34" t="s">
        <v>16838</v>
      </c>
      <c r="N2900" s="86" t="s">
        <v>20323</v>
      </c>
      <c r="O2900" s="86" t="str">
        <f>IFERROR(__xludf.DUMMYFUNCTION("GOOGLETRANSLATE(N2900,""EN"",""ES"")"),"Positivo ya que destaca el progreso de las energías renovables.")</f>
        <v>Positivo ya que destaca el progreso de las energías renovables.</v>
      </c>
      <c r="P2900" s="30">
        <v>0.0</v>
      </c>
      <c r="Q2900" s="18"/>
      <c r="R2900" s="18"/>
      <c r="S2900" s="52" t="s">
        <v>20324</v>
      </c>
      <c r="T2900" s="22" t="s">
        <v>20325</v>
      </c>
    </row>
    <row r="2901">
      <c r="A2901" s="23" t="s">
        <v>20326</v>
      </c>
      <c r="B2901" s="77" t="s">
        <v>1072</v>
      </c>
      <c r="C2901" s="41">
        <v>45516.0</v>
      </c>
      <c r="D2901" s="40" t="s">
        <v>20327</v>
      </c>
      <c r="E2901" s="41" t="s">
        <v>20328</v>
      </c>
      <c r="F2901" s="43" t="s">
        <v>20329</v>
      </c>
      <c r="G2901" s="43" t="s">
        <v>20330</v>
      </c>
      <c r="H2901" s="51" t="s">
        <v>48</v>
      </c>
      <c r="I2901" s="25" t="str">
        <f>IFERROR(__xludf.DUMMYFUNCTION("GOOGLETRANSLATE(H2901,""EN"",""ES"")"),"Finanzas")</f>
        <v>Finanzas</v>
      </c>
      <c r="J2901" s="26" t="s">
        <v>27</v>
      </c>
      <c r="K2901" s="17">
        <v>0.0</v>
      </c>
      <c r="L2901" s="54"/>
      <c r="M2901" s="31"/>
      <c r="N2901" s="83"/>
      <c r="O2901" s="83"/>
      <c r="P2901" s="20">
        <v>0.0</v>
      </c>
      <c r="Q2901" s="31"/>
      <c r="R2901" s="31"/>
      <c r="S2901" s="53"/>
      <c r="T2901" s="32"/>
    </row>
    <row r="2902">
      <c r="A2902" s="33" t="s">
        <v>20331</v>
      </c>
      <c r="B2902" s="76" t="s">
        <v>239</v>
      </c>
      <c r="C2902" s="41">
        <v>45516.0</v>
      </c>
      <c r="D2902" s="40" t="s">
        <v>20332</v>
      </c>
      <c r="E2902" s="41" t="s">
        <v>20333</v>
      </c>
      <c r="F2902" s="43" t="s">
        <v>20334</v>
      </c>
      <c r="G2902" s="43" t="s">
        <v>20335</v>
      </c>
      <c r="H2902" s="51" t="s">
        <v>55</v>
      </c>
      <c r="I2902" s="15" t="str">
        <f>IFERROR(__xludf.DUMMYFUNCTION("GOOGLETRANSLATE(H2902,""EN"",""ES"")"),"deportes de motor")</f>
        <v>deportes de motor</v>
      </c>
      <c r="J2902" s="16" t="s">
        <v>27</v>
      </c>
      <c r="K2902" s="17">
        <v>0.0</v>
      </c>
      <c r="L2902" s="45"/>
      <c r="M2902" s="18"/>
      <c r="N2902" s="86"/>
      <c r="O2902" s="86"/>
      <c r="P2902" s="20">
        <v>0.0</v>
      </c>
      <c r="Q2902" s="18"/>
      <c r="R2902" s="18"/>
      <c r="S2902" s="52"/>
      <c r="T2902" s="22"/>
    </row>
    <row r="2903">
      <c r="A2903" s="23" t="s">
        <v>20336</v>
      </c>
      <c r="B2903" s="77" t="s">
        <v>4559</v>
      </c>
      <c r="C2903" s="41">
        <v>45518.0</v>
      </c>
      <c r="D2903" s="40" t="s">
        <v>20337</v>
      </c>
      <c r="E2903" s="41" t="s">
        <v>20338</v>
      </c>
      <c r="F2903" s="43" t="s">
        <v>20339</v>
      </c>
      <c r="G2903" s="43" t="s">
        <v>20340</v>
      </c>
      <c r="H2903" s="51" t="s">
        <v>11484</v>
      </c>
      <c r="I2903" s="25" t="str">
        <f>IFERROR(__xludf.DUMMYFUNCTION("GOOGLETRANSLATE(H2903,""EN"",""ES"")"),"Sociedad")</f>
        <v>Sociedad</v>
      </c>
      <c r="J2903" s="26" t="s">
        <v>35</v>
      </c>
      <c r="K2903" s="48">
        <v>0.0</v>
      </c>
      <c r="L2903" s="54"/>
      <c r="M2903" s="31"/>
      <c r="N2903" s="83" t="s">
        <v>20341</v>
      </c>
      <c r="O2903" s="83" t="str">
        <f>IFERROR(__xludf.DUMMYFUNCTION("GOOGLETRANSLATE(N2903,""EN"",""ES"")"),"Neutral ya que informa un evento de aniversario.")</f>
        <v>Neutral ya que informa un evento de aniversario.</v>
      </c>
      <c r="P2903" s="30">
        <v>-0.8</v>
      </c>
      <c r="Q2903" s="31" t="str">
        <f>IFERROR(__xludf.DUMMYFUNCTION("GOOGLETRANSLATE(R2903,""ES"",""EN"")"),"victims, ""tragedy""")</f>
        <v>victims, "tragedy"</v>
      </c>
      <c r="R2903" s="28" t="s">
        <v>20342</v>
      </c>
      <c r="S2903" s="53" t="s">
        <v>20343</v>
      </c>
      <c r="T2903" s="32" t="s">
        <v>20344</v>
      </c>
    </row>
    <row r="2904">
      <c r="A2904" s="33" t="s">
        <v>20345</v>
      </c>
      <c r="B2904" s="76" t="s">
        <v>614</v>
      </c>
      <c r="C2904" s="41">
        <v>45517.0</v>
      </c>
      <c r="D2904" s="40" t="s">
        <v>20346</v>
      </c>
      <c r="E2904" s="41" t="s">
        <v>20347</v>
      </c>
      <c r="F2904" s="43" t="s">
        <v>20348</v>
      </c>
      <c r="G2904" s="43" t="s">
        <v>20349</v>
      </c>
      <c r="H2904" s="51" t="s">
        <v>130</v>
      </c>
      <c r="I2904" s="15" t="str">
        <f>IFERROR(__xludf.DUMMYFUNCTION("GOOGLETRANSLATE(H2904,""EN"",""ES"")"),"Sostenibilidad")</f>
        <v>Sostenibilidad</v>
      </c>
      <c r="J2904" s="16" t="s">
        <v>35</v>
      </c>
      <c r="K2904" s="48">
        <v>0.7</v>
      </c>
      <c r="L2904" s="51" t="s">
        <v>18854</v>
      </c>
      <c r="M2904" s="34" t="s">
        <v>18855</v>
      </c>
      <c r="N2904" s="86" t="s">
        <v>20350</v>
      </c>
      <c r="O2904" s="86" t="str">
        <f>IFERROR(__xludf.DUMMYFUNCTION("GOOGLETRANSLATE(N2904,""EN"",""ES"")"),"Positivo porque pone de relieve la colaboración de Repsol en materia de sostenibilidad.")</f>
        <v>Positivo porque pone de relieve la colaboración de Repsol en materia de sostenibilidad.</v>
      </c>
      <c r="P2904" s="30">
        <v>0.7</v>
      </c>
      <c r="Q2904" s="18" t="str">
        <f>IFERROR(__xludf.DUMMYFUNCTION("GOOGLETRANSLATE(R2904,""ES"",""EN"")"),"renewable fuels")</f>
        <v>renewable fuels</v>
      </c>
      <c r="R2904" s="34" t="s">
        <v>584</v>
      </c>
      <c r="S2904" s="52" t="s">
        <v>20351</v>
      </c>
      <c r="T2904" s="22" t="s">
        <v>20352</v>
      </c>
    </row>
    <row r="2905">
      <c r="A2905" s="23" t="s">
        <v>20353</v>
      </c>
      <c r="B2905" s="77" t="s">
        <v>21</v>
      </c>
      <c r="C2905" s="41">
        <v>45517.0</v>
      </c>
      <c r="D2905" s="40" t="s">
        <v>20354</v>
      </c>
      <c r="E2905" s="41" t="s">
        <v>20355</v>
      </c>
      <c r="F2905" s="43" t="s">
        <v>20356</v>
      </c>
      <c r="G2905" s="43" t="s">
        <v>20357</v>
      </c>
      <c r="H2905" s="51" t="s">
        <v>148</v>
      </c>
      <c r="I2905" s="25" t="str">
        <f>IFERROR(__xludf.DUMMYFUNCTION("GOOGLETRANSLATE(H2905,""EN"",""ES"")"),"Gastronomía")</f>
        <v>Gastronomía</v>
      </c>
      <c r="J2905" s="26" t="s">
        <v>27</v>
      </c>
      <c r="K2905" s="17">
        <v>0.0</v>
      </c>
      <c r="L2905" s="54"/>
      <c r="M2905" s="31"/>
      <c r="N2905" s="83"/>
      <c r="O2905" s="83"/>
      <c r="P2905" s="20">
        <v>0.0</v>
      </c>
      <c r="Q2905" s="31"/>
      <c r="R2905" s="31"/>
      <c r="S2905" s="53"/>
      <c r="T2905" s="32"/>
    </row>
    <row r="2906">
      <c r="A2906" s="33" t="s">
        <v>20358</v>
      </c>
      <c r="B2906" s="76" t="s">
        <v>85</v>
      </c>
      <c r="C2906" s="41">
        <v>45517.0</v>
      </c>
      <c r="D2906" s="40" t="s">
        <v>20359</v>
      </c>
      <c r="E2906" s="41" t="s">
        <v>20360</v>
      </c>
      <c r="F2906" s="43" t="s">
        <v>20361</v>
      </c>
      <c r="G2906" s="43" t="s">
        <v>20362</v>
      </c>
      <c r="H2906" s="51" t="s">
        <v>661</v>
      </c>
      <c r="I2906" s="15" t="str">
        <f>IFERROR(__xludf.DUMMYFUNCTION("GOOGLETRANSLATE(H2906,""EN"",""ES"")"),"Estrategia empresarial")</f>
        <v>Estrategia empresarial</v>
      </c>
      <c r="J2906" s="16" t="s">
        <v>35</v>
      </c>
      <c r="K2906" s="48">
        <v>-0.6</v>
      </c>
      <c r="L2906" s="51" t="s">
        <v>20363</v>
      </c>
      <c r="M2906" s="34" t="s">
        <v>20364</v>
      </c>
      <c r="N2906" s="86" t="s">
        <v>20365</v>
      </c>
      <c r="O2906" s="86" t="str">
        <f>IFERROR(__xludf.DUMMYFUNCTION("GOOGLETRANSLATE(N2906,""EN"",""ES"")"),"Negativa por denuncias de impagos que afectan a los trabajadores.")</f>
        <v>Negativa por denuncias de impagos que afectan a los trabajadores.</v>
      </c>
      <c r="P2906" s="30">
        <v>-0.9</v>
      </c>
      <c r="Q2906" s="18" t="str">
        <f>IFERROR(__xludf.DUMMYFUNCTION("GOOGLETRANSLATE(R2906,""ES"",""EN"")"),"They denounce, ""threat"", ""stop paying""")</f>
        <v>They denounce, "threat", "stop paying"</v>
      </c>
      <c r="R2906" s="34" t="s">
        <v>20366</v>
      </c>
      <c r="S2906" s="52" t="s">
        <v>20367</v>
      </c>
      <c r="T2906" s="22" t="s">
        <v>20368</v>
      </c>
    </row>
    <row r="2907">
      <c r="A2907" s="23" t="s">
        <v>20369</v>
      </c>
      <c r="B2907" s="77" t="s">
        <v>1005</v>
      </c>
      <c r="C2907" s="41">
        <v>45517.0</v>
      </c>
      <c r="D2907" s="40" t="s">
        <v>20370</v>
      </c>
      <c r="E2907" s="41" t="s">
        <v>20371</v>
      </c>
      <c r="F2907" s="43" t="s">
        <v>20372</v>
      </c>
      <c r="G2907" s="43" t="s">
        <v>20373</v>
      </c>
      <c r="H2907" s="51" t="s">
        <v>661</v>
      </c>
      <c r="I2907" s="25" t="str">
        <f>IFERROR(__xludf.DUMMYFUNCTION("GOOGLETRANSLATE(H2907,""EN"",""ES"")"),"Estrategia empresarial")</f>
        <v>Estrategia empresarial</v>
      </c>
      <c r="J2907" s="26" t="s">
        <v>35</v>
      </c>
      <c r="K2907" s="48">
        <v>-0.6</v>
      </c>
      <c r="L2907" s="49" t="s">
        <v>20374</v>
      </c>
      <c r="M2907" s="28" t="s">
        <v>20375</v>
      </c>
      <c r="N2907" s="83" t="s">
        <v>20376</v>
      </c>
      <c r="O2907" s="83" t="str">
        <f>IFERROR(__xludf.DUMMYFUNCTION("GOOGLETRANSLATE(N2907,""EN"",""ES"")"),"Negativo ya que indica dificultades financieras que afectan a las operaciones de Repsol.")</f>
        <v>Negativo ya que indica dificultades financieras que afectan a las operaciones de Repsol.</v>
      </c>
      <c r="P2907" s="30">
        <v>-0.6</v>
      </c>
      <c r="Q2907" s="31" t="str">
        <f>IFERROR(__xludf.DUMMYFUNCTION("GOOGLETRANSLATE(R2907,""ES"",""EN"")"),"pre-bankruptcy")</f>
        <v>pre-bankruptcy</v>
      </c>
      <c r="R2907" s="28" t="s">
        <v>20377</v>
      </c>
      <c r="S2907" s="53" t="s">
        <v>20378</v>
      </c>
      <c r="T2907" s="32" t="s">
        <v>20379</v>
      </c>
    </row>
    <row r="2908">
      <c r="A2908" s="33" t="s">
        <v>20380</v>
      </c>
      <c r="B2908" s="76" t="s">
        <v>125</v>
      </c>
      <c r="C2908" s="41">
        <v>45517.0</v>
      </c>
      <c r="D2908" s="40" t="s">
        <v>20381</v>
      </c>
      <c r="E2908" s="41" t="s">
        <v>20382</v>
      </c>
      <c r="F2908" s="43" t="s">
        <v>20383</v>
      </c>
      <c r="G2908" s="43" t="s">
        <v>20384</v>
      </c>
      <c r="H2908" s="51" t="s">
        <v>661</v>
      </c>
      <c r="I2908" s="15" t="str">
        <f>IFERROR(__xludf.DUMMYFUNCTION("GOOGLETRANSLATE(H2908,""EN"",""ES"")"),"Estrategia empresarial")</f>
        <v>Estrategia empresarial</v>
      </c>
      <c r="J2908" s="16" t="s">
        <v>35</v>
      </c>
      <c r="K2908" s="48">
        <v>-0.7</v>
      </c>
      <c r="L2908" s="51" t="s">
        <v>20374</v>
      </c>
      <c r="M2908" s="34" t="s">
        <v>20375</v>
      </c>
      <c r="N2908" s="86" t="s">
        <v>20385</v>
      </c>
      <c r="O2908" s="86" t="str">
        <f>IFERROR(__xludf.DUMMYFUNCTION("GOOGLETRANSLATE(N2908,""EN"",""ES"")"),"Negativo ya que informa de conflictos laborales que afectan a los proveedores de Repsol.")</f>
        <v>Negativo ya que informa de conflictos laborales que afectan a los proveedores de Repsol.</v>
      </c>
      <c r="P2908" s="30">
        <v>-0.7</v>
      </c>
      <c r="Q2908" s="18" t="str">
        <f>IFERROR(__xludf.DUMMYFUNCTION("GOOGLETRANSLATE(R2908,""ES"",""EN"")"),"salary defaults")</f>
        <v>salary defaults</v>
      </c>
      <c r="R2908" s="34" t="s">
        <v>20386</v>
      </c>
      <c r="S2908" s="52" t="s">
        <v>20387</v>
      </c>
      <c r="T2908" s="22" t="s">
        <v>20388</v>
      </c>
    </row>
    <row r="2909">
      <c r="A2909" s="23" t="s">
        <v>20389</v>
      </c>
      <c r="B2909" s="77" t="s">
        <v>2696</v>
      </c>
      <c r="C2909" s="41">
        <v>45517.0</v>
      </c>
      <c r="D2909" s="40" t="s">
        <v>20390</v>
      </c>
      <c r="E2909" s="41" t="s">
        <v>20391</v>
      </c>
      <c r="F2909" s="43" t="s">
        <v>20392</v>
      </c>
      <c r="G2909" s="43" t="s">
        <v>20393</v>
      </c>
      <c r="H2909" s="51" t="s">
        <v>661</v>
      </c>
      <c r="I2909" s="25" t="str">
        <f>IFERROR(__xludf.DUMMYFUNCTION("GOOGLETRANSLATE(H2909,""EN"",""ES"")"),"Estrategia empresarial")</f>
        <v>Estrategia empresarial</v>
      </c>
      <c r="J2909" s="26" t="s">
        <v>35</v>
      </c>
      <c r="K2909" s="48">
        <v>0.6</v>
      </c>
      <c r="L2909" s="49" t="s">
        <v>12776</v>
      </c>
      <c r="M2909" s="28" t="s">
        <v>12777</v>
      </c>
      <c r="N2909" s="83" t="s">
        <v>20394</v>
      </c>
      <c r="O2909" s="83" t="str">
        <f>IFERROR(__xludf.DUMMYFUNCTION("GOOGLETRANSLATE(N2909,""EN"",""ES"")"),"Positivo para Repsol ya que indica un aumento de las importaciones de crudo, pero la inestabilidad política en Venezuela modera el entusiasmo.")</f>
        <v>Positivo para Repsol ya que indica un aumento de las importaciones de crudo, pero la inestabilidad política en Venezuela modera el entusiasmo.</v>
      </c>
      <c r="P2909" s="30">
        <v>0.0</v>
      </c>
      <c r="Q2909" s="31"/>
      <c r="R2909" s="31"/>
      <c r="S2909" s="53" t="s">
        <v>20395</v>
      </c>
      <c r="T2909" s="32" t="s">
        <v>20396</v>
      </c>
    </row>
    <row r="2910">
      <c r="A2910" s="33" t="s">
        <v>20397</v>
      </c>
      <c r="B2910" s="76" t="s">
        <v>6458</v>
      </c>
      <c r="C2910" s="41">
        <v>45517.0</v>
      </c>
      <c r="D2910" s="40" t="s">
        <v>20398</v>
      </c>
      <c r="E2910" s="41" t="s">
        <v>20399</v>
      </c>
      <c r="F2910" s="43" t="s">
        <v>20400</v>
      </c>
      <c r="G2910" s="43" t="s">
        <v>20401</v>
      </c>
      <c r="H2910" s="51" t="s">
        <v>148</v>
      </c>
      <c r="I2910" s="15" t="str">
        <f>IFERROR(__xludf.DUMMYFUNCTION("GOOGLETRANSLATE(H2910,""EN"",""ES"")"),"Gastronomía")</f>
        <v>Gastronomía</v>
      </c>
      <c r="J2910" s="16" t="s">
        <v>27</v>
      </c>
      <c r="K2910" s="17">
        <v>0.0</v>
      </c>
      <c r="L2910" s="45"/>
      <c r="M2910" s="18"/>
      <c r="N2910" s="86"/>
      <c r="O2910" s="86"/>
      <c r="P2910" s="20">
        <v>0.0</v>
      </c>
      <c r="Q2910" s="18"/>
      <c r="R2910" s="18"/>
      <c r="S2910" s="52"/>
      <c r="T2910" s="22"/>
    </row>
    <row r="2911">
      <c r="A2911" s="23" t="s">
        <v>20402</v>
      </c>
      <c r="B2911" s="77" t="s">
        <v>20403</v>
      </c>
      <c r="C2911" s="41">
        <v>45517.0</v>
      </c>
      <c r="D2911" s="40" t="s">
        <v>20404</v>
      </c>
      <c r="E2911" s="41" t="s">
        <v>20405</v>
      </c>
      <c r="F2911" s="43" t="s">
        <v>20406</v>
      </c>
      <c r="G2911" s="43" t="s">
        <v>20407</v>
      </c>
      <c r="H2911" s="51" t="s">
        <v>148</v>
      </c>
      <c r="I2911" s="25" t="str">
        <f>IFERROR(__xludf.DUMMYFUNCTION("GOOGLETRANSLATE(H2911,""EN"",""ES"")"),"Gastronomía")</f>
        <v>Gastronomía</v>
      </c>
      <c r="J2911" s="26" t="s">
        <v>27</v>
      </c>
      <c r="K2911" s="17">
        <v>0.0</v>
      </c>
      <c r="L2911" s="54"/>
      <c r="M2911" s="31"/>
      <c r="N2911" s="83"/>
      <c r="O2911" s="83"/>
      <c r="P2911" s="20">
        <v>0.0</v>
      </c>
      <c r="Q2911" s="31"/>
      <c r="R2911" s="31"/>
      <c r="S2911" s="53"/>
      <c r="T2911" s="32"/>
    </row>
    <row r="2912">
      <c r="A2912" s="33" t="s">
        <v>20408</v>
      </c>
      <c r="B2912" s="76" t="s">
        <v>952</v>
      </c>
      <c r="C2912" s="41">
        <v>45518.0</v>
      </c>
      <c r="D2912" s="40" t="s">
        <v>20409</v>
      </c>
      <c r="E2912" s="41" t="s">
        <v>20410</v>
      </c>
      <c r="F2912" s="43" t="s">
        <v>20411</v>
      </c>
      <c r="G2912" s="43" t="s">
        <v>20412</v>
      </c>
      <c r="H2912" s="51" t="s">
        <v>11484</v>
      </c>
      <c r="I2912" s="15" t="str">
        <f>IFERROR(__xludf.DUMMYFUNCTION("GOOGLETRANSLATE(H2912,""EN"",""ES"")"),"Sociedad")</f>
        <v>Sociedad</v>
      </c>
      <c r="J2912" s="16" t="s">
        <v>35</v>
      </c>
      <c r="K2912" s="48">
        <v>0.0</v>
      </c>
      <c r="L2912" s="45"/>
      <c r="M2912" s="18"/>
      <c r="N2912" s="86" t="s">
        <v>20413</v>
      </c>
      <c r="O2912" s="86" t="str">
        <f>IFERROR(__xludf.DUMMYFUNCTION("GOOGLETRANSLATE(N2912,""EN"",""ES"")"),"Neutral ya que cubre un evento conmemorativo.")</f>
        <v>Neutral ya que cubre un evento conmemorativo.</v>
      </c>
      <c r="P2912" s="30">
        <v>-0.5</v>
      </c>
      <c r="Q2912" s="18" t="str">
        <f>IFERROR(__xludf.DUMMYFUNCTION("GOOGLETRANSLATE(R2912,""ES"",""EN"")"),"victims, ""tribute""")</f>
        <v>victims, "tribute"</v>
      </c>
      <c r="R2912" s="34" t="s">
        <v>20414</v>
      </c>
      <c r="S2912" s="52" t="s">
        <v>20415</v>
      </c>
      <c r="T2912" s="22" t="s">
        <v>20416</v>
      </c>
    </row>
    <row r="2913">
      <c r="A2913" s="23" t="s">
        <v>20417</v>
      </c>
      <c r="B2913" s="77" t="s">
        <v>11766</v>
      </c>
      <c r="C2913" s="41">
        <v>45518.0</v>
      </c>
      <c r="D2913" s="40" t="s">
        <v>20418</v>
      </c>
      <c r="E2913" s="41" t="s">
        <v>20419</v>
      </c>
      <c r="F2913" s="43" t="s">
        <v>20420</v>
      </c>
      <c r="G2913" s="43" t="s">
        <v>20421</v>
      </c>
      <c r="H2913" s="51" t="s">
        <v>661</v>
      </c>
      <c r="I2913" s="25" t="str">
        <f>IFERROR(__xludf.DUMMYFUNCTION("GOOGLETRANSLATE(H2913,""EN"",""ES"")"),"Estrategia empresarial")</f>
        <v>Estrategia empresarial</v>
      </c>
      <c r="J2913" s="26" t="s">
        <v>35</v>
      </c>
      <c r="K2913" s="48">
        <v>-0.7</v>
      </c>
      <c r="L2913" s="49" t="s">
        <v>20422</v>
      </c>
      <c r="M2913" s="28" t="s">
        <v>20423</v>
      </c>
      <c r="N2913" s="83" t="s">
        <v>20424</v>
      </c>
      <c r="O2913" s="83" t="str">
        <f>IFERROR(__xludf.DUMMYFUNCTION("GOOGLETRANSLATE(N2913,""EN"",""ES"")"),"Negativo porque recuerda un trágico accidente industrial.")</f>
        <v>Negativo porque recuerda un trágico accidente industrial.</v>
      </c>
      <c r="P2913" s="30">
        <v>-0.8</v>
      </c>
      <c r="Q2913" s="31" t="str">
        <f>IFERROR(__xludf.DUMMYFUNCTION("GOOGLETRANSLATE(R2913,""ES"",""EN"")"),"tragedy")</f>
        <v>tragedy</v>
      </c>
      <c r="R2913" s="28" t="s">
        <v>20425</v>
      </c>
      <c r="S2913" s="53" t="s">
        <v>20426</v>
      </c>
      <c r="T2913" s="32" t="s">
        <v>20427</v>
      </c>
    </row>
    <row r="2914">
      <c r="A2914" s="33" t="s">
        <v>20428</v>
      </c>
      <c r="B2914" s="76" t="s">
        <v>21</v>
      </c>
      <c r="C2914" s="41">
        <v>45518.0</v>
      </c>
      <c r="D2914" s="40" t="s">
        <v>20429</v>
      </c>
      <c r="E2914" s="41" t="s">
        <v>20430</v>
      </c>
      <c r="F2914" s="43" t="s">
        <v>20431</v>
      </c>
      <c r="G2914" s="43" t="s">
        <v>20432</v>
      </c>
      <c r="H2914" s="51" t="s">
        <v>969</v>
      </c>
      <c r="I2914" s="15" t="str">
        <f>IFERROR(__xludf.DUMMYFUNCTION("GOOGLETRANSLATE(H2914,""EN"",""ES"")"),"Turismo")</f>
        <v>Turismo</v>
      </c>
      <c r="J2914" s="16" t="s">
        <v>27</v>
      </c>
      <c r="K2914" s="17">
        <v>0.0</v>
      </c>
      <c r="L2914" s="45"/>
      <c r="M2914" s="18"/>
      <c r="N2914" s="86"/>
      <c r="O2914" s="86"/>
      <c r="P2914" s="20">
        <v>0.0</v>
      </c>
      <c r="Q2914" s="18"/>
      <c r="R2914" s="18"/>
      <c r="S2914" s="52"/>
      <c r="T2914" s="22"/>
    </row>
    <row r="2915">
      <c r="A2915" s="23" t="s">
        <v>20433</v>
      </c>
      <c r="B2915" s="77" t="s">
        <v>20434</v>
      </c>
      <c r="C2915" s="41">
        <v>45518.0</v>
      </c>
      <c r="D2915" s="40" t="s">
        <v>20435</v>
      </c>
      <c r="E2915" s="41" t="s">
        <v>20436</v>
      </c>
      <c r="F2915" s="43" t="s">
        <v>20437</v>
      </c>
      <c r="G2915" s="43" t="s">
        <v>20438</v>
      </c>
      <c r="H2915" s="51" t="s">
        <v>130</v>
      </c>
      <c r="I2915" s="25" t="str">
        <f>IFERROR(__xludf.DUMMYFUNCTION("GOOGLETRANSLATE(H2915,""EN"",""ES"")"),"Sostenibilidad")</f>
        <v>Sostenibilidad</v>
      </c>
      <c r="J2915" s="26" t="s">
        <v>35</v>
      </c>
      <c r="K2915" s="48">
        <v>0.7</v>
      </c>
      <c r="L2915" s="49" t="s">
        <v>20439</v>
      </c>
      <c r="M2915" s="28" t="s">
        <v>20440</v>
      </c>
      <c r="N2915" s="83" t="s">
        <v>20441</v>
      </c>
      <c r="O2915" s="83" t="str">
        <f>IFERROR(__xludf.DUMMYFUNCTION("GOOGLETRANSLATE(N2915,""EN"",""ES"")"),"Positivo porque pone de relieve el esfuerzo de Repsol en energías renovables.")</f>
        <v>Positivo porque pone de relieve el esfuerzo de Repsol en energías renovables.</v>
      </c>
      <c r="P2915" s="30">
        <v>0.5</v>
      </c>
      <c r="Q2915" s="31" t="str">
        <f>IFERROR(__xludf.DUMMYFUNCTION("GOOGLETRANSLATE(R2915,""ES"",""EN"")"),"renewable diesel")</f>
        <v>renewable diesel</v>
      </c>
      <c r="R2915" s="28" t="s">
        <v>13210</v>
      </c>
      <c r="S2915" s="53" t="s">
        <v>20442</v>
      </c>
      <c r="T2915" s="32" t="s">
        <v>20443</v>
      </c>
    </row>
    <row r="2916">
      <c r="A2916" s="33" t="s">
        <v>20444</v>
      </c>
      <c r="B2916" s="76" t="s">
        <v>2442</v>
      </c>
      <c r="C2916" s="41">
        <v>45518.0</v>
      </c>
      <c r="D2916" s="40" t="s">
        <v>20445</v>
      </c>
      <c r="E2916" s="41" t="s">
        <v>20446</v>
      </c>
      <c r="F2916" s="43" t="s">
        <v>20447</v>
      </c>
      <c r="G2916" s="43" t="s">
        <v>20448</v>
      </c>
      <c r="H2916" s="51" t="s">
        <v>130</v>
      </c>
      <c r="I2916" s="15" t="str">
        <f>IFERROR(__xludf.DUMMYFUNCTION("GOOGLETRANSLATE(H2916,""EN"",""ES"")"),"Sostenibilidad")</f>
        <v>Sostenibilidad</v>
      </c>
      <c r="J2916" s="16" t="s">
        <v>35</v>
      </c>
      <c r="K2916" s="48">
        <v>0.7</v>
      </c>
      <c r="L2916" s="51" t="s">
        <v>12580</v>
      </c>
      <c r="M2916" s="34" t="s">
        <v>12581</v>
      </c>
      <c r="N2916" s="86" t="s">
        <v>20449</v>
      </c>
      <c r="O2916" s="86" t="str">
        <f>IFERROR(__xludf.DUMMYFUNCTION("GOOGLETRANSLATE(N2916,""EN"",""ES"")"),"Positivo porque impulsa la iniciativa de sostenibilidad de Repsol.")</f>
        <v>Positivo porque impulsa la iniciativa de sostenibilidad de Repsol.</v>
      </c>
      <c r="P2916" s="30">
        <v>0.0</v>
      </c>
      <c r="Q2916" s="18"/>
      <c r="R2916" s="18"/>
      <c r="S2916" s="52" t="s">
        <v>20450</v>
      </c>
      <c r="T2916" s="22" t="s">
        <v>20451</v>
      </c>
    </row>
    <row r="2917">
      <c r="A2917" s="23" t="s">
        <v>20452</v>
      </c>
      <c r="B2917" s="77" t="s">
        <v>4559</v>
      </c>
      <c r="C2917" s="41">
        <v>45518.0</v>
      </c>
      <c r="D2917" s="40" t="s">
        <v>20453</v>
      </c>
      <c r="E2917" s="41" t="s">
        <v>20454</v>
      </c>
      <c r="F2917" s="43" t="s">
        <v>20455</v>
      </c>
      <c r="G2917" s="43" t="s">
        <v>20456</v>
      </c>
      <c r="H2917" s="51" t="s">
        <v>661</v>
      </c>
      <c r="I2917" s="25" t="str">
        <f>IFERROR(__xludf.DUMMYFUNCTION("GOOGLETRANSLATE(H2917,""EN"",""ES"")"),"Estrategia empresarial")</f>
        <v>Estrategia empresarial</v>
      </c>
      <c r="J2917" s="26" t="s">
        <v>35</v>
      </c>
      <c r="K2917" s="48">
        <v>-0.7</v>
      </c>
      <c r="L2917" s="49" t="s">
        <v>20422</v>
      </c>
      <c r="M2917" s="28" t="s">
        <v>20423</v>
      </c>
      <c r="N2917" s="83" t="s">
        <v>20457</v>
      </c>
      <c r="O2917" s="83" t="str">
        <f>IFERROR(__xludf.DUMMYFUNCTION("GOOGLETRANSLATE(N2917,""EN"",""ES"")"),"Negativo ya que habla de una tragedia industrial pasada.")</f>
        <v>Negativo ya que habla de una tragedia industrial pasada.</v>
      </c>
      <c r="P2917" s="30">
        <v>-0.3</v>
      </c>
      <c r="Q2917" s="31" t="str">
        <f>IFERROR(__xludf.DUMMYFUNCTION("GOOGLETRANSLATE(R2917,""ES"",""EN"")"),"tragic")</f>
        <v>tragic</v>
      </c>
      <c r="R2917" s="28" t="s">
        <v>20458</v>
      </c>
      <c r="S2917" s="53" t="s">
        <v>20459</v>
      </c>
      <c r="T2917" s="32" t="s">
        <v>20460</v>
      </c>
    </row>
    <row r="2918">
      <c r="A2918" s="33" t="s">
        <v>20461</v>
      </c>
      <c r="B2918" s="76" t="s">
        <v>20462</v>
      </c>
      <c r="C2918" s="41">
        <v>45518.0</v>
      </c>
      <c r="D2918" s="40" t="s">
        <v>20463</v>
      </c>
      <c r="E2918" s="41" t="s">
        <v>20464</v>
      </c>
      <c r="F2918" s="43" t="s">
        <v>20465</v>
      </c>
      <c r="G2918" s="43" t="s">
        <v>20466</v>
      </c>
      <c r="H2918" s="51" t="s">
        <v>148</v>
      </c>
      <c r="I2918" s="15" t="str">
        <f>IFERROR(__xludf.DUMMYFUNCTION("GOOGLETRANSLATE(H2918,""EN"",""ES"")"),"Gastronomía")</f>
        <v>Gastronomía</v>
      </c>
      <c r="J2918" s="16" t="s">
        <v>27</v>
      </c>
      <c r="K2918" s="17">
        <v>0.0</v>
      </c>
      <c r="L2918" s="45"/>
      <c r="M2918" s="18"/>
      <c r="N2918" s="86"/>
      <c r="O2918" s="86"/>
      <c r="P2918" s="20">
        <v>0.0</v>
      </c>
      <c r="Q2918" s="18"/>
      <c r="R2918" s="18"/>
      <c r="S2918" s="52"/>
      <c r="T2918" s="22"/>
    </row>
    <row r="2919">
      <c r="A2919" s="23" t="s">
        <v>20467</v>
      </c>
      <c r="B2919" s="77" t="s">
        <v>2230</v>
      </c>
      <c r="C2919" s="41">
        <v>45518.0</v>
      </c>
      <c r="D2919" s="40" t="s">
        <v>20468</v>
      </c>
      <c r="E2919" s="41" t="s">
        <v>20469</v>
      </c>
      <c r="F2919" s="43" t="s">
        <v>20470</v>
      </c>
      <c r="G2919" s="43" t="s">
        <v>20471</v>
      </c>
      <c r="H2919" s="51" t="s">
        <v>148</v>
      </c>
      <c r="I2919" s="25" t="str">
        <f>IFERROR(__xludf.DUMMYFUNCTION("GOOGLETRANSLATE(H2919,""EN"",""ES"")"),"Gastronomía")</f>
        <v>Gastronomía</v>
      </c>
      <c r="J2919" s="26" t="s">
        <v>27</v>
      </c>
      <c r="K2919" s="17">
        <v>0.0</v>
      </c>
      <c r="L2919" s="54"/>
      <c r="M2919" s="31"/>
      <c r="N2919" s="83"/>
      <c r="O2919" s="83"/>
      <c r="P2919" s="20">
        <v>0.0</v>
      </c>
      <c r="Q2919" s="31"/>
      <c r="R2919" s="31"/>
      <c r="S2919" s="53"/>
      <c r="T2919" s="32"/>
    </row>
    <row r="2920">
      <c r="A2920" s="33" t="s">
        <v>20472</v>
      </c>
      <c r="B2920" s="76" t="s">
        <v>2934</v>
      </c>
      <c r="C2920" s="41">
        <v>45518.0</v>
      </c>
      <c r="D2920" s="40" t="s">
        <v>20473</v>
      </c>
      <c r="E2920" s="41" t="s">
        <v>20474</v>
      </c>
      <c r="F2920" s="43" t="s">
        <v>20475</v>
      </c>
      <c r="G2920" s="43" t="s">
        <v>20476</v>
      </c>
      <c r="H2920" s="51" t="s">
        <v>408</v>
      </c>
      <c r="I2920" s="15" t="str">
        <f>IFERROR(__xludf.DUMMYFUNCTION("GOOGLETRANSLATE(H2920,""EN"",""ES"")"),"Legal")</f>
        <v>Legal</v>
      </c>
      <c r="J2920" s="16" t="s">
        <v>35</v>
      </c>
      <c r="K2920" s="48">
        <v>-0.6</v>
      </c>
      <c r="L2920" s="51" t="s">
        <v>9922</v>
      </c>
      <c r="M2920" s="34" t="s">
        <v>9923</v>
      </c>
      <c r="N2920" s="86" t="s">
        <v>20477</v>
      </c>
      <c r="O2920" s="86" t="str">
        <f>IFERROR(__xludf.DUMMYFUNCTION("GOOGLETRANSLATE(N2920,""EN"",""ES"")"),"Negativo porque implica preocupación por los derrames de petróleo, probablemente haciendo referencia a Repsol.")</f>
        <v>Negativo porque implica preocupación por los derrames de petróleo, probablemente haciendo referencia a Repsol.</v>
      </c>
      <c r="P2920" s="30">
        <v>0.0</v>
      </c>
      <c r="Q2920" s="18"/>
      <c r="R2920" s="18"/>
      <c r="S2920" s="52" t="s">
        <v>20478</v>
      </c>
      <c r="T2920" s="22" t="s">
        <v>20479</v>
      </c>
    </row>
    <row r="2921">
      <c r="A2921" s="23" t="s">
        <v>20480</v>
      </c>
      <c r="B2921" s="77" t="s">
        <v>1635</v>
      </c>
      <c r="C2921" s="41">
        <v>45518.0</v>
      </c>
      <c r="D2921" s="40" t="s">
        <v>20481</v>
      </c>
      <c r="E2921" s="41" t="s">
        <v>20482</v>
      </c>
      <c r="F2921" s="43" t="s">
        <v>20483</v>
      </c>
      <c r="G2921" s="43" t="s">
        <v>20484</v>
      </c>
      <c r="H2921" s="51" t="s">
        <v>661</v>
      </c>
      <c r="I2921" s="25" t="str">
        <f>IFERROR(__xludf.DUMMYFUNCTION("GOOGLETRANSLATE(H2921,""EN"",""ES"")"),"Estrategia empresarial")</f>
        <v>Estrategia empresarial</v>
      </c>
      <c r="J2921" s="26" t="s">
        <v>35</v>
      </c>
      <c r="K2921" s="48">
        <v>-0.7</v>
      </c>
      <c r="L2921" s="49" t="s">
        <v>20422</v>
      </c>
      <c r="M2921" s="28" t="s">
        <v>20423</v>
      </c>
      <c r="N2921" s="83" t="s">
        <v>20485</v>
      </c>
      <c r="O2921" s="83" t="str">
        <f>IFERROR(__xludf.DUMMYFUNCTION("GOOGLETRANSLATE(N2921,""EN"",""ES"")"),"Negativo ya que se habla de un accidente mortal relacionado con Repsol.")</f>
        <v>Negativo ya que se habla de un accidente mortal relacionado con Repsol.</v>
      </c>
      <c r="P2921" s="30">
        <v>-0.4</v>
      </c>
      <c r="Q2921" s="31" t="str">
        <f>IFERROR(__xludf.DUMMYFUNCTION("GOOGLETRANSLATE(R2921,""ES"",""EN"")"),"accident")</f>
        <v>accident</v>
      </c>
      <c r="R2921" s="28" t="s">
        <v>20486</v>
      </c>
      <c r="S2921" s="53" t="s">
        <v>20487</v>
      </c>
      <c r="T2921" s="32" t="s">
        <v>20488</v>
      </c>
    </row>
    <row r="2922">
      <c r="A2922" s="33" t="s">
        <v>20489</v>
      </c>
      <c r="B2922" s="76" t="s">
        <v>21</v>
      </c>
      <c r="C2922" s="41">
        <v>45519.0</v>
      </c>
      <c r="D2922" s="40" t="s">
        <v>20490</v>
      </c>
      <c r="E2922" s="41" t="s">
        <v>20491</v>
      </c>
      <c r="F2922" s="43" t="s">
        <v>20492</v>
      </c>
      <c r="G2922" s="43" t="s">
        <v>20493</v>
      </c>
      <c r="H2922" s="51" t="s">
        <v>969</v>
      </c>
      <c r="I2922" s="15" t="str">
        <f>IFERROR(__xludf.DUMMYFUNCTION("GOOGLETRANSLATE(H2922,""EN"",""ES"")"),"Turismo")</f>
        <v>Turismo</v>
      </c>
      <c r="J2922" s="16" t="s">
        <v>27</v>
      </c>
      <c r="K2922" s="17">
        <v>0.0</v>
      </c>
      <c r="L2922" s="45"/>
      <c r="M2922" s="18"/>
      <c r="N2922" s="86"/>
      <c r="O2922" s="86"/>
      <c r="P2922" s="20">
        <v>0.0</v>
      </c>
      <c r="Q2922" s="18"/>
      <c r="R2922" s="18"/>
      <c r="S2922" s="52"/>
      <c r="T2922" s="22"/>
    </row>
    <row r="2923">
      <c r="A2923" s="23" t="s">
        <v>20494</v>
      </c>
      <c r="B2923" s="77" t="s">
        <v>57</v>
      </c>
      <c r="C2923" s="41">
        <v>45519.0</v>
      </c>
      <c r="D2923" s="40" t="s">
        <v>20495</v>
      </c>
      <c r="E2923" s="41" t="s">
        <v>20496</v>
      </c>
      <c r="F2923" s="43" t="s">
        <v>20497</v>
      </c>
      <c r="G2923" s="43" t="s">
        <v>20498</v>
      </c>
      <c r="H2923" s="51" t="s">
        <v>661</v>
      </c>
      <c r="I2923" s="25" t="str">
        <f>IFERROR(__xludf.DUMMYFUNCTION("GOOGLETRANSLATE(H2923,""EN"",""ES"")"),"Estrategia empresarial")</f>
        <v>Estrategia empresarial</v>
      </c>
      <c r="J2923" s="26" t="s">
        <v>35</v>
      </c>
      <c r="K2923" s="48">
        <v>-0.5</v>
      </c>
      <c r="L2923" s="49" t="s">
        <v>19645</v>
      </c>
      <c r="M2923" s="28" t="s">
        <v>20499</v>
      </c>
      <c r="N2923" s="83" t="s">
        <v>20500</v>
      </c>
      <c r="O2923" s="83" t="str">
        <f>IFERROR(__xludf.DUMMYFUNCTION("GOOGLETRANSLATE(N2923,""EN"",""ES"")"),"Negativo porque pone de relieve la fluctuación del precio de los combustibles, que podría impactar en Repsol.")</f>
        <v>Negativo porque pone de relieve la fluctuación del precio de los combustibles, que podría impactar en Repsol.</v>
      </c>
      <c r="P2923" s="30">
        <v>0.0</v>
      </c>
      <c r="Q2923" s="31"/>
      <c r="R2923" s="31"/>
      <c r="S2923" s="53" t="s">
        <v>20501</v>
      </c>
      <c r="T2923" s="32" t="s">
        <v>20502</v>
      </c>
    </row>
    <row r="2924">
      <c r="A2924" s="33" t="s">
        <v>20503</v>
      </c>
      <c r="B2924" s="76" t="s">
        <v>558</v>
      </c>
      <c r="C2924" s="41">
        <v>45519.0</v>
      </c>
      <c r="D2924" s="40" t="s">
        <v>20504</v>
      </c>
      <c r="E2924" s="41" t="s">
        <v>20505</v>
      </c>
      <c r="F2924" s="43" t="s">
        <v>20506</v>
      </c>
      <c r="G2924" s="43" t="s">
        <v>20507</v>
      </c>
      <c r="H2924" s="51" t="s">
        <v>48</v>
      </c>
      <c r="I2924" s="15" t="str">
        <f>IFERROR(__xludf.DUMMYFUNCTION("GOOGLETRANSLATE(H2924,""EN"",""ES"")"),"Finanzas")</f>
        <v>Finanzas</v>
      </c>
      <c r="J2924" s="16" t="s">
        <v>27</v>
      </c>
      <c r="K2924" s="17">
        <v>0.0</v>
      </c>
      <c r="L2924" s="45"/>
      <c r="M2924" s="18"/>
      <c r="N2924" s="86"/>
      <c r="O2924" s="86"/>
      <c r="P2924" s="20">
        <v>0.0</v>
      </c>
      <c r="Q2924" s="18"/>
      <c r="R2924" s="18"/>
      <c r="S2924" s="52"/>
      <c r="T2924" s="22"/>
    </row>
    <row r="2925">
      <c r="A2925" s="23" t="s">
        <v>20508</v>
      </c>
      <c r="B2925" s="77" t="s">
        <v>6458</v>
      </c>
      <c r="C2925" s="41">
        <v>45519.0</v>
      </c>
      <c r="D2925" s="40" t="s">
        <v>20509</v>
      </c>
      <c r="E2925" s="41" t="s">
        <v>20510</v>
      </c>
      <c r="F2925" s="43" t="s">
        <v>20511</v>
      </c>
      <c r="G2925" s="43" t="s">
        <v>20512</v>
      </c>
      <c r="H2925" s="51" t="s">
        <v>148</v>
      </c>
      <c r="I2925" s="25" t="str">
        <f>IFERROR(__xludf.DUMMYFUNCTION("GOOGLETRANSLATE(H2925,""EN"",""ES"")"),"Gastronomía")</f>
        <v>Gastronomía</v>
      </c>
      <c r="J2925" s="26" t="s">
        <v>27</v>
      </c>
      <c r="K2925" s="17">
        <v>0.0</v>
      </c>
      <c r="L2925" s="54"/>
      <c r="M2925" s="31"/>
      <c r="N2925" s="83"/>
      <c r="O2925" s="83"/>
      <c r="P2925" s="20">
        <v>0.0</v>
      </c>
      <c r="Q2925" s="31"/>
      <c r="R2925" s="31"/>
      <c r="S2925" s="53"/>
      <c r="T2925" s="32"/>
    </row>
    <row r="2926">
      <c r="A2926" s="33" t="s">
        <v>20513</v>
      </c>
      <c r="B2926" s="76" t="s">
        <v>3067</v>
      </c>
      <c r="C2926" s="41">
        <v>45519.0</v>
      </c>
      <c r="D2926" s="40" t="s">
        <v>20514</v>
      </c>
      <c r="E2926" s="41" t="s">
        <v>20515</v>
      </c>
      <c r="F2926" s="43" t="s">
        <v>20516</v>
      </c>
      <c r="G2926" s="43" t="s">
        <v>20517</v>
      </c>
      <c r="H2926" s="51" t="s">
        <v>661</v>
      </c>
      <c r="I2926" s="15" t="str">
        <f>IFERROR(__xludf.DUMMYFUNCTION("GOOGLETRANSLATE(H2926,""EN"",""ES"")"),"Estrategia empresarial")</f>
        <v>Estrategia empresarial</v>
      </c>
      <c r="J2926" s="16" t="s">
        <v>35</v>
      </c>
      <c r="K2926" s="48">
        <v>0.6</v>
      </c>
      <c r="L2926" s="51" t="s">
        <v>19645</v>
      </c>
      <c r="M2926" s="34" t="s">
        <v>20499</v>
      </c>
      <c r="N2926" s="86" t="s">
        <v>20518</v>
      </c>
      <c r="O2926" s="86" t="str">
        <f>IFERROR(__xludf.DUMMYFUNCTION("GOOGLETRANSLATE(N2926,""EN"",""ES"")"),"Positivo para los consumidores, pero neutral para Repsol ya que depende de los márgenes de beneficio.")</f>
        <v>Positivo para los consumidores, pero neutral para Repsol ya que depende de los márgenes de beneficio.</v>
      </c>
      <c r="P2926" s="30">
        <v>0.0</v>
      </c>
      <c r="Q2926" s="18"/>
      <c r="R2926" s="18"/>
      <c r="S2926" s="52" t="s">
        <v>20519</v>
      </c>
      <c r="T2926" s="22" t="s">
        <v>20520</v>
      </c>
    </row>
    <row r="2927">
      <c r="A2927" s="23" t="s">
        <v>20521</v>
      </c>
      <c r="B2927" s="77" t="s">
        <v>6835</v>
      </c>
      <c r="C2927" s="41">
        <v>45519.0</v>
      </c>
      <c r="D2927" s="40" t="s">
        <v>20522</v>
      </c>
      <c r="E2927" s="41" t="s">
        <v>20523</v>
      </c>
      <c r="F2927" s="43" t="s">
        <v>20524</v>
      </c>
      <c r="G2927" s="43" t="s">
        <v>20525</v>
      </c>
      <c r="H2927" s="51" t="s">
        <v>148</v>
      </c>
      <c r="I2927" s="25" t="str">
        <f>IFERROR(__xludf.DUMMYFUNCTION("GOOGLETRANSLATE(H2927,""EN"",""ES"")"),"Gastronomía")</f>
        <v>Gastronomía</v>
      </c>
      <c r="J2927" s="26" t="s">
        <v>27</v>
      </c>
      <c r="K2927" s="17">
        <v>0.0</v>
      </c>
      <c r="L2927" s="54"/>
      <c r="M2927" s="31"/>
      <c r="N2927" s="83"/>
      <c r="O2927" s="83"/>
      <c r="P2927" s="20">
        <v>0.0</v>
      </c>
      <c r="Q2927" s="31"/>
      <c r="R2927" s="31"/>
      <c r="S2927" s="53"/>
      <c r="T2927" s="32"/>
    </row>
    <row r="2928">
      <c r="A2928" s="33" t="s">
        <v>20526</v>
      </c>
      <c r="B2928" s="76" t="s">
        <v>7048</v>
      </c>
      <c r="C2928" s="41">
        <v>45519.0</v>
      </c>
      <c r="D2928" s="40" t="s">
        <v>20527</v>
      </c>
      <c r="E2928" s="41" t="s">
        <v>20528</v>
      </c>
      <c r="F2928" s="43" t="s">
        <v>20529</v>
      </c>
      <c r="G2928" s="43" t="s">
        <v>20530</v>
      </c>
      <c r="H2928" s="51" t="s">
        <v>148</v>
      </c>
      <c r="I2928" s="15" t="str">
        <f>IFERROR(__xludf.DUMMYFUNCTION("GOOGLETRANSLATE(H2928,""EN"",""ES"")"),"Gastronomía")</f>
        <v>Gastronomía</v>
      </c>
      <c r="J2928" s="16" t="s">
        <v>27</v>
      </c>
      <c r="K2928" s="17">
        <v>0.0</v>
      </c>
      <c r="L2928" s="45"/>
      <c r="M2928" s="18"/>
      <c r="N2928" s="86"/>
      <c r="O2928" s="86"/>
      <c r="P2928" s="20">
        <v>0.0</v>
      </c>
      <c r="Q2928" s="18"/>
      <c r="R2928" s="18"/>
      <c r="S2928" s="52"/>
      <c r="T2928" s="22"/>
    </row>
    <row r="2929">
      <c r="A2929" s="23" t="s">
        <v>20531</v>
      </c>
      <c r="B2929" s="77" t="s">
        <v>91</v>
      </c>
      <c r="C2929" s="41">
        <v>45519.0</v>
      </c>
      <c r="D2929" s="40" t="s">
        <v>20532</v>
      </c>
      <c r="E2929" s="41" t="s">
        <v>20533</v>
      </c>
      <c r="F2929" s="43" t="s">
        <v>20534</v>
      </c>
      <c r="G2929" s="43" t="s">
        <v>20535</v>
      </c>
      <c r="H2929" s="51" t="s">
        <v>395</v>
      </c>
      <c r="I2929" s="25" t="str">
        <f>IFERROR(__xludf.DUMMYFUNCTION("GOOGLETRANSLATE(H2929,""EN"",""ES"")"),"Ambiente")</f>
        <v>Ambiente</v>
      </c>
      <c r="J2929" s="26" t="s">
        <v>27</v>
      </c>
      <c r="K2929" s="17">
        <v>0.0</v>
      </c>
      <c r="L2929" s="54"/>
      <c r="M2929" s="31"/>
      <c r="N2929" s="83"/>
      <c r="O2929" s="83"/>
      <c r="P2929" s="20">
        <v>0.0</v>
      </c>
      <c r="Q2929" s="31"/>
      <c r="R2929" s="31"/>
      <c r="S2929" s="53"/>
      <c r="T2929" s="32"/>
    </row>
    <row r="2930">
      <c r="A2930" s="33" t="s">
        <v>20536</v>
      </c>
      <c r="B2930" s="76" t="s">
        <v>977</v>
      </c>
      <c r="C2930" s="41">
        <v>45519.0</v>
      </c>
      <c r="D2930" s="40" t="s">
        <v>20537</v>
      </c>
      <c r="E2930" s="41" t="s">
        <v>20538</v>
      </c>
      <c r="F2930" s="43" t="s">
        <v>20539</v>
      </c>
      <c r="G2930" s="43" t="s">
        <v>20540</v>
      </c>
      <c r="H2930" s="51" t="s">
        <v>408</v>
      </c>
      <c r="I2930" s="15" t="str">
        <f>IFERROR(__xludf.DUMMYFUNCTION("GOOGLETRANSLATE(H2930,""EN"",""ES"")"),"Legal")</f>
        <v>Legal</v>
      </c>
      <c r="J2930" s="16" t="s">
        <v>35</v>
      </c>
      <c r="K2930" s="48">
        <v>-0.7</v>
      </c>
      <c r="L2930" s="51" t="s">
        <v>20541</v>
      </c>
      <c r="M2930" s="34" t="s">
        <v>20542</v>
      </c>
      <c r="N2930" s="86" t="s">
        <v>20543</v>
      </c>
      <c r="O2930" s="86" t="str">
        <f>IFERROR(__xludf.DUMMYFUNCTION("GOOGLETRANSLATE(N2930,""EN"",""ES"")"),"Negativo ya que resalta los daños ambientales causados ​​por la industria petrolera.")</f>
        <v>Negativo ya que resalta los daños ambientales causados ​​por la industria petrolera.</v>
      </c>
      <c r="P2930" s="30">
        <v>0.0</v>
      </c>
      <c r="Q2930" s="18"/>
      <c r="R2930" s="18"/>
      <c r="S2930" s="52" t="s">
        <v>20544</v>
      </c>
      <c r="T2930" s="22" t="s">
        <v>20545</v>
      </c>
    </row>
    <row r="2931">
      <c r="A2931" s="23" t="s">
        <v>20546</v>
      </c>
      <c r="B2931" s="77" t="s">
        <v>20547</v>
      </c>
      <c r="C2931" s="41">
        <v>45519.0</v>
      </c>
      <c r="D2931" s="40" t="s">
        <v>20548</v>
      </c>
      <c r="E2931" s="41" t="s">
        <v>20549</v>
      </c>
      <c r="F2931" s="43" t="s">
        <v>20550</v>
      </c>
      <c r="G2931" s="43" t="s">
        <v>20551</v>
      </c>
      <c r="H2931" s="51" t="s">
        <v>661</v>
      </c>
      <c r="I2931" s="25" t="str">
        <f>IFERROR(__xludf.DUMMYFUNCTION("GOOGLETRANSLATE(H2931,""EN"",""ES"")"),"Estrategia empresarial")</f>
        <v>Estrategia empresarial</v>
      </c>
      <c r="J2931" s="26" t="s">
        <v>35</v>
      </c>
      <c r="K2931" s="48">
        <v>-0.6</v>
      </c>
      <c r="L2931" s="49" t="s">
        <v>19885</v>
      </c>
      <c r="M2931" s="28" t="s">
        <v>19886</v>
      </c>
      <c r="N2931" s="83" t="s">
        <v>20552</v>
      </c>
      <c r="O2931" s="83" t="str">
        <f>IFERROR(__xludf.DUMMYFUNCTION("GOOGLETRANSLATE(N2931,""EN"",""ES"")"),"Negativo ya que implica inestabilidad geopolítica, que puede afectar a las inversiones de Repsol en Venezuela.")</f>
        <v>Negativo ya que implica inestabilidad geopolítica, que puede afectar a las inversiones de Repsol en Venezuela.</v>
      </c>
      <c r="P2931" s="30">
        <v>0.0</v>
      </c>
      <c r="Q2931" s="31"/>
      <c r="R2931" s="31"/>
      <c r="S2931" s="53" t="s">
        <v>469</v>
      </c>
      <c r="T2931" s="32" t="s">
        <v>470</v>
      </c>
    </row>
    <row r="2932">
      <c r="A2932" s="33" t="s">
        <v>20553</v>
      </c>
      <c r="B2932" s="76" t="s">
        <v>21</v>
      </c>
      <c r="C2932" s="41">
        <v>45520.0</v>
      </c>
      <c r="D2932" s="40" t="s">
        <v>20554</v>
      </c>
      <c r="E2932" s="41" t="s">
        <v>20555</v>
      </c>
      <c r="F2932" s="43" t="s">
        <v>20556</v>
      </c>
      <c r="G2932" s="43" t="s">
        <v>20557</v>
      </c>
      <c r="H2932" s="51" t="s">
        <v>969</v>
      </c>
      <c r="I2932" s="15" t="str">
        <f>IFERROR(__xludf.DUMMYFUNCTION("GOOGLETRANSLATE(H2932,""EN"",""ES"")"),"Turismo")</f>
        <v>Turismo</v>
      </c>
      <c r="J2932" s="16" t="s">
        <v>27</v>
      </c>
      <c r="K2932" s="17">
        <v>0.0</v>
      </c>
      <c r="L2932" s="45"/>
      <c r="M2932" s="18"/>
      <c r="N2932" s="86"/>
      <c r="O2932" s="86"/>
      <c r="P2932" s="20">
        <v>0.0</v>
      </c>
      <c r="Q2932" s="18"/>
      <c r="R2932" s="18"/>
      <c r="S2932" s="52"/>
      <c r="T2932" s="22"/>
    </row>
    <row r="2933">
      <c r="A2933" s="23" t="s">
        <v>20558</v>
      </c>
      <c r="B2933" s="77" t="s">
        <v>85</v>
      </c>
      <c r="C2933" s="41">
        <v>45520.0</v>
      </c>
      <c r="D2933" s="40" t="s">
        <v>20559</v>
      </c>
      <c r="E2933" s="41" t="s">
        <v>20560</v>
      </c>
      <c r="F2933" s="43" t="s">
        <v>20561</v>
      </c>
      <c r="G2933" s="43" t="s">
        <v>20562</v>
      </c>
      <c r="H2933" s="51" t="s">
        <v>148</v>
      </c>
      <c r="I2933" s="25" t="str">
        <f>IFERROR(__xludf.DUMMYFUNCTION("GOOGLETRANSLATE(H2933,""EN"",""ES"")"),"Gastronomía")</f>
        <v>Gastronomía</v>
      </c>
      <c r="J2933" s="26" t="s">
        <v>27</v>
      </c>
      <c r="K2933" s="17">
        <v>0.0</v>
      </c>
      <c r="L2933" s="54"/>
      <c r="M2933" s="31"/>
      <c r="N2933" s="83"/>
      <c r="O2933" s="83"/>
      <c r="P2933" s="20">
        <v>0.0</v>
      </c>
      <c r="Q2933" s="31"/>
      <c r="R2933" s="31"/>
      <c r="S2933" s="53"/>
      <c r="T2933" s="32"/>
    </row>
    <row r="2934">
      <c r="A2934" s="33" t="s">
        <v>20563</v>
      </c>
      <c r="B2934" s="76" t="s">
        <v>163</v>
      </c>
      <c r="C2934" s="41">
        <v>45520.0</v>
      </c>
      <c r="D2934" s="40" t="s">
        <v>20564</v>
      </c>
      <c r="E2934" s="41" t="s">
        <v>20565</v>
      </c>
      <c r="F2934" s="43" t="s">
        <v>20566</v>
      </c>
      <c r="G2934" s="43" t="s">
        <v>20567</v>
      </c>
      <c r="H2934" s="51" t="s">
        <v>782</v>
      </c>
      <c r="I2934" s="15" t="str">
        <f>IFERROR(__xludf.DUMMYFUNCTION("GOOGLETRANSLATE(H2934,""EN"",""ES"")"),"Tecnología")</f>
        <v>Tecnología</v>
      </c>
      <c r="J2934" s="16" t="s">
        <v>27</v>
      </c>
      <c r="K2934" s="17">
        <v>0.0</v>
      </c>
      <c r="L2934" s="45"/>
      <c r="M2934" s="18"/>
      <c r="N2934" s="86"/>
      <c r="O2934" s="86"/>
      <c r="P2934" s="20">
        <v>0.0</v>
      </c>
      <c r="Q2934" s="18"/>
      <c r="R2934" s="18"/>
      <c r="S2934" s="52"/>
      <c r="T2934" s="22"/>
    </row>
    <row r="2935">
      <c r="A2935" s="23" t="s">
        <v>20568</v>
      </c>
      <c r="B2935" s="77" t="s">
        <v>1983</v>
      </c>
      <c r="C2935" s="41">
        <v>45520.0</v>
      </c>
      <c r="D2935" s="40" t="s">
        <v>20569</v>
      </c>
      <c r="E2935" s="41" t="s">
        <v>20570</v>
      </c>
      <c r="F2935" s="43" t="s">
        <v>20571</v>
      </c>
      <c r="G2935" s="43" t="s">
        <v>20572</v>
      </c>
      <c r="H2935" s="51" t="s">
        <v>48</v>
      </c>
      <c r="I2935" s="25" t="str">
        <f>IFERROR(__xludf.DUMMYFUNCTION("GOOGLETRANSLATE(H2935,""EN"",""ES"")"),"Finanzas")</f>
        <v>Finanzas</v>
      </c>
      <c r="J2935" s="26" t="s">
        <v>27</v>
      </c>
      <c r="K2935" s="17">
        <v>0.0</v>
      </c>
      <c r="L2935" s="54"/>
      <c r="M2935" s="31"/>
      <c r="N2935" s="83"/>
      <c r="O2935" s="83"/>
      <c r="P2935" s="20">
        <v>0.0</v>
      </c>
      <c r="Q2935" s="31"/>
      <c r="R2935" s="31"/>
      <c r="S2935" s="53"/>
      <c r="T2935" s="32"/>
    </row>
    <row r="2936">
      <c r="A2936" s="33" t="s">
        <v>20573</v>
      </c>
      <c r="B2936" s="76" t="s">
        <v>21</v>
      </c>
      <c r="C2936" s="41">
        <v>45520.0</v>
      </c>
      <c r="D2936" s="40" t="s">
        <v>20574</v>
      </c>
      <c r="E2936" s="41" t="s">
        <v>20575</v>
      </c>
      <c r="F2936" s="43" t="s">
        <v>20576</v>
      </c>
      <c r="G2936" s="43" t="s">
        <v>20577</v>
      </c>
      <c r="H2936" s="51" t="s">
        <v>969</v>
      </c>
      <c r="I2936" s="15" t="str">
        <f>IFERROR(__xludf.DUMMYFUNCTION("GOOGLETRANSLATE(H2936,""EN"",""ES"")"),"Turismo")</f>
        <v>Turismo</v>
      </c>
      <c r="J2936" s="16" t="s">
        <v>27</v>
      </c>
      <c r="K2936" s="17">
        <v>0.0</v>
      </c>
      <c r="L2936" s="45"/>
      <c r="M2936" s="18"/>
      <c r="N2936" s="86"/>
      <c r="O2936" s="86"/>
      <c r="P2936" s="20">
        <v>0.0</v>
      </c>
      <c r="Q2936" s="18"/>
      <c r="R2936" s="18"/>
      <c r="S2936" s="52"/>
      <c r="T2936" s="22"/>
    </row>
    <row r="2937">
      <c r="A2937" s="23" t="s">
        <v>20578</v>
      </c>
      <c r="B2937" s="77" t="s">
        <v>16864</v>
      </c>
      <c r="C2937" s="41">
        <v>45520.0</v>
      </c>
      <c r="D2937" s="40" t="s">
        <v>20579</v>
      </c>
      <c r="E2937" s="41" t="s">
        <v>20580</v>
      </c>
      <c r="F2937" s="43" t="s">
        <v>20581</v>
      </c>
      <c r="G2937" s="43" t="s">
        <v>20582</v>
      </c>
      <c r="H2937" s="51" t="s">
        <v>661</v>
      </c>
      <c r="I2937" s="25" t="str">
        <f>IFERROR(__xludf.DUMMYFUNCTION("GOOGLETRANSLATE(H2937,""EN"",""ES"")"),"Estrategia empresarial")</f>
        <v>Estrategia empresarial</v>
      </c>
      <c r="J2937" s="26" t="s">
        <v>35</v>
      </c>
      <c r="K2937" s="48">
        <v>0.6</v>
      </c>
      <c r="L2937" s="49" t="s">
        <v>20237</v>
      </c>
      <c r="M2937" s="28" t="s">
        <v>20238</v>
      </c>
      <c r="N2937" s="83" t="s">
        <v>20583</v>
      </c>
      <c r="O2937" s="83" t="str">
        <f>IFERROR(__xludf.DUMMYFUNCTION("GOOGLETRANSLATE(N2937,""EN"",""ES"")"),"Positivo ya que indica actividad del mercado en el sector energético.")</f>
        <v>Positivo ya que indica actividad del mercado en el sector energético.</v>
      </c>
      <c r="P2937" s="30">
        <v>0.0</v>
      </c>
      <c r="Q2937" s="31"/>
      <c r="R2937" s="31"/>
      <c r="S2937" s="53" t="s">
        <v>12630</v>
      </c>
      <c r="T2937" s="32" t="s">
        <v>12631</v>
      </c>
    </row>
    <row r="2938">
      <c r="A2938" s="33" t="s">
        <v>20584</v>
      </c>
      <c r="B2938" s="76" t="s">
        <v>217</v>
      </c>
      <c r="C2938" s="57">
        <v>45520.0</v>
      </c>
      <c r="D2938" s="40" t="s">
        <v>20585</v>
      </c>
      <c r="E2938" s="41" t="s">
        <v>20586</v>
      </c>
      <c r="F2938" s="43" t="s">
        <v>20587</v>
      </c>
      <c r="G2938" s="43" t="s">
        <v>20588</v>
      </c>
      <c r="H2938" s="51" t="s">
        <v>5747</v>
      </c>
      <c r="I2938" s="15" t="str">
        <f>IFERROR(__xludf.DUMMYFUNCTION("GOOGLETRANSLATE(H2938,""EN"",""ES"")"),"Mercado energético")</f>
        <v>Mercado energético</v>
      </c>
      <c r="J2938" s="16" t="s">
        <v>27</v>
      </c>
      <c r="K2938" s="17">
        <v>0.0</v>
      </c>
      <c r="L2938" s="45"/>
      <c r="M2938" s="18"/>
      <c r="N2938" s="86"/>
      <c r="O2938" s="86"/>
      <c r="P2938" s="20">
        <v>0.0</v>
      </c>
      <c r="Q2938" s="18"/>
      <c r="R2938" s="18"/>
      <c r="S2938" s="52"/>
      <c r="T2938" s="22"/>
    </row>
    <row r="2939">
      <c r="A2939" s="23" t="s">
        <v>20589</v>
      </c>
      <c r="B2939" s="77" t="s">
        <v>3511</v>
      </c>
      <c r="C2939" s="41">
        <v>45520.0</v>
      </c>
      <c r="D2939" s="40" t="s">
        <v>20590</v>
      </c>
      <c r="E2939" s="41" t="s">
        <v>20591</v>
      </c>
      <c r="F2939" s="43" t="s">
        <v>20592</v>
      </c>
      <c r="G2939" s="43" t="s">
        <v>20593</v>
      </c>
      <c r="H2939" s="51" t="s">
        <v>148</v>
      </c>
      <c r="I2939" s="25" t="str">
        <f>IFERROR(__xludf.DUMMYFUNCTION("GOOGLETRANSLATE(H2939,""EN"",""ES"")"),"Gastronomía")</f>
        <v>Gastronomía</v>
      </c>
      <c r="J2939" s="26" t="s">
        <v>27</v>
      </c>
      <c r="K2939" s="17">
        <v>0.0</v>
      </c>
      <c r="L2939" s="54"/>
      <c r="M2939" s="31"/>
      <c r="N2939" s="83"/>
      <c r="O2939" s="83"/>
      <c r="P2939" s="20">
        <v>0.0</v>
      </c>
      <c r="Q2939" s="31"/>
      <c r="R2939" s="31"/>
      <c r="S2939" s="53"/>
      <c r="T2939" s="32"/>
    </row>
    <row r="2940">
      <c r="A2940" s="33" t="s">
        <v>20594</v>
      </c>
      <c r="B2940" s="76" t="s">
        <v>20595</v>
      </c>
      <c r="C2940" s="41">
        <v>45520.0</v>
      </c>
      <c r="D2940" s="40" t="s">
        <v>20596</v>
      </c>
      <c r="E2940" s="41" t="s">
        <v>20597</v>
      </c>
      <c r="F2940" s="43" t="s">
        <v>20598</v>
      </c>
      <c r="G2940" s="43" t="s">
        <v>20599</v>
      </c>
      <c r="H2940" s="51" t="s">
        <v>5878</v>
      </c>
      <c r="I2940" s="15" t="str">
        <f>IFERROR(__xludf.DUMMYFUNCTION("GOOGLETRANSLATE(H2940,""EN"",""ES"")"),"Entretenimiento")</f>
        <v>Entretenimiento</v>
      </c>
      <c r="J2940" s="16" t="s">
        <v>27</v>
      </c>
      <c r="K2940" s="17">
        <v>0.0</v>
      </c>
      <c r="L2940" s="45"/>
      <c r="M2940" s="18"/>
      <c r="N2940" s="86"/>
      <c r="O2940" s="86"/>
      <c r="P2940" s="20">
        <v>0.0</v>
      </c>
      <c r="Q2940" s="18"/>
      <c r="R2940" s="18"/>
      <c r="S2940" s="52"/>
      <c r="T2940" s="22"/>
    </row>
    <row r="2941">
      <c r="A2941" s="23" t="s">
        <v>20600</v>
      </c>
      <c r="B2941" s="77" t="s">
        <v>14079</v>
      </c>
      <c r="C2941" s="41">
        <v>45520.0</v>
      </c>
      <c r="D2941" s="40" t="s">
        <v>20601</v>
      </c>
      <c r="E2941" s="41" t="s">
        <v>20602</v>
      </c>
      <c r="F2941" s="43" t="s">
        <v>20603</v>
      </c>
      <c r="G2941" s="43" t="s">
        <v>20604</v>
      </c>
      <c r="H2941" s="51" t="s">
        <v>19335</v>
      </c>
      <c r="I2941" s="25" t="str">
        <f>IFERROR(__xludf.DUMMYFUNCTION("GOOGLETRANSLATE(H2941,""EN"",""ES"")"),"Noticias generales")</f>
        <v>Noticias generales</v>
      </c>
      <c r="J2941" s="26" t="s">
        <v>35</v>
      </c>
      <c r="K2941" s="48">
        <v>0.0</v>
      </c>
      <c r="L2941" s="54"/>
      <c r="M2941" s="31"/>
      <c r="N2941" s="83" t="s">
        <v>20605</v>
      </c>
      <c r="O2941" s="83" t="str">
        <f>IFERROR(__xludf.DUMMYFUNCTION("GOOGLETRANSLATE(N2941,""EN"",""ES"")"),"Neutral ya que informa de un accidente pero no implica negligencia.")</f>
        <v>Neutral ya que informa de un accidente pero no implica negligencia.</v>
      </c>
      <c r="P2941" s="30">
        <v>-0.9</v>
      </c>
      <c r="Q2941" s="31" t="str">
        <f>IFERROR(__xludf.DUMMYFUNCTION("GOOGLETRANSLATE(R2941,""ES"",""EN"")"),"dies electrocuted")</f>
        <v>dies electrocuted</v>
      </c>
      <c r="R2941" s="28" t="s">
        <v>20606</v>
      </c>
      <c r="S2941" s="53" t="s">
        <v>20607</v>
      </c>
      <c r="T2941" s="32" t="s">
        <v>20608</v>
      </c>
    </row>
    <row r="2942">
      <c r="A2942" s="33" t="s">
        <v>20609</v>
      </c>
      <c r="B2942" s="76" t="s">
        <v>977</v>
      </c>
      <c r="C2942" s="41">
        <v>45521.0</v>
      </c>
      <c r="D2942" s="40" t="s">
        <v>20610</v>
      </c>
      <c r="E2942" s="41" t="s">
        <v>20611</v>
      </c>
      <c r="F2942" s="43" t="s">
        <v>20612</v>
      </c>
      <c r="G2942" s="43" t="s">
        <v>20613</v>
      </c>
      <c r="H2942" s="51" t="s">
        <v>661</v>
      </c>
      <c r="I2942" s="15" t="str">
        <f>IFERROR(__xludf.DUMMYFUNCTION("GOOGLETRANSLATE(H2942,""EN"",""ES"")"),"Estrategia empresarial")</f>
        <v>Estrategia empresarial</v>
      </c>
      <c r="J2942" s="16" t="s">
        <v>35</v>
      </c>
      <c r="K2942" s="48">
        <v>0.6</v>
      </c>
      <c r="L2942" s="51" t="s">
        <v>20614</v>
      </c>
      <c r="M2942" s="34" t="s">
        <v>20615</v>
      </c>
      <c r="N2942" s="86" t="s">
        <v>20616</v>
      </c>
      <c r="O2942" s="86" t="str">
        <f>IFERROR(__xludf.DUMMYFUNCTION("GOOGLETRANSLATE(N2942,""EN"",""ES"")"),"Positivo porque pone en valor los beneficios para los empleados de Repsol.")</f>
        <v>Positivo porque pone en valor los beneficios para los empleados de Repsol.</v>
      </c>
      <c r="P2942" s="30">
        <v>0.0</v>
      </c>
      <c r="Q2942" s="18"/>
      <c r="R2942" s="18"/>
      <c r="S2942" s="52" t="s">
        <v>20617</v>
      </c>
      <c r="T2942" s="22" t="s">
        <v>20618</v>
      </c>
    </row>
    <row r="2943">
      <c r="A2943" s="23" t="s">
        <v>20619</v>
      </c>
      <c r="B2943" s="77" t="s">
        <v>103</v>
      </c>
      <c r="C2943" s="41">
        <v>45521.0</v>
      </c>
      <c r="D2943" s="40" t="s">
        <v>20620</v>
      </c>
      <c r="E2943" s="41" t="s">
        <v>20621</v>
      </c>
      <c r="F2943" s="43" t="s">
        <v>20622</v>
      </c>
      <c r="G2943" s="43" t="s">
        <v>20623</v>
      </c>
      <c r="H2943" s="51" t="s">
        <v>20624</v>
      </c>
      <c r="I2943" s="25" t="str">
        <f>IFERROR(__xludf.DUMMYFUNCTION("GOOGLETRANSLATE(H2943,""EN"",""ES"")"),"Opinión")</f>
        <v>Opinión</v>
      </c>
      <c r="J2943" s="26" t="s">
        <v>27</v>
      </c>
      <c r="K2943" s="17">
        <v>0.0</v>
      </c>
      <c r="L2943" s="54"/>
      <c r="M2943" s="31"/>
      <c r="N2943" s="83"/>
      <c r="O2943" s="83"/>
      <c r="P2943" s="20">
        <v>0.0</v>
      </c>
      <c r="Q2943" s="31"/>
      <c r="R2943" s="31"/>
      <c r="S2943" s="53"/>
      <c r="T2943" s="32"/>
    </row>
    <row r="2944">
      <c r="A2944" s="33" t="s">
        <v>20625</v>
      </c>
      <c r="B2944" s="76" t="s">
        <v>91</v>
      </c>
      <c r="C2944" s="41">
        <v>45521.0</v>
      </c>
      <c r="D2944" s="40" t="s">
        <v>20626</v>
      </c>
      <c r="E2944" s="41" t="s">
        <v>20627</v>
      </c>
      <c r="F2944" s="43" t="s">
        <v>20628</v>
      </c>
      <c r="G2944" s="43" t="s">
        <v>20629</v>
      </c>
      <c r="H2944" s="51" t="s">
        <v>148</v>
      </c>
      <c r="I2944" s="15" t="str">
        <f>IFERROR(__xludf.DUMMYFUNCTION("GOOGLETRANSLATE(H2944,""EN"",""ES"")"),"Gastronomía")</f>
        <v>Gastronomía</v>
      </c>
      <c r="J2944" s="16" t="s">
        <v>27</v>
      </c>
      <c r="K2944" s="17">
        <v>0.0</v>
      </c>
      <c r="L2944" s="45"/>
      <c r="M2944" s="18"/>
      <c r="N2944" s="86"/>
      <c r="O2944" s="86"/>
      <c r="P2944" s="20">
        <v>0.0</v>
      </c>
      <c r="Q2944" s="18"/>
      <c r="R2944" s="18"/>
      <c r="S2944" s="52"/>
      <c r="T2944" s="22"/>
    </row>
    <row r="2945">
      <c r="A2945" s="23" t="s">
        <v>20630</v>
      </c>
      <c r="B2945" s="77" t="s">
        <v>85</v>
      </c>
      <c r="C2945" s="41">
        <v>45521.0</v>
      </c>
      <c r="D2945" s="40" t="s">
        <v>20631</v>
      </c>
      <c r="E2945" s="41" t="s">
        <v>20632</v>
      </c>
      <c r="F2945" s="43" t="s">
        <v>20633</v>
      </c>
      <c r="G2945" s="43" t="s">
        <v>20634</v>
      </c>
      <c r="H2945" s="51" t="s">
        <v>148</v>
      </c>
      <c r="I2945" s="25" t="str">
        <f>IFERROR(__xludf.DUMMYFUNCTION("GOOGLETRANSLATE(H2945,""EN"",""ES"")"),"Gastronomía")</f>
        <v>Gastronomía</v>
      </c>
      <c r="J2945" s="26" t="s">
        <v>27</v>
      </c>
      <c r="K2945" s="17">
        <v>0.0</v>
      </c>
      <c r="L2945" s="54"/>
      <c r="M2945" s="31"/>
      <c r="N2945" s="83"/>
      <c r="O2945" s="83"/>
      <c r="P2945" s="20">
        <v>0.0</v>
      </c>
      <c r="Q2945" s="31"/>
      <c r="R2945" s="31"/>
      <c r="S2945" s="53"/>
      <c r="T2945" s="32"/>
    </row>
    <row r="2946">
      <c r="A2946" s="33" t="s">
        <v>20635</v>
      </c>
      <c r="B2946" s="76" t="s">
        <v>9684</v>
      </c>
      <c r="C2946" s="41">
        <v>45521.0</v>
      </c>
      <c r="D2946" s="40" t="s">
        <v>20636</v>
      </c>
      <c r="E2946" s="41" t="s">
        <v>20637</v>
      </c>
      <c r="F2946" s="43" t="s">
        <v>20638</v>
      </c>
      <c r="G2946" s="43" t="s">
        <v>20639</v>
      </c>
      <c r="H2946" s="51" t="s">
        <v>2591</v>
      </c>
      <c r="I2946" s="15" t="str">
        <f>IFERROR(__xludf.DUMMYFUNCTION("GOOGLETRANSLATE(H2946,""EN"",""ES"")"),"Negocio")</f>
        <v>Negocio</v>
      </c>
      <c r="J2946" s="16" t="s">
        <v>27</v>
      </c>
      <c r="K2946" s="17">
        <v>0.0</v>
      </c>
      <c r="L2946" s="45"/>
      <c r="M2946" s="18"/>
      <c r="N2946" s="86"/>
      <c r="O2946" s="86"/>
      <c r="P2946" s="20">
        <v>0.0</v>
      </c>
      <c r="Q2946" s="18"/>
      <c r="R2946" s="18"/>
      <c r="S2946" s="52"/>
      <c r="T2946" s="22"/>
    </row>
    <row r="2947">
      <c r="A2947" s="23" t="s">
        <v>20640</v>
      </c>
      <c r="B2947" s="77" t="s">
        <v>85</v>
      </c>
      <c r="C2947" s="41">
        <v>45521.0</v>
      </c>
      <c r="D2947" s="40" t="s">
        <v>20641</v>
      </c>
      <c r="E2947" s="41" t="s">
        <v>20642</v>
      </c>
      <c r="F2947" s="43" t="s">
        <v>20643</v>
      </c>
      <c r="G2947" s="43" t="s">
        <v>20644</v>
      </c>
      <c r="H2947" s="51" t="s">
        <v>148</v>
      </c>
      <c r="I2947" s="25" t="str">
        <f>IFERROR(__xludf.DUMMYFUNCTION("GOOGLETRANSLATE(H2947,""EN"",""ES"")"),"Gastronomía")</f>
        <v>Gastronomía</v>
      </c>
      <c r="J2947" s="26" t="s">
        <v>27</v>
      </c>
      <c r="K2947" s="17">
        <v>0.0</v>
      </c>
      <c r="L2947" s="54"/>
      <c r="M2947" s="31"/>
      <c r="N2947" s="83"/>
      <c r="O2947" s="83"/>
      <c r="P2947" s="20">
        <v>0.0</v>
      </c>
      <c r="Q2947" s="31"/>
      <c r="R2947" s="31"/>
      <c r="S2947" s="53"/>
      <c r="T2947" s="32"/>
    </row>
    <row r="2948">
      <c r="A2948" s="33" t="s">
        <v>20645</v>
      </c>
      <c r="B2948" s="76" t="s">
        <v>4984</v>
      </c>
      <c r="C2948" s="41">
        <v>45522.0</v>
      </c>
      <c r="D2948" s="40" t="s">
        <v>20646</v>
      </c>
      <c r="E2948" s="41" t="s">
        <v>20647</v>
      </c>
      <c r="F2948" s="43" t="s">
        <v>20648</v>
      </c>
      <c r="G2948" s="43" t="s">
        <v>20649</v>
      </c>
      <c r="H2948" s="51" t="s">
        <v>661</v>
      </c>
      <c r="I2948" s="15" t="str">
        <f>IFERROR(__xludf.DUMMYFUNCTION("GOOGLETRANSLATE(H2948,""EN"",""ES"")"),"Estrategia empresarial")</f>
        <v>Estrategia empresarial</v>
      </c>
      <c r="J2948" s="16" t="s">
        <v>35</v>
      </c>
      <c r="K2948" s="48">
        <v>0.6</v>
      </c>
      <c r="L2948" s="51" t="s">
        <v>20650</v>
      </c>
      <c r="M2948" s="34" t="s">
        <v>20651</v>
      </c>
      <c r="N2948" s="86" t="s">
        <v>20652</v>
      </c>
      <c r="O2948" s="86" t="str">
        <f>IFERROR(__xludf.DUMMYFUNCTION("GOOGLETRANSLATE(N2948,""EN"",""ES"")"),"Positivo porque pone de relieve la expansión logística de Repsol.")</f>
        <v>Positivo porque pone de relieve la expansión logística de Repsol.</v>
      </c>
      <c r="P2948" s="30">
        <v>0.0</v>
      </c>
      <c r="Q2948" s="18"/>
      <c r="R2948" s="18"/>
      <c r="S2948" s="52" t="s">
        <v>10136</v>
      </c>
      <c r="T2948" s="22" t="s">
        <v>10137</v>
      </c>
    </row>
    <row r="2949">
      <c r="A2949" s="23" t="s">
        <v>20653</v>
      </c>
      <c r="B2949" s="77" t="s">
        <v>4393</v>
      </c>
      <c r="C2949" s="41">
        <v>45522.0</v>
      </c>
      <c r="D2949" s="40" t="s">
        <v>20654</v>
      </c>
      <c r="E2949" s="41" t="s">
        <v>20655</v>
      </c>
      <c r="F2949" s="43" t="s">
        <v>20656</v>
      </c>
      <c r="G2949" s="43" t="s">
        <v>20657</v>
      </c>
      <c r="H2949" s="51" t="s">
        <v>661</v>
      </c>
      <c r="I2949" s="25" t="str">
        <f>IFERROR(__xludf.DUMMYFUNCTION("GOOGLETRANSLATE(H2949,""EN"",""ES"")"),"Estrategia empresarial")</f>
        <v>Estrategia empresarial</v>
      </c>
      <c r="J2949" s="26" t="s">
        <v>35</v>
      </c>
      <c r="K2949" s="48">
        <v>0.6</v>
      </c>
      <c r="L2949" s="49" t="s">
        <v>19185</v>
      </c>
      <c r="M2949" s="28" t="s">
        <v>19186</v>
      </c>
      <c r="N2949" s="83" t="s">
        <v>20658</v>
      </c>
      <c r="O2949" s="83" t="str">
        <f>IFERROR(__xludf.DUMMYFUNCTION("GOOGLETRANSLATE(N2949,""EN"",""ES"")"),"Positivo ya que destaca el aumento del comercio de petróleo a pesar de las sanciones, beneficiando a Repsol.")</f>
        <v>Positivo ya que destaca el aumento del comercio de petróleo a pesar de las sanciones, beneficiando a Repsol.</v>
      </c>
      <c r="P2949" s="30">
        <v>0.0</v>
      </c>
      <c r="Q2949" s="31"/>
      <c r="R2949" s="31"/>
      <c r="S2949" s="53" t="s">
        <v>20659</v>
      </c>
      <c r="T2949" s="32" t="s">
        <v>20660</v>
      </c>
    </row>
    <row r="2950">
      <c r="A2950" s="33" t="s">
        <v>20661</v>
      </c>
      <c r="B2950" s="76" t="s">
        <v>3151</v>
      </c>
      <c r="C2950" s="41">
        <v>45522.0</v>
      </c>
      <c r="D2950" s="40" t="s">
        <v>20662</v>
      </c>
      <c r="E2950" s="41" t="s">
        <v>20663</v>
      </c>
      <c r="F2950" s="43" t="s">
        <v>20664</v>
      </c>
      <c r="G2950" s="43" t="s">
        <v>20665</v>
      </c>
      <c r="H2950" s="61" t="s">
        <v>5747</v>
      </c>
      <c r="I2950" s="15" t="str">
        <f>IFERROR(__xludf.DUMMYFUNCTION("GOOGLETRANSLATE(H2950,""EN"",""ES"")"),"Mercado energético")</f>
        <v>Mercado energético</v>
      </c>
      <c r="J2950" s="16" t="s">
        <v>27</v>
      </c>
      <c r="K2950" s="17">
        <v>0.0</v>
      </c>
      <c r="L2950" s="45"/>
      <c r="M2950" s="18"/>
      <c r="N2950" s="86"/>
      <c r="O2950" s="86"/>
      <c r="P2950" s="20">
        <v>0.0</v>
      </c>
      <c r="Q2950" s="18"/>
      <c r="R2950" s="18"/>
      <c r="S2950" s="52"/>
      <c r="T2950" s="22"/>
    </row>
    <row r="2951">
      <c r="A2951" s="23" t="s">
        <v>20666</v>
      </c>
      <c r="B2951" s="77" t="s">
        <v>43</v>
      </c>
      <c r="C2951" s="41">
        <v>45522.0</v>
      </c>
      <c r="D2951" s="40" t="s">
        <v>20667</v>
      </c>
      <c r="E2951" s="41" t="s">
        <v>20668</v>
      </c>
      <c r="F2951" s="43" t="s">
        <v>20669</v>
      </c>
      <c r="G2951" s="43" t="s">
        <v>20670</v>
      </c>
      <c r="H2951" s="59" t="s">
        <v>148</v>
      </c>
      <c r="I2951" s="25" t="str">
        <f>IFERROR(__xludf.DUMMYFUNCTION("GOOGLETRANSLATE(H2951,""EN"",""ES"")"),"Gastronomía")</f>
        <v>Gastronomía</v>
      </c>
      <c r="J2951" s="26" t="s">
        <v>27</v>
      </c>
      <c r="K2951" s="17">
        <v>0.0</v>
      </c>
      <c r="L2951" s="54"/>
      <c r="M2951" s="31"/>
      <c r="N2951" s="83"/>
      <c r="O2951" s="83"/>
      <c r="P2951" s="20">
        <v>0.0</v>
      </c>
      <c r="Q2951" s="31"/>
      <c r="R2951" s="31"/>
      <c r="S2951" s="53"/>
      <c r="T2951" s="32"/>
    </row>
    <row r="2952">
      <c r="A2952" s="33" t="s">
        <v>20671</v>
      </c>
      <c r="B2952" s="76" t="s">
        <v>1970</v>
      </c>
      <c r="C2952" s="41">
        <v>45522.0</v>
      </c>
      <c r="D2952" s="40" t="s">
        <v>20672</v>
      </c>
      <c r="E2952" s="41" t="s">
        <v>20673</v>
      </c>
      <c r="F2952" s="43" t="s">
        <v>20674</v>
      </c>
      <c r="G2952" s="43" t="s">
        <v>20675</v>
      </c>
      <c r="H2952" s="61" t="s">
        <v>148</v>
      </c>
      <c r="I2952" s="15" t="str">
        <f>IFERROR(__xludf.DUMMYFUNCTION("GOOGLETRANSLATE(H2952,""EN"",""ES"")"),"Gastronomía")</f>
        <v>Gastronomía</v>
      </c>
      <c r="J2952" s="16" t="s">
        <v>27</v>
      </c>
      <c r="K2952" s="17">
        <v>0.0</v>
      </c>
      <c r="L2952" s="45"/>
      <c r="M2952" s="18"/>
      <c r="N2952" s="86"/>
      <c r="O2952" s="86"/>
      <c r="P2952" s="20">
        <v>0.0</v>
      </c>
      <c r="Q2952" s="18"/>
      <c r="R2952" s="18"/>
      <c r="S2952" s="52"/>
      <c r="T2952" s="22"/>
    </row>
    <row r="2953">
      <c r="A2953" s="23" t="s">
        <v>20676</v>
      </c>
      <c r="B2953" s="77" t="s">
        <v>20677</v>
      </c>
      <c r="C2953" s="41">
        <v>45522.0</v>
      </c>
      <c r="D2953" s="40" t="s">
        <v>20678</v>
      </c>
      <c r="E2953" s="41" t="s">
        <v>20679</v>
      </c>
      <c r="F2953" s="43" t="s">
        <v>20680</v>
      </c>
      <c r="G2953" s="43" t="s">
        <v>20681</v>
      </c>
      <c r="H2953" s="59" t="s">
        <v>975</v>
      </c>
      <c r="I2953" s="25" t="str">
        <f>IFERROR(__xludf.DUMMYFUNCTION("GOOGLETRANSLATE(H2953,""EN"",""ES"")"),"Patrocinio")</f>
        <v>Patrocinio</v>
      </c>
      <c r="J2953" s="26" t="s">
        <v>27</v>
      </c>
      <c r="K2953" s="17">
        <v>0.0</v>
      </c>
      <c r="L2953" s="54"/>
      <c r="M2953" s="31"/>
      <c r="N2953" s="83"/>
      <c r="O2953" s="83"/>
      <c r="P2953" s="20">
        <v>0.0</v>
      </c>
      <c r="Q2953" s="31"/>
      <c r="R2953" s="31"/>
      <c r="S2953" s="53"/>
      <c r="T2953" s="32"/>
    </row>
    <row r="2954">
      <c r="A2954" s="33" t="s">
        <v>20682</v>
      </c>
      <c r="B2954" s="76" t="s">
        <v>2696</v>
      </c>
      <c r="C2954" s="41">
        <v>45522.0</v>
      </c>
      <c r="D2954" s="40" t="s">
        <v>20683</v>
      </c>
      <c r="E2954" s="41" t="s">
        <v>20684</v>
      </c>
      <c r="F2954" s="43" t="s">
        <v>20685</v>
      </c>
      <c r="G2954" s="43" t="s">
        <v>20686</v>
      </c>
      <c r="H2954" s="61" t="s">
        <v>48</v>
      </c>
      <c r="I2954" s="15" t="str">
        <f>IFERROR(__xludf.DUMMYFUNCTION("GOOGLETRANSLATE(H2954,""EN"",""ES"")"),"Finanzas")</f>
        <v>Finanzas</v>
      </c>
      <c r="J2954" s="16" t="s">
        <v>27</v>
      </c>
      <c r="K2954" s="17">
        <v>0.0</v>
      </c>
      <c r="L2954" s="45"/>
      <c r="M2954" s="18"/>
      <c r="N2954" s="86"/>
      <c r="O2954" s="86"/>
      <c r="P2954" s="20">
        <v>0.0</v>
      </c>
      <c r="Q2954" s="18"/>
      <c r="R2954" s="18"/>
      <c r="S2954" s="52"/>
      <c r="T2954" s="22"/>
    </row>
    <row r="2955">
      <c r="A2955" s="23" t="s">
        <v>20687</v>
      </c>
      <c r="B2955" s="77" t="s">
        <v>192</v>
      </c>
      <c r="C2955" s="41">
        <v>45522.0</v>
      </c>
      <c r="D2955" s="40" t="s">
        <v>20688</v>
      </c>
      <c r="E2955" s="41" t="s">
        <v>20689</v>
      </c>
      <c r="F2955" s="43" t="s">
        <v>20690</v>
      </c>
      <c r="G2955" s="43" t="s">
        <v>20691</v>
      </c>
      <c r="H2955" s="59" t="s">
        <v>55</v>
      </c>
      <c r="I2955" s="25" t="str">
        <f>IFERROR(__xludf.DUMMYFUNCTION("GOOGLETRANSLATE(H2955,""EN"",""ES"")"),"deportes de motor")</f>
        <v>deportes de motor</v>
      </c>
      <c r="J2955" s="26" t="s">
        <v>27</v>
      </c>
      <c r="K2955" s="17">
        <v>0.0</v>
      </c>
      <c r="L2955" s="54"/>
      <c r="M2955" s="31"/>
      <c r="N2955" s="83"/>
      <c r="O2955" s="83"/>
      <c r="P2955" s="20">
        <v>0.0</v>
      </c>
      <c r="Q2955" s="31"/>
      <c r="R2955" s="31"/>
      <c r="S2955" s="53"/>
      <c r="T2955" s="32"/>
    </row>
    <row r="2956">
      <c r="A2956" s="33" t="s">
        <v>20692</v>
      </c>
      <c r="B2956" s="76" t="s">
        <v>977</v>
      </c>
      <c r="C2956" s="41">
        <v>45523.0</v>
      </c>
      <c r="D2956" s="40" t="s">
        <v>20693</v>
      </c>
      <c r="E2956" s="41" t="s">
        <v>20694</v>
      </c>
      <c r="F2956" s="43" t="s">
        <v>20695</v>
      </c>
      <c r="G2956" s="43" t="s">
        <v>20696</v>
      </c>
      <c r="H2956" s="61" t="s">
        <v>148</v>
      </c>
      <c r="I2956" s="15" t="str">
        <f>IFERROR(__xludf.DUMMYFUNCTION("GOOGLETRANSLATE(H2956,""EN"",""ES"")"),"Gastronomía")</f>
        <v>Gastronomía</v>
      </c>
      <c r="J2956" s="16" t="s">
        <v>27</v>
      </c>
      <c r="K2956" s="17">
        <v>0.0</v>
      </c>
      <c r="L2956" s="45"/>
      <c r="M2956" s="18"/>
      <c r="N2956" s="86"/>
      <c r="O2956" s="86"/>
      <c r="P2956" s="20">
        <v>0.0</v>
      </c>
      <c r="Q2956" s="18"/>
      <c r="R2956" s="18"/>
      <c r="S2956" s="52"/>
      <c r="T2956" s="22"/>
    </row>
    <row r="2957">
      <c r="A2957" s="23" t="s">
        <v>20697</v>
      </c>
      <c r="B2957" s="77" t="s">
        <v>21</v>
      </c>
      <c r="C2957" s="41">
        <v>45523.0</v>
      </c>
      <c r="D2957" s="40" t="s">
        <v>20698</v>
      </c>
      <c r="E2957" s="41" t="s">
        <v>20699</v>
      </c>
      <c r="F2957" s="43" t="s">
        <v>20700</v>
      </c>
      <c r="G2957" s="43" t="s">
        <v>20701</v>
      </c>
      <c r="H2957" s="59" t="s">
        <v>148</v>
      </c>
      <c r="I2957" s="25" t="str">
        <f>IFERROR(__xludf.DUMMYFUNCTION("GOOGLETRANSLATE(H2957,""EN"",""ES"")"),"Gastronomía")</f>
        <v>Gastronomía</v>
      </c>
      <c r="J2957" s="26" t="s">
        <v>27</v>
      </c>
      <c r="K2957" s="17">
        <v>0.0</v>
      </c>
      <c r="L2957" s="54"/>
      <c r="M2957" s="31"/>
      <c r="N2957" s="83"/>
      <c r="O2957" s="83"/>
      <c r="P2957" s="20">
        <v>0.0</v>
      </c>
      <c r="Q2957" s="31"/>
      <c r="R2957" s="31"/>
      <c r="S2957" s="53"/>
      <c r="T2957" s="32"/>
    </row>
    <row r="2958">
      <c r="A2958" s="33" t="s">
        <v>20702</v>
      </c>
      <c r="B2958" s="76" t="s">
        <v>403</v>
      </c>
      <c r="C2958" s="41">
        <v>45523.0</v>
      </c>
      <c r="D2958" s="40" t="s">
        <v>20703</v>
      </c>
      <c r="E2958" s="41" t="s">
        <v>20704</v>
      </c>
      <c r="F2958" s="43" t="s">
        <v>20705</v>
      </c>
      <c r="G2958" s="43" t="s">
        <v>20706</v>
      </c>
      <c r="H2958" s="61" t="s">
        <v>661</v>
      </c>
      <c r="I2958" s="15" t="str">
        <f>IFERROR(__xludf.DUMMYFUNCTION("GOOGLETRANSLATE(H2958,""EN"",""ES"")"),"Estrategia empresarial")</f>
        <v>Estrategia empresarial</v>
      </c>
      <c r="J2958" s="16" t="s">
        <v>35</v>
      </c>
      <c r="K2958" s="48">
        <v>-0.6</v>
      </c>
      <c r="L2958" s="51" t="s">
        <v>20374</v>
      </c>
      <c r="M2958" s="34" t="s">
        <v>20375</v>
      </c>
      <c r="N2958" s="86" t="s">
        <v>20707</v>
      </c>
      <c r="O2958" s="86" t="str">
        <f>IFERROR(__xludf.DUMMYFUNCTION("GOOGLETRANSLATE(N2958,""EN"",""ES"")"),"Negativo ya que aborda cuestiones financieras y laborales que afectan a Repsol.")</f>
        <v>Negativo ya que aborda cuestiones financieras y laborales que afectan a Repsol.</v>
      </c>
      <c r="P2958" s="30">
        <v>-0.8</v>
      </c>
      <c r="Q2958" s="18" t="str">
        <f>IFERROR(__xludf.DUMMYFUNCTION("GOOGLETRANSLATE(R2958,""ES"",""EN"")"),"Indefinite strike, ""pre-contest""")</f>
        <v>Indefinite strike, "pre-contest"</v>
      </c>
      <c r="R2958" s="34" t="s">
        <v>20708</v>
      </c>
      <c r="S2958" s="52" t="s">
        <v>20709</v>
      </c>
      <c r="T2958" s="22" t="s">
        <v>20710</v>
      </c>
    </row>
    <row r="2959">
      <c r="A2959" s="23" t="s">
        <v>20711</v>
      </c>
      <c r="B2959" s="77" t="s">
        <v>217</v>
      </c>
      <c r="C2959" s="41">
        <v>45523.0</v>
      </c>
      <c r="D2959" s="40" t="s">
        <v>20712</v>
      </c>
      <c r="E2959" s="41" t="s">
        <v>20713</v>
      </c>
      <c r="F2959" s="43" t="s">
        <v>20714</v>
      </c>
      <c r="G2959" s="43" t="s">
        <v>20715</v>
      </c>
      <c r="H2959" s="59" t="s">
        <v>48</v>
      </c>
      <c r="I2959" s="25" t="str">
        <f>IFERROR(__xludf.DUMMYFUNCTION("GOOGLETRANSLATE(H2959,""EN"",""ES"")"),"Finanzas")</f>
        <v>Finanzas</v>
      </c>
      <c r="J2959" s="26" t="s">
        <v>27</v>
      </c>
      <c r="K2959" s="17">
        <v>0.0</v>
      </c>
      <c r="L2959" s="54"/>
      <c r="M2959" s="31"/>
      <c r="N2959" s="83"/>
      <c r="O2959" s="83"/>
      <c r="P2959" s="20">
        <v>0.0</v>
      </c>
      <c r="Q2959" s="31"/>
      <c r="R2959" s="31"/>
      <c r="S2959" s="53"/>
      <c r="T2959" s="32"/>
    </row>
    <row r="2960">
      <c r="A2960" s="33" t="s">
        <v>20716</v>
      </c>
      <c r="B2960" s="76" t="s">
        <v>5669</v>
      </c>
      <c r="C2960" s="41">
        <v>45523.0</v>
      </c>
      <c r="D2960" s="40" t="s">
        <v>20717</v>
      </c>
      <c r="E2960" s="41" t="s">
        <v>20718</v>
      </c>
      <c r="F2960" s="43" t="s">
        <v>20719</v>
      </c>
      <c r="G2960" s="43" t="s">
        <v>20720</v>
      </c>
      <c r="H2960" s="61" t="s">
        <v>11484</v>
      </c>
      <c r="I2960" s="15" t="str">
        <f>IFERROR(__xludf.DUMMYFUNCTION("GOOGLETRANSLATE(H2960,""EN"",""ES"")"),"Sociedad")</f>
        <v>Sociedad</v>
      </c>
      <c r="J2960" s="16" t="s">
        <v>27</v>
      </c>
      <c r="K2960" s="17">
        <v>0.0</v>
      </c>
      <c r="L2960" s="45"/>
      <c r="M2960" s="18"/>
      <c r="N2960" s="86"/>
      <c r="O2960" s="86"/>
      <c r="P2960" s="20">
        <v>0.0</v>
      </c>
      <c r="Q2960" s="18"/>
      <c r="R2960" s="18"/>
      <c r="S2960" s="52"/>
      <c r="T2960" s="22"/>
    </row>
    <row r="2961">
      <c r="A2961" s="23" t="s">
        <v>20721</v>
      </c>
      <c r="B2961" s="77" t="s">
        <v>6835</v>
      </c>
      <c r="C2961" s="41">
        <v>45523.0</v>
      </c>
      <c r="D2961" s="40" t="s">
        <v>20722</v>
      </c>
      <c r="E2961" s="41" t="s">
        <v>20723</v>
      </c>
      <c r="F2961" s="43" t="s">
        <v>20724</v>
      </c>
      <c r="G2961" s="43" t="s">
        <v>20725</v>
      </c>
      <c r="H2961" s="59" t="s">
        <v>148</v>
      </c>
      <c r="I2961" s="25" t="str">
        <f>IFERROR(__xludf.DUMMYFUNCTION("GOOGLETRANSLATE(H2961,""EN"",""ES"")"),"Gastronomía")</f>
        <v>Gastronomía</v>
      </c>
      <c r="J2961" s="26" t="s">
        <v>27</v>
      </c>
      <c r="K2961" s="17">
        <v>0.0</v>
      </c>
      <c r="L2961" s="54"/>
      <c r="M2961" s="31"/>
      <c r="N2961" s="83"/>
      <c r="O2961" s="83"/>
      <c r="P2961" s="20">
        <v>0.0</v>
      </c>
      <c r="Q2961" s="31"/>
      <c r="R2961" s="31"/>
      <c r="S2961" s="53"/>
      <c r="T2961" s="32"/>
    </row>
    <row r="2962">
      <c r="A2962" s="33" t="s">
        <v>20726</v>
      </c>
      <c r="B2962" s="76" t="s">
        <v>91</v>
      </c>
      <c r="C2962" s="41">
        <v>45523.0</v>
      </c>
      <c r="D2962" s="40" t="s">
        <v>20727</v>
      </c>
      <c r="E2962" s="41" t="s">
        <v>20728</v>
      </c>
      <c r="F2962" s="43" t="s">
        <v>20729</v>
      </c>
      <c r="G2962" s="43" t="s">
        <v>20730</v>
      </c>
      <c r="H2962" s="61" t="s">
        <v>130</v>
      </c>
      <c r="I2962" s="15" t="str">
        <f>IFERROR(__xludf.DUMMYFUNCTION("GOOGLETRANSLATE(H2962,""EN"",""ES"")"),"Sostenibilidad")</f>
        <v>Sostenibilidad</v>
      </c>
      <c r="J2962" s="16" t="s">
        <v>27</v>
      </c>
      <c r="K2962" s="17">
        <v>0.0</v>
      </c>
      <c r="L2962" s="45"/>
      <c r="M2962" s="18"/>
      <c r="N2962" s="86"/>
      <c r="O2962" s="86"/>
      <c r="P2962" s="20">
        <v>0.0</v>
      </c>
      <c r="Q2962" s="18"/>
      <c r="R2962" s="18"/>
      <c r="S2962" s="52"/>
      <c r="T2962" s="22"/>
    </row>
    <row r="2963">
      <c r="A2963" s="23" t="s">
        <v>20731</v>
      </c>
      <c r="B2963" s="77" t="s">
        <v>4937</v>
      </c>
      <c r="C2963" s="41">
        <v>45523.0</v>
      </c>
      <c r="D2963" s="40" t="s">
        <v>20732</v>
      </c>
      <c r="E2963" s="41" t="s">
        <v>20733</v>
      </c>
      <c r="F2963" s="43" t="s">
        <v>20734</v>
      </c>
      <c r="G2963" s="43" t="s">
        <v>20735</v>
      </c>
      <c r="H2963" s="59" t="s">
        <v>148</v>
      </c>
      <c r="I2963" s="25" t="str">
        <f>IFERROR(__xludf.DUMMYFUNCTION("GOOGLETRANSLATE(H2963,""EN"",""ES"")"),"Gastronomía")</f>
        <v>Gastronomía</v>
      </c>
      <c r="J2963" s="26" t="s">
        <v>27</v>
      </c>
      <c r="K2963" s="17">
        <v>0.0</v>
      </c>
      <c r="L2963" s="54"/>
      <c r="M2963" s="31"/>
      <c r="N2963" s="83"/>
      <c r="O2963" s="83"/>
      <c r="P2963" s="20">
        <v>0.0</v>
      </c>
      <c r="Q2963" s="31"/>
      <c r="R2963" s="31"/>
      <c r="S2963" s="53"/>
      <c r="T2963" s="32"/>
    </row>
    <row r="2964">
      <c r="A2964" s="33" t="s">
        <v>20736</v>
      </c>
      <c r="B2964" s="76" t="s">
        <v>91</v>
      </c>
      <c r="C2964" s="41">
        <v>45523.0</v>
      </c>
      <c r="D2964" s="40" t="s">
        <v>20737</v>
      </c>
      <c r="E2964" s="41" t="s">
        <v>20738</v>
      </c>
      <c r="F2964" s="43" t="s">
        <v>20739</v>
      </c>
      <c r="G2964" s="43" t="s">
        <v>20740</v>
      </c>
      <c r="H2964" s="61" t="s">
        <v>395</v>
      </c>
      <c r="I2964" s="15" t="str">
        <f>IFERROR(__xludf.DUMMYFUNCTION("GOOGLETRANSLATE(H2964,""EN"",""ES"")"),"Ambiente")</f>
        <v>Ambiente</v>
      </c>
      <c r="J2964" s="16" t="s">
        <v>27</v>
      </c>
      <c r="K2964" s="17">
        <v>0.0</v>
      </c>
      <c r="L2964" s="45"/>
      <c r="M2964" s="18"/>
      <c r="N2964" s="86"/>
      <c r="O2964" s="86"/>
      <c r="P2964" s="20">
        <v>0.0</v>
      </c>
      <c r="Q2964" s="18"/>
      <c r="R2964" s="18"/>
      <c r="S2964" s="52"/>
      <c r="T2964" s="22"/>
    </row>
    <row r="2965">
      <c r="A2965" s="23" t="s">
        <v>20741</v>
      </c>
      <c r="B2965" s="77" t="s">
        <v>91</v>
      </c>
      <c r="C2965" s="41">
        <v>45523.0</v>
      </c>
      <c r="D2965" s="40" t="s">
        <v>20742</v>
      </c>
      <c r="E2965" s="41" t="s">
        <v>20743</v>
      </c>
      <c r="F2965" s="43" t="s">
        <v>20744</v>
      </c>
      <c r="G2965" s="43" t="s">
        <v>20745</v>
      </c>
      <c r="H2965" s="59" t="s">
        <v>395</v>
      </c>
      <c r="I2965" s="25" t="str">
        <f>IFERROR(__xludf.DUMMYFUNCTION("GOOGLETRANSLATE(H2965,""EN"",""ES"")"),"Ambiente")</f>
        <v>Ambiente</v>
      </c>
      <c r="J2965" s="26" t="s">
        <v>27</v>
      </c>
      <c r="K2965" s="17">
        <v>0.0</v>
      </c>
      <c r="L2965" s="54"/>
      <c r="M2965" s="31"/>
      <c r="N2965" s="83"/>
      <c r="O2965" s="83"/>
      <c r="P2965" s="20">
        <v>0.0</v>
      </c>
      <c r="Q2965" s="31"/>
      <c r="R2965" s="31"/>
      <c r="S2965" s="53"/>
      <c r="T2965" s="32"/>
    </row>
    <row r="2966">
      <c r="A2966" s="33" t="s">
        <v>20746</v>
      </c>
      <c r="B2966" s="76" t="s">
        <v>217</v>
      </c>
      <c r="C2966" s="41">
        <v>45524.0</v>
      </c>
      <c r="D2966" s="40" t="s">
        <v>20747</v>
      </c>
      <c r="E2966" s="41" t="s">
        <v>20748</v>
      </c>
      <c r="F2966" s="43" t="s">
        <v>20749</v>
      </c>
      <c r="G2966" s="43" t="s">
        <v>20750</v>
      </c>
      <c r="H2966" s="61" t="s">
        <v>130</v>
      </c>
      <c r="I2966" s="15" t="str">
        <f>IFERROR(__xludf.DUMMYFUNCTION("GOOGLETRANSLATE(H2966,""EN"",""ES"")"),"Sostenibilidad")</f>
        <v>Sostenibilidad</v>
      </c>
      <c r="J2966" s="16" t="s">
        <v>35</v>
      </c>
      <c r="K2966" s="48">
        <v>0.7</v>
      </c>
      <c r="L2966" s="51" t="s">
        <v>18854</v>
      </c>
      <c r="M2966" s="34" t="s">
        <v>18855</v>
      </c>
      <c r="N2966" s="86" t="s">
        <v>20751</v>
      </c>
      <c r="O2966" s="86" t="str">
        <f>IFERROR(__xludf.DUMMYFUNCTION("GOOGLETRANSLATE(N2966,""EN"",""ES"")"),"Positivo porque pone de relieve el impulso de Repsol por la innovación en energías renovables.")</f>
        <v>Positivo porque pone de relieve el impulso de Repsol por la innovación en energías renovables.</v>
      </c>
      <c r="P2966" s="30">
        <v>0.7</v>
      </c>
      <c r="Q2966" s="18" t="str">
        <f>IFERROR(__xludf.DUMMYFUNCTION("GOOGLETRANSLATE(R2966,""ES"",""EN"")"),"renewable fuels")</f>
        <v>renewable fuels</v>
      </c>
      <c r="R2966" s="34" t="s">
        <v>584</v>
      </c>
      <c r="S2966" s="52" t="s">
        <v>10595</v>
      </c>
      <c r="T2966" s="22" t="s">
        <v>10596</v>
      </c>
    </row>
    <row r="2967">
      <c r="A2967" s="23" t="s">
        <v>20752</v>
      </c>
      <c r="B2967" s="77" t="s">
        <v>5525</v>
      </c>
      <c r="C2967" s="41">
        <v>45524.0</v>
      </c>
      <c r="D2967" s="40" t="s">
        <v>20753</v>
      </c>
      <c r="E2967" s="41" t="s">
        <v>20754</v>
      </c>
      <c r="F2967" s="43" t="s">
        <v>20755</v>
      </c>
      <c r="G2967" s="43" t="s">
        <v>20756</v>
      </c>
      <c r="H2967" s="59" t="s">
        <v>48</v>
      </c>
      <c r="I2967" s="25" t="str">
        <f>IFERROR(__xludf.DUMMYFUNCTION("GOOGLETRANSLATE(H2967,""EN"",""ES"")"),"Finanzas")</f>
        <v>Finanzas</v>
      </c>
      <c r="J2967" s="26" t="s">
        <v>35</v>
      </c>
      <c r="K2967" s="48">
        <v>-0.5</v>
      </c>
      <c r="L2967" s="49" t="s">
        <v>19216</v>
      </c>
      <c r="M2967" s="28" t="s">
        <v>19217</v>
      </c>
      <c r="N2967" s="83" t="s">
        <v>20757</v>
      </c>
      <c r="O2967" s="83" t="str">
        <f>IFERROR(__xludf.DUMMYFUNCTION("GOOGLETRANSLATE(N2967,""EN"",""ES"")"),"Negativo ya que sugiere que la acción de Repsol está contribuyendo a la caída del mercado.")</f>
        <v>Negativo ya que sugiere que la acción de Repsol está contribuyendo a la caída del mercado.</v>
      </c>
      <c r="P2967" s="30">
        <v>-0.4</v>
      </c>
      <c r="Q2967" s="31" t="str">
        <f>IFERROR(__xludf.DUMMYFUNCTION("GOOGLETRANSLATE(R2967,""ES"",""EN"")"),"endanger")</f>
        <v>endanger</v>
      </c>
      <c r="R2967" s="28" t="s">
        <v>20758</v>
      </c>
      <c r="S2967" s="53" t="s">
        <v>12273</v>
      </c>
      <c r="T2967" s="32" t="s">
        <v>12274</v>
      </c>
    </row>
    <row r="2968">
      <c r="A2968" s="33" t="s">
        <v>20759</v>
      </c>
      <c r="B2968" s="76" t="s">
        <v>21</v>
      </c>
      <c r="C2968" s="41">
        <v>45524.0</v>
      </c>
      <c r="D2968" s="40" t="s">
        <v>20760</v>
      </c>
      <c r="E2968" s="41" t="s">
        <v>20761</v>
      </c>
      <c r="F2968" s="43" t="s">
        <v>20762</v>
      </c>
      <c r="G2968" s="43" t="s">
        <v>20763</v>
      </c>
      <c r="H2968" s="61" t="s">
        <v>148</v>
      </c>
      <c r="I2968" s="15" t="str">
        <f>IFERROR(__xludf.DUMMYFUNCTION("GOOGLETRANSLATE(H2968,""EN"",""ES"")"),"Gastronomía")</f>
        <v>Gastronomía</v>
      </c>
      <c r="J2968" s="16" t="s">
        <v>27</v>
      </c>
      <c r="K2968" s="17">
        <v>0.0</v>
      </c>
      <c r="L2968" s="45"/>
      <c r="M2968" s="18"/>
      <c r="N2968" s="86"/>
      <c r="O2968" s="86"/>
      <c r="P2968" s="20">
        <v>0.0</v>
      </c>
      <c r="Q2968" s="18"/>
      <c r="R2968" s="18"/>
      <c r="S2968" s="52"/>
      <c r="T2968" s="22"/>
    </row>
    <row r="2969">
      <c r="A2969" s="23" t="s">
        <v>20764</v>
      </c>
      <c r="B2969" s="77" t="s">
        <v>5848</v>
      </c>
      <c r="C2969" s="41">
        <v>45524.0</v>
      </c>
      <c r="D2969" s="40" t="s">
        <v>20765</v>
      </c>
      <c r="E2969" s="41" t="s">
        <v>20766</v>
      </c>
      <c r="F2969" s="43" t="s">
        <v>20767</v>
      </c>
      <c r="G2969" s="43" t="s">
        <v>20768</v>
      </c>
      <c r="H2969" s="59" t="s">
        <v>148</v>
      </c>
      <c r="I2969" s="25" t="str">
        <f>IFERROR(__xludf.DUMMYFUNCTION("GOOGLETRANSLATE(H2969,""EN"",""ES"")"),"Gastronomía")</f>
        <v>Gastronomía</v>
      </c>
      <c r="J2969" s="26" t="s">
        <v>27</v>
      </c>
      <c r="K2969" s="17">
        <v>0.0</v>
      </c>
      <c r="L2969" s="54"/>
      <c r="M2969" s="31"/>
      <c r="N2969" s="83"/>
      <c r="O2969" s="83"/>
      <c r="P2969" s="20">
        <v>0.0</v>
      </c>
      <c r="Q2969" s="31"/>
      <c r="R2969" s="31"/>
      <c r="S2969" s="53"/>
      <c r="T2969" s="32"/>
    </row>
    <row r="2970">
      <c r="A2970" s="33" t="s">
        <v>20769</v>
      </c>
      <c r="B2970" s="76" t="s">
        <v>3543</v>
      </c>
      <c r="C2970" s="41">
        <v>45524.0</v>
      </c>
      <c r="D2970" s="40" t="s">
        <v>20770</v>
      </c>
      <c r="E2970" s="41" t="s">
        <v>20771</v>
      </c>
      <c r="F2970" s="43" t="s">
        <v>20772</v>
      </c>
      <c r="G2970" s="43" t="s">
        <v>20773</v>
      </c>
      <c r="H2970" s="61" t="s">
        <v>148</v>
      </c>
      <c r="I2970" s="15" t="str">
        <f>IFERROR(__xludf.DUMMYFUNCTION("GOOGLETRANSLATE(H2970,""EN"",""ES"")"),"Gastronomía")</f>
        <v>Gastronomía</v>
      </c>
      <c r="J2970" s="16" t="s">
        <v>27</v>
      </c>
      <c r="K2970" s="17">
        <v>0.0</v>
      </c>
      <c r="L2970" s="45"/>
      <c r="M2970" s="18"/>
      <c r="N2970" s="86"/>
      <c r="O2970" s="86"/>
      <c r="P2970" s="20">
        <v>0.0</v>
      </c>
      <c r="Q2970" s="18"/>
      <c r="R2970" s="18"/>
      <c r="S2970" s="52"/>
      <c r="T2970" s="22"/>
    </row>
    <row r="2971">
      <c r="A2971" s="23" t="s">
        <v>20774</v>
      </c>
      <c r="B2971" s="77" t="s">
        <v>4450</v>
      </c>
      <c r="C2971" s="41">
        <v>45524.0</v>
      </c>
      <c r="D2971" s="40" t="s">
        <v>20775</v>
      </c>
      <c r="E2971" s="41" t="s">
        <v>20776</v>
      </c>
      <c r="F2971" s="43" t="s">
        <v>20777</v>
      </c>
      <c r="G2971" s="43" t="s">
        <v>20778</v>
      </c>
      <c r="H2971" s="59" t="s">
        <v>661</v>
      </c>
      <c r="I2971" s="25" t="str">
        <f>IFERROR(__xludf.DUMMYFUNCTION("GOOGLETRANSLATE(H2971,""EN"",""ES"")"),"Estrategia empresarial")</f>
        <v>Estrategia empresarial</v>
      </c>
      <c r="J2971" s="26" t="s">
        <v>35</v>
      </c>
      <c r="K2971" s="48">
        <v>0.5</v>
      </c>
      <c r="L2971" s="49" t="s">
        <v>20374</v>
      </c>
      <c r="M2971" s="28" t="s">
        <v>20375</v>
      </c>
      <c r="N2971" s="83" t="s">
        <v>20779</v>
      </c>
      <c r="O2971" s="83" t="str">
        <f>IFERROR(__xludf.DUMMYFUNCTION("GOOGLETRANSLATE(N2971,""EN"",""ES"")"),"Ligeramente positivo ya que indica la resolución de un problema laboral que afecta a un contratista de Repsol.")</f>
        <v>Ligeramente positivo ya que indica la resolución de un problema laboral que afecta a un contratista de Repsol.</v>
      </c>
      <c r="P2971" s="30">
        <v>0.0</v>
      </c>
      <c r="Q2971" s="31"/>
      <c r="R2971" s="31"/>
      <c r="S2971" s="53" t="s">
        <v>20780</v>
      </c>
      <c r="T2971" s="32" t="s">
        <v>20781</v>
      </c>
    </row>
    <row r="2972">
      <c r="A2972" s="33" t="s">
        <v>20782</v>
      </c>
      <c r="B2972" s="76" t="s">
        <v>425</v>
      </c>
      <c r="C2972" s="41">
        <v>45524.0</v>
      </c>
      <c r="D2972" s="40" t="s">
        <v>20783</v>
      </c>
      <c r="E2972" s="41" t="s">
        <v>20784</v>
      </c>
      <c r="F2972" s="43" t="s">
        <v>20785</v>
      </c>
      <c r="G2972" s="43" t="s">
        <v>20786</v>
      </c>
      <c r="H2972" s="61" t="s">
        <v>8756</v>
      </c>
      <c r="I2972" s="15" t="str">
        <f>IFERROR(__xludf.DUMMYFUNCTION("GOOGLETRANSLATE(H2972,""EN"",""ES"")"),"Automotor")</f>
        <v>Automotor</v>
      </c>
      <c r="J2972" s="16" t="s">
        <v>27</v>
      </c>
      <c r="K2972" s="17">
        <v>0.0</v>
      </c>
      <c r="L2972" s="45"/>
      <c r="M2972" s="18"/>
      <c r="N2972" s="86"/>
      <c r="O2972" s="86"/>
      <c r="P2972" s="20">
        <v>0.0</v>
      </c>
      <c r="Q2972" s="18"/>
      <c r="R2972" s="18"/>
      <c r="S2972" s="52"/>
      <c r="T2972" s="22"/>
    </row>
    <row r="2973">
      <c r="A2973" s="23" t="s">
        <v>20787</v>
      </c>
      <c r="B2973" s="77" t="s">
        <v>5525</v>
      </c>
      <c r="C2973" s="41">
        <v>45524.0</v>
      </c>
      <c r="D2973" s="40" t="s">
        <v>20788</v>
      </c>
      <c r="E2973" s="41" t="s">
        <v>20789</v>
      </c>
      <c r="F2973" s="43" t="s">
        <v>20790</v>
      </c>
      <c r="G2973" s="43" t="s">
        <v>20791</v>
      </c>
      <c r="H2973" s="59" t="s">
        <v>48</v>
      </c>
      <c r="I2973" s="25" t="str">
        <f>IFERROR(__xludf.DUMMYFUNCTION("GOOGLETRANSLATE(H2973,""EN"",""ES"")"),"Finanzas")</f>
        <v>Finanzas</v>
      </c>
      <c r="J2973" s="26" t="s">
        <v>35</v>
      </c>
      <c r="K2973" s="48">
        <v>-0.5</v>
      </c>
      <c r="L2973" s="49" t="s">
        <v>19216</v>
      </c>
      <c r="M2973" s="28" t="s">
        <v>19217</v>
      </c>
      <c r="N2973" s="83" t="s">
        <v>20792</v>
      </c>
      <c r="O2973" s="83" t="str">
        <f>IFERROR(__xludf.DUMMYFUNCTION("GOOGLETRANSLATE(N2973,""EN"",""ES"")"),"Negativo ya que pone de relieve el impacto de Repsol en la caída bursátil.")</f>
        <v>Negativo ya que pone de relieve el impacto de Repsol en la caída bursátil.</v>
      </c>
      <c r="P2973" s="30">
        <v>-0.3</v>
      </c>
      <c r="Q2973" s="31" t="str">
        <f>IFERROR(__xludf.DUMMYFUNCTION("GOOGLETRANSLATE(R2973,""ES"",""EN"")"),"ballast")</f>
        <v>ballast</v>
      </c>
      <c r="R2973" s="28" t="s">
        <v>20793</v>
      </c>
      <c r="S2973" s="53" t="s">
        <v>20794</v>
      </c>
      <c r="T2973" s="32" t="s">
        <v>20795</v>
      </c>
    </row>
    <row r="2974">
      <c r="A2974" s="33" t="s">
        <v>20796</v>
      </c>
      <c r="B2974" s="76" t="s">
        <v>6458</v>
      </c>
      <c r="C2974" s="41">
        <v>45524.0</v>
      </c>
      <c r="D2974" s="40" t="s">
        <v>20797</v>
      </c>
      <c r="E2974" s="41" t="s">
        <v>20798</v>
      </c>
      <c r="F2974" s="43" t="s">
        <v>20799</v>
      </c>
      <c r="G2974" s="43" t="s">
        <v>20800</v>
      </c>
      <c r="H2974" s="61" t="s">
        <v>148</v>
      </c>
      <c r="I2974" s="15" t="str">
        <f>IFERROR(__xludf.DUMMYFUNCTION("GOOGLETRANSLATE(H2974,""EN"",""ES"")"),"Gastronomía")</f>
        <v>Gastronomía</v>
      </c>
      <c r="J2974" s="16" t="s">
        <v>27</v>
      </c>
      <c r="K2974" s="17">
        <v>0.0</v>
      </c>
      <c r="L2974" s="45"/>
      <c r="M2974" s="18"/>
      <c r="N2974" s="86"/>
      <c r="O2974" s="86"/>
      <c r="P2974" s="20">
        <v>0.0</v>
      </c>
      <c r="Q2974" s="18"/>
      <c r="R2974" s="18"/>
      <c r="S2974" s="52"/>
      <c r="T2974" s="22"/>
    </row>
    <row r="2975">
      <c r="A2975" s="23" t="s">
        <v>20801</v>
      </c>
      <c r="B2975" s="77" t="s">
        <v>217</v>
      </c>
      <c r="C2975" s="41">
        <v>45524.0</v>
      </c>
      <c r="D2975" s="40" t="s">
        <v>20802</v>
      </c>
      <c r="E2975" s="41" t="s">
        <v>20803</v>
      </c>
      <c r="F2975" s="43" t="s">
        <v>20804</v>
      </c>
      <c r="G2975" s="43" t="s">
        <v>20805</v>
      </c>
      <c r="H2975" s="59" t="s">
        <v>10369</v>
      </c>
      <c r="I2975" s="25" t="str">
        <f>IFERROR(__xludf.DUMMYFUNCTION("GOOGLETRANSLATE(H2975,""EN"",""ES"")"),"Ciencia")</f>
        <v>Ciencia</v>
      </c>
      <c r="J2975" s="26" t="s">
        <v>35</v>
      </c>
      <c r="K2975" s="48">
        <v>0.0</v>
      </c>
      <c r="L2975" s="54"/>
      <c r="M2975" s="31"/>
      <c r="N2975" s="83" t="s">
        <v>20806</v>
      </c>
      <c r="O2975" s="83" t="str">
        <f>IFERROR(__xludf.DUMMYFUNCTION("GOOGLETRANSLATE(N2975,""EN"",""ES"")"),"Neutral ya que se trata de un proyecto científico.")</f>
        <v>Neutral ya que se trata de un proyecto científico.</v>
      </c>
      <c r="P2975" s="30">
        <v>0.0</v>
      </c>
      <c r="Q2975" s="31"/>
      <c r="R2975" s="31"/>
      <c r="S2975" s="53" t="s">
        <v>20807</v>
      </c>
      <c r="T2975" s="32" t="s">
        <v>20808</v>
      </c>
    </row>
    <row r="2976">
      <c r="A2976" s="33" t="s">
        <v>20809</v>
      </c>
      <c r="B2976" s="76" t="s">
        <v>21</v>
      </c>
      <c r="C2976" s="41">
        <v>45525.0</v>
      </c>
      <c r="D2976" s="40" t="s">
        <v>20810</v>
      </c>
      <c r="E2976" s="41" t="s">
        <v>20811</v>
      </c>
      <c r="F2976" s="43" t="s">
        <v>20812</v>
      </c>
      <c r="G2976" s="43" t="s">
        <v>20813</v>
      </c>
      <c r="H2976" s="61" t="s">
        <v>148</v>
      </c>
      <c r="I2976" s="15" t="str">
        <f>IFERROR(__xludf.DUMMYFUNCTION("GOOGLETRANSLATE(H2976,""EN"",""ES"")"),"Gastronomía")</f>
        <v>Gastronomía</v>
      </c>
      <c r="J2976" s="16" t="s">
        <v>27</v>
      </c>
      <c r="K2976" s="17">
        <v>0.0</v>
      </c>
      <c r="L2976" s="45"/>
      <c r="M2976" s="18"/>
      <c r="N2976" s="86"/>
      <c r="O2976" s="86"/>
      <c r="P2976" s="20">
        <v>0.0</v>
      </c>
      <c r="Q2976" s="18"/>
      <c r="R2976" s="18"/>
      <c r="S2976" s="52"/>
      <c r="T2976" s="22"/>
    </row>
    <row r="2977">
      <c r="A2977" s="23" t="s">
        <v>20814</v>
      </c>
      <c r="B2977" s="77" t="s">
        <v>85</v>
      </c>
      <c r="C2977" s="41">
        <v>45525.0</v>
      </c>
      <c r="D2977" s="40" t="s">
        <v>20815</v>
      </c>
      <c r="E2977" s="41" t="s">
        <v>20816</v>
      </c>
      <c r="F2977" s="43" t="s">
        <v>20817</v>
      </c>
      <c r="G2977" s="43" t="s">
        <v>20818</v>
      </c>
      <c r="H2977" s="59" t="s">
        <v>2591</v>
      </c>
      <c r="I2977" s="25" t="str">
        <f>IFERROR(__xludf.DUMMYFUNCTION("GOOGLETRANSLATE(H2977,""EN"",""ES"")"),"Negocio")</f>
        <v>Negocio</v>
      </c>
      <c r="J2977" s="26" t="s">
        <v>35</v>
      </c>
      <c r="K2977" s="48">
        <v>0.0</v>
      </c>
      <c r="L2977" s="54"/>
      <c r="M2977" s="31"/>
      <c r="N2977" s="83" t="s">
        <v>20819</v>
      </c>
      <c r="O2977" s="83" t="str">
        <f>IFERROR(__xludf.DUMMYFUNCTION("GOOGLETRANSLATE(N2977,""EN"",""ES"")"),"Neutral ya que analiza el desempeño empresarial.")</f>
        <v>Neutral ya que analiza el desempeño empresarial.</v>
      </c>
      <c r="P2977" s="30">
        <v>0.0</v>
      </c>
      <c r="Q2977" s="31"/>
      <c r="R2977" s="31"/>
      <c r="S2977" s="53" t="s">
        <v>10136</v>
      </c>
      <c r="T2977" s="32" t="s">
        <v>10137</v>
      </c>
    </row>
    <row r="2978">
      <c r="A2978" s="33" t="s">
        <v>20820</v>
      </c>
      <c r="B2978" s="76" t="s">
        <v>3189</v>
      </c>
      <c r="C2978" s="41">
        <v>45525.0</v>
      </c>
      <c r="D2978" s="40" t="s">
        <v>20821</v>
      </c>
      <c r="E2978" s="41" t="s">
        <v>20822</v>
      </c>
      <c r="F2978" s="43" t="s">
        <v>20823</v>
      </c>
      <c r="G2978" s="43" t="s">
        <v>20824</v>
      </c>
      <c r="H2978" s="61" t="s">
        <v>55</v>
      </c>
      <c r="I2978" s="15" t="str">
        <f>IFERROR(__xludf.DUMMYFUNCTION("GOOGLETRANSLATE(H2978,""EN"",""ES"")"),"deportes de motor")</f>
        <v>deportes de motor</v>
      </c>
      <c r="J2978" s="16" t="s">
        <v>27</v>
      </c>
      <c r="K2978" s="17">
        <v>0.0</v>
      </c>
      <c r="L2978" s="45"/>
      <c r="M2978" s="18"/>
      <c r="N2978" s="86"/>
      <c r="O2978" s="86"/>
      <c r="P2978" s="20">
        <v>0.0</v>
      </c>
      <c r="Q2978" s="18"/>
      <c r="R2978" s="18"/>
      <c r="S2978" s="52"/>
      <c r="T2978" s="22"/>
    </row>
    <row r="2979">
      <c r="A2979" s="23" t="s">
        <v>20825</v>
      </c>
      <c r="B2979" s="77" t="s">
        <v>91</v>
      </c>
      <c r="C2979" s="41">
        <v>45525.0</v>
      </c>
      <c r="D2979" s="40" t="s">
        <v>20826</v>
      </c>
      <c r="E2979" s="41" t="s">
        <v>20827</v>
      </c>
      <c r="F2979" s="43" t="s">
        <v>20828</v>
      </c>
      <c r="G2979" s="43" t="s">
        <v>20829</v>
      </c>
      <c r="H2979" s="59" t="s">
        <v>975</v>
      </c>
      <c r="I2979" s="25" t="str">
        <f>IFERROR(__xludf.DUMMYFUNCTION("GOOGLETRANSLATE(H2979,""EN"",""ES"")"),"Patrocinio")</f>
        <v>Patrocinio</v>
      </c>
      <c r="J2979" s="26" t="s">
        <v>35</v>
      </c>
      <c r="K2979" s="48">
        <v>0.6</v>
      </c>
      <c r="L2979" s="49" t="s">
        <v>19814</v>
      </c>
      <c r="M2979" s="28" t="s">
        <v>19815</v>
      </c>
      <c r="N2979" s="83" t="s">
        <v>20830</v>
      </c>
      <c r="O2979" s="83" t="str">
        <f>IFERROR(__xludf.DUMMYFUNCTION("GOOGLETRANSLATE(N2979,""EN"",""ES"")"),"Positivo porque pone de relieve la implicación de Repsol en un evento.")</f>
        <v>Positivo porque pone de relieve la implicación de Repsol en un evento.</v>
      </c>
      <c r="P2979" s="30">
        <v>0.2</v>
      </c>
      <c r="Q2979" s="31" t="str">
        <f>IFERROR(__xludf.DUMMYFUNCTION("GOOGLETRANSLATE(R2979,""ES"",""EN"")"),"-")</f>
        <v>-</v>
      </c>
      <c r="R2979" s="28" t="s">
        <v>11852</v>
      </c>
      <c r="S2979" s="53" t="s">
        <v>20831</v>
      </c>
      <c r="T2979" s="32" t="s">
        <v>20832</v>
      </c>
    </row>
    <row r="2980">
      <c r="A2980" s="33" t="s">
        <v>20833</v>
      </c>
      <c r="B2980" s="76" t="s">
        <v>21</v>
      </c>
      <c r="C2980" s="41">
        <v>45525.0</v>
      </c>
      <c r="D2980" s="40" t="s">
        <v>20834</v>
      </c>
      <c r="E2980" s="41" t="s">
        <v>20835</v>
      </c>
      <c r="F2980" s="43" t="s">
        <v>20836</v>
      </c>
      <c r="G2980" s="43" t="s">
        <v>20837</v>
      </c>
      <c r="H2980" s="61" t="s">
        <v>148</v>
      </c>
      <c r="I2980" s="15" t="str">
        <f>IFERROR(__xludf.DUMMYFUNCTION("GOOGLETRANSLATE(H2980,""EN"",""ES"")"),"Gastronomía")</f>
        <v>Gastronomía</v>
      </c>
      <c r="J2980" s="16" t="s">
        <v>27</v>
      </c>
      <c r="K2980" s="17">
        <v>0.0</v>
      </c>
      <c r="L2980" s="45"/>
      <c r="M2980" s="18"/>
      <c r="N2980" s="86"/>
      <c r="O2980" s="86"/>
      <c r="P2980" s="20">
        <v>0.0</v>
      </c>
      <c r="Q2980" s="18"/>
      <c r="R2980" s="18"/>
      <c r="S2980" s="52"/>
      <c r="T2980" s="22"/>
    </row>
    <row r="2981">
      <c r="A2981" s="23" t="s">
        <v>20838</v>
      </c>
      <c r="B2981" s="77" t="s">
        <v>91</v>
      </c>
      <c r="C2981" s="41">
        <v>45525.0</v>
      </c>
      <c r="D2981" s="40" t="s">
        <v>20839</v>
      </c>
      <c r="E2981" s="41" t="s">
        <v>20840</v>
      </c>
      <c r="F2981" s="43" t="s">
        <v>20841</v>
      </c>
      <c r="G2981" s="43" t="s">
        <v>20842</v>
      </c>
      <c r="H2981" s="59" t="s">
        <v>148</v>
      </c>
      <c r="I2981" s="25" t="str">
        <f>IFERROR(__xludf.DUMMYFUNCTION("GOOGLETRANSLATE(H2981,""EN"",""ES"")"),"Gastronomía")</f>
        <v>Gastronomía</v>
      </c>
      <c r="J2981" s="26" t="s">
        <v>27</v>
      </c>
      <c r="K2981" s="17">
        <v>0.0</v>
      </c>
      <c r="L2981" s="54"/>
      <c r="M2981" s="31"/>
      <c r="N2981" s="83"/>
      <c r="O2981" s="83"/>
      <c r="P2981" s="20">
        <v>0.0</v>
      </c>
      <c r="Q2981" s="31"/>
      <c r="R2981" s="31"/>
      <c r="S2981" s="53"/>
      <c r="T2981" s="32"/>
    </row>
    <row r="2982">
      <c r="A2982" s="33" t="s">
        <v>20843</v>
      </c>
      <c r="B2982" s="76" t="s">
        <v>3273</v>
      </c>
      <c r="C2982" s="41">
        <v>45525.0</v>
      </c>
      <c r="D2982" s="40" t="s">
        <v>20844</v>
      </c>
      <c r="E2982" s="41" t="s">
        <v>20845</v>
      </c>
      <c r="F2982" s="43" t="s">
        <v>20846</v>
      </c>
      <c r="G2982" s="43" t="s">
        <v>20847</v>
      </c>
      <c r="H2982" s="61" t="s">
        <v>55</v>
      </c>
      <c r="I2982" s="15" t="str">
        <f>IFERROR(__xludf.DUMMYFUNCTION("GOOGLETRANSLATE(H2982,""EN"",""ES"")"),"deportes de motor")</f>
        <v>deportes de motor</v>
      </c>
      <c r="J2982" s="16" t="s">
        <v>27</v>
      </c>
      <c r="K2982" s="17">
        <v>0.0</v>
      </c>
      <c r="L2982" s="45"/>
      <c r="M2982" s="18"/>
      <c r="N2982" s="86"/>
      <c r="O2982" s="86"/>
      <c r="P2982" s="20">
        <v>0.0</v>
      </c>
      <c r="Q2982" s="18"/>
      <c r="R2982" s="18"/>
      <c r="S2982" s="52"/>
      <c r="T2982" s="22"/>
    </row>
    <row r="2983">
      <c r="A2983" s="23" t="s">
        <v>20848</v>
      </c>
      <c r="B2983" s="77" t="s">
        <v>91</v>
      </c>
      <c r="C2983" s="41">
        <v>45525.0</v>
      </c>
      <c r="D2983" s="40" t="s">
        <v>20849</v>
      </c>
      <c r="E2983" s="41" t="s">
        <v>20850</v>
      </c>
      <c r="F2983" s="43" t="s">
        <v>20851</v>
      </c>
      <c r="G2983" s="43" t="s">
        <v>20852</v>
      </c>
      <c r="H2983" s="59" t="s">
        <v>130</v>
      </c>
      <c r="I2983" s="25" t="str">
        <f>IFERROR(__xludf.DUMMYFUNCTION("GOOGLETRANSLATE(H2983,""EN"",""ES"")"),"Sostenibilidad")</f>
        <v>Sostenibilidad</v>
      </c>
      <c r="J2983" s="26" t="s">
        <v>27</v>
      </c>
      <c r="K2983" s="17">
        <v>0.0</v>
      </c>
      <c r="L2983" s="54"/>
      <c r="M2983" s="31"/>
      <c r="N2983" s="83"/>
      <c r="O2983" s="83"/>
      <c r="P2983" s="20">
        <v>0.0</v>
      </c>
      <c r="Q2983" s="31"/>
      <c r="R2983" s="31"/>
      <c r="S2983" s="53"/>
      <c r="T2983" s="32"/>
    </row>
    <row r="2984">
      <c r="A2984" s="33" t="s">
        <v>20853</v>
      </c>
      <c r="B2984" s="76" t="s">
        <v>91</v>
      </c>
      <c r="C2984" s="41">
        <v>45525.0</v>
      </c>
      <c r="D2984" s="40" t="s">
        <v>20854</v>
      </c>
      <c r="E2984" s="41" t="s">
        <v>20855</v>
      </c>
      <c r="F2984" s="43" t="s">
        <v>20856</v>
      </c>
      <c r="G2984" s="43" t="s">
        <v>20857</v>
      </c>
      <c r="H2984" s="61" t="s">
        <v>130</v>
      </c>
      <c r="I2984" s="15" t="str">
        <f>IFERROR(__xludf.DUMMYFUNCTION("GOOGLETRANSLATE(H2984,""EN"",""ES"")"),"Sostenibilidad")</f>
        <v>Sostenibilidad</v>
      </c>
      <c r="J2984" s="16" t="s">
        <v>27</v>
      </c>
      <c r="K2984" s="17">
        <v>0.0</v>
      </c>
      <c r="L2984" s="45"/>
      <c r="M2984" s="18"/>
      <c r="N2984" s="86"/>
      <c r="O2984" s="86"/>
      <c r="P2984" s="20">
        <v>0.0</v>
      </c>
      <c r="Q2984" s="18"/>
      <c r="R2984" s="18"/>
      <c r="S2984" s="52"/>
      <c r="T2984" s="22"/>
    </row>
    <row r="2985">
      <c r="A2985" s="23" t="s">
        <v>20858</v>
      </c>
      <c r="B2985" s="77" t="s">
        <v>91</v>
      </c>
      <c r="C2985" s="41">
        <v>45525.0</v>
      </c>
      <c r="D2985" s="40" t="s">
        <v>20859</v>
      </c>
      <c r="E2985" s="41" t="s">
        <v>20860</v>
      </c>
      <c r="F2985" s="43" t="s">
        <v>20861</v>
      </c>
      <c r="G2985" s="43" t="s">
        <v>20862</v>
      </c>
      <c r="H2985" s="59" t="s">
        <v>10369</v>
      </c>
      <c r="I2985" s="25" t="str">
        <f>IFERROR(__xludf.DUMMYFUNCTION("GOOGLETRANSLATE(H2985,""EN"",""ES"")"),"Ciencia")</f>
        <v>Ciencia</v>
      </c>
      <c r="J2985" s="26" t="s">
        <v>27</v>
      </c>
      <c r="K2985" s="17">
        <v>0.0</v>
      </c>
      <c r="L2985" s="54"/>
      <c r="M2985" s="31"/>
      <c r="N2985" s="83"/>
      <c r="O2985" s="83"/>
      <c r="P2985" s="20">
        <v>0.0</v>
      </c>
      <c r="Q2985" s="31"/>
      <c r="R2985" s="31"/>
      <c r="S2985" s="53"/>
      <c r="T2985" s="32"/>
    </row>
    <row r="2986">
      <c r="A2986" s="33" t="s">
        <v>20863</v>
      </c>
      <c r="B2986" s="76" t="s">
        <v>217</v>
      </c>
      <c r="C2986" s="41">
        <v>45526.0</v>
      </c>
      <c r="D2986" s="40" t="s">
        <v>20864</v>
      </c>
      <c r="E2986" s="41" t="s">
        <v>20865</v>
      </c>
      <c r="F2986" s="43" t="s">
        <v>20866</v>
      </c>
      <c r="G2986" s="43" t="s">
        <v>20867</v>
      </c>
      <c r="H2986" s="61" t="s">
        <v>661</v>
      </c>
      <c r="I2986" s="15" t="str">
        <f>IFERROR(__xludf.DUMMYFUNCTION("GOOGLETRANSLATE(H2986,""EN"",""ES"")"),"Estrategia empresarial")</f>
        <v>Estrategia empresarial</v>
      </c>
      <c r="J2986" s="16" t="s">
        <v>35</v>
      </c>
      <c r="K2986" s="48">
        <v>0.7</v>
      </c>
      <c r="L2986" s="51" t="s">
        <v>12776</v>
      </c>
      <c r="M2986" s="34" t="s">
        <v>12777</v>
      </c>
      <c r="N2986" s="86" t="s">
        <v>20868</v>
      </c>
      <c r="O2986" s="86" t="str">
        <f>IFERROR(__xludf.DUMMYFUNCTION("GOOGLETRANSLATE(N2986,""EN"",""ES"")"),"Positivo ya que pone de relieve el crecimiento de Repsol en el mercado eléctrico.")</f>
        <v>Positivo ya que pone de relieve el crecimiento de Repsol en el mercado eléctrico.</v>
      </c>
      <c r="P2986" s="30">
        <v>0.6</v>
      </c>
      <c r="Q2986" s="18" t="str">
        <f>IFERROR(__xludf.DUMMYFUNCTION("GOOGLETRANSLATE(R2986,""ES"",""EN"")"),"leads the climbs")</f>
        <v>leads the climbs</v>
      </c>
      <c r="R2986" s="34" t="s">
        <v>20869</v>
      </c>
      <c r="S2986" s="52" t="s">
        <v>20870</v>
      </c>
      <c r="T2986" s="22" t="s">
        <v>20871</v>
      </c>
    </row>
    <row r="2987">
      <c r="A2987" s="23" t="s">
        <v>20872</v>
      </c>
      <c r="B2987" s="77" t="s">
        <v>7517</v>
      </c>
      <c r="C2987" s="41">
        <v>45526.0</v>
      </c>
      <c r="D2987" s="40" t="s">
        <v>20873</v>
      </c>
      <c r="E2987" s="41" t="s">
        <v>20874</v>
      </c>
      <c r="F2987" s="43" t="s">
        <v>20875</v>
      </c>
      <c r="G2987" s="43" t="s">
        <v>20876</v>
      </c>
      <c r="H2987" s="59" t="s">
        <v>130</v>
      </c>
      <c r="I2987" s="25" t="str">
        <f>IFERROR(__xludf.DUMMYFUNCTION("GOOGLETRANSLATE(H2987,""EN"",""ES"")"),"Sostenibilidad")</f>
        <v>Sostenibilidad</v>
      </c>
      <c r="J2987" s="26" t="s">
        <v>35</v>
      </c>
      <c r="K2987" s="48">
        <v>0.7</v>
      </c>
      <c r="L2987" s="49" t="s">
        <v>16837</v>
      </c>
      <c r="M2987" s="28" t="s">
        <v>16838</v>
      </c>
      <c r="N2987" s="83" t="s">
        <v>20877</v>
      </c>
      <c r="O2987" s="83" t="str">
        <f>IFERROR(__xludf.DUMMYFUNCTION("GOOGLETRANSLATE(N2987,""EN"",""ES"")"),"Positivo porque pone de relieve la expansión de Repsol en las infraestructuras de vehículos eléctricos.")</f>
        <v>Positivo porque pone de relieve la expansión de Repsol en las infraestructuras de vehículos eléctricos.</v>
      </c>
      <c r="P2987" s="30">
        <v>0.0</v>
      </c>
      <c r="Q2987" s="31"/>
      <c r="R2987" s="31"/>
      <c r="S2987" s="53" t="s">
        <v>10136</v>
      </c>
      <c r="T2987" s="32" t="s">
        <v>10137</v>
      </c>
    </row>
    <row r="2988">
      <c r="A2988" s="33" t="s">
        <v>20878</v>
      </c>
      <c r="B2988" s="76" t="s">
        <v>21</v>
      </c>
      <c r="C2988" s="41">
        <v>45526.0</v>
      </c>
      <c r="D2988" s="40" t="s">
        <v>20879</v>
      </c>
      <c r="E2988" s="41" t="s">
        <v>20880</v>
      </c>
      <c r="F2988" s="43" t="s">
        <v>20881</v>
      </c>
      <c r="G2988" s="43" t="s">
        <v>20882</v>
      </c>
      <c r="H2988" s="61" t="s">
        <v>969</v>
      </c>
      <c r="I2988" s="15" t="str">
        <f>IFERROR(__xludf.DUMMYFUNCTION("GOOGLETRANSLATE(H2988,""EN"",""ES"")"),"Turismo")</f>
        <v>Turismo</v>
      </c>
      <c r="J2988" s="16" t="s">
        <v>27</v>
      </c>
      <c r="K2988" s="17">
        <v>0.0</v>
      </c>
      <c r="L2988" s="45"/>
      <c r="M2988" s="18"/>
      <c r="N2988" s="86"/>
      <c r="O2988" s="86"/>
      <c r="P2988" s="20">
        <v>0.0</v>
      </c>
      <c r="Q2988" s="18"/>
      <c r="R2988" s="18"/>
      <c r="S2988" s="52"/>
      <c r="T2988" s="22"/>
    </row>
    <row r="2989">
      <c r="A2989" s="23" t="s">
        <v>20883</v>
      </c>
      <c r="B2989" s="77" t="s">
        <v>431</v>
      </c>
      <c r="C2989" s="41">
        <v>45526.0</v>
      </c>
      <c r="D2989" s="40" t="s">
        <v>20884</v>
      </c>
      <c r="E2989" s="41" t="s">
        <v>20885</v>
      </c>
      <c r="F2989" s="43" t="s">
        <v>20886</v>
      </c>
      <c r="G2989" s="43" t="s">
        <v>20887</v>
      </c>
      <c r="H2989" s="59" t="s">
        <v>148</v>
      </c>
      <c r="I2989" s="25" t="str">
        <f>IFERROR(__xludf.DUMMYFUNCTION("GOOGLETRANSLATE(H2989,""EN"",""ES"")"),"Gastronomía")</f>
        <v>Gastronomía</v>
      </c>
      <c r="J2989" s="26" t="s">
        <v>27</v>
      </c>
      <c r="K2989" s="17">
        <v>0.0</v>
      </c>
      <c r="L2989" s="54"/>
      <c r="M2989" s="31"/>
      <c r="N2989" s="83"/>
      <c r="O2989" s="83"/>
      <c r="P2989" s="20">
        <v>0.0</v>
      </c>
      <c r="Q2989" s="31"/>
      <c r="R2989" s="31"/>
      <c r="S2989" s="53"/>
      <c r="T2989" s="32"/>
    </row>
    <row r="2990">
      <c r="A2990" s="33" t="s">
        <v>20888</v>
      </c>
      <c r="B2990" s="76" t="s">
        <v>2527</v>
      </c>
      <c r="C2990" s="41">
        <v>45526.0</v>
      </c>
      <c r="D2990" s="40" t="s">
        <v>20889</v>
      </c>
      <c r="E2990" s="41" t="s">
        <v>20890</v>
      </c>
      <c r="F2990" s="43" t="s">
        <v>20891</v>
      </c>
      <c r="G2990" s="43" t="s">
        <v>20892</v>
      </c>
      <c r="H2990" s="61" t="s">
        <v>1975</v>
      </c>
      <c r="I2990" s="15" t="str">
        <f>IFERROR(__xludf.DUMMYFUNCTION("GOOGLETRANSLATE(H2990,""EN"",""ES"")"),"Política")</f>
        <v>Política</v>
      </c>
      <c r="J2990" s="16" t="s">
        <v>27</v>
      </c>
      <c r="K2990" s="17">
        <v>0.0</v>
      </c>
      <c r="L2990" s="45"/>
      <c r="M2990" s="18"/>
      <c r="N2990" s="86"/>
      <c r="O2990" s="86"/>
      <c r="P2990" s="20">
        <v>0.0</v>
      </c>
      <c r="Q2990" s="18"/>
      <c r="R2990" s="18"/>
      <c r="S2990" s="52"/>
      <c r="T2990" s="22"/>
    </row>
    <row r="2991">
      <c r="A2991" s="23" t="s">
        <v>20893</v>
      </c>
      <c r="B2991" s="77" t="s">
        <v>103</v>
      </c>
      <c r="C2991" s="41">
        <v>45526.0</v>
      </c>
      <c r="D2991" s="40" t="s">
        <v>20894</v>
      </c>
      <c r="E2991" s="41" t="s">
        <v>20895</v>
      </c>
      <c r="F2991" s="43" t="s">
        <v>20896</v>
      </c>
      <c r="G2991" s="43" t="s">
        <v>20897</v>
      </c>
      <c r="H2991" s="59" t="s">
        <v>20898</v>
      </c>
      <c r="I2991" s="25" t="str">
        <f>IFERROR(__xludf.DUMMYFUNCTION("GOOGLETRANSLATE(H2991,""EN"",""ES"")"),"Derechos del consumidor")</f>
        <v>Derechos del consumidor</v>
      </c>
      <c r="J2991" s="26" t="s">
        <v>27</v>
      </c>
      <c r="K2991" s="17">
        <v>0.0</v>
      </c>
      <c r="L2991" s="54"/>
      <c r="M2991" s="31"/>
      <c r="N2991" s="83"/>
      <c r="O2991" s="83"/>
      <c r="P2991" s="20">
        <v>0.0</v>
      </c>
      <c r="Q2991" s="31"/>
      <c r="R2991" s="31"/>
      <c r="S2991" s="53"/>
      <c r="T2991" s="32"/>
    </row>
    <row r="2992">
      <c r="A2992" s="33" t="s">
        <v>20899</v>
      </c>
      <c r="B2992" s="76" t="s">
        <v>1072</v>
      </c>
      <c r="C2992" s="41">
        <v>45526.0</v>
      </c>
      <c r="D2992" s="40" t="s">
        <v>20900</v>
      </c>
      <c r="E2992" s="41" t="s">
        <v>20901</v>
      </c>
      <c r="F2992" s="43" t="s">
        <v>20902</v>
      </c>
      <c r="G2992" s="43" t="s">
        <v>20903</v>
      </c>
      <c r="H2992" s="61" t="s">
        <v>48</v>
      </c>
      <c r="I2992" s="15" t="str">
        <f>IFERROR(__xludf.DUMMYFUNCTION("GOOGLETRANSLATE(H2992,""EN"",""ES"")"),"Finanzas")</f>
        <v>Finanzas</v>
      </c>
      <c r="J2992" s="16" t="s">
        <v>27</v>
      </c>
      <c r="K2992" s="17">
        <v>0.0</v>
      </c>
      <c r="L2992" s="45"/>
      <c r="M2992" s="18"/>
      <c r="N2992" s="86"/>
      <c r="O2992" s="86"/>
      <c r="P2992" s="20">
        <v>0.0</v>
      </c>
      <c r="Q2992" s="18"/>
      <c r="R2992" s="18"/>
      <c r="S2992" s="52"/>
      <c r="T2992" s="22"/>
    </row>
    <row r="2993">
      <c r="A2993" s="23" t="s">
        <v>20904</v>
      </c>
      <c r="B2993" s="77" t="s">
        <v>5669</v>
      </c>
      <c r="C2993" s="41">
        <v>45526.0</v>
      </c>
      <c r="D2993" s="40" t="s">
        <v>20905</v>
      </c>
      <c r="E2993" s="41" t="s">
        <v>20906</v>
      </c>
      <c r="F2993" s="43" t="s">
        <v>20907</v>
      </c>
      <c r="G2993" s="43" t="s">
        <v>20908</v>
      </c>
      <c r="H2993" s="59" t="s">
        <v>11484</v>
      </c>
      <c r="I2993" s="25" t="str">
        <f>IFERROR(__xludf.DUMMYFUNCTION("GOOGLETRANSLATE(H2993,""EN"",""ES"")"),"Sociedad")</f>
        <v>Sociedad</v>
      </c>
      <c r="J2993" s="26" t="s">
        <v>27</v>
      </c>
      <c r="K2993" s="17">
        <v>0.0</v>
      </c>
      <c r="L2993" s="54"/>
      <c r="M2993" s="31"/>
      <c r="N2993" s="83"/>
      <c r="O2993" s="83"/>
      <c r="P2993" s="20">
        <v>0.0</v>
      </c>
      <c r="Q2993" s="31"/>
      <c r="R2993" s="31"/>
      <c r="S2993" s="53"/>
      <c r="T2993" s="32"/>
    </row>
    <row r="2994">
      <c r="A2994" s="33" t="s">
        <v>20909</v>
      </c>
      <c r="B2994" s="76" t="s">
        <v>6458</v>
      </c>
      <c r="C2994" s="41">
        <v>45526.0</v>
      </c>
      <c r="D2994" s="40" t="s">
        <v>20910</v>
      </c>
      <c r="E2994" s="41" t="s">
        <v>20911</v>
      </c>
      <c r="F2994" s="43" t="s">
        <v>20912</v>
      </c>
      <c r="G2994" s="43" t="s">
        <v>20913</v>
      </c>
      <c r="H2994" s="61" t="s">
        <v>148</v>
      </c>
      <c r="I2994" s="15" t="str">
        <f>IFERROR(__xludf.DUMMYFUNCTION("GOOGLETRANSLATE(H2994,""EN"",""ES"")"),"Gastronomía")</f>
        <v>Gastronomía</v>
      </c>
      <c r="J2994" s="16" t="s">
        <v>27</v>
      </c>
      <c r="K2994" s="17">
        <v>0.0</v>
      </c>
      <c r="L2994" s="45"/>
      <c r="M2994" s="18"/>
      <c r="N2994" s="86"/>
      <c r="O2994" s="86"/>
      <c r="P2994" s="20">
        <v>0.0</v>
      </c>
      <c r="Q2994" s="18"/>
      <c r="R2994" s="18"/>
      <c r="S2994" s="52"/>
      <c r="T2994" s="22"/>
    </row>
    <row r="2995">
      <c r="A2995" s="23" t="s">
        <v>20914</v>
      </c>
      <c r="B2995" s="77" t="s">
        <v>91</v>
      </c>
      <c r="C2995" s="41">
        <v>45526.0</v>
      </c>
      <c r="D2995" s="40" t="s">
        <v>20915</v>
      </c>
      <c r="E2995" s="41" t="s">
        <v>20916</v>
      </c>
      <c r="F2995" s="43" t="s">
        <v>20917</v>
      </c>
      <c r="G2995" s="43" t="s">
        <v>20918</v>
      </c>
      <c r="H2995" s="59" t="s">
        <v>8756</v>
      </c>
      <c r="I2995" s="25" t="str">
        <f>IFERROR(__xludf.DUMMYFUNCTION("GOOGLETRANSLATE(H2995,""EN"",""ES"")"),"Automotor")</f>
        <v>Automotor</v>
      </c>
      <c r="J2995" s="26" t="s">
        <v>27</v>
      </c>
      <c r="K2995" s="17">
        <v>0.0</v>
      </c>
      <c r="L2995" s="54"/>
      <c r="M2995" s="31"/>
      <c r="N2995" s="83"/>
      <c r="O2995" s="83"/>
      <c r="P2995" s="20">
        <v>0.0</v>
      </c>
      <c r="Q2995" s="31"/>
      <c r="R2995" s="31"/>
      <c r="S2995" s="53"/>
      <c r="T2995" s="32"/>
    </row>
    <row r="2996">
      <c r="A2996" s="33" t="s">
        <v>20919</v>
      </c>
      <c r="B2996" s="76" t="s">
        <v>1072</v>
      </c>
      <c r="C2996" s="41">
        <v>45527.0</v>
      </c>
      <c r="D2996" s="40" t="s">
        <v>20920</v>
      </c>
      <c r="E2996" s="41" t="s">
        <v>20921</v>
      </c>
      <c r="F2996" s="43" t="s">
        <v>20922</v>
      </c>
      <c r="G2996" s="43" t="s">
        <v>20923</v>
      </c>
      <c r="H2996" s="61" t="s">
        <v>48</v>
      </c>
      <c r="I2996" s="15" t="str">
        <f>IFERROR(__xludf.DUMMYFUNCTION("GOOGLETRANSLATE(H2996,""EN"",""ES"")"),"Finanzas")</f>
        <v>Finanzas</v>
      </c>
      <c r="J2996" s="16" t="s">
        <v>35</v>
      </c>
      <c r="K2996" s="48">
        <v>0.7</v>
      </c>
      <c r="L2996" s="51" t="s">
        <v>19216</v>
      </c>
      <c r="M2996" s="34" t="s">
        <v>19217</v>
      </c>
      <c r="N2996" s="86" t="s">
        <v>20924</v>
      </c>
      <c r="O2996" s="86" t="str">
        <f>IFERROR(__xludf.DUMMYFUNCTION("GOOGLETRANSLATE(N2996,""EN"",""ES"")"),"Positivo ya que sugiere un potencial repunte bursátil para Repsol.")</f>
        <v>Positivo ya que sugiere un potencial repunte bursátil para Repsol.</v>
      </c>
      <c r="P2996" s="30">
        <v>0.0</v>
      </c>
      <c r="Q2996" s="18"/>
      <c r="R2996" s="18"/>
      <c r="S2996" s="52" t="s">
        <v>20925</v>
      </c>
      <c r="T2996" s="22" t="s">
        <v>20926</v>
      </c>
    </row>
    <row r="2997">
      <c r="A2997" s="23" t="s">
        <v>20927</v>
      </c>
      <c r="B2997" s="77" t="s">
        <v>21</v>
      </c>
      <c r="C2997" s="41">
        <v>45527.0</v>
      </c>
      <c r="D2997" s="40" t="s">
        <v>20928</v>
      </c>
      <c r="E2997" s="41" t="s">
        <v>20929</v>
      </c>
      <c r="F2997" s="43" t="s">
        <v>20930</v>
      </c>
      <c r="G2997" s="43" t="s">
        <v>20931</v>
      </c>
      <c r="H2997" s="59" t="s">
        <v>148</v>
      </c>
      <c r="I2997" s="25" t="str">
        <f>IFERROR(__xludf.DUMMYFUNCTION("GOOGLETRANSLATE(H2997,""EN"",""ES"")"),"Gastronomía")</f>
        <v>Gastronomía</v>
      </c>
      <c r="J2997" s="26" t="s">
        <v>27</v>
      </c>
      <c r="K2997" s="17">
        <v>0.0</v>
      </c>
      <c r="L2997" s="54"/>
      <c r="M2997" s="31"/>
      <c r="N2997" s="83"/>
      <c r="O2997" s="83"/>
      <c r="P2997" s="20">
        <v>0.0</v>
      </c>
      <c r="Q2997" s="31"/>
      <c r="R2997" s="31"/>
      <c r="S2997" s="53"/>
      <c r="T2997" s="32"/>
    </row>
    <row r="2998">
      <c r="A2998" s="33" t="s">
        <v>20932</v>
      </c>
      <c r="B2998" s="76" t="s">
        <v>20933</v>
      </c>
      <c r="C2998" s="41">
        <v>45527.0</v>
      </c>
      <c r="D2998" s="40" t="s">
        <v>20934</v>
      </c>
      <c r="E2998" s="41" t="s">
        <v>20935</v>
      </c>
      <c r="F2998" s="43" t="s">
        <v>20936</v>
      </c>
      <c r="G2998" s="43" t="s">
        <v>20937</v>
      </c>
      <c r="H2998" s="61" t="s">
        <v>148</v>
      </c>
      <c r="I2998" s="15" t="str">
        <f>IFERROR(__xludf.DUMMYFUNCTION("GOOGLETRANSLATE(H2998,""EN"",""ES"")"),"Gastronomía")</f>
        <v>Gastronomía</v>
      </c>
      <c r="J2998" s="16" t="s">
        <v>27</v>
      </c>
      <c r="K2998" s="17">
        <v>0.0</v>
      </c>
      <c r="L2998" s="45"/>
      <c r="M2998" s="18"/>
      <c r="N2998" s="86"/>
      <c r="O2998" s="86"/>
      <c r="P2998" s="20">
        <v>0.0</v>
      </c>
      <c r="Q2998" s="18"/>
      <c r="R2998" s="18"/>
      <c r="S2998" s="52"/>
      <c r="T2998" s="22"/>
    </row>
    <row r="2999">
      <c r="A2999" s="23" t="s">
        <v>20938</v>
      </c>
      <c r="B2999" s="77" t="s">
        <v>356</v>
      </c>
      <c r="C2999" s="41">
        <v>45527.0</v>
      </c>
      <c r="D2999" s="40" t="s">
        <v>20939</v>
      </c>
      <c r="E2999" s="41" t="s">
        <v>20940</v>
      </c>
      <c r="F2999" s="43" t="s">
        <v>20941</v>
      </c>
      <c r="G2999" s="43" t="s">
        <v>20942</v>
      </c>
      <c r="H2999" s="59" t="s">
        <v>130</v>
      </c>
      <c r="I2999" s="25" t="str">
        <f>IFERROR(__xludf.DUMMYFUNCTION("GOOGLETRANSLATE(H2999,""EN"",""ES"")"),"Sostenibilidad")</f>
        <v>Sostenibilidad</v>
      </c>
      <c r="J2999" s="26" t="s">
        <v>35</v>
      </c>
      <c r="K2999" s="48">
        <v>0.0</v>
      </c>
      <c r="L2999" s="54"/>
      <c r="M2999" s="31"/>
      <c r="N2999" s="83" t="s">
        <v>20323</v>
      </c>
      <c r="O2999" s="83" t="str">
        <f>IFERROR(__xludf.DUMMYFUNCTION("GOOGLETRANSLATE(N2999,""EN"",""ES"")"),"Positivo ya que destaca el progreso de las energías renovables.")</f>
        <v>Positivo ya que destaca el progreso de las energías renovables.</v>
      </c>
      <c r="P2999" s="30">
        <v>0.0</v>
      </c>
      <c r="Q2999" s="31"/>
      <c r="R2999" s="31"/>
      <c r="S2999" s="53" t="s">
        <v>20943</v>
      </c>
      <c r="T2999" s="32" t="s">
        <v>20944</v>
      </c>
    </row>
    <row r="3000">
      <c r="A3000" s="33" t="s">
        <v>20945</v>
      </c>
      <c r="B3000" s="76" t="s">
        <v>21</v>
      </c>
      <c r="C3000" s="41">
        <v>45527.0</v>
      </c>
      <c r="D3000" s="40" t="s">
        <v>20946</v>
      </c>
      <c r="E3000" s="41" t="s">
        <v>20947</v>
      </c>
      <c r="F3000" s="43" t="s">
        <v>20948</v>
      </c>
      <c r="G3000" s="43" t="s">
        <v>20949</v>
      </c>
      <c r="H3000" s="61" t="s">
        <v>148</v>
      </c>
      <c r="I3000" s="15" t="str">
        <f>IFERROR(__xludf.DUMMYFUNCTION("GOOGLETRANSLATE(H3000,""EN"",""ES"")"),"Gastronomía")</f>
        <v>Gastronomía</v>
      </c>
      <c r="J3000" s="16" t="s">
        <v>27</v>
      </c>
      <c r="K3000" s="17">
        <v>0.0</v>
      </c>
      <c r="L3000" s="45"/>
      <c r="M3000" s="18"/>
      <c r="N3000" s="86"/>
      <c r="O3000" s="86"/>
      <c r="P3000" s="20">
        <v>0.0</v>
      </c>
      <c r="Q3000" s="18"/>
      <c r="R3000" s="18"/>
      <c r="S3000" s="52"/>
      <c r="T3000" s="22"/>
    </row>
    <row r="3001">
      <c r="A3001" s="23" t="s">
        <v>20950</v>
      </c>
      <c r="B3001" s="77" t="s">
        <v>85</v>
      </c>
      <c r="C3001" s="41">
        <v>45527.0</v>
      </c>
      <c r="D3001" s="40" t="s">
        <v>20951</v>
      </c>
      <c r="E3001" s="41" t="s">
        <v>20952</v>
      </c>
      <c r="F3001" s="43" t="s">
        <v>20953</v>
      </c>
      <c r="G3001" s="43" t="s">
        <v>20954</v>
      </c>
      <c r="H3001" s="59" t="s">
        <v>148</v>
      </c>
      <c r="I3001" s="25" t="str">
        <f>IFERROR(__xludf.DUMMYFUNCTION("GOOGLETRANSLATE(H3001,""EN"",""ES"")"),"Gastronomía")</f>
        <v>Gastronomía</v>
      </c>
      <c r="J3001" s="26" t="s">
        <v>27</v>
      </c>
      <c r="K3001" s="17">
        <v>0.0</v>
      </c>
      <c r="L3001" s="54"/>
      <c r="M3001" s="31"/>
      <c r="N3001" s="83"/>
      <c r="O3001" s="83"/>
      <c r="P3001" s="20">
        <v>0.0</v>
      </c>
      <c r="Q3001" s="31"/>
      <c r="R3001" s="31"/>
      <c r="S3001" s="53"/>
      <c r="T3001" s="32"/>
    </row>
    <row r="3002">
      <c r="A3002" s="33" t="s">
        <v>20955</v>
      </c>
      <c r="B3002" s="76" t="s">
        <v>43</v>
      </c>
      <c r="C3002" s="41">
        <v>45527.0</v>
      </c>
      <c r="D3002" s="40" t="s">
        <v>20956</v>
      </c>
      <c r="E3002" s="41" t="s">
        <v>20957</v>
      </c>
      <c r="F3002" s="43" t="s">
        <v>20958</v>
      </c>
      <c r="G3002" s="43" t="s">
        <v>20959</v>
      </c>
      <c r="H3002" s="61" t="s">
        <v>148</v>
      </c>
      <c r="I3002" s="15" t="str">
        <f>IFERROR(__xludf.DUMMYFUNCTION("GOOGLETRANSLATE(H3002,""EN"",""ES"")"),"Gastronomía")</f>
        <v>Gastronomía</v>
      </c>
      <c r="J3002" s="16" t="s">
        <v>27</v>
      </c>
      <c r="K3002" s="17">
        <v>0.0</v>
      </c>
      <c r="L3002" s="45"/>
      <c r="M3002" s="18"/>
      <c r="N3002" s="86"/>
      <c r="O3002" s="86"/>
      <c r="P3002" s="20">
        <v>0.0</v>
      </c>
      <c r="Q3002" s="18"/>
      <c r="R3002" s="18"/>
      <c r="S3002" s="52"/>
      <c r="T3002" s="22"/>
    </row>
    <row r="3003">
      <c r="A3003" s="23" t="s">
        <v>20960</v>
      </c>
      <c r="B3003" s="77" t="s">
        <v>20961</v>
      </c>
      <c r="C3003" s="41">
        <v>45527.0</v>
      </c>
      <c r="D3003" s="40" t="s">
        <v>20962</v>
      </c>
      <c r="E3003" s="41" t="s">
        <v>20963</v>
      </c>
      <c r="F3003" s="43" t="s">
        <v>20964</v>
      </c>
      <c r="G3003" s="43" t="s">
        <v>20965</v>
      </c>
      <c r="H3003" s="59" t="s">
        <v>148</v>
      </c>
      <c r="I3003" s="25" t="str">
        <f>IFERROR(__xludf.DUMMYFUNCTION("GOOGLETRANSLATE(H3003,""EN"",""ES"")"),"Gastronomía")</f>
        <v>Gastronomía</v>
      </c>
      <c r="J3003" s="26" t="s">
        <v>27</v>
      </c>
      <c r="K3003" s="17">
        <v>0.0</v>
      </c>
      <c r="L3003" s="54"/>
      <c r="M3003" s="31"/>
      <c r="N3003" s="83"/>
      <c r="O3003" s="83"/>
      <c r="P3003" s="20">
        <v>0.0</v>
      </c>
      <c r="Q3003" s="31"/>
      <c r="R3003" s="31"/>
      <c r="S3003" s="53"/>
      <c r="T3003" s="32"/>
    </row>
    <row r="3004">
      <c r="A3004" s="33" t="s">
        <v>20966</v>
      </c>
      <c r="B3004" s="76" t="s">
        <v>1602</v>
      </c>
      <c r="C3004" s="41">
        <v>45528.0</v>
      </c>
      <c r="D3004" s="40" t="s">
        <v>20967</v>
      </c>
      <c r="E3004" s="41" t="s">
        <v>20968</v>
      </c>
      <c r="F3004" s="43" t="s">
        <v>20969</v>
      </c>
      <c r="G3004" s="43" t="s">
        <v>20970</v>
      </c>
      <c r="H3004" s="61" t="s">
        <v>48</v>
      </c>
      <c r="I3004" s="15" t="str">
        <f>IFERROR(__xludf.DUMMYFUNCTION("GOOGLETRANSLATE(H3004,""EN"",""ES"")"),"Finanzas")</f>
        <v>Finanzas</v>
      </c>
      <c r="J3004" s="16" t="s">
        <v>27</v>
      </c>
      <c r="K3004" s="17">
        <v>0.0</v>
      </c>
      <c r="L3004" s="45"/>
      <c r="M3004" s="18"/>
      <c r="N3004" s="86"/>
      <c r="O3004" s="86"/>
      <c r="P3004" s="20">
        <v>0.0</v>
      </c>
      <c r="Q3004" s="18"/>
      <c r="R3004" s="18"/>
      <c r="S3004" s="52"/>
      <c r="T3004" s="22"/>
    </row>
    <row r="3005">
      <c r="A3005" s="23" t="s">
        <v>20971</v>
      </c>
      <c r="B3005" s="77" t="s">
        <v>16864</v>
      </c>
      <c r="C3005" s="41">
        <v>45528.0</v>
      </c>
      <c r="D3005" s="40" t="s">
        <v>20972</v>
      </c>
      <c r="E3005" s="41" t="s">
        <v>20973</v>
      </c>
      <c r="F3005" s="43" t="s">
        <v>20974</v>
      </c>
      <c r="G3005" s="43" t="s">
        <v>20975</v>
      </c>
      <c r="H3005" s="59" t="s">
        <v>2591</v>
      </c>
      <c r="I3005" s="25" t="str">
        <f>IFERROR(__xludf.DUMMYFUNCTION("GOOGLETRANSLATE(H3005,""EN"",""ES"")"),"Negocio")</f>
        <v>Negocio</v>
      </c>
      <c r="J3005" s="26" t="s">
        <v>27</v>
      </c>
      <c r="K3005" s="17">
        <v>0.0</v>
      </c>
      <c r="L3005" s="54"/>
      <c r="M3005" s="31"/>
      <c r="N3005" s="83"/>
      <c r="O3005" s="83"/>
      <c r="P3005" s="20">
        <v>0.0</v>
      </c>
      <c r="Q3005" s="31"/>
      <c r="R3005" s="31"/>
      <c r="S3005" s="53"/>
      <c r="T3005" s="32"/>
    </row>
    <row r="3006">
      <c r="A3006" s="33" t="s">
        <v>20976</v>
      </c>
      <c r="B3006" s="76" t="s">
        <v>3402</v>
      </c>
      <c r="C3006" s="41">
        <v>45528.0</v>
      </c>
      <c r="D3006" s="40" t="s">
        <v>20977</v>
      </c>
      <c r="E3006" s="41" t="s">
        <v>20978</v>
      </c>
      <c r="F3006" s="43" t="s">
        <v>20979</v>
      </c>
      <c r="G3006" s="43" t="s">
        <v>20980</v>
      </c>
      <c r="H3006" s="61" t="s">
        <v>62</v>
      </c>
      <c r="I3006" s="15" t="str">
        <f>IFERROR(__xludf.DUMMYFUNCTION("GOOGLETRANSLATE(H3006,""EN"",""ES"")"),"Energía")</f>
        <v>Energía</v>
      </c>
      <c r="J3006" s="16" t="s">
        <v>27</v>
      </c>
      <c r="K3006" s="17">
        <v>0.0</v>
      </c>
      <c r="L3006" s="45"/>
      <c r="M3006" s="18"/>
      <c r="N3006" s="86"/>
      <c r="O3006" s="86"/>
      <c r="P3006" s="20">
        <v>0.0</v>
      </c>
      <c r="Q3006" s="18"/>
      <c r="R3006" s="18"/>
      <c r="S3006" s="52"/>
      <c r="T3006" s="22"/>
    </row>
    <row r="3007">
      <c r="A3007" s="23" t="s">
        <v>20981</v>
      </c>
      <c r="B3007" s="77" t="s">
        <v>6835</v>
      </c>
      <c r="C3007" s="41">
        <v>45528.0</v>
      </c>
      <c r="D3007" s="40" t="s">
        <v>20982</v>
      </c>
      <c r="E3007" s="41" t="s">
        <v>20983</v>
      </c>
      <c r="F3007" s="43" t="s">
        <v>20984</v>
      </c>
      <c r="G3007" s="43" t="s">
        <v>20985</v>
      </c>
      <c r="H3007" s="59" t="s">
        <v>148</v>
      </c>
      <c r="I3007" s="25" t="str">
        <f>IFERROR(__xludf.DUMMYFUNCTION("GOOGLETRANSLATE(H3007,""EN"",""ES"")"),"Gastronomía")</f>
        <v>Gastronomía</v>
      </c>
      <c r="J3007" s="26" t="s">
        <v>27</v>
      </c>
      <c r="K3007" s="17">
        <v>0.0</v>
      </c>
      <c r="L3007" s="54"/>
      <c r="M3007" s="31"/>
      <c r="N3007" s="83"/>
      <c r="O3007" s="83"/>
      <c r="P3007" s="20">
        <v>0.0</v>
      </c>
      <c r="Q3007" s="31"/>
      <c r="R3007" s="31"/>
      <c r="S3007" s="53"/>
      <c r="T3007" s="32"/>
    </row>
    <row r="3008">
      <c r="A3008" s="33" t="s">
        <v>20986</v>
      </c>
      <c r="B3008" s="76" t="s">
        <v>6458</v>
      </c>
      <c r="C3008" s="41">
        <v>45528.0</v>
      </c>
      <c r="D3008" s="40" t="s">
        <v>20987</v>
      </c>
      <c r="E3008" s="41" t="s">
        <v>20988</v>
      </c>
      <c r="F3008" s="43" t="s">
        <v>20989</v>
      </c>
      <c r="G3008" s="43" t="s">
        <v>20990</v>
      </c>
      <c r="H3008" s="61" t="s">
        <v>148</v>
      </c>
      <c r="I3008" s="15" t="str">
        <f>IFERROR(__xludf.DUMMYFUNCTION("GOOGLETRANSLATE(H3008,""EN"",""ES"")"),"Gastronomía")</f>
        <v>Gastronomía</v>
      </c>
      <c r="J3008" s="16" t="s">
        <v>27</v>
      </c>
      <c r="K3008" s="17">
        <v>0.0</v>
      </c>
      <c r="L3008" s="45"/>
      <c r="M3008" s="18"/>
      <c r="N3008" s="86"/>
      <c r="O3008" s="86"/>
      <c r="P3008" s="20">
        <v>0.0</v>
      </c>
      <c r="Q3008" s="18"/>
      <c r="R3008" s="18"/>
      <c r="S3008" s="52"/>
      <c r="T3008" s="22"/>
    </row>
    <row r="3009">
      <c r="A3009" s="23" t="s">
        <v>20991</v>
      </c>
      <c r="B3009" s="77" t="s">
        <v>91</v>
      </c>
      <c r="C3009" s="41">
        <v>45528.0</v>
      </c>
      <c r="D3009" s="40" t="s">
        <v>20992</v>
      </c>
      <c r="E3009" s="41" t="s">
        <v>20993</v>
      </c>
      <c r="F3009" s="43" t="s">
        <v>20994</v>
      </c>
      <c r="G3009" s="43" t="s">
        <v>20995</v>
      </c>
      <c r="H3009" s="59" t="s">
        <v>395</v>
      </c>
      <c r="I3009" s="25" t="str">
        <f>IFERROR(__xludf.DUMMYFUNCTION("GOOGLETRANSLATE(H3009,""EN"",""ES"")"),"Ambiente")</f>
        <v>Ambiente</v>
      </c>
      <c r="J3009" s="26" t="s">
        <v>27</v>
      </c>
      <c r="K3009" s="17">
        <v>0.0</v>
      </c>
      <c r="L3009" s="54"/>
      <c r="M3009" s="31"/>
      <c r="N3009" s="83"/>
      <c r="O3009" s="83"/>
      <c r="P3009" s="20">
        <v>0.0</v>
      </c>
      <c r="Q3009" s="31"/>
      <c r="R3009" s="31"/>
      <c r="S3009" s="53"/>
      <c r="T3009" s="32"/>
    </row>
    <row r="3010">
      <c r="A3010" s="33" t="s">
        <v>20996</v>
      </c>
      <c r="B3010" s="76" t="s">
        <v>85</v>
      </c>
      <c r="C3010" s="41">
        <v>45528.0</v>
      </c>
      <c r="D3010" s="40" t="s">
        <v>20997</v>
      </c>
      <c r="E3010" s="41" t="s">
        <v>20998</v>
      </c>
      <c r="F3010" s="43" t="s">
        <v>20999</v>
      </c>
      <c r="G3010" s="43" t="s">
        <v>21000</v>
      </c>
      <c r="H3010" s="61" t="s">
        <v>148</v>
      </c>
      <c r="I3010" s="15" t="str">
        <f>IFERROR(__xludf.DUMMYFUNCTION("GOOGLETRANSLATE(H3010,""EN"",""ES"")"),"Gastronomía")</f>
        <v>Gastronomía</v>
      </c>
      <c r="J3010" s="16" t="s">
        <v>27</v>
      </c>
      <c r="K3010" s="17">
        <v>0.0</v>
      </c>
      <c r="L3010" s="45"/>
      <c r="M3010" s="18"/>
      <c r="N3010" s="86"/>
      <c r="O3010" s="86"/>
      <c r="P3010" s="20">
        <v>0.0</v>
      </c>
      <c r="Q3010" s="18"/>
      <c r="R3010" s="18"/>
      <c r="S3010" s="52"/>
      <c r="T3010" s="22"/>
    </row>
    <row r="3011">
      <c r="A3011" s="23" t="s">
        <v>21001</v>
      </c>
      <c r="B3011" s="77" t="s">
        <v>1081</v>
      </c>
      <c r="C3011" s="41">
        <v>45529.0</v>
      </c>
      <c r="D3011" s="40" t="s">
        <v>21002</v>
      </c>
      <c r="E3011" s="41" t="s">
        <v>21003</v>
      </c>
      <c r="F3011" s="43" t="s">
        <v>21004</v>
      </c>
      <c r="G3011" s="43" t="s">
        <v>21005</v>
      </c>
      <c r="H3011" s="59" t="s">
        <v>661</v>
      </c>
      <c r="I3011" s="25" t="str">
        <f>IFERROR(__xludf.DUMMYFUNCTION("GOOGLETRANSLATE(H3011,""EN"",""ES"")"),"Estrategia empresarial")</f>
        <v>Estrategia empresarial</v>
      </c>
      <c r="J3011" s="26" t="s">
        <v>35</v>
      </c>
      <c r="K3011" s="48">
        <v>0.6</v>
      </c>
      <c r="L3011" s="49" t="s">
        <v>21006</v>
      </c>
      <c r="M3011" s="28" t="s">
        <v>21007</v>
      </c>
      <c r="N3011" s="83" t="s">
        <v>21008</v>
      </c>
      <c r="O3011" s="83" t="str">
        <f>IFERROR(__xludf.DUMMYFUNCTION("GOOGLETRANSLATE(N3011,""EN"",""ES"")"),"Positivo ya que destaca una historia de éxito personal y profesional.")</f>
        <v>Positivo ya que destaca una historia de éxito personal y profesional.</v>
      </c>
      <c r="P3011" s="30">
        <v>0.3</v>
      </c>
      <c r="Q3011" s="31" t="str">
        <f>IFERROR(__xludf.DUMMYFUNCTION("GOOGLETRANSLATE(R3011,""ES"",""EN"")"),"#VALUE!")</f>
        <v>#VALUE!</v>
      </c>
      <c r="R3011" s="31"/>
      <c r="S3011" s="53" t="s">
        <v>21009</v>
      </c>
      <c r="T3011" s="32" t="s">
        <v>21010</v>
      </c>
    </row>
    <row r="3012">
      <c r="A3012" s="33" t="s">
        <v>21011</v>
      </c>
      <c r="B3012" s="76" t="s">
        <v>163</v>
      </c>
      <c r="C3012" s="41">
        <v>45529.0</v>
      </c>
      <c r="D3012" s="40" t="s">
        <v>21012</v>
      </c>
      <c r="E3012" s="41" t="s">
        <v>21013</v>
      </c>
      <c r="F3012" s="43" t="s">
        <v>21014</v>
      </c>
      <c r="G3012" s="43" t="s">
        <v>21015</v>
      </c>
      <c r="H3012" s="61" t="s">
        <v>55</v>
      </c>
      <c r="I3012" s="15" t="str">
        <f>IFERROR(__xludf.DUMMYFUNCTION("GOOGLETRANSLATE(H3012,""EN"",""ES"")"),"deportes de motor")</f>
        <v>deportes de motor</v>
      </c>
      <c r="J3012" s="16" t="s">
        <v>27</v>
      </c>
      <c r="K3012" s="17">
        <v>0.0</v>
      </c>
      <c r="L3012" s="45"/>
      <c r="M3012" s="18"/>
      <c r="N3012" s="86"/>
      <c r="O3012" s="86"/>
      <c r="P3012" s="20">
        <v>0.0</v>
      </c>
      <c r="Q3012" s="18"/>
      <c r="R3012" s="18"/>
      <c r="S3012" s="52"/>
      <c r="T3012" s="22"/>
    </row>
    <row r="3013">
      <c r="A3013" s="23" t="s">
        <v>21016</v>
      </c>
      <c r="B3013" s="77" t="s">
        <v>2442</v>
      </c>
      <c r="C3013" s="41">
        <v>45529.0</v>
      </c>
      <c r="D3013" s="40" t="s">
        <v>21017</v>
      </c>
      <c r="E3013" s="41" t="s">
        <v>21018</v>
      </c>
      <c r="F3013" s="43" t="s">
        <v>21019</v>
      </c>
      <c r="G3013" s="43" t="s">
        <v>21020</v>
      </c>
      <c r="H3013" s="59" t="s">
        <v>55</v>
      </c>
      <c r="I3013" s="25" t="str">
        <f>IFERROR(__xludf.DUMMYFUNCTION("GOOGLETRANSLATE(H3013,""EN"",""ES"")"),"deportes de motor")</f>
        <v>deportes de motor</v>
      </c>
      <c r="J3013" s="26" t="s">
        <v>27</v>
      </c>
      <c r="K3013" s="17">
        <v>0.0</v>
      </c>
      <c r="L3013" s="54"/>
      <c r="M3013" s="31"/>
      <c r="N3013" s="83"/>
      <c r="O3013" s="83"/>
      <c r="P3013" s="20">
        <v>0.0</v>
      </c>
      <c r="Q3013" s="31"/>
      <c r="R3013" s="31"/>
      <c r="S3013" s="53"/>
      <c r="T3013" s="32"/>
    </row>
    <row r="3014">
      <c r="A3014" s="33" t="s">
        <v>21021</v>
      </c>
      <c r="B3014" s="76" t="s">
        <v>735</v>
      </c>
      <c r="C3014" s="41">
        <v>45529.0</v>
      </c>
      <c r="D3014" s="40" t="s">
        <v>21022</v>
      </c>
      <c r="E3014" s="41" t="s">
        <v>21023</v>
      </c>
      <c r="F3014" s="43" t="s">
        <v>21024</v>
      </c>
      <c r="G3014" s="43" t="s">
        <v>21025</v>
      </c>
      <c r="H3014" s="61" t="s">
        <v>55</v>
      </c>
      <c r="I3014" s="15" t="str">
        <f>IFERROR(__xludf.DUMMYFUNCTION("GOOGLETRANSLATE(H3014,""EN"",""ES"")"),"deportes de motor")</f>
        <v>deportes de motor</v>
      </c>
      <c r="J3014" s="16" t="s">
        <v>27</v>
      </c>
      <c r="K3014" s="17">
        <v>0.0</v>
      </c>
      <c r="L3014" s="45"/>
      <c r="M3014" s="18"/>
      <c r="N3014" s="86"/>
      <c r="O3014" s="86"/>
      <c r="P3014" s="20">
        <v>0.0</v>
      </c>
      <c r="Q3014" s="18"/>
      <c r="R3014" s="18"/>
      <c r="S3014" s="52"/>
      <c r="T3014" s="22"/>
    </row>
    <row r="3015">
      <c r="A3015" s="23" t="s">
        <v>21026</v>
      </c>
      <c r="B3015" s="77" t="s">
        <v>3273</v>
      </c>
      <c r="C3015" s="41">
        <v>45529.0</v>
      </c>
      <c r="D3015" s="40" t="s">
        <v>21027</v>
      </c>
      <c r="E3015" s="41" t="s">
        <v>21028</v>
      </c>
      <c r="F3015" s="43" t="s">
        <v>21029</v>
      </c>
      <c r="G3015" s="43" t="s">
        <v>21030</v>
      </c>
      <c r="H3015" s="59" t="s">
        <v>55</v>
      </c>
      <c r="I3015" s="25" t="str">
        <f>IFERROR(__xludf.DUMMYFUNCTION("GOOGLETRANSLATE(H3015,""EN"",""ES"")"),"deportes de motor")</f>
        <v>deportes de motor</v>
      </c>
      <c r="J3015" s="26" t="s">
        <v>27</v>
      </c>
      <c r="K3015" s="17">
        <v>0.0</v>
      </c>
      <c r="L3015" s="54"/>
      <c r="M3015" s="31"/>
      <c r="N3015" s="83"/>
      <c r="O3015" s="83"/>
      <c r="P3015" s="20">
        <v>0.0</v>
      </c>
      <c r="Q3015" s="31"/>
      <c r="R3015" s="31"/>
      <c r="S3015" s="53"/>
      <c r="T3015" s="32"/>
    </row>
    <row r="3016">
      <c r="A3016" s="33" t="s">
        <v>21031</v>
      </c>
      <c r="B3016" s="76" t="s">
        <v>7295</v>
      </c>
      <c r="C3016" s="41">
        <v>45529.0</v>
      </c>
      <c r="D3016" s="40" t="s">
        <v>21032</v>
      </c>
      <c r="E3016" s="41" t="s">
        <v>21033</v>
      </c>
      <c r="F3016" s="43" t="s">
        <v>21034</v>
      </c>
      <c r="G3016" s="43" t="s">
        <v>21035</v>
      </c>
      <c r="H3016" s="61" t="s">
        <v>148</v>
      </c>
      <c r="I3016" s="15" t="str">
        <f>IFERROR(__xludf.DUMMYFUNCTION("GOOGLETRANSLATE(H3016,""EN"",""ES"")"),"Gastronomía")</f>
        <v>Gastronomía</v>
      </c>
      <c r="J3016" s="16" t="s">
        <v>27</v>
      </c>
      <c r="K3016" s="17">
        <v>0.0</v>
      </c>
      <c r="L3016" s="45"/>
      <c r="M3016" s="18"/>
      <c r="N3016" s="86"/>
      <c r="O3016" s="86"/>
      <c r="P3016" s="20">
        <v>0.0</v>
      </c>
      <c r="Q3016" s="18"/>
      <c r="R3016" s="18"/>
      <c r="S3016" s="52"/>
      <c r="T3016" s="22"/>
    </row>
    <row r="3017">
      <c r="A3017" s="23" t="s">
        <v>21036</v>
      </c>
      <c r="B3017" s="77" t="s">
        <v>2283</v>
      </c>
      <c r="C3017" s="41">
        <v>45529.0</v>
      </c>
      <c r="D3017" s="40" t="s">
        <v>21037</v>
      </c>
      <c r="E3017" s="41" t="s">
        <v>21038</v>
      </c>
      <c r="F3017" s="43" t="s">
        <v>21039</v>
      </c>
      <c r="G3017" s="43" t="s">
        <v>21040</v>
      </c>
      <c r="H3017" s="59" t="s">
        <v>55</v>
      </c>
      <c r="I3017" s="25" t="str">
        <f>IFERROR(__xludf.DUMMYFUNCTION("GOOGLETRANSLATE(H3017,""EN"",""ES"")"),"deportes de motor")</f>
        <v>deportes de motor</v>
      </c>
      <c r="J3017" s="26" t="s">
        <v>27</v>
      </c>
      <c r="K3017" s="17">
        <v>0.0</v>
      </c>
      <c r="L3017" s="54"/>
      <c r="M3017" s="31"/>
      <c r="N3017" s="83"/>
      <c r="O3017" s="83"/>
      <c r="P3017" s="20">
        <v>0.0</v>
      </c>
      <c r="Q3017" s="31"/>
      <c r="R3017" s="31"/>
      <c r="S3017" s="53"/>
      <c r="T3017" s="32"/>
    </row>
    <row r="3018">
      <c r="A3018" s="33" t="s">
        <v>21041</v>
      </c>
      <c r="B3018" s="76" t="s">
        <v>4190</v>
      </c>
      <c r="C3018" s="41">
        <v>45529.0</v>
      </c>
      <c r="D3018" s="40" t="s">
        <v>21042</v>
      </c>
      <c r="E3018" s="41" t="s">
        <v>21043</v>
      </c>
      <c r="F3018" s="43" t="s">
        <v>21044</v>
      </c>
      <c r="G3018" s="43" t="s">
        <v>21045</v>
      </c>
      <c r="H3018" s="61" t="s">
        <v>55</v>
      </c>
      <c r="I3018" s="15" t="str">
        <f>IFERROR(__xludf.DUMMYFUNCTION("GOOGLETRANSLATE(H3018,""EN"",""ES"")"),"deportes de motor")</f>
        <v>deportes de motor</v>
      </c>
      <c r="J3018" s="16" t="s">
        <v>27</v>
      </c>
      <c r="K3018" s="17">
        <v>0.0</v>
      </c>
      <c r="L3018" s="45"/>
      <c r="M3018" s="18"/>
      <c r="N3018" s="86"/>
      <c r="O3018" s="86"/>
      <c r="P3018" s="20">
        <v>0.0</v>
      </c>
      <c r="Q3018" s="18"/>
      <c r="R3018" s="18"/>
      <c r="S3018" s="52"/>
      <c r="T3018" s="22"/>
    </row>
    <row r="3019">
      <c r="A3019" s="23" t="s">
        <v>21046</v>
      </c>
      <c r="B3019" s="77" t="s">
        <v>18119</v>
      </c>
      <c r="C3019" s="41">
        <v>45530.0</v>
      </c>
      <c r="D3019" s="40" t="s">
        <v>21047</v>
      </c>
      <c r="E3019" s="41" t="s">
        <v>21048</v>
      </c>
      <c r="F3019" s="43" t="s">
        <v>21049</v>
      </c>
      <c r="G3019" s="43" t="s">
        <v>21050</v>
      </c>
      <c r="H3019" s="59" t="s">
        <v>130</v>
      </c>
      <c r="I3019" s="25" t="str">
        <f>IFERROR(__xludf.DUMMYFUNCTION("GOOGLETRANSLATE(H3019,""EN"",""ES"")"),"Sostenibilidad")</f>
        <v>Sostenibilidad</v>
      </c>
      <c r="J3019" s="26" t="s">
        <v>35</v>
      </c>
      <c r="K3019" s="48">
        <v>0.7</v>
      </c>
      <c r="L3019" s="49" t="s">
        <v>16837</v>
      </c>
      <c r="M3019" s="28" t="s">
        <v>16838</v>
      </c>
      <c r="N3019" s="83" t="s">
        <v>21051</v>
      </c>
      <c r="O3019" s="83" t="str">
        <f>IFERROR(__xludf.DUMMYFUNCTION("GOOGLETRANSLATE(N3019,""EN"",""ES"")"),"Positivo ya que se trata de un proyecto de energía renovable.")</f>
        <v>Positivo ya que se trata de un proyecto de energía renovable.</v>
      </c>
      <c r="P3019" s="30">
        <v>0.8</v>
      </c>
      <c r="Q3019" s="31" t="str">
        <f>IFERROR(__xludf.DUMMYFUNCTION("GOOGLETRANSLATE(R3019,""ES"",""EN"")"),"offshore wind")</f>
        <v>offshore wind</v>
      </c>
      <c r="R3019" s="28" t="s">
        <v>13580</v>
      </c>
      <c r="S3019" s="53" t="s">
        <v>20021</v>
      </c>
      <c r="T3019" s="32" t="s">
        <v>20022</v>
      </c>
    </row>
    <row r="3020">
      <c r="A3020" s="33" t="s">
        <v>21052</v>
      </c>
      <c r="B3020" s="76" t="s">
        <v>5129</v>
      </c>
      <c r="C3020" s="41">
        <v>45530.0</v>
      </c>
      <c r="D3020" s="40" t="s">
        <v>21053</v>
      </c>
      <c r="E3020" s="41" t="s">
        <v>21054</v>
      </c>
      <c r="F3020" s="43" t="s">
        <v>21055</v>
      </c>
      <c r="G3020" s="43" t="s">
        <v>21056</v>
      </c>
      <c r="H3020" s="61" t="s">
        <v>48</v>
      </c>
      <c r="I3020" s="15" t="str">
        <f>IFERROR(__xludf.DUMMYFUNCTION("GOOGLETRANSLATE(H3020,""EN"",""ES"")"),"Finanzas")</f>
        <v>Finanzas</v>
      </c>
      <c r="J3020" s="16" t="s">
        <v>35</v>
      </c>
      <c r="K3020" s="48">
        <v>0.7</v>
      </c>
      <c r="L3020" s="51" t="s">
        <v>15881</v>
      </c>
      <c r="M3020" s="34" t="s">
        <v>15882</v>
      </c>
      <c r="N3020" s="86" t="s">
        <v>21057</v>
      </c>
      <c r="O3020" s="86" t="str">
        <f>IFERROR(__xludf.DUMMYFUNCTION("GOOGLETRANSLATE(N3020,""EN"",""ES"")"),"Positivo para la acción de Repsol, aunque el motivo es una crisis geopolítica.")</f>
        <v>Positivo para la acción de Repsol, aunque el motivo es una crisis geopolítica.</v>
      </c>
      <c r="P3020" s="30">
        <v>0.5</v>
      </c>
      <c r="Q3020" s="18" t="str">
        <f>IFERROR(__xludf.DUMMYFUNCTION("GOOGLETRANSLATE(R3020,""ES"",""EN"")"),"they go up")</f>
        <v>they go up</v>
      </c>
      <c r="R3020" s="34" t="s">
        <v>21058</v>
      </c>
      <c r="S3020" s="52" t="s">
        <v>21059</v>
      </c>
      <c r="T3020" s="22" t="s">
        <v>21060</v>
      </c>
    </row>
    <row r="3021">
      <c r="A3021" s="23" t="s">
        <v>21061</v>
      </c>
      <c r="B3021" s="77" t="s">
        <v>5525</v>
      </c>
      <c r="C3021" s="41">
        <v>45530.0</v>
      </c>
      <c r="D3021" s="40" t="s">
        <v>21062</v>
      </c>
      <c r="E3021" s="41" t="s">
        <v>21063</v>
      </c>
      <c r="F3021" s="43" t="s">
        <v>21064</v>
      </c>
      <c r="G3021" s="43" t="s">
        <v>21065</v>
      </c>
      <c r="H3021" s="59" t="s">
        <v>48</v>
      </c>
      <c r="I3021" s="25" t="str">
        <f>IFERROR(__xludf.DUMMYFUNCTION("GOOGLETRANSLATE(H3021,""EN"",""ES"")"),"Finanzas")</f>
        <v>Finanzas</v>
      </c>
      <c r="J3021" s="26" t="s">
        <v>35</v>
      </c>
      <c r="K3021" s="48">
        <v>-0.5</v>
      </c>
      <c r="L3021" s="49" t="s">
        <v>19216</v>
      </c>
      <c r="M3021" s="28" t="s">
        <v>19217</v>
      </c>
      <c r="N3021" s="83" t="s">
        <v>21066</v>
      </c>
      <c r="O3021" s="83" t="str">
        <f>IFERROR(__xludf.DUMMYFUNCTION("GOOGLETRANSLATE(N3021,""EN"",""ES"")"),"Negativo debido a preocupaciones sobre la incertidumbre del mercado.")</f>
        <v>Negativo debido a preocupaciones sobre la incertidumbre del mercado.</v>
      </c>
      <c r="P3021" s="30">
        <v>0.4</v>
      </c>
      <c r="Q3021" s="31" t="str">
        <f>IFERROR(__xludf.DUMMYFUNCTION("GOOGLETRANSLATE(R3021,""ES"",""EN"")"),"leads")</f>
        <v>leads</v>
      </c>
      <c r="R3021" s="28" t="s">
        <v>21067</v>
      </c>
      <c r="S3021" s="53" t="s">
        <v>21068</v>
      </c>
      <c r="T3021" s="32" t="s">
        <v>21069</v>
      </c>
    </row>
    <row r="3022">
      <c r="A3022" s="33" t="s">
        <v>21070</v>
      </c>
      <c r="B3022" s="76" t="s">
        <v>21</v>
      </c>
      <c r="C3022" s="41">
        <v>45530.0</v>
      </c>
      <c r="D3022" s="40" t="s">
        <v>21071</v>
      </c>
      <c r="E3022" s="41" t="s">
        <v>21072</v>
      </c>
      <c r="F3022" s="43" t="s">
        <v>21073</v>
      </c>
      <c r="G3022" s="43" t="s">
        <v>21074</v>
      </c>
      <c r="H3022" s="61" t="s">
        <v>148</v>
      </c>
      <c r="I3022" s="15" t="str">
        <f>IFERROR(__xludf.DUMMYFUNCTION("GOOGLETRANSLATE(H3022,""EN"",""ES"")"),"Gastronomía")</f>
        <v>Gastronomía</v>
      </c>
      <c r="J3022" s="16" t="s">
        <v>27</v>
      </c>
      <c r="K3022" s="17">
        <v>0.0</v>
      </c>
      <c r="L3022" s="45"/>
      <c r="M3022" s="18"/>
      <c r="N3022" s="86"/>
      <c r="O3022" s="86"/>
      <c r="P3022" s="20">
        <v>0.0</v>
      </c>
      <c r="Q3022" s="18"/>
      <c r="R3022" s="18"/>
      <c r="S3022" s="52"/>
      <c r="T3022" s="22"/>
    </row>
    <row r="3023">
      <c r="A3023" s="23" t="s">
        <v>21075</v>
      </c>
      <c r="B3023" s="77" t="s">
        <v>1602</v>
      </c>
      <c r="C3023" s="41">
        <v>45530.0</v>
      </c>
      <c r="D3023" s="40" t="s">
        <v>21076</v>
      </c>
      <c r="E3023" s="41" t="s">
        <v>21077</v>
      </c>
      <c r="F3023" s="43" t="s">
        <v>21078</v>
      </c>
      <c r="G3023" s="43" t="s">
        <v>21079</v>
      </c>
      <c r="H3023" s="59" t="s">
        <v>48</v>
      </c>
      <c r="I3023" s="25" t="str">
        <f>IFERROR(__xludf.DUMMYFUNCTION("GOOGLETRANSLATE(H3023,""EN"",""ES"")"),"Finanzas")</f>
        <v>Finanzas</v>
      </c>
      <c r="J3023" s="26" t="s">
        <v>35</v>
      </c>
      <c r="K3023" s="48">
        <v>0.7</v>
      </c>
      <c r="L3023" s="49" t="s">
        <v>19216</v>
      </c>
      <c r="M3023" s="28" t="s">
        <v>19217</v>
      </c>
      <c r="N3023" s="83" t="s">
        <v>21080</v>
      </c>
      <c r="O3023" s="83" t="str">
        <f>IFERROR(__xludf.DUMMYFUNCTION("GOOGLETRANSLATE(N3023,""EN"",""ES"")"),"Positivo porque sugiere que las acciones de Repsol pueden subir.")</f>
        <v>Positivo porque sugiere que las acciones de Repsol pueden subir.</v>
      </c>
      <c r="P3023" s="30">
        <v>0.6</v>
      </c>
      <c r="Q3023" s="31" t="str">
        <f>IFERROR(__xludf.DUMMYFUNCTION("GOOGLETRANSLATE(R3023,""ES"",""EN"")"),"upside potential")</f>
        <v>upside potential</v>
      </c>
      <c r="R3023" s="28" t="s">
        <v>10711</v>
      </c>
      <c r="S3023" s="53" t="s">
        <v>21081</v>
      </c>
      <c r="T3023" s="32" t="s">
        <v>21082</v>
      </c>
    </row>
    <row r="3024">
      <c r="A3024" s="33" t="s">
        <v>21083</v>
      </c>
      <c r="B3024" s="76" t="s">
        <v>1970</v>
      </c>
      <c r="C3024" s="41">
        <v>45530.0</v>
      </c>
      <c r="D3024" s="40" t="s">
        <v>21084</v>
      </c>
      <c r="E3024" s="41" t="s">
        <v>21085</v>
      </c>
      <c r="F3024" s="43" t="s">
        <v>21086</v>
      </c>
      <c r="G3024" s="43" t="s">
        <v>21087</v>
      </c>
      <c r="H3024" s="61" t="s">
        <v>130</v>
      </c>
      <c r="I3024" s="15" t="str">
        <f>IFERROR(__xludf.DUMMYFUNCTION("GOOGLETRANSLATE(H3024,""EN"",""ES"")"),"Sostenibilidad")</f>
        <v>Sostenibilidad</v>
      </c>
      <c r="J3024" s="16" t="s">
        <v>35</v>
      </c>
      <c r="K3024" s="48">
        <v>0.7</v>
      </c>
      <c r="L3024" s="51" t="s">
        <v>16837</v>
      </c>
      <c r="M3024" s="34" t="s">
        <v>16838</v>
      </c>
      <c r="N3024" s="86" t="s">
        <v>21088</v>
      </c>
      <c r="O3024" s="86" t="str">
        <f>IFERROR(__xludf.DUMMYFUNCTION("GOOGLETRANSLATE(N3024,""EN"",""ES"")"),"Positivo ya que se habla de una iniciativa de energía renovable.")</f>
        <v>Positivo ya que se habla de una iniciativa de energía renovable.</v>
      </c>
      <c r="P3024" s="30">
        <v>0.8</v>
      </c>
      <c r="Q3024" s="18" t="str">
        <f>IFERROR(__xludf.DUMMYFUNCTION("GOOGLETRANSLATE(R3024,""ES"",""EN"")"),"offshore wind")</f>
        <v>offshore wind</v>
      </c>
      <c r="R3024" s="34" t="s">
        <v>13580</v>
      </c>
      <c r="S3024" s="52" t="s">
        <v>20021</v>
      </c>
      <c r="T3024" s="22" t="s">
        <v>20022</v>
      </c>
    </row>
    <row r="3025">
      <c r="A3025" s="23" t="s">
        <v>21089</v>
      </c>
      <c r="B3025" s="77" t="s">
        <v>74</v>
      </c>
      <c r="C3025" s="41">
        <v>45530.0</v>
      </c>
      <c r="D3025" s="40" t="s">
        <v>21090</v>
      </c>
      <c r="E3025" s="41" t="s">
        <v>21091</v>
      </c>
      <c r="F3025" s="43" t="s">
        <v>21092</v>
      </c>
      <c r="G3025" s="43" t="s">
        <v>21093</v>
      </c>
      <c r="H3025" s="59" t="s">
        <v>661</v>
      </c>
      <c r="I3025" s="25" t="str">
        <f>IFERROR(__xludf.DUMMYFUNCTION("GOOGLETRANSLATE(H3025,""EN"",""ES"")"),"Estrategia empresarial")</f>
        <v>Estrategia empresarial</v>
      </c>
      <c r="J3025" s="26" t="s">
        <v>35</v>
      </c>
      <c r="K3025" s="48">
        <v>0.7</v>
      </c>
      <c r="L3025" s="49" t="s">
        <v>21094</v>
      </c>
      <c r="M3025" s="28" t="s">
        <v>21095</v>
      </c>
      <c r="N3025" s="83" t="s">
        <v>21096</v>
      </c>
      <c r="O3025" s="83" t="str">
        <f>IFERROR(__xludf.DUMMYFUNCTION("GOOGLETRANSLATE(N3025,""EN"",""ES"")"),"Positivo porque habla de eficiencia y progreso tecnológico.")</f>
        <v>Positivo porque habla de eficiencia y progreso tecnológico.</v>
      </c>
      <c r="P3025" s="30">
        <v>0.0</v>
      </c>
      <c r="Q3025" s="31"/>
      <c r="R3025" s="31"/>
      <c r="S3025" s="53" t="s">
        <v>12139</v>
      </c>
      <c r="T3025" s="32" t="s">
        <v>12140</v>
      </c>
    </row>
    <row r="3026">
      <c r="A3026" s="33" t="s">
        <v>21097</v>
      </c>
      <c r="B3026" s="76" t="s">
        <v>558</v>
      </c>
      <c r="C3026" s="41">
        <v>45530.0</v>
      </c>
      <c r="D3026" s="40" t="s">
        <v>21098</v>
      </c>
      <c r="E3026" s="41" t="s">
        <v>21099</v>
      </c>
      <c r="F3026" s="43" t="s">
        <v>21100</v>
      </c>
      <c r="G3026" s="43" t="s">
        <v>21101</v>
      </c>
      <c r="H3026" s="61" t="s">
        <v>48</v>
      </c>
      <c r="I3026" s="15" t="str">
        <f>IFERROR(__xludf.DUMMYFUNCTION("GOOGLETRANSLATE(H3026,""EN"",""ES"")"),"Finanzas")</f>
        <v>Finanzas</v>
      </c>
      <c r="J3026" s="16" t="s">
        <v>35</v>
      </c>
      <c r="K3026" s="48">
        <v>0.6</v>
      </c>
      <c r="L3026" s="51" t="s">
        <v>19216</v>
      </c>
      <c r="M3026" s="34" t="s">
        <v>19217</v>
      </c>
      <c r="N3026" s="86" t="s">
        <v>21102</v>
      </c>
      <c r="O3026" s="86" t="str">
        <f>IFERROR(__xludf.DUMMYFUNCTION("GOOGLETRANSLATE(N3026,""EN"",""ES"")"),"Positivo ya que sugiere una mejora del mercado de valores.")</f>
        <v>Positivo ya que sugiere una mejora del mercado de valores.</v>
      </c>
      <c r="P3026" s="30">
        <v>0.3</v>
      </c>
      <c r="Q3026" s="18" t="str">
        <f>IFERROR(__xludf.DUMMYFUNCTION("GOOGLETRANSLATE(R3026,""ES"",""EN"")"),"#VALUE!")</f>
        <v>#VALUE!</v>
      </c>
      <c r="R3026" s="18"/>
      <c r="S3026" s="52" t="s">
        <v>21103</v>
      </c>
      <c r="T3026" s="22" t="s">
        <v>21104</v>
      </c>
    </row>
    <row r="3027">
      <c r="A3027" s="23" t="s">
        <v>21105</v>
      </c>
      <c r="B3027" s="77" t="s">
        <v>85</v>
      </c>
      <c r="C3027" s="41">
        <v>45530.0</v>
      </c>
      <c r="D3027" s="40" t="s">
        <v>21106</v>
      </c>
      <c r="E3027" s="41" t="s">
        <v>21107</v>
      </c>
      <c r="F3027" s="43" t="s">
        <v>21108</v>
      </c>
      <c r="G3027" s="43" t="s">
        <v>21109</v>
      </c>
      <c r="H3027" s="59" t="s">
        <v>148</v>
      </c>
      <c r="I3027" s="25" t="str">
        <f>IFERROR(__xludf.DUMMYFUNCTION("GOOGLETRANSLATE(H3027,""EN"",""ES"")"),"Gastronomía")</f>
        <v>Gastronomía</v>
      </c>
      <c r="J3027" s="26" t="s">
        <v>27</v>
      </c>
      <c r="K3027" s="17">
        <v>0.0</v>
      </c>
      <c r="L3027" s="54"/>
      <c r="M3027" s="31"/>
      <c r="N3027" s="83"/>
      <c r="O3027" s="83"/>
      <c r="P3027" s="20">
        <v>0.0</v>
      </c>
      <c r="Q3027" s="31"/>
      <c r="R3027" s="31"/>
      <c r="S3027" s="53"/>
      <c r="T3027" s="32"/>
    </row>
    <row r="3028">
      <c r="A3028" s="33" t="s">
        <v>21110</v>
      </c>
      <c r="B3028" s="76" t="s">
        <v>163</v>
      </c>
      <c r="C3028" s="41">
        <v>45530.0</v>
      </c>
      <c r="D3028" s="40" t="s">
        <v>21111</v>
      </c>
      <c r="E3028" s="41" t="s">
        <v>21112</v>
      </c>
      <c r="F3028" s="43" t="s">
        <v>21113</v>
      </c>
      <c r="G3028" s="43" t="s">
        <v>21114</v>
      </c>
      <c r="H3028" s="61" t="s">
        <v>55</v>
      </c>
      <c r="I3028" s="15" t="str">
        <f>IFERROR(__xludf.DUMMYFUNCTION("GOOGLETRANSLATE(H3028,""EN"",""ES"")"),"deportes de motor")</f>
        <v>deportes de motor</v>
      </c>
      <c r="J3028" s="16" t="s">
        <v>27</v>
      </c>
      <c r="K3028" s="17">
        <v>0.0</v>
      </c>
      <c r="L3028" s="45"/>
      <c r="M3028" s="18"/>
      <c r="N3028" s="86"/>
      <c r="O3028" s="86"/>
      <c r="P3028" s="20">
        <v>0.0</v>
      </c>
      <c r="Q3028" s="18"/>
      <c r="R3028" s="18"/>
      <c r="S3028" s="52"/>
      <c r="T3028" s="22"/>
    </row>
    <row r="3029">
      <c r="A3029" s="23" t="s">
        <v>21115</v>
      </c>
      <c r="B3029" s="77" t="s">
        <v>10095</v>
      </c>
      <c r="C3029" s="41">
        <v>45530.0</v>
      </c>
      <c r="D3029" s="40" t="s">
        <v>21116</v>
      </c>
      <c r="E3029" s="41" t="s">
        <v>21117</v>
      </c>
      <c r="F3029" s="43" t="s">
        <v>21118</v>
      </c>
      <c r="G3029" s="43" t="s">
        <v>21119</v>
      </c>
      <c r="H3029" s="59" t="s">
        <v>130</v>
      </c>
      <c r="I3029" s="25" t="str">
        <f>IFERROR(__xludf.DUMMYFUNCTION("GOOGLETRANSLATE(H3029,""EN"",""ES"")"),"Sostenibilidad")</f>
        <v>Sostenibilidad</v>
      </c>
      <c r="J3029" s="26" t="s">
        <v>35</v>
      </c>
      <c r="K3029" s="48">
        <v>0.7</v>
      </c>
      <c r="L3029" s="49" t="s">
        <v>16837</v>
      </c>
      <c r="M3029" s="28" t="s">
        <v>16838</v>
      </c>
      <c r="N3029" s="83" t="s">
        <v>21051</v>
      </c>
      <c r="O3029" s="83" t="str">
        <f>IFERROR(__xludf.DUMMYFUNCTION("GOOGLETRANSLATE(N3029,""EN"",""ES"")"),"Positivo ya que se trata de un proyecto de energía renovable.")</f>
        <v>Positivo ya que se trata de un proyecto de energía renovable.</v>
      </c>
      <c r="P3029" s="30">
        <v>0.8</v>
      </c>
      <c r="Q3029" s="31" t="str">
        <f>IFERROR(__xludf.DUMMYFUNCTION("GOOGLETRANSLATE(R3029,""ES"",""EN"")"),"offshore wind")</f>
        <v>offshore wind</v>
      </c>
      <c r="R3029" s="28" t="s">
        <v>21120</v>
      </c>
      <c r="S3029" s="53" t="s">
        <v>20021</v>
      </c>
      <c r="T3029" s="32" t="s">
        <v>20022</v>
      </c>
    </row>
    <row r="3030">
      <c r="A3030" s="33" t="s">
        <v>21121</v>
      </c>
      <c r="B3030" s="76" t="s">
        <v>871</v>
      </c>
      <c r="C3030" s="41">
        <v>45530.0</v>
      </c>
      <c r="D3030" s="40" t="s">
        <v>21122</v>
      </c>
      <c r="E3030" s="41" t="s">
        <v>21123</v>
      </c>
      <c r="F3030" s="43" t="s">
        <v>21124</v>
      </c>
      <c r="G3030" s="43" t="s">
        <v>21125</v>
      </c>
      <c r="H3030" s="61" t="s">
        <v>130</v>
      </c>
      <c r="I3030" s="15" t="str">
        <f>IFERROR(__xludf.DUMMYFUNCTION("GOOGLETRANSLATE(H3030,""EN"",""ES"")"),"Sostenibilidad")</f>
        <v>Sostenibilidad</v>
      </c>
      <c r="J3030" s="16" t="s">
        <v>35</v>
      </c>
      <c r="K3030" s="48">
        <v>0.7</v>
      </c>
      <c r="L3030" s="51" t="s">
        <v>16837</v>
      </c>
      <c r="M3030" s="34" t="s">
        <v>16838</v>
      </c>
      <c r="N3030" s="86" t="s">
        <v>21126</v>
      </c>
      <c r="O3030" s="86" t="str">
        <f>IFERROR(__xludf.DUMMYFUNCTION("GOOGLETRANSLATE(N3030,""EN"",""ES"")"),"Positivo ya que destaca una iniciativa de energías renovables.")</f>
        <v>Positivo ya que destaca una iniciativa de energías renovables.</v>
      </c>
      <c r="P3030" s="30">
        <v>0.8</v>
      </c>
      <c r="Q3030" s="18" t="str">
        <f>IFERROR(__xludf.DUMMYFUNCTION("GOOGLETRANSLATE(R3030,""ES"",""EN"")"),"offshore wind")</f>
        <v>offshore wind</v>
      </c>
      <c r="R3030" s="34" t="s">
        <v>21120</v>
      </c>
      <c r="S3030" s="52" t="s">
        <v>20021</v>
      </c>
      <c r="T3030" s="22" t="s">
        <v>20022</v>
      </c>
    </row>
    <row r="3031">
      <c r="A3031" s="23" t="s">
        <v>21127</v>
      </c>
      <c r="B3031" s="77" t="s">
        <v>1081</v>
      </c>
      <c r="C3031" s="41">
        <v>45530.0</v>
      </c>
      <c r="D3031" s="40" t="s">
        <v>21128</v>
      </c>
      <c r="E3031" s="41" t="s">
        <v>21129</v>
      </c>
      <c r="F3031" s="43" t="s">
        <v>21130</v>
      </c>
      <c r="G3031" s="43" t="s">
        <v>21131</v>
      </c>
      <c r="H3031" s="59" t="s">
        <v>661</v>
      </c>
      <c r="I3031" s="25" t="str">
        <f>IFERROR(__xludf.DUMMYFUNCTION("GOOGLETRANSLATE(H3031,""EN"",""ES"")"),"Estrategia empresarial")</f>
        <v>Estrategia empresarial</v>
      </c>
      <c r="J3031" s="26" t="s">
        <v>35</v>
      </c>
      <c r="K3031" s="48">
        <v>0.5</v>
      </c>
      <c r="L3031" s="49" t="s">
        <v>20374</v>
      </c>
      <c r="M3031" s="28" t="s">
        <v>20375</v>
      </c>
      <c r="N3031" s="83" t="s">
        <v>21132</v>
      </c>
      <c r="O3031" s="83" t="str">
        <f>IFERROR(__xludf.DUMMYFUNCTION("GOOGLETRANSLATE(N3031,""EN"",""ES"")"),"Positivo ya que resuelve un conflicto laboral.")</f>
        <v>Positivo ya que resuelve un conflicto laboral.</v>
      </c>
      <c r="P3031" s="30">
        <v>-0.3</v>
      </c>
      <c r="Q3031" s="31" t="str">
        <f>IFERROR(__xludf.DUMMYFUNCTION("GOOGLETRANSLATE(R3031,""ES"",""EN"")"),"strike")</f>
        <v>strike</v>
      </c>
      <c r="R3031" s="28" t="s">
        <v>21133</v>
      </c>
      <c r="S3031" s="53" t="s">
        <v>21134</v>
      </c>
      <c r="T3031" s="32" t="s">
        <v>21135</v>
      </c>
    </row>
    <row r="3032">
      <c r="A3032" s="33" t="s">
        <v>21136</v>
      </c>
      <c r="B3032" s="76" t="s">
        <v>85</v>
      </c>
      <c r="C3032" s="41">
        <v>45530.0</v>
      </c>
      <c r="D3032" s="40" t="s">
        <v>21137</v>
      </c>
      <c r="E3032" s="41" t="s">
        <v>21138</v>
      </c>
      <c r="F3032" s="43" t="s">
        <v>21139</v>
      </c>
      <c r="G3032" s="43" t="s">
        <v>21140</v>
      </c>
      <c r="H3032" s="61" t="s">
        <v>48</v>
      </c>
      <c r="I3032" s="15" t="str">
        <f>IFERROR(__xludf.DUMMYFUNCTION("GOOGLETRANSLATE(H3032,""EN"",""ES"")"),"Finanzas")</f>
        <v>Finanzas</v>
      </c>
      <c r="J3032" s="16" t="s">
        <v>35</v>
      </c>
      <c r="K3032" s="48">
        <v>0.7</v>
      </c>
      <c r="L3032" s="51" t="s">
        <v>19216</v>
      </c>
      <c r="M3032" s="34" t="s">
        <v>19217</v>
      </c>
      <c r="N3032" s="86" t="s">
        <v>21141</v>
      </c>
      <c r="O3032" s="86" t="str">
        <f>IFERROR(__xludf.DUMMYFUNCTION("GOOGLETRANSLATE(N3032,""EN"",""ES"")"),"Positivo ya que sugiere una recuperación financiera.")</f>
        <v>Positivo ya que sugiere una recuperación financiera.</v>
      </c>
      <c r="P3032" s="30">
        <v>0.4</v>
      </c>
      <c r="Q3032" s="18" t="str">
        <f>IFERROR(__xludf.DUMMYFUNCTION("GOOGLETRANSLATE(R3032,""ES"",""EN"")"),"bounces")</f>
        <v>bounces</v>
      </c>
      <c r="R3032" s="34" t="s">
        <v>21142</v>
      </c>
      <c r="S3032" s="52" t="s">
        <v>21143</v>
      </c>
      <c r="T3032" s="22" t="s">
        <v>21144</v>
      </c>
    </row>
    <row r="3033">
      <c r="A3033" s="23" t="s">
        <v>21145</v>
      </c>
      <c r="B3033" s="77" t="s">
        <v>21</v>
      </c>
      <c r="C3033" s="41">
        <v>45530.0</v>
      </c>
      <c r="D3033" s="40" t="s">
        <v>21146</v>
      </c>
      <c r="E3033" s="41" t="s">
        <v>21147</v>
      </c>
      <c r="F3033" s="43" t="s">
        <v>21148</v>
      </c>
      <c r="G3033" s="43" t="s">
        <v>21149</v>
      </c>
      <c r="H3033" s="59" t="s">
        <v>148</v>
      </c>
      <c r="I3033" s="25" t="str">
        <f>IFERROR(__xludf.DUMMYFUNCTION("GOOGLETRANSLATE(H3033,""EN"",""ES"")"),"Gastronomía")</f>
        <v>Gastronomía</v>
      </c>
      <c r="J3033" s="26" t="s">
        <v>27</v>
      </c>
      <c r="K3033" s="17">
        <v>0.0</v>
      </c>
      <c r="L3033" s="54"/>
      <c r="M3033" s="31"/>
      <c r="N3033" s="83"/>
      <c r="O3033" s="83"/>
      <c r="P3033" s="20">
        <v>0.0</v>
      </c>
      <c r="Q3033" s="31"/>
      <c r="R3033" s="31"/>
      <c r="S3033" s="53"/>
      <c r="T3033" s="32"/>
    </row>
    <row r="3034">
      <c r="A3034" s="33" t="s">
        <v>21150</v>
      </c>
      <c r="B3034" s="76" t="s">
        <v>217</v>
      </c>
      <c r="C3034" s="41">
        <v>45531.0</v>
      </c>
      <c r="D3034" s="40" t="s">
        <v>21151</v>
      </c>
      <c r="E3034" s="41" t="s">
        <v>21152</v>
      </c>
      <c r="F3034" s="43" t="s">
        <v>21153</v>
      </c>
      <c r="G3034" s="43" t="s">
        <v>21154</v>
      </c>
      <c r="H3034" s="61" t="s">
        <v>48</v>
      </c>
      <c r="I3034" s="15" t="str">
        <f>IFERROR(__xludf.DUMMYFUNCTION("GOOGLETRANSLATE(H3034,""EN"",""ES"")"),"Finanzas")</f>
        <v>Finanzas</v>
      </c>
      <c r="J3034" s="16" t="s">
        <v>35</v>
      </c>
      <c r="K3034" s="48">
        <v>0.7</v>
      </c>
      <c r="L3034" s="51" t="s">
        <v>21155</v>
      </c>
      <c r="M3034" s="34" t="s">
        <v>21156</v>
      </c>
      <c r="N3034" s="86" t="s">
        <v>21157</v>
      </c>
      <c r="O3034" s="86" t="str">
        <f>IFERROR(__xludf.DUMMYFUNCTION("GOOGLETRANSLATE(N3034,""EN"",""ES"")"),"Positivo ya que refleja la confianza de los inversores.")</f>
        <v>Positivo ya que refleja la confianza de los inversores.</v>
      </c>
      <c r="P3034" s="30">
        <v>0.3</v>
      </c>
      <c r="Q3034" s="18" t="str">
        <f>IFERROR(__xludf.DUMMYFUNCTION("GOOGLETRANSLATE(R3034,""ES"",""EN"")"),"emits")</f>
        <v>emits</v>
      </c>
      <c r="R3034" s="34" t="s">
        <v>21158</v>
      </c>
      <c r="S3034" s="52" t="s">
        <v>21159</v>
      </c>
      <c r="T3034" s="22" t="s">
        <v>21160</v>
      </c>
    </row>
    <row r="3035">
      <c r="A3035" s="23" t="s">
        <v>21161</v>
      </c>
      <c r="B3035" s="77" t="s">
        <v>614</v>
      </c>
      <c r="C3035" s="41">
        <v>45531.0</v>
      </c>
      <c r="D3035" s="40" t="s">
        <v>21162</v>
      </c>
      <c r="E3035" s="41" t="s">
        <v>21163</v>
      </c>
      <c r="F3035" s="43" t="s">
        <v>21164</v>
      </c>
      <c r="G3035" s="43" t="s">
        <v>21165</v>
      </c>
      <c r="H3035" s="59" t="s">
        <v>48</v>
      </c>
      <c r="I3035" s="25" t="str">
        <f>IFERROR(__xludf.DUMMYFUNCTION("GOOGLETRANSLATE(H3035,""EN"",""ES"")"),"Finanzas")</f>
        <v>Finanzas</v>
      </c>
      <c r="J3035" s="26" t="s">
        <v>35</v>
      </c>
      <c r="K3035" s="48">
        <v>0.7</v>
      </c>
      <c r="L3035" s="49" t="s">
        <v>21155</v>
      </c>
      <c r="M3035" s="28" t="s">
        <v>21156</v>
      </c>
      <c r="N3035" s="83" t="s">
        <v>21166</v>
      </c>
      <c r="O3035" s="83" t="str">
        <f>IFERROR(__xludf.DUMMYFUNCTION("GOOGLETRANSLATE(N3035,""EN"",""ES"")"),"Positivo ya que sugiere un fuerte interés financiero.")</f>
        <v>Positivo ya que sugiere un fuerte interés financiero.</v>
      </c>
      <c r="P3035" s="30">
        <v>0.5</v>
      </c>
      <c r="Q3035" s="31" t="str">
        <f>IFERROR(__xludf.DUMMYFUNCTION("GOOGLETRANSLATE(R3035,""ES"",""EN"")"),"bonuses")</f>
        <v>bonuses</v>
      </c>
      <c r="R3035" s="28" t="s">
        <v>21167</v>
      </c>
      <c r="S3035" s="53" t="s">
        <v>21168</v>
      </c>
      <c r="T3035" s="32" t="s">
        <v>21169</v>
      </c>
    </row>
    <row r="3036">
      <c r="A3036" s="33" t="s">
        <v>21170</v>
      </c>
      <c r="B3036" s="76" t="s">
        <v>3045</v>
      </c>
      <c r="C3036" s="41">
        <v>45531.0</v>
      </c>
      <c r="D3036" s="40" t="s">
        <v>21171</v>
      </c>
      <c r="E3036" s="41" t="s">
        <v>21172</v>
      </c>
      <c r="F3036" s="43" t="s">
        <v>21173</v>
      </c>
      <c r="G3036" s="43" t="s">
        <v>21174</v>
      </c>
      <c r="H3036" s="61" t="s">
        <v>148</v>
      </c>
      <c r="I3036" s="15" t="str">
        <f>IFERROR(__xludf.DUMMYFUNCTION("GOOGLETRANSLATE(H3036,""EN"",""ES"")"),"Gastronomía")</f>
        <v>Gastronomía</v>
      </c>
      <c r="J3036" s="16" t="s">
        <v>27</v>
      </c>
      <c r="K3036" s="17">
        <v>0.0</v>
      </c>
      <c r="L3036" s="45"/>
      <c r="M3036" s="18"/>
      <c r="N3036" s="86"/>
      <c r="O3036" s="86"/>
      <c r="P3036" s="20">
        <v>0.0</v>
      </c>
      <c r="Q3036" s="18"/>
      <c r="R3036" s="18"/>
      <c r="S3036" s="52"/>
      <c r="T3036" s="22"/>
    </row>
    <row r="3037">
      <c r="A3037" s="23" t="s">
        <v>21175</v>
      </c>
      <c r="B3037" s="77" t="s">
        <v>207</v>
      </c>
      <c r="C3037" s="41">
        <v>45531.0</v>
      </c>
      <c r="D3037" s="40" t="s">
        <v>21176</v>
      </c>
      <c r="E3037" s="41" t="s">
        <v>21177</v>
      </c>
      <c r="F3037" s="43" t="s">
        <v>21178</v>
      </c>
      <c r="G3037" s="43" t="s">
        <v>21179</v>
      </c>
      <c r="H3037" s="59" t="s">
        <v>661</v>
      </c>
      <c r="I3037" s="25" t="str">
        <f>IFERROR(__xludf.DUMMYFUNCTION("GOOGLETRANSLATE(H3037,""EN"",""ES"")"),"Estrategia empresarial")</f>
        <v>Estrategia empresarial</v>
      </c>
      <c r="J3037" s="26" t="s">
        <v>35</v>
      </c>
      <c r="K3037" s="48">
        <v>-0.5</v>
      </c>
      <c r="L3037" s="49" t="s">
        <v>19885</v>
      </c>
      <c r="M3037" s="28" t="s">
        <v>19886</v>
      </c>
      <c r="N3037" s="83" t="s">
        <v>21180</v>
      </c>
      <c r="O3037" s="83" t="str">
        <f>IFERROR(__xludf.DUMMYFUNCTION("GOOGLETRANSLATE(N3037,""EN"",""ES"")"),"Negativo ya que analiza las controvertidas importaciones de energía.")</f>
        <v>Negativo ya que analiza las controvertidas importaciones de energía.</v>
      </c>
      <c r="P3037" s="30">
        <v>-0.2</v>
      </c>
      <c r="Q3037" s="31" t="str">
        <f>IFERROR(__xludf.DUMMYFUNCTION("GOOGLETRANSLATE(R3037,""ES"",""EN"")"),"#VALUE!")</f>
        <v>#VALUE!</v>
      </c>
      <c r="R3037" s="31"/>
      <c r="S3037" s="53" t="s">
        <v>21181</v>
      </c>
      <c r="T3037" s="32" t="s">
        <v>21182</v>
      </c>
    </row>
    <row r="3038">
      <c r="A3038" s="33" t="s">
        <v>21183</v>
      </c>
      <c r="B3038" s="76" t="s">
        <v>7048</v>
      </c>
      <c r="C3038" s="41">
        <v>45531.0</v>
      </c>
      <c r="D3038" s="40" t="s">
        <v>21184</v>
      </c>
      <c r="E3038" s="41" t="s">
        <v>21185</v>
      </c>
      <c r="F3038" s="43" t="s">
        <v>21186</v>
      </c>
      <c r="G3038" s="43" t="s">
        <v>21187</v>
      </c>
      <c r="H3038" s="61" t="s">
        <v>148</v>
      </c>
      <c r="I3038" s="15" t="str">
        <f>IFERROR(__xludf.DUMMYFUNCTION("GOOGLETRANSLATE(H3038,""EN"",""ES"")"),"Gastronomía")</f>
        <v>Gastronomía</v>
      </c>
      <c r="J3038" s="16" t="s">
        <v>27</v>
      </c>
      <c r="K3038" s="17">
        <v>0.0</v>
      </c>
      <c r="L3038" s="45"/>
      <c r="M3038" s="18"/>
      <c r="N3038" s="86"/>
      <c r="O3038" s="86"/>
      <c r="P3038" s="20">
        <v>0.0</v>
      </c>
      <c r="Q3038" s="18"/>
      <c r="R3038" s="18"/>
      <c r="S3038" s="52"/>
      <c r="T3038" s="22"/>
    </row>
    <row r="3039">
      <c r="A3039" s="23" t="s">
        <v>21188</v>
      </c>
      <c r="B3039" s="77" t="s">
        <v>16403</v>
      </c>
      <c r="C3039" s="41">
        <v>45531.0</v>
      </c>
      <c r="D3039" s="40" t="s">
        <v>21189</v>
      </c>
      <c r="E3039" s="41" t="s">
        <v>21190</v>
      </c>
      <c r="F3039" s="43" t="s">
        <v>21191</v>
      </c>
      <c r="G3039" s="43" t="s">
        <v>21192</v>
      </c>
      <c r="H3039" s="59" t="s">
        <v>148</v>
      </c>
      <c r="I3039" s="25" t="str">
        <f>IFERROR(__xludf.DUMMYFUNCTION("GOOGLETRANSLATE(H3039,""EN"",""ES"")"),"Gastronomía")</f>
        <v>Gastronomía</v>
      </c>
      <c r="J3039" s="26" t="s">
        <v>27</v>
      </c>
      <c r="K3039" s="17">
        <v>0.0</v>
      </c>
      <c r="L3039" s="54"/>
      <c r="M3039" s="31"/>
      <c r="N3039" s="83"/>
      <c r="O3039" s="83"/>
      <c r="P3039" s="20">
        <v>0.0</v>
      </c>
      <c r="Q3039" s="31"/>
      <c r="R3039" s="31"/>
      <c r="S3039" s="53"/>
      <c r="T3039" s="32"/>
    </row>
    <row r="3040">
      <c r="A3040" s="33" t="s">
        <v>21193</v>
      </c>
      <c r="B3040" s="76" t="s">
        <v>9516</v>
      </c>
      <c r="C3040" s="41">
        <v>45531.0</v>
      </c>
      <c r="D3040" s="40" t="s">
        <v>21194</v>
      </c>
      <c r="E3040" s="41" t="s">
        <v>21195</v>
      </c>
      <c r="F3040" s="43" t="s">
        <v>21196</v>
      </c>
      <c r="G3040" s="43" t="s">
        <v>21197</v>
      </c>
      <c r="H3040" s="61" t="s">
        <v>2591</v>
      </c>
      <c r="I3040" s="15" t="str">
        <f>IFERROR(__xludf.DUMMYFUNCTION("GOOGLETRANSLATE(H3040,""EN"",""ES"")"),"Negocio")</f>
        <v>Negocio</v>
      </c>
      <c r="J3040" s="16" t="s">
        <v>27</v>
      </c>
      <c r="K3040" s="17">
        <v>0.0</v>
      </c>
      <c r="L3040" s="45"/>
      <c r="M3040" s="18"/>
      <c r="N3040" s="86"/>
      <c r="O3040" s="86"/>
      <c r="P3040" s="20">
        <v>0.0</v>
      </c>
      <c r="Q3040" s="18"/>
      <c r="R3040" s="18"/>
      <c r="S3040" s="52"/>
      <c r="T3040" s="22"/>
    </row>
    <row r="3041">
      <c r="A3041" s="23" t="s">
        <v>21198</v>
      </c>
      <c r="B3041" s="77" t="s">
        <v>6458</v>
      </c>
      <c r="C3041" s="41">
        <v>45531.0</v>
      </c>
      <c r="D3041" s="40" t="s">
        <v>21199</v>
      </c>
      <c r="E3041" s="41" t="s">
        <v>21200</v>
      </c>
      <c r="F3041" s="43" t="s">
        <v>21201</v>
      </c>
      <c r="G3041" s="43" t="s">
        <v>21202</v>
      </c>
      <c r="H3041" s="59" t="s">
        <v>148</v>
      </c>
      <c r="I3041" s="25" t="str">
        <f>IFERROR(__xludf.DUMMYFUNCTION("GOOGLETRANSLATE(H3041,""EN"",""ES"")"),"Gastronomía")</f>
        <v>Gastronomía</v>
      </c>
      <c r="J3041" s="26" t="s">
        <v>27</v>
      </c>
      <c r="K3041" s="17">
        <v>0.0</v>
      </c>
      <c r="L3041" s="54"/>
      <c r="M3041" s="31"/>
      <c r="N3041" s="83"/>
      <c r="O3041" s="83"/>
      <c r="P3041" s="20">
        <v>0.0</v>
      </c>
      <c r="Q3041" s="31"/>
      <c r="R3041" s="31"/>
      <c r="S3041" s="53"/>
      <c r="T3041" s="32"/>
    </row>
    <row r="3042">
      <c r="A3042" s="33" t="s">
        <v>21203</v>
      </c>
      <c r="B3042" s="76" t="s">
        <v>85</v>
      </c>
      <c r="C3042" s="41">
        <v>45531.0</v>
      </c>
      <c r="D3042" s="40" t="s">
        <v>21204</v>
      </c>
      <c r="E3042" s="41" t="s">
        <v>21205</v>
      </c>
      <c r="F3042" s="43" t="s">
        <v>21206</v>
      </c>
      <c r="G3042" s="43" t="s">
        <v>21207</v>
      </c>
      <c r="H3042" s="61" t="s">
        <v>148</v>
      </c>
      <c r="I3042" s="15" t="str">
        <f>IFERROR(__xludf.DUMMYFUNCTION("GOOGLETRANSLATE(H3042,""EN"",""ES"")"),"Gastronomía")</f>
        <v>Gastronomía</v>
      </c>
      <c r="J3042" s="16" t="s">
        <v>27</v>
      </c>
      <c r="K3042" s="17">
        <v>0.0</v>
      </c>
      <c r="L3042" s="45"/>
      <c r="M3042" s="18"/>
      <c r="N3042" s="86"/>
      <c r="O3042" s="86"/>
      <c r="P3042" s="20">
        <v>0.0</v>
      </c>
      <c r="Q3042" s="18"/>
      <c r="R3042" s="18"/>
      <c r="S3042" s="52"/>
      <c r="T3042" s="22"/>
    </row>
    <row r="3043">
      <c r="A3043" s="23" t="s">
        <v>21208</v>
      </c>
      <c r="B3043" s="77" t="s">
        <v>103</v>
      </c>
      <c r="C3043" s="41">
        <v>45532.0</v>
      </c>
      <c r="D3043" s="40" t="s">
        <v>21209</v>
      </c>
      <c r="E3043" s="41" t="s">
        <v>21210</v>
      </c>
      <c r="F3043" s="43" t="s">
        <v>21211</v>
      </c>
      <c r="G3043" s="43" t="s">
        <v>21212</v>
      </c>
      <c r="H3043" s="59" t="s">
        <v>661</v>
      </c>
      <c r="I3043" s="25" t="str">
        <f>IFERROR(__xludf.DUMMYFUNCTION("GOOGLETRANSLATE(H3043,""EN"",""ES"")"),"Estrategia empresarial")</f>
        <v>Estrategia empresarial</v>
      </c>
      <c r="J3043" s="26" t="s">
        <v>35</v>
      </c>
      <c r="K3043" s="48">
        <v>0.6</v>
      </c>
      <c r="L3043" s="49" t="s">
        <v>21213</v>
      </c>
      <c r="M3043" s="28" t="s">
        <v>21214</v>
      </c>
      <c r="N3043" s="83" t="s">
        <v>21215</v>
      </c>
      <c r="O3043" s="83" t="str">
        <f>IFERROR(__xludf.DUMMYFUNCTION("GOOGLETRANSLATE(N3043,""EN"",""ES"")"),"Positivo ya que refleja una decisión estratégica de negocio.")</f>
        <v>Positivo ya que refleja una decisión estratégica de negocio.</v>
      </c>
      <c r="P3043" s="30">
        <v>-0.4</v>
      </c>
      <c r="Q3043" s="31" t="str">
        <f>IFERROR(__xludf.DUMMYFUNCTION("GOOGLETRANSLATE(R3043,""ES"",""EN"")"),"cancel sale")</f>
        <v>cancel sale</v>
      </c>
      <c r="R3043" s="28" t="s">
        <v>21216</v>
      </c>
      <c r="S3043" s="53" t="s">
        <v>21217</v>
      </c>
      <c r="T3043" s="32" t="s">
        <v>21218</v>
      </c>
    </row>
    <row r="3044">
      <c r="A3044" s="33" t="s">
        <v>21219</v>
      </c>
      <c r="B3044" s="76" t="s">
        <v>21220</v>
      </c>
      <c r="C3044" s="41">
        <v>45532.0</v>
      </c>
      <c r="D3044" s="40" t="s">
        <v>21221</v>
      </c>
      <c r="E3044" s="41" t="s">
        <v>21222</v>
      </c>
      <c r="F3044" s="43" t="s">
        <v>21223</v>
      </c>
      <c r="G3044" s="43" t="s">
        <v>21224</v>
      </c>
      <c r="H3044" s="61" t="s">
        <v>130</v>
      </c>
      <c r="I3044" s="15" t="str">
        <f>IFERROR(__xludf.DUMMYFUNCTION("GOOGLETRANSLATE(H3044,""EN"",""ES"")"),"Sostenibilidad")</f>
        <v>Sostenibilidad</v>
      </c>
      <c r="J3044" s="16" t="s">
        <v>35</v>
      </c>
      <c r="K3044" s="48">
        <v>0.7</v>
      </c>
      <c r="L3044" s="51" t="s">
        <v>12580</v>
      </c>
      <c r="M3044" s="34" t="s">
        <v>12581</v>
      </c>
      <c r="N3044" s="86" t="s">
        <v>21225</v>
      </c>
      <c r="O3044" s="86" t="str">
        <f>IFERROR(__xludf.DUMMYFUNCTION("GOOGLETRANSLATE(N3044,""EN"",""ES"")"),"Positivo ya que analiza los esfuerzos de sostenibilidad.")</f>
        <v>Positivo ya que analiza los esfuerzos de sostenibilidad.</v>
      </c>
      <c r="P3044" s="30">
        <v>0.5</v>
      </c>
      <c r="Q3044" s="18" t="str">
        <f>IFERROR(__xludf.DUMMYFUNCTION("GOOGLETRANSLATE(R3044,""ES"",""EN"")"),"waste")</f>
        <v>waste</v>
      </c>
      <c r="R3044" s="34" t="s">
        <v>21226</v>
      </c>
      <c r="S3044" s="52" t="s">
        <v>19877</v>
      </c>
      <c r="T3044" s="22" t="s">
        <v>19878</v>
      </c>
    </row>
    <row r="3045">
      <c r="A3045" s="23" t="s">
        <v>21227</v>
      </c>
      <c r="B3045" s="77" t="s">
        <v>18525</v>
      </c>
      <c r="C3045" s="41">
        <v>45532.0</v>
      </c>
      <c r="D3045" s="40" t="s">
        <v>21228</v>
      </c>
      <c r="E3045" s="41" t="s">
        <v>21229</v>
      </c>
      <c r="F3045" s="43" t="s">
        <v>21230</v>
      </c>
      <c r="G3045" s="43" t="s">
        <v>21231</v>
      </c>
      <c r="H3045" s="59" t="s">
        <v>408</v>
      </c>
      <c r="I3045" s="25" t="str">
        <f>IFERROR(__xludf.DUMMYFUNCTION("GOOGLETRANSLATE(H3045,""EN"",""ES"")"),"Legal")</f>
        <v>Legal</v>
      </c>
      <c r="J3045" s="26" t="s">
        <v>35</v>
      </c>
      <c r="K3045" s="48">
        <v>-0.6</v>
      </c>
      <c r="L3045" s="49" t="s">
        <v>21232</v>
      </c>
      <c r="M3045" s="28" t="s">
        <v>21233</v>
      </c>
      <c r="N3045" s="83" t="s">
        <v>21234</v>
      </c>
      <c r="O3045" s="83" t="str">
        <f>IFERROR(__xludf.DUMMYFUNCTION("GOOGLETRANSLATE(N3045,""EN"",""ES"")"),"Negativo ya que habla de una estafa que afecta a Repsol.")</f>
        <v>Negativo ya que habla de una estafa que afecta a Repsol.</v>
      </c>
      <c r="P3045" s="30">
        <v>-0.2</v>
      </c>
      <c r="Q3045" s="31" t="str">
        <f>IFERROR(__xludf.DUMMYFUNCTION("GOOGLETRANSLATE(R3045,""ES"",""EN"")"),"#VALUE!")</f>
        <v>#VALUE!</v>
      </c>
      <c r="R3045" s="31"/>
      <c r="S3045" s="53" t="s">
        <v>21235</v>
      </c>
      <c r="T3045" s="32" t="s">
        <v>21236</v>
      </c>
    </row>
    <row r="3046">
      <c r="A3046" s="33" t="s">
        <v>21237</v>
      </c>
      <c r="B3046" s="76" t="s">
        <v>217</v>
      </c>
      <c r="C3046" s="41">
        <v>45532.0</v>
      </c>
      <c r="D3046" s="40" t="s">
        <v>21238</v>
      </c>
      <c r="E3046" s="41" t="s">
        <v>21239</v>
      </c>
      <c r="F3046" s="43" t="s">
        <v>21240</v>
      </c>
      <c r="G3046" s="43" t="s">
        <v>21241</v>
      </c>
      <c r="H3046" s="61" t="s">
        <v>661</v>
      </c>
      <c r="I3046" s="15" t="str">
        <f>IFERROR(__xludf.DUMMYFUNCTION("GOOGLETRANSLATE(H3046,""EN"",""ES"")"),"Estrategia empresarial")</f>
        <v>Estrategia empresarial</v>
      </c>
      <c r="J3046" s="16" t="s">
        <v>35</v>
      </c>
      <c r="K3046" s="48">
        <v>0.6</v>
      </c>
      <c r="L3046" s="51" t="s">
        <v>21213</v>
      </c>
      <c r="M3046" s="34" t="s">
        <v>21214</v>
      </c>
      <c r="N3046" s="86" t="s">
        <v>21242</v>
      </c>
      <c r="O3046" s="86" t="str">
        <f>IFERROR(__xludf.DUMMYFUNCTION("GOOGLETRANSLATE(N3046,""EN"",""ES"")"),"Positivo ya que indica un giro estratégico del negocio.")</f>
        <v>Positivo ya que indica un giro estratégico del negocio.</v>
      </c>
      <c r="P3046" s="30">
        <v>-0.4</v>
      </c>
      <c r="Q3046" s="18" t="str">
        <f>IFERROR(__xludf.DUMMYFUNCTION("GOOGLETRANSLATE(R3046,""ES"",""EN"")"),"cancel sale")</f>
        <v>cancel sale</v>
      </c>
      <c r="R3046" s="34" t="s">
        <v>21216</v>
      </c>
      <c r="S3046" s="52" t="s">
        <v>21217</v>
      </c>
      <c r="T3046" s="22" t="s">
        <v>21218</v>
      </c>
    </row>
    <row r="3047">
      <c r="A3047" s="23" t="s">
        <v>21243</v>
      </c>
      <c r="B3047" s="77" t="s">
        <v>43</v>
      </c>
      <c r="C3047" s="41">
        <v>45532.0</v>
      </c>
      <c r="D3047" s="40" t="s">
        <v>21244</v>
      </c>
      <c r="E3047" s="41" t="s">
        <v>21245</v>
      </c>
      <c r="F3047" s="43" t="s">
        <v>21246</v>
      </c>
      <c r="G3047" s="43" t="s">
        <v>21247</v>
      </c>
      <c r="H3047" s="59" t="s">
        <v>661</v>
      </c>
      <c r="I3047" s="25" t="str">
        <f>IFERROR(__xludf.DUMMYFUNCTION("GOOGLETRANSLATE(H3047,""EN"",""ES"")"),"Estrategia empresarial")</f>
        <v>Estrategia empresarial</v>
      </c>
      <c r="J3047" s="26" t="s">
        <v>35</v>
      </c>
      <c r="K3047" s="48">
        <v>0.6</v>
      </c>
      <c r="L3047" s="49" t="s">
        <v>21213</v>
      </c>
      <c r="M3047" s="28" t="s">
        <v>21214</v>
      </c>
      <c r="N3047" s="83" t="s">
        <v>21248</v>
      </c>
      <c r="O3047" s="83" t="str">
        <f>IFERROR(__xludf.DUMMYFUNCTION("GOOGLETRANSLATE(N3047,""EN"",""ES"")"),"Positivo porque sugiere una reconsideración de la estrategia de inversión.")</f>
        <v>Positivo porque sugiere una reconsideración de la estrategia de inversión.</v>
      </c>
      <c r="P3047" s="30">
        <v>-0.5</v>
      </c>
      <c r="Q3047" s="31" t="str">
        <f>IFERROR(__xludf.DUMMYFUNCTION("GOOGLETRANSLATE(R3047,""ES"",""EN"")"),"cancel sale")</f>
        <v>cancel sale</v>
      </c>
      <c r="R3047" s="28" t="s">
        <v>21216</v>
      </c>
      <c r="S3047" s="53" t="s">
        <v>21217</v>
      </c>
      <c r="T3047" s="32" t="s">
        <v>21218</v>
      </c>
    </row>
    <row r="3048">
      <c r="A3048" s="33" t="s">
        <v>21249</v>
      </c>
      <c r="B3048" s="76" t="s">
        <v>1602</v>
      </c>
      <c r="C3048" s="41">
        <v>45532.0</v>
      </c>
      <c r="D3048" s="40" t="s">
        <v>21250</v>
      </c>
      <c r="E3048" s="41" t="s">
        <v>21251</v>
      </c>
      <c r="F3048" s="43" t="s">
        <v>21252</v>
      </c>
      <c r="G3048" s="43" t="s">
        <v>21253</v>
      </c>
      <c r="H3048" s="61" t="s">
        <v>661</v>
      </c>
      <c r="I3048" s="15" t="str">
        <f>IFERROR(__xludf.DUMMYFUNCTION("GOOGLETRANSLATE(H3048,""EN"",""ES"")"),"Estrategia empresarial")</f>
        <v>Estrategia empresarial</v>
      </c>
      <c r="J3048" s="16" t="s">
        <v>35</v>
      </c>
      <c r="K3048" s="48">
        <v>0.6</v>
      </c>
      <c r="L3048" s="51" t="s">
        <v>21213</v>
      </c>
      <c r="M3048" s="34" t="s">
        <v>21214</v>
      </c>
      <c r="N3048" s="86" t="s">
        <v>21254</v>
      </c>
      <c r="O3048" s="86" t="str">
        <f>IFERROR(__xludf.DUMMYFUNCTION("GOOGLETRANSLATE(N3048,""EN"",""ES"")"),"Positivo ya que indica un cambio de enfoque estratégico del negocio.")</f>
        <v>Positivo ya que indica un cambio de enfoque estratégico del negocio.</v>
      </c>
      <c r="P3048" s="30">
        <v>-0.3</v>
      </c>
      <c r="Q3048" s="18" t="str">
        <f>IFERROR(__xludf.DUMMYFUNCTION("GOOGLETRANSLATE(R3048,""ES"",""EN"")"),"cancel sale")</f>
        <v>cancel sale</v>
      </c>
      <c r="R3048" s="34" t="s">
        <v>21216</v>
      </c>
      <c r="S3048" s="52" t="s">
        <v>21255</v>
      </c>
      <c r="T3048" s="22" t="s">
        <v>21256</v>
      </c>
    </row>
    <row r="3049">
      <c r="A3049" s="23" t="s">
        <v>21257</v>
      </c>
      <c r="B3049" s="77" t="s">
        <v>163</v>
      </c>
      <c r="C3049" s="41">
        <v>45532.0</v>
      </c>
      <c r="D3049" s="40" t="s">
        <v>21258</v>
      </c>
      <c r="E3049" s="41" t="s">
        <v>21259</v>
      </c>
      <c r="F3049" s="43" t="s">
        <v>21260</v>
      </c>
      <c r="G3049" s="43" t="s">
        <v>21261</v>
      </c>
      <c r="H3049" s="59" t="s">
        <v>26</v>
      </c>
      <c r="I3049" s="25" t="str">
        <f>IFERROR(__xludf.DUMMYFUNCTION("GOOGLETRANSLATE(H3049,""EN"",""ES"")"),"Otro")</f>
        <v>Otro</v>
      </c>
      <c r="J3049" s="26" t="s">
        <v>27</v>
      </c>
      <c r="K3049" s="17">
        <v>0.0</v>
      </c>
      <c r="L3049" s="54"/>
      <c r="M3049" s="31"/>
      <c r="N3049" s="83"/>
      <c r="O3049" s="83"/>
      <c r="P3049" s="20">
        <v>0.0</v>
      </c>
      <c r="Q3049" s="31"/>
      <c r="R3049" s="31"/>
      <c r="S3049" s="53"/>
      <c r="T3049" s="32"/>
    </row>
    <row r="3050">
      <c r="A3050" s="33" t="s">
        <v>21262</v>
      </c>
      <c r="B3050" s="76" t="s">
        <v>21</v>
      </c>
      <c r="C3050" s="41">
        <v>45532.0</v>
      </c>
      <c r="D3050" s="40" t="s">
        <v>21263</v>
      </c>
      <c r="E3050" s="41" t="s">
        <v>21264</v>
      </c>
      <c r="F3050" s="43" t="s">
        <v>21265</v>
      </c>
      <c r="G3050" s="43" t="s">
        <v>21266</v>
      </c>
      <c r="H3050" s="61" t="s">
        <v>26</v>
      </c>
      <c r="I3050" s="15" t="str">
        <f>IFERROR(__xludf.DUMMYFUNCTION("GOOGLETRANSLATE(H3050,""EN"",""ES"")"),"Otro")</f>
        <v>Otro</v>
      </c>
      <c r="J3050" s="16" t="s">
        <v>27</v>
      </c>
      <c r="K3050" s="17">
        <v>0.0</v>
      </c>
      <c r="L3050" s="45"/>
      <c r="M3050" s="18"/>
      <c r="N3050" s="86"/>
      <c r="O3050" s="86"/>
      <c r="P3050" s="20">
        <v>0.0</v>
      </c>
      <c r="Q3050" s="18"/>
      <c r="R3050" s="18"/>
      <c r="S3050" s="52"/>
      <c r="T3050" s="22"/>
    </row>
    <row r="3051">
      <c r="A3051" s="23" t="s">
        <v>21267</v>
      </c>
      <c r="B3051" s="77" t="s">
        <v>1568</v>
      </c>
      <c r="C3051" s="41">
        <v>45532.0</v>
      </c>
      <c r="D3051" s="40" t="s">
        <v>21268</v>
      </c>
      <c r="E3051" s="41" t="s">
        <v>21269</v>
      </c>
      <c r="F3051" s="43" t="s">
        <v>21270</v>
      </c>
      <c r="G3051" s="43" t="s">
        <v>21271</v>
      </c>
      <c r="H3051" s="59" t="s">
        <v>21272</v>
      </c>
      <c r="I3051" s="25" t="str">
        <f>IFERROR(__xludf.DUMMYFUNCTION("GOOGLETRANSLATE(H3051,""EN"",""ES"")"),"Herrada")</f>
        <v>Herrada</v>
      </c>
      <c r="J3051" s="26" t="s">
        <v>27</v>
      </c>
      <c r="K3051" s="17">
        <v>0.0</v>
      </c>
      <c r="L3051" s="54"/>
      <c r="M3051" s="31"/>
      <c r="N3051" s="83"/>
      <c r="O3051" s="83"/>
      <c r="P3051" s="20">
        <v>0.0</v>
      </c>
      <c r="Q3051" s="31"/>
      <c r="R3051" s="31"/>
      <c r="S3051" s="53"/>
      <c r="T3051" s="32"/>
    </row>
    <row r="3052">
      <c r="A3052" s="33" t="s">
        <v>21273</v>
      </c>
      <c r="B3052" s="76" t="s">
        <v>163</v>
      </c>
      <c r="C3052" s="41">
        <v>45532.0</v>
      </c>
      <c r="D3052" s="40" t="s">
        <v>21274</v>
      </c>
      <c r="E3052" s="41" t="s">
        <v>21275</v>
      </c>
      <c r="F3052" s="43" t="s">
        <v>21276</v>
      </c>
      <c r="G3052" s="43" t="s">
        <v>21277</v>
      </c>
      <c r="H3052" s="61" t="s">
        <v>26</v>
      </c>
      <c r="I3052" s="15" t="str">
        <f>IFERROR(__xludf.DUMMYFUNCTION("GOOGLETRANSLATE(H3052,""EN"",""ES"")"),"Otro")</f>
        <v>Otro</v>
      </c>
      <c r="J3052" s="16" t="s">
        <v>27</v>
      </c>
      <c r="K3052" s="17">
        <v>0.0</v>
      </c>
      <c r="L3052" s="45"/>
      <c r="M3052" s="18"/>
      <c r="N3052" s="86"/>
      <c r="O3052" s="86"/>
      <c r="P3052" s="20">
        <v>0.0</v>
      </c>
      <c r="Q3052" s="18"/>
      <c r="R3052" s="18"/>
      <c r="S3052" s="52"/>
      <c r="T3052" s="22"/>
    </row>
    <row r="3053">
      <c r="A3053" s="23" t="s">
        <v>21278</v>
      </c>
      <c r="B3053" s="77" t="s">
        <v>5129</v>
      </c>
      <c r="C3053" s="41">
        <v>45533.0</v>
      </c>
      <c r="D3053" s="40" t="s">
        <v>21279</v>
      </c>
      <c r="E3053" s="41" t="s">
        <v>21280</v>
      </c>
      <c r="F3053" s="43" t="s">
        <v>21281</v>
      </c>
      <c r="G3053" s="43" t="s">
        <v>21282</v>
      </c>
      <c r="H3053" s="59" t="s">
        <v>48</v>
      </c>
      <c r="I3053" s="25" t="str">
        <f>IFERROR(__xludf.DUMMYFUNCTION("GOOGLETRANSLATE(H3053,""EN"",""ES"")"),"Finanzas")</f>
        <v>Finanzas</v>
      </c>
      <c r="J3053" s="26" t="s">
        <v>35</v>
      </c>
      <c r="K3053" s="48">
        <v>-0.4</v>
      </c>
      <c r="L3053" s="49" t="s">
        <v>21283</v>
      </c>
      <c r="M3053" s="28" t="s">
        <v>21284</v>
      </c>
      <c r="N3053" s="83" t="s">
        <v>21285</v>
      </c>
      <c r="O3053" s="83" t="str">
        <f>IFERROR(__xludf.DUMMYFUNCTION("GOOGLETRANSLATE(N3053,""EN"",""ES"")"),"Negativo ya que analiza una caída del precio de las acciones.")</f>
        <v>Negativo ya que analiza una caída del precio de las acciones.</v>
      </c>
      <c r="P3053" s="30">
        <v>-0.5</v>
      </c>
      <c r="Q3053" s="31" t="str">
        <f>IFERROR(__xludf.DUMMYFUNCTION("GOOGLETRANSLATE(R3053,""ES"",""EN"")"),"fall")</f>
        <v>fall</v>
      </c>
      <c r="R3053" s="28" t="s">
        <v>19827</v>
      </c>
      <c r="S3053" s="53" t="s">
        <v>18431</v>
      </c>
      <c r="T3053" s="32" t="s">
        <v>18432</v>
      </c>
    </row>
    <row r="3054">
      <c r="A3054" s="33" t="s">
        <v>21286</v>
      </c>
      <c r="B3054" s="76" t="s">
        <v>103</v>
      </c>
      <c r="C3054" s="41">
        <v>45533.0</v>
      </c>
      <c r="D3054" s="40" t="s">
        <v>21287</v>
      </c>
      <c r="E3054" s="41" t="s">
        <v>21288</v>
      </c>
      <c r="F3054" s="43" t="s">
        <v>21289</v>
      </c>
      <c r="G3054" s="43" t="s">
        <v>21290</v>
      </c>
      <c r="H3054" s="61" t="s">
        <v>48</v>
      </c>
      <c r="I3054" s="15" t="str">
        <f>IFERROR(__xludf.DUMMYFUNCTION("GOOGLETRANSLATE(H3054,""EN"",""ES"")"),"Finanzas")</f>
        <v>Finanzas</v>
      </c>
      <c r="J3054" s="16" t="s">
        <v>35</v>
      </c>
      <c r="K3054" s="48">
        <v>-0.5</v>
      </c>
      <c r="L3054" s="51" t="s">
        <v>21291</v>
      </c>
      <c r="M3054" s="34" t="s">
        <v>21292</v>
      </c>
      <c r="N3054" s="86" t="s">
        <v>21293</v>
      </c>
      <c r="O3054" s="86" t="str">
        <f>IFERROR(__xludf.DUMMYFUNCTION("GOOGLETRANSLATE(N3054,""EN"",""ES"")"),"Negativo ya que pone de relieve una importante caída bursátil.")</f>
        <v>Negativo ya que pone de relieve una importante caída bursátil.</v>
      </c>
      <c r="P3054" s="30">
        <v>-0.6</v>
      </c>
      <c r="Q3054" s="18" t="str">
        <f>IFERROR(__xludf.DUMMYFUNCTION("GOOGLETRANSLATE(R3054,""ES"",""EN"")"),"annual minimums")</f>
        <v>annual minimums</v>
      </c>
      <c r="R3054" s="34" t="s">
        <v>21294</v>
      </c>
      <c r="S3054" s="52" t="s">
        <v>18431</v>
      </c>
      <c r="T3054" s="22" t="s">
        <v>18432</v>
      </c>
    </row>
    <row r="3055">
      <c r="A3055" s="23" t="s">
        <v>21295</v>
      </c>
      <c r="B3055" s="77" t="s">
        <v>21</v>
      </c>
      <c r="C3055" s="41">
        <v>45533.0</v>
      </c>
      <c r="D3055" s="40" t="s">
        <v>21296</v>
      </c>
      <c r="E3055" s="41" t="s">
        <v>21297</v>
      </c>
      <c r="F3055" s="43" t="s">
        <v>21298</v>
      </c>
      <c r="G3055" s="43" t="s">
        <v>21299</v>
      </c>
      <c r="H3055" s="59" t="s">
        <v>26</v>
      </c>
      <c r="I3055" s="25" t="str">
        <f>IFERROR(__xludf.DUMMYFUNCTION("GOOGLETRANSLATE(H3055,""EN"",""ES"")"),"Otro")</f>
        <v>Otro</v>
      </c>
      <c r="J3055" s="26" t="s">
        <v>27</v>
      </c>
      <c r="K3055" s="17">
        <v>0.0</v>
      </c>
      <c r="L3055" s="54"/>
      <c r="M3055" s="31"/>
      <c r="N3055" s="83"/>
      <c r="O3055" s="83"/>
      <c r="P3055" s="20">
        <v>0.0</v>
      </c>
      <c r="Q3055" s="31"/>
      <c r="R3055" s="31"/>
      <c r="S3055" s="53"/>
      <c r="T3055" s="32"/>
    </row>
    <row r="3056">
      <c r="A3056" s="33" t="s">
        <v>21300</v>
      </c>
      <c r="B3056" s="76" t="s">
        <v>1005</v>
      </c>
      <c r="C3056" s="41">
        <v>45533.0</v>
      </c>
      <c r="D3056" s="40" t="s">
        <v>21301</v>
      </c>
      <c r="E3056" s="41" t="s">
        <v>21302</v>
      </c>
      <c r="F3056" s="43" t="s">
        <v>21303</v>
      </c>
      <c r="G3056" s="43" t="s">
        <v>21304</v>
      </c>
      <c r="H3056" s="61" t="s">
        <v>661</v>
      </c>
      <c r="I3056" s="15" t="str">
        <f>IFERROR(__xludf.DUMMYFUNCTION("GOOGLETRANSLATE(H3056,""EN"",""ES"")"),"Estrategia empresarial")</f>
        <v>Estrategia empresarial</v>
      </c>
      <c r="J3056" s="16" t="s">
        <v>35</v>
      </c>
      <c r="K3056" s="48">
        <v>0.3</v>
      </c>
      <c r="L3056" s="51" t="s">
        <v>21305</v>
      </c>
      <c r="M3056" s="34" t="s">
        <v>21306</v>
      </c>
      <c r="N3056" s="86" t="s">
        <v>21307</v>
      </c>
      <c r="O3056" s="86" t="str">
        <f>IFERROR(__xludf.DUMMYFUNCTION("GOOGLETRANSLATE(N3056,""EN"",""ES"")"),"Ligeramente positivo ya que reconoce una transición de liderazgo.")</f>
        <v>Ligeramente positivo ya que reconoce una transición de liderazgo.</v>
      </c>
      <c r="P3056" s="30">
        <v>0.0</v>
      </c>
      <c r="Q3056" s="18"/>
      <c r="R3056" s="18"/>
      <c r="S3056" s="52" t="s">
        <v>21308</v>
      </c>
      <c r="T3056" s="22" t="s">
        <v>21309</v>
      </c>
    </row>
    <row r="3057">
      <c r="A3057" s="23" t="s">
        <v>21310</v>
      </c>
      <c r="B3057" s="77" t="s">
        <v>21311</v>
      </c>
      <c r="C3057" s="41">
        <v>45533.0</v>
      </c>
      <c r="D3057" s="40" t="s">
        <v>21312</v>
      </c>
      <c r="E3057" s="41" t="s">
        <v>21313</v>
      </c>
      <c r="F3057" s="43" t="s">
        <v>21314</v>
      </c>
      <c r="G3057" s="43" t="s">
        <v>21315</v>
      </c>
      <c r="H3057" s="59" t="s">
        <v>21272</v>
      </c>
      <c r="I3057" s="25" t="str">
        <f>IFERROR(__xludf.DUMMYFUNCTION("GOOGLETRANSLATE(H3057,""EN"",""ES"")"),"Herrada")</f>
        <v>Herrada</v>
      </c>
      <c r="J3057" s="26" t="s">
        <v>35</v>
      </c>
      <c r="K3057" s="48">
        <v>0.6</v>
      </c>
      <c r="L3057" s="49" t="s">
        <v>21316</v>
      </c>
      <c r="M3057" s="28" t="s">
        <v>21317</v>
      </c>
      <c r="N3057" s="83" t="s">
        <v>21318</v>
      </c>
      <c r="O3057" s="83" t="str">
        <f>IFERROR(__xludf.DUMMYFUNCTION("GOOGLETRANSLATE(N3057,""EN"",""ES"")"),"Positivo ya que habla de un evento exitoso.")</f>
        <v>Positivo ya que habla de un evento exitoso.</v>
      </c>
      <c r="P3057" s="30">
        <v>0.4</v>
      </c>
      <c r="Q3057" s="31" t="str">
        <f>IFERROR(__xludf.DUMMYFUNCTION("GOOGLETRANSLATE(R3057,""ES"",""EN"")"),"Repsol Cup")</f>
        <v>Repsol Cup</v>
      </c>
      <c r="R3057" s="28" t="s">
        <v>19817</v>
      </c>
      <c r="S3057" s="53" t="s">
        <v>19818</v>
      </c>
      <c r="T3057" s="32" t="s">
        <v>19819</v>
      </c>
    </row>
    <row r="3058">
      <c r="A3058" s="33" t="s">
        <v>21319</v>
      </c>
      <c r="B3058" s="76" t="s">
        <v>5669</v>
      </c>
      <c r="C3058" s="41">
        <v>45533.0</v>
      </c>
      <c r="D3058" s="40" t="s">
        <v>21320</v>
      </c>
      <c r="E3058" s="41" t="s">
        <v>21321</v>
      </c>
      <c r="F3058" s="43" t="s">
        <v>21322</v>
      </c>
      <c r="G3058" s="43" t="s">
        <v>21323</v>
      </c>
      <c r="H3058" s="61" t="s">
        <v>26</v>
      </c>
      <c r="I3058" s="15" t="str">
        <f>IFERROR(__xludf.DUMMYFUNCTION("GOOGLETRANSLATE(H3058,""EN"",""ES"")"),"Otro")</f>
        <v>Otro</v>
      </c>
      <c r="J3058" s="16" t="s">
        <v>35</v>
      </c>
      <c r="K3058" s="48">
        <v>0.0</v>
      </c>
      <c r="L3058" s="45"/>
      <c r="M3058" s="18"/>
      <c r="N3058" s="86" t="s">
        <v>21324</v>
      </c>
      <c r="O3058" s="86" t="str">
        <f>IFERROR(__xludf.DUMMYFUNCTION("GOOGLETRANSLATE(N3058,""EN"",""ES"")"),"Neutral ya que discute una oferta financiera.")</f>
        <v>Neutral ya que discute una oferta financiera.</v>
      </c>
      <c r="P3058" s="30">
        <v>0.0</v>
      </c>
      <c r="Q3058" s="18"/>
      <c r="R3058" s="18"/>
      <c r="S3058" s="52" t="s">
        <v>12139</v>
      </c>
      <c r="T3058" s="22" t="s">
        <v>12140</v>
      </c>
    </row>
    <row r="3059">
      <c r="A3059" s="23" t="s">
        <v>21325</v>
      </c>
      <c r="B3059" s="77" t="s">
        <v>57</v>
      </c>
      <c r="C3059" s="41">
        <v>45533.0</v>
      </c>
      <c r="D3059" s="40" t="s">
        <v>21326</v>
      </c>
      <c r="E3059" s="41" t="s">
        <v>21327</v>
      </c>
      <c r="F3059" s="43" t="s">
        <v>21328</v>
      </c>
      <c r="G3059" s="43" t="s">
        <v>21329</v>
      </c>
      <c r="H3059" s="59" t="s">
        <v>5747</v>
      </c>
      <c r="I3059" s="25" t="str">
        <f>IFERROR(__xludf.DUMMYFUNCTION("GOOGLETRANSLATE(H3059,""EN"",""ES"")"),"Mercado energético")</f>
        <v>Mercado energético</v>
      </c>
      <c r="J3059" s="26" t="s">
        <v>35</v>
      </c>
      <c r="K3059" s="48">
        <v>0.2</v>
      </c>
      <c r="L3059" s="49" t="s">
        <v>21330</v>
      </c>
      <c r="M3059" s="28" t="s">
        <v>21331</v>
      </c>
      <c r="N3059" s="83" t="s">
        <v>21332</v>
      </c>
      <c r="O3059" s="83" t="str">
        <f>IFERROR(__xludf.DUMMYFUNCTION("GOOGLETRANSLATE(N3059,""EN"",""ES"")"),"Ligeramente positivo ya que menciona precios más bajos del combustible.")</f>
        <v>Ligeramente positivo ya que menciona precios más bajos del combustible.</v>
      </c>
      <c r="P3059" s="30">
        <v>0.0</v>
      </c>
      <c r="Q3059" s="31"/>
      <c r="R3059" s="31"/>
      <c r="S3059" s="53" t="s">
        <v>12139</v>
      </c>
      <c r="T3059" s="32" t="s">
        <v>12140</v>
      </c>
    </row>
    <row r="3060">
      <c r="A3060" s="33" t="s">
        <v>21333</v>
      </c>
      <c r="B3060" s="76" t="s">
        <v>16303</v>
      </c>
      <c r="C3060" s="41">
        <v>45533.0</v>
      </c>
      <c r="D3060" s="40" t="s">
        <v>21334</v>
      </c>
      <c r="E3060" s="41" t="s">
        <v>21335</v>
      </c>
      <c r="F3060" s="43" t="s">
        <v>21336</v>
      </c>
      <c r="G3060" s="43" t="s">
        <v>21337</v>
      </c>
      <c r="H3060" s="61" t="s">
        <v>661</v>
      </c>
      <c r="I3060" s="15" t="str">
        <f>IFERROR(__xludf.DUMMYFUNCTION("GOOGLETRANSLATE(H3060,""EN"",""ES"")"),"Estrategia empresarial")</f>
        <v>Estrategia empresarial</v>
      </c>
      <c r="J3060" s="16" t="s">
        <v>27</v>
      </c>
      <c r="K3060" s="17">
        <v>0.0</v>
      </c>
      <c r="L3060" s="45"/>
      <c r="M3060" s="18"/>
      <c r="N3060" s="86"/>
      <c r="O3060" s="86"/>
      <c r="P3060" s="20">
        <v>0.0</v>
      </c>
      <c r="Q3060" s="18"/>
      <c r="R3060" s="18"/>
      <c r="S3060" s="52"/>
      <c r="T3060" s="22"/>
    </row>
    <row r="3061">
      <c r="A3061" s="23" t="s">
        <v>21338</v>
      </c>
      <c r="B3061" s="77" t="s">
        <v>163</v>
      </c>
      <c r="C3061" s="41">
        <v>45533.0</v>
      </c>
      <c r="D3061" s="40" t="s">
        <v>21339</v>
      </c>
      <c r="E3061" s="41" t="s">
        <v>21340</v>
      </c>
      <c r="F3061" s="43" t="s">
        <v>21341</v>
      </c>
      <c r="G3061" s="43" t="s">
        <v>21342</v>
      </c>
      <c r="H3061" s="59" t="s">
        <v>8756</v>
      </c>
      <c r="I3061" s="25" t="str">
        <f>IFERROR(__xludf.DUMMYFUNCTION("GOOGLETRANSLATE(H3061,""EN"",""ES"")"),"Automotor")</f>
        <v>Automotor</v>
      </c>
      <c r="J3061" s="26" t="s">
        <v>27</v>
      </c>
      <c r="K3061" s="17">
        <v>0.0</v>
      </c>
      <c r="L3061" s="54"/>
      <c r="M3061" s="31"/>
      <c r="N3061" s="83"/>
      <c r="O3061" s="83"/>
      <c r="P3061" s="20">
        <v>0.0</v>
      </c>
      <c r="Q3061" s="31"/>
      <c r="R3061" s="31"/>
      <c r="S3061" s="53"/>
      <c r="T3061" s="32"/>
    </row>
    <row r="3062">
      <c r="A3062" s="33" t="s">
        <v>21343</v>
      </c>
      <c r="B3062" s="76" t="s">
        <v>91</v>
      </c>
      <c r="C3062" s="41">
        <v>45533.0</v>
      </c>
      <c r="D3062" s="40" t="s">
        <v>21344</v>
      </c>
      <c r="E3062" s="41" t="s">
        <v>21345</v>
      </c>
      <c r="F3062" s="43" t="s">
        <v>21346</v>
      </c>
      <c r="G3062" s="43" t="s">
        <v>21347</v>
      </c>
      <c r="H3062" s="61" t="s">
        <v>395</v>
      </c>
      <c r="I3062" s="15" t="str">
        <f>IFERROR(__xludf.DUMMYFUNCTION("GOOGLETRANSLATE(H3062,""EN"",""ES"")"),"Ambiente")</f>
        <v>Ambiente</v>
      </c>
      <c r="J3062" s="16" t="s">
        <v>27</v>
      </c>
      <c r="K3062" s="17">
        <v>0.0</v>
      </c>
      <c r="L3062" s="45"/>
      <c r="M3062" s="18"/>
      <c r="N3062" s="86"/>
      <c r="O3062" s="86"/>
      <c r="P3062" s="20">
        <v>0.0</v>
      </c>
      <c r="Q3062" s="18"/>
      <c r="R3062" s="18"/>
      <c r="S3062" s="52"/>
      <c r="T3062" s="22"/>
    </row>
    <row r="3063">
      <c r="A3063" s="23" t="s">
        <v>21348</v>
      </c>
      <c r="B3063" s="77" t="s">
        <v>163</v>
      </c>
      <c r="C3063" s="41">
        <v>45534.0</v>
      </c>
      <c r="D3063" s="40" t="s">
        <v>21349</v>
      </c>
      <c r="E3063" s="41" t="s">
        <v>21350</v>
      </c>
      <c r="F3063" s="43" t="s">
        <v>21351</v>
      </c>
      <c r="G3063" s="43" t="s">
        <v>21352</v>
      </c>
      <c r="H3063" s="59" t="s">
        <v>782</v>
      </c>
      <c r="I3063" s="25" t="str">
        <f>IFERROR(__xludf.DUMMYFUNCTION("GOOGLETRANSLATE(H3063,""EN"",""ES"")"),"Tecnología")</f>
        <v>Tecnología</v>
      </c>
      <c r="J3063" s="26" t="s">
        <v>27</v>
      </c>
      <c r="K3063" s="17">
        <v>0.0</v>
      </c>
      <c r="L3063" s="54"/>
      <c r="M3063" s="31"/>
      <c r="N3063" s="83"/>
      <c r="O3063" s="83"/>
      <c r="P3063" s="20">
        <v>0.0</v>
      </c>
      <c r="Q3063" s="31"/>
      <c r="R3063" s="31"/>
      <c r="S3063" s="53"/>
      <c r="T3063" s="32"/>
    </row>
    <row r="3064">
      <c r="A3064" s="33" t="s">
        <v>21353</v>
      </c>
      <c r="B3064" s="76" t="s">
        <v>2973</v>
      </c>
      <c r="C3064" s="41">
        <v>45534.0</v>
      </c>
      <c r="D3064" s="40" t="s">
        <v>21354</v>
      </c>
      <c r="E3064" s="41" t="s">
        <v>21355</v>
      </c>
      <c r="F3064" s="43" t="s">
        <v>21356</v>
      </c>
      <c r="G3064" s="43" t="s">
        <v>21357</v>
      </c>
      <c r="H3064" s="61" t="s">
        <v>130</v>
      </c>
      <c r="I3064" s="15" t="str">
        <f>IFERROR(__xludf.DUMMYFUNCTION("GOOGLETRANSLATE(H3064,""EN"",""ES"")"),"Sostenibilidad")</f>
        <v>Sostenibilidad</v>
      </c>
      <c r="J3064" s="16" t="s">
        <v>35</v>
      </c>
      <c r="K3064" s="48">
        <v>0.7</v>
      </c>
      <c r="L3064" s="51" t="s">
        <v>21358</v>
      </c>
      <c r="M3064" s="34" t="s">
        <v>21359</v>
      </c>
      <c r="N3064" s="86" t="s">
        <v>21360</v>
      </c>
      <c r="O3064" s="86" t="str">
        <f>IFERROR(__xludf.DUMMYFUNCTION("GOOGLETRANSLATE(N3064,""EN"",""ES"")"),"Positivo ya que destaca los esfuerzos de sostenibilidad.")</f>
        <v>Positivo ya que destaca los esfuerzos de sostenibilidad.</v>
      </c>
      <c r="P3064" s="30">
        <v>0.0</v>
      </c>
      <c r="Q3064" s="18"/>
      <c r="R3064" s="18"/>
      <c r="S3064" s="52" t="s">
        <v>12139</v>
      </c>
      <c r="T3064" s="22" t="s">
        <v>12140</v>
      </c>
    </row>
    <row r="3065">
      <c r="A3065" s="23" t="s">
        <v>21361</v>
      </c>
      <c r="B3065" s="77" t="s">
        <v>21</v>
      </c>
      <c r="C3065" s="41">
        <v>45534.0</v>
      </c>
      <c r="D3065" s="40" t="s">
        <v>21362</v>
      </c>
      <c r="E3065" s="41" t="s">
        <v>21363</v>
      </c>
      <c r="F3065" s="43" t="s">
        <v>21364</v>
      </c>
      <c r="G3065" s="43" t="s">
        <v>21365</v>
      </c>
      <c r="H3065" s="59" t="s">
        <v>969</v>
      </c>
      <c r="I3065" s="25" t="str">
        <f>IFERROR(__xludf.DUMMYFUNCTION("GOOGLETRANSLATE(H3065,""EN"",""ES"")"),"Turismo")</f>
        <v>Turismo</v>
      </c>
      <c r="J3065" s="26" t="s">
        <v>27</v>
      </c>
      <c r="K3065" s="17">
        <v>0.0</v>
      </c>
      <c r="L3065" s="54"/>
      <c r="M3065" s="31"/>
      <c r="N3065" s="83"/>
      <c r="O3065" s="83"/>
      <c r="P3065" s="20">
        <v>0.0</v>
      </c>
      <c r="Q3065" s="31"/>
      <c r="R3065" s="31"/>
      <c r="S3065" s="53"/>
      <c r="T3065" s="32"/>
    </row>
    <row r="3066">
      <c r="A3066" s="33" t="s">
        <v>21366</v>
      </c>
      <c r="B3066" s="76" t="s">
        <v>21</v>
      </c>
      <c r="C3066" s="41">
        <v>45534.0</v>
      </c>
      <c r="D3066" s="40" t="s">
        <v>21367</v>
      </c>
      <c r="E3066" s="41" t="s">
        <v>21368</v>
      </c>
      <c r="F3066" s="43" t="s">
        <v>21369</v>
      </c>
      <c r="G3066" s="43" t="s">
        <v>21370</v>
      </c>
      <c r="H3066" s="61" t="s">
        <v>148</v>
      </c>
      <c r="I3066" s="15" t="str">
        <f>IFERROR(__xludf.DUMMYFUNCTION("GOOGLETRANSLATE(H3066,""EN"",""ES"")"),"Gastronomía")</f>
        <v>Gastronomía</v>
      </c>
      <c r="J3066" s="16" t="s">
        <v>27</v>
      </c>
      <c r="K3066" s="17">
        <v>0.0</v>
      </c>
      <c r="L3066" s="45"/>
      <c r="M3066" s="18"/>
      <c r="N3066" s="86"/>
      <c r="O3066" s="86"/>
      <c r="P3066" s="20">
        <v>0.0</v>
      </c>
      <c r="Q3066" s="18"/>
      <c r="R3066" s="18"/>
      <c r="S3066" s="52"/>
      <c r="T3066" s="22"/>
    </row>
    <row r="3067">
      <c r="A3067" s="23" t="s">
        <v>21371</v>
      </c>
      <c r="B3067" s="77" t="s">
        <v>163</v>
      </c>
      <c r="C3067" s="41">
        <v>45534.0</v>
      </c>
      <c r="D3067" s="40" t="s">
        <v>21372</v>
      </c>
      <c r="E3067" s="41" t="s">
        <v>21373</v>
      </c>
      <c r="F3067" s="43" t="s">
        <v>21374</v>
      </c>
      <c r="G3067" s="43" t="s">
        <v>21375</v>
      </c>
      <c r="H3067" s="59" t="s">
        <v>55</v>
      </c>
      <c r="I3067" s="25" t="str">
        <f>IFERROR(__xludf.DUMMYFUNCTION("GOOGLETRANSLATE(H3067,""EN"",""ES"")"),"deportes de motor")</f>
        <v>deportes de motor</v>
      </c>
      <c r="J3067" s="26" t="s">
        <v>27</v>
      </c>
      <c r="K3067" s="17">
        <v>0.0</v>
      </c>
      <c r="L3067" s="54"/>
      <c r="M3067" s="31"/>
      <c r="N3067" s="83"/>
      <c r="O3067" s="83"/>
      <c r="P3067" s="20">
        <v>0.0</v>
      </c>
      <c r="Q3067" s="31"/>
      <c r="R3067" s="31"/>
      <c r="S3067" s="53"/>
      <c r="T3067" s="32"/>
    </row>
    <row r="3068">
      <c r="A3068" s="33" t="s">
        <v>21376</v>
      </c>
      <c r="B3068" s="76" t="s">
        <v>21377</v>
      </c>
      <c r="C3068" s="41">
        <v>45534.0</v>
      </c>
      <c r="D3068" s="40" t="s">
        <v>21378</v>
      </c>
      <c r="E3068" s="41" t="s">
        <v>21379</v>
      </c>
      <c r="F3068" s="43" t="s">
        <v>21380</v>
      </c>
      <c r="G3068" s="43" t="s">
        <v>21381</v>
      </c>
      <c r="H3068" s="61" t="s">
        <v>2591</v>
      </c>
      <c r="I3068" s="15" t="str">
        <f>IFERROR(__xludf.DUMMYFUNCTION("GOOGLETRANSLATE(H3068,""EN"",""ES"")"),"Negocio")</f>
        <v>Negocio</v>
      </c>
      <c r="J3068" s="16" t="s">
        <v>35</v>
      </c>
      <c r="K3068" s="48">
        <v>0.0</v>
      </c>
      <c r="L3068" s="45"/>
      <c r="M3068" s="18"/>
      <c r="N3068" s="86" t="s">
        <v>21382</v>
      </c>
      <c r="O3068" s="86" t="str">
        <f>IFERROR(__xludf.DUMMYFUNCTION("GOOGLETRANSLATE(N3068,""EN"",""ES"")"),"Neutral ya que se trata de un acuerdo corporativo.")</f>
        <v>Neutral ya que se trata de un acuerdo corporativo.</v>
      </c>
      <c r="P3068" s="30">
        <v>0.0</v>
      </c>
      <c r="Q3068" s="18"/>
      <c r="R3068" s="18"/>
      <c r="S3068" s="52" t="s">
        <v>12139</v>
      </c>
      <c r="T3068" s="22" t="s">
        <v>12140</v>
      </c>
    </row>
    <row r="3069">
      <c r="A3069" s="23" t="s">
        <v>21383</v>
      </c>
      <c r="B3069" s="77" t="s">
        <v>20933</v>
      </c>
      <c r="C3069" s="41">
        <v>45534.0</v>
      </c>
      <c r="D3069" s="40" t="s">
        <v>21384</v>
      </c>
      <c r="E3069" s="41" t="s">
        <v>21385</v>
      </c>
      <c r="F3069" s="43" t="s">
        <v>21386</v>
      </c>
      <c r="G3069" s="43" t="s">
        <v>21387</v>
      </c>
      <c r="H3069" s="59" t="s">
        <v>11484</v>
      </c>
      <c r="I3069" s="25" t="str">
        <f>IFERROR(__xludf.DUMMYFUNCTION("GOOGLETRANSLATE(H3069,""EN"",""ES"")"),"Sociedad")</f>
        <v>Sociedad</v>
      </c>
      <c r="J3069" s="26" t="s">
        <v>27</v>
      </c>
      <c r="K3069" s="17">
        <v>0.0</v>
      </c>
      <c r="L3069" s="54"/>
      <c r="M3069" s="31"/>
      <c r="N3069" s="83"/>
      <c r="O3069" s="83"/>
      <c r="P3069" s="20">
        <v>0.0</v>
      </c>
      <c r="Q3069" s="31"/>
      <c r="R3069" s="31"/>
      <c r="S3069" s="53"/>
      <c r="T3069" s="32"/>
    </row>
    <row r="3070">
      <c r="A3070" s="33" t="s">
        <v>21388</v>
      </c>
      <c r="B3070" s="76" t="s">
        <v>2283</v>
      </c>
      <c r="C3070" s="41">
        <v>45534.0</v>
      </c>
      <c r="D3070" s="40" t="s">
        <v>21389</v>
      </c>
      <c r="E3070" s="41" t="s">
        <v>21390</v>
      </c>
      <c r="F3070" s="43" t="s">
        <v>21391</v>
      </c>
      <c r="G3070" s="43" t="s">
        <v>21392</v>
      </c>
      <c r="H3070" s="61" t="s">
        <v>55</v>
      </c>
      <c r="I3070" s="15" t="str">
        <f>IFERROR(__xludf.DUMMYFUNCTION("GOOGLETRANSLATE(H3070,""EN"",""ES"")"),"deportes de motor")</f>
        <v>deportes de motor</v>
      </c>
      <c r="J3070" s="16" t="s">
        <v>27</v>
      </c>
      <c r="K3070" s="17">
        <v>0.0</v>
      </c>
      <c r="L3070" s="45"/>
      <c r="M3070" s="18"/>
      <c r="N3070" s="86"/>
      <c r="O3070" s="86"/>
      <c r="P3070" s="20">
        <v>0.0</v>
      </c>
      <c r="Q3070" s="18"/>
      <c r="R3070" s="18"/>
      <c r="S3070" s="52"/>
      <c r="T3070" s="22"/>
    </row>
    <row r="3071">
      <c r="A3071" s="23" t="s">
        <v>21393</v>
      </c>
      <c r="B3071" s="77" t="s">
        <v>7517</v>
      </c>
      <c r="C3071" s="41">
        <v>45534.0</v>
      </c>
      <c r="D3071" s="40" t="s">
        <v>21394</v>
      </c>
      <c r="E3071" s="41" t="s">
        <v>21395</v>
      </c>
      <c r="F3071" s="43" t="s">
        <v>21396</v>
      </c>
      <c r="G3071" s="43" t="s">
        <v>21397</v>
      </c>
      <c r="H3071" s="59" t="s">
        <v>148</v>
      </c>
      <c r="I3071" s="25" t="str">
        <f>IFERROR(__xludf.DUMMYFUNCTION("GOOGLETRANSLATE(H3071,""EN"",""ES"")"),"Gastronomía")</f>
        <v>Gastronomía</v>
      </c>
      <c r="J3071" s="26" t="s">
        <v>27</v>
      </c>
      <c r="K3071" s="17">
        <v>0.0</v>
      </c>
      <c r="L3071" s="54"/>
      <c r="M3071" s="31"/>
      <c r="N3071" s="83"/>
      <c r="O3071" s="83"/>
      <c r="P3071" s="20">
        <v>0.0</v>
      </c>
      <c r="Q3071" s="31"/>
      <c r="R3071" s="31"/>
      <c r="S3071" s="53"/>
      <c r="T3071" s="32"/>
    </row>
    <row r="3072">
      <c r="A3072" s="33" t="s">
        <v>21398</v>
      </c>
      <c r="B3072" s="76" t="s">
        <v>85</v>
      </c>
      <c r="C3072" s="41">
        <v>45534.0</v>
      </c>
      <c r="D3072" s="40" t="s">
        <v>21399</v>
      </c>
      <c r="E3072" s="41" t="s">
        <v>21400</v>
      </c>
      <c r="F3072" s="43" t="s">
        <v>21401</v>
      </c>
      <c r="G3072" s="43" t="s">
        <v>21402</v>
      </c>
      <c r="H3072" s="61" t="s">
        <v>148</v>
      </c>
      <c r="I3072" s="15" t="str">
        <f>IFERROR(__xludf.DUMMYFUNCTION("GOOGLETRANSLATE(H3072,""EN"",""ES"")"),"Gastronomía")</f>
        <v>Gastronomía</v>
      </c>
      <c r="J3072" s="16" t="s">
        <v>27</v>
      </c>
      <c r="K3072" s="17">
        <v>0.0</v>
      </c>
      <c r="L3072" s="45"/>
      <c r="M3072" s="18"/>
      <c r="N3072" s="86"/>
      <c r="O3072" s="86"/>
      <c r="P3072" s="20">
        <v>0.0</v>
      </c>
      <c r="Q3072" s="18"/>
      <c r="R3072" s="18"/>
      <c r="S3072" s="52"/>
      <c r="T3072" s="22"/>
    </row>
    <row r="3073">
      <c r="A3073" s="23" t="s">
        <v>21403</v>
      </c>
      <c r="B3073" s="77" t="s">
        <v>1081</v>
      </c>
      <c r="C3073" s="41">
        <v>45535.0</v>
      </c>
      <c r="D3073" s="40" t="s">
        <v>21404</v>
      </c>
      <c r="E3073" s="41" t="s">
        <v>21405</v>
      </c>
      <c r="F3073" s="43" t="s">
        <v>21406</v>
      </c>
      <c r="G3073" s="43" t="s">
        <v>21407</v>
      </c>
      <c r="H3073" s="59" t="s">
        <v>661</v>
      </c>
      <c r="I3073" s="25" t="str">
        <f>IFERROR(__xludf.DUMMYFUNCTION("GOOGLETRANSLATE(H3073,""EN"",""ES"")"),"Estrategia empresarial")</f>
        <v>Estrategia empresarial</v>
      </c>
      <c r="J3073" s="26" t="s">
        <v>35</v>
      </c>
      <c r="K3073" s="48">
        <v>-0.7</v>
      </c>
      <c r="L3073" s="49" t="s">
        <v>19885</v>
      </c>
      <c r="M3073" s="28" t="s">
        <v>19886</v>
      </c>
      <c r="N3073" s="83" t="s">
        <v>21408</v>
      </c>
      <c r="O3073" s="83" t="str">
        <f>IFERROR(__xludf.DUMMYFUNCTION("GOOGLETRANSLATE(N3073,""EN"",""ES"")"),"Negativo porque pone de relieve las tensiones geopolíticas que afectan a Repsol.")</f>
        <v>Negativo porque pone de relieve las tensiones geopolíticas que afectan a Repsol.</v>
      </c>
      <c r="P3073" s="30">
        <v>-0.7</v>
      </c>
      <c r="Q3073" s="31" t="str">
        <f>IFERROR(__xludf.DUMMYFUNCTION("GOOGLETRANSLATE(R3073,""ES"",""EN"")"),"closing")</f>
        <v>closing</v>
      </c>
      <c r="R3073" s="28" t="s">
        <v>21409</v>
      </c>
      <c r="S3073" s="53" t="s">
        <v>19792</v>
      </c>
      <c r="T3073" s="32" t="s">
        <v>19793</v>
      </c>
    </row>
    <row r="3074">
      <c r="A3074" s="33" t="s">
        <v>21410</v>
      </c>
      <c r="B3074" s="76" t="s">
        <v>21311</v>
      </c>
      <c r="C3074" s="41">
        <v>45535.0</v>
      </c>
      <c r="D3074" s="40" t="s">
        <v>21411</v>
      </c>
      <c r="E3074" s="41" t="s">
        <v>21412</v>
      </c>
      <c r="F3074" s="43" t="s">
        <v>21413</v>
      </c>
      <c r="G3074" s="43" t="s">
        <v>21414</v>
      </c>
      <c r="H3074" s="61" t="s">
        <v>975</v>
      </c>
      <c r="I3074" s="15" t="str">
        <f>IFERROR(__xludf.DUMMYFUNCTION("GOOGLETRANSLATE(H3074,""EN"",""ES"")"),"Patrocinio")</f>
        <v>Patrocinio</v>
      </c>
      <c r="J3074" s="16" t="s">
        <v>35</v>
      </c>
      <c r="K3074" s="48">
        <v>0.6</v>
      </c>
      <c r="L3074" s="51" t="s">
        <v>19814</v>
      </c>
      <c r="M3074" s="34" t="s">
        <v>19815</v>
      </c>
      <c r="N3074" s="86" t="s">
        <v>21415</v>
      </c>
      <c r="O3074" s="86" t="str">
        <f>IFERROR(__xludf.DUMMYFUNCTION("GOOGLETRANSLATE(N3074,""EN"",""ES"")"),"Positivo ya que habla de un evento deportivo exitoso.")</f>
        <v>Positivo ya que habla de un evento deportivo exitoso.</v>
      </c>
      <c r="P3074" s="30">
        <v>0.5</v>
      </c>
      <c r="Q3074" s="18" t="str">
        <f>IFERROR(__xludf.DUMMYFUNCTION("GOOGLETRANSLATE(R3074,""ES"",""EN"")"),"Repsol Cup")</f>
        <v>Repsol Cup</v>
      </c>
      <c r="R3074" s="34" t="s">
        <v>19817</v>
      </c>
      <c r="S3074" s="52" t="s">
        <v>19818</v>
      </c>
      <c r="T3074" s="22" t="s">
        <v>19819</v>
      </c>
    </row>
    <row r="3075">
      <c r="A3075" s="23" t="s">
        <v>21416</v>
      </c>
      <c r="B3075" s="77" t="s">
        <v>91</v>
      </c>
      <c r="C3075" s="41">
        <v>45535.0</v>
      </c>
      <c r="D3075" s="40" t="s">
        <v>21417</v>
      </c>
      <c r="E3075" s="41" t="s">
        <v>21418</v>
      </c>
      <c r="F3075" s="43" t="s">
        <v>21419</v>
      </c>
      <c r="G3075" s="43" t="s">
        <v>21420</v>
      </c>
      <c r="H3075" s="59" t="s">
        <v>975</v>
      </c>
      <c r="I3075" s="25" t="str">
        <f>IFERROR(__xludf.DUMMYFUNCTION("GOOGLETRANSLATE(H3075,""EN"",""ES"")"),"Patrocinio")</f>
        <v>Patrocinio</v>
      </c>
      <c r="J3075" s="26" t="s">
        <v>35</v>
      </c>
      <c r="K3075" s="48">
        <v>0.6</v>
      </c>
      <c r="L3075" s="49" t="s">
        <v>19814</v>
      </c>
      <c r="M3075" s="28" t="s">
        <v>19815</v>
      </c>
      <c r="N3075" s="83" t="s">
        <v>21421</v>
      </c>
      <c r="O3075" s="83" t="str">
        <f>IFERROR(__xludf.DUMMYFUNCTION("GOOGLETRANSLATE(N3075,""EN"",""ES"")"),"Positivo ya que celebra la conclusión de un evento.")</f>
        <v>Positivo ya que celebra la conclusión de un evento.</v>
      </c>
      <c r="P3075" s="30">
        <v>0.5</v>
      </c>
      <c r="Q3075" s="31" t="str">
        <f>IFERROR(__xludf.DUMMYFUNCTION("GOOGLETRANSLATE(R3075,""ES"",""EN"")"),"Repsol Cup")</f>
        <v>Repsol Cup</v>
      </c>
      <c r="R3075" s="28" t="s">
        <v>19817</v>
      </c>
      <c r="S3075" s="53" t="s">
        <v>19818</v>
      </c>
      <c r="T3075" s="32" t="s">
        <v>19819</v>
      </c>
    </row>
    <row r="3076">
      <c r="A3076" s="33" t="s">
        <v>21422</v>
      </c>
      <c r="B3076" s="76" t="s">
        <v>6458</v>
      </c>
      <c r="C3076" s="41">
        <v>45535.0</v>
      </c>
      <c r="D3076" s="40" t="s">
        <v>21423</v>
      </c>
      <c r="E3076" s="41" t="s">
        <v>21424</v>
      </c>
      <c r="F3076" s="43" t="s">
        <v>21425</v>
      </c>
      <c r="G3076" s="43" t="s">
        <v>21426</v>
      </c>
      <c r="H3076" s="61" t="s">
        <v>148</v>
      </c>
      <c r="I3076" s="15" t="str">
        <f>IFERROR(__xludf.DUMMYFUNCTION("GOOGLETRANSLATE(H3076,""EN"",""ES"")"),"Gastronomía")</f>
        <v>Gastronomía</v>
      </c>
      <c r="J3076" s="16" t="s">
        <v>27</v>
      </c>
      <c r="K3076" s="17">
        <v>0.0</v>
      </c>
      <c r="L3076" s="45"/>
      <c r="M3076" s="18"/>
      <c r="N3076" s="86"/>
      <c r="O3076" s="86"/>
      <c r="P3076" s="20">
        <v>0.0</v>
      </c>
      <c r="Q3076" s="18"/>
      <c r="R3076" s="18"/>
      <c r="S3076" s="52"/>
      <c r="T3076" s="22"/>
    </row>
    <row r="3077">
      <c r="A3077" s="23" t="s">
        <v>21427</v>
      </c>
      <c r="B3077" s="77" t="s">
        <v>163</v>
      </c>
      <c r="C3077" s="41">
        <v>45535.0</v>
      </c>
      <c r="D3077" s="40" t="s">
        <v>21428</v>
      </c>
      <c r="E3077" s="41" t="s">
        <v>21428</v>
      </c>
      <c r="F3077" s="43" t="s">
        <v>21429</v>
      </c>
      <c r="G3077" s="43" t="s">
        <v>21429</v>
      </c>
      <c r="H3077" s="59" t="s">
        <v>55</v>
      </c>
      <c r="I3077" s="25" t="str">
        <f>IFERROR(__xludf.DUMMYFUNCTION("GOOGLETRANSLATE(H3077,""EN"",""ES"")"),"deportes de motor")</f>
        <v>deportes de motor</v>
      </c>
      <c r="J3077" s="26" t="s">
        <v>27</v>
      </c>
      <c r="K3077" s="17">
        <v>0.0</v>
      </c>
      <c r="L3077" s="54"/>
      <c r="M3077" s="31"/>
      <c r="N3077" s="83"/>
      <c r="O3077" s="83"/>
      <c r="P3077" s="20">
        <v>0.0</v>
      </c>
      <c r="Q3077" s="31"/>
      <c r="R3077" s="31"/>
      <c r="S3077" s="53"/>
      <c r="T3077" s="32"/>
    </row>
    <row r="3078">
      <c r="A3078" s="33" t="s">
        <v>21430</v>
      </c>
      <c r="B3078" s="76" t="s">
        <v>6793</v>
      </c>
      <c r="C3078" s="41">
        <v>45535.0</v>
      </c>
      <c r="D3078" s="40" t="s">
        <v>21431</v>
      </c>
      <c r="E3078" s="41" t="s">
        <v>21432</v>
      </c>
      <c r="F3078" s="43" t="s">
        <v>21433</v>
      </c>
      <c r="G3078" s="43" t="s">
        <v>21434</v>
      </c>
      <c r="H3078" s="61" t="s">
        <v>5747</v>
      </c>
      <c r="I3078" s="15" t="str">
        <f>IFERROR(__xludf.DUMMYFUNCTION("GOOGLETRANSLATE(H3078,""EN"",""ES"")"),"Mercado energético")</f>
        <v>Mercado energético</v>
      </c>
      <c r="J3078" s="16" t="s">
        <v>27</v>
      </c>
      <c r="K3078" s="17">
        <v>0.0</v>
      </c>
      <c r="L3078" s="45"/>
      <c r="M3078" s="18"/>
      <c r="N3078" s="86"/>
      <c r="O3078" s="86"/>
      <c r="P3078" s="20">
        <v>0.0</v>
      </c>
      <c r="Q3078" s="18"/>
      <c r="R3078" s="18"/>
      <c r="S3078" s="52"/>
      <c r="T3078" s="22"/>
    </row>
    <row r="3079">
      <c r="A3079" s="23" t="s">
        <v>21435</v>
      </c>
      <c r="B3079" s="77" t="s">
        <v>6835</v>
      </c>
      <c r="C3079" s="41">
        <v>45535.0</v>
      </c>
      <c r="D3079" s="40" t="s">
        <v>21436</v>
      </c>
      <c r="E3079" s="41" t="s">
        <v>21437</v>
      </c>
      <c r="F3079" s="43" t="s">
        <v>21438</v>
      </c>
      <c r="G3079" s="43" t="s">
        <v>21439</v>
      </c>
      <c r="H3079" s="59" t="s">
        <v>148</v>
      </c>
      <c r="I3079" s="25" t="str">
        <f>IFERROR(__xludf.DUMMYFUNCTION("GOOGLETRANSLATE(H3079,""EN"",""ES"")"),"Gastronomía")</f>
        <v>Gastronomía</v>
      </c>
      <c r="J3079" s="26" t="s">
        <v>27</v>
      </c>
      <c r="K3079" s="17">
        <v>0.0</v>
      </c>
      <c r="L3079" s="54"/>
      <c r="M3079" s="31"/>
      <c r="N3079" s="83"/>
      <c r="O3079" s="83"/>
      <c r="P3079" s="20">
        <v>0.0</v>
      </c>
      <c r="Q3079" s="31"/>
      <c r="R3079" s="31"/>
      <c r="S3079" s="53"/>
      <c r="T3079" s="32"/>
    </row>
    <row r="3080">
      <c r="A3080" s="33" t="s">
        <v>21440</v>
      </c>
      <c r="B3080" s="76" t="s">
        <v>6136</v>
      </c>
      <c r="C3080" s="41">
        <v>45535.0</v>
      </c>
      <c r="D3080" s="40" t="s">
        <v>21441</v>
      </c>
      <c r="E3080" s="41" t="s">
        <v>21442</v>
      </c>
      <c r="F3080" s="43" t="s">
        <v>21443</v>
      </c>
      <c r="G3080" s="43" t="s">
        <v>21444</v>
      </c>
      <c r="H3080" s="61" t="s">
        <v>148</v>
      </c>
      <c r="I3080" s="15" t="str">
        <f>IFERROR(__xludf.DUMMYFUNCTION("GOOGLETRANSLATE(H3080,""EN"",""ES"")"),"Gastronomía")</f>
        <v>Gastronomía</v>
      </c>
      <c r="J3080" s="16" t="s">
        <v>27</v>
      </c>
      <c r="K3080" s="17">
        <v>0.0</v>
      </c>
      <c r="L3080" s="45"/>
      <c r="M3080" s="18"/>
      <c r="N3080" s="86"/>
      <c r="O3080" s="86"/>
      <c r="P3080" s="20">
        <v>0.0</v>
      </c>
      <c r="Q3080" s="18"/>
      <c r="R3080" s="18"/>
      <c r="S3080" s="52"/>
      <c r="T3080" s="22"/>
    </row>
    <row r="3081">
      <c r="A3081" s="23" t="s">
        <v>21445</v>
      </c>
      <c r="B3081" s="77" t="s">
        <v>217</v>
      </c>
      <c r="C3081" s="41">
        <v>45536.0</v>
      </c>
      <c r="D3081" s="40" t="s">
        <v>21446</v>
      </c>
      <c r="E3081" s="41" t="s">
        <v>21447</v>
      </c>
      <c r="F3081" s="43" t="s">
        <v>21448</v>
      </c>
      <c r="G3081" s="43" t="s">
        <v>21449</v>
      </c>
      <c r="H3081" s="59" t="s">
        <v>48</v>
      </c>
      <c r="I3081" s="25" t="str">
        <f>IFERROR(__xludf.DUMMYFUNCTION("GOOGLETRANSLATE(H3081,""EN"",""ES"")"),"Finanzas")</f>
        <v>Finanzas</v>
      </c>
      <c r="J3081" s="26" t="s">
        <v>35</v>
      </c>
      <c r="K3081" s="48">
        <v>0.7</v>
      </c>
      <c r="L3081" s="49" t="s">
        <v>19216</v>
      </c>
      <c r="M3081" s="28" t="s">
        <v>19217</v>
      </c>
      <c r="N3081" s="83" t="s">
        <v>21450</v>
      </c>
      <c r="O3081" s="83" t="str">
        <f>IFERROR(__xludf.DUMMYFUNCTION("GOOGLETRANSLATE(N3081,""EN"",""ES"")"),"Positivo ya que sugiere confianza inversora en Repsol.")</f>
        <v>Positivo ya que sugiere confianza inversora en Repsol.</v>
      </c>
      <c r="P3081" s="30">
        <v>0.3</v>
      </c>
      <c r="Q3081" s="31" t="str">
        <f>IFERROR(__xludf.DUMMYFUNCTION("GOOGLETRANSLATE(R3081,""ES"",""EN"")"),"#VALUE!")</f>
        <v>#VALUE!</v>
      </c>
      <c r="R3081" s="31"/>
      <c r="S3081" s="53" t="s">
        <v>21451</v>
      </c>
      <c r="T3081" s="32" t="s">
        <v>21452</v>
      </c>
    </row>
    <row r="3082">
      <c r="A3082" s="33" t="s">
        <v>21453</v>
      </c>
      <c r="B3082" s="76" t="s">
        <v>85</v>
      </c>
      <c r="C3082" s="41">
        <v>45536.0</v>
      </c>
      <c r="D3082" s="40" t="s">
        <v>21454</v>
      </c>
      <c r="E3082" s="41" t="s">
        <v>21455</v>
      </c>
      <c r="F3082" s="43" t="s">
        <v>21456</v>
      </c>
      <c r="G3082" s="43" t="s">
        <v>21457</v>
      </c>
      <c r="H3082" s="61" t="s">
        <v>661</v>
      </c>
      <c r="I3082" s="15" t="str">
        <f>IFERROR(__xludf.DUMMYFUNCTION("GOOGLETRANSLATE(H3082,""EN"",""ES"")"),"Estrategia empresarial")</f>
        <v>Estrategia empresarial</v>
      </c>
      <c r="J3082" s="16" t="s">
        <v>35</v>
      </c>
      <c r="K3082" s="48">
        <v>0.7</v>
      </c>
      <c r="L3082" s="51" t="s">
        <v>14705</v>
      </c>
      <c r="M3082" s="34" t="s">
        <v>14706</v>
      </c>
      <c r="N3082" s="86" t="s">
        <v>21458</v>
      </c>
      <c r="O3082" s="86" t="str">
        <f>IFERROR(__xludf.DUMMYFUNCTION("GOOGLETRANSLATE(N3082,""EN"",""ES"")"),"Positivo porque habla de la innovación de Repsol en movilidad eléctrica.")</f>
        <v>Positivo porque habla de la innovación de Repsol en movilidad eléctrica.</v>
      </c>
      <c r="P3082" s="30">
        <v>0.6</v>
      </c>
      <c r="Q3082" s="18" t="str">
        <f>IFERROR(__xludf.DUMMYFUNCTION("GOOGLETRANSLATE(R3082,""ES"",""EN"")"),"Waylet")</f>
        <v>Waylet</v>
      </c>
      <c r="R3082" s="34" t="s">
        <v>17945</v>
      </c>
      <c r="S3082" s="52" t="s">
        <v>21459</v>
      </c>
      <c r="T3082" s="22" t="s">
        <v>21460</v>
      </c>
    </row>
    <row r="3083">
      <c r="A3083" s="23" t="s">
        <v>21461</v>
      </c>
      <c r="B3083" s="77" t="s">
        <v>1081</v>
      </c>
      <c r="C3083" s="41">
        <v>45536.0</v>
      </c>
      <c r="D3083" s="40" t="s">
        <v>21462</v>
      </c>
      <c r="E3083" s="41" t="s">
        <v>21463</v>
      </c>
      <c r="F3083" s="43" t="s">
        <v>21464</v>
      </c>
      <c r="G3083" s="43" t="s">
        <v>21465</v>
      </c>
      <c r="H3083" s="59" t="s">
        <v>661</v>
      </c>
      <c r="I3083" s="25" t="str">
        <f>IFERROR(__xludf.DUMMYFUNCTION("GOOGLETRANSLATE(H3083,""EN"",""ES"")"),"Estrategia empresarial")</f>
        <v>Estrategia empresarial</v>
      </c>
      <c r="J3083" s="26" t="s">
        <v>35</v>
      </c>
      <c r="K3083" s="48">
        <v>0.6</v>
      </c>
      <c r="L3083" s="49" t="s">
        <v>12776</v>
      </c>
      <c r="M3083" s="28" t="s">
        <v>12777</v>
      </c>
      <c r="N3083" s="83" t="s">
        <v>21466</v>
      </c>
      <c r="O3083" s="83" t="str">
        <f>IFERROR(__xludf.DUMMYFUNCTION("GOOGLETRANSLATE(N3083,""EN"",""ES"")"),"Positivo ya que menciona la expansión del negocio de Repsol.")</f>
        <v>Positivo ya que menciona la expansión del negocio de Repsol.</v>
      </c>
      <c r="P3083" s="30">
        <v>0.4</v>
      </c>
      <c r="Q3083" s="31" t="str">
        <f>IFERROR(__xludf.DUMMYFUNCTION("GOOGLETRANSLATE(R3083,""ES"",""EN"")"),"project")</f>
        <v>project</v>
      </c>
      <c r="R3083" s="28" t="s">
        <v>17771</v>
      </c>
      <c r="S3083" s="53" t="s">
        <v>21467</v>
      </c>
      <c r="T3083" s="32" t="s">
        <v>21468</v>
      </c>
    </row>
    <row r="3084">
      <c r="A3084" s="33" t="s">
        <v>21469</v>
      </c>
      <c r="B3084" s="76" t="s">
        <v>1072</v>
      </c>
      <c r="C3084" s="41">
        <v>45536.0</v>
      </c>
      <c r="D3084" s="40" t="s">
        <v>21470</v>
      </c>
      <c r="E3084" s="41" t="s">
        <v>21471</v>
      </c>
      <c r="F3084" s="43" t="s">
        <v>21472</v>
      </c>
      <c r="G3084" s="43" t="s">
        <v>21473</v>
      </c>
      <c r="H3084" s="61" t="s">
        <v>148</v>
      </c>
      <c r="I3084" s="15" t="str">
        <f>IFERROR(__xludf.DUMMYFUNCTION("GOOGLETRANSLATE(H3084,""EN"",""ES"")"),"Gastronomía")</f>
        <v>Gastronomía</v>
      </c>
      <c r="J3084" s="16" t="s">
        <v>27</v>
      </c>
      <c r="K3084" s="17">
        <v>0.0</v>
      </c>
      <c r="L3084" s="45"/>
      <c r="M3084" s="18"/>
      <c r="N3084" s="86"/>
      <c r="O3084" s="86"/>
      <c r="P3084" s="20">
        <v>0.0</v>
      </c>
      <c r="Q3084" s="18"/>
      <c r="R3084" s="18"/>
      <c r="S3084" s="52"/>
      <c r="T3084" s="22"/>
    </row>
    <row r="3085">
      <c r="A3085" s="23" t="s">
        <v>21474</v>
      </c>
      <c r="B3085" s="77" t="s">
        <v>103</v>
      </c>
      <c r="C3085" s="41">
        <v>45536.0</v>
      </c>
      <c r="D3085" s="40" t="s">
        <v>21475</v>
      </c>
      <c r="E3085" s="41" t="s">
        <v>21476</v>
      </c>
      <c r="F3085" s="43" t="s">
        <v>21477</v>
      </c>
      <c r="G3085" s="43" t="s">
        <v>21478</v>
      </c>
      <c r="H3085" s="59" t="s">
        <v>2591</v>
      </c>
      <c r="I3085" s="25" t="str">
        <f>IFERROR(__xludf.DUMMYFUNCTION("GOOGLETRANSLATE(H3085,""EN"",""ES"")"),"Negocio")</f>
        <v>Negocio</v>
      </c>
      <c r="J3085" s="26" t="s">
        <v>27</v>
      </c>
      <c r="K3085" s="17">
        <v>0.0</v>
      </c>
      <c r="L3085" s="54"/>
      <c r="M3085" s="31"/>
      <c r="N3085" s="83"/>
      <c r="O3085" s="83"/>
      <c r="P3085" s="20">
        <v>0.0</v>
      </c>
      <c r="Q3085" s="31"/>
      <c r="R3085" s="31"/>
      <c r="S3085" s="53"/>
      <c r="T3085" s="32"/>
    </row>
    <row r="3086">
      <c r="A3086" s="33" t="s">
        <v>21479</v>
      </c>
      <c r="B3086" s="76" t="s">
        <v>3992</v>
      </c>
      <c r="C3086" s="41">
        <v>45536.0</v>
      </c>
      <c r="D3086" s="40" t="s">
        <v>21480</v>
      </c>
      <c r="E3086" s="41" t="s">
        <v>21481</v>
      </c>
      <c r="F3086" s="43" t="s">
        <v>21482</v>
      </c>
      <c r="G3086" s="43" t="s">
        <v>21483</v>
      </c>
      <c r="H3086" s="61" t="s">
        <v>975</v>
      </c>
      <c r="I3086" s="15" t="str">
        <f>IFERROR(__xludf.DUMMYFUNCTION("GOOGLETRANSLATE(H3086,""EN"",""ES"")"),"Patrocinio")</f>
        <v>Patrocinio</v>
      </c>
      <c r="J3086" s="16" t="s">
        <v>35</v>
      </c>
      <c r="K3086" s="48">
        <v>0.6</v>
      </c>
      <c r="L3086" s="51" t="s">
        <v>19814</v>
      </c>
      <c r="M3086" s="34" t="s">
        <v>19815</v>
      </c>
      <c r="N3086" s="86" t="s">
        <v>21484</v>
      </c>
      <c r="O3086" s="86" t="str">
        <f>IFERROR(__xludf.DUMMYFUNCTION("GOOGLETRANSLATE(N3086,""EN"",""ES"")"),"Positivo ya que se celebra un evento deportivo.")</f>
        <v>Positivo ya que se celebra un evento deportivo.</v>
      </c>
      <c r="P3086" s="30">
        <v>0.0</v>
      </c>
      <c r="Q3086" s="18"/>
      <c r="R3086" s="18"/>
      <c r="S3086" s="52" t="s">
        <v>12139</v>
      </c>
      <c r="T3086" s="22" t="s">
        <v>12140</v>
      </c>
    </row>
    <row r="3087">
      <c r="A3087" s="23" t="s">
        <v>21485</v>
      </c>
      <c r="B3087" s="77" t="s">
        <v>50</v>
      </c>
      <c r="C3087" s="41">
        <v>45536.0</v>
      </c>
      <c r="D3087" s="40" t="s">
        <v>21486</v>
      </c>
      <c r="E3087" s="41" t="s">
        <v>21487</v>
      </c>
      <c r="F3087" s="43" t="s">
        <v>21488</v>
      </c>
      <c r="G3087" s="43" t="s">
        <v>21489</v>
      </c>
      <c r="H3087" s="59" t="s">
        <v>55</v>
      </c>
      <c r="I3087" s="25" t="str">
        <f>IFERROR(__xludf.DUMMYFUNCTION("GOOGLETRANSLATE(H3087,""EN"",""ES"")"),"deportes de motor")</f>
        <v>deportes de motor</v>
      </c>
      <c r="J3087" s="26" t="s">
        <v>27</v>
      </c>
      <c r="K3087" s="17">
        <v>0.0</v>
      </c>
      <c r="L3087" s="54"/>
      <c r="M3087" s="31"/>
      <c r="N3087" s="83"/>
      <c r="O3087" s="83"/>
      <c r="P3087" s="20">
        <v>0.0</v>
      </c>
      <c r="Q3087" s="31"/>
      <c r="R3087" s="31"/>
      <c r="S3087" s="53"/>
      <c r="T3087" s="32"/>
    </row>
    <row r="3088">
      <c r="A3088" s="33" t="s">
        <v>21490</v>
      </c>
      <c r="B3088" s="76" t="s">
        <v>21491</v>
      </c>
      <c r="C3088" s="41">
        <v>45536.0</v>
      </c>
      <c r="D3088" s="40" t="s">
        <v>21492</v>
      </c>
      <c r="E3088" s="41" t="s">
        <v>21493</v>
      </c>
      <c r="F3088" s="43" t="s">
        <v>21494</v>
      </c>
      <c r="G3088" s="43" t="s">
        <v>21495</v>
      </c>
      <c r="H3088" s="51" t="s">
        <v>3985</v>
      </c>
      <c r="I3088" s="15" t="str">
        <f>IFERROR(__xludf.DUMMYFUNCTION("GOOGLETRANSLATE(H3088,""EN"",""ES"")"),"Deportes")</f>
        <v>Deportes</v>
      </c>
      <c r="J3088" s="16" t="s">
        <v>27</v>
      </c>
      <c r="K3088" s="17">
        <v>0.0</v>
      </c>
      <c r="L3088" s="51"/>
      <c r="M3088" s="18"/>
      <c r="N3088" s="86"/>
      <c r="O3088" s="86"/>
      <c r="P3088" s="20">
        <v>0.0</v>
      </c>
      <c r="Q3088" s="18"/>
      <c r="R3088" s="18"/>
      <c r="S3088" s="52"/>
      <c r="T3088" s="22"/>
    </row>
    <row r="3089">
      <c r="A3089" s="23" t="s">
        <v>21496</v>
      </c>
      <c r="B3089" s="77" t="s">
        <v>2283</v>
      </c>
      <c r="C3089" s="41">
        <v>45536.0</v>
      </c>
      <c r="D3089" s="40" t="s">
        <v>21497</v>
      </c>
      <c r="E3089" s="41" t="s">
        <v>21498</v>
      </c>
      <c r="F3089" s="43" t="s">
        <v>21499</v>
      </c>
      <c r="G3089" s="43" t="s">
        <v>21500</v>
      </c>
      <c r="H3089" s="59" t="s">
        <v>55</v>
      </c>
      <c r="I3089" s="25" t="str">
        <f>IFERROR(__xludf.DUMMYFUNCTION("GOOGLETRANSLATE(H3089,""EN"",""ES"")"),"deportes de motor")</f>
        <v>deportes de motor</v>
      </c>
      <c r="J3089" s="26" t="s">
        <v>27</v>
      </c>
      <c r="K3089" s="17">
        <v>0.0</v>
      </c>
      <c r="L3089" s="54"/>
      <c r="M3089" s="31"/>
      <c r="N3089" s="83"/>
      <c r="O3089" s="83"/>
      <c r="P3089" s="20">
        <v>0.0</v>
      </c>
      <c r="Q3089" s="31"/>
      <c r="R3089" s="31"/>
      <c r="S3089" s="53"/>
      <c r="T3089" s="32"/>
    </row>
    <row r="3090">
      <c r="A3090" s="33" t="s">
        <v>21501</v>
      </c>
      <c r="B3090" s="76" t="s">
        <v>217</v>
      </c>
      <c r="C3090" s="41">
        <v>45536.0</v>
      </c>
      <c r="D3090" s="40" t="s">
        <v>21502</v>
      </c>
      <c r="E3090" s="41" t="s">
        <v>21503</v>
      </c>
      <c r="F3090" s="43" t="s">
        <v>21504</v>
      </c>
      <c r="G3090" s="43" t="s">
        <v>21505</v>
      </c>
      <c r="H3090" s="61" t="s">
        <v>48</v>
      </c>
      <c r="I3090" s="15" t="str">
        <f>IFERROR(__xludf.DUMMYFUNCTION("GOOGLETRANSLATE(H3090,""EN"",""ES"")"),"Finanzas")</f>
        <v>Finanzas</v>
      </c>
      <c r="J3090" s="16" t="s">
        <v>27</v>
      </c>
      <c r="K3090" s="17">
        <v>0.0</v>
      </c>
      <c r="L3090" s="45"/>
      <c r="M3090" s="18"/>
      <c r="N3090" s="86"/>
      <c r="O3090" s="86"/>
      <c r="P3090" s="20">
        <v>0.0</v>
      </c>
      <c r="Q3090" s="18"/>
      <c r="R3090" s="18"/>
      <c r="S3090" s="52"/>
      <c r="T3090" s="22"/>
    </row>
    <row r="3091">
      <c r="A3091" s="23" t="s">
        <v>21506</v>
      </c>
      <c r="B3091" s="77" t="s">
        <v>558</v>
      </c>
      <c r="C3091" s="41">
        <v>45537.0</v>
      </c>
      <c r="D3091" s="40" t="s">
        <v>21507</v>
      </c>
      <c r="E3091" s="41" t="s">
        <v>21508</v>
      </c>
      <c r="F3091" s="43" t="s">
        <v>21509</v>
      </c>
      <c r="G3091" s="43" t="s">
        <v>21510</v>
      </c>
      <c r="H3091" s="59" t="s">
        <v>130</v>
      </c>
      <c r="I3091" s="25" t="str">
        <f>IFERROR(__xludf.DUMMYFUNCTION("GOOGLETRANSLATE(H3091,""EN"",""ES"")"),"Sostenibilidad")</f>
        <v>Sostenibilidad</v>
      </c>
      <c r="J3091" s="26" t="s">
        <v>35</v>
      </c>
      <c r="K3091" s="48">
        <v>-0.6</v>
      </c>
      <c r="L3091" s="49" t="s">
        <v>21358</v>
      </c>
      <c r="M3091" s="28" t="s">
        <v>21359</v>
      </c>
      <c r="N3091" s="83" t="s">
        <v>21511</v>
      </c>
      <c r="O3091" s="83" t="str">
        <f>IFERROR(__xludf.DUMMYFUNCTION("GOOGLETRANSLATE(N3091,""EN"",""ES"")"),"Negativo ya que pone de relieve las dificultades bursátiles de Repsol.")</f>
        <v>Negativo ya que pone de relieve las dificultades bursátiles de Repsol.</v>
      </c>
      <c r="P3091" s="30">
        <v>-0.7</v>
      </c>
      <c r="Q3091" s="31" t="str">
        <f>IFERROR(__xludf.DUMMYFUNCTION("GOOGLETRANSLATE(R3091,""ES"",""EN"")"),"lose")</f>
        <v>lose</v>
      </c>
      <c r="R3091" s="28" t="s">
        <v>21512</v>
      </c>
      <c r="S3091" s="53" t="s">
        <v>21513</v>
      </c>
      <c r="T3091" s="32" t="s">
        <v>21514</v>
      </c>
    </row>
    <row r="3092">
      <c r="A3092" s="33" t="s">
        <v>21515</v>
      </c>
      <c r="B3092" s="76" t="s">
        <v>7165</v>
      </c>
      <c r="C3092" s="41">
        <v>45537.0</v>
      </c>
      <c r="D3092" s="40" t="s">
        <v>21516</v>
      </c>
      <c r="E3092" s="41" t="s">
        <v>21517</v>
      </c>
      <c r="F3092" s="43" t="s">
        <v>21518</v>
      </c>
      <c r="G3092" s="43" t="s">
        <v>21519</v>
      </c>
      <c r="H3092" s="61" t="s">
        <v>148</v>
      </c>
      <c r="I3092" s="15" t="str">
        <f>IFERROR(__xludf.DUMMYFUNCTION("GOOGLETRANSLATE(H3092,""EN"",""ES"")"),"Gastronomía")</f>
        <v>Gastronomía</v>
      </c>
      <c r="J3092" s="16" t="s">
        <v>27</v>
      </c>
      <c r="K3092" s="17">
        <v>0.0</v>
      </c>
      <c r="L3092" s="45"/>
      <c r="M3092" s="18"/>
      <c r="N3092" s="86"/>
      <c r="O3092" s="86"/>
      <c r="P3092" s="20">
        <v>0.0</v>
      </c>
      <c r="Q3092" s="18"/>
      <c r="R3092" s="18"/>
      <c r="S3092" s="52"/>
      <c r="T3092" s="22"/>
    </row>
    <row r="3093">
      <c r="A3093" s="23" t="s">
        <v>21520</v>
      </c>
      <c r="B3093" s="77" t="s">
        <v>21</v>
      </c>
      <c r="C3093" s="41">
        <v>45537.0</v>
      </c>
      <c r="D3093" s="40" t="s">
        <v>21521</v>
      </c>
      <c r="E3093" s="41" t="s">
        <v>21522</v>
      </c>
      <c r="F3093" s="43" t="s">
        <v>21523</v>
      </c>
      <c r="G3093" s="43" t="s">
        <v>21524</v>
      </c>
      <c r="H3093" s="59" t="s">
        <v>2591</v>
      </c>
      <c r="I3093" s="25" t="str">
        <f>IFERROR(__xludf.DUMMYFUNCTION("GOOGLETRANSLATE(H3093,""EN"",""ES"")"),"Negocio")</f>
        <v>Negocio</v>
      </c>
      <c r="J3093" s="26" t="s">
        <v>27</v>
      </c>
      <c r="K3093" s="17">
        <v>0.0</v>
      </c>
      <c r="L3093" s="54"/>
      <c r="M3093" s="31"/>
      <c r="N3093" s="83"/>
      <c r="O3093" s="83"/>
      <c r="P3093" s="20">
        <v>0.0</v>
      </c>
      <c r="Q3093" s="31"/>
      <c r="R3093" s="31"/>
      <c r="S3093" s="53"/>
      <c r="T3093" s="32"/>
    </row>
    <row r="3094">
      <c r="A3094" s="33" t="s">
        <v>21525</v>
      </c>
      <c r="B3094" s="76" t="s">
        <v>21526</v>
      </c>
      <c r="C3094" s="41">
        <v>45537.0</v>
      </c>
      <c r="D3094" s="40" t="s">
        <v>21527</v>
      </c>
      <c r="E3094" s="41" t="s">
        <v>21528</v>
      </c>
      <c r="F3094" s="43" t="s">
        <v>21529</v>
      </c>
      <c r="G3094" s="43" t="s">
        <v>21530</v>
      </c>
      <c r="H3094" s="61" t="s">
        <v>130</v>
      </c>
      <c r="I3094" s="15" t="str">
        <f>IFERROR(__xludf.DUMMYFUNCTION("GOOGLETRANSLATE(H3094,""EN"",""ES"")"),"Sostenibilidad")</f>
        <v>Sostenibilidad</v>
      </c>
      <c r="J3094" s="16" t="s">
        <v>35</v>
      </c>
      <c r="K3094" s="48">
        <v>0.7</v>
      </c>
      <c r="L3094" s="51" t="s">
        <v>21531</v>
      </c>
      <c r="M3094" s="34" t="s">
        <v>21532</v>
      </c>
      <c r="N3094" s="86" t="s">
        <v>21533</v>
      </c>
      <c r="O3094" s="86" t="str">
        <f>IFERROR(__xludf.DUMMYFUNCTION("GOOGLETRANSLATE(N3094,""EN"",""ES"")"),"Positivo porque se habla de la inversión de Repsol en energías renovables.")</f>
        <v>Positivo porque se habla de la inversión de Repsol en energías renovables.</v>
      </c>
      <c r="P3094" s="30">
        <v>0.7</v>
      </c>
      <c r="Q3094" s="18" t="str">
        <f>IFERROR(__xludf.DUMMYFUNCTION("GOOGLETRANSLATE(R3094,""ES"",""EN"")"),"biofuels")</f>
        <v>biofuels</v>
      </c>
      <c r="R3094" s="34" t="s">
        <v>17055</v>
      </c>
      <c r="S3094" s="52" t="s">
        <v>19877</v>
      </c>
      <c r="T3094" s="22" t="s">
        <v>19878</v>
      </c>
    </row>
    <row r="3095">
      <c r="A3095" s="23" t="s">
        <v>21534</v>
      </c>
      <c r="B3095" s="77" t="s">
        <v>3992</v>
      </c>
      <c r="C3095" s="41">
        <v>45537.0</v>
      </c>
      <c r="D3095" s="40" t="s">
        <v>21535</v>
      </c>
      <c r="E3095" s="41" t="s">
        <v>21536</v>
      </c>
      <c r="F3095" s="43" t="s">
        <v>21537</v>
      </c>
      <c r="G3095" s="43" t="s">
        <v>21538</v>
      </c>
      <c r="H3095" s="59" t="s">
        <v>148</v>
      </c>
      <c r="I3095" s="25" t="str">
        <f>IFERROR(__xludf.DUMMYFUNCTION("GOOGLETRANSLATE(H3095,""EN"",""ES"")"),"Gastronomía")</f>
        <v>Gastronomía</v>
      </c>
      <c r="J3095" s="26" t="s">
        <v>27</v>
      </c>
      <c r="K3095" s="17">
        <v>0.0</v>
      </c>
      <c r="L3095" s="54"/>
      <c r="M3095" s="31"/>
      <c r="N3095" s="83"/>
      <c r="O3095" s="83"/>
      <c r="P3095" s="20">
        <v>0.0</v>
      </c>
      <c r="Q3095" s="31"/>
      <c r="R3095" s="31"/>
      <c r="S3095" s="53"/>
      <c r="T3095" s="32"/>
    </row>
    <row r="3096">
      <c r="A3096" s="33" t="s">
        <v>21539</v>
      </c>
      <c r="B3096" s="76" t="s">
        <v>284</v>
      </c>
      <c r="C3096" s="41">
        <v>45537.0</v>
      </c>
      <c r="D3096" s="40" t="s">
        <v>21540</v>
      </c>
      <c r="E3096" s="41" t="s">
        <v>21541</v>
      </c>
      <c r="F3096" s="43" t="s">
        <v>21542</v>
      </c>
      <c r="G3096" s="43" t="s">
        <v>21543</v>
      </c>
      <c r="H3096" s="61" t="s">
        <v>130</v>
      </c>
      <c r="I3096" s="15" t="str">
        <f>IFERROR(__xludf.DUMMYFUNCTION("GOOGLETRANSLATE(H3096,""EN"",""ES"")"),"Sostenibilidad")</f>
        <v>Sostenibilidad</v>
      </c>
      <c r="J3096" s="16" t="s">
        <v>35</v>
      </c>
      <c r="K3096" s="48">
        <v>0.7</v>
      </c>
      <c r="L3096" s="51" t="s">
        <v>16837</v>
      </c>
      <c r="M3096" s="34" t="s">
        <v>16838</v>
      </c>
      <c r="N3096" s="86" t="s">
        <v>21544</v>
      </c>
      <c r="O3096" s="86" t="str">
        <f>IFERROR(__xludf.DUMMYFUNCTION("GOOGLETRANSLATE(N3096,""EN"",""ES"")"),"Positivo ya que destaca una iniciativa de energía sostenible de Repsol.")</f>
        <v>Positivo ya que destaca una iniciativa de energía sostenible de Repsol.</v>
      </c>
      <c r="P3096" s="30">
        <v>0.8</v>
      </c>
      <c r="Q3096" s="18" t="str">
        <f>IFERROR(__xludf.DUMMYFUNCTION("GOOGLETRANSLATE(R3096,""ES"",""EN"")"),"hydrogenates")</f>
        <v>hydrogenates</v>
      </c>
      <c r="R3096" s="34" t="s">
        <v>21545</v>
      </c>
      <c r="S3096" s="52" t="s">
        <v>21546</v>
      </c>
      <c r="T3096" s="22" t="s">
        <v>21547</v>
      </c>
    </row>
    <row r="3097">
      <c r="A3097" s="23" t="s">
        <v>21548</v>
      </c>
      <c r="B3097" s="77" t="s">
        <v>1081</v>
      </c>
      <c r="C3097" s="41">
        <v>45537.0</v>
      </c>
      <c r="D3097" s="40" t="s">
        <v>21549</v>
      </c>
      <c r="E3097" s="41" t="s">
        <v>21550</v>
      </c>
      <c r="F3097" s="43" t="s">
        <v>21551</v>
      </c>
      <c r="G3097" s="43" t="s">
        <v>21552</v>
      </c>
      <c r="H3097" s="59" t="s">
        <v>661</v>
      </c>
      <c r="I3097" s="25" t="str">
        <f>IFERROR(__xludf.DUMMYFUNCTION("GOOGLETRANSLATE(H3097,""EN"",""ES"")"),"Estrategia empresarial")</f>
        <v>Estrategia empresarial</v>
      </c>
      <c r="J3097" s="26" t="s">
        <v>35</v>
      </c>
      <c r="K3097" s="48">
        <v>-0.5</v>
      </c>
      <c r="L3097" s="49" t="s">
        <v>21553</v>
      </c>
      <c r="M3097" s="28" t="s">
        <v>21554</v>
      </c>
      <c r="N3097" s="83" t="s">
        <v>21555</v>
      </c>
      <c r="O3097" s="83" t="str">
        <f>IFERROR(__xludf.DUMMYFUNCTION("GOOGLETRANSLATE(N3097,""EN"",""ES"")"),"Negativo ya que sugiere competencia frente a Repsol.")</f>
        <v>Negativo ya que sugiere competencia frente a Repsol.</v>
      </c>
      <c r="P3097" s="30">
        <v>-0.2</v>
      </c>
      <c r="Q3097" s="31" t="str">
        <f>IFERROR(__xludf.DUMMYFUNCTION("GOOGLETRANSLATE(R3097,""ES"",""EN"")"),"#VALUE!")</f>
        <v>#VALUE!</v>
      </c>
      <c r="R3097" s="31"/>
      <c r="S3097" s="53" t="s">
        <v>21556</v>
      </c>
      <c r="T3097" s="32" t="s">
        <v>21557</v>
      </c>
    </row>
    <row r="3098">
      <c r="A3098" s="33" t="s">
        <v>21558</v>
      </c>
      <c r="B3098" s="76" t="s">
        <v>614</v>
      </c>
      <c r="C3098" s="41">
        <v>45537.0</v>
      </c>
      <c r="D3098" s="40" t="s">
        <v>21559</v>
      </c>
      <c r="E3098" s="41" t="s">
        <v>12351</v>
      </c>
      <c r="F3098" s="43" t="s">
        <v>21560</v>
      </c>
      <c r="G3098" s="43" t="s">
        <v>12353</v>
      </c>
      <c r="H3098" s="61" t="s">
        <v>661</v>
      </c>
      <c r="I3098" s="15" t="str">
        <f>IFERROR(__xludf.DUMMYFUNCTION("GOOGLETRANSLATE(H3098,""EN"",""ES"")"),"Estrategia empresarial")</f>
        <v>Estrategia empresarial</v>
      </c>
      <c r="J3098" s="16" t="s">
        <v>27</v>
      </c>
      <c r="K3098" s="17">
        <v>0.0</v>
      </c>
      <c r="L3098" s="45"/>
      <c r="M3098" s="18"/>
      <c r="N3098" s="86"/>
      <c r="O3098" s="86"/>
      <c r="P3098" s="20">
        <v>0.0</v>
      </c>
      <c r="Q3098" s="18"/>
      <c r="R3098" s="18"/>
      <c r="S3098" s="52"/>
      <c r="T3098" s="22"/>
    </row>
    <row r="3099">
      <c r="A3099" s="23" t="s">
        <v>21561</v>
      </c>
      <c r="B3099" s="77" t="s">
        <v>21562</v>
      </c>
      <c r="C3099" s="41">
        <v>45537.0</v>
      </c>
      <c r="D3099" s="40" t="s">
        <v>21563</v>
      </c>
      <c r="E3099" s="41" t="s">
        <v>21564</v>
      </c>
      <c r="F3099" s="43" t="s">
        <v>21565</v>
      </c>
      <c r="G3099" s="43" t="s">
        <v>21566</v>
      </c>
      <c r="H3099" s="59" t="s">
        <v>130</v>
      </c>
      <c r="I3099" s="25" t="str">
        <f>IFERROR(__xludf.DUMMYFUNCTION("GOOGLETRANSLATE(H3099,""EN"",""ES"")"),"Sostenibilidad")</f>
        <v>Sostenibilidad</v>
      </c>
      <c r="J3099" s="26" t="s">
        <v>35</v>
      </c>
      <c r="K3099" s="48">
        <v>0.7</v>
      </c>
      <c r="L3099" s="49" t="s">
        <v>16837</v>
      </c>
      <c r="M3099" s="28" t="s">
        <v>16838</v>
      </c>
      <c r="N3099" s="83" t="s">
        <v>21567</v>
      </c>
      <c r="O3099" s="83" t="str">
        <f>IFERROR(__xludf.DUMMYFUNCTION("GOOGLETRANSLATE(N3099,""EN"",""ES"")"),"Positivo ya que destaca un desarrollo de energías renovables.")</f>
        <v>Positivo ya que destaca un desarrollo de energías renovables.</v>
      </c>
      <c r="P3099" s="30">
        <v>0.8</v>
      </c>
      <c r="Q3099" s="31" t="str">
        <f>IFERROR(__xludf.DUMMYFUNCTION("GOOGLETRANSLATE(R3099,""ES"",""EN"")"),"hydrogenates")</f>
        <v>hydrogenates</v>
      </c>
      <c r="R3099" s="28" t="s">
        <v>21545</v>
      </c>
      <c r="S3099" s="53" t="s">
        <v>21546</v>
      </c>
      <c r="T3099" s="32" t="s">
        <v>21547</v>
      </c>
    </row>
    <row r="3100">
      <c r="A3100" s="33" t="s">
        <v>21568</v>
      </c>
      <c r="B3100" s="76" t="s">
        <v>1072</v>
      </c>
      <c r="C3100" s="41">
        <v>45538.0</v>
      </c>
      <c r="D3100" s="40" t="s">
        <v>21569</v>
      </c>
      <c r="E3100" s="41" t="s">
        <v>21570</v>
      </c>
      <c r="F3100" s="43" t="s">
        <v>21571</v>
      </c>
      <c r="G3100" s="43" t="s">
        <v>21572</v>
      </c>
      <c r="H3100" s="61" t="s">
        <v>48</v>
      </c>
      <c r="I3100" s="15" t="str">
        <f>IFERROR(__xludf.DUMMYFUNCTION("GOOGLETRANSLATE(H3100,""EN"",""ES"")"),"Finanzas")</f>
        <v>Finanzas</v>
      </c>
      <c r="J3100" s="16" t="s">
        <v>35</v>
      </c>
      <c r="K3100" s="48">
        <v>0.7</v>
      </c>
      <c r="L3100" s="51" t="s">
        <v>21573</v>
      </c>
      <c r="M3100" s="34" t="s">
        <v>21574</v>
      </c>
      <c r="N3100" s="86" t="s">
        <v>21575</v>
      </c>
      <c r="O3100" s="86" t="str">
        <f>IFERROR(__xludf.DUMMYFUNCTION("GOOGLETRANSLATE(N3100,""EN"",""ES"")"),"Positivo porque sugiere confianza por parte del consejero delegado de Repsol.")</f>
        <v>Positivo porque sugiere confianza por parte del consejero delegado de Repsol.</v>
      </c>
      <c r="P3100" s="30">
        <v>0.2</v>
      </c>
      <c r="Q3100" s="18" t="str">
        <f>IFERROR(__xludf.DUMMYFUNCTION("GOOGLETRANSLATE(R3100,""ES"",""EN"")"),"purchase, low hours")</f>
        <v>purchase, low hours</v>
      </c>
      <c r="R3100" s="34" t="s">
        <v>21576</v>
      </c>
      <c r="S3100" s="52" t="s">
        <v>21577</v>
      </c>
      <c r="T3100" s="22" t="s">
        <v>21578</v>
      </c>
    </row>
    <row r="3101">
      <c r="A3101" s="23" t="s">
        <v>21579</v>
      </c>
      <c r="B3101" s="77" t="s">
        <v>163</v>
      </c>
      <c r="C3101" s="41">
        <v>45538.0</v>
      </c>
      <c r="D3101" s="40" t="s">
        <v>21580</v>
      </c>
      <c r="E3101" s="41" t="s">
        <v>21581</v>
      </c>
      <c r="F3101" s="43" t="s">
        <v>21582</v>
      </c>
      <c r="G3101" s="43" t="s">
        <v>21583</v>
      </c>
      <c r="H3101" s="59" t="s">
        <v>661</v>
      </c>
      <c r="I3101" s="25" t="str">
        <f>IFERROR(__xludf.DUMMYFUNCTION("GOOGLETRANSLATE(H3101,""EN"",""ES"")"),"Estrategia empresarial")</f>
        <v>Estrategia empresarial</v>
      </c>
      <c r="J3101" s="26" t="s">
        <v>27</v>
      </c>
      <c r="K3101" s="17">
        <v>0.0</v>
      </c>
      <c r="L3101" s="54"/>
      <c r="M3101" s="31"/>
      <c r="N3101" s="83"/>
      <c r="O3101" s="83"/>
      <c r="P3101" s="20">
        <v>0.0</v>
      </c>
      <c r="Q3101" s="31"/>
      <c r="R3101" s="31"/>
      <c r="S3101" s="53"/>
      <c r="T3101" s="32"/>
    </row>
    <row r="3102">
      <c r="A3102" s="33" t="s">
        <v>21584</v>
      </c>
      <c r="B3102" s="76" t="s">
        <v>5129</v>
      </c>
      <c r="C3102" s="41">
        <v>45538.0</v>
      </c>
      <c r="D3102" s="40" t="s">
        <v>21585</v>
      </c>
      <c r="E3102" s="41" t="s">
        <v>21586</v>
      </c>
      <c r="F3102" s="43" t="s">
        <v>21587</v>
      </c>
      <c r="G3102" s="43" t="s">
        <v>21588</v>
      </c>
      <c r="H3102" s="61" t="s">
        <v>48</v>
      </c>
      <c r="I3102" s="15" t="str">
        <f>IFERROR(__xludf.DUMMYFUNCTION("GOOGLETRANSLATE(H3102,""EN"",""ES"")"),"Finanzas")</f>
        <v>Finanzas</v>
      </c>
      <c r="J3102" s="16" t="s">
        <v>35</v>
      </c>
      <c r="K3102" s="48">
        <v>-0.5</v>
      </c>
      <c r="L3102" s="51" t="s">
        <v>19216</v>
      </c>
      <c r="M3102" s="34" t="s">
        <v>19217</v>
      </c>
      <c r="N3102" s="86" t="s">
        <v>21589</v>
      </c>
      <c r="O3102" s="86" t="str">
        <f>IFERROR(__xludf.DUMMYFUNCTION("GOOGLETRANSLATE(N3102,""EN"",""ES"")"),"Negativo ya que habla de la caída de las acciones de Repsol.")</f>
        <v>Negativo ya que habla de la caída de las acciones de Repsol.</v>
      </c>
      <c r="P3102" s="30">
        <v>-0.3</v>
      </c>
      <c r="Q3102" s="18" t="str">
        <f>IFERROR(__xludf.DUMMYFUNCTION("GOOGLETRANSLATE(R3102,""ES"",""EN"")"),"fall")</f>
        <v>fall</v>
      </c>
      <c r="R3102" s="34" t="s">
        <v>19827</v>
      </c>
      <c r="S3102" s="52" t="s">
        <v>21590</v>
      </c>
      <c r="T3102" s="22" t="s">
        <v>21591</v>
      </c>
    </row>
    <row r="3103">
      <c r="A3103" s="23" t="s">
        <v>21592</v>
      </c>
      <c r="B3103" s="77" t="s">
        <v>1983</v>
      </c>
      <c r="C3103" s="41">
        <v>45538.0</v>
      </c>
      <c r="D3103" s="40" t="s">
        <v>21593</v>
      </c>
      <c r="E3103" s="41" t="s">
        <v>21594</v>
      </c>
      <c r="F3103" s="43" t="s">
        <v>21595</v>
      </c>
      <c r="G3103" s="43" t="s">
        <v>21596</v>
      </c>
      <c r="H3103" s="59" t="s">
        <v>48</v>
      </c>
      <c r="I3103" s="25" t="str">
        <f>IFERROR(__xludf.DUMMYFUNCTION("GOOGLETRANSLATE(H3103,""EN"",""ES"")"),"Finanzas")</f>
        <v>Finanzas</v>
      </c>
      <c r="J3103" s="26" t="s">
        <v>35</v>
      </c>
      <c r="K3103" s="48">
        <v>0.6</v>
      </c>
      <c r="L3103" s="49" t="s">
        <v>19216</v>
      </c>
      <c r="M3103" s="28" t="s">
        <v>19217</v>
      </c>
      <c r="N3103" s="83" t="s">
        <v>21597</v>
      </c>
      <c r="O3103" s="83" t="str">
        <f>IFERROR(__xludf.DUMMYFUNCTION("GOOGLETRANSLATE(N3103,""EN"",""ES"")"),"Positivo porque sugiere a Repsol como una inversión estable.")</f>
        <v>Positivo porque sugiere a Repsol como una inversión estable.</v>
      </c>
      <c r="P3103" s="30">
        <v>0.4</v>
      </c>
      <c r="Q3103" s="31" t="str">
        <f>IFERROR(__xludf.DUMMYFUNCTION("GOOGLETRANSLATE(R3103,""ES"",""EN"")"),"good shelter")</f>
        <v>good shelter</v>
      </c>
      <c r="R3103" s="28" t="s">
        <v>21598</v>
      </c>
      <c r="S3103" s="53" t="s">
        <v>21599</v>
      </c>
      <c r="T3103" s="32" t="s">
        <v>21600</v>
      </c>
    </row>
    <row r="3104">
      <c r="A3104" s="33" t="s">
        <v>21601</v>
      </c>
      <c r="B3104" s="76" t="s">
        <v>21</v>
      </c>
      <c r="C3104" s="41">
        <v>45538.0</v>
      </c>
      <c r="D3104" s="40" t="s">
        <v>21602</v>
      </c>
      <c r="E3104" s="41" t="s">
        <v>21603</v>
      </c>
      <c r="F3104" s="43" t="s">
        <v>21604</v>
      </c>
      <c r="G3104" s="43" t="s">
        <v>21605</v>
      </c>
      <c r="H3104" s="61" t="s">
        <v>148</v>
      </c>
      <c r="I3104" s="15" t="str">
        <f>IFERROR(__xludf.DUMMYFUNCTION("GOOGLETRANSLATE(H3104,""EN"",""ES"")"),"Gastronomía")</f>
        <v>Gastronomía</v>
      </c>
      <c r="J3104" s="16" t="s">
        <v>27</v>
      </c>
      <c r="K3104" s="17">
        <v>0.0</v>
      </c>
      <c r="L3104" s="45"/>
      <c r="M3104" s="18"/>
      <c r="N3104" s="86"/>
      <c r="O3104" s="86"/>
      <c r="P3104" s="20">
        <v>0.0</v>
      </c>
      <c r="Q3104" s="18"/>
      <c r="R3104" s="18"/>
      <c r="S3104" s="52"/>
      <c r="T3104" s="22"/>
    </row>
    <row r="3105">
      <c r="A3105" s="23" t="s">
        <v>21606</v>
      </c>
      <c r="B3105" s="77" t="s">
        <v>1602</v>
      </c>
      <c r="C3105" s="41">
        <v>45538.0</v>
      </c>
      <c r="D3105" s="40" t="s">
        <v>21607</v>
      </c>
      <c r="E3105" s="41" t="s">
        <v>21608</v>
      </c>
      <c r="F3105" s="43" t="s">
        <v>21609</v>
      </c>
      <c r="G3105" s="43" t="s">
        <v>21610</v>
      </c>
      <c r="H3105" s="59" t="s">
        <v>48</v>
      </c>
      <c r="I3105" s="25" t="str">
        <f>IFERROR(__xludf.DUMMYFUNCTION("GOOGLETRANSLATE(H3105,""EN"",""ES"")"),"Finanzas")</f>
        <v>Finanzas</v>
      </c>
      <c r="J3105" s="26" t="s">
        <v>35</v>
      </c>
      <c r="K3105" s="48">
        <v>0.7</v>
      </c>
      <c r="L3105" s="49" t="s">
        <v>19216</v>
      </c>
      <c r="M3105" s="28" t="s">
        <v>19217</v>
      </c>
      <c r="N3105" s="83" t="s">
        <v>21611</v>
      </c>
      <c r="O3105" s="83" t="str">
        <f>IFERROR(__xludf.DUMMYFUNCTION("GOOGLETRANSLATE(N3105,""EN"",""ES"")"),"Positivo porque reconoce a Repsol como una fuerte inversión a pesar de la bajada de precios.")</f>
        <v>Positivo porque reconoce a Repsol como una fuerte inversión a pesar de la bajada de precios.</v>
      </c>
      <c r="P3105" s="30">
        <v>0.2</v>
      </c>
      <c r="Q3105" s="31" t="str">
        <f>IFERROR(__xludf.DUMMYFUNCTION("GOOGLETRANSLATE(R3105,""ES"",""EN"")"),"favorites, crop")</f>
        <v>favorites, crop</v>
      </c>
      <c r="R3105" s="28" t="s">
        <v>21612</v>
      </c>
      <c r="S3105" s="53" t="s">
        <v>21613</v>
      </c>
      <c r="T3105" s="32" t="s">
        <v>21614</v>
      </c>
    </row>
    <row r="3106">
      <c r="A3106" s="33" t="s">
        <v>21615</v>
      </c>
      <c r="B3106" s="76" t="s">
        <v>881</v>
      </c>
      <c r="C3106" s="41">
        <v>45538.0</v>
      </c>
      <c r="D3106" s="40" t="s">
        <v>21616</v>
      </c>
      <c r="E3106" s="41" t="s">
        <v>21617</v>
      </c>
      <c r="F3106" s="43" t="s">
        <v>21618</v>
      </c>
      <c r="G3106" s="43" t="s">
        <v>21619</v>
      </c>
      <c r="H3106" s="61" t="s">
        <v>782</v>
      </c>
      <c r="I3106" s="15" t="str">
        <f>IFERROR(__xludf.DUMMYFUNCTION("GOOGLETRANSLATE(H3106,""EN"",""ES"")"),"Tecnología")</f>
        <v>Tecnología</v>
      </c>
      <c r="J3106" s="16" t="s">
        <v>27</v>
      </c>
      <c r="K3106" s="17">
        <v>0.0</v>
      </c>
      <c r="L3106" s="45"/>
      <c r="M3106" s="18"/>
      <c r="N3106" s="86"/>
      <c r="O3106" s="86"/>
      <c r="P3106" s="20">
        <v>0.0</v>
      </c>
      <c r="Q3106" s="18"/>
      <c r="R3106" s="18"/>
      <c r="S3106" s="52"/>
      <c r="T3106" s="22"/>
    </row>
    <row r="3107">
      <c r="A3107" s="23" t="s">
        <v>21620</v>
      </c>
      <c r="B3107" s="77" t="s">
        <v>558</v>
      </c>
      <c r="C3107" s="41">
        <v>45538.0</v>
      </c>
      <c r="D3107" s="40" t="s">
        <v>21621</v>
      </c>
      <c r="E3107" s="41" t="s">
        <v>21622</v>
      </c>
      <c r="F3107" s="43" t="s">
        <v>21623</v>
      </c>
      <c r="G3107" s="43" t="s">
        <v>21624</v>
      </c>
      <c r="H3107" s="59" t="s">
        <v>48</v>
      </c>
      <c r="I3107" s="25" t="str">
        <f>IFERROR(__xludf.DUMMYFUNCTION("GOOGLETRANSLATE(H3107,""EN"",""ES"")"),"Finanzas")</f>
        <v>Finanzas</v>
      </c>
      <c r="J3107" s="26" t="s">
        <v>35</v>
      </c>
      <c r="K3107" s="48">
        <v>-0.5</v>
      </c>
      <c r="L3107" s="49" t="s">
        <v>19216</v>
      </c>
      <c r="M3107" s="28" t="s">
        <v>19217</v>
      </c>
      <c r="N3107" s="83" t="s">
        <v>21625</v>
      </c>
      <c r="O3107" s="83" t="str">
        <f>IFERROR(__xludf.DUMMYFUNCTION("GOOGLETRANSLATE(N3107,""EN"",""ES"")"),"Negativo porque habla de pérdidas bursátiles que afectan a Repsol.")</f>
        <v>Negativo porque habla de pérdidas bursátiles que afectan a Repsol.</v>
      </c>
      <c r="P3107" s="30">
        <v>-0.3</v>
      </c>
      <c r="Q3107" s="31" t="str">
        <f>IFERROR(__xludf.DUMMYFUNCTION("GOOGLETRANSLATE(R3107,""ES"",""EN"")"),"weigh down")</f>
        <v>weigh down</v>
      </c>
      <c r="R3107" s="28" t="s">
        <v>21626</v>
      </c>
      <c r="S3107" s="53" t="s">
        <v>21627</v>
      </c>
      <c r="T3107" s="32" t="s">
        <v>21628</v>
      </c>
    </row>
    <row r="3108">
      <c r="A3108" s="33" t="s">
        <v>21629</v>
      </c>
      <c r="B3108" s="76" t="s">
        <v>163</v>
      </c>
      <c r="C3108" s="41">
        <v>45538.0</v>
      </c>
      <c r="D3108" s="40" t="s">
        <v>21630</v>
      </c>
      <c r="E3108" s="41" t="s">
        <v>21631</v>
      </c>
      <c r="F3108" s="43" t="s">
        <v>21632</v>
      </c>
      <c r="G3108" s="43" t="s">
        <v>21633</v>
      </c>
      <c r="H3108" s="61" t="s">
        <v>661</v>
      </c>
      <c r="I3108" s="15" t="str">
        <f>IFERROR(__xludf.DUMMYFUNCTION("GOOGLETRANSLATE(H3108,""EN"",""ES"")"),"Estrategia empresarial")</f>
        <v>Estrategia empresarial</v>
      </c>
      <c r="J3108" s="16" t="s">
        <v>27</v>
      </c>
      <c r="K3108" s="17">
        <v>0.0</v>
      </c>
      <c r="L3108" s="45"/>
      <c r="M3108" s="18"/>
      <c r="N3108" s="86"/>
      <c r="O3108" s="86"/>
      <c r="P3108" s="20">
        <v>0.0</v>
      </c>
      <c r="Q3108" s="18"/>
      <c r="R3108" s="18"/>
      <c r="S3108" s="52"/>
      <c r="T3108" s="22"/>
    </row>
    <row r="3109">
      <c r="A3109" s="23" t="s">
        <v>21634</v>
      </c>
      <c r="B3109" s="77" t="s">
        <v>163</v>
      </c>
      <c r="C3109" s="57">
        <v>45538.0</v>
      </c>
      <c r="D3109" s="40" t="s">
        <v>21635</v>
      </c>
      <c r="E3109" s="41" t="s">
        <v>21636</v>
      </c>
      <c r="F3109" s="43" t="s">
        <v>21637</v>
      </c>
      <c r="G3109" s="43" t="s">
        <v>21638</v>
      </c>
      <c r="H3109" s="59" t="s">
        <v>55</v>
      </c>
      <c r="I3109" s="25" t="str">
        <f>IFERROR(__xludf.DUMMYFUNCTION("GOOGLETRANSLATE(H3109,""EN"",""ES"")"),"deportes de motor")</f>
        <v>deportes de motor</v>
      </c>
      <c r="J3109" s="26" t="s">
        <v>27</v>
      </c>
      <c r="K3109" s="17">
        <v>0.0</v>
      </c>
      <c r="L3109" s="54"/>
      <c r="M3109" s="31"/>
      <c r="N3109" s="83"/>
      <c r="O3109" s="83"/>
      <c r="P3109" s="20">
        <v>0.0</v>
      </c>
      <c r="Q3109" s="31"/>
      <c r="R3109" s="31"/>
      <c r="S3109" s="53"/>
      <c r="T3109" s="32"/>
    </row>
    <row r="3110">
      <c r="A3110" s="33" t="s">
        <v>21639</v>
      </c>
      <c r="B3110" s="76" t="s">
        <v>217</v>
      </c>
      <c r="C3110" s="41">
        <v>45538.0</v>
      </c>
      <c r="D3110" s="40" t="s">
        <v>21640</v>
      </c>
      <c r="E3110" s="41" t="s">
        <v>21641</v>
      </c>
      <c r="F3110" s="43" t="s">
        <v>21642</v>
      </c>
      <c r="G3110" s="43" t="s">
        <v>21643</v>
      </c>
      <c r="H3110" s="61" t="s">
        <v>48</v>
      </c>
      <c r="I3110" s="15" t="str">
        <f>IFERROR(__xludf.DUMMYFUNCTION("GOOGLETRANSLATE(H3110,""EN"",""ES"")"),"Finanzas")</f>
        <v>Finanzas</v>
      </c>
      <c r="J3110" s="16" t="s">
        <v>27</v>
      </c>
      <c r="K3110" s="17">
        <v>0.0</v>
      </c>
      <c r="L3110" s="45"/>
      <c r="M3110" s="18"/>
      <c r="N3110" s="86"/>
      <c r="O3110" s="86"/>
      <c r="P3110" s="20">
        <v>0.0</v>
      </c>
      <c r="Q3110" s="18"/>
      <c r="R3110" s="18"/>
      <c r="S3110" s="52"/>
      <c r="T3110" s="22"/>
    </row>
    <row r="3111">
      <c r="A3111" s="23" t="s">
        <v>21644</v>
      </c>
      <c r="B3111" s="77" t="s">
        <v>4151</v>
      </c>
      <c r="C3111" s="41">
        <v>45538.0</v>
      </c>
      <c r="D3111" s="40" t="s">
        <v>21645</v>
      </c>
      <c r="E3111" s="41" t="s">
        <v>21646</v>
      </c>
      <c r="F3111" s="43" t="s">
        <v>21647</v>
      </c>
      <c r="G3111" s="43" t="s">
        <v>21648</v>
      </c>
      <c r="H3111" s="59" t="s">
        <v>55</v>
      </c>
      <c r="I3111" s="25" t="str">
        <f>IFERROR(__xludf.DUMMYFUNCTION("GOOGLETRANSLATE(H3111,""EN"",""ES"")"),"deportes de motor")</f>
        <v>deportes de motor</v>
      </c>
      <c r="J3111" s="26" t="s">
        <v>27</v>
      </c>
      <c r="K3111" s="17">
        <v>0.0</v>
      </c>
      <c r="L3111" s="54"/>
      <c r="M3111" s="31"/>
      <c r="N3111" s="83"/>
      <c r="O3111" s="83"/>
      <c r="P3111" s="20">
        <v>0.0</v>
      </c>
      <c r="Q3111" s="31"/>
      <c r="R3111" s="31"/>
      <c r="S3111" s="53"/>
      <c r="T3111" s="32"/>
    </row>
    <row r="3112">
      <c r="A3112" s="33" t="s">
        <v>21649</v>
      </c>
      <c r="B3112" s="76" t="s">
        <v>21</v>
      </c>
      <c r="C3112" s="41">
        <v>45538.0</v>
      </c>
      <c r="D3112" s="40" t="s">
        <v>21650</v>
      </c>
      <c r="E3112" s="41" t="s">
        <v>21651</v>
      </c>
      <c r="F3112" s="43" t="s">
        <v>21652</v>
      </c>
      <c r="G3112" s="43" t="s">
        <v>21653</v>
      </c>
      <c r="H3112" s="61" t="s">
        <v>969</v>
      </c>
      <c r="I3112" s="15" t="str">
        <f>IFERROR(__xludf.DUMMYFUNCTION("GOOGLETRANSLATE(H3112,""EN"",""ES"")"),"Turismo")</f>
        <v>Turismo</v>
      </c>
      <c r="J3112" s="16" t="s">
        <v>27</v>
      </c>
      <c r="K3112" s="17">
        <v>0.0</v>
      </c>
      <c r="L3112" s="45"/>
      <c r="M3112" s="18"/>
      <c r="N3112" s="86"/>
      <c r="O3112" s="86"/>
      <c r="P3112" s="20">
        <v>0.0</v>
      </c>
      <c r="Q3112" s="18"/>
      <c r="R3112" s="18"/>
      <c r="S3112" s="52"/>
      <c r="T3112" s="22"/>
    </row>
    <row r="3113">
      <c r="A3113" s="23" t="s">
        <v>21654</v>
      </c>
      <c r="B3113" s="77" t="s">
        <v>1602</v>
      </c>
      <c r="C3113" s="41">
        <v>45538.0</v>
      </c>
      <c r="D3113" s="40" t="s">
        <v>21655</v>
      </c>
      <c r="E3113" s="41" t="s">
        <v>21656</v>
      </c>
      <c r="F3113" s="43" t="s">
        <v>21657</v>
      </c>
      <c r="G3113" s="43" t="s">
        <v>21658</v>
      </c>
      <c r="H3113" s="59" t="s">
        <v>48</v>
      </c>
      <c r="I3113" s="25" t="str">
        <f>IFERROR(__xludf.DUMMYFUNCTION("GOOGLETRANSLATE(H3113,""EN"",""ES"")"),"Finanzas")</f>
        <v>Finanzas</v>
      </c>
      <c r="J3113" s="26" t="s">
        <v>27</v>
      </c>
      <c r="K3113" s="17">
        <v>0.0</v>
      </c>
      <c r="L3113" s="54"/>
      <c r="M3113" s="31"/>
      <c r="N3113" s="83"/>
      <c r="O3113" s="83"/>
      <c r="P3113" s="20">
        <v>0.0</v>
      </c>
      <c r="Q3113" s="31"/>
      <c r="R3113" s="31"/>
      <c r="S3113" s="53"/>
      <c r="T3113" s="32"/>
    </row>
    <row r="3114">
      <c r="A3114" s="33" t="s">
        <v>21659</v>
      </c>
      <c r="B3114" s="76" t="s">
        <v>163</v>
      </c>
      <c r="C3114" s="41">
        <v>45539.0</v>
      </c>
      <c r="D3114" s="40" t="s">
        <v>21660</v>
      </c>
      <c r="E3114" s="41" t="s">
        <v>21660</v>
      </c>
      <c r="F3114" s="43" t="s">
        <v>21661</v>
      </c>
      <c r="G3114" s="43" t="s">
        <v>21661</v>
      </c>
      <c r="H3114" s="61" t="s">
        <v>661</v>
      </c>
      <c r="I3114" s="15" t="str">
        <f>IFERROR(__xludf.DUMMYFUNCTION("GOOGLETRANSLATE(H3114,""EN"",""ES"")"),"Estrategia empresarial")</f>
        <v>Estrategia empresarial</v>
      </c>
      <c r="J3114" s="16" t="s">
        <v>27</v>
      </c>
      <c r="K3114" s="17">
        <v>0.0</v>
      </c>
      <c r="L3114" s="45"/>
      <c r="M3114" s="18"/>
      <c r="N3114" s="86"/>
      <c r="O3114" s="86"/>
      <c r="P3114" s="20">
        <v>0.0</v>
      </c>
      <c r="Q3114" s="18"/>
      <c r="R3114" s="18"/>
      <c r="S3114" s="52"/>
      <c r="T3114" s="22"/>
    </row>
    <row r="3115">
      <c r="A3115" s="23" t="s">
        <v>21662</v>
      </c>
      <c r="B3115" s="77" t="s">
        <v>18119</v>
      </c>
      <c r="C3115" s="41">
        <v>45539.0</v>
      </c>
      <c r="D3115" s="40" t="s">
        <v>21663</v>
      </c>
      <c r="E3115" s="41" t="s">
        <v>21664</v>
      </c>
      <c r="F3115" s="43" t="s">
        <v>21665</v>
      </c>
      <c r="G3115" s="43" t="s">
        <v>21666</v>
      </c>
      <c r="H3115" s="59" t="s">
        <v>661</v>
      </c>
      <c r="I3115" s="25" t="str">
        <f>IFERROR(__xludf.DUMMYFUNCTION("GOOGLETRANSLATE(H3115,""EN"",""ES"")"),"Estrategia empresarial")</f>
        <v>Estrategia empresarial</v>
      </c>
      <c r="J3115" s="26" t="s">
        <v>35</v>
      </c>
      <c r="K3115" s="48">
        <v>-0.6</v>
      </c>
      <c r="L3115" s="49" t="s">
        <v>19885</v>
      </c>
      <c r="M3115" s="28" t="s">
        <v>19886</v>
      </c>
      <c r="N3115" s="83" t="s">
        <v>21667</v>
      </c>
      <c r="O3115" s="83" t="str">
        <f>IFERROR(__xludf.DUMMYFUNCTION("GOOGLETRANSLATE(N3115,""EN"",""ES"")"),"Negativo porque habla de represalias políticas que afectan a Repsol.")</f>
        <v>Negativo porque habla de represalias políticas que afectan a Repsol.</v>
      </c>
      <c r="P3115" s="30">
        <v>-0.7</v>
      </c>
      <c r="Q3115" s="31" t="str">
        <f>IFERROR(__xludf.DUMMYFUNCTION("GOOGLETRANSLATE(R3115,""ES"",""EN"")"),"cut, retaliation")</f>
        <v>cut, retaliation</v>
      </c>
      <c r="R3115" s="28" t="s">
        <v>21668</v>
      </c>
      <c r="S3115" s="53" t="s">
        <v>21669</v>
      </c>
      <c r="T3115" s="32" t="s">
        <v>21670</v>
      </c>
    </row>
    <row r="3116">
      <c r="A3116" s="33" t="s">
        <v>21671</v>
      </c>
      <c r="B3116" s="76" t="s">
        <v>8029</v>
      </c>
      <c r="C3116" s="41">
        <v>45539.0</v>
      </c>
      <c r="D3116" s="40" t="s">
        <v>21672</v>
      </c>
      <c r="E3116" s="41" t="s">
        <v>21673</v>
      </c>
      <c r="F3116" s="43" t="s">
        <v>21674</v>
      </c>
      <c r="G3116" s="43" t="s">
        <v>21675</v>
      </c>
      <c r="H3116" s="61" t="s">
        <v>48</v>
      </c>
      <c r="I3116" s="15" t="str">
        <f>IFERROR(__xludf.DUMMYFUNCTION("GOOGLETRANSLATE(H3116,""EN"",""ES"")"),"Finanzas")</f>
        <v>Finanzas</v>
      </c>
      <c r="J3116" s="16" t="s">
        <v>35</v>
      </c>
      <c r="K3116" s="48">
        <v>-0.5</v>
      </c>
      <c r="L3116" s="51" t="s">
        <v>19216</v>
      </c>
      <c r="M3116" s="34" t="s">
        <v>19217</v>
      </c>
      <c r="N3116" s="86" t="s">
        <v>21676</v>
      </c>
      <c r="O3116" s="86" t="str">
        <f>IFERROR(__xludf.DUMMYFUNCTION("GOOGLETRANSLATE(N3116,""EN"",""ES"")"),"Negativo por lo que describe la caída del precio de las acciones de Repsol.")</f>
        <v>Negativo por lo que describe la caída del precio de las acciones de Repsol.</v>
      </c>
      <c r="P3116" s="30">
        <v>-0.4</v>
      </c>
      <c r="Q3116" s="18" t="str">
        <f>IFERROR(__xludf.DUMMYFUNCTION("GOOGLETRANSLATE(R3116,""ES"",""EN"")"),"free fall")</f>
        <v>free fall</v>
      </c>
      <c r="R3116" s="34" t="s">
        <v>21677</v>
      </c>
      <c r="S3116" s="52" t="s">
        <v>21678</v>
      </c>
      <c r="T3116" s="22" t="s">
        <v>21679</v>
      </c>
    </row>
    <row r="3117">
      <c r="A3117" s="23" t="s">
        <v>21680</v>
      </c>
      <c r="B3117" s="77" t="s">
        <v>1602</v>
      </c>
      <c r="C3117" s="41">
        <v>45539.0</v>
      </c>
      <c r="D3117" s="40" t="s">
        <v>21681</v>
      </c>
      <c r="E3117" s="41" t="s">
        <v>21682</v>
      </c>
      <c r="F3117" s="43" t="s">
        <v>21683</v>
      </c>
      <c r="G3117" s="43" t="s">
        <v>21684</v>
      </c>
      <c r="H3117" s="59" t="s">
        <v>661</v>
      </c>
      <c r="I3117" s="25" t="str">
        <f>IFERROR(__xludf.DUMMYFUNCTION("GOOGLETRANSLATE(H3117,""EN"",""ES"")"),"Estrategia empresarial")</f>
        <v>Estrategia empresarial</v>
      </c>
      <c r="J3117" s="26" t="s">
        <v>35</v>
      </c>
      <c r="K3117" s="48">
        <v>-0.6</v>
      </c>
      <c r="L3117" s="49" t="s">
        <v>21685</v>
      </c>
      <c r="M3117" s="28" t="s">
        <v>21686</v>
      </c>
      <c r="N3117" s="83" t="s">
        <v>21687</v>
      </c>
      <c r="O3117" s="83" t="str">
        <f>IFERROR(__xludf.DUMMYFUNCTION("GOOGLETRANSLATE(N3117,""EN"",""ES"")"),"Negativo, ya que pone de relieve las luchas financieras en curso para Repsol.")</f>
        <v>Negativo, ya que pone de relieve las luchas financieras en curso para Repsol.</v>
      </c>
      <c r="P3117" s="30">
        <v>-0.5</v>
      </c>
      <c r="Q3117" s="31" t="str">
        <f>IFERROR(__xludf.DUMMYFUNCTION("GOOGLETRANSLATE(R3117,""ES"",""EN"")"),"black clouds")</f>
        <v>black clouds</v>
      </c>
      <c r="R3117" s="28" t="s">
        <v>21688</v>
      </c>
      <c r="S3117" s="53" t="s">
        <v>21689</v>
      </c>
      <c r="T3117" s="32" t="s">
        <v>21690</v>
      </c>
    </row>
    <row r="3118">
      <c r="A3118" s="33" t="s">
        <v>21691</v>
      </c>
      <c r="B3118" s="76" t="s">
        <v>85</v>
      </c>
      <c r="C3118" s="41">
        <v>45539.0</v>
      </c>
      <c r="D3118" s="40" t="s">
        <v>21692</v>
      </c>
      <c r="E3118" s="41" t="s">
        <v>21693</v>
      </c>
      <c r="F3118" s="43" t="s">
        <v>21694</v>
      </c>
      <c r="G3118" s="43" t="s">
        <v>21695</v>
      </c>
      <c r="H3118" s="61" t="s">
        <v>148</v>
      </c>
      <c r="I3118" s="15" t="str">
        <f>IFERROR(__xludf.DUMMYFUNCTION("GOOGLETRANSLATE(H3118,""EN"",""ES"")"),"Gastronomía")</f>
        <v>Gastronomía</v>
      </c>
      <c r="J3118" s="16" t="s">
        <v>27</v>
      </c>
      <c r="K3118" s="17">
        <v>0.0</v>
      </c>
      <c r="L3118" s="45"/>
      <c r="M3118" s="18"/>
      <c r="N3118" s="86"/>
      <c r="O3118" s="86"/>
      <c r="P3118" s="20">
        <v>0.0</v>
      </c>
      <c r="Q3118" s="18"/>
      <c r="R3118" s="18"/>
      <c r="S3118" s="52"/>
      <c r="T3118" s="22"/>
    </row>
    <row r="3119">
      <c r="A3119" s="23" t="s">
        <v>21696</v>
      </c>
      <c r="B3119" s="77" t="s">
        <v>1602</v>
      </c>
      <c r="C3119" s="41">
        <v>45539.0</v>
      </c>
      <c r="D3119" s="40" t="s">
        <v>21697</v>
      </c>
      <c r="E3119" s="41" t="s">
        <v>17872</v>
      </c>
      <c r="F3119" s="43" t="s">
        <v>21698</v>
      </c>
      <c r="G3119" s="43" t="s">
        <v>17874</v>
      </c>
      <c r="H3119" s="59" t="s">
        <v>48</v>
      </c>
      <c r="I3119" s="25" t="str">
        <f>IFERROR(__xludf.DUMMYFUNCTION("GOOGLETRANSLATE(H3119,""EN"",""ES"")"),"Finanzas")</f>
        <v>Finanzas</v>
      </c>
      <c r="J3119" s="26" t="s">
        <v>35</v>
      </c>
      <c r="K3119" s="48">
        <v>0.6</v>
      </c>
      <c r="L3119" s="49" t="s">
        <v>19216</v>
      </c>
      <c r="M3119" s="28" t="s">
        <v>19217</v>
      </c>
      <c r="N3119" s="83" t="s">
        <v>21699</v>
      </c>
      <c r="O3119" s="83" t="str">
        <f>IFERROR(__xludf.DUMMYFUNCTION("GOOGLETRANSLATE(N3119,""EN"",""ES"")"),"Positivo porque habla de oportunidades bursátiles, entre ellas Repsol.")</f>
        <v>Positivo porque habla de oportunidades bursátiles, entre ellas Repsol.</v>
      </c>
      <c r="P3119" s="30">
        <v>0.0</v>
      </c>
      <c r="Q3119" s="31"/>
      <c r="R3119" s="31"/>
      <c r="S3119" s="53" t="s">
        <v>21700</v>
      </c>
      <c r="T3119" s="32" t="s">
        <v>21701</v>
      </c>
    </row>
    <row r="3120">
      <c r="A3120" s="33" t="s">
        <v>21702</v>
      </c>
      <c r="B3120" s="76" t="s">
        <v>1983</v>
      </c>
      <c r="C3120" s="41">
        <v>45539.0</v>
      </c>
      <c r="D3120" s="40" t="s">
        <v>21703</v>
      </c>
      <c r="E3120" s="41" t="s">
        <v>21704</v>
      </c>
      <c r="F3120" s="43" t="s">
        <v>21705</v>
      </c>
      <c r="G3120" s="43" t="s">
        <v>21706</v>
      </c>
      <c r="H3120" s="61" t="s">
        <v>48</v>
      </c>
      <c r="I3120" s="15" t="str">
        <f>IFERROR(__xludf.DUMMYFUNCTION("GOOGLETRANSLATE(H3120,""EN"",""ES"")"),"Finanzas")</f>
        <v>Finanzas</v>
      </c>
      <c r="J3120" s="16" t="s">
        <v>27</v>
      </c>
      <c r="K3120" s="17">
        <v>0.0</v>
      </c>
      <c r="L3120" s="45"/>
      <c r="M3120" s="18"/>
      <c r="N3120" s="86"/>
      <c r="O3120" s="86"/>
      <c r="P3120" s="20">
        <v>0.0</v>
      </c>
      <c r="Q3120" s="18"/>
      <c r="R3120" s="18"/>
      <c r="S3120" s="52"/>
      <c r="T3120" s="22"/>
    </row>
    <row r="3121">
      <c r="A3121" s="23" t="s">
        <v>21707</v>
      </c>
      <c r="B3121" s="77" t="s">
        <v>7295</v>
      </c>
      <c r="C3121" s="41">
        <v>45539.0</v>
      </c>
      <c r="D3121" s="40" t="s">
        <v>21708</v>
      </c>
      <c r="E3121" s="41" t="s">
        <v>21709</v>
      </c>
      <c r="F3121" s="43" t="s">
        <v>21710</v>
      </c>
      <c r="G3121" s="43" t="s">
        <v>21711</v>
      </c>
      <c r="H3121" s="59" t="s">
        <v>5878</v>
      </c>
      <c r="I3121" s="25" t="str">
        <f>IFERROR(__xludf.DUMMYFUNCTION("GOOGLETRANSLATE(H3121,""EN"",""ES"")"),"Entretenimiento")</f>
        <v>Entretenimiento</v>
      </c>
      <c r="J3121" s="26" t="s">
        <v>27</v>
      </c>
      <c r="K3121" s="17">
        <v>0.0</v>
      </c>
      <c r="L3121" s="54"/>
      <c r="M3121" s="31"/>
      <c r="N3121" s="83"/>
      <c r="O3121" s="83"/>
      <c r="P3121" s="20">
        <v>0.0</v>
      </c>
      <c r="Q3121" s="31"/>
      <c r="R3121" s="31"/>
      <c r="S3121" s="53"/>
      <c r="T3121" s="32"/>
    </row>
    <row r="3122">
      <c r="A3122" s="33" t="s">
        <v>21712</v>
      </c>
      <c r="B3122" s="76" t="s">
        <v>91</v>
      </c>
      <c r="C3122" s="41">
        <v>45539.0</v>
      </c>
      <c r="D3122" s="40" t="s">
        <v>21713</v>
      </c>
      <c r="E3122" s="41" t="s">
        <v>21714</v>
      </c>
      <c r="F3122" s="43" t="s">
        <v>21715</v>
      </c>
      <c r="G3122" s="43" t="s">
        <v>21716</v>
      </c>
      <c r="H3122" s="61" t="s">
        <v>148</v>
      </c>
      <c r="I3122" s="15" t="str">
        <f>IFERROR(__xludf.DUMMYFUNCTION("GOOGLETRANSLATE(H3122,""EN"",""ES"")"),"Gastronomía")</f>
        <v>Gastronomía</v>
      </c>
      <c r="J3122" s="16" t="s">
        <v>27</v>
      </c>
      <c r="K3122" s="17">
        <v>0.0</v>
      </c>
      <c r="L3122" s="45"/>
      <c r="M3122" s="18"/>
      <c r="N3122" s="86"/>
      <c r="O3122" s="86"/>
      <c r="P3122" s="20">
        <v>0.0</v>
      </c>
      <c r="Q3122" s="18"/>
      <c r="R3122" s="18"/>
      <c r="S3122" s="52"/>
      <c r="T3122" s="22"/>
    </row>
    <row r="3123">
      <c r="A3123" s="23" t="s">
        <v>21717</v>
      </c>
      <c r="B3123" s="77" t="s">
        <v>1602</v>
      </c>
      <c r="C3123" s="41">
        <v>45539.0</v>
      </c>
      <c r="D3123" s="40" t="s">
        <v>21718</v>
      </c>
      <c r="E3123" s="41" t="s">
        <v>21719</v>
      </c>
      <c r="F3123" s="43" t="s">
        <v>21720</v>
      </c>
      <c r="G3123" s="43" t="s">
        <v>21721</v>
      </c>
      <c r="H3123" s="59" t="s">
        <v>48</v>
      </c>
      <c r="I3123" s="25" t="str">
        <f>IFERROR(__xludf.DUMMYFUNCTION("GOOGLETRANSLATE(H3123,""EN"",""ES"")"),"Finanzas")</f>
        <v>Finanzas</v>
      </c>
      <c r="J3123" s="26" t="s">
        <v>27</v>
      </c>
      <c r="K3123" s="17">
        <v>0.0</v>
      </c>
      <c r="L3123" s="54"/>
      <c r="M3123" s="31"/>
      <c r="N3123" s="83"/>
      <c r="O3123" s="83"/>
      <c r="P3123" s="20">
        <v>0.0</v>
      </c>
      <c r="Q3123" s="31"/>
      <c r="R3123" s="31"/>
      <c r="S3123" s="53"/>
      <c r="T3123" s="32"/>
    </row>
    <row r="3124">
      <c r="A3124" s="33" t="s">
        <v>21722</v>
      </c>
      <c r="B3124" s="76" t="s">
        <v>626</v>
      </c>
      <c r="C3124" s="41">
        <v>45540.0</v>
      </c>
      <c r="D3124" s="40" t="s">
        <v>21723</v>
      </c>
      <c r="E3124" s="41" t="s">
        <v>21724</v>
      </c>
      <c r="F3124" s="43" t="s">
        <v>21725</v>
      </c>
      <c r="G3124" s="43" t="s">
        <v>21726</v>
      </c>
      <c r="H3124" s="61" t="s">
        <v>408</v>
      </c>
      <c r="I3124" s="15" t="str">
        <f>IFERROR(__xludf.DUMMYFUNCTION("GOOGLETRANSLATE(H3124,""EN"",""ES"")"),"Legal")</f>
        <v>Legal</v>
      </c>
      <c r="J3124" s="16" t="s">
        <v>35</v>
      </c>
      <c r="K3124" s="48">
        <v>-0.7</v>
      </c>
      <c r="L3124" s="51" t="s">
        <v>21727</v>
      </c>
      <c r="M3124" s="34" t="s">
        <v>21728</v>
      </c>
      <c r="N3124" s="86" t="s">
        <v>21729</v>
      </c>
      <c r="O3124" s="86" t="str">
        <f>IFERROR(__xludf.DUMMYFUNCTION("GOOGLETRANSLATE(N3124,""EN"",""ES"")"),"Negativo ya que se habla de posibles sanciones a Repsol.")</f>
        <v>Negativo ya que se habla de posibles sanciones a Repsol.</v>
      </c>
      <c r="P3124" s="30">
        <v>-0.6</v>
      </c>
      <c r="Q3124" s="18" t="str">
        <f>IFERROR(__xludf.DUMMYFUNCTION("GOOGLETRANSLATE(R3124,""ES"",""EN"")"),"sanctions, greenwashing")</f>
        <v>sanctions, greenwashing</v>
      </c>
      <c r="R3124" s="34" t="s">
        <v>21730</v>
      </c>
      <c r="S3124" s="52" t="s">
        <v>21731</v>
      </c>
      <c r="T3124" s="22" t="s">
        <v>21732</v>
      </c>
    </row>
    <row r="3125">
      <c r="A3125" s="23" t="s">
        <v>21733</v>
      </c>
      <c r="B3125" s="77" t="s">
        <v>431</v>
      </c>
      <c r="C3125" s="41">
        <v>45540.0</v>
      </c>
      <c r="D3125" s="40" t="s">
        <v>21734</v>
      </c>
      <c r="E3125" s="41" t="s">
        <v>21735</v>
      </c>
      <c r="F3125" s="43" t="s">
        <v>21736</v>
      </c>
      <c r="G3125" s="43" t="s">
        <v>21737</v>
      </c>
      <c r="H3125" s="59" t="s">
        <v>148</v>
      </c>
      <c r="I3125" s="25" t="str">
        <f>IFERROR(__xludf.DUMMYFUNCTION("GOOGLETRANSLATE(H3125,""EN"",""ES"")"),"Gastronomía")</f>
        <v>Gastronomía</v>
      </c>
      <c r="J3125" s="26" t="s">
        <v>27</v>
      </c>
      <c r="K3125" s="17">
        <v>0.0</v>
      </c>
      <c r="L3125" s="54"/>
      <c r="M3125" s="31"/>
      <c r="N3125" s="83"/>
      <c r="O3125" s="83"/>
      <c r="P3125" s="20">
        <v>0.0</v>
      </c>
      <c r="Q3125" s="31"/>
      <c r="R3125" s="31"/>
      <c r="S3125" s="53"/>
      <c r="T3125" s="32"/>
    </row>
    <row r="3126">
      <c r="A3126" s="33" t="s">
        <v>21738</v>
      </c>
      <c r="B3126" s="76" t="s">
        <v>260</v>
      </c>
      <c r="C3126" s="41">
        <v>45540.0</v>
      </c>
      <c r="D3126" s="40" t="s">
        <v>21739</v>
      </c>
      <c r="E3126" s="41" t="s">
        <v>21740</v>
      </c>
      <c r="F3126" s="43" t="s">
        <v>21741</v>
      </c>
      <c r="G3126" s="43" t="s">
        <v>21742</v>
      </c>
      <c r="H3126" s="61" t="s">
        <v>661</v>
      </c>
      <c r="I3126" s="15" t="str">
        <f>IFERROR(__xludf.DUMMYFUNCTION("GOOGLETRANSLATE(H3126,""EN"",""ES"")"),"Estrategia empresarial")</f>
        <v>Estrategia empresarial</v>
      </c>
      <c r="J3126" s="16" t="s">
        <v>35</v>
      </c>
      <c r="K3126" s="48">
        <v>-0.6</v>
      </c>
      <c r="L3126" s="51" t="s">
        <v>21743</v>
      </c>
      <c r="M3126" s="34" t="s">
        <v>21744</v>
      </c>
      <c r="N3126" s="86" t="s">
        <v>21745</v>
      </c>
      <c r="O3126" s="86" t="str">
        <f>IFERROR(__xludf.DUMMYFUNCTION("GOOGLETRANSLATE(N3126,""EN"",""ES"")"),"Negativo ya que resalta la actividad criminal que afecta a la industria.")</f>
        <v>Negativo ya que resalta la actividad criminal que afecta a la industria.</v>
      </c>
      <c r="P3126" s="30">
        <v>-0.4</v>
      </c>
      <c r="Q3126" s="18" t="str">
        <f>IFERROR(__xludf.DUMMYFUNCTION("GOOGLETRANSLATE(R3126,""ES"",""EN"")"),"racketeering")</f>
        <v>racketeering</v>
      </c>
      <c r="R3126" s="34" t="s">
        <v>21746</v>
      </c>
      <c r="S3126" s="52" t="s">
        <v>21747</v>
      </c>
      <c r="T3126" s="22" t="s">
        <v>21748</v>
      </c>
    </row>
    <row r="3127">
      <c r="A3127" s="23" t="s">
        <v>21749</v>
      </c>
      <c r="B3127" s="77" t="s">
        <v>21</v>
      </c>
      <c r="C3127" s="41">
        <v>45540.0</v>
      </c>
      <c r="D3127" s="40" t="s">
        <v>21750</v>
      </c>
      <c r="E3127" s="41" t="s">
        <v>21751</v>
      </c>
      <c r="F3127" s="43" t="s">
        <v>21752</v>
      </c>
      <c r="G3127" s="43" t="s">
        <v>21753</v>
      </c>
      <c r="H3127" s="59" t="s">
        <v>148</v>
      </c>
      <c r="I3127" s="25" t="str">
        <f>IFERROR(__xludf.DUMMYFUNCTION("GOOGLETRANSLATE(H3127,""EN"",""ES"")"),"Gastronomía")</f>
        <v>Gastronomía</v>
      </c>
      <c r="J3127" s="26" t="s">
        <v>27</v>
      </c>
      <c r="K3127" s="17">
        <v>0.0</v>
      </c>
      <c r="L3127" s="54"/>
      <c r="M3127" s="31"/>
      <c r="N3127" s="83"/>
      <c r="O3127" s="83"/>
      <c r="P3127" s="20">
        <v>0.0</v>
      </c>
      <c r="Q3127" s="31"/>
      <c r="R3127" s="31"/>
      <c r="S3127" s="53"/>
      <c r="T3127" s="32"/>
    </row>
    <row r="3128">
      <c r="A3128" s="33" t="s">
        <v>21754</v>
      </c>
      <c r="B3128" s="76" t="s">
        <v>217</v>
      </c>
      <c r="C3128" s="41">
        <v>45540.0</v>
      </c>
      <c r="D3128" s="40" t="s">
        <v>21755</v>
      </c>
      <c r="E3128" s="41" t="s">
        <v>21756</v>
      </c>
      <c r="F3128" s="43" t="s">
        <v>21757</v>
      </c>
      <c r="G3128" s="43" t="s">
        <v>21758</v>
      </c>
      <c r="H3128" s="61" t="s">
        <v>48</v>
      </c>
      <c r="I3128" s="15" t="str">
        <f>IFERROR(__xludf.DUMMYFUNCTION("GOOGLETRANSLATE(H3128,""EN"",""ES"")"),"Finanzas")</f>
        <v>Finanzas</v>
      </c>
      <c r="J3128" s="16" t="s">
        <v>35</v>
      </c>
      <c r="K3128" s="48">
        <v>-0.5</v>
      </c>
      <c r="L3128" s="51" t="s">
        <v>19216</v>
      </c>
      <c r="M3128" s="34" t="s">
        <v>19217</v>
      </c>
      <c r="N3128" s="86" t="s">
        <v>21759</v>
      </c>
      <c r="O3128" s="86" t="str">
        <f>IFERROR(__xludf.DUMMYFUNCTION("GOOGLETRANSLATE(N3128,""EN"",""ES"")"),"Negativo ya que analiza la caída del mercado petrolero.")</f>
        <v>Negativo ya que analiza la caída del mercado petrolero.</v>
      </c>
      <c r="P3128" s="30">
        <v>0.0</v>
      </c>
      <c r="Q3128" s="18"/>
      <c r="R3128" s="18"/>
      <c r="S3128" s="52" t="s">
        <v>21760</v>
      </c>
      <c r="T3128" s="22" t="s">
        <v>21761</v>
      </c>
    </row>
    <row r="3129">
      <c r="A3129" s="23" t="s">
        <v>21762</v>
      </c>
      <c r="B3129" s="77" t="s">
        <v>103</v>
      </c>
      <c r="C3129" s="41">
        <v>45540.0</v>
      </c>
      <c r="D3129" s="40" t="s">
        <v>21763</v>
      </c>
      <c r="E3129" s="41" t="s">
        <v>21764</v>
      </c>
      <c r="F3129" s="43" t="s">
        <v>21765</v>
      </c>
      <c r="G3129" s="43" t="s">
        <v>21766</v>
      </c>
      <c r="H3129" s="59" t="s">
        <v>408</v>
      </c>
      <c r="I3129" s="25" t="str">
        <f>IFERROR(__xludf.DUMMYFUNCTION("GOOGLETRANSLATE(H3129,""EN"",""ES"")"),"Legal")</f>
        <v>Legal</v>
      </c>
      <c r="J3129" s="26" t="s">
        <v>35</v>
      </c>
      <c r="K3129" s="48">
        <v>-0.7</v>
      </c>
      <c r="L3129" s="49" t="s">
        <v>21727</v>
      </c>
      <c r="M3129" s="28" t="s">
        <v>21728</v>
      </c>
      <c r="N3129" s="83" t="s">
        <v>21767</v>
      </c>
      <c r="O3129" s="83" t="str">
        <f>IFERROR(__xludf.DUMMYFUNCTION("GOOGLETRANSLATE(N3129,""EN"",""ES"")"),"Negativo ya que analiza la resistencia corporativa contra los impuestos gubernamentales.")</f>
        <v>Negativo ya que analiza la resistencia corporativa contra los impuestos gubernamentales.</v>
      </c>
      <c r="P3129" s="30">
        <v>0.3</v>
      </c>
      <c r="Q3129" s="31" t="str">
        <f>IFERROR(__xludf.DUMMYFUNCTION("GOOGLETRANSLATE(R3129,""ES"",""EN"")"),"accelerate, investments")</f>
        <v>accelerate, investments</v>
      </c>
      <c r="R3129" s="28" t="s">
        <v>21768</v>
      </c>
      <c r="S3129" s="53" t="s">
        <v>21769</v>
      </c>
      <c r="T3129" s="32" t="s">
        <v>21770</v>
      </c>
    </row>
    <row r="3130">
      <c r="A3130" s="33" t="s">
        <v>21771</v>
      </c>
      <c r="B3130" s="76" t="s">
        <v>91</v>
      </c>
      <c r="C3130" s="41">
        <v>45540.0</v>
      </c>
      <c r="D3130" s="40" t="s">
        <v>21772</v>
      </c>
      <c r="E3130" s="41" t="s">
        <v>21773</v>
      </c>
      <c r="F3130" s="43" t="s">
        <v>21774</v>
      </c>
      <c r="G3130" s="43" t="s">
        <v>21775</v>
      </c>
      <c r="H3130" s="61" t="s">
        <v>148</v>
      </c>
      <c r="I3130" s="15" t="str">
        <f>IFERROR(__xludf.DUMMYFUNCTION("GOOGLETRANSLATE(H3130,""EN"",""ES"")"),"Gastronomía")</f>
        <v>Gastronomía</v>
      </c>
      <c r="J3130" s="16" t="s">
        <v>27</v>
      </c>
      <c r="K3130" s="17">
        <v>0.0</v>
      </c>
      <c r="L3130" s="45"/>
      <c r="M3130" s="18"/>
      <c r="N3130" s="86"/>
      <c r="O3130" s="86"/>
      <c r="P3130" s="20">
        <v>0.0</v>
      </c>
      <c r="Q3130" s="18"/>
      <c r="R3130" s="18"/>
      <c r="S3130" s="52"/>
      <c r="T3130" s="22"/>
    </row>
    <row r="3131">
      <c r="A3131" s="23" t="s">
        <v>21776</v>
      </c>
      <c r="B3131" s="77" t="s">
        <v>3543</v>
      </c>
      <c r="C3131" s="41">
        <v>45540.0</v>
      </c>
      <c r="D3131" s="40" t="s">
        <v>21777</v>
      </c>
      <c r="E3131" s="41" t="s">
        <v>21778</v>
      </c>
      <c r="F3131" s="43" t="s">
        <v>21779</v>
      </c>
      <c r="G3131" s="43" t="s">
        <v>21780</v>
      </c>
      <c r="H3131" s="59" t="s">
        <v>148</v>
      </c>
      <c r="I3131" s="25" t="str">
        <f>IFERROR(__xludf.DUMMYFUNCTION("GOOGLETRANSLATE(H3131,""EN"",""ES"")"),"Gastronomía")</f>
        <v>Gastronomía</v>
      </c>
      <c r="J3131" s="26" t="s">
        <v>27</v>
      </c>
      <c r="K3131" s="17">
        <v>0.0</v>
      </c>
      <c r="L3131" s="54"/>
      <c r="M3131" s="31"/>
      <c r="N3131" s="83"/>
      <c r="O3131" s="83"/>
      <c r="P3131" s="20">
        <v>0.0</v>
      </c>
      <c r="Q3131" s="31"/>
      <c r="R3131" s="31"/>
      <c r="S3131" s="53"/>
      <c r="T3131" s="32"/>
    </row>
    <row r="3132">
      <c r="A3132" s="33" t="s">
        <v>21781</v>
      </c>
      <c r="B3132" s="76" t="s">
        <v>85</v>
      </c>
      <c r="C3132" s="41">
        <v>45540.0</v>
      </c>
      <c r="D3132" s="40" t="s">
        <v>21782</v>
      </c>
      <c r="E3132" s="41" t="s">
        <v>21783</v>
      </c>
      <c r="F3132" s="43" t="s">
        <v>21784</v>
      </c>
      <c r="G3132" s="43" t="s">
        <v>21785</v>
      </c>
      <c r="H3132" s="61" t="s">
        <v>148</v>
      </c>
      <c r="I3132" s="15" t="str">
        <f>IFERROR(__xludf.DUMMYFUNCTION("GOOGLETRANSLATE(H3132,""EN"",""ES"")"),"Gastronomía")</f>
        <v>Gastronomía</v>
      </c>
      <c r="J3132" s="16" t="s">
        <v>27</v>
      </c>
      <c r="K3132" s="17">
        <v>0.0</v>
      </c>
      <c r="L3132" s="45"/>
      <c r="M3132" s="18"/>
      <c r="N3132" s="86"/>
      <c r="O3132" s="86"/>
      <c r="P3132" s="20">
        <v>0.0</v>
      </c>
      <c r="Q3132" s="18"/>
      <c r="R3132" s="18"/>
      <c r="S3132" s="52"/>
      <c r="T3132" s="22"/>
    </row>
    <row r="3133">
      <c r="A3133" s="23" t="s">
        <v>21786</v>
      </c>
      <c r="B3133" s="77" t="s">
        <v>11295</v>
      </c>
      <c r="C3133" s="41">
        <v>45540.0</v>
      </c>
      <c r="D3133" s="40" t="s">
        <v>21787</v>
      </c>
      <c r="E3133" s="41" t="s">
        <v>21788</v>
      </c>
      <c r="F3133" s="43" t="s">
        <v>21789</v>
      </c>
      <c r="G3133" s="43" t="s">
        <v>21790</v>
      </c>
      <c r="H3133" s="59" t="s">
        <v>661</v>
      </c>
      <c r="I3133" s="25" t="str">
        <f>IFERROR(__xludf.DUMMYFUNCTION("GOOGLETRANSLATE(H3133,""EN"",""ES"")"),"Estrategia empresarial")</f>
        <v>Estrategia empresarial</v>
      </c>
      <c r="J3133" s="26" t="s">
        <v>35</v>
      </c>
      <c r="K3133" s="48">
        <v>0.6</v>
      </c>
      <c r="L3133" s="49" t="s">
        <v>12776</v>
      </c>
      <c r="M3133" s="28" t="s">
        <v>12777</v>
      </c>
      <c r="N3133" s="83" t="s">
        <v>21791</v>
      </c>
      <c r="O3133" s="83" t="str">
        <f>IFERROR(__xludf.DUMMYFUNCTION("GOOGLETRANSLATE(N3133,""EN"",""ES"")"),"Positivo ya que destaca un aumento de las exportaciones beneficiando a Repsol.")</f>
        <v>Positivo ya que destaca un aumento de las exportaciones beneficiando a Repsol.</v>
      </c>
      <c r="P3133" s="30">
        <v>0.0</v>
      </c>
      <c r="Q3133" s="31"/>
      <c r="R3133" s="31"/>
      <c r="S3133" s="53" t="s">
        <v>21792</v>
      </c>
      <c r="T3133" s="32" t="s">
        <v>21793</v>
      </c>
    </row>
    <row r="3134">
      <c r="A3134" s="33" t="s">
        <v>21794</v>
      </c>
      <c r="B3134" s="76" t="s">
        <v>21795</v>
      </c>
      <c r="C3134" s="41">
        <v>45540.0</v>
      </c>
      <c r="D3134" s="40" t="s">
        <v>21796</v>
      </c>
      <c r="E3134" s="41" t="s">
        <v>21797</v>
      </c>
      <c r="F3134" s="43" t="s">
        <v>21798</v>
      </c>
      <c r="G3134" s="43" t="s">
        <v>21799</v>
      </c>
      <c r="H3134" s="61" t="s">
        <v>661</v>
      </c>
      <c r="I3134" s="15" t="str">
        <f>IFERROR(__xludf.DUMMYFUNCTION("GOOGLETRANSLATE(H3134,""EN"",""ES"")"),"Estrategia empresarial")</f>
        <v>Estrategia empresarial</v>
      </c>
      <c r="J3134" s="16" t="s">
        <v>35</v>
      </c>
      <c r="K3134" s="48">
        <v>0.6</v>
      </c>
      <c r="L3134" s="51" t="s">
        <v>12776</v>
      </c>
      <c r="M3134" s="34" t="s">
        <v>12777</v>
      </c>
      <c r="N3134" s="86" t="s">
        <v>21800</v>
      </c>
      <c r="O3134" s="86" t="str">
        <f>IFERROR(__xludf.DUMMYFUNCTION("GOOGLETRANSLATE(N3134,""EN"",""ES"")"),"Positivo ya que destaca un crecimiento significativo de las exportaciones de petróleo.")</f>
        <v>Positivo ya que destaca un crecimiento significativo de las exportaciones de petróleo.</v>
      </c>
      <c r="P3134" s="30">
        <v>0.0</v>
      </c>
      <c r="Q3134" s="18"/>
      <c r="R3134" s="18"/>
      <c r="S3134" s="52" t="s">
        <v>21801</v>
      </c>
      <c r="T3134" s="22" t="s">
        <v>21802</v>
      </c>
    </row>
    <row r="3135">
      <c r="A3135" s="23" t="s">
        <v>21803</v>
      </c>
      <c r="B3135" s="77" t="s">
        <v>17094</v>
      </c>
      <c r="C3135" s="41">
        <v>45541.0</v>
      </c>
      <c r="D3135" s="40" t="s">
        <v>21804</v>
      </c>
      <c r="E3135" s="41" t="s">
        <v>21805</v>
      </c>
      <c r="F3135" s="43" t="s">
        <v>21806</v>
      </c>
      <c r="G3135" s="43" t="s">
        <v>21807</v>
      </c>
      <c r="H3135" s="59" t="s">
        <v>130</v>
      </c>
      <c r="I3135" s="25" t="str">
        <f>IFERROR(__xludf.DUMMYFUNCTION("GOOGLETRANSLATE(H3135,""EN"",""ES"")"),"Sostenibilidad")</f>
        <v>Sostenibilidad</v>
      </c>
      <c r="J3135" s="26" t="s">
        <v>35</v>
      </c>
      <c r="K3135" s="48">
        <v>0.7</v>
      </c>
      <c r="L3135" s="49" t="s">
        <v>21358</v>
      </c>
      <c r="M3135" s="28" t="s">
        <v>21359</v>
      </c>
      <c r="N3135" s="83" t="s">
        <v>21808</v>
      </c>
      <c r="O3135" s="83" t="str">
        <f>IFERROR(__xludf.DUMMYFUNCTION("GOOGLETRANSLATE(N3135,""EN"",""ES"")"),"Positivo ya que enfatiza los esfuerzos de sostenibilidad ambiental.")</f>
        <v>Positivo ya que enfatiza los esfuerzos de sostenibilidad ambiental.</v>
      </c>
      <c r="P3135" s="30">
        <v>0.5</v>
      </c>
      <c r="Q3135" s="31" t="str">
        <f>IFERROR(__xludf.DUMMYFUNCTION("GOOGLETRANSLATE(R3135,""ES"",""EN"")"),"agreement, collection")</f>
        <v>agreement, collection</v>
      </c>
      <c r="R3135" s="28" t="s">
        <v>21809</v>
      </c>
      <c r="S3135" s="53" t="s">
        <v>21810</v>
      </c>
      <c r="T3135" s="32" t="s">
        <v>21811</v>
      </c>
    </row>
    <row r="3136">
      <c r="A3136" s="33" t="s">
        <v>21812</v>
      </c>
      <c r="B3136" s="76" t="s">
        <v>431</v>
      </c>
      <c r="C3136" s="41">
        <v>45541.0</v>
      </c>
      <c r="D3136" s="40" t="s">
        <v>21813</v>
      </c>
      <c r="E3136" s="41" t="s">
        <v>21814</v>
      </c>
      <c r="F3136" s="43" t="s">
        <v>21815</v>
      </c>
      <c r="G3136" s="43" t="s">
        <v>21816</v>
      </c>
      <c r="H3136" s="61" t="s">
        <v>130</v>
      </c>
      <c r="I3136" s="15" t="str">
        <f>IFERROR(__xludf.DUMMYFUNCTION("GOOGLETRANSLATE(H3136,""EN"",""ES"")"),"Sostenibilidad")</f>
        <v>Sostenibilidad</v>
      </c>
      <c r="J3136" s="16" t="s">
        <v>35</v>
      </c>
      <c r="K3136" s="48">
        <v>0.7</v>
      </c>
      <c r="L3136" s="51" t="s">
        <v>12580</v>
      </c>
      <c r="M3136" s="34" t="s">
        <v>12581</v>
      </c>
      <c r="N3136" s="86" t="s">
        <v>21817</v>
      </c>
      <c r="O3136" s="86" t="str">
        <f>IFERROR(__xludf.DUMMYFUNCTION("GOOGLETRANSLATE(N3136,""EN"",""ES"")"),"Positivo ya que promueve iniciativas de energías renovables.")</f>
        <v>Positivo ya que promueve iniciativas de energías renovables.</v>
      </c>
      <c r="P3136" s="30">
        <v>0.4</v>
      </c>
      <c r="Q3136" s="18" t="str">
        <f>IFERROR(__xludf.DUMMYFUNCTION("GOOGLETRANSLATE(R3136,""ES"",""EN"")"),"collection")</f>
        <v>collection</v>
      </c>
      <c r="R3136" s="34" t="s">
        <v>21818</v>
      </c>
      <c r="S3136" s="52" t="s">
        <v>21819</v>
      </c>
      <c r="T3136" s="22" t="s">
        <v>21820</v>
      </c>
    </row>
    <row r="3137">
      <c r="A3137" s="23" t="s">
        <v>21821</v>
      </c>
      <c r="B3137" s="77" t="s">
        <v>192</v>
      </c>
      <c r="C3137" s="41">
        <v>45541.0</v>
      </c>
      <c r="D3137" s="40" t="s">
        <v>21822</v>
      </c>
      <c r="E3137" s="41" t="s">
        <v>21823</v>
      </c>
      <c r="F3137" s="43" t="s">
        <v>21824</v>
      </c>
      <c r="G3137" s="43" t="s">
        <v>21825</v>
      </c>
      <c r="H3137" s="59" t="s">
        <v>661</v>
      </c>
      <c r="I3137" s="25" t="str">
        <f>IFERROR(__xludf.DUMMYFUNCTION("GOOGLETRANSLATE(H3137,""EN"",""ES"")"),"Estrategia empresarial")</f>
        <v>Estrategia empresarial</v>
      </c>
      <c r="J3137" s="26" t="s">
        <v>35</v>
      </c>
      <c r="K3137" s="48">
        <v>0.7</v>
      </c>
      <c r="L3137" s="49" t="s">
        <v>21006</v>
      </c>
      <c r="M3137" s="28" t="s">
        <v>21007</v>
      </c>
      <c r="N3137" s="83" t="s">
        <v>21826</v>
      </c>
      <c r="O3137" s="83" t="str">
        <f>IFERROR(__xludf.DUMMYFUNCTION("GOOGLETRANSLATE(N3137,""EN"",""ES"")"),"Positivo ya que reconoce la excelencia en el liderazgo.")</f>
        <v>Positivo ya que reconoce la excelencia en el liderazgo.</v>
      </c>
      <c r="P3137" s="30">
        <v>0.7</v>
      </c>
      <c r="Q3137" s="31" t="str">
        <f>IFERROR(__xludf.DUMMYFUNCTION("GOOGLETRANSLATE(R3137,""ES"",""EN"")"),"best CEO")</f>
        <v>best CEO</v>
      </c>
      <c r="R3137" s="28" t="s">
        <v>21827</v>
      </c>
      <c r="S3137" s="53" t="s">
        <v>21828</v>
      </c>
      <c r="T3137" s="32" t="s">
        <v>21829</v>
      </c>
    </row>
    <row r="3138">
      <c r="A3138" s="33" t="s">
        <v>21830</v>
      </c>
      <c r="B3138" s="76" t="s">
        <v>16303</v>
      </c>
      <c r="C3138" s="41">
        <v>45541.0</v>
      </c>
      <c r="D3138" s="40" t="s">
        <v>21831</v>
      </c>
      <c r="E3138" s="41" t="s">
        <v>21832</v>
      </c>
      <c r="F3138" s="43" t="s">
        <v>21833</v>
      </c>
      <c r="G3138" s="43" t="s">
        <v>21834</v>
      </c>
      <c r="H3138" s="61" t="s">
        <v>661</v>
      </c>
      <c r="I3138" s="15" t="str">
        <f>IFERROR(__xludf.DUMMYFUNCTION("GOOGLETRANSLATE(H3138,""EN"",""ES"")"),"Estrategia empresarial")</f>
        <v>Estrategia empresarial</v>
      </c>
      <c r="J3138" s="16" t="s">
        <v>35</v>
      </c>
      <c r="K3138" s="48">
        <v>-0.6</v>
      </c>
      <c r="L3138" s="51" t="s">
        <v>21743</v>
      </c>
      <c r="M3138" s="34" t="s">
        <v>21744</v>
      </c>
      <c r="N3138" s="86" t="s">
        <v>21835</v>
      </c>
      <c r="O3138" s="86" t="str">
        <f>IFERROR(__xludf.DUMMYFUNCTION("GOOGLETRANSLATE(N3138,""EN"",""ES"")"),"Negativo ya que habla de actividad criminal que afecta al sector.")</f>
        <v>Negativo ya que habla de actividad criminal que afecta al sector.</v>
      </c>
      <c r="P3138" s="30">
        <v>-0.4</v>
      </c>
      <c r="Q3138" s="18" t="str">
        <f>IFERROR(__xludf.DUMMYFUNCTION("GOOGLETRANSLATE(R3138,""ES"",""EN"")"),"racketeering")</f>
        <v>racketeering</v>
      </c>
      <c r="R3138" s="34" t="s">
        <v>21746</v>
      </c>
      <c r="S3138" s="52" t="s">
        <v>21836</v>
      </c>
      <c r="T3138" s="22" t="s">
        <v>21837</v>
      </c>
    </row>
    <row r="3139">
      <c r="A3139" s="23" t="s">
        <v>21838</v>
      </c>
      <c r="B3139" s="77" t="s">
        <v>21</v>
      </c>
      <c r="C3139" s="41">
        <v>45541.0</v>
      </c>
      <c r="D3139" s="40" t="s">
        <v>21839</v>
      </c>
      <c r="E3139" s="41" t="s">
        <v>21840</v>
      </c>
      <c r="F3139" s="43" t="s">
        <v>21841</v>
      </c>
      <c r="G3139" s="43" t="s">
        <v>21842</v>
      </c>
      <c r="H3139" s="59" t="s">
        <v>148</v>
      </c>
      <c r="I3139" s="25" t="str">
        <f>IFERROR(__xludf.DUMMYFUNCTION("GOOGLETRANSLATE(H3139,""EN"",""ES"")"),"Gastronomía")</f>
        <v>Gastronomía</v>
      </c>
      <c r="J3139" s="26" t="s">
        <v>27</v>
      </c>
      <c r="K3139" s="17">
        <v>0.0</v>
      </c>
      <c r="L3139" s="54"/>
      <c r="M3139" s="31"/>
      <c r="N3139" s="83"/>
      <c r="O3139" s="83"/>
      <c r="P3139" s="20">
        <v>0.0</v>
      </c>
      <c r="Q3139" s="31"/>
      <c r="R3139" s="31"/>
      <c r="S3139" s="53"/>
      <c r="T3139" s="32"/>
    </row>
    <row r="3140">
      <c r="A3140" s="33" t="s">
        <v>21843</v>
      </c>
      <c r="B3140" s="76" t="s">
        <v>91</v>
      </c>
      <c r="C3140" s="41">
        <v>45541.0</v>
      </c>
      <c r="D3140" s="40" t="s">
        <v>21844</v>
      </c>
      <c r="E3140" s="41" t="s">
        <v>21845</v>
      </c>
      <c r="F3140" s="43" t="s">
        <v>21846</v>
      </c>
      <c r="G3140" s="43" t="s">
        <v>21847</v>
      </c>
      <c r="H3140" s="61" t="s">
        <v>148</v>
      </c>
      <c r="I3140" s="15" t="str">
        <f>IFERROR(__xludf.DUMMYFUNCTION("GOOGLETRANSLATE(H3140,""EN"",""ES"")"),"Gastronomía")</f>
        <v>Gastronomía</v>
      </c>
      <c r="J3140" s="16" t="s">
        <v>27</v>
      </c>
      <c r="K3140" s="17">
        <v>0.0</v>
      </c>
      <c r="L3140" s="45"/>
      <c r="M3140" s="18"/>
      <c r="N3140" s="86"/>
      <c r="O3140" s="86"/>
      <c r="P3140" s="20">
        <v>0.0</v>
      </c>
      <c r="Q3140" s="18"/>
      <c r="R3140" s="18"/>
      <c r="S3140" s="52"/>
      <c r="T3140" s="22"/>
    </row>
    <row r="3141">
      <c r="A3141" s="23" t="s">
        <v>21848</v>
      </c>
      <c r="B3141" s="77" t="s">
        <v>859</v>
      </c>
      <c r="C3141" s="41">
        <v>45541.0</v>
      </c>
      <c r="D3141" s="40" t="s">
        <v>21849</v>
      </c>
      <c r="E3141" s="41" t="s">
        <v>21850</v>
      </c>
      <c r="F3141" s="43" t="s">
        <v>21851</v>
      </c>
      <c r="G3141" s="43" t="s">
        <v>21852</v>
      </c>
      <c r="H3141" s="59" t="s">
        <v>130</v>
      </c>
      <c r="I3141" s="25" t="str">
        <f>IFERROR(__xludf.DUMMYFUNCTION("GOOGLETRANSLATE(H3141,""EN"",""ES"")"),"Sostenibilidad")</f>
        <v>Sostenibilidad</v>
      </c>
      <c r="J3141" s="26" t="s">
        <v>35</v>
      </c>
      <c r="K3141" s="48">
        <v>-0.5</v>
      </c>
      <c r="L3141" s="49" t="s">
        <v>20541</v>
      </c>
      <c r="M3141" s="28" t="s">
        <v>20542</v>
      </c>
      <c r="N3141" s="83" t="s">
        <v>21853</v>
      </c>
      <c r="O3141" s="83" t="str">
        <f>IFERROR(__xludf.DUMMYFUNCTION("GOOGLETRANSLATE(N3141,""EN"",""ES"")"),"Negativo ya que sugiere posibles cambios ambientales e industriales.")</f>
        <v>Negativo ya que sugiere posibles cambios ambientales e industriales.</v>
      </c>
      <c r="P3141" s="30">
        <v>0.0</v>
      </c>
      <c r="Q3141" s="31"/>
      <c r="R3141" s="31"/>
      <c r="S3141" s="53" t="s">
        <v>21854</v>
      </c>
      <c r="T3141" s="32" t="s">
        <v>21855</v>
      </c>
    </row>
    <row r="3142">
      <c r="A3142" s="33" t="s">
        <v>21856</v>
      </c>
      <c r="B3142" s="76" t="s">
        <v>21857</v>
      </c>
      <c r="C3142" s="41">
        <v>45541.0</v>
      </c>
      <c r="D3142" s="40" t="s">
        <v>21858</v>
      </c>
      <c r="E3142" s="41" t="s">
        <v>21859</v>
      </c>
      <c r="F3142" s="43" t="s">
        <v>21860</v>
      </c>
      <c r="G3142" s="43" t="s">
        <v>21861</v>
      </c>
      <c r="H3142" s="61" t="s">
        <v>148</v>
      </c>
      <c r="I3142" s="15" t="str">
        <f>IFERROR(__xludf.DUMMYFUNCTION("GOOGLETRANSLATE(H3142,""EN"",""ES"")"),"Gastronomía")</f>
        <v>Gastronomía</v>
      </c>
      <c r="J3142" s="16" t="s">
        <v>27</v>
      </c>
      <c r="K3142" s="17">
        <v>0.0</v>
      </c>
      <c r="L3142" s="45"/>
      <c r="M3142" s="18"/>
      <c r="N3142" s="86"/>
      <c r="O3142" s="86"/>
      <c r="P3142" s="20">
        <v>0.0</v>
      </c>
      <c r="Q3142" s="18"/>
      <c r="R3142" s="18"/>
      <c r="S3142" s="52"/>
      <c r="T3142" s="22"/>
    </row>
    <row r="3143">
      <c r="A3143" s="23" t="s">
        <v>21862</v>
      </c>
      <c r="B3143" s="77" t="s">
        <v>977</v>
      </c>
      <c r="C3143" s="41">
        <v>45541.0</v>
      </c>
      <c r="D3143" s="40" t="s">
        <v>21863</v>
      </c>
      <c r="E3143" s="41" t="s">
        <v>21864</v>
      </c>
      <c r="F3143" s="43" t="s">
        <v>21865</v>
      </c>
      <c r="G3143" s="43" t="s">
        <v>21866</v>
      </c>
      <c r="H3143" s="59" t="s">
        <v>148</v>
      </c>
      <c r="I3143" s="25" t="str">
        <f>IFERROR(__xludf.DUMMYFUNCTION("GOOGLETRANSLATE(H3143,""EN"",""ES"")"),"Gastronomía")</f>
        <v>Gastronomía</v>
      </c>
      <c r="J3143" s="26" t="s">
        <v>27</v>
      </c>
      <c r="K3143" s="17">
        <v>0.0</v>
      </c>
      <c r="L3143" s="54"/>
      <c r="M3143" s="31"/>
      <c r="N3143" s="83"/>
      <c r="O3143" s="83"/>
      <c r="P3143" s="20">
        <v>0.0</v>
      </c>
      <c r="Q3143" s="31"/>
      <c r="R3143" s="31"/>
      <c r="S3143" s="53"/>
      <c r="T3143" s="32"/>
    </row>
    <row r="3144">
      <c r="A3144" s="33" t="s">
        <v>21867</v>
      </c>
      <c r="B3144" s="76" t="s">
        <v>425</v>
      </c>
      <c r="C3144" s="41">
        <v>45541.0</v>
      </c>
      <c r="D3144" s="40" t="s">
        <v>21868</v>
      </c>
      <c r="E3144" s="41" t="s">
        <v>21869</v>
      </c>
      <c r="F3144" s="43" t="s">
        <v>21870</v>
      </c>
      <c r="G3144" s="43" t="s">
        <v>21871</v>
      </c>
      <c r="H3144" s="61" t="s">
        <v>55</v>
      </c>
      <c r="I3144" s="15" t="str">
        <f>IFERROR(__xludf.DUMMYFUNCTION("GOOGLETRANSLATE(H3144,""EN"",""ES"")"),"deportes de motor")</f>
        <v>deportes de motor</v>
      </c>
      <c r="J3144" s="16" t="s">
        <v>27</v>
      </c>
      <c r="K3144" s="17">
        <v>0.0</v>
      </c>
      <c r="L3144" s="45"/>
      <c r="M3144" s="18"/>
      <c r="N3144" s="86"/>
      <c r="O3144" s="86"/>
      <c r="P3144" s="20">
        <v>0.0</v>
      </c>
      <c r="Q3144" s="18"/>
      <c r="R3144" s="18"/>
      <c r="S3144" s="52"/>
      <c r="T3144" s="22"/>
    </row>
    <row r="3145">
      <c r="A3145" s="23" t="s">
        <v>21872</v>
      </c>
      <c r="B3145" s="77" t="s">
        <v>1577</v>
      </c>
      <c r="C3145" s="41">
        <v>45541.0</v>
      </c>
      <c r="D3145" s="40" t="s">
        <v>21873</v>
      </c>
      <c r="E3145" s="41" t="s">
        <v>21874</v>
      </c>
      <c r="F3145" s="43" t="s">
        <v>21875</v>
      </c>
      <c r="G3145" s="43" t="s">
        <v>21876</v>
      </c>
      <c r="H3145" s="59" t="s">
        <v>661</v>
      </c>
      <c r="I3145" s="25" t="str">
        <f>IFERROR(__xludf.DUMMYFUNCTION("GOOGLETRANSLATE(H3145,""EN"",""ES"")"),"Estrategia empresarial")</f>
        <v>Estrategia empresarial</v>
      </c>
      <c r="J3145" s="26" t="s">
        <v>35</v>
      </c>
      <c r="K3145" s="48">
        <v>0.7</v>
      </c>
      <c r="L3145" s="49" t="s">
        <v>21006</v>
      </c>
      <c r="M3145" s="28" t="s">
        <v>21007</v>
      </c>
      <c r="N3145" s="83" t="s">
        <v>21877</v>
      </c>
      <c r="O3145" s="83" t="str">
        <f>IFERROR(__xludf.DUMMYFUNCTION("GOOGLETRANSLATE(N3145,""EN"",""ES"")"),"Positivo ya que elogia el liderazgo ejecutivo de Repsol.")</f>
        <v>Positivo ya que elogia el liderazgo ejecutivo de Repsol.</v>
      </c>
      <c r="P3145" s="30">
        <v>0.7</v>
      </c>
      <c r="Q3145" s="31" t="str">
        <f>IFERROR(__xludf.DUMMYFUNCTION("GOOGLETRANSLATE(R3145,""ES"",""EN"")"),"best CEO")</f>
        <v>best CEO</v>
      </c>
      <c r="R3145" s="28" t="s">
        <v>21827</v>
      </c>
      <c r="S3145" s="53" t="s">
        <v>21878</v>
      </c>
      <c r="T3145" s="32" t="s">
        <v>21879</v>
      </c>
    </row>
    <row r="3146">
      <c r="A3146" s="33" t="s">
        <v>21880</v>
      </c>
      <c r="B3146" s="76" t="s">
        <v>21881</v>
      </c>
      <c r="C3146" s="41">
        <v>45541.0</v>
      </c>
      <c r="D3146" s="40" t="s">
        <v>21882</v>
      </c>
      <c r="E3146" s="41" t="s">
        <v>21883</v>
      </c>
      <c r="F3146" s="43" t="s">
        <v>21884</v>
      </c>
      <c r="G3146" s="43" t="s">
        <v>21885</v>
      </c>
      <c r="H3146" s="61" t="s">
        <v>661</v>
      </c>
      <c r="I3146" s="15" t="str">
        <f>IFERROR(__xludf.DUMMYFUNCTION("GOOGLETRANSLATE(H3146,""EN"",""ES"")"),"Estrategia empresarial")</f>
        <v>Estrategia empresarial</v>
      </c>
      <c r="J3146" s="16" t="s">
        <v>35</v>
      </c>
      <c r="K3146" s="48">
        <v>0.6</v>
      </c>
      <c r="L3146" s="51" t="s">
        <v>12776</v>
      </c>
      <c r="M3146" s="34" t="s">
        <v>12777</v>
      </c>
      <c r="N3146" s="86" t="s">
        <v>21886</v>
      </c>
      <c r="O3146" s="86" t="str">
        <f>IFERROR(__xludf.DUMMYFUNCTION("GOOGLETRANSLATE(N3146,""EN"",""ES"")"),"Positivo porque pone de relieve el papel de España en las importaciones de petróleo.")</f>
        <v>Positivo porque pone de relieve el papel de España en las importaciones de petróleo.</v>
      </c>
      <c r="P3146" s="30">
        <v>0.0</v>
      </c>
      <c r="Q3146" s="18"/>
      <c r="R3146" s="18"/>
      <c r="S3146" s="52" t="s">
        <v>21887</v>
      </c>
      <c r="T3146" s="22" t="s">
        <v>21888</v>
      </c>
    </row>
    <row r="3147">
      <c r="A3147" s="23" t="s">
        <v>21889</v>
      </c>
      <c r="B3147" s="77" t="s">
        <v>21</v>
      </c>
      <c r="C3147" s="41">
        <v>45541.0</v>
      </c>
      <c r="D3147" s="40" t="s">
        <v>21890</v>
      </c>
      <c r="E3147" s="41" t="s">
        <v>21891</v>
      </c>
      <c r="F3147" s="43" t="s">
        <v>21892</v>
      </c>
      <c r="G3147" s="43" t="s">
        <v>21893</v>
      </c>
      <c r="H3147" s="59" t="s">
        <v>148</v>
      </c>
      <c r="I3147" s="25" t="str">
        <f>IFERROR(__xludf.DUMMYFUNCTION("GOOGLETRANSLATE(H3147,""EN"",""ES"")"),"Gastronomía")</f>
        <v>Gastronomía</v>
      </c>
      <c r="J3147" s="26" t="s">
        <v>27</v>
      </c>
      <c r="K3147" s="17">
        <v>0.0</v>
      </c>
      <c r="L3147" s="54"/>
      <c r="M3147" s="31"/>
      <c r="N3147" s="83"/>
      <c r="O3147" s="83"/>
      <c r="P3147" s="20">
        <v>0.0</v>
      </c>
      <c r="Q3147" s="31"/>
      <c r="R3147" s="31"/>
      <c r="S3147" s="53"/>
      <c r="T3147" s="32"/>
    </row>
    <row r="3148">
      <c r="A3148" s="33" t="s">
        <v>21894</v>
      </c>
      <c r="B3148" s="76" t="s">
        <v>1362</v>
      </c>
      <c r="C3148" s="41">
        <v>45541.0</v>
      </c>
      <c r="D3148" s="40" t="s">
        <v>21895</v>
      </c>
      <c r="E3148" s="41" t="s">
        <v>21896</v>
      </c>
      <c r="F3148" s="43" t="s">
        <v>21897</v>
      </c>
      <c r="G3148" s="43" t="s">
        <v>21898</v>
      </c>
      <c r="H3148" s="61" t="s">
        <v>408</v>
      </c>
      <c r="I3148" s="15" t="str">
        <f>IFERROR(__xludf.DUMMYFUNCTION("GOOGLETRANSLATE(H3148,""EN"",""ES"")"),"Legal")</f>
        <v>Legal</v>
      </c>
      <c r="J3148" s="16" t="s">
        <v>35</v>
      </c>
      <c r="K3148" s="48">
        <v>-0.7</v>
      </c>
      <c r="L3148" s="51" t="s">
        <v>21899</v>
      </c>
      <c r="M3148" s="34" t="s">
        <v>21900</v>
      </c>
      <c r="N3148" s="86" t="s">
        <v>21901</v>
      </c>
      <c r="O3148" s="86" t="str">
        <f>IFERROR(__xludf.DUMMYFUNCTION("GOOGLETRANSLATE(N3148,""EN"",""ES"")"),"Negativo ya que habla de las protestas en curso contra Repsol.")</f>
        <v>Negativo ya que habla de las protestas en curso contra Repsol.</v>
      </c>
      <c r="P3148" s="30">
        <v>-0.8</v>
      </c>
      <c r="Q3148" s="18" t="str">
        <f>IFERROR(__xludf.DUMMYFUNCTION("GOOGLETRANSLATE(R3148,""ES"",""EN"")"),"spill, stoppage")</f>
        <v>spill, stoppage</v>
      </c>
      <c r="R3148" s="34" t="s">
        <v>21902</v>
      </c>
      <c r="S3148" s="52" t="s">
        <v>21903</v>
      </c>
      <c r="T3148" s="22" t="s">
        <v>21904</v>
      </c>
    </row>
    <row r="3149">
      <c r="A3149" s="23" t="s">
        <v>21905</v>
      </c>
      <c r="B3149" s="77" t="s">
        <v>21906</v>
      </c>
      <c r="C3149" s="41">
        <v>45541.0</v>
      </c>
      <c r="D3149" s="40" t="s">
        <v>21907</v>
      </c>
      <c r="E3149" s="41" t="s">
        <v>21908</v>
      </c>
      <c r="F3149" s="43" t="s">
        <v>21909</v>
      </c>
      <c r="G3149" s="43" t="s">
        <v>21910</v>
      </c>
      <c r="H3149" s="59" t="s">
        <v>21911</v>
      </c>
      <c r="I3149" s="25" t="str">
        <f>IFERROR(__xludf.DUMMYFUNCTION("GOOGLETRANSLATE(H3149,""EN"",""ES"")"),"Mano de obra")</f>
        <v>Mano de obra</v>
      </c>
      <c r="J3149" s="26" t="s">
        <v>35</v>
      </c>
      <c r="K3149" s="48">
        <v>0.0</v>
      </c>
      <c r="L3149" s="54"/>
      <c r="M3149" s="31"/>
      <c r="N3149" s="83" t="s">
        <v>21912</v>
      </c>
      <c r="O3149" s="83" t="str">
        <f>IFERROR(__xludf.DUMMYFUNCTION("GOOGLETRANSLATE(N3149,""EN"",""ES"")"),"Neutral ya que es una mención retrospectiva de un evento pasado.")</f>
        <v>Neutral ya que es una mención retrospectiva de un evento pasado.</v>
      </c>
      <c r="P3149" s="30">
        <v>-0.3</v>
      </c>
      <c r="Q3149" s="31" t="str">
        <f>IFERROR(__xludf.DUMMYFUNCTION("GOOGLETRANSLATE(R3149,""ES"",""EN"")"),"arrest")</f>
        <v>arrest</v>
      </c>
      <c r="R3149" s="28" t="s">
        <v>21913</v>
      </c>
      <c r="S3149" s="53" t="s">
        <v>21914</v>
      </c>
      <c r="T3149" s="32" t="s">
        <v>21915</v>
      </c>
    </row>
    <row r="3150">
      <c r="A3150" s="33" t="s">
        <v>21916</v>
      </c>
      <c r="B3150" s="76" t="s">
        <v>9569</v>
      </c>
      <c r="C3150" s="41">
        <v>45542.0</v>
      </c>
      <c r="D3150" s="40" t="s">
        <v>21917</v>
      </c>
      <c r="E3150" s="41" t="s">
        <v>21918</v>
      </c>
      <c r="F3150" s="43" t="s">
        <v>21919</v>
      </c>
      <c r="G3150" s="43" t="s">
        <v>21920</v>
      </c>
      <c r="H3150" s="61" t="s">
        <v>48</v>
      </c>
      <c r="I3150" s="15" t="str">
        <f>IFERROR(__xludf.DUMMYFUNCTION("GOOGLETRANSLATE(H3150,""EN"",""ES"")"),"Finanzas")</f>
        <v>Finanzas</v>
      </c>
      <c r="J3150" s="16" t="s">
        <v>35</v>
      </c>
      <c r="K3150" s="48">
        <v>0.7</v>
      </c>
      <c r="L3150" s="51" t="s">
        <v>19216</v>
      </c>
      <c r="M3150" s="34" t="s">
        <v>19217</v>
      </c>
      <c r="N3150" s="86" t="s">
        <v>21921</v>
      </c>
      <c r="O3150" s="86" t="str">
        <f>IFERROR(__xludf.DUMMYFUNCTION("GOOGLETRANSLATE(N3150,""EN"",""ES"")"),"Positivo porque presenta a Repsol como una oportunidad de inversión.")</f>
        <v>Positivo porque presenta a Repsol como una oportunidad de inversión.</v>
      </c>
      <c r="P3150" s="30">
        <v>0.6</v>
      </c>
      <c r="Q3150" s="18" t="str">
        <f>IFERROR(__xludf.DUMMYFUNCTION("GOOGLETRANSLATE(R3150,""ES"",""EN"")"),"golden opportunity")</f>
        <v>golden opportunity</v>
      </c>
      <c r="R3150" s="34" t="s">
        <v>21922</v>
      </c>
      <c r="S3150" s="52" t="s">
        <v>21923</v>
      </c>
      <c r="T3150" s="22" t="s">
        <v>21924</v>
      </c>
    </row>
    <row r="3151">
      <c r="A3151" s="23" t="s">
        <v>21925</v>
      </c>
      <c r="B3151" s="77" t="s">
        <v>43</v>
      </c>
      <c r="C3151" s="41">
        <v>45542.0</v>
      </c>
      <c r="D3151" s="40" t="s">
        <v>21926</v>
      </c>
      <c r="E3151" s="41" t="s">
        <v>21927</v>
      </c>
      <c r="F3151" s="43" t="s">
        <v>21928</v>
      </c>
      <c r="G3151" s="43" t="s">
        <v>21929</v>
      </c>
      <c r="H3151" s="59" t="s">
        <v>148</v>
      </c>
      <c r="I3151" s="25" t="str">
        <f>IFERROR(__xludf.DUMMYFUNCTION("GOOGLETRANSLATE(H3151,""EN"",""ES"")"),"Gastronomía")</f>
        <v>Gastronomía</v>
      </c>
      <c r="J3151" s="26" t="s">
        <v>27</v>
      </c>
      <c r="K3151" s="17">
        <v>0.0</v>
      </c>
      <c r="L3151" s="54"/>
      <c r="M3151" s="31"/>
      <c r="N3151" s="83"/>
      <c r="O3151" s="83"/>
      <c r="P3151" s="20">
        <v>0.0</v>
      </c>
      <c r="Q3151" s="31"/>
      <c r="R3151" s="31"/>
      <c r="S3151" s="53"/>
      <c r="T3151" s="32"/>
    </row>
    <row r="3152">
      <c r="A3152" s="33" t="s">
        <v>21930</v>
      </c>
      <c r="B3152" s="76" t="s">
        <v>14748</v>
      </c>
      <c r="C3152" s="41">
        <v>45542.0</v>
      </c>
      <c r="D3152" s="40" t="s">
        <v>21931</v>
      </c>
      <c r="E3152" s="41" t="s">
        <v>21932</v>
      </c>
      <c r="F3152" s="43" t="s">
        <v>21933</v>
      </c>
      <c r="G3152" s="43" t="s">
        <v>21934</v>
      </c>
      <c r="H3152" s="61" t="s">
        <v>55</v>
      </c>
      <c r="I3152" s="15" t="str">
        <f>IFERROR(__xludf.DUMMYFUNCTION("GOOGLETRANSLATE(H3152,""EN"",""ES"")"),"deportes de motor")</f>
        <v>deportes de motor</v>
      </c>
      <c r="J3152" s="16" t="s">
        <v>27</v>
      </c>
      <c r="K3152" s="17">
        <v>0.0</v>
      </c>
      <c r="L3152" s="45"/>
      <c r="M3152" s="18"/>
      <c r="N3152" s="86"/>
      <c r="O3152" s="86"/>
      <c r="P3152" s="20">
        <v>0.0</v>
      </c>
      <c r="Q3152" s="18"/>
      <c r="R3152" s="18"/>
      <c r="S3152" s="52"/>
      <c r="T3152" s="22"/>
    </row>
    <row r="3153">
      <c r="A3153" s="23" t="s">
        <v>21935</v>
      </c>
      <c r="B3153" s="77" t="s">
        <v>217</v>
      </c>
      <c r="C3153" s="41">
        <v>45542.0</v>
      </c>
      <c r="D3153" s="40" t="s">
        <v>21936</v>
      </c>
      <c r="E3153" s="41" t="s">
        <v>21937</v>
      </c>
      <c r="F3153" s="43" t="s">
        <v>21938</v>
      </c>
      <c r="G3153" s="43" t="s">
        <v>21939</v>
      </c>
      <c r="H3153" s="59" t="s">
        <v>48</v>
      </c>
      <c r="I3153" s="25" t="str">
        <f>IFERROR(__xludf.DUMMYFUNCTION("GOOGLETRANSLATE(H3153,""EN"",""ES"")"),"Finanzas")</f>
        <v>Finanzas</v>
      </c>
      <c r="J3153" s="26" t="s">
        <v>27</v>
      </c>
      <c r="K3153" s="17">
        <v>0.0</v>
      </c>
      <c r="L3153" s="54"/>
      <c r="M3153" s="31"/>
      <c r="N3153" s="83"/>
      <c r="O3153" s="83"/>
      <c r="P3153" s="20">
        <v>0.0</v>
      </c>
      <c r="Q3153" s="31"/>
      <c r="R3153" s="31"/>
      <c r="S3153" s="53"/>
      <c r="T3153" s="32"/>
    </row>
    <row r="3154">
      <c r="A3154" s="33" t="s">
        <v>21940</v>
      </c>
      <c r="B3154" s="76" t="s">
        <v>1970</v>
      </c>
      <c r="C3154" s="41">
        <v>45543.0</v>
      </c>
      <c r="D3154" s="40" t="s">
        <v>21941</v>
      </c>
      <c r="E3154" s="41" t="s">
        <v>21942</v>
      </c>
      <c r="F3154" s="43" t="s">
        <v>21943</v>
      </c>
      <c r="G3154" s="43" t="s">
        <v>21944</v>
      </c>
      <c r="H3154" s="61" t="s">
        <v>975</v>
      </c>
      <c r="I3154" s="15" t="str">
        <f>IFERROR(__xludf.DUMMYFUNCTION("GOOGLETRANSLATE(H3154,""EN"",""ES"")"),"Patrocinio")</f>
        <v>Patrocinio</v>
      </c>
      <c r="J3154" s="16" t="s">
        <v>35</v>
      </c>
      <c r="K3154" s="48">
        <v>-0.6</v>
      </c>
      <c r="L3154" s="51" t="s">
        <v>21945</v>
      </c>
      <c r="M3154" s="34" t="s">
        <v>21946</v>
      </c>
      <c r="N3154" s="86" t="s">
        <v>21947</v>
      </c>
      <c r="O3154" s="86" t="str">
        <f>IFERROR(__xludf.DUMMYFUNCTION("GOOGLETRANSLATE(N3154,""EN"",""ES"")"),"Negativo porque marca el fin de una asociación deportiva histórica.")</f>
        <v>Negativo porque marca el fin de una asociación deportiva histórica.</v>
      </c>
      <c r="P3154" s="30">
        <v>-0.5</v>
      </c>
      <c r="Q3154" s="18" t="str">
        <f>IFERROR(__xludf.DUMMYFUNCTION("GOOGLETRANSLATE(R3154,""ES"",""EN"")"),"breaks")</f>
        <v>breaks</v>
      </c>
      <c r="R3154" s="34" t="s">
        <v>21948</v>
      </c>
      <c r="S3154" s="52" t="s">
        <v>21949</v>
      </c>
      <c r="T3154" s="22" t="s">
        <v>21950</v>
      </c>
    </row>
    <row r="3155">
      <c r="A3155" s="23" t="s">
        <v>21951</v>
      </c>
      <c r="B3155" s="77" t="s">
        <v>1993</v>
      </c>
      <c r="C3155" s="41">
        <v>45543.0</v>
      </c>
      <c r="D3155" s="40" t="s">
        <v>21952</v>
      </c>
      <c r="E3155" s="41" t="s">
        <v>21953</v>
      </c>
      <c r="F3155" s="43" t="s">
        <v>21954</v>
      </c>
      <c r="G3155" s="43" t="s">
        <v>21955</v>
      </c>
      <c r="H3155" s="59" t="s">
        <v>975</v>
      </c>
      <c r="I3155" s="25" t="str">
        <f>IFERROR(__xludf.DUMMYFUNCTION("GOOGLETRANSLATE(H3155,""EN"",""ES"")"),"Patrocinio")</f>
        <v>Patrocinio</v>
      </c>
      <c r="J3155" s="26" t="s">
        <v>35</v>
      </c>
      <c r="K3155" s="48">
        <v>-0.6</v>
      </c>
      <c r="L3155" s="49" t="s">
        <v>21945</v>
      </c>
      <c r="M3155" s="28" t="s">
        <v>21946</v>
      </c>
      <c r="N3155" s="83" t="s">
        <v>21956</v>
      </c>
      <c r="O3155" s="83" t="str">
        <f>IFERROR(__xludf.DUMMYFUNCTION("GOOGLETRANSLATE(N3155,""EN"",""ES"")"),"Negativo porque señala el fin de una asociación de larga data.")</f>
        <v>Negativo porque señala el fin de una asociación de larga data.</v>
      </c>
      <c r="P3155" s="30">
        <v>-0.5</v>
      </c>
      <c r="Q3155" s="31" t="str">
        <f>IFERROR(__xludf.DUMMYFUNCTION("GOOGLETRANSLATE(R3155,""ES"",""EN"")"),"they separate")</f>
        <v>they separate</v>
      </c>
      <c r="R3155" s="28" t="s">
        <v>21957</v>
      </c>
      <c r="S3155" s="53" t="s">
        <v>21958</v>
      </c>
      <c r="T3155" s="32" t="s">
        <v>21959</v>
      </c>
    </row>
    <row r="3156">
      <c r="A3156" s="33" t="s">
        <v>21960</v>
      </c>
      <c r="B3156" s="76" t="s">
        <v>2696</v>
      </c>
      <c r="C3156" s="41">
        <v>45543.0</v>
      </c>
      <c r="D3156" s="40" t="s">
        <v>21961</v>
      </c>
      <c r="E3156" s="41" t="s">
        <v>21962</v>
      </c>
      <c r="F3156" s="43" t="s">
        <v>21963</v>
      </c>
      <c r="G3156" s="43" t="s">
        <v>21964</v>
      </c>
      <c r="H3156" s="61" t="s">
        <v>975</v>
      </c>
      <c r="I3156" s="15" t="str">
        <f>IFERROR(__xludf.DUMMYFUNCTION("GOOGLETRANSLATE(H3156,""EN"",""ES"")"),"Patrocinio")</f>
        <v>Patrocinio</v>
      </c>
      <c r="J3156" s="16" t="s">
        <v>35</v>
      </c>
      <c r="K3156" s="48">
        <v>-0.6</v>
      </c>
      <c r="L3156" s="51" t="s">
        <v>21945</v>
      </c>
      <c r="M3156" s="34" t="s">
        <v>21946</v>
      </c>
      <c r="N3156" s="86" t="s">
        <v>21965</v>
      </c>
      <c r="O3156" s="86" t="str">
        <f>IFERROR(__xludf.DUMMYFUNCTION("GOOGLETRANSLATE(N3156,""EN"",""ES"")"),"Negativo porque marca la terminación de una asociación exitosa.")</f>
        <v>Negativo porque marca la terminación de una asociación exitosa.</v>
      </c>
      <c r="P3156" s="30">
        <v>-0.6</v>
      </c>
      <c r="Q3156" s="18" t="str">
        <f>IFERROR(__xludf.DUMMYFUNCTION("GOOGLETRANSLATE(R3156,""ES"",""EN"")"),"end")</f>
        <v>end</v>
      </c>
      <c r="R3156" s="34" t="s">
        <v>21966</v>
      </c>
      <c r="S3156" s="52" t="s">
        <v>21967</v>
      </c>
      <c r="T3156" s="22" t="s">
        <v>21968</v>
      </c>
    </row>
    <row r="3157">
      <c r="A3157" s="23" t="s">
        <v>21969</v>
      </c>
      <c r="B3157" s="77" t="s">
        <v>1577</v>
      </c>
      <c r="C3157" s="41">
        <v>45543.0</v>
      </c>
      <c r="D3157" s="40" t="s">
        <v>21970</v>
      </c>
      <c r="E3157" s="41" t="s">
        <v>21971</v>
      </c>
      <c r="F3157" s="43" t="s">
        <v>21972</v>
      </c>
      <c r="G3157" s="43" t="s">
        <v>21973</v>
      </c>
      <c r="H3157" s="59" t="s">
        <v>975</v>
      </c>
      <c r="I3157" s="25" t="str">
        <f>IFERROR(__xludf.DUMMYFUNCTION("GOOGLETRANSLATE(H3157,""EN"",""ES"")"),"Patrocinio")</f>
        <v>Patrocinio</v>
      </c>
      <c r="J3157" s="26" t="s">
        <v>35</v>
      </c>
      <c r="K3157" s="48">
        <v>-0.6</v>
      </c>
      <c r="L3157" s="49" t="s">
        <v>21945</v>
      </c>
      <c r="M3157" s="28" t="s">
        <v>21946</v>
      </c>
      <c r="N3157" s="83" t="s">
        <v>21974</v>
      </c>
      <c r="O3157" s="83" t="str">
        <f>IFERROR(__xludf.DUMMYFUNCTION("GOOGLETRANSLATE(N3157,""EN"",""ES"")"),"Negativo ya que supone una pérdida importante de patrocinio.")</f>
        <v>Negativo ya que supone una pérdida importante de patrocinio.</v>
      </c>
      <c r="P3157" s="30">
        <v>-0.5</v>
      </c>
      <c r="Q3157" s="31" t="str">
        <f>IFERROR(__xludf.DUMMYFUNCTION("GOOGLETRANSLATE(R3157,""ES"",""EN"")"),"will separate")</f>
        <v>will separate</v>
      </c>
      <c r="R3157" s="28" t="s">
        <v>21975</v>
      </c>
      <c r="S3157" s="53" t="s">
        <v>21976</v>
      </c>
      <c r="T3157" s="32" t="s">
        <v>21977</v>
      </c>
    </row>
    <row r="3158">
      <c r="A3158" s="33" t="s">
        <v>21978</v>
      </c>
      <c r="B3158" s="76" t="s">
        <v>735</v>
      </c>
      <c r="C3158" s="41">
        <v>45543.0</v>
      </c>
      <c r="D3158" s="40" t="s">
        <v>21979</v>
      </c>
      <c r="E3158" s="41" t="s">
        <v>21980</v>
      </c>
      <c r="F3158" s="43" t="s">
        <v>21981</v>
      </c>
      <c r="G3158" s="43" t="s">
        <v>21982</v>
      </c>
      <c r="H3158" s="61" t="s">
        <v>975</v>
      </c>
      <c r="I3158" s="15" t="str">
        <f>IFERROR(__xludf.DUMMYFUNCTION("GOOGLETRANSLATE(H3158,""EN"",""ES"")"),"Patrocinio")</f>
        <v>Patrocinio</v>
      </c>
      <c r="J3158" s="16" t="s">
        <v>35</v>
      </c>
      <c r="K3158" s="48">
        <v>-0.6</v>
      </c>
      <c r="L3158" s="51" t="s">
        <v>21945</v>
      </c>
      <c r="M3158" s="34" t="s">
        <v>21946</v>
      </c>
      <c r="N3158" s="86" t="s">
        <v>21983</v>
      </c>
      <c r="O3158" s="86" t="str">
        <f>IFERROR(__xludf.DUMMYFUNCTION("GOOGLETRANSLATE(N3158,""EN"",""ES"")"),"Negativo ya que refleja la decepción por la división del patrocinio.")</f>
        <v>Negativo ya que refleja la decepción por la división del patrocinio.</v>
      </c>
      <c r="P3158" s="30">
        <v>-0.6</v>
      </c>
      <c r="Q3158" s="18" t="str">
        <f>IFERROR(__xludf.DUMMYFUNCTION("GOOGLETRANSLATE(R3158,""ES"",""EN"")"),"break")</f>
        <v>break</v>
      </c>
      <c r="R3158" s="34" t="s">
        <v>21984</v>
      </c>
      <c r="S3158" s="52" t="s">
        <v>21985</v>
      </c>
      <c r="T3158" s="22" t="s">
        <v>21986</v>
      </c>
    </row>
    <row r="3159">
      <c r="A3159" s="23" t="s">
        <v>21987</v>
      </c>
      <c r="B3159" s="77" t="s">
        <v>3088</v>
      </c>
      <c r="C3159" s="41">
        <v>45543.0</v>
      </c>
      <c r="D3159" s="40" t="s">
        <v>21988</v>
      </c>
      <c r="E3159" s="41" t="s">
        <v>21989</v>
      </c>
      <c r="F3159" s="43" t="s">
        <v>21990</v>
      </c>
      <c r="G3159" s="43" t="s">
        <v>21991</v>
      </c>
      <c r="H3159" s="59" t="s">
        <v>975</v>
      </c>
      <c r="I3159" s="25" t="str">
        <f>IFERROR(__xludf.DUMMYFUNCTION("GOOGLETRANSLATE(H3159,""EN"",""ES"")"),"Patrocinio")</f>
        <v>Patrocinio</v>
      </c>
      <c r="J3159" s="26" t="s">
        <v>35</v>
      </c>
      <c r="K3159" s="48">
        <v>-0.6</v>
      </c>
      <c r="L3159" s="49" t="s">
        <v>21945</v>
      </c>
      <c r="M3159" s="28" t="s">
        <v>21946</v>
      </c>
      <c r="N3159" s="83" t="s">
        <v>21992</v>
      </c>
      <c r="O3159" s="83" t="str">
        <f>IFERROR(__xludf.DUMMYFUNCTION("GOOGLETRANSLATE(N3159,""EN"",""ES"")"),"Negativo porque confirma el fin de un acuerdo de patrocinio.")</f>
        <v>Negativo porque confirma el fin de un acuerdo de patrocinio.</v>
      </c>
      <c r="P3159" s="30">
        <v>-0.5</v>
      </c>
      <c r="Q3159" s="31" t="str">
        <f>IFERROR(__xludf.DUMMYFUNCTION("GOOGLETRANSLATE(R3159,""ES"",""EN"")"),"will leave")</f>
        <v>will leave</v>
      </c>
      <c r="R3159" s="28" t="s">
        <v>21993</v>
      </c>
      <c r="S3159" s="53" t="s">
        <v>21994</v>
      </c>
      <c r="T3159" s="32" t="s">
        <v>21995</v>
      </c>
    </row>
    <row r="3160">
      <c r="A3160" s="33" t="s">
        <v>21996</v>
      </c>
      <c r="B3160" s="76" t="s">
        <v>21997</v>
      </c>
      <c r="C3160" s="41">
        <v>45543.0</v>
      </c>
      <c r="D3160" s="40" t="s">
        <v>21998</v>
      </c>
      <c r="E3160" s="41" t="s">
        <v>21999</v>
      </c>
      <c r="F3160" s="43" t="s">
        <v>22000</v>
      </c>
      <c r="G3160" s="43" t="s">
        <v>22001</v>
      </c>
      <c r="H3160" s="61" t="s">
        <v>975</v>
      </c>
      <c r="I3160" s="15" t="str">
        <f>IFERROR(__xludf.DUMMYFUNCTION("GOOGLETRANSLATE(H3160,""EN"",""ES"")"),"Patrocinio")</f>
        <v>Patrocinio</v>
      </c>
      <c r="J3160" s="16" t="s">
        <v>35</v>
      </c>
      <c r="K3160" s="48">
        <v>-0.6</v>
      </c>
      <c r="L3160" s="51" t="s">
        <v>21945</v>
      </c>
      <c r="M3160" s="34" t="s">
        <v>21946</v>
      </c>
      <c r="N3160" s="86" t="s">
        <v>22002</v>
      </c>
      <c r="O3160" s="86" t="str">
        <f>IFERROR(__xludf.DUMMYFUNCTION("GOOGLETRANSLATE(N3160,""EN"",""ES"")"),"Negativo porque pone fin a una asociación de alto perfil.")</f>
        <v>Negativo porque pone fin a una asociación de alto perfil.</v>
      </c>
      <c r="P3160" s="30">
        <v>-0.5</v>
      </c>
      <c r="Q3160" s="18" t="str">
        <f>IFERROR(__xludf.DUMMYFUNCTION("GOOGLETRANSLATE(R3160,""ES"",""EN"")"),"they say goodbye")</f>
        <v>they say goodbye</v>
      </c>
      <c r="R3160" s="34" t="s">
        <v>22003</v>
      </c>
      <c r="S3160" s="52" t="s">
        <v>22004</v>
      </c>
      <c r="T3160" s="22" t="s">
        <v>22005</v>
      </c>
    </row>
    <row r="3161">
      <c r="A3161" s="23" t="s">
        <v>22006</v>
      </c>
      <c r="B3161" s="77" t="s">
        <v>4190</v>
      </c>
      <c r="C3161" s="41">
        <v>45543.0</v>
      </c>
      <c r="D3161" s="40" t="s">
        <v>22007</v>
      </c>
      <c r="E3161" s="41" t="s">
        <v>22008</v>
      </c>
      <c r="F3161" s="43" t="s">
        <v>22009</v>
      </c>
      <c r="G3161" s="43" t="s">
        <v>22010</v>
      </c>
      <c r="H3161" s="59" t="s">
        <v>975</v>
      </c>
      <c r="I3161" s="25" t="str">
        <f>IFERROR(__xludf.DUMMYFUNCTION("GOOGLETRANSLATE(H3161,""EN"",""ES"")"),"Patrocinio")</f>
        <v>Patrocinio</v>
      </c>
      <c r="J3161" s="26" t="s">
        <v>35</v>
      </c>
      <c r="K3161" s="48">
        <v>-0.6</v>
      </c>
      <c r="L3161" s="49" t="s">
        <v>21945</v>
      </c>
      <c r="M3161" s="28" t="s">
        <v>21946</v>
      </c>
      <c r="N3161" s="83" t="s">
        <v>22011</v>
      </c>
      <c r="O3161" s="83" t="str">
        <f>IFERROR(__xludf.DUMMYFUNCTION("GOOGLETRANSLATE(N3161,""EN"",""ES"")"),"Negativo ya que marca el final de una relación comercial importante.")</f>
        <v>Negativo ya que marca el final de una relación comercial importante.</v>
      </c>
      <c r="P3161" s="30">
        <v>-0.7</v>
      </c>
      <c r="Q3161" s="31" t="str">
        <f>IFERROR(__xludf.DUMMYFUNCTION("GOOGLETRANSLATE(R3161,""ES"",""EN"")"),"divorce")</f>
        <v>divorce</v>
      </c>
      <c r="R3161" s="28" t="s">
        <v>22012</v>
      </c>
      <c r="S3161" s="53" t="s">
        <v>22013</v>
      </c>
      <c r="T3161" s="32" t="s">
        <v>22014</v>
      </c>
    </row>
    <row r="3162">
      <c r="A3162" s="33" t="s">
        <v>22015</v>
      </c>
      <c r="B3162" s="76" t="s">
        <v>163</v>
      </c>
      <c r="C3162" s="41">
        <v>45543.0</v>
      </c>
      <c r="D3162" s="40" t="s">
        <v>22016</v>
      </c>
      <c r="E3162" s="41" t="s">
        <v>22017</v>
      </c>
      <c r="F3162" s="43" t="s">
        <v>22018</v>
      </c>
      <c r="G3162" s="43" t="s">
        <v>22019</v>
      </c>
      <c r="H3162" s="61" t="s">
        <v>975</v>
      </c>
      <c r="I3162" s="15" t="str">
        <f>IFERROR(__xludf.DUMMYFUNCTION("GOOGLETRANSLATE(H3162,""EN"",""ES"")"),"Patrocinio")</f>
        <v>Patrocinio</v>
      </c>
      <c r="J3162" s="16" t="s">
        <v>35</v>
      </c>
      <c r="K3162" s="48">
        <v>-0.6</v>
      </c>
      <c r="L3162" s="51" t="s">
        <v>21945</v>
      </c>
      <c r="M3162" s="34" t="s">
        <v>21946</v>
      </c>
      <c r="N3162" s="86" t="s">
        <v>22020</v>
      </c>
      <c r="O3162" s="86" t="str">
        <f>IFERROR(__xludf.DUMMYFUNCTION("GOOGLETRANSLATE(N3162,""EN"",""ES"")"),"Negativo ya que supone la interrupción de un patrocinio a largo plazo.")</f>
        <v>Negativo ya que supone la interrupción de un patrocinio a largo plazo.</v>
      </c>
      <c r="P3162" s="30">
        <v>-0.5</v>
      </c>
      <c r="Q3162" s="18" t="str">
        <f>IFERROR(__xludf.DUMMYFUNCTION("GOOGLETRANSLATE(R3162,""ES"",""EN"")"),"will not renew")</f>
        <v>will not renew</v>
      </c>
      <c r="R3162" s="34" t="s">
        <v>22021</v>
      </c>
      <c r="S3162" s="52" t="s">
        <v>22022</v>
      </c>
      <c r="T3162" s="22" t="s">
        <v>22023</v>
      </c>
    </row>
    <row r="3163">
      <c r="A3163" s="23" t="s">
        <v>22024</v>
      </c>
      <c r="B3163" s="77" t="s">
        <v>2442</v>
      </c>
      <c r="C3163" s="41">
        <v>45543.0</v>
      </c>
      <c r="D3163" s="40" t="s">
        <v>22025</v>
      </c>
      <c r="E3163" s="41" t="s">
        <v>22026</v>
      </c>
      <c r="F3163" s="43" t="s">
        <v>22027</v>
      </c>
      <c r="G3163" s="43" t="s">
        <v>22028</v>
      </c>
      <c r="H3163" s="59" t="s">
        <v>975</v>
      </c>
      <c r="I3163" s="25" t="str">
        <f>IFERROR(__xludf.DUMMYFUNCTION("GOOGLETRANSLATE(H3163,""EN"",""ES"")"),"Patrocinio")</f>
        <v>Patrocinio</v>
      </c>
      <c r="J3163" s="26" t="s">
        <v>35</v>
      </c>
      <c r="K3163" s="48">
        <v>-0.6</v>
      </c>
      <c r="L3163" s="49" t="s">
        <v>21945</v>
      </c>
      <c r="M3163" s="28" t="s">
        <v>21946</v>
      </c>
      <c r="N3163" s="83" t="s">
        <v>22029</v>
      </c>
      <c r="O3163" s="83" t="str">
        <f>IFERROR(__xludf.DUMMYFUNCTION("GOOGLETRANSLATE(N3163,""EN"",""ES"")"),"Negativo ya que finaliza una asociación de larga data.")</f>
        <v>Negativo ya que finaliza una asociación de larga data.</v>
      </c>
      <c r="P3163" s="30">
        <v>-0.7</v>
      </c>
      <c r="Q3163" s="31" t="str">
        <f>IFERROR(__xludf.DUMMYFUNCTION("GOOGLETRANSLATE(R3163,""ES"",""EN"")"),"divorce")</f>
        <v>divorce</v>
      </c>
      <c r="R3163" s="28" t="s">
        <v>22030</v>
      </c>
      <c r="S3163" s="53" t="s">
        <v>22031</v>
      </c>
      <c r="T3163" s="32" t="s">
        <v>22032</v>
      </c>
    </row>
    <row r="3164">
      <c r="A3164" s="33" t="s">
        <v>22033</v>
      </c>
      <c r="B3164" s="76" t="s">
        <v>513</v>
      </c>
      <c r="C3164" s="41">
        <v>45543.0</v>
      </c>
      <c r="D3164" s="40" t="s">
        <v>22034</v>
      </c>
      <c r="E3164" s="41" t="s">
        <v>22035</v>
      </c>
      <c r="F3164" s="43" t="s">
        <v>22036</v>
      </c>
      <c r="G3164" s="43" t="s">
        <v>22037</v>
      </c>
      <c r="H3164" s="61" t="s">
        <v>975</v>
      </c>
      <c r="I3164" s="15" t="str">
        <f>IFERROR(__xludf.DUMMYFUNCTION("GOOGLETRANSLATE(H3164,""EN"",""ES"")"),"Patrocinio")</f>
        <v>Patrocinio</v>
      </c>
      <c r="J3164" s="16" t="s">
        <v>35</v>
      </c>
      <c r="K3164" s="48">
        <v>-0.6</v>
      </c>
      <c r="L3164" s="51" t="s">
        <v>21945</v>
      </c>
      <c r="M3164" s="34" t="s">
        <v>21946</v>
      </c>
      <c r="N3164" s="86" t="s">
        <v>22038</v>
      </c>
      <c r="O3164" s="86" t="str">
        <f>IFERROR(__xludf.DUMMYFUNCTION("GOOGLETRANSLATE(N3164,""EN"",""ES"")"),"Negativo porque pone de relieve la conclusión de un patrocinio de décadas.")</f>
        <v>Negativo porque pone de relieve la conclusión de un patrocinio de décadas.</v>
      </c>
      <c r="P3164" s="30">
        <v>-0.7</v>
      </c>
      <c r="Q3164" s="18" t="str">
        <f>IFERROR(__xludf.DUMMYFUNCTION("GOOGLETRANSLATE(R3164,""ES"",""EN"")"),"divorce")</f>
        <v>divorce</v>
      </c>
      <c r="R3164" s="34" t="s">
        <v>22012</v>
      </c>
      <c r="S3164" s="52" t="s">
        <v>22039</v>
      </c>
      <c r="T3164" s="22" t="s">
        <v>22040</v>
      </c>
    </row>
    <row r="3165">
      <c r="A3165" s="23" t="s">
        <v>22041</v>
      </c>
      <c r="B3165" s="77" t="s">
        <v>91</v>
      </c>
      <c r="C3165" s="41">
        <v>45543.0</v>
      </c>
      <c r="D3165" s="40" t="s">
        <v>22042</v>
      </c>
      <c r="E3165" s="41" t="s">
        <v>22043</v>
      </c>
      <c r="F3165" s="43" t="s">
        <v>22044</v>
      </c>
      <c r="G3165" s="43" t="s">
        <v>22045</v>
      </c>
      <c r="H3165" s="59" t="s">
        <v>975</v>
      </c>
      <c r="I3165" s="25" t="str">
        <f>IFERROR(__xludf.DUMMYFUNCTION("GOOGLETRANSLATE(H3165,""EN"",""ES"")"),"Patrocinio")</f>
        <v>Patrocinio</v>
      </c>
      <c r="J3165" s="26" t="s">
        <v>35</v>
      </c>
      <c r="K3165" s="48">
        <v>-0.6</v>
      </c>
      <c r="L3165" s="49" t="s">
        <v>21945</v>
      </c>
      <c r="M3165" s="28" t="s">
        <v>21946</v>
      </c>
      <c r="N3165" s="83" t="s">
        <v>22046</v>
      </c>
      <c r="O3165" s="83" t="str">
        <f>IFERROR(__xludf.DUMMYFUNCTION("GOOGLETRANSLATE(N3165,""EN"",""ES"")"),"Negativo, ya que señala una salida de una importante plataforma de deportes de motor.")</f>
        <v>Negativo, ya que señala una salida de una importante plataforma de deportes de motor.</v>
      </c>
      <c r="P3165" s="30">
        <v>-0.6</v>
      </c>
      <c r="Q3165" s="31" t="str">
        <f>IFERROR(__xludf.DUMMYFUNCTION("GOOGLETRANSLATE(R3165,""ES"",""EN"")"),"will leave")</f>
        <v>will leave</v>
      </c>
      <c r="R3165" s="28" t="s">
        <v>21993</v>
      </c>
      <c r="S3165" s="53" t="s">
        <v>22047</v>
      </c>
      <c r="T3165" s="32" t="s">
        <v>22048</v>
      </c>
    </row>
    <row r="3166">
      <c r="A3166" s="33" t="s">
        <v>22049</v>
      </c>
      <c r="B3166" s="76" t="s">
        <v>4151</v>
      </c>
      <c r="C3166" s="41">
        <v>45543.0</v>
      </c>
      <c r="D3166" s="40" t="s">
        <v>22050</v>
      </c>
      <c r="E3166" s="41" t="s">
        <v>22051</v>
      </c>
      <c r="F3166" s="43" t="s">
        <v>22052</v>
      </c>
      <c r="G3166" s="43" t="s">
        <v>22053</v>
      </c>
      <c r="H3166" s="61" t="s">
        <v>975</v>
      </c>
      <c r="I3166" s="15" t="str">
        <f>IFERROR(__xludf.DUMMYFUNCTION("GOOGLETRANSLATE(H3166,""EN"",""ES"")"),"Patrocinio")</f>
        <v>Patrocinio</v>
      </c>
      <c r="J3166" s="16" t="s">
        <v>35</v>
      </c>
      <c r="K3166" s="48">
        <v>-0.6</v>
      </c>
      <c r="L3166" s="51" t="s">
        <v>21945</v>
      </c>
      <c r="M3166" s="34" t="s">
        <v>21946</v>
      </c>
      <c r="N3166" s="86" t="s">
        <v>22054</v>
      </c>
      <c r="O3166" s="86" t="str">
        <f>IFERROR(__xludf.DUMMYFUNCTION("GOOGLETRANSLATE(N3166,""EN"",""ES"")"),"Negativo ya que refuerza el fin de la colaboración.")</f>
        <v>Negativo ya que refuerza el fin de la colaboración.</v>
      </c>
      <c r="P3166" s="30">
        <v>-0.6</v>
      </c>
      <c r="Q3166" s="18" t="str">
        <f>IFERROR(__xludf.DUMMYFUNCTION("GOOGLETRANSLATE(R3166,""ES"",""EN"")"),"break")</f>
        <v>break</v>
      </c>
      <c r="R3166" s="34" t="s">
        <v>22055</v>
      </c>
      <c r="S3166" s="52" t="s">
        <v>22056</v>
      </c>
      <c r="T3166" s="22" t="s">
        <v>22057</v>
      </c>
    </row>
    <row r="3167">
      <c r="A3167" s="23" t="s">
        <v>22058</v>
      </c>
      <c r="B3167" s="77" t="s">
        <v>22059</v>
      </c>
      <c r="C3167" s="41">
        <v>45543.0</v>
      </c>
      <c r="D3167" s="40" t="s">
        <v>22060</v>
      </c>
      <c r="E3167" s="41" t="s">
        <v>22061</v>
      </c>
      <c r="F3167" s="43" t="s">
        <v>22062</v>
      </c>
      <c r="G3167" s="43" t="s">
        <v>22063</v>
      </c>
      <c r="H3167" s="59" t="s">
        <v>130</v>
      </c>
      <c r="I3167" s="25" t="str">
        <f>IFERROR(__xludf.DUMMYFUNCTION("GOOGLETRANSLATE(H3167,""EN"",""ES"")"),"Sostenibilidad")</f>
        <v>Sostenibilidad</v>
      </c>
      <c r="J3167" s="26" t="s">
        <v>35</v>
      </c>
      <c r="K3167" s="48">
        <v>0.7</v>
      </c>
      <c r="L3167" s="49" t="s">
        <v>21358</v>
      </c>
      <c r="M3167" s="28" t="s">
        <v>21359</v>
      </c>
      <c r="N3167" s="83" t="s">
        <v>22064</v>
      </c>
      <c r="O3167" s="83" t="str">
        <f>IFERROR(__xludf.DUMMYFUNCTION("GOOGLETRANSLATE(N3167,""EN"",""ES"")"),"Positivo porque pone en valor las iniciativas de sostenibilidad de Repsol.")</f>
        <v>Positivo porque pone en valor las iniciativas de sostenibilidad de Repsol.</v>
      </c>
      <c r="P3167" s="30">
        <v>0.5</v>
      </c>
      <c r="Q3167" s="31" t="str">
        <f>IFERROR(__xludf.DUMMYFUNCTION("GOOGLETRANSLATE(R3167,""ES"",""EN"")"),"sustainability")</f>
        <v>sustainability</v>
      </c>
      <c r="R3167" s="28" t="s">
        <v>22065</v>
      </c>
      <c r="S3167" s="53" t="s">
        <v>22066</v>
      </c>
      <c r="T3167" s="32" t="s">
        <v>22067</v>
      </c>
    </row>
    <row r="3168">
      <c r="A3168" s="33" t="s">
        <v>22068</v>
      </c>
      <c r="B3168" s="76" t="s">
        <v>43</v>
      </c>
      <c r="C3168" s="41">
        <v>45543.0</v>
      </c>
      <c r="D3168" s="40" t="s">
        <v>22069</v>
      </c>
      <c r="E3168" s="41" t="s">
        <v>22070</v>
      </c>
      <c r="F3168" s="43" t="s">
        <v>22071</v>
      </c>
      <c r="G3168" s="43" t="s">
        <v>22072</v>
      </c>
      <c r="H3168" s="61" t="s">
        <v>975</v>
      </c>
      <c r="I3168" s="15" t="str">
        <f>IFERROR(__xludf.DUMMYFUNCTION("GOOGLETRANSLATE(H3168,""EN"",""ES"")"),"Patrocinio")</f>
        <v>Patrocinio</v>
      </c>
      <c r="J3168" s="16" t="s">
        <v>35</v>
      </c>
      <c r="K3168" s="48">
        <v>-0.6</v>
      </c>
      <c r="L3168" s="51" t="s">
        <v>21945</v>
      </c>
      <c r="M3168" s="34" t="s">
        <v>21946</v>
      </c>
      <c r="N3168" s="86" t="s">
        <v>22073</v>
      </c>
      <c r="O3168" s="86" t="str">
        <f>IFERROR(__xludf.DUMMYFUNCTION("GOOGLETRANSLATE(N3168,""EN"",""ES"")"),"Negativo porque confirma la no renovación de un patrocinio de alto perfil.")</f>
        <v>Negativo porque confirma la no renovación de un patrocinio de alto perfil.</v>
      </c>
      <c r="P3168" s="30">
        <v>-0.5</v>
      </c>
      <c r="Q3168" s="18" t="str">
        <f>IFERROR(__xludf.DUMMYFUNCTION("GOOGLETRANSLATE(R3168,""ES"",""EN"")"),"will not renew")</f>
        <v>will not renew</v>
      </c>
      <c r="R3168" s="34" t="s">
        <v>22021</v>
      </c>
      <c r="S3168" s="52" t="s">
        <v>22074</v>
      </c>
      <c r="T3168" s="22" t="s">
        <v>22075</v>
      </c>
    </row>
    <row r="3169">
      <c r="A3169" s="23" t="s">
        <v>22076</v>
      </c>
      <c r="B3169" s="77" t="s">
        <v>374</v>
      </c>
      <c r="C3169" s="41">
        <v>45543.0</v>
      </c>
      <c r="D3169" s="40" t="s">
        <v>22077</v>
      </c>
      <c r="E3169" s="41" t="s">
        <v>22078</v>
      </c>
      <c r="F3169" s="43" t="s">
        <v>22079</v>
      </c>
      <c r="G3169" s="43" t="s">
        <v>22080</v>
      </c>
      <c r="H3169" s="59" t="s">
        <v>975</v>
      </c>
      <c r="I3169" s="25" t="str">
        <f>IFERROR(__xludf.DUMMYFUNCTION("GOOGLETRANSLATE(H3169,""EN"",""ES"")"),"Patrocinio")</f>
        <v>Patrocinio</v>
      </c>
      <c r="J3169" s="26" t="s">
        <v>35</v>
      </c>
      <c r="K3169" s="48">
        <v>-0.6</v>
      </c>
      <c r="L3169" s="49" t="s">
        <v>21945</v>
      </c>
      <c r="M3169" s="28" t="s">
        <v>21946</v>
      </c>
      <c r="N3169" s="83" t="s">
        <v>22081</v>
      </c>
      <c r="O3169" s="83" t="str">
        <f>IFERROR(__xludf.DUMMYFUNCTION("GOOGLETRANSLATE(N3169,""EN"",""ES"")"),"Negativo porque marca el final de una asociación a largo plazo.")</f>
        <v>Negativo porque marca el final de una asociación a largo plazo.</v>
      </c>
      <c r="P3169" s="30">
        <v>-0.5</v>
      </c>
      <c r="Q3169" s="31" t="str">
        <f>IFERROR(__xludf.DUMMYFUNCTION("GOOGLETRANSLATE(R3169,""ES"",""EN"")"),"will not renew")</f>
        <v>will not renew</v>
      </c>
      <c r="R3169" s="28" t="s">
        <v>22021</v>
      </c>
      <c r="S3169" s="53" t="s">
        <v>22082</v>
      </c>
      <c r="T3169" s="32" t="s">
        <v>22083</v>
      </c>
    </row>
    <row r="3170">
      <c r="A3170" s="33" t="s">
        <v>22084</v>
      </c>
      <c r="B3170" s="76" t="s">
        <v>1178</v>
      </c>
      <c r="C3170" s="41">
        <v>45543.0</v>
      </c>
      <c r="D3170" s="40" t="s">
        <v>22085</v>
      </c>
      <c r="E3170" s="41" t="s">
        <v>22086</v>
      </c>
      <c r="F3170" s="43" t="s">
        <v>22087</v>
      </c>
      <c r="G3170" s="43" t="s">
        <v>22088</v>
      </c>
      <c r="H3170" s="61" t="s">
        <v>975</v>
      </c>
      <c r="I3170" s="15" t="str">
        <f>IFERROR(__xludf.DUMMYFUNCTION("GOOGLETRANSLATE(H3170,""EN"",""ES"")"),"Patrocinio")</f>
        <v>Patrocinio</v>
      </c>
      <c r="J3170" s="16" t="s">
        <v>35</v>
      </c>
      <c r="K3170" s="48">
        <v>-0.6</v>
      </c>
      <c r="L3170" s="51" t="s">
        <v>21945</v>
      </c>
      <c r="M3170" s="34" t="s">
        <v>21946</v>
      </c>
      <c r="N3170" s="86" t="s">
        <v>22089</v>
      </c>
      <c r="O3170" s="86" t="str">
        <f>IFERROR(__xludf.DUMMYFUNCTION("GOOGLETRANSLATE(N3170,""EN"",""ES"")"),"Negativo ya que confirma la terminación de un acuerdo de patrocinio.")</f>
        <v>Negativo ya que confirma la terminación de un acuerdo de patrocinio.</v>
      </c>
      <c r="P3170" s="30">
        <v>-0.5</v>
      </c>
      <c r="Q3170" s="18" t="str">
        <f>IFERROR(__xludf.DUMMYFUNCTION("GOOGLETRANSLATE(R3170,""ES"",""EN"")"),"will not renew")</f>
        <v>will not renew</v>
      </c>
      <c r="R3170" s="34" t="s">
        <v>22021</v>
      </c>
      <c r="S3170" s="52" t="s">
        <v>22090</v>
      </c>
      <c r="T3170" s="22" t="s">
        <v>22091</v>
      </c>
    </row>
    <row r="3171">
      <c r="A3171" s="23" t="s">
        <v>22092</v>
      </c>
      <c r="B3171" s="77" t="s">
        <v>50</v>
      </c>
      <c r="C3171" s="41">
        <v>45543.0</v>
      </c>
      <c r="D3171" s="40" t="s">
        <v>22093</v>
      </c>
      <c r="E3171" s="41" t="s">
        <v>22094</v>
      </c>
      <c r="F3171" s="43" t="s">
        <v>22095</v>
      </c>
      <c r="G3171" s="43" t="s">
        <v>22096</v>
      </c>
      <c r="H3171" s="59" t="s">
        <v>975</v>
      </c>
      <c r="I3171" s="25" t="str">
        <f>IFERROR(__xludf.DUMMYFUNCTION("GOOGLETRANSLATE(H3171,""EN"",""ES"")"),"Patrocinio")</f>
        <v>Patrocinio</v>
      </c>
      <c r="J3171" s="26" t="s">
        <v>35</v>
      </c>
      <c r="K3171" s="48">
        <v>-0.6</v>
      </c>
      <c r="L3171" s="49" t="s">
        <v>21945</v>
      </c>
      <c r="M3171" s="28" t="s">
        <v>21946</v>
      </c>
      <c r="N3171" s="83" t="s">
        <v>22097</v>
      </c>
      <c r="O3171" s="83" t="str">
        <f>IFERROR(__xludf.DUMMYFUNCTION("GOOGLETRANSLATE(N3171,""EN"",""ES"")"),"Negativo porque enfatiza el carácter histórico de la ruptura.")</f>
        <v>Negativo porque enfatiza el carácter histórico de la ruptura.</v>
      </c>
      <c r="P3171" s="30">
        <v>-0.5</v>
      </c>
      <c r="Q3171" s="31" t="str">
        <f>IFERROR(__xludf.DUMMYFUNCTION("GOOGLETRANSLATE(R3171,""ES"",""EN"")"),"will not renew")</f>
        <v>will not renew</v>
      </c>
      <c r="R3171" s="28" t="s">
        <v>22021</v>
      </c>
      <c r="S3171" s="53" t="s">
        <v>22098</v>
      </c>
      <c r="T3171" s="32" t="s">
        <v>22099</v>
      </c>
    </row>
    <row r="3172">
      <c r="A3172" s="33" t="s">
        <v>22100</v>
      </c>
      <c r="B3172" s="76" t="s">
        <v>4038</v>
      </c>
      <c r="C3172" s="41">
        <v>45543.0</v>
      </c>
      <c r="D3172" s="40" t="s">
        <v>22101</v>
      </c>
      <c r="E3172" s="41" t="s">
        <v>22102</v>
      </c>
      <c r="F3172" s="43" t="s">
        <v>22103</v>
      </c>
      <c r="G3172" s="43" t="s">
        <v>22104</v>
      </c>
      <c r="H3172" s="61" t="s">
        <v>148</v>
      </c>
      <c r="I3172" s="15" t="str">
        <f>IFERROR(__xludf.DUMMYFUNCTION("GOOGLETRANSLATE(H3172,""EN"",""ES"")"),"Gastronomía")</f>
        <v>Gastronomía</v>
      </c>
      <c r="J3172" s="16" t="s">
        <v>27</v>
      </c>
      <c r="K3172" s="17">
        <v>0.0</v>
      </c>
      <c r="L3172" s="45"/>
      <c r="M3172" s="18"/>
      <c r="N3172" s="86"/>
      <c r="O3172" s="86"/>
      <c r="P3172" s="20">
        <v>0.0</v>
      </c>
      <c r="Q3172" s="18"/>
      <c r="R3172" s="18"/>
      <c r="S3172" s="52"/>
      <c r="T3172" s="22"/>
    </row>
    <row r="3173">
      <c r="A3173" s="23" t="s">
        <v>22105</v>
      </c>
      <c r="B3173" s="77" t="s">
        <v>103</v>
      </c>
      <c r="C3173" s="41">
        <v>45543.0</v>
      </c>
      <c r="D3173" s="40" t="s">
        <v>22106</v>
      </c>
      <c r="E3173" s="41" t="s">
        <v>22107</v>
      </c>
      <c r="F3173" s="43" t="s">
        <v>22108</v>
      </c>
      <c r="G3173" s="43" t="s">
        <v>22109</v>
      </c>
      <c r="H3173" s="59" t="s">
        <v>975</v>
      </c>
      <c r="I3173" s="25" t="str">
        <f>IFERROR(__xludf.DUMMYFUNCTION("GOOGLETRANSLATE(H3173,""EN"",""ES"")"),"Patrocinio")</f>
        <v>Patrocinio</v>
      </c>
      <c r="J3173" s="26" t="s">
        <v>35</v>
      </c>
      <c r="K3173" s="48">
        <v>-0.6</v>
      </c>
      <c r="L3173" s="49" t="s">
        <v>21945</v>
      </c>
      <c r="M3173" s="28" t="s">
        <v>21946</v>
      </c>
      <c r="N3173" s="83" t="s">
        <v>22110</v>
      </c>
      <c r="O3173" s="83" t="str">
        <f>IFERROR(__xludf.DUMMYFUNCTION("GOOGLETRANSLATE(N3173,""EN"",""ES"")"),"Negativo ya que indica una retirada del patrocinio.")</f>
        <v>Negativo ya que indica una retirada del patrocinio.</v>
      </c>
      <c r="P3173" s="30">
        <v>-0.5</v>
      </c>
      <c r="Q3173" s="31" t="str">
        <f>IFERROR(__xludf.DUMMYFUNCTION("GOOGLETRANSLATE(R3173,""ES"",""EN"")"),"will not renew")</f>
        <v>will not renew</v>
      </c>
      <c r="R3173" s="28" t="s">
        <v>22021</v>
      </c>
      <c r="S3173" s="53" t="s">
        <v>22111</v>
      </c>
      <c r="T3173" s="32" t="s">
        <v>22112</v>
      </c>
    </row>
    <row r="3174">
      <c r="A3174" s="33" t="s">
        <v>22113</v>
      </c>
      <c r="B3174" s="76" t="s">
        <v>4283</v>
      </c>
      <c r="C3174" s="41">
        <v>45543.0</v>
      </c>
      <c r="D3174" s="40" t="s">
        <v>22114</v>
      </c>
      <c r="E3174" s="41" t="s">
        <v>22115</v>
      </c>
      <c r="F3174" s="43" t="s">
        <v>22116</v>
      </c>
      <c r="G3174" s="43" t="s">
        <v>22117</v>
      </c>
      <c r="H3174" s="61" t="s">
        <v>975</v>
      </c>
      <c r="I3174" s="15" t="str">
        <f>IFERROR(__xludf.DUMMYFUNCTION("GOOGLETRANSLATE(H3174,""EN"",""ES"")"),"Patrocinio")</f>
        <v>Patrocinio</v>
      </c>
      <c r="J3174" s="16" t="s">
        <v>35</v>
      </c>
      <c r="K3174" s="48">
        <v>-0.6</v>
      </c>
      <c r="L3174" s="51" t="s">
        <v>21945</v>
      </c>
      <c r="M3174" s="34" t="s">
        <v>21946</v>
      </c>
      <c r="N3174" s="86" t="s">
        <v>22118</v>
      </c>
      <c r="O3174" s="86" t="str">
        <f>IFERROR(__xludf.DUMMYFUNCTION("GOOGLETRANSLATE(N3174,""EN"",""ES"")"),"Negativo porque marca el fin de una larga colaboración deportiva.")</f>
        <v>Negativo porque marca el fin de una larga colaboración deportiva.</v>
      </c>
      <c r="P3174" s="30">
        <v>-0.5</v>
      </c>
      <c r="Q3174" s="18" t="str">
        <f>IFERROR(__xludf.DUMMYFUNCTION("GOOGLETRANSLATE(R3174,""ES"",""EN"")"),"separate")</f>
        <v>separate</v>
      </c>
      <c r="R3174" s="34" t="s">
        <v>22119</v>
      </c>
      <c r="S3174" s="52" t="s">
        <v>22120</v>
      </c>
      <c r="T3174" s="22" t="s">
        <v>22121</v>
      </c>
    </row>
    <row r="3175">
      <c r="A3175" s="23" t="s">
        <v>22122</v>
      </c>
      <c r="B3175" s="77" t="s">
        <v>68</v>
      </c>
      <c r="C3175" s="41">
        <v>45543.0</v>
      </c>
      <c r="D3175" s="40" t="s">
        <v>22123</v>
      </c>
      <c r="E3175" s="41" t="s">
        <v>22124</v>
      </c>
      <c r="F3175" s="43" t="s">
        <v>22125</v>
      </c>
      <c r="G3175" s="43" t="s">
        <v>22126</v>
      </c>
      <c r="H3175" s="59" t="s">
        <v>975</v>
      </c>
      <c r="I3175" s="25" t="str">
        <f>IFERROR(__xludf.DUMMYFUNCTION("GOOGLETRANSLATE(H3175,""EN"",""ES"")"),"Patrocinio")</f>
        <v>Patrocinio</v>
      </c>
      <c r="J3175" s="26" t="s">
        <v>35</v>
      </c>
      <c r="K3175" s="48">
        <v>-0.6</v>
      </c>
      <c r="L3175" s="49" t="s">
        <v>21945</v>
      </c>
      <c r="M3175" s="28" t="s">
        <v>21946</v>
      </c>
      <c r="N3175" s="83" t="s">
        <v>22127</v>
      </c>
      <c r="O3175" s="83" t="str">
        <f>IFERROR(__xludf.DUMMYFUNCTION("GOOGLETRANSLATE(N3175,""EN"",""ES"")"),"Negativo porque resalta el impacto de la división en la historia de MotoGP.")</f>
        <v>Negativo porque resalta el impacto de la división en la historia de MotoGP.</v>
      </c>
      <c r="P3175" s="30">
        <v>-0.6</v>
      </c>
      <c r="Q3175" s="31" t="str">
        <f>IFERROR(__xludf.DUMMYFUNCTION("GOOGLETRANSLATE(R3175,""ES"",""EN"")"),"end")</f>
        <v>end</v>
      </c>
      <c r="R3175" s="28" t="s">
        <v>22128</v>
      </c>
      <c r="S3175" s="53" t="s">
        <v>22129</v>
      </c>
      <c r="T3175" s="32" t="s">
        <v>22130</v>
      </c>
    </row>
    <row r="3176">
      <c r="A3176" s="33" t="s">
        <v>22131</v>
      </c>
      <c r="B3176" s="76" t="s">
        <v>22132</v>
      </c>
      <c r="C3176" s="41">
        <v>45543.0</v>
      </c>
      <c r="D3176" s="40" t="s">
        <v>22133</v>
      </c>
      <c r="E3176" s="41" t="s">
        <v>22134</v>
      </c>
      <c r="F3176" s="43" t="s">
        <v>22135</v>
      </c>
      <c r="G3176" s="43" t="s">
        <v>22136</v>
      </c>
      <c r="H3176" s="61" t="s">
        <v>148</v>
      </c>
      <c r="I3176" s="15" t="str">
        <f>IFERROR(__xludf.DUMMYFUNCTION("GOOGLETRANSLATE(H3176,""EN"",""ES"")"),"Gastronomía")</f>
        <v>Gastronomía</v>
      </c>
      <c r="J3176" s="16" t="s">
        <v>27</v>
      </c>
      <c r="K3176" s="17">
        <v>0.0</v>
      </c>
      <c r="L3176" s="45"/>
      <c r="M3176" s="18"/>
      <c r="N3176" s="86"/>
      <c r="O3176" s="86"/>
      <c r="P3176" s="20">
        <v>0.0</v>
      </c>
      <c r="Q3176" s="18"/>
      <c r="R3176" s="18"/>
      <c r="S3176" s="52"/>
      <c r="T3176" s="22"/>
    </row>
    <row r="3177">
      <c r="A3177" s="23" t="s">
        <v>22137</v>
      </c>
      <c r="B3177" s="77" t="s">
        <v>22138</v>
      </c>
      <c r="C3177" s="41">
        <v>45543.0</v>
      </c>
      <c r="D3177" s="40" t="s">
        <v>22139</v>
      </c>
      <c r="E3177" s="41" t="s">
        <v>22140</v>
      </c>
      <c r="F3177" s="43" t="s">
        <v>22141</v>
      </c>
      <c r="G3177" s="43" t="s">
        <v>22142</v>
      </c>
      <c r="H3177" s="59" t="s">
        <v>975</v>
      </c>
      <c r="I3177" s="25" t="str">
        <f>IFERROR(__xludf.DUMMYFUNCTION("GOOGLETRANSLATE(H3177,""EN"",""ES"")"),"Patrocinio")</f>
        <v>Patrocinio</v>
      </c>
      <c r="J3177" s="26" t="s">
        <v>35</v>
      </c>
      <c r="K3177" s="48">
        <v>-0.6</v>
      </c>
      <c r="L3177" s="49" t="s">
        <v>21945</v>
      </c>
      <c r="M3177" s="28" t="s">
        <v>21946</v>
      </c>
      <c r="N3177" s="83" t="s">
        <v>22143</v>
      </c>
      <c r="O3177" s="83" t="str">
        <f>IFERROR(__xludf.DUMMYFUNCTION("GOOGLETRANSLATE(N3177,""EN"",""ES"")"),"Negativo ya que finaliza una colaboración a largo plazo.")</f>
        <v>Negativo ya que finaliza una colaboración a largo plazo.</v>
      </c>
      <c r="P3177" s="30">
        <v>-0.6</v>
      </c>
      <c r="Q3177" s="31" t="str">
        <f>IFERROR(__xludf.DUMMYFUNCTION("GOOGLETRANSLATE(R3177,""ES"",""EN"")"),"will end")</f>
        <v>will end</v>
      </c>
      <c r="R3177" s="28" t="s">
        <v>22144</v>
      </c>
      <c r="S3177" s="53" t="s">
        <v>22145</v>
      </c>
      <c r="T3177" s="32" t="s">
        <v>22146</v>
      </c>
    </row>
    <row r="3178">
      <c r="A3178" s="33" t="s">
        <v>22147</v>
      </c>
      <c r="B3178" s="76" t="s">
        <v>217</v>
      </c>
      <c r="C3178" s="41">
        <v>45543.0</v>
      </c>
      <c r="D3178" s="40" t="s">
        <v>22148</v>
      </c>
      <c r="E3178" s="41" t="s">
        <v>22149</v>
      </c>
      <c r="F3178" s="43" t="s">
        <v>22150</v>
      </c>
      <c r="G3178" s="43" t="s">
        <v>22151</v>
      </c>
      <c r="H3178" s="61" t="s">
        <v>975</v>
      </c>
      <c r="I3178" s="15" t="str">
        <f>IFERROR(__xludf.DUMMYFUNCTION("GOOGLETRANSLATE(H3178,""EN"",""ES"")"),"Patrocinio")</f>
        <v>Patrocinio</v>
      </c>
      <c r="J3178" s="16" t="s">
        <v>35</v>
      </c>
      <c r="K3178" s="48">
        <v>-0.6</v>
      </c>
      <c r="L3178" s="51" t="s">
        <v>21945</v>
      </c>
      <c r="M3178" s="34" t="s">
        <v>21946</v>
      </c>
      <c r="N3178" s="86" t="s">
        <v>22152</v>
      </c>
      <c r="O3178" s="86" t="str">
        <f>IFERROR(__xludf.DUMMYFUNCTION("GOOGLETRANSLATE(N3178,""EN"",""ES"")"),"Negativo ya que confirma la división.")</f>
        <v>Negativo ya que confirma la división.</v>
      </c>
      <c r="P3178" s="30">
        <v>-0.5</v>
      </c>
      <c r="Q3178" s="18" t="str">
        <f>IFERROR(__xludf.DUMMYFUNCTION("GOOGLETRANSLATE(R3178,""ES"",""EN"")"),"do not renew")</f>
        <v>do not renew</v>
      </c>
      <c r="R3178" s="34" t="s">
        <v>22153</v>
      </c>
      <c r="S3178" s="52" t="s">
        <v>22154</v>
      </c>
      <c r="T3178" s="22" t="s">
        <v>22155</v>
      </c>
    </row>
    <row r="3179">
      <c r="A3179" s="23" t="s">
        <v>22156</v>
      </c>
      <c r="B3179" s="77" t="s">
        <v>4299</v>
      </c>
      <c r="C3179" s="41">
        <v>45543.0</v>
      </c>
      <c r="D3179" s="40" t="s">
        <v>22157</v>
      </c>
      <c r="E3179" s="41" t="s">
        <v>22158</v>
      </c>
      <c r="F3179" s="43" t="s">
        <v>22159</v>
      </c>
      <c r="G3179" s="43" t="s">
        <v>22160</v>
      </c>
      <c r="H3179" s="59" t="s">
        <v>975</v>
      </c>
      <c r="I3179" s="25" t="str">
        <f>IFERROR(__xludf.DUMMYFUNCTION("GOOGLETRANSLATE(H3179,""EN"",""ES"")"),"Patrocinio")</f>
        <v>Patrocinio</v>
      </c>
      <c r="J3179" s="26" t="s">
        <v>35</v>
      </c>
      <c r="K3179" s="48">
        <v>-0.6</v>
      </c>
      <c r="L3179" s="49" t="s">
        <v>21945</v>
      </c>
      <c r="M3179" s="28" t="s">
        <v>21946</v>
      </c>
      <c r="N3179" s="83" t="s">
        <v>22161</v>
      </c>
      <c r="O3179" s="83" t="str">
        <f>IFERROR(__xludf.DUMMYFUNCTION("GOOGLETRANSLATE(N3179,""EN"",""ES"")"),"Negativo ya que indica la pérdida de un patrocinador importante por parte de Honda.")</f>
        <v>Negativo ya que indica la pérdida de un patrocinador importante por parte de Honda.</v>
      </c>
      <c r="P3179" s="30">
        <v>-0.4</v>
      </c>
      <c r="Q3179" s="31" t="str">
        <f>IFERROR(__xludf.DUMMYFUNCTION("GOOGLETRANSLATE(R3179,""ES"",""EN"")"),"lose")</f>
        <v>lose</v>
      </c>
      <c r="R3179" s="28" t="s">
        <v>21512</v>
      </c>
      <c r="S3179" s="53" t="s">
        <v>22162</v>
      </c>
      <c r="T3179" s="32" t="s">
        <v>22163</v>
      </c>
    </row>
    <row r="3180">
      <c r="A3180" s="33" t="s">
        <v>22164</v>
      </c>
      <c r="B3180" s="76" t="s">
        <v>14748</v>
      </c>
      <c r="C3180" s="41">
        <v>45543.0</v>
      </c>
      <c r="D3180" s="40" t="s">
        <v>22165</v>
      </c>
      <c r="E3180" s="41" t="s">
        <v>22166</v>
      </c>
      <c r="F3180" s="43" t="s">
        <v>22167</v>
      </c>
      <c r="G3180" s="43" t="s">
        <v>22168</v>
      </c>
      <c r="H3180" s="61" t="s">
        <v>55</v>
      </c>
      <c r="I3180" s="15" t="str">
        <f>IFERROR(__xludf.DUMMYFUNCTION("GOOGLETRANSLATE(H3180,""EN"",""ES"")"),"deportes de motor")</f>
        <v>deportes de motor</v>
      </c>
      <c r="J3180" s="16" t="s">
        <v>27</v>
      </c>
      <c r="K3180" s="17">
        <v>0.0</v>
      </c>
      <c r="L3180" s="45"/>
      <c r="M3180" s="18"/>
      <c r="N3180" s="86"/>
      <c r="O3180" s="86"/>
      <c r="P3180" s="20">
        <v>0.0</v>
      </c>
      <c r="Q3180" s="18"/>
      <c r="R3180" s="18"/>
      <c r="S3180" s="52"/>
      <c r="T3180" s="22"/>
    </row>
    <row r="3181">
      <c r="A3181" s="23" t="s">
        <v>22169</v>
      </c>
      <c r="B3181" s="77" t="s">
        <v>85</v>
      </c>
      <c r="C3181" s="41">
        <v>45543.0</v>
      </c>
      <c r="D3181" s="40" t="s">
        <v>22170</v>
      </c>
      <c r="E3181" s="41" t="s">
        <v>22171</v>
      </c>
      <c r="F3181" s="43" t="s">
        <v>22172</v>
      </c>
      <c r="G3181" s="43" t="s">
        <v>22173</v>
      </c>
      <c r="H3181" s="59" t="s">
        <v>148</v>
      </c>
      <c r="I3181" s="25" t="str">
        <f>IFERROR(__xludf.DUMMYFUNCTION("GOOGLETRANSLATE(H3181,""EN"",""ES"")"),"Gastronomía")</f>
        <v>Gastronomía</v>
      </c>
      <c r="J3181" s="26" t="s">
        <v>27</v>
      </c>
      <c r="K3181" s="17">
        <v>0.0</v>
      </c>
      <c r="L3181" s="54"/>
      <c r="M3181" s="31"/>
      <c r="N3181" s="83"/>
      <c r="O3181" s="83"/>
      <c r="P3181" s="20">
        <v>0.0</v>
      </c>
      <c r="Q3181" s="31"/>
      <c r="R3181" s="31"/>
      <c r="S3181" s="53"/>
      <c r="T3181" s="32"/>
    </row>
    <row r="3182">
      <c r="A3182" s="33" t="s">
        <v>22174</v>
      </c>
      <c r="B3182" s="76" t="s">
        <v>16445</v>
      </c>
      <c r="C3182" s="41">
        <v>45543.0</v>
      </c>
      <c r="D3182" s="40" t="s">
        <v>22175</v>
      </c>
      <c r="E3182" s="41" t="s">
        <v>22176</v>
      </c>
      <c r="F3182" s="43" t="s">
        <v>22177</v>
      </c>
      <c r="G3182" s="43" t="s">
        <v>22178</v>
      </c>
      <c r="H3182" s="61" t="s">
        <v>661</v>
      </c>
      <c r="I3182" s="15" t="str">
        <f>IFERROR(__xludf.DUMMYFUNCTION("GOOGLETRANSLATE(H3182,""EN"",""ES"")"),"Estrategia empresarial")</f>
        <v>Estrategia empresarial</v>
      </c>
      <c r="J3182" s="16" t="s">
        <v>35</v>
      </c>
      <c r="K3182" s="48">
        <v>-0.8</v>
      </c>
      <c r="L3182" s="51" t="s">
        <v>20116</v>
      </c>
      <c r="M3182" s="34" t="s">
        <v>20140</v>
      </c>
      <c r="N3182" s="86" t="s">
        <v>22179</v>
      </c>
      <c r="O3182" s="86" t="str">
        <f>IFERROR(__xludf.DUMMYFUNCTION("GOOGLETRANSLATE(N3182,""EN"",""ES"")"),"Fuertemente negativo ya que informa de un accidente industrial.")</f>
        <v>Fuertemente negativo ya que informa de un accidente industrial.</v>
      </c>
      <c r="P3182" s="30">
        <v>-0.8</v>
      </c>
      <c r="Q3182" s="18" t="str">
        <f>IFERROR(__xludf.DUMMYFUNCTION("GOOGLETRANSLATE(R3182,""ES"",""EN"")"),"fire, injuries")</f>
        <v>fire, injuries</v>
      </c>
      <c r="R3182" s="34" t="s">
        <v>20119</v>
      </c>
      <c r="S3182" s="52" t="s">
        <v>22180</v>
      </c>
      <c r="T3182" s="22" t="s">
        <v>22181</v>
      </c>
    </row>
    <row r="3183">
      <c r="A3183" s="23" t="s">
        <v>22182</v>
      </c>
      <c r="B3183" s="77" t="s">
        <v>20182</v>
      </c>
      <c r="C3183" s="41">
        <v>45543.0</v>
      </c>
      <c r="D3183" s="40" t="s">
        <v>20183</v>
      </c>
      <c r="E3183" s="41" t="s">
        <v>22183</v>
      </c>
      <c r="F3183" s="43" t="s">
        <v>20185</v>
      </c>
      <c r="G3183" s="43" t="s">
        <v>22184</v>
      </c>
      <c r="H3183" s="59" t="s">
        <v>661</v>
      </c>
      <c r="I3183" s="25" t="str">
        <f>IFERROR(__xludf.DUMMYFUNCTION("GOOGLETRANSLATE(H3183,""EN"",""ES"")"),"Estrategia empresarial")</f>
        <v>Estrategia empresarial</v>
      </c>
      <c r="J3183" s="26" t="s">
        <v>35</v>
      </c>
      <c r="K3183" s="48">
        <v>-0.8</v>
      </c>
      <c r="L3183" s="49" t="s">
        <v>20116</v>
      </c>
      <c r="M3183" s="28" t="s">
        <v>20140</v>
      </c>
      <c r="N3183" s="83" t="s">
        <v>22185</v>
      </c>
      <c r="O3183" s="83" t="str">
        <f>IFERROR(__xludf.DUMMYFUNCTION("GOOGLETRANSLATE(N3183,""EN"",""ES"")"),"Fuertemente negativo ya que pone de relieve el impacto del incendio.")</f>
        <v>Fuertemente negativo ya que pone de relieve el impacto del incendio.</v>
      </c>
      <c r="P3183" s="30">
        <v>-0.5</v>
      </c>
      <c r="Q3183" s="31" t="str">
        <f>IFERROR(__xludf.DUMMYFUNCTION("GOOGLETRANSLATE(R3183,""ES"",""EN"")"),"fire")</f>
        <v>fire</v>
      </c>
      <c r="R3183" s="28" t="s">
        <v>11746</v>
      </c>
      <c r="S3183" s="53" t="s">
        <v>22186</v>
      </c>
      <c r="T3183" s="32" t="s">
        <v>22187</v>
      </c>
    </row>
    <row r="3184">
      <c r="A3184" s="33" t="s">
        <v>22188</v>
      </c>
      <c r="B3184" s="76" t="s">
        <v>260</v>
      </c>
      <c r="C3184" s="41">
        <v>45544.0</v>
      </c>
      <c r="D3184" s="40" t="s">
        <v>22189</v>
      </c>
      <c r="E3184" s="41" t="s">
        <v>22190</v>
      </c>
      <c r="F3184" s="43" t="s">
        <v>22191</v>
      </c>
      <c r="G3184" s="43" t="s">
        <v>22192</v>
      </c>
      <c r="H3184" s="61" t="s">
        <v>661</v>
      </c>
      <c r="I3184" s="15" t="str">
        <f>IFERROR(__xludf.DUMMYFUNCTION("GOOGLETRANSLATE(H3184,""EN"",""ES"")"),"Estrategia empresarial")</f>
        <v>Estrategia empresarial</v>
      </c>
      <c r="J3184" s="16" t="s">
        <v>35</v>
      </c>
      <c r="K3184" s="48">
        <v>-0.5</v>
      </c>
      <c r="L3184" s="51" t="s">
        <v>13429</v>
      </c>
      <c r="M3184" s="34" t="s">
        <v>13430</v>
      </c>
      <c r="N3184" s="86" t="s">
        <v>22193</v>
      </c>
      <c r="O3184" s="86" t="str">
        <f>IFERROR(__xludf.DUMMYFUNCTION("GOOGLETRANSLATE(N3184,""EN"",""ES"")"),"Negativo ya que pone de relieve la competencia para Repsol.")</f>
        <v>Negativo ya que pone de relieve la competencia para Repsol.</v>
      </c>
      <c r="P3184" s="30">
        <v>-0.3</v>
      </c>
      <c r="Q3184" s="18" t="str">
        <f>IFERROR(__xludf.DUMMYFUNCTION("GOOGLETRANSLATE(R3184,""ES"",""EN"")"),"challenge, battle")</f>
        <v>challenge, battle</v>
      </c>
      <c r="R3184" s="34" t="s">
        <v>22194</v>
      </c>
      <c r="S3184" s="52" t="s">
        <v>22195</v>
      </c>
      <c r="T3184" s="22" t="s">
        <v>22196</v>
      </c>
    </row>
    <row r="3185">
      <c r="A3185" s="23" t="s">
        <v>22197</v>
      </c>
      <c r="B3185" s="77" t="s">
        <v>881</v>
      </c>
      <c r="C3185" s="41">
        <v>45544.0</v>
      </c>
      <c r="D3185" s="40" t="s">
        <v>22198</v>
      </c>
      <c r="E3185" s="41" t="s">
        <v>22199</v>
      </c>
      <c r="F3185" s="43" t="s">
        <v>22200</v>
      </c>
      <c r="G3185" s="43" t="s">
        <v>22201</v>
      </c>
      <c r="H3185" s="59" t="s">
        <v>661</v>
      </c>
      <c r="I3185" s="25" t="str">
        <f>IFERROR(__xludf.DUMMYFUNCTION("GOOGLETRANSLATE(H3185,""EN"",""ES"")"),"Estrategia empresarial")</f>
        <v>Estrategia empresarial</v>
      </c>
      <c r="J3185" s="26" t="s">
        <v>35</v>
      </c>
      <c r="K3185" s="48">
        <v>0.6</v>
      </c>
      <c r="L3185" s="49" t="s">
        <v>22202</v>
      </c>
      <c r="M3185" s="28" t="s">
        <v>22203</v>
      </c>
      <c r="N3185" s="83" t="s">
        <v>22204</v>
      </c>
      <c r="O3185" s="83" t="str">
        <f>IFERROR(__xludf.DUMMYFUNCTION("GOOGLETRANSLATE(N3185,""EN"",""ES"")"),"Positivo ya que habla de mejoras operativas.")</f>
        <v>Positivo ya que habla de mejoras operativas.</v>
      </c>
      <c r="P3185" s="30">
        <v>0.3</v>
      </c>
      <c r="Q3185" s="31" t="str">
        <f>IFERROR(__xludf.DUMMYFUNCTION("GOOGLETRANSLATE(R3185,""ES"",""EN"")"),"improvements")</f>
        <v>improvements</v>
      </c>
      <c r="R3185" s="28" t="s">
        <v>22205</v>
      </c>
      <c r="S3185" s="53" t="s">
        <v>22206</v>
      </c>
      <c r="T3185" s="32" t="s">
        <v>22207</v>
      </c>
    </row>
    <row r="3186">
      <c r="A3186" s="33" t="s">
        <v>22208</v>
      </c>
      <c r="B3186" s="76" t="s">
        <v>2792</v>
      </c>
      <c r="C3186" s="41">
        <v>45544.0</v>
      </c>
      <c r="D3186" s="40" t="s">
        <v>22209</v>
      </c>
      <c r="E3186" s="41" t="s">
        <v>22210</v>
      </c>
      <c r="F3186" s="43" t="s">
        <v>22211</v>
      </c>
      <c r="G3186" s="43" t="s">
        <v>22212</v>
      </c>
      <c r="H3186" s="61" t="s">
        <v>661</v>
      </c>
      <c r="I3186" s="15" t="str">
        <f>IFERROR(__xludf.DUMMYFUNCTION("GOOGLETRANSLATE(H3186,""EN"",""ES"")"),"Estrategia empresarial")</f>
        <v>Estrategia empresarial</v>
      </c>
      <c r="J3186" s="16" t="s">
        <v>35</v>
      </c>
      <c r="K3186" s="48">
        <v>-0.5</v>
      </c>
      <c r="L3186" s="51" t="s">
        <v>22213</v>
      </c>
      <c r="M3186" s="34" t="s">
        <v>22214</v>
      </c>
      <c r="N3186" s="86" t="s">
        <v>22215</v>
      </c>
      <c r="O3186" s="86" t="str">
        <f>IFERROR(__xludf.DUMMYFUNCTION("GOOGLETRANSLATE(N3186,""EN"",""ES"")"),"Negativo ya que sugiere que Repsol podría necesitar reubicar una estación de servicio.")</f>
        <v>Negativo ya que sugiere que Repsol podría necesitar reubicar una estación de servicio.</v>
      </c>
      <c r="P3186" s="30">
        <v>-0.4</v>
      </c>
      <c r="Q3186" s="18" t="str">
        <f>IFERROR(__xludf.DUMMYFUNCTION("GOOGLETRANSLATE(R3186,""ES"",""EN"")"),"withdrawal")</f>
        <v>withdrawal</v>
      </c>
      <c r="R3186" s="34" t="s">
        <v>22216</v>
      </c>
      <c r="S3186" s="52" t="s">
        <v>22217</v>
      </c>
      <c r="T3186" s="22" t="s">
        <v>22218</v>
      </c>
    </row>
    <row r="3187">
      <c r="A3187" s="23" t="s">
        <v>22219</v>
      </c>
      <c r="B3187" s="77" t="s">
        <v>666</v>
      </c>
      <c r="C3187" s="41">
        <v>45544.0</v>
      </c>
      <c r="D3187" s="40" t="s">
        <v>22220</v>
      </c>
      <c r="E3187" s="41" t="s">
        <v>22221</v>
      </c>
      <c r="F3187" s="43" t="s">
        <v>22222</v>
      </c>
      <c r="G3187" s="43" t="s">
        <v>22223</v>
      </c>
      <c r="H3187" s="59" t="s">
        <v>975</v>
      </c>
      <c r="I3187" s="25" t="str">
        <f>IFERROR(__xludf.DUMMYFUNCTION("GOOGLETRANSLATE(H3187,""EN"",""ES"")"),"Patrocinio")</f>
        <v>Patrocinio</v>
      </c>
      <c r="J3187" s="26" t="s">
        <v>35</v>
      </c>
      <c r="K3187" s="48">
        <v>-0.6</v>
      </c>
      <c r="L3187" s="49" t="s">
        <v>21945</v>
      </c>
      <c r="M3187" s="28" t="s">
        <v>21946</v>
      </c>
      <c r="N3187" s="83" t="s">
        <v>22224</v>
      </c>
      <c r="O3187" s="83" t="str">
        <f>IFERROR(__xludf.DUMMYFUNCTION("GOOGLETRANSLATE(N3187,""EN"",""ES"")"),"Negativo ya que marca el fin de un patrocinio.")</f>
        <v>Negativo ya que marca el fin de un patrocinio.</v>
      </c>
      <c r="P3187" s="30">
        <v>-0.6</v>
      </c>
      <c r="Q3187" s="31" t="str">
        <f>IFERROR(__xludf.DUMMYFUNCTION("GOOGLETRANSLATE(R3187,""ES"",""EN"")"),"breaks")</f>
        <v>breaks</v>
      </c>
      <c r="R3187" s="28" t="s">
        <v>21948</v>
      </c>
      <c r="S3187" s="53" t="s">
        <v>22074</v>
      </c>
      <c r="T3187" s="32" t="s">
        <v>22075</v>
      </c>
    </row>
    <row r="3188">
      <c r="A3188" s="33" t="s">
        <v>22225</v>
      </c>
      <c r="B3188" s="76" t="s">
        <v>374</v>
      </c>
      <c r="C3188" s="41">
        <v>45544.0</v>
      </c>
      <c r="D3188" s="40" t="s">
        <v>22226</v>
      </c>
      <c r="E3188" s="41" t="s">
        <v>22227</v>
      </c>
      <c r="F3188" s="43" t="s">
        <v>22228</v>
      </c>
      <c r="G3188" s="43" t="s">
        <v>22229</v>
      </c>
      <c r="H3188" s="61" t="s">
        <v>975</v>
      </c>
      <c r="I3188" s="15" t="str">
        <f>IFERROR(__xludf.DUMMYFUNCTION("GOOGLETRANSLATE(H3188,""EN"",""ES"")"),"Patrocinio")</f>
        <v>Patrocinio</v>
      </c>
      <c r="J3188" s="16" t="s">
        <v>35</v>
      </c>
      <c r="K3188" s="48">
        <v>-0.6</v>
      </c>
      <c r="L3188" s="51" t="s">
        <v>21945</v>
      </c>
      <c r="M3188" s="34" t="s">
        <v>21946</v>
      </c>
      <c r="N3188" s="86" t="s">
        <v>22230</v>
      </c>
      <c r="O3188" s="86" t="str">
        <f>IFERROR(__xludf.DUMMYFUNCTION("GOOGLETRANSLATE(N3188,""EN"",""ES"")"),"Negativo porque enfatiza la importancia de la división.")</f>
        <v>Negativo porque enfatiza la importancia de la división.</v>
      </c>
      <c r="P3188" s="30">
        <v>-0.6</v>
      </c>
      <c r="Q3188" s="18" t="str">
        <f>IFERROR(__xludf.DUMMYFUNCTION("GOOGLETRANSLATE(R3188,""ES"",""EN"")"),"loss")</f>
        <v>loss</v>
      </c>
      <c r="R3188" s="34" t="s">
        <v>22231</v>
      </c>
      <c r="S3188" s="52" t="s">
        <v>22232</v>
      </c>
      <c r="T3188" s="22" t="s">
        <v>22233</v>
      </c>
    </row>
    <row r="3189">
      <c r="A3189" s="23" t="s">
        <v>22234</v>
      </c>
      <c r="B3189" s="77" t="s">
        <v>3151</v>
      </c>
      <c r="C3189" s="41">
        <v>45544.0</v>
      </c>
      <c r="D3189" s="40" t="s">
        <v>22235</v>
      </c>
      <c r="E3189" s="41" t="s">
        <v>22236</v>
      </c>
      <c r="F3189" s="43" t="s">
        <v>22237</v>
      </c>
      <c r="G3189" s="43" t="s">
        <v>22238</v>
      </c>
      <c r="H3189" s="59" t="s">
        <v>661</v>
      </c>
      <c r="I3189" s="25" t="str">
        <f>IFERROR(__xludf.DUMMYFUNCTION("GOOGLETRANSLATE(H3189,""EN"",""ES"")"),"Estrategia empresarial")</f>
        <v>Estrategia empresarial</v>
      </c>
      <c r="J3189" s="26" t="s">
        <v>35</v>
      </c>
      <c r="K3189" s="48">
        <v>-0.5</v>
      </c>
      <c r="L3189" s="49" t="s">
        <v>13429</v>
      </c>
      <c r="M3189" s="28" t="s">
        <v>13430</v>
      </c>
      <c r="N3189" s="83" t="s">
        <v>22239</v>
      </c>
      <c r="O3189" s="83" t="str">
        <f>IFERROR(__xludf.DUMMYFUNCTION("GOOGLETRANSLATE(N3189,""EN"",""ES"")"),"Negativo ya que pone de relieve la competencia de Repsol en el mercado del gas verde.")</f>
        <v>Negativo ya que pone de relieve la competencia de Repsol en el mercado del gas verde.</v>
      </c>
      <c r="P3189" s="30">
        <v>-0.3</v>
      </c>
      <c r="Q3189" s="31" t="str">
        <f>IFERROR(__xludf.DUMMYFUNCTION("GOOGLETRANSLATE(R3189,""ES"",""EN"")"),"war")</f>
        <v>war</v>
      </c>
      <c r="R3189" s="28" t="s">
        <v>22240</v>
      </c>
      <c r="S3189" s="53" t="s">
        <v>22241</v>
      </c>
      <c r="T3189" s="32" t="s">
        <v>22242</v>
      </c>
    </row>
    <row r="3190">
      <c r="A3190" s="33" t="s">
        <v>22243</v>
      </c>
      <c r="B3190" s="76" t="s">
        <v>21</v>
      </c>
      <c r="C3190" s="41">
        <v>45544.0</v>
      </c>
      <c r="D3190" s="40" t="s">
        <v>22244</v>
      </c>
      <c r="E3190" s="41" t="s">
        <v>22245</v>
      </c>
      <c r="F3190" s="43" t="s">
        <v>22246</v>
      </c>
      <c r="G3190" s="43" t="s">
        <v>22247</v>
      </c>
      <c r="H3190" s="61" t="s">
        <v>148</v>
      </c>
      <c r="I3190" s="15" t="str">
        <f>IFERROR(__xludf.DUMMYFUNCTION("GOOGLETRANSLATE(H3190,""EN"",""ES"")"),"Gastronomía")</f>
        <v>Gastronomía</v>
      </c>
      <c r="J3190" s="16" t="s">
        <v>27</v>
      </c>
      <c r="K3190" s="17">
        <v>0.0</v>
      </c>
      <c r="L3190" s="45"/>
      <c r="M3190" s="18"/>
      <c r="N3190" s="86"/>
      <c r="O3190" s="86"/>
      <c r="P3190" s="20">
        <v>0.0</v>
      </c>
      <c r="Q3190" s="18"/>
      <c r="R3190" s="18"/>
      <c r="S3190" s="52"/>
      <c r="T3190" s="22"/>
    </row>
    <row r="3191">
      <c r="A3191" s="23" t="s">
        <v>22248</v>
      </c>
      <c r="B3191" s="77" t="s">
        <v>68</v>
      </c>
      <c r="C3191" s="41">
        <v>45544.0</v>
      </c>
      <c r="D3191" s="40" t="s">
        <v>22249</v>
      </c>
      <c r="E3191" s="41" t="s">
        <v>22250</v>
      </c>
      <c r="F3191" s="43" t="s">
        <v>22251</v>
      </c>
      <c r="G3191" s="43" t="s">
        <v>22252</v>
      </c>
      <c r="H3191" s="59" t="s">
        <v>975</v>
      </c>
      <c r="I3191" s="25" t="str">
        <f>IFERROR(__xludf.DUMMYFUNCTION("GOOGLETRANSLATE(H3191,""EN"",""ES"")"),"Patrocinio")</f>
        <v>Patrocinio</v>
      </c>
      <c r="J3191" s="26" t="s">
        <v>27</v>
      </c>
      <c r="K3191" s="17">
        <v>0.0</v>
      </c>
      <c r="L3191" s="54"/>
      <c r="M3191" s="31"/>
      <c r="N3191" s="83"/>
      <c r="O3191" s="83"/>
      <c r="P3191" s="20">
        <v>0.0</v>
      </c>
      <c r="Q3191" s="31"/>
      <c r="R3191" s="31"/>
      <c r="S3191" s="53"/>
      <c r="T3191" s="32"/>
    </row>
    <row r="3192">
      <c r="A3192" s="33" t="s">
        <v>22253</v>
      </c>
      <c r="B3192" s="76" t="s">
        <v>3233</v>
      </c>
      <c r="C3192" s="41">
        <v>45544.0</v>
      </c>
      <c r="D3192" s="40" t="s">
        <v>22254</v>
      </c>
      <c r="E3192" s="41" t="s">
        <v>22255</v>
      </c>
      <c r="F3192" s="43" t="s">
        <v>22256</v>
      </c>
      <c r="G3192" s="43" t="s">
        <v>22257</v>
      </c>
      <c r="H3192" s="61" t="s">
        <v>408</v>
      </c>
      <c r="I3192" s="15" t="str">
        <f>IFERROR(__xludf.DUMMYFUNCTION("GOOGLETRANSLATE(H3192,""EN"",""ES"")"),"Legal")</f>
        <v>Legal</v>
      </c>
      <c r="J3192" s="16" t="s">
        <v>35</v>
      </c>
      <c r="K3192" s="48">
        <v>-0.7</v>
      </c>
      <c r="L3192" s="51" t="s">
        <v>21899</v>
      </c>
      <c r="M3192" s="34" t="s">
        <v>21900</v>
      </c>
      <c r="N3192" s="86" t="s">
        <v>22258</v>
      </c>
      <c r="O3192" s="86" t="str">
        <f>IFERROR(__xludf.DUMMYFUNCTION("GOOGLETRANSLATE(N3192,""EN"",""ES"")"),"Fuertemente negativo por el impacto ambiental y económico.")</f>
        <v>Fuertemente negativo por el impacto ambiental y económico.</v>
      </c>
      <c r="P3192" s="30">
        <v>-0.9</v>
      </c>
      <c r="Q3192" s="18" t="str">
        <f>IFERROR(__xludf.DUMMYFUNCTION("GOOGLETRANSLATE(R3192,""ES"",""EN"")"),"spill, consequences")</f>
        <v>spill, consequences</v>
      </c>
      <c r="R3192" s="34" t="s">
        <v>13811</v>
      </c>
      <c r="S3192" s="52" t="s">
        <v>22259</v>
      </c>
      <c r="T3192" s="22" t="s">
        <v>22260</v>
      </c>
    </row>
    <row r="3193">
      <c r="A3193" s="23" t="s">
        <v>22261</v>
      </c>
      <c r="B3193" s="77" t="s">
        <v>163</v>
      </c>
      <c r="C3193" s="41">
        <v>45544.0</v>
      </c>
      <c r="D3193" s="40" t="s">
        <v>22262</v>
      </c>
      <c r="E3193" s="41" t="s">
        <v>22263</v>
      </c>
      <c r="F3193" s="43" t="s">
        <v>22264</v>
      </c>
      <c r="G3193" s="43" t="s">
        <v>22265</v>
      </c>
      <c r="H3193" s="59" t="s">
        <v>22266</v>
      </c>
      <c r="I3193" s="25" t="str">
        <f>IFERROR(__xludf.DUMMYFUNCTION("GOOGLETRANSLATE(H3193,""EN"",""ES"")"),"Hogar")</f>
        <v>Hogar</v>
      </c>
      <c r="J3193" s="26" t="s">
        <v>27</v>
      </c>
      <c r="K3193" s="17">
        <v>0.0</v>
      </c>
      <c r="L3193" s="54"/>
      <c r="M3193" s="31"/>
      <c r="N3193" s="83"/>
      <c r="O3193" s="83"/>
      <c r="P3193" s="20">
        <v>0.0</v>
      </c>
      <c r="Q3193" s="31"/>
      <c r="R3193" s="31"/>
      <c r="S3193" s="53"/>
      <c r="T3193" s="32"/>
    </row>
    <row r="3194">
      <c r="A3194" s="33" t="s">
        <v>22267</v>
      </c>
      <c r="B3194" s="76" t="s">
        <v>977</v>
      </c>
      <c r="C3194" s="41">
        <v>45544.0</v>
      </c>
      <c r="D3194" s="40" t="s">
        <v>22268</v>
      </c>
      <c r="E3194" s="41" t="s">
        <v>22269</v>
      </c>
      <c r="F3194" s="43" t="s">
        <v>22270</v>
      </c>
      <c r="G3194" s="43" t="s">
        <v>22271</v>
      </c>
      <c r="H3194" s="61" t="s">
        <v>408</v>
      </c>
      <c r="I3194" s="15" t="str">
        <f>IFERROR(__xludf.DUMMYFUNCTION("GOOGLETRANSLATE(H3194,""EN"",""ES"")"),"Legal")</f>
        <v>Legal</v>
      </c>
      <c r="J3194" s="16" t="s">
        <v>35</v>
      </c>
      <c r="K3194" s="48">
        <v>-0.7</v>
      </c>
      <c r="L3194" s="51" t="s">
        <v>21899</v>
      </c>
      <c r="M3194" s="34" t="s">
        <v>21900</v>
      </c>
      <c r="N3194" s="86" t="s">
        <v>22272</v>
      </c>
      <c r="O3194" s="86" t="str">
        <f>IFERROR(__xludf.DUMMYFUNCTION("GOOGLETRANSLATE(N3194,""EN"",""ES"")"),"Fuertemente negativo ya que enfatiza la angustia constante entre los afectados.")</f>
        <v>Fuertemente negativo ya que enfatiza la angustia constante entre los afectados.</v>
      </c>
      <c r="P3194" s="30">
        <v>-0.9</v>
      </c>
      <c r="Q3194" s="18" t="str">
        <f>IFERROR(__xludf.DUMMYFUNCTION("GOOGLETRANSLATE(R3194,""ES"",""EN"")"),"disaster, spirits")</f>
        <v>disaster, spirits</v>
      </c>
      <c r="R3194" s="34" t="s">
        <v>22273</v>
      </c>
      <c r="S3194" s="52" t="s">
        <v>22274</v>
      </c>
      <c r="T3194" s="22" t="s">
        <v>22275</v>
      </c>
    </row>
    <row r="3195">
      <c r="A3195" s="23" t="s">
        <v>22276</v>
      </c>
      <c r="B3195" s="77" t="s">
        <v>85</v>
      </c>
      <c r="C3195" s="41">
        <v>45544.0</v>
      </c>
      <c r="D3195" s="40" t="s">
        <v>22277</v>
      </c>
      <c r="E3195" s="41" t="s">
        <v>22278</v>
      </c>
      <c r="F3195" s="43" t="s">
        <v>22279</v>
      </c>
      <c r="G3195" s="43" t="s">
        <v>22280</v>
      </c>
      <c r="H3195" s="59" t="s">
        <v>148</v>
      </c>
      <c r="I3195" s="25" t="str">
        <f>IFERROR(__xludf.DUMMYFUNCTION("GOOGLETRANSLATE(H3195,""EN"",""ES"")"),"Gastronomía")</f>
        <v>Gastronomía</v>
      </c>
      <c r="J3195" s="26" t="s">
        <v>27</v>
      </c>
      <c r="K3195" s="17">
        <v>0.0</v>
      </c>
      <c r="L3195" s="54"/>
      <c r="M3195" s="31"/>
      <c r="N3195" s="83"/>
      <c r="O3195" s="83"/>
      <c r="P3195" s="20">
        <v>0.0</v>
      </c>
      <c r="Q3195" s="31"/>
      <c r="R3195" s="31"/>
      <c r="S3195" s="53"/>
      <c r="T3195" s="32"/>
    </row>
    <row r="3196">
      <c r="A3196" s="33" t="s">
        <v>22281</v>
      </c>
      <c r="B3196" s="76" t="s">
        <v>22282</v>
      </c>
      <c r="C3196" s="41">
        <v>45544.0</v>
      </c>
      <c r="D3196" s="40" t="s">
        <v>22283</v>
      </c>
      <c r="E3196" s="41" t="s">
        <v>22284</v>
      </c>
      <c r="F3196" s="43" t="s">
        <v>22285</v>
      </c>
      <c r="G3196" s="43" t="s">
        <v>22286</v>
      </c>
      <c r="H3196" s="61" t="s">
        <v>975</v>
      </c>
      <c r="I3196" s="15" t="str">
        <f>IFERROR(__xludf.DUMMYFUNCTION("GOOGLETRANSLATE(H3196,""EN"",""ES"")"),"Patrocinio")</f>
        <v>Patrocinio</v>
      </c>
      <c r="J3196" s="16" t="s">
        <v>35</v>
      </c>
      <c r="K3196" s="48">
        <v>-0.6</v>
      </c>
      <c r="L3196" s="51" t="s">
        <v>21945</v>
      </c>
      <c r="M3196" s="34" t="s">
        <v>21946</v>
      </c>
      <c r="N3196" s="86" t="s">
        <v>22287</v>
      </c>
      <c r="O3196" s="86" t="str">
        <f>IFERROR(__xludf.DUMMYFUNCTION("GOOGLETRANSLATE(N3196,""EN"",""ES"")"),"Negativo porque marca el fin de una asociación de larga data.")</f>
        <v>Negativo porque marca el fin de una asociación de larga data.</v>
      </c>
      <c r="P3196" s="30">
        <v>-0.7</v>
      </c>
      <c r="Q3196" s="18" t="str">
        <f>IFERROR(__xludf.DUMMYFUNCTION("GOOGLETRANSLATE(R3196,""ES"",""EN"")"),"rupture")</f>
        <v>rupture</v>
      </c>
      <c r="R3196" s="34" t="s">
        <v>22288</v>
      </c>
      <c r="S3196" s="52" t="s">
        <v>22289</v>
      </c>
      <c r="T3196" s="22" t="s">
        <v>21950</v>
      </c>
    </row>
    <row r="3197">
      <c r="A3197" s="23" t="s">
        <v>22290</v>
      </c>
      <c r="B3197" s="77" t="s">
        <v>1445</v>
      </c>
      <c r="C3197" s="41">
        <v>45544.0</v>
      </c>
      <c r="D3197" s="40" t="s">
        <v>22291</v>
      </c>
      <c r="E3197" s="41" t="s">
        <v>22292</v>
      </c>
      <c r="F3197" s="43" t="s">
        <v>22293</v>
      </c>
      <c r="G3197" s="43" t="s">
        <v>22294</v>
      </c>
      <c r="H3197" s="59" t="s">
        <v>408</v>
      </c>
      <c r="I3197" s="25" t="str">
        <f>IFERROR(__xludf.DUMMYFUNCTION("GOOGLETRANSLATE(H3197,""EN"",""ES"")"),"Legal")</f>
        <v>Legal</v>
      </c>
      <c r="J3197" s="26" t="s">
        <v>35</v>
      </c>
      <c r="K3197" s="48">
        <v>-0.6</v>
      </c>
      <c r="L3197" s="49" t="s">
        <v>21899</v>
      </c>
      <c r="M3197" s="28" t="s">
        <v>21900</v>
      </c>
      <c r="N3197" s="83" t="s">
        <v>22295</v>
      </c>
      <c r="O3197" s="83" t="str">
        <f>IFERROR(__xludf.DUMMYFUNCTION("GOOGLETRANSLATE(N3197,""EN"",""ES"")"),"Negativo porque pone de relieve la insatisfacción constante a pesar de los esfuerzos de compensación.")</f>
        <v>Negativo porque pone de relieve la insatisfacción constante a pesar de los esfuerzos de compensación.</v>
      </c>
      <c r="P3197" s="30">
        <v>0.2</v>
      </c>
      <c r="Q3197" s="31" t="str">
        <f>IFERROR(__xludf.DUMMYFUNCTION("GOOGLETRANSLATE(R3197,""ES"",""EN"")"),"fulfilled")</f>
        <v>fulfilled</v>
      </c>
      <c r="R3197" s="28" t="s">
        <v>22296</v>
      </c>
      <c r="S3197" s="53" t="s">
        <v>22297</v>
      </c>
      <c r="T3197" s="32" t="s">
        <v>22298</v>
      </c>
    </row>
    <row r="3198">
      <c r="A3198" s="33" t="s">
        <v>22299</v>
      </c>
      <c r="B3198" s="76" t="s">
        <v>43</v>
      </c>
      <c r="C3198" s="41">
        <v>45545.0</v>
      </c>
      <c r="D3198" s="40" t="s">
        <v>22300</v>
      </c>
      <c r="E3198" s="41" t="s">
        <v>22301</v>
      </c>
      <c r="F3198" s="43" t="s">
        <v>22302</v>
      </c>
      <c r="G3198" s="43" t="s">
        <v>22303</v>
      </c>
      <c r="H3198" s="61" t="s">
        <v>661</v>
      </c>
      <c r="I3198" s="15" t="str">
        <f>IFERROR(__xludf.DUMMYFUNCTION("GOOGLETRANSLATE(H3198,""EN"",""ES"")"),"Estrategia empresarial")</f>
        <v>Estrategia empresarial</v>
      </c>
      <c r="J3198" s="16" t="s">
        <v>35</v>
      </c>
      <c r="K3198" s="48">
        <v>0.6</v>
      </c>
      <c r="L3198" s="51" t="s">
        <v>22304</v>
      </c>
      <c r="M3198" s="34" t="s">
        <v>22305</v>
      </c>
      <c r="N3198" s="86" t="s">
        <v>22306</v>
      </c>
      <c r="O3198" s="86" t="str">
        <f>IFERROR(__xludf.DUMMYFUNCTION("GOOGLETRANSLATE(N3198,""EN"",""ES"")"),"Positivo porque presenta el giro de Repsol hacia la sostenibilidad.")</f>
        <v>Positivo porque presenta el giro de Repsol hacia la sostenibilidad.</v>
      </c>
      <c r="P3198" s="30">
        <v>0.4</v>
      </c>
      <c r="Q3198" s="18" t="str">
        <f>IFERROR(__xludf.DUMMYFUNCTION("GOOGLETRANSLATE(R3198,""ES"",""EN"")"),"multi-energy")</f>
        <v>multi-energy</v>
      </c>
      <c r="R3198" s="34" t="s">
        <v>11221</v>
      </c>
      <c r="S3198" s="52" t="s">
        <v>22307</v>
      </c>
      <c r="T3198" s="22" t="s">
        <v>22308</v>
      </c>
    </row>
    <row r="3199">
      <c r="A3199" s="23" t="s">
        <v>22309</v>
      </c>
      <c r="B3199" s="77" t="s">
        <v>1768</v>
      </c>
      <c r="C3199" s="41">
        <v>45545.0</v>
      </c>
      <c r="D3199" s="40" t="s">
        <v>22310</v>
      </c>
      <c r="E3199" s="41" t="s">
        <v>22311</v>
      </c>
      <c r="F3199" s="43" t="s">
        <v>22312</v>
      </c>
      <c r="G3199" s="43" t="s">
        <v>22313</v>
      </c>
      <c r="H3199" s="59" t="s">
        <v>130</v>
      </c>
      <c r="I3199" s="25" t="str">
        <f>IFERROR(__xludf.DUMMYFUNCTION("GOOGLETRANSLATE(H3199,""EN"",""ES"")"),"Sostenibilidad")</f>
        <v>Sostenibilidad</v>
      </c>
      <c r="J3199" s="26" t="s">
        <v>35</v>
      </c>
      <c r="K3199" s="48">
        <v>-0.5</v>
      </c>
      <c r="L3199" s="49" t="s">
        <v>22314</v>
      </c>
      <c r="M3199" s="28" t="s">
        <v>22315</v>
      </c>
      <c r="N3199" s="83" t="s">
        <v>22316</v>
      </c>
      <c r="O3199" s="83" t="str">
        <f>IFERROR(__xludf.DUMMYFUNCTION("GOOGLETRANSLATE(N3199,""EN"",""ES"")"),"Negativo porque sugiere retos regulatorios para los proyectos de Repsol.")</f>
        <v>Negativo porque sugiere retos regulatorios para los proyectos de Repsol.</v>
      </c>
      <c r="P3199" s="30">
        <v>-0.5</v>
      </c>
      <c r="Q3199" s="31" t="str">
        <f>IFERROR(__xludf.DUMMYFUNCTION("GOOGLETRANSLATE(R3199,""ES"",""EN"")"),"forces, impact")</f>
        <v>forces, impact</v>
      </c>
      <c r="R3199" s="28" t="s">
        <v>22317</v>
      </c>
      <c r="S3199" s="53" t="s">
        <v>22318</v>
      </c>
      <c r="T3199" s="32" t="s">
        <v>22319</v>
      </c>
    </row>
    <row r="3200">
      <c r="A3200" s="33" t="s">
        <v>22320</v>
      </c>
      <c r="B3200" s="76" t="s">
        <v>3511</v>
      </c>
      <c r="C3200" s="41">
        <v>45545.0</v>
      </c>
      <c r="D3200" s="40" t="s">
        <v>22321</v>
      </c>
      <c r="E3200" s="41" t="s">
        <v>22322</v>
      </c>
      <c r="F3200" s="43" t="s">
        <v>22323</v>
      </c>
      <c r="G3200" s="43" t="s">
        <v>22324</v>
      </c>
      <c r="H3200" s="61" t="s">
        <v>661</v>
      </c>
      <c r="I3200" s="15" t="str">
        <f>IFERROR(__xludf.DUMMYFUNCTION("GOOGLETRANSLATE(H3200,""EN"",""ES"")"),"Estrategia empresarial")</f>
        <v>Estrategia empresarial</v>
      </c>
      <c r="J3200" s="16" t="s">
        <v>35</v>
      </c>
      <c r="K3200" s="48">
        <v>-0.5</v>
      </c>
      <c r="L3200" s="51" t="s">
        <v>22213</v>
      </c>
      <c r="M3200" s="34" t="s">
        <v>22214</v>
      </c>
      <c r="N3200" s="86" t="s">
        <v>22325</v>
      </c>
      <c r="O3200" s="86" t="str">
        <f>IFERROR(__xludf.DUMMYFUNCTION("GOOGLETRANSLATE(N3200,""EN"",""ES"")"),"Negativo ya que señala oposición a los proyectos de infraestructuras de Repsol.")</f>
        <v>Negativo ya que señala oposición a los proyectos de infraestructuras de Repsol.</v>
      </c>
      <c r="P3200" s="30">
        <v>-0.5</v>
      </c>
      <c r="Q3200" s="18" t="str">
        <f>IFERROR(__xludf.DUMMYFUNCTION("GOOGLETRANSLATE(R3200,""ES"",""EN"")"),"brake, lack")</f>
        <v>brake, lack</v>
      </c>
      <c r="R3200" s="34" t="s">
        <v>22326</v>
      </c>
      <c r="S3200" s="52" t="s">
        <v>22327</v>
      </c>
      <c r="T3200" s="22" t="s">
        <v>22328</v>
      </c>
    </row>
    <row r="3201">
      <c r="A3201" s="23" t="s">
        <v>22329</v>
      </c>
      <c r="B3201" s="77" t="s">
        <v>4472</v>
      </c>
      <c r="C3201" s="41">
        <v>45545.0</v>
      </c>
      <c r="D3201" s="40" t="s">
        <v>22330</v>
      </c>
      <c r="E3201" s="41" t="s">
        <v>22331</v>
      </c>
      <c r="F3201" s="43" t="s">
        <v>22332</v>
      </c>
      <c r="G3201" s="43" t="s">
        <v>22333</v>
      </c>
      <c r="H3201" s="59" t="s">
        <v>975</v>
      </c>
      <c r="I3201" s="25" t="str">
        <f>IFERROR(__xludf.DUMMYFUNCTION("GOOGLETRANSLATE(H3201,""EN"",""ES"")"),"Patrocinio")</f>
        <v>Patrocinio</v>
      </c>
      <c r="J3201" s="26" t="s">
        <v>35</v>
      </c>
      <c r="K3201" s="48">
        <v>-0.6</v>
      </c>
      <c r="L3201" s="49" t="s">
        <v>21945</v>
      </c>
      <c r="M3201" s="28" t="s">
        <v>21946</v>
      </c>
      <c r="N3201" s="83" t="s">
        <v>22334</v>
      </c>
      <c r="O3201" s="83" t="str">
        <f>IFERROR(__xludf.DUMMYFUNCTION("GOOGLETRANSLATE(N3201,""EN"",""ES"")"),"Negativo porque marca el final de una asociación icónica.")</f>
        <v>Negativo porque marca el final de una asociación icónica.</v>
      </c>
      <c r="P3201" s="30">
        <v>-0.3</v>
      </c>
      <c r="Q3201" s="31" t="str">
        <f>IFERROR(__xludf.DUMMYFUNCTION("GOOGLETRANSLATE(R3201,""ES"",""EN"")"),"break")</f>
        <v>break</v>
      </c>
      <c r="R3201" s="28" t="s">
        <v>21984</v>
      </c>
      <c r="S3201" s="53" t="s">
        <v>22335</v>
      </c>
      <c r="T3201" s="32" t="s">
        <v>22336</v>
      </c>
    </row>
    <row r="3202">
      <c r="A3202" s="33" t="s">
        <v>22337</v>
      </c>
      <c r="B3202" s="76" t="s">
        <v>16864</v>
      </c>
      <c r="C3202" s="41">
        <v>45545.0</v>
      </c>
      <c r="D3202" s="40" t="s">
        <v>22338</v>
      </c>
      <c r="E3202" s="41" t="s">
        <v>22339</v>
      </c>
      <c r="F3202" s="43" t="s">
        <v>22340</v>
      </c>
      <c r="G3202" s="43" t="s">
        <v>22341</v>
      </c>
      <c r="H3202" s="61" t="s">
        <v>5747</v>
      </c>
      <c r="I3202" s="15" t="str">
        <f>IFERROR(__xludf.DUMMYFUNCTION("GOOGLETRANSLATE(H3202,""EN"",""ES"")"),"Mercado energético")</f>
        <v>Mercado energético</v>
      </c>
      <c r="J3202" s="16" t="s">
        <v>27</v>
      </c>
      <c r="K3202" s="17">
        <v>0.0</v>
      </c>
      <c r="L3202" s="45"/>
      <c r="M3202" s="18"/>
      <c r="N3202" s="86"/>
      <c r="O3202" s="86"/>
      <c r="P3202" s="20">
        <v>0.0</v>
      </c>
      <c r="Q3202" s="18"/>
      <c r="R3202" s="18"/>
      <c r="S3202" s="52"/>
      <c r="T3202" s="22"/>
    </row>
    <row r="3203">
      <c r="A3203" s="23" t="s">
        <v>22342</v>
      </c>
      <c r="B3203" s="77" t="s">
        <v>43</v>
      </c>
      <c r="C3203" s="41">
        <v>45545.0</v>
      </c>
      <c r="D3203" s="40" t="s">
        <v>22343</v>
      </c>
      <c r="E3203" s="41" t="s">
        <v>22344</v>
      </c>
      <c r="F3203" s="43" t="s">
        <v>22345</v>
      </c>
      <c r="G3203" s="43" t="s">
        <v>22346</v>
      </c>
      <c r="H3203" s="59" t="s">
        <v>148</v>
      </c>
      <c r="I3203" s="25" t="str">
        <f>IFERROR(__xludf.DUMMYFUNCTION("GOOGLETRANSLATE(H3203,""EN"",""ES"")"),"Gastronomía")</f>
        <v>Gastronomía</v>
      </c>
      <c r="J3203" s="26" t="s">
        <v>27</v>
      </c>
      <c r="K3203" s="17">
        <v>0.0</v>
      </c>
      <c r="L3203" s="54"/>
      <c r="M3203" s="31"/>
      <c r="N3203" s="83"/>
      <c r="O3203" s="83"/>
      <c r="P3203" s="20">
        <v>0.0</v>
      </c>
      <c r="Q3203" s="31"/>
      <c r="R3203" s="31"/>
      <c r="S3203" s="53"/>
      <c r="T3203" s="32"/>
    </row>
    <row r="3204">
      <c r="A3204" s="33" t="s">
        <v>22347</v>
      </c>
      <c r="B3204" s="76" t="s">
        <v>1362</v>
      </c>
      <c r="C3204" s="41">
        <v>45545.0</v>
      </c>
      <c r="D3204" s="40" t="s">
        <v>22348</v>
      </c>
      <c r="E3204" s="41" t="s">
        <v>22349</v>
      </c>
      <c r="F3204" s="43" t="s">
        <v>22350</v>
      </c>
      <c r="G3204" s="43" t="s">
        <v>22351</v>
      </c>
      <c r="H3204" s="61" t="s">
        <v>408</v>
      </c>
      <c r="I3204" s="15" t="str">
        <f>IFERROR(__xludf.DUMMYFUNCTION("GOOGLETRANSLATE(H3204,""EN"",""ES"")"),"Legal")</f>
        <v>Legal</v>
      </c>
      <c r="J3204" s="16" t="s">
        <v>35</v>
      </c>
      <c r="K3204" s="48">
        <v>-0.7</v>
      </c>
      <c r="L3204" s="51" t="s">
        <v>21899</v>
      </c>
      <c r="M3204" s="34" t="s">
        <v>21900</v>
      </c>
      <c r="N3204" s="86" t="s">
        <v>22352</v>
      </c>
      <c r="O3204" s="86" t="str">
        <f>IFERROR(__xludf.DUMMYFUNCTION("GOOGLETRANSLATE(N3204,""EN"",""ES"")"),"Fuertemente negativo ya que resalta los problemas actuales relacionados con el derrame.")</f>
        <v>Fuertemente negativo ya que resalta los problemas actuales relacionados con el derrame.</v>
      </c>
      <c r="P3204" s="30">
        <v>-0.8</v>
      </c>
      <c r="Q3204" s="18" t="str">
        <f>IFERROR(__xludf.DUMMYFUNCTION("GOOGLETRANSLATE(R3204,""ES"",""EN"")"),"affected, spill")</f>
        <v>affected, spill</v>
      </c>
      <c r="R3204" s="34" t="s">
        <v>22353</v>
      </c>
      <c r="S3204" s="52" t="s">
        <v>22354</v>
      </c>
      <c r="T3204" s="22" t="s">
        <v>22355</v>
      </c>
    </row>
    <row r="3205">
      <c r="A3205" s="23" t="s">
        <v>22356</v>
      </c>
      <c r="B3205" s="77" t="s">
        <v>1338</v>
      </c>
      <c r="C3205" s="41">
        <v>45545.0</v>
      </c>
      <c r="D3205" s="40" t="s">
        <v>22357</v>
      </c>
      <c r="E3205" s="41" t="s">
        <v>22358</v>
      </c>
      <c r="F3205" s="43" t="s">
        <v>22359</v>
      </c>
      <c r="G3205" s="43" t="s">
        <v>22360</v>
      </c>
      <c r="H3205" s="59" t="s">
        <v>408</v>
      </c>
      <c r="I3205" s="25" t="str">
        <f>IFERROR(__xludf.DUMMYFUNCTION("GOOGLETRANSLATE(H3205,""EN"",""ES"")"),"Legal")</f>
        <v>Legal</v>
      </c>
      <c r="J3205" s="26" t="s">
        <v>35</v>
      </c>
      <c r="K3205" s="48">
        <v>-0.8</v>
      </c>
      <c r="L3205" s="49" t="s">
        <v>21899</v>
      </c>
      <c r="M3205" s="28" t="s">
        <v>21900</v>
      </c>
      <c r="N3205" s="83" t="s">
        <v>22361</v>
      </c>
      <c r="O3205" s="83" t="str">
        <f>IFERROR(__xludf.DUMMYFUNCTION("GOOGLETRANSLATE(N3205,""EN"",""ES"")"),"Fuertemente negativo debido al conflicto y las protestas reportadas.")</f>
        <v>Fuertemente negativo debido al conflicto y las protestas reportadas.</v>
      </c>
      <c r="P3205" s="30">
        <v>-0.7</v>
      </c>
      <c r="Q3205" s="31" t="str">
        <f>IFERROR(__xludf.DUMMYFUNCTION("GOOGLETRANSLATE(R3205,""ES"",""EN"")"),"attacked, protest")</f>
        <v>attacked, protest</v>
      </c>
      <c r="R3205" s="28" t="s">
        <v>22362</v>
      </c>
      <c r="S3205" s="53" t="s">
        <v>22363</v>
      </c>
      <c r="T3205" s="32" t="s">
        <v>22364</v>
      </c>
    </row>
    <row r="3206">
      <c r="A3206" s="33" t="s">
        <v>22365</v>
      </c>
      <c r="B3206" s="76" t="s">
        <v>3216</v>
      </c>
      <c r="C3206" s="41">
        <v>45546.0</v>
      </c>
      <c r="D3206" s="40" t="s">
        <v>22366</v>
      </c>
      <c r="E3206" s="41" t="s">
        <v>22367</v>
      </c>
      <c r="F3206" s="43" t="s">
        <v>22368</v>
      </c>
      <c r="G3206" s="43" t="s">
        <v>22369</v>
      </c>
      <c r="H3206" s="61" t="s">
        <v>661</v>
      </c>
      <c r="I3206" s="15" t="str">
        <f>IFERROR(__xludf.DUMMYFUNCTION("GOOGLETRANSLATE(H3206,""EN"",""ES"")"),"Estrategia empresarial")</f>
        <v>Estrategia empresarial</v>
      </c>
      <c r="J3206" s="16" t="s">
        <v>35</v>
      </c>
      <c r="K3206" s="48">
        <v>-0.6</v>
      </c>
      <c r="L3206" s="51" t="s">
        <v>19885</v>
      </c>
      <c r="M3206" s="34" t="s">
        <v>19886</v>
      </c>
      <c r="N3206" s="86" t="s">
        <v>22370</v>
      </c>
      <c r="O3206" s="86" t="str">
        <f>IFERROR(__xludf.DUMMYFUNCTION("GOOGLETRANSLATE(N3206,""EN"",""ES"")"),"Negativo ya que indica riesgos geopolíticos para Repsol.")</f>
        <v>Negativo ya que indica riesgos geopolíticos para Repsol.</v>
      </c>
      <c r="P3206" s="30">
        <v>-0.6</v>
      </c>
      <c r="Q3206" s="18" t="str">
        <f>IFERROR(__xludf.DUMMYFUNCTION("GOOGLETRANSLATE(R3206,""ES"",""EN"")"),"threat, crisis")</f>
        <v>threat, crisis</v>
      </c>
      <c r="R3206" s="34" t="s">
        <v>22371</v>
      </c>
      <c r="S3206" s="52" t="s">
        <v>22372</v>
      </c>
      <c r="T3206" s="22" t="s">
        <v>22373</v>
      </c>
    </row>
    <row r="3207">
      <c r="A3207" s="23" t="s">
        <v>22374</v>
      </c>
      <c r="B3207" s="77" t="s">
        <v>21</v>
      </c>
      <c r="C3207" s="41">
        <v>45546.0</v>
      </c>
      <c r="D3207" s="40" t="s">
        <v>22375</v>
      </c>
      <c r="E3207" s="41" t="s">
        <v>22376</v>
      </c>
      <c r="F3207" s="43" t="s">
        <v>22377</v>
      </c>
      <c r="G3207" s="43" t="s">
        <v>22378</v>
      </c>
      <c r="H3207" s="59" t="s">
        <v>148</v>
      </c>
      <c r="I3207" s="25" t="str">
        <f>IFERROR(__xludf.DUMMYFUNCTION("GOOGLETRANSLATE(H3207,""EN"",""ES"")"),"Gastronomía")</f>
        <v>Gastronomía</v>
      </c>
      <c r="J3207" s="26" t="s">
        <v>27</v>
      </c>
      <c r="K3207" s="17">
        <v>0.0</v>
      </c>
      <c r="L3207" s="54"/>
      <c r="M3207" s="31"/>
      <c r="N3207" s="83"/>
      <c r="O3207" s="83"/>
      <c r="P3207" s="20">
        <v>0.0</v>
      </c>
      <c r="Q3207" s="31"/>
      <c r="R3207" s="31"/>
      <c r="S3207" s="53"/>
      <c r="T3207" s="32"/>
    </row>
    <row r="3208">
      <c r="A3208" s="33" t="s">
        <v>22379</v>
      </c>
      <c r="B3208" s="76" t="s">
        <v>22380</v>
      </c>
      <c r="C3208" s="41">
        <v>45546.0</v>
      </c>
      <c r="D3208" s="40" t="s">
        <v>22381</v>
      </c>
      <c r="E3208" s="41" t="s">
        <v>22382</v>
      </c>
      <c r="F3208" s="43" t="s">
        <v>22383</v>
      </c>
      <c r="G3208" s="43" t="s">
        <v>22384</v>
      </c>
      <c r="H3208" s="61" t="s">
        <v>975</v>
      </c>
      <c r="I3208" s="15" t="str">
        <f>IFERROR(__xludf.DUMMYFUNCTION("GOOGLETRANSLATE(H3208,""EN"",""ES"")"),"Patrocinio")</f>
        <v>Patrocinio</v>
      </c>
      <c r="J3208" s="16" t="s">
        <v>35</v>
      </c>
      <c r="K3208" s="48">
        <v>-0.6</v>
      </c>
      <c r="L3208" s="51" t="s">
        <v>21945</v>
      </c>
      <c r="M3208" s="34" t="s">
        <v>21946</v>
      </c>
      <c r="N3208" s="86" t="s">
        <v>22385</v>
      </c>
      <c r="O3208" s="86" t="str">
        <f>IFERROR(__xludf.DUMMYFUNCTION("GOOGLETRANSLATE(N3208,""EN"",""ES"")"),"Negativo ya que pone de relieve el mal desempeño del Repsol Honda.")</f>
        <v>Negativo ya que pone de relieve el mal desempeño del Repsol Honda.</v>
      </c>
      <c r="P3208" s="30">
        <v>-0.7</v>
      </c>
      <c r="Q3208" s="18" t="str">
        <f>IFERROR(__xludf.DUMMYFUNCTION("GOOGLETRANSLATE(R3208,""ES"",""EN"")"),"sad, worse")</f>
        <v>sad, worse</v>
      </c>
      <c r="R3208" s="34" t="s">
        <v>22386</v>
      </c>
      <c r="S3208" s="52" t="s">
        <v>22387</v>
      </c>
      <c r="T3208" s="22" t="s">
        <v>22388</v>
      </c>
    </row>
    <row r="3209">
      <c r="A3209" s="23" t="s">
        <v>22389</v>
      </c>
      <c r="B3209" s="77" t="s">
        <v>22390</v>
      </c>
      <c r="C3209" s="41">
        <v>45546.0</v>
      </c>
      <c r="D3209" s="40" t="s">
        <v>22391</v>
      </c>
      <c r="E3209" s="41" t="s">
        <v>22392</v>
      </c>
      <c r="F3209" s="43" t="s">
        <v>22393</v>
      </c>
      <c r="G3209" s="43" t="s">
        <v>22394</v>
      </c>
      <c r="H3209" s="59" t="s">
        <v>661</v>
      </c>
      <c r="I3209" s="25" t="str">
        <f>IFERROR(__xludf.DUMMYFUNCTION("GOOGLETRANSLATE(H3209,""EN"",""ES"")"),"Estrategia empresarial")</f>
        <v>Estrategia empresarial</v>
      </c>
      <c r="J3209" s="26" t="s">
        <v>27</v>
      </c>
      <c r="K3209" s="17">
        <v>0.0</v>
      </c>
      <c r="L3209" s="54"/>
      <c r="M3209" s="31"/>
      <c r="N3209" s="83"/>
      <c r="O3209" s="83"/>
      <c r="P3209" s="20">
        <v>0.0</v>
      </c>
      <c r="Q3209" s="31"/>
      <c r="R3209" s="31"/>
      <c r="S3209" s="53"/>
      <c r="T3209" s="32"/>
    </row>
    <row r="3210">
      <c r="A3210" s="33" t="s">
        <v>22395</v>
      </c>
      <c r="B3210" s="76" t="s">
        <v>21</v>
      </c>
      <c r="C3210" s="41">
        <v>45546.0</v>
      </c>
      <c r="D3210" s="40" t="s">
        <v>22396</v>
      </c>
      <c r="E3210" s="41" t="s">
        <v>22397</v>
      </c>
      <c r="F3210" s="43" t="s">
        <v>22398</v>
      </c>
      <c r="G3210" s="43" t="s">
        <v>22399</v>
      </c>
      <c r="H3210" s="61" t="s">
        <v>969</v>
      </c>
      <c r="I3210" s="15" t="str">
        <f>IFERROR(__xludf.DUMMYFUNCTION("GOOGLETRANSLATE(H3210,""EN"",""ES"")"),"Turismo")</f>
        <v>Turismo</v>
      </c>
      <c r="J3210" s="16" t="s">
        <v>27</v>
      </c>
      <c r="K3210" s="17">
        <v>0.0</v>
      </c>
      <c r="L3210" s="45"/>
      <c r="M3210" s="18"/>
      <c r="N3210" s="86"/>
      <c r="O3210" s="86"/>
      <c r="P3210" s="20">
        <v>0.0</v>
      </c>
      <c r="Q3210" s="18"/>
      <c r="R3210" s="18"/>
      <c r="S3210" s="52"/>
      <c r="T3210" s="22"/>
    </row>
    <row r="3211">
      <c r="A3211" s="23" t="s">
        <v>22400</v>
      </c>
      <c r="B3211" s="77" t="s">
        <v>21</v>
      </c>
      <c r="C3211" s="41">
        <v>45546.0</v>
      </c>
      <c r="D3211" s="40" t="s">
        <v>22401</v>
      </c>
      <c r="E3211" s="41" t="s">
        <v>22402</v>
      </c>
      <c r="F3211" s="43" t="s">
        <v>22403</v>
      </c>
      <c r="G3211" s="43" t="s">
        <v>22404</v>
      </c>
      <c r="H3211" s="59" t="s">
        <v>5878</v>
      </c>
      <c r="I3211" s="25" t="str">
        <f>IFERROR(__xludf.DUMMYFUNCTION("GOOGLETRANSLATE(H3211,""EN"",""ES"")"),"Entretenimiento")</f>
        <v>Entretenimiento</v>
      </c>
      <c r="J3211" s="26" t="s">
        <v>27</v>
      </c>
      <c r="K3211" s="17">
        <v>0.0</v>
      </c>
      <c r="L3211" s="54"/>
      <c r="M3211" s="31"/>
      <c r="N3211" s="83"/>
      <c r="O3211" s="83"/>
      <c r="P3211" s="20">
        <v>0.0</v>
      </c>
      <c r="Q3211" s="31"/>
      <c r="R3211" s="31"/>
      <c r="S3211" s="53"/>
      <c r="T3211" s="32"/>
    </row>
    <row r="3212">
      <c r="A3212" s="33" t="s">
        <v>22405</v>
      </c>
      <c r="B3212" s="76" t="s">
        <v>666</v>
      </c>
      <c r="C3212" s="41">
        <v>45547.0</v>
      </c>
      <c r="D3212" s="40" t="s">
        <v>22406</v>
      </c>
      <c r="E3212" s="41" t="s">
        <v>22407</v>
      </c>
      <c r="F3212" s="43" t="s">
        <v>22408</v>
      </c>
      <c r="G3212" s="43" t="s">
        <v>22409</v>
      </c>
      <c r="H3212" s="61" t="s">
        <v>48</v>
      </c>
      <c r="I3212" s="15" t="str">
        <f>IFERROR(__xludf.DUMMYFUNCTION("GOOGLETRANSLATE(H3212,""EN"",""ES"")"),"Finanzas")</f>
        <v>Finanzas</v>
      </c>
      <c r="J3212" s="16" t="s">
        <v>35</v>
      </c>
      <c r="K3212" s="48">
        <v>-0.5</v>
      </c>
      <c r="L3212" s="51" t="s">
        <v>19216</v>
      </c>
      <c r="M3212" s="34" t="s">
        <v>19217</v>
      </c>
      <c r="N3212" s="86" t="s">
        <v>22410</v>
      </c>
      <c r="O3212" s="86" t="str">
        <f>IFERROR(__xludf.DUMMYFUNCTION("GOOGLETRANSLATE(N3212,""EN"",""ES"")"),"Negativo ya que refleja una menor valoración de la acción de Repsol.")</f>
        <v>Negativo ya que refleja una menor valoración de la acción de Repsol.</v>
      </c>
      <c r="P3212" s="30">
        <v>-0.5</v>
      </c>
      <c r="Q3212" s="18" t="str">
        <f>IFERROR(__xludf.DUMMYFUNCTION("GOOGLETRANSLATE(R3212,""ES"",""EN"")"),"fall, fall")</f>
        <v>fall, fall</v>
      </c>
      <c r="R3212" s="34" t="s">
        <v>22411</v>
      </c>
      <c r="S3212" s="52" t="s">
        <v>22412</v>
      </c>
      <c r="T3212" s="22" t="s">
        <v>22413</v>
      </c>
    </row>
    <row r="3213">
      <c r="A3213" s="23" t="s">
        <v>22414</v>
      </c>
      <c r="B3213" s="77" t="s">
        <v>558</v>
      </c>
      <c r="C3213" s="41">
        <v>45547.0</v>
      </c>
      <c r="D3213" s="40" t="s">
        <v>22415</v>
      </c>
      <c r="E3213" s="41" t="s">
        <v>22416</v>
      </c>
      <c r="F3213" s="43" t="s">
        <v>22417</v>
      </c>
      <c r="G3213" s="43" t="s">
        <v>22418</v>
      </c>
      <c r="H3213" s="59" t="s">
        <v>48</v>
      </c>
      <c r="I3213" s="25" t="str">
        <f>IFERROR(__xludf.DUMMYFUNCTION("GOOGLETRANSLATE(H3213,""EN"",""ES"")"),"Finanzas")</f>
        <v>Finanzas</v>
      </c>
      <c r="J3213" s="26" t="s">
        <v>35</v>
      </c>
      <c r="K3213" s="48">
        <v>-0.5</v>
      </c>
      <c r="L3213" s="49" t="s">
        <v>19216</v>
      </c>
      <c r="M3213" s="28" t="s">
        <v>19217</v>
      </c>
      <c r="N3213" s="83" t="s">
        <v>22419</v>
      </c>
      <c r="O3213" s="83" t="str">
        <f>IFERROR(__xludf.DUMMYFUNCTION("GOOGLETRANSLATE(N3213,""EN"",""ES"")"),"Negativo ya que pone de relieve las luchas financieras.")</f>
        <v>Negativo ya que pone de relieve las luchas financieras.</v>
      </c>
      <c r="P3213" s="30">
        <v>-0.4</v>
      </c>
      <c r="Q3213" s="31" t="str">
        <f>IFERROR(__xludf.DUMMYFUNCTION("GOOGLETRANSLATE(R3213,""ES"",""EN"")"),"trim")</f>
        <v>trim</v>
      </c>
      <c r="R3213" s="28" t="s">
        <v>22420</v>
      </c>
      <c r="S3213" s="53" t="s">
        <v>22421</v>
      </c>
      <c r="T3213" s="32" t="s">
        <v>22422</v>
      </c>
    </row>
    <row r="3214">
      <c r="A3214" s="33" t="s">
        <v>22423</v>
      </c>
      <c r="B3214" s="76" t="s">
        <v>50</v>
      </c>
      <c r="C3214" s="41">
        <v>45547.0</v>
      </c>
      <c r="D3214" s="40" t="s">
        <v>22424</v>
      </c>
      <c r="E3214" s="41" t="s">
        <v>22425</v>
      </c>
      <c r="F3214" s="43" t="s">
        <v>22426</v>
      </c>
      <c r="G3214" s="43" t="s">
        <v>22427</v>
      </c>
      <c r="H3214" s="61" t="s">
        <v>975</v>
      </c>
      <c r="I3214" s="15" t="str">
        <f>IFERROR(__xludf.DUMMYFUNCTION("GOOGLETRANSLATE(H3214,""EN"",""ES"")"),"Patrocinio")</f>
        <v>Patrocinio</v>
      </c>
      <c r="J3214" s="16" t="s">
        <v>27</v>
      </c>
      <c r="K3214" s="17">
        <v>0.0</v>
      </c>
      <c r="L3214" s="45"/>
      <c r="M3214" s="18"/>
      <c r="N3214" s="86"/>
      <c r="O3214" s="86"/>
      <c r="P3214" s="20">
        <v>0.0</v>
      </c>
      <c r="Q3214" s="18"/>
      <c r="R3214" s="18"/>
      <c r="S3214" s="52"/>
      <c r="T3214" s="22"/>
    </row>
    <row r="3215">
      <c r="A3215" s="23" t="s">
        <v>22428</v>
      </c>
      <c r="B3215" s="77" t="s">
        <v>21</v>
      </c>
      <c r="C3215" s="41">
        <v>45547.0</v>
      </c>
      <c r="D3215" s="40" t="s">
        <v>22429</v>
      </c>
      <c r="E3215" s="41" t="s">
        <v>22430</v>
      </c>
      <c r="F3215" s="43" t="s">
        <v>22431</v>
      </c>
      <c r="G3215" s="43" t="s">
        <v>22432</v>
      </c>
      <c r="H3215" s="59" t="s">
        <v>148</v>
      </c>
      <c r="I3215" s="25" t="str">
        <f>IFERROR(__xludf.DUMMYFUNCTION("GOOGLETRANSLATE(H3215,""EN"",""ES"")"),"Gastronomía")</f>
        <v>Gastronomía</v>
      </c>
      <c r="J3215" s="26" t="s">
        <v>27</v>
      </c>
      <c r="K3215" s="17">
        <v>0.0</v>
      </c>
      <c r="L3215" s="54"/>
      <c r="M3215" s="31"/>
      <c r="N3215" s="83"/>
      <c r="O3215" s="83"/>
      <c r="P3215" s="20">
        <v>0.0</v>
      </c>
      <c r="Q3215" s="31"/>
      <c r="R3215" s="31"/>
      <c r="S3215" s="53"/>
      <c r="T3215" s="32"/>
    </row>
    <row r="3216">
      <c r="A3216" s="33" t="s">
        <v>22433</v>
      </c>
      <c r="B3216" s="76" t="s">
        <v>513</v>
      </c>
      <c r="C3216" s="41">
        <v>45547.0</v>
      </c>
      <c r="D3216" s="40" t="s">
        <v>22434</v>
      </c>
      <c r="E3216" s="41" t="s">
        <v>22435</v>
      </c>
      <c r="F3216" s="43" t="s">
        <v>22436</v>
      </c>
      <c r="G3216" s="43" t="s">
        <v>22437</v>
      </c>
      <c r="H3216" s="61" t="s">
        <v>975</v>
      </c>
      <c r="I3216" s="15" t="str">
        <f>IFERROR(__xludf.DUMMYFUNCTION("GOOGLETRANSLATE(H3216,""EN"",""ES"")"),"Patrocinio")</f>
        <v>Patrocinio</v>
      </c>
      <c r="J3216" s="16" t="s">
        <v>35</v>
      </c>
      <c r="K3216" s="48">
        <v>-0.6</v>
      </c>
      <c r="L3216" s="51" t="s">
        <v>21945</v>
      </c>
      <c r="M3216" s="34" t="s">
        <v>21946</v>
      </c>
      <c r="N3216" s="86" t="s">
        <v>22438</v>
      </c>
      <c r="O3216" s="86" t="str">
        <f>IFERROR(__xludf.DUMMYFUNCTION("GOOGLETRANSLATE(N3216,""EN"",""ES"")"),"Negativo porque marca el fin de una asociación histórica.")</f>
        <v>Negativo porque marca el fin de una asociación histórica.</v>
      </c>
      <c r="P3216" s="30">
        <v>-0.2</v>
      </c>
      <c r="Q3216" s="18" t="str">
        <f>IFERROR(__xludf.DUMMYFUNCTION("GOOGLETRANSLATE(R3216,""ES"",""EN"")"),"bye")</f>
        <v>bye</v>
      </c>
      <c r="R3216" s="34" t="s">
        <v>14362</v>
      </c>
      <c r="S3216" s="52" t="s">
        <v>22439</v>
      </c>
      <c r="T3216" s="22" t="s">
        <v>22440</v>
      </c>
    </row>
    <row r="3217">
      <c r="A3217" s="23" t="s">
        <v>22441</v>
      </c>
      <c r="B3217" s="77" t="s">
        <v>3189</v>
      </c>
      <c r="C3217" s="41">
        <v>45547.0</v>
      </c>
      <c r="D3217" s="40" t="s">
        <v>22442</v>
      </c>
      <c r="E3217" s="41" t="s">
        <v>22443</v>
      </c>
      <c r="F3217" s="43" t="s">
        <v>22444</v>
      </c>
      <c r="G3217" s="43" t="s">
        <v>22445</v>
      </c>
      <c r="H3217" s="59" t="s">
        <v>55</v>
      </c>
      <c r="I3217" s="25" t="str">
        <f>IFERROR(__xludf.DUMMYFUNCTION("GOOGLETRANSLATE(H3217,""EN"",""ES"")"),"deportes de motor")</f>
        <v>deportes de motor</v>
      </c>
      <c r="J3217" s="26" t="s">
        <v>27</v>
      </c>
      <c r="K3217" s="17">
        <v>0.0</v>
      </c>
      <c r="L3217" s="54"/>
      <c r="M3217" s="31"/>
      <c r="N3217" s="83"/>
      <c r="O3217" s="83"/>
      <c r="P3217" s="20">
        <v>0.0</v>
      </c>
      <c r="Q3217" s="31"/>
      <c r="R3217" s="31"/>
      <c r="S3217" s="53"/>
      <c r="T3217" s="32"/>
    </row>
    <row r="3218">
      <c r="A3218" s="33" t="s">
        <v>22446</v>
      </c>
      <c r="B3218" s="76" t="s">
        <v>4334</v>
      </c>
      <c r="C3218" s="41">
        <v>45547.0</v>
      </c>
      <c r="D3218" s="40" t="s">
        <v>22447</v>
      </c>
      <c r="E3218" s="41" t="s">
        <v>22448</v>
      </c>
      <c r="F3218" s="43" t="s">
        <v>22449</v>
      </c>
      <c r="G3218" s="43" t="s">
        <v>22450</v>
      </c>
      <c r="H3218" s="61" t="s">
        <v>975</v>
      </c>
      <c r="I3218" s="15" t="str">
        <f>IFERROR(__xludf.DUMMYFUNCTION("GOOGLETRANSLATE(H3218,""EN"",""ES"")"),"Patrocinio")</f>
        <v>Patrocinio</v>
      </c>
      <c r="J3218" s="16" t="s">
        <v>35</v>
      </c>
      <c r="K3218" s="48">
        <v>-0.6</v>
      </c>
      <c r="L3218" s="51" t="s">
        <v>21945</v>
      </c>
      <c r="M3218" s="34" t="s">
        <v>21946</v>
      </c>
      <c r="N3218" s="86" t="s">
        <v>22451</v>
      </c>
      <c r="O3218" s="86" t="str">
        <f>IFERROR(__xludf.DUMMYFUNCTION("GOOGLETRANSLATE(N3218,""EN"",""ES"")"),"Negativo ya que enfatiza el final de una colaboración exitosa.")</f>
        <v>Negativo ya que enfatiza el final de una colaboración exitosa.</v>
      </c>
      <c r="P3218" s="30">
        <v>-0.3</v>
      </c>
      <c r="Q3218" s="18" t="str">
        <f>IFERROR(__xludf.DUMMYFUNCTION("GOOGLETRANSLATE(R3218,""ES"",""EN"")"),"rupture")</f>
        <v>rupture</v>
      </c>
      <c r="R3218" s="34" t="s">
        <v>22288</v>
      </c>
      <c r="S3218" s="52" t="s">
        <v>22452</v>
      </c>
      <c r="T3218" s="22" t="s">
        <v>22453</v>
      </c>
    </row>
    <row r="3219">
      <c r="A3219" s="23" t="s">
        <v>22454</v>
      </c>
      <c r="B3219" s="77" t="s">
        <v>1970</v>
      </c>
      <c r="C3219" s="41">
        <v>45547.0</v>
      </c>
      <c r="D3219" s="40" t="s">
        <v>22455</v>
      </c>
      <c r="E3219" s="41" t="s">
        <v>22456</v>
      </c>
      <c r="F3219" s="43" t="s">
        <v>22457</v>
      </c>
      <c r="G3219" s="43" t="s">
        <v>22458</v>
      </c>
      <c r="H3219" s="59" t="s">
        <v>661</v>
      </c>
      <c r="I3219" s="25" t="str">
        <f>IFERROR(__xludf.DUMMYFUNCTION("GOOGLETRANSLATE(H3219,""EN"",""ES"")"),"Estrategia empresarial")</f>
        <v>Estrategia empresarial</v>
      </c>
      <c r="J3219" s="26" t="s">
        <v>35</v>
      </c>
      <c r="K3219" s="48">
        <v>-0.6</v>
      </c>
      <c r="L3219" s="49" t="s">
        <v>20237</v>
      </c>
      <c r="M3219" s="28" t="s">
        <v>20238</v>
      </c>
      <c r="N3219" s="83" t="s">
        <v>22459</v>
      </c>
      <c r="O3219" s="83" t="str">
        <f>IFERROR(__xludf.DUMMYFUNCTION("GOOGLETRANSLATE(N3219,""EN"",""ES"")"),"Negativo por la inestabilidad geopolítica que afecta a las empresas españolas, entre ellas Repsol.")</f>
        <v>Negativo por la inestabilidad geopolítica que afecta a las empresas españolas, entre ellas Repsol.</v>
      </c>
      <c r="P3219" s="30">
        <v>0.0</v>
      </c>
      <c r="Q3219" s="31"/>
      <c r="R3219" s="31"/>
      <c r="S3219" s="53" t="s">
        <v>22460</v>
      </c>
      <c r="T3219" s="32" t="s">
        <v>22461</v>
      </c>
    </row>
    <row r="3220">
      <c r="A3220" s="33" t="s">
        <v>22462</v>
      </c>
      <c r="B3220" s="76" t="s">
        <v>666</v>
      </c>
      <c r="C3220" s="41">
        <v>45547.0</v>
      </c>
      <c r="D3220" s="40" t="s">
        <v>22463</v>
      </c>
      <c r="E3220" s="41" t="s">
        <v>22464</v>
      </c>
      <c r="F3220" s="43" t="s">
        <v>22465</v>
      </c>
      <c r="G3220" s="43" t="s">
        <v>22466</v>
      </c>
      <c r="H3220" s="61" t="s">
        <v>661</v>
      </c>
      <c r="I3220" s="15" t="str">
        <f>IFERROR(__xludf.DUMMYFUNCTION("GOOGLETRANSLATE(H3220,""EN"",""ES"")"),"Estrategia empresarial")</f>
        <v>Estrategia empresarial</v>
      </c>
      <c r="J3220" s="16" t="s">
        <v>35</v>
      </c>
      <c r="K3220" s="48">
        <v>-0.6</v>
      </c>
      <c r="L3220" s="51" t="s">
        <v>19885</v>
      </c>
      <c r="M3220" s="34" t="s">
        <v>19886</v>
      </c>
      <c r="N3220" s="86" t="s">
        <v>22467</v>
      </c>
      <c r="O3220" s="86" t="str">
        <f>IFERROR(__xludf.DUMMYFUNCTION("GOOGLETRANSLATE(N3220,""EN"",""ES"")"),"Negativo ya que genera preocupación sobre las operaciones de Repsol en Venezuela.")</f>
        <v>Negativo ya que genera preocupación sobre las operaciones de Repsol en Venezuela.</v>
      </c>
      <c r="P3220" s="30">
        <v>-0.6</v>
      </c>
      <c r="Q3220" s="18" t="str">
        <f>IFERROR(__xludf.DUMMYFUNCTION("GOOGLETRANSLATE(R3220,""ES"",""EN"")"),"breaks")</f>
        <v>breaks</v>
      </c>
      <c r="R3220" s="34" t="s">
        <v>21948</v>
      </c>
      <c r="S3220" s="52" t="s">
        <v>22468</v>
      </c>
      <c r="T3220" s="22" t="s">
        <v>22469</v>
      </c>
    </row>
    <row r="3221">
      <c r="A3221" s="23" t="s">
        <v>22470</v>
      </c>
      <c r="B3221" s="77" t="s">
        <v>163</v>
      </c>
      <c r="C3221" s="41">
        <v>45547.0</v>
      </c>
      <c r="D3221" s="40" t="s">
        <v>22471</v>
      </c>
      <c r="E3221" s="41" t="s">
        <v>22472</v>
      </c>
      <c r="F3221" s="43" t="s">
        <v>22473</v>
      </c>
      <c r="G3221" s="43" t="s">
        <v>22474</v>
      </c>
      <c r="H3221" s="59" t="s">
        <v>8756</v>
      </c>
      <c r="I3221" s="25" t="str">
        <f>IFERROR(__xludf.DUMMYFUNCTION("GOOGLETRANSLATE(H3221,""EN"",""ES"")"),"Automotor")</f>
        <v>Automotor</v>
      </c>
      <c r="J3221" s="26" t="s">
        <v>27</v>
      </c>
      <c r="K3221" s="17">
        <v>0.0</v>
      </c>
      <c r="L3221" s="54"/>
      <c r="M3221" s="31"/>
      <c r="N3221" s="83"/>
      <c r="O3221" s="83"/>
      <c r="P3221" s="20">
        <v>0.0</v>
      </c>
      <c r="Q3221" s="31"/>
      <c r="R3221" s="31"/>
      <c r="S3221" s="53"/>
      <c r="T3221" s="32"/>
    </row>
    <row r="3222">
      <c r="A3222" s="33" t="s">
        <v>22475</v>
      </c>
      <c r="B3222" s="76" t="s">
        <v>163</v>
      </c>
      <c r="C3222" s="41">
        <v>45548.0</v>
      </c>
      <c r="D3222" s="40" t="s">
        <v>22476</v>
      </c>
      <c r="E3222" s="41" t="s">
        <v>22477</v>
      </c>
      <c r="F3222" s="43" t="s">
        <v>22478</v>
      </c>
      <c r="G3222" s="43" t="s">
        <v>22479</v>
      </c>
      <c r="H3222" s="61" t="s">
        <v>661</v>
      </c>
      <c r="I3222" s="15" t="str">
        <f>IFERROR(__xludf.DUMMYFUNCTION("GOOGLETRANSLATE(H3222,""EN"",""ES"")"),"Estrategia empresarial")</f>
        <v>Estrategia empresarial</v>
      </c>
      <c r="J3222" s="16" t="s">
        <v>35</v>
      </c>
      <c r="K3222" s="48">
        <v>0.7</v>
      </c>
      <c r="L3222" s="51" t="s">
        <v>22480</v>
      </c>
      <c r="M3222" s="34" t="s">
        <v>22481</v>
      </c>
      <c r="N3222" s="86" t="s">
        <v>22482</v>
      </c>
      <c r="O3222" s="86" t="str">
        <f>IFERROR(__xludf.DUMMYFUNCTION("GOOGLETRANSLATE(N3222,""EN"",""ES"")"),"Positivo ya que destaca una nueva asociación comercial.")</f>
        <v>Positivo ya que destaca una nueva asociación comercial.</v>
      </c>
      <c r="P3222" s="30">
        <v>0.7</v>
      </c>
      <c r="Q3222" s="18" t="str">
        <f>IFERROR(__xludf.DUMMYFUNCTION("GOOGLETRANSLATE(R3222,""ES"",""EN"")"),"agreement, unique")</f>
        <v>agreement, unique</v>
      </c>
      <c r="R3222" s="34" t="s">
        <v>22483</v>
      </c>
      <c r="S3222" s="52" t="s">
        <v>22484</v>
      </c>
      <c r="T3222" s="22" t="s">
        <v>22485</v>
      </c>
    </row>
    <row r="3223">
      <c r="A3223" s="23" t="s">
        <v>22486</v>
      </c>
      <c r="B3223" s="77" t="s">
        <v>1072</v>
      </c>
      <c r="C3223" s="41">
        <v>45548.0</v>
      </c>
      <c r="D3223" s="40" t="s">
        <v>22487</v>
      </c>
      <c r="E3223" s="41" t="s">
        <v>22488</v>
      </c>
      <c r="F3223" s="43" t="s">
        <v>22489</v>
      </c>
      <c r="G3223" s="43" t="s">
        <v>22490</v>
      </c>
      <c r="H3223" s="59" t="s">
        <v>661</v>
      </c>
      <c r="I3223" s="25" t="str">
        <f>IFERROR(__xludf.DUMMYFUNCTION("GOOGLETRANSLATE(H3223,""EN"",""ES"")"),"Estrategia empresarial")</f>
        <v>Estrategia empresarial</v>
      </c>
      <c r="J3223" s="26" t="s">
        <v>35</v>
      </c>
      <c r="K3223" s="48">
        <v>0.7</v>
      </c>
      <c r="L3223" s="49" t="s">
        <v>22480</v>
      </c>
      <c r="M3223" s="28" t="s">
        <v>22481</v>
      </c>
      <c r="N3223" s="83" t="s">
        <v>22491</v>
      </c>
      <c r="O3223" s="83" t="str">
        <f>IFERROR(__xludf.DUMMYFUNCTION("GOOGLETRANSLATE(N3223,""EN"",""ES"")"),"Positivo porque amplía la presencia internacional de Repsol.")</f>
        <v>Positivo porque amplía la presencia internacional de Repsol.</v>
      </c>
      <c r="P3223" s="30">
        <v>0.6</v>
      </c>
      <c r="Q3223" s="31" t="str">
        <f>IFERROR(__xludf.DUMMYFUNCTION("GOOGLETRANSLATE(R3223,""ES"",""EN"")"),"agreement")</f>
        <v>agreement</v>
      </c>
      <c r="R3223" s="28" t="s">
        <v>11189</v>
      </c>
      <c r="S3223" s="53" t="s">
        <v>22492</v>
      </c>
      <c r="T3223" s="32" t="s">
        <v>22493</v>
      </c>
    </row>
    <row r="3224">
      <c r="A3224" s="33" t="s">
        <v>22494</v>
      </c>
      <c r="B3224" s="76" t="s">
        <v>666</v>
      </c>
      <c r="C3224" s="41">
        <v>45548.0</v>
      </c>
      <c r="D3224" s="40" t="s">
        <v>22495</v>
      </c>
      <c r="E3224" s="41" t="s">
        <v>22496</v>
      </c>
      <c r="F3224" s="43" t="s">
        <v>22497</v>
      </c>
      <c r="G3224" s="43" t="s">
        <v>22498</v>
      </c>
      <c r="H3224" s="61" t="s">
        <v>661</v>
      </c>
      <c r="I3224" s="15" t="str">
        <f>IFERROR(__xludf.DUMMYFUNCTION("GOOGLETRANSLATE(H3224,""EN"",""ES"")"),"Estrategia empresarial")</f>
        <v>Estrategia empresarial</v>
      </c>
      <c r="J3224" s="16" t="s">
        <v>35</v>
      </c>
      <c r="K3224" s="48">
        <v>-0.6</v>
      </c>
      <c r="L3224" s="51" t="s">
        <v>20237</v>
      </c>
      <c r="M3224" s="34" t="s">
        <v>20238</v>
      </c>
      <c r="N3224" s="86" t="s">
        <v>22499</v>
      </c>
      <c r="O3224" s="86" t="str">
        <f>IFERROR(__xludf.DUMMYFUNCTION("GOOGLETRANSLATE(N3224,""EN"",""ES"")"),"Negativo porque sugiere una gran dependencia de un mercado políticamente inestable.")</f>
        <v>Negativo porque sugiere una gran dependencia de un mercado políticamente inestable.</v>
      </c>
      <c r="P3224" s="30">
        <v>0.0</v>
      </c>
      <c r="Q3224" s="18"/>
      <c r="R3224" s="18"/>
      <c r="S3224" s="52" t="s">
        <v>22500</v>
      </c>
      <c r="T3224" s="22" t="s">
        <v>22501</v>
      </c>
    </row>
    <row r="3225">
      <c r="A3225" s="23" t="s">
        <v>22502</v>
      </c>
      <c r="B3225" s="77" t="s">
        <v>91</v>
      </c>
      <c r="C3225" s="41">
        <v>45548.0</v>
      </c>
      <c r="D3225" s="40" t="s">
        <v>22503</v>
      </c>
      <c r="E3225" s="41" t="s">
        <v>22504</v>
      </c>
      <c r="F3225" s="43" t="s">
        <v>22505</v>
      </c>
      <c r="G3225" s="43" t="s">
        <v>22506</v>
      </c>
      <c r="H3225" s="59" t="s">
        <v>661</v>
      </c>
      <c r="I3225" s="25" t="str">
        <f>IFERROR(__xludf.DUMMYFUNCTION("GOOGLETRANSLATE(H3225,""EN"",""ES"")"),"Estrategia empresarial")</f>
        <v>Estrategia empresarial</v>
      </c>
      <c r="J3225" s="26" t="s">
        <v>35</v>
      </c>
      <c r="K3225" s="48">
        <v>-0.5</v>
      </c>
      <c r="L3225" s="49" t="s">
        <v>19885</v>
      </c>
      <c r="M3225" s="28" t="s">
        <v>19886</v>
      </c>
      <c r="N3225" s="83" t="s">
        <v>22507</v>
      </c>
      <c r="O3225" s="83" t="str">
        <f>IFERROR(__xludf.DUMMYFUNCTION("GOOGLETRANSLATE(N3225,""EN"",""ES"")"),"Negativo ya que presenta un potencial conflicto geopolítico.")</f>
        <v>Negativo ya que presenta un potencial conflicto geopolítico.</v>
      </c>
      <c r="P3225" s="30">
        <v>-0.5</v>
      </c>
      <c r="Q3225" s="31" t="str">
        <f>IFERROR(__xludf.DUMMYFUNCTION("GOOGLETRANSLATE(R3225,""ES"",""EN"")"),"expel")</f>
        <v>expel</v>
      </c>
      <c r="R3225" s="28" t="s">
        <v>22508</v>
      </c>
      <c r="S3225" s="53" t="s">
        <v>22509</v>
      </c>
      <c r="T3225" s="32" t="s">
        <v>22510</v>
      </c>
    </row>
    <row r="3226">
      <c r="A3226" s="33" t="s">
        <v>22511</v>
      </c>
      <c r="B3226" s="76" t="s">
        <v>339</v>
      </c>
      <c r="C3226" s="41">
        <v>45548.0</v>
      </c>
      <c r="D3226" s="40" t="s">
        <v>22512</v>
      </c>
      <c r="E3226" s="41" t="s">
        <v>22513</v>
      </c>
      <c r="F3226" s="43" t="s">
        <v>22514</v>
      </c>
      <c r="G3226" s="43" t="s">
        <v>22515</v>
      </c>
      <c r="H3226" s="61" t="s">
        <v>661</v>
      </c>
      <c r="I3226" s="15" t="str">
        <f>IFERROR(__xludf.DUMMYFUNCTION("GOOGLETRANSLATE(H3226,""EN"",""ES"")"),"Estrategia empresarial")</f>
        <v>Estrategia empresarial</v>
      </c>
      <c r="J3226" s="16" t="s">
        <v>35</v>
      </c>
      <c r="K3226" s="48">
        <v>0.7</v>
      </c>
      <c r="L3226" s="51" t="s">
        <v>22516</v>
      </c>
      <c r="M3226" s="34" t="s">
        <v>22517</v>
      </c>
      <c r="N3226" s="86" t="s">
        <v>22518</v>
      </c>
      <c r="O3226" s="86" t="str">
        <f>IFERROR(__xludf.DUMMYFUNCTION("GOOGLETRANSLATE(N3226,""EN"",""ES"")"),"Positivo porque refuerza la presencia de Repsol en el sector de la automoción.")</f>
        <v>Positivo porque refuerza la presencia de Repsol en el sector de la automoción.</v>
      </c>
      <c r="P3226" s="30">
        <v>0.7</v>
      </c>
      <c r="Q3226" s="18" t="str">
        <f>IFERROR(__xludf.DUMMYFUNCTION("GOOGLETRANSLATE(R3226,""ES"",""EN"")"),"agreement, unique")</f>
        <v>agreement, unique</v>
      </c>
      <c r="R3226" s="34" t="s">
        <v>22483</v>
      </c>
      <c r="S3226" s="52" t="s">
        <v>22519</v>
      </c>
      <c r="T3226" s="22" t="s">
        <v>22520</v>
      </c>
    </row>
    <row r="3227">
      <c r="A3227" s="23" t="s">
        <v>22521</v>
      </c>
      <c r="B3227" s="77" t="s">
        <v>499</v>
      </c>
      <c r="C3227" s="41">
        <v>45548.0</v>
      </c>
      <c r="D3227" s="40" t="s">
        <v>22522</v>
      </c>
      <c r="E3227" s="41" t="s">
        <v>22523</v>
      </c>
      <c r="F3227" s="43" t="s">
        <v>22524</v>
      </c>
      <c r="G3227" s="43" t="s">
        <v>22525</v>
      </c>
      <c r="H3227" s="59" t="s">
        <v>130</v>
      </c>
      <c r="I3227" s="25" t="str">
        <f>IFERROR(__xludf.DUMMYFUNCTION("GOOGLETRANSLATE(H3227,""EN"",""ES"")"),"Sostenibilidad")</f>
        <v>Sostenibilidad</v>
      </c>
      <c r="J3227" s="26" t="s">
        <v>35</v>
      </c>
      <c r="K3227" s="48">
        <v>0.7</v>
      </c>
      <c r="L3227" s="49" t="s">
        <v>22526</v>
      </c>
      <c r="M3227" s="28" t="s">
        <v>22527</v>
      </c>
      <c r="N3227" s="83" t="s">
        <v>22528</v>
      </c>
      <c r="O3227" s="83" t="str">
        <f>IFERROR(__xludf.DUMMYFUNCTION("GOOGLETRANSLATE(N3227,""EN"",""ES"")"),"Positivo por alinearse con los esfuerzos de sostenibilidad de Repsol.")</f>
        <v>Positivo por alinearse con los esfuerzos de sostenibilidad de Repsol.</v>
      </c>
      <c r="P3227" s="30">
        <v>0.8</v>
      </c>
      <c r="Q3227" s="31" t="str">
        <f>IFERROR(__xludf.DUMMYFUNCTION("GOOGLETRANSLATE(R3227,""ES"",""EN"")"),"agreement, will promote")</f>
        <v>agreement, will promote</v>
      </c>
      <c r="R3227" s="28" t="s">
        <v>22529</v>
      </c>
      <c r="S3227" s="53" t="s">
        <v>22530</v>
      </c>
      <c r="T3227" s="32" t="s">
        <v>22531</v>
      </c>
    </row>
    <row r="3228">
      <c r="A3228" s="33" t="s">
        <v>22532</v>
      </c>
      <c r="B3228" s="76" t="s">
        <v>1983</v>
      </c>
      <c r="C3228" s="41">
        <v>45548.0</v>
      </c>
      <c r="D3228" s="40" t="s">
        <v>22533</v>
      </c>
      <c r="E3228" s="41" t="s">
        <v>22534</v>
      </c>
      <c r="F3228" s="43" t="s">
        <v>22535</v>
      </c>
      <c r="G3228" s="43" t="s">
        <v>22536</v>
      </c>
      <c r="H3228" s="61" t="s">
        <v>661</v>
      </c>
      <c r="I3228" s="15" t="str">
        <f>IFERROR(__xludf.DUMMYFUNCTION("GOOGLETRANSLATE(H3228,""EN"",""ES"")"),"Estrategia empresarial")</f>
        <v>Estrategia empresarial</v>
      </c>
      <c r="J3228" s="16" t="s">
        <v>35</v>
      </c>
      <c r="K3228" s="48">
        <v>-0.6</v>
      </c>
      <c r="L3228" s="51" t="s">
        <v>19885</v>
      </c>
      <c r="M3228" s="34" t="s">
        <v>19886</v>
      </c>
      <c r="N3228" s="86" t="s">
        <v>22537</v>
      </c>
      <c r="O3228" s="86" t="str">
        <f>IFERROR(__xludf.DUMMYFUNCTION("GOOGLETRANSLATE(N3228,""EN"",""ES"")"),"Negativo ya que indica incertidumbre en un mercado clave.")</f>
        <v>Negativo ya que indica incertidumbre en un mercado clave.</v>
      </c>
      <c r="P3228" s="30">
        <v>-0.4</v>
      </c>
      <c r="Q3228" s="18" t="str">
        <f>IFERROR(__xludf.DUMMYFUNCTION("GOOGLETRANSLATE(R3228,""ES"",""EN"")"),"strain")</f>
        <v>strain</v>
      </c>
      <c r="R3228" s="34" t="s">
        <v>22538</v>
      </c>
      <c r="S3228" s="52" t="s">
        <v>22468</v>
      </c>
      <c r="T3228" s="22" t="s">
        <v>22469</v>
      </c>
    </row>
    <row r="3229">
      <c r="A3229" s="23" t="s">
        <v>22539</v>
      </c>
      <c r="B3229" s="77" t="s">
        <v>85</v>
      </c>
      <c r="C3229" s="41">
        <v>45548.0</v>
      </c>
      <c r="D3229" s="40" t="s">
        <v>22540</v>
      </c>
      <c r="E3229" s="41" t="s">
        <v>22541</v>
      </c>
      <c r="F3229" s="43" t="s">
        <v>22542</v>
      </c>
      <c r="G3229" s="43" t="s">
        <v>22543</v>
      </c>
      <c r="H3229" s="59" t="s">
        <v>661</v>
      </c>
      <c r="I3229" s="25" t="str">
        <f>IFERROR(__xludf.DUMMYFUNCTION("GOOGLETRANSLATE(H3229,""EN"",""ES"")"),"Estrategia empresarial")</f>
        <v>Estrategia empresarial</v>
      </c>
      <c r="J3229" s="26" t="s">
        <v>35</v>
      </c>
      <c r="K3229" s="48">
        <v>0.7</v>
      </c>
      <c r="L3229" s="49" t="s">
        <v>22480</v>
      </c>
      <c r="M3229" s="28" t="s">
        <v>22481</v>
      </c>
      <c r="N3229" s="83" t="s">
        <v>22544</v>
      </c>
      <c r="O3229" s="83" t="str">
        <f>IFERROR(__xludf.DUMMYFUNCTION("GOOGLETRANSLATE(N3229,""EN"",""ES"")"),"Positivo debido a la expansión de las asociaciones de energía renovable.")</f>
        <v>Positivo debido a la expansión de las asociaciones de energía renovable.</v>
      </c>
      <c r="P3229" s="30">
        <v>0.7</v>
      </c>
      <c r="Q3229" s="31" t="str">
        <f>IFERROR(__xludf.DUMMYFUNCTION("GOOGLETRANSLATE(R3229,""ES"",""EN"")"),"agree, renewable")</f>
        <v>agree, renewable</v>
      </c>
      <c r="R3229" s="28" t="s">
        <v>22545</v>
      </c>
      <c r="S3229" s="53" t="s">
        <v>18075</v>
      </c>
      <c r="T3229" s="32" t="s">
        <v>18076</v>
      </c>
    </row>
    <row r="3230">
      <c r="A3230" s="33" t="s">
        <v>22546</v>
      </c>
      <c r="B3230" s="76" t="s">
        <v>9615</v>
      </c>
      <c r="C3230" s="41">
        <v>45548.0</v>
      </c>
      <c r="D3230" s="40" t="s">
        <v>22547</v>
      </c>
      <c r="E3230" s="41" t="s">
        <v>22548</v>
      </c>
      <c r="F3230" s="43" t="s">
        <v>22549</v>
      </c>
      <c r="G3230" s="43" t="s">
        <v>22550</v>
      </c>
      <c r="H3230" s="61" t="s">
        <v>2591</v>
      </c>
      <c r="I3230" s="15" t="str">
        <f>IFERROR(__xludf.DUMMYFUNCTION("GOOGLETRANSLATE(H3230,""EN"",""ES"")"),"Negocio")</f>
        <v>Negocio</v>
      </c>
      <c r="J3230" s="16" t="s">
        <v>27</v>
      </c>
      <c r="K3230" s="17">
        <v>0.0</v>
      </c>
      <c r="L3230" s="45"/>
      <c r="M3230" s="18"/>
      <c r="N3230" s="86"/>
      <c r="O3230" s="86"/>
      <c r="P3230" s="20">
        <v>0.0</v>
      </c>
      <c r="Q3230" s="18"/>
      <c r="R3230" s="18"/>
      <c r="S3230" s="52"/>
      <c r="T3230" s="22"/>
    </row>
    <row r="3231">
      <c r="A3231" s="23" t="s">
        <v>22551</v>
      </c>
      <c r="B3231" s="77" t="s">
        <v>22552</v>
      </c>
      <c r="C3231" s="41">
        <v>45548.0</v>
      </c>
      <c r="D3231" s="40" t="s">
        <v>22553</v>
      </c>
      <c r="E3231" s="41" t="s">
        <v>22553</v>
      </c>
      <c r="F3231" s="43" t="s">
        <v>22554</v>
      </c>
      <c r="G3231" s="43" t="s">
        <v>22554</v>
      </c>
      <c r="H3231" s="59" t="s">
        <v>661</v>
      </c>
      <c r="I3231" s="25" t="str">
        <f>IFERROR(__xludf.DUMMYFUNCTION("GOOGLETRANSLATE(H3231,""EN"",""ES"")"),"Estrategia empresarial")</f>
        <v>Estrategia empresarial</v>
      </c>
      <c r="J3231" s="26" t="s">
        <v>35</v>
      </c>
      <c r="K3231" s="48">
        <v>-0.5</v>
      </c>
      <c r="L3231" s="49" t="s">
        <v>21743</v>
      </c>
      <c r="M3231" s="28" t="s">
        <v>21744</v>
      </c>
      <c r="N3231" s="83" t="s">
        <v>22555</v>
      </c>
      <c r="O3231" s="83" t="str">
        <f>IFERROR(__xludf.DUMMYFUNCTION("GOOGLETRANSLATE(N3231,""EN"",""ES"")"),"Negativo debido a la preocupación por la competencia de estaciones de bajo coste.")</f>
        <v>Negativo debido a la preocupación por la competencia de estaciones de bajo coste.</v>
      </c>
      <c r="P3231" s="30">
        <v>-0.3</v>
      </c>
      <c r="Q3231" s="31" t="str">
        <f>IFERROR(__xludf.DUMMYFUNCTION("GOOGLETRANSLATE(R3231,""ES"",""EN"")"),"nerves")</f>
        <v>nerves</v>
      </c>
      <c r="R3231" s="28" t="s">
        <v>22556</v>
      </c>
      <c r="S3231" s="53" t="s">
        <v>22557</v>
      </c>
      <c r="T3231" s="32" t="s">
        <v>22558</v>
      </c>
    </row>
    <row r="3232">
      <c r="A3232" s="33" t="s">
        <v>22559</v>
      </c>
      <c r="B3232" s="76" t="s">
        <v>3992</v>
      </c>
      <c r="C3232" s="41">
        <v>45548.0</v>
      </c>
      <c r="D3232" s="40" t="s">
        <v>22560</v>
      </c>
      <c r="E3232" s="41" t="s">
        <v>22561</v>
      </c>
      <c r="F3232" s="43" t="s">
        <v>22562</v>
      </c>
      <c r="G3232" s="43" t="s">
        <v>22563</v>
      </c>
      <c r="H3232" s="61" t="s">
        <v>661</v>
      </c>
      <c r="I3232" s="15" t="str">
        <f>IFERROR(__xludf.DUMMYFUNCTION("GOOGLETRANSLATE(H3232,""EN"",""ES"")"),"Estrategia empresarial")</f>
        <v>Estrategia empresarial</v>
      </c>
      <c r="J3232" s="16" t="s">
        <v>35</v>
      </c>
      <c r="K3232" s="48">
        <v>-0.6</v>
      </c>
      <c r="L3232" s="51" t="s">
        <v>19885</v>
      </c>
      <c r="M3232" s="34" t="s">
        <v>19886</v>
      </c>
      <c r="N3232" s="86" t="s">
        <v>22564</v>
      </c>
      <c r="O3232" s="86" t="str">
        <f>IFERROR(__xludf.DUMMYFUNCTION("GOOGLETRANSLATE(N3232,""EN"",""ES"")"),"Negativo debido a preocupaciones geopolíticas y dependencia de las importaciones.")</f>
        <v>Negativo debido a preocupaciones geopolíticas y dependencia de las importaciones.</v>
      </c>
      <c r="P3232" s="30">
        <v>-0.4</v>
      </c>
      <c r="Q3232" s="18" t="str">
        <f>IFERROR(__xludf.DUMMYFUNCTION("GOOGLETRANSLATE(R3232,""ES"",""EN"")"),"crossroads")</f>
        <v>crossroads</v>
      </c>
      <c r="R3232" s="34" t="s">
        <v>22565</v>
      </c>
      <c r="S3232" s="52" t="s">
        <v>22566</v>
      </c>
      <c r="T3232" s="22" t="s">
        <v>22567</v>
      </c>
    </row>
    <row r="3233">
      <c r="A3233" s="23" t="s">
        <v>22568</v>
      </c>
      <c r="B3233" s="77" t="s">
        <v>50</v>
      </c>
      <c r="C3233" s="41">
        <v>45548.0</v>
      </c>
      <c r="D3233" s="40" t="s">
        <v>22569</v>
      </c>
      <c r="E3233" s="41" t="s">
        <v>22570</v>
      </c>
      <c r="F3233" s="43" t="s">
        <v>22571</v>
      </c>
      <c r="G3233" s="43" t="s">
        <v>22572</v>
      </c>
      <c r="H3233" s="59" t="s">
        <v>130</v>
      </c>
      <c r="I3233" s="25" t="str">
        <f>IFERROR(__xludf.DUMMYFUNCTION("GOOGLETRANSLATE(H3233,""EN"",""ES"")"),"Sostenibilidad")</f>
        <v>Sostenibilidad</v>
      </c>
      <c r="J3233" s="26" t="s">
        <v>35</v>
      </c>
      <c r="K3233" s="48">
        <v>0.6</v>
      </c>
      <c r="L3233" s="49" t="s">
        <v>22573</v>
      </c>
      <c r="M3233" s="28" t="s">
        <v>22574</v>
      </c>
      <c r="N3233" s="83" t="s">
        <v>22575</v>
      </c>
      <c r="O3233" s="83" t="str">
        <f>IFERROR(__xludf.DUMMYFUNCTION("GOOGLETRANSLATE(N3233,""EN"",""ES"")"),"Positivo por su iniciativa medioambiental.")</f>
        <v>Positivo por su iniciativa medioambiental.</v>
      </c>
      <c r="P3233" s="30">
        <v>0.5</v>
      </c>
      <c r="Q3233" s="31" t="str">
        <f>IFERROR(__xludf.DUMMYFUNCTION("GOOGLETRANSLATE(R3233,""ES"",""EN"")"),"give away")</f>
        <v>give away</v>
      </c>
      <c r="R3233" s="28" t="s">
        <v>14239</v>
      </c>
      <c r="S3233" s="53" t="s">
        <v>22576</v>
      </c>
      <c r="T3233" s="32" t="s">
        <v>22577</v>
      </c>
    </row>
    <row r="3234">
      <c r="A3234" s="33" t="s">
        <v>22578</v>
      </c>
      <c r="B3234" s="76" t="s">
        <v>217</v>
      </c>
      <c r="C3234" s="41">
        <v>45548.0</v>
      </c>
      <c r="D3234" s="40" t="s">
        <v>22579</v>
      </c>
      <c r="E3234" s="41" t="s">
        <v>22580</v>
      </c>
      <c r="F3234" s="43" t="s">
        <v>22581</v>
      </c>
      <c r="G3234" s="43" t="s">
        <v>22582</v>
      </c>
      <c r="H3234" s="61" t="s">
        <v>661</v>
      </c>
      <c r="I3234" s="15" t="str">
        <f>IFERROR(__xludf.DUMMYFUNCTION("GOOGLETRANSLATE(H3234,""EN"",""ES"")"),"Estrategia empresarial")</f>
        <v>Estrategia empresarial</v>
      </c>
      <c r="J3234" s="16" t="s">
        <v>27</v>
      </c>
      <c r="K3234" s="17">
        <v>0.0</v>
      </c>
      <c r="L3234" s="45"/>
      <c r="M3234" s="18"/>
      <c r="N3234" s="86"/>
      <c r="O3234" s="86"/>
      <c r="P3234" s="20">
        <v>0.0</v>
      </c>
      <c r="Q3234" s="18"/>
      <c r="R3234" s="18"/>
      <c r="S3234" s="52"/>
      <c r="T3234" s="22"/>
    </row>
    <row r="3235">
      <c r="A3235" s="23" t="s">
        <v>22583</v>
      </c>
      <c r="B3235" s="77" t="s">
        <v>2008</v>
      </c>
      <c r="C3235" s="41">
        <v>45548.0</v>
      </c>
      <c r="D3235" s="40" t="s">
        <v>22584</v>
      </c>
      <c r="E3235" s="41" t="s">
        <v>22585</v>
      </c>
      <c r="F3235" s="43" t="s">
        <v>22586</v>
      </c>
      <c r="G3235" s="43" t="s">
        <v>22587</v>
      </c>
      <c r="H3235" s="59" t="s">
        <v>661</v>
      </c>
      <c r="I3235" s="25" t="str">
        <f>IFERROR(__xludf.DUMMYFUNCTION("GOOGLETRANSLATE(H3235,""EN"",""ES"")"),"Estrategia empresarial")</f>
        <v>Estrategia empresarial</v>
      </c>
      <c r="J3235" s="26" t="s">
        <v>35</v>
      </c>
      <c r="K3235" s="48">
        <v>-0.6</v>
      </c>
      <c r="L3235" s="49" t="s">
        <v>19885</v>
      </c>
      <c r="M3235" s="28" t="s">
        <v>19886</v>
      </c>
      <c r="N3235" s="83" t="s">
        <v>22588</v>
      </c>
      <c r="O3235" s="83" t="str">
        <f>IFERROR(__xludf.DUMMYFUNCTION("GOOGLETRANSLATE(N3235,""EN"",""ES"")"),"Negativo por el impacto de la crisis diplomática en las empresas.")</f>
        <v>Negativo por el impacto de la crisis diplomática en las empresas.</v>
      </c>
      <c r="P3235" s="30">
        <v>-0.4</v>
      </c>
      <c r="Q3235" s="31" t="str">
        <f>IFERROR(__xludf.DUMMYFUNCTION("GOOGLETRANSLATE(R3235,""ES"",""EN"")"),"trapped")</f>
        <v>trapped</v>
      </c>
      <c r="R3235" s="28" t="s">
        <v>22589</v>
      </c>
      <c r="S3235" s="53" t="s">
        <v>22590</v>
      </c>
      <c r="T3235" s="32" t="s">
        <v>22591</v>
      </c>
    </row>
    <row r="3236">
      <c r="A3236" s="33" t="s">
        <v>22592</v>
      </c>
      <c r="B3236" s="76" t="s">
        <v>91</v>
      </c>
      <c r="C3236" s="41">
        <v>45548.0</v>
      </c>
      <c r="D3236" s="40" t="s">
        <v>22593</v>
      </c>
      <c r="E3236" s="41" t="s">
        <v>22594</v>
      </c>
      <c r="F3236" s="43" t="s">
        <v>22595</v>
      </c>
      <c r="G3236" s="43" t="s">
        <v>22596</v>
      </c>
      <c r="H3236" s="61" t="s">
        <v>661</v>
      </c>
      <c r="I3236" s="15" t="str">
        <f>IFERROR(__xludf.DUMMYFUNCTION("GOOGLETRANSLATE(H3236,""EN"",""ES"")"),"Estrategia empresarial")</f>
        <v>Estrategia empresarial</v>
      </c>
      <c r="J3236" s="16" t="s">
        <v>35</v>
      </c>
      <c r="K3236" s="48">
        <v>-0.7</v>
      </c>
      <c r="L3236" s="51" t="s">
        <v>19885</v>
      </c>
      <c r="M3236" s="34" t="s">
        <v>19886</v>
      </c>
      <c r="N3236" s="86" t="s">
        <v>22597</v>
      </c>
      <c r="O3236" s="86" t="str">
        <f>IFERROR(__xludf.DUMMYFUNCTION("GOOGLETRANSLATE(N3236,""EN"",""ES"")"),"Altamente negativo por inestabilidad política y amenazas contra Repsol.")</f>
        <v>Altamente negativo por inestabilidad política y amenazas contra Repsol.</v>
      </c>
      <c r="P3236" s="30">
        <v>-0.7</v>
      </c>
      <c r="Q3236" s="18" t="str">
        <f>IFERROR(__xludf.DUMMYFUNCTION("GOOGLETRANSLATE(R3236,""ES"",""EN"")"),"throw")</f>
        <v>throw</v>
      </c>
      <c r="R3236" s="34" t="s">
        <v>22598</v>
      </c>
      <c r="S3236" s="52" t="s">
        <v>22599</v>
      </c>
      <c r="T3236" s="22" t="s">
        <v>22600</v>
      </c>
    </row>
    <row r="3237">
      <c r="A3237" s="23" t="s">
        <v>22601</v>
      </c>
      <c r="B3237" s="77" t="s">
        <v>85</v>
      </c>
      <c r="C3237" s="41">
        <v>45548.0</v>
      </c>
      <c r="D3237" s="40" t="s">
        <v>22602</v>
      </c>
      <c r="E3237" s="41" t="s">
        <v>22603</v>
      </c>
      <c r="F3237" s="43" t="s">
        <v>22604</v>
      </c>
      <c r="G3237" s="43" t="s">
        <v>22605</v>
      </c>
      <c r="H3237" s="59" t="s">
        <v>661</v>
      </c>
      <c r="I3237" s="25" t="str">
        <f>IFERROR(__xludf.DUMMYFUNCTION("GOOGLETRANSLATE(H3237,""EN"",""ES"")"),"Estrategia empresarial")</f>
        <v>Estrategia empresarial</v>
      </c>
      <c r="J3237" s="26" t="s">
        <v>35</v>
      </c>
      <c r="K3237" s="48">
        <v>0.5</v>
      </c>
      <c r="L3237" s="49" t="s">
        <v>22606</v>
      </c>
      <c r="M3237" s="28" t="s">
        <v>22607</v>
      </c>
      <c r="N3237" s="83" t="s">
        <v>22608</v>
      </c>
      <c r="O3237" s="83" t="str">
        <f>IFERROR(__xludf.DUMMYFUNCTION("GOOGLETRANSLATE(N3237,""EN"",""ES"")"),"Ligeramente positivo por el papel estratégico de Repsol en el suministro energético.")</f>
        <v>Ligeramente positivo por el papel estratégico de Repsol en el suministro energético.</v>
      </c>
      <c r="P3237" s="30">
        <v>-0.6</v>
      </c>
      <c r="Q3237" s="31" t="str">
        <f>IFERROR(__xludf.DUMMYFUNCTION("GOOGLETRANSLATE(R3237,""ES"",""EN"")"),"cuts, breaks")</f>
        <v>cuts, breaks</v>
      </c>
      <c r="R3237" s="28" t="s">
        <v>22609</v>
      </c>
      <c r="S3237" s="53" t="s">
        <v>22610</v>
      </c>
      <c r="T3237" s="32" t="s">
        <v>22611</v>
      </c>
    </row>
    <row r="3238">
      <c r="A3238" s="33" t="s">
        <v>22612</v>
      </c>
      <c r="B3238" s="76" t="s">
        <v>22613</v>
      </c>
      <c r="C3238" s="41">
        <v>45548.0</v>
      </c>
      <c r="D3238" s="40" t="s">
        <v>22614</v>
      </c>
      <c r="E3238" s="41" t="s">
        <v>22615</v>
      </c>
      <c r="F3238" s="43" t="s">
        <v>22616</v>
      </c>
      <c r="G3238" s="43" t="s">
        <v>22617</v>
      </c>
      <c r="H3238" s="61" t="s">
        <v>661</v>
      </c>
      <c r="I3238" s="15" t="str">
        <f>IFERROR(__xludf.DUMMYFUNCTION("GOOGLETRANSLATE(H3238,""EN"",""ES"")"),"Estrategia empresarial")</f>
        <v>Estrategia empresarial</v>
      </c>
      <c r="J3238" s="16" t="s">
        <v>35</v>
      </c>
      <c r="K3238" s="48">
        <v>0.5</v>
      </c>
      <c r="L3238" s="51" t="s">
        <v>22618</v>
      </c>
      <c r="M3238" s="34" t="s">
        <v>22619</v>
      </c>
      <c r="N3238" s="86" t="s">
        <v>22620</v>
      </c>
      <c r="O3238" s="86" t="str">
        <f>IFERROR(__xludf.DUMMYFUNCTION("GOOGLETRANSLATE(N3238,""EN"",""ES"")"),"Ligeramente positivo ya que indica un diálogo abierto a pesar de las tensiones.")</f>
        <v>Ligeramente positivo ya que indica un diálogo abierto a pesar de las tensiones.</v>
      </c>
      <c r="P3238" s="30">
        <v>0.0</v>
      </c>
      <c r="Q3238" s="18"/>
      <c r="R3238" s="18"/>
      <c r="S3238" s="52" t="s">
        <v>22621</v>
      </c>
      <c r="T3238" s="22" t="s">
        <v>22622</v>
      </c>
    </row>
    <row r="3239">
      <c r="A3239" s="23" t="s">
        <v>22623</v>
      </c>
      <c r="B3239" s="77" t="s">
        <v>5880</v>
      </c>
      <c r="C3239" s="41">
        <v>45548.0</v>
      </c>
      <c r="D3239" s="40" t="s">
        <v>22624</v>
      </c>
      <c r="E3239" s="41" t="s">
        <v>22625</v>
      </c>
      <c r="F3239" s="43" t="s">
        <v>22626</v>
      </c>
      <c r="G3239" s="43" t="s">
        <v>22627</v>
      </c>
      <c r="H3239" s="59" t="s">
        <v>661</v>
      </c>
      <c r="I3239" s="25" t="str">
        <f>IFERROR(__xludf.DUMMYFUNCTION("GOOGLETRANSLATE(H3239,""EN"",""ES"")"),"Estrategia empresarial")</f>
        <v>Estrategia empresarial</v>
      </c>
      <c r="J3239" s="26" t="s">
        <v>35</v>
      </c>
      <c r="K3239" s="48">
        <v>0.5</v>
      </c>
      <c r="L3239" s="49" t="s">
        <v>22618</v>
      </c>
      <c r="M3239" s="28" t="s">
        <v>22619</v>
      </c>
      <c r="N3239" s="83" t="s">
        <v>22628</v>
      </c>
      <c r="O3239" s="83" t="str">
        <f>IFERROR(__xludf.DUMMYFUNCTION("GOOGLETRANSLATE(N3239,""EN"",""ES"")"),"Ligeramente positivo debido a las negociaciones continuas.")</f>
        <v>Ligeramente positivo debido a las negociaciones continuas.</v>
      </c>
      <c r="P3239" s="30">
        <v>0.0</v>
      </c>
      <c r="Q3239" s="31"/>
      <c r="R3239" s="31"/>
      <c r="S3239" s="53" t="s">
        <v>22621</v>
      </c>
      <c r="T3239" s="32" t="s">
        <v>22622</v>
      </c>
    </row>
    <row r="3240">
      <c r="A3240" s="33" t="s">
        <v>22629</v>
      </c>
      <c r="B3240" s="76" t="s">
        <v>85</v>
      </c>
      <c r="C3240" s="41">
        <v>45548.0</v>
      </c>
      <c r="D3240" s="40" t="s">
        <v>22630</v>
      </c>
      <c r="E3240" s="41" t="s">
        <v>22631</v>
      </c>
      <c r="F3240" s="43" t="s">
        <v>22632</v>
      </c>
      <c r="G3240" s="43" t="s">
        <v>22633</v>
      </c>
      <c r="H3240" s="61" t="s">
        <v>148</v>
      </c>
      <c r="I3240" s="15" t="str">
        <f>IFERROR(__xludf.DUMMYFUNCTION("GOOGLETRANSLATE(H3240,""EN"",""ES"")"),"Gastronomía")</f>
        <v>Gastronomía</v>
      </c>
      <c r="J3240" s="16" t="s">
        <v>27</v>
      </c>
      <c r="K3240" s="17">
        <v>0.0</v>
      </c>
      <c r="L3240" s="45"/>
      <c r="M3240" s="18"/>
      <c r="N3240" s="86"/>
      <c r="O3240" s="86"/>
      <c r="P3240" s="20">
        <v>0.0</v>
      </c>
      <c r="Q3240" s="18"/>
      <c r="R3240" s="18"/>
      <c r="S3240" s="52"/>
      <c r="T3240" s="22"/>
    </row>
    <row r="3241">
      <c r="A3241" s="23" t="s">
        <v>22634</v>
      </c>
      <c r="B3241" s="77" t="s">
        <v>674</v>
      </c>
      <c r="C3241" s="41">
        <v>45549.0</v>
      </c>
      <c r="D3241" s="40" t="s">
        <v>22635</v>
      </c>
      <c r="E3241" s="41" t="s">
        <v>22636</v>
      </c>
      <c r="F3241" s="43" t="s">
        <v>22637</v>
      </c>
      <c r="G3241" s="43" t="s">
        <v>22638</v>
      </c>
      <c r="H3241" s="59" t="s">
        <v>661</v>
      </c>
      <c r="I3241" s="25" t="str">
        <f>IFERROR(__xludf.DUMMYFUNCTION("GOOGLETRANSLATE(H3241,""EN"",""ES"")"),"Estrategia empresarial")</f>
        <v>Estrategia empresarial</v>
      </c>
      <c r="J3241" s="26" t="s">
        <v>35</v>
      </c>
      <c r="K3241" s="48">
        <v>0.7</v>
      </c>
      <c r="L3241" s="49" t="s">
        <v>22516</v>
      </c>
      <c r="M3241" s="28" t="s">
        <v>22517</v>
      </c>
      <c r="N3241" s="83" t="s">
        <v>22639</v>
      </c>
      <c r="O3241" s="83" t="str">
        <f>IFERROR(__xludf.DUMMYFUNCTION("GOOGLETRANSLATE(N3241,""EN"",""ES"")"),"Positivo debido a la expansión hacia asociaciones internacionales.")</f>
        <v>Positivo debido a la expansión hacia asociaciones internacionales.</v>
      </c>
      <c r="P3241" s="30">
        <v>0.6</v>
      </c>
      <c r="Q3241" s="31" t="str">
        <f>IFERROR(__xludf.DUMMYFUNCTION("GOOGLETRANSLATE(R3241,""ES"",""EN"")"),"join forces")</f>
        <v>join forces</v>
      </c>
      <c r="R3241" s="28" t="s">
        <v>22640</v>
      </c>
      <c r="S3241" s="53" t="s">
        <v>22641</v>
      </c>
      <c r="T3241" s="32" t="s">
        <v>22642</v>
      </c>
    </row>
    <row r="3242">
      <c r="A3242" s="33" t="s">
        <v>22643</v>
      </c>
      <c r="B3242" s="76" t="s">
        <v>2442</v>
      </c>
      <c r="C3242" s="41">
        <v>45549.0</v>
      </c>
      <c r="D3242" s="40" t="s">
        <v>22644</v>
      </c>
      <c r="E3242" s="41" t="s">
        <v>22645</v>
      </c>
      <c r="F3242" s="43" t="s">
        <v>22646</v>
      </c>
      <c r="G3242" s="43" t="s">
        <v>22647</v>
      </c>
      <c r="H3242" s="61" t="s">
        <v>661</v>
      </c>
      <c r="I3242" s="15" t="str">
        <f>IFERROR(__xludf.DUMMYFUNCTION("GOOGLETRANSLATE(H3242,""EN"",""ES"")"),"Estrategia empresarial")</f>
        <v>Estrategia empresarial</v>
      </c>
      <c r="J3242" s="16" t="s">
        <v>35</v>
      </c>
      <c r="K3242" s="48">
        <v>0.5</v>
      </c>
      <c r="L3242" s="51" t="s">
        <v>22618</v>
      </c>
      <c r="M3242" s="34" t="s">
        <v>22619</v>
      </c>
      <c r="N3242" s="86" t="s">
        <v>22648</v>
      </c>
      <c r="O3242" s="86" t="str">
        <f>IFERROR(__xludf.DUMMYFUNCTION("GOOGLETRANSLATE(N3242,""EN"",""ES"")"),"Ligeramente positivo ya que sugiere esfuerzos diplomáticos para mitigar las tensiones.")</f>
        <v>Ligeramente positivo ya que sugiere esfuerzos diplomáticos para mitigar las tensiones.</v>
      </c>
      <c r="P3242" s="30">
        <v>-0.3</v>
      </c>
      <c r="Q3242" s="18" t="str">
        <f>IFERROR(__xludf.DUMMYFUNCTION("GOOGLETRANSLATE(R3242,""ES"",""EN"")"),"crisis")</f>
        <v>crisis</v>
      </c>
      <c r="R3242" s="34" t="s">
        <v>22649</v>
      </c>
      <c r="S3242" s="52" t="s">
        <v>22509</v>
      </c>
      <c r="T3242" s="22" t="s">
        <v>22510</v>
      </c>
    </row>
    <row r="3243">
      <c r="A3243" s="23" t="s">
        <v>22650</v>
      </c>
      <c r="B3243" s="77" t="s">
        <v>22651</v>
      </c>
      <c r="C3243" s="41">
        <v>45549.0</v>
      </c>
      <c r="D3243" s="40" t="s">
        <v>22652</v>
      </c>
      <c r="E3243" s="41" t="s">
        <v>22653</v>
      </c>
      <c r="F3243" s="43" t="s">
        <v>22654</v>
      </c>
      <c r="G3243" s="43" t="s">
        <v>22655</v>
      </c>
      <c r="H3243" s="59" t="s">
        <v>661</v>
      </c>
      <c r="I3243" s="25" t="str">
        <f>IFERROR(__xludf.DUMMYFUNCTION("GOOGLETRANSLATE(H3243,""EN"",""ES"")"),"Estrategia empresarial")</f>
        <v>Estrategia empresarial</v>
      </c>
      <c r="J3243" s="26" t="s">
        <v>35</v>
      </c>
      <c r="K3243" s="48">
        <v>0.6</v>
      </c>
      <c r="L3243" s="49" t="s">
        <v>22656</v>
      </c>
      <c r="M3243" s="28" t="s">
        <v>22657</v>
      </c>
      <c r="N3243" s="83" t="s">
        <v>22658</v>
      </c>
      <c r="O3243" s="83" t="str">
        <f>IFERROR(__xludf.DUMMYFUNCTION("GOOGLETRANSLATE(N3243,""EN"",""ES"")"),"Positivo por el compromiso con diversas soluciones energéticas.")</f>
        <v>Positivo por el compromiso con diversas soluciones energéticas.</v>
      </c>
      <c r="P3243" s="30">
        <v>0.4</v>
      </c>
      <c r="Q3243" s="31" t="str">
        <f>IFERROR(__xludf.DUMMYFUNCTION("GOOGLETRANSLATE(R3243,""ES"",""EN"")"),"advocate")</f>
        <v>advocate</v>
      </c>
      <c r="R3243" s="28" t="s">
        <v>22659</v>
      </c>
      <c r="S3243" s="53" t="s">
        <v>22660</v>
      </c>
      <c r="T3243" s="32" t="s">
        <v>22661</v>
      </c>
    </row>
    <row r="3244">
      <c r="A3244" s="33" t="s">
        <v>22662</v>
      </c>
      <c r="B3244" s="76" t="s">
        <v>1970</v>
      </c>
      <c r="C3244" s="41">
        <v>45549.0</v>
      </c>
      <c r="D3244" s="40" t="s">
        <v>22663</v>
      </c>
      <c r="E3244" s="41" t="s">
        <v>22664</v>
      </c>
      <c r="F3244" s="43" t="s">
        <v>22665</v>
      </c>
      <c r="G3244" s="43" t="s">
        <v>22666</v>
      </c>
      <c r="H3244" s="61" t="s">
        <v>661</v>
      </c>
      <c r="I3244" s="15" t="str">
        <f>IFERROR(__xludf.DUMMYFUNCTION("GOOGLETRANSLATE(H3244,""EN"",""ES"")"),"Estrategia empresarial")</f>
        <v>Estrategia empresarial</v>
      </c>
      <c r="J3244" s="16" t="s">
        <v>35</v>
      </c>
      <c r="K3244" s="48">
        <v>0.5</v>
      </c>
      <c r="L3244" s="51" t="s">
        <v>22618</v>
      </c>
      <c r="M3244" s="34" t="s">
        <v>22619</v>
      </c>
      <c r="N3244" s="86" t="s">
        <v>22667</v>
      </c>
      <c r="O3244" s="86" t="str">
        <f>IFERROR(__xludf.DUMMYFUNCTION("GOOGLETRANSLATE(N3244,""EN"",""ES"")"),"Ligeramente positivo ya que sugiere un esfuerzo por estabilizar las relaciones comerciales.")</f>
        <v>Ligeramente positivo ya que sugiere un esfuerzo por estabilizar las relaciones comerciales.</v>
      </c>
      <c r="P3244" s="30">
        <v>0.2</v>
      </c>
      <c r="Q3244" s="18" t="str">
        <f>IFERROR(__xludf.DUMMYFUNCTION("GOOGLETRANSLATE(R3244,""ES"",""EN"")"),"reassure")</f>
        <v>reassure</v>
      </c>
      <c r="R3244" s="34" t="s">
        <v>22668</v>
      </c>
      <c r="S3244" s="52" t="s">
        <v>22669</v>
      </c>
      <c r="T3244" s="22" t="s">
        <v>22670</v>
      </c>
    </row>
    <row r="3245">
      <c r="A3245" s="23" t="s">
        <v>22671</v>
      </c>
      <c r="B3245" s="77" t="s">
        <v>5959</v>
      </c>
      <c r="C3245" s="41">
        <v>45549.0</v>
      </c>
      <c r="D3245" s="40" t="s">
        <v>22672</v>
      </c>
      <c r="E3245" s="41" t="s">
        <v>22673</v>
      </c>
      <c r="F3245" s="43" t="s">
        <v>22674</v>
      </c>
      <c r="G3245" s="43" t="s">
        <v>22675</v>
      </c>
      <c r="H3245" s="59" t="s">
        <v>661</v>
      </c>
      <c r="I3245" s="25" t="str">
        <f>IFERROR(__xludf.DUMMYFUNCTION("GOOGLETRANSLATE(H3245,""EN"",""ES"")"),"Estrategia empresarial")</f>
        <v>Estrategia empresarial</v>
      </c>
      <c r="J3245" s="26" t="s">
        <v>35</v>
      </c>
      <c r="K3245" s="48">
        <v>0.5</v>
      </c>
      <c r="L3245" s="49" t="s">
        <v>22618</v>
      </c>
      <c r="M3245" s="28" t="s">
        <v>22619</v>
      </c>
      <c r="N3245" s="83" t="s">
        <v>22676</v>
      </c>
      <c r="O3245" s="83" t="str">
        <f>IFERROR(__xludf.DUMMYFUNCTION("GOOGLETRANSLATE(N3245,""EN"",""ES"")"),"Ligeramente positivo debido al diálogo continuo.")</f>
        <v>Ligeramente positivo debido al diálogo continuo.</v>
      </c>
      <c r="P3245" s="30">
        <v>-0.3</v>
      </c>
      <c r="Q3245" s="31" t="str">
        <f>IFERROR(__xludf.DUMMYFUNCTION("GOOGLETRANSLATE(R3245,""ES"",""EN"")"),"crisis")</f>
        <v>crisis</v>
      </c>
      <c r="R3245" s="28" t="s">
        <v>22649</v>
      </c>
      <c r="S3245" s="53" t="s">
        <v>22677</v>
      </c>
      <c r="T3245" s="32" t="s">
        <v>22678</v>
      </c>
    </row>
    <row r="3246">
      <c r="A3246" s="33" t="s">
        <v>22679</v>
      </c>
      <c r="B3246" s="76" t="s">
        <v>3992</v>
      </c>
      <c r="C3246" s="41">
        <v>45549.0</v>
      </c>
      <c r="D3246" s="40" t="s">
        <v>22680</v>
      </c>
      <c r="E3246" s="41" t="s">
        <v>22681</v>
      </c>
      <c r="F3246" s="43" t="s">
        <v>22682</v>
      </c>
      <c r="G3246" s="43" t="s">
        <v>22683</v>
      </c>
      <c r="H3246" s="61" t="s">
        <v>661</v>
      </c>
      <c r="I3246" s="15" t="str">
        <f>IFERROR(__xludf.DUMMYFUNCTION("GOOGLETRANSLATE(H3246,""EN"",""ES"")"),"Estrategia empresarial")</f>
        <v>Estrategia empresarial</v>
      </c>
      <c r="J3246" s="16" t="s">
        <v>35</v>
      </c>
      <c r="K3246" s="48">
        <v>0.5</v>
      </c>
      <c r="L3246" s="51" t="s">
        <v>22618</v>
      </c>
      <c r="M3246" s="34" t="s">
        <v>22619</v>
      </c>
      <c r="N3246" s="86" t="s">
        <v>22684</v>
      </c>
      <c r="O3246" s="86" t="str">
        <f>IFERROR(__xludf.DUMMYFUNCTION("GOOGLETRANSLATE(N3246,""EN"",""ES"")"),"Ligeramente positivo ya que indica una exención de Repsol de las tensiones políticas.")</f>
        <v>Ligeramente positivo ya que indica una exención de Repsol de las tensiones políticas.</v>
      </c>
      <c r="P3246" s="30">
        <v>0.3</v>
      </c>
      <c r="Q3246" s="18" t="str">
        <f>IFERROR(__xludf.DUMMYFUNCTION("GOOGLETRANSLATE(R3246,""ES"",""EN"")"),"cooperate")</f>
        <v>cooperate</v>
      </c>
      <c r="R3246" s="34" t="s">
        <v>22685</v>
      </c>
      <c r="S3246" s="52" t="s">
        <v>22686</v>
      </c>
      <c r="T3246" s="22" t="s">
        <v>22687</v>
      </c>
    </row>
    <row r="3247">
      <c r="A3247" s="23" t="s">
        <v>22688</v>
      </c>
      <c r="B3247" s="77" t="s">
        <v>21</v>
      </c>
      <c r="C3247" s="41">
        <v>45549.0</v>
      </c>
      <c r="D3247" s="40" t="s">
        <v>22689</v>
      </c>
      <c r="E3247" s="41" t="s">
        <v>22690</v>
      </c>
      <c r="F3247" s="43" t="s">
        <v>22691</v>
      </c>
      <c r="G3247" s="43" t="s">
        <v>22692</v>
      </c>
      <c r="H3247" s="59" t="s">
        <v>148</v>
      </c>
      <c r="I3247" s="25" t="str">
        <f>IFERROR(__xludf.DUMMYFUNCTION("GOOGLETRANSLATE(H3247,""EN"",""ES"")"),"Gastronomía")</f>
        <v>Gastronomía</v>
      </c>
      <c r="J3247" s="26" t="s">
        <v>27</v>
      </c>
      <c r="K3247" s="17">
        <v>0.0</v>
      </c>
      <c r="L3247" s="54"/>
      <c r="M3247" s="31"/>
      <c r="N3247" s="83"/>
      <c r="O3247" s="83"/>
      <c r="P3247" s="20">
        <v>0.0</v>
      </c>
      <c r="Q3247" s="31"/>
      <c r="R3247" s="31"/>
      <c r="S3247" s="53"/>
      <c r="T3247" s="32"/>
    </row>
    <row r="3248">
      <c r="A3248" s="33" t="s">
        <v>22693</v>
      </c>
      <c r="B3248" s="76" t="s">
        <v>91</v>
      </c>
      <c r="C3248" s="41">
        <v>45549.0</v>
      </c>
      <c r="D3248" s="40" t="s">
        <v>22694</v>
      </c>
      <c r="E3248" s="41" t="s">
        <v>22695</v>
      </c>
      <c r="F3248" s="43" t="s">
        <v>22696</v>
      </c>
      <c r="G3248" s="43" t="s">
        <v>22697</v>
      </c>
      <c r="H3248" s="61" t="s">
        <v>661</v>
      </c>
      <c r="I3248" s="15" t="str">
        <f>IFERROR(__xludf.DUMMYFUNCTION("GOOGLETRANSLATE(H3248,""EN"",""ES"")"),"Estrategia empresarial")</f>
        <v>Estrategia empresarial</v>
      </c>
      <c r="J3248" s="16" t="s">
        <v>35</v>
      </c>
      <c r="K3248" s="48">
        <v>-0.6</v>
      </c>
      <c r="L3248" s="51" t="s">
        <v>22618</v>
      </c>
      <c r="M3248" s="34" t="s">
        <v>22619</v>
      </c>
      <c r="N3248" s="86" t="s">
        <v>22698</v>
      </c>
      <c r="O3248" s="86" t="str">
        <f>IFERROR(__xludf.DUMMYFUNCTION("GOOGLETRANSLATE(N3248,""EN"",""ES"")"),"Negativo por la continua incertidumbre política y económica que rodea a Repsol.")</f>
        <v>Negativo por la continua incertidumbre política y económica que rodea a Repsol.</v>
      </c>
      <c r="P3248" s="30">
        <v>-0.7</v>
      </c>
      <c r="Q3248" s="18" t="str">
        <f>IFERROR(__xludf.DUMMYFUNCTION("GOOGLETRANSLATE(R3248,""ES"",""EN"")"),"threaten, expulsion")</f>
        <v>threaten, expulsion</v>
      </c>
      <c r="R3248" s="34" t="s">
        <v>22699</v>
      </c>
      <c r="S3248" s="52" t="s">
        <v>22700</v>
      </c>
      <c r="T3248" s="22" t="s">
        <v>22701</v>
      </c>
    </row>
    <row r="3249">
      <c r="A3249" s="23" t="s">
        <v>22702</v>
      </c>
      <c r="B3249" s="77" t="s">
        <v>1072</v>
      </c>
      <c r="C3249" s="41">
        <v>45549.0</v>
      </c>
      <c r="D3249" s="40" t="s">
        <v>22703</v>
      </c>
      <c r="E3249" s="41" t="s">
        <v>22704</v>
      </c>
      <c r="F3249" s="43" t="s">
        <v>22705</v>
      </c>
      <c r="G3249" s="43" t="s">
        <v>22706</v>
      </c>
      <c r="H3249" s="59" t="s">
        <v>661</v>
      </c>
      <c r="I3249" s="25" t="str">
        <f>IFERROR(__xludf.DUMMYFUNCTION("GOOGLETRANSLATE(H3249,""EN"",""ES"")"),"Estrategia empresarial")</f>
        <v>Estrategia empresarial</v>
      </c>
      <c r="J3249" s="26" t="s">
        <v>35</v>
      </c>
      <c r="K3249" s="48">
        <v>-0.7</v>
      </c>
      <c r="L3249" s="49" t="s">
        <v>19885</v>
      </c>
      <c r="M3249" s="28" t="s">
        <v>19886</v>
      </c>
      <c r="N3249" s="83" t="s">
        <v>22707</v>
      </c>
      <c r="O3249" s="83" t="str">
        <f>IFERROR(__xludf.DUMMYFUNCTION("GOOGLETRANSLATE(N3249,""EN"",""ES"")"),"Altamente negativo debido a los riesgos financieros asociados a la crisis geopolítica.")</f>
        <v>Altamente negativo debido a los riesgos financieros asociados a la crisis geopolítica.</v>
      </c>
      <c r="P3249" s="30">
        <v>-0.6</v>
      </c>
      <c r="Q3249" s="31" t="str">
        <f>IFERROR(__xludf.DUMMYFUNCTION("GOOGLETRANSLATE(R3249,""ES"",""EN"")"),"trapped")</f>
        <v>trapped</v>
      </c>
      <c r="R3249" s="28" t="s">
        <v>22708</v>
      </c>
      <c r="S3249" s="53" t="s">
        <v>22709</v>
      </c>
      <c r="T3249" s="32" t="s">
        <v>22710</v>
      </c>
    </row>
    <row r="3250">
      <c r="A3250" s="33" t="s">
        <v>22711</v>
      </c>
      <c r="B3250" s="76" t="s">
        <v>4393</v>
      </c>
      <c r="C3250" s="41">
        <v>45549.0</v>
      </c>
      <c r="D3250" s="40" t="s">
        <v>22712</v>
      </c>
      <c r="E3250" s="41" t="s">
        <v>22713</v>
      </c>
      <c r="F3250" s="43" t="s">
        <v>22714</v>
      </c>
      <c r="G3250" s="43" t="s">
        <v>22715</v>
      </c>
      <c r="H3250" s="61" t="s">
        <v>661</v>
      </c>
      <c r="I3250" s="15" t="str">
        <f>IFERROR(__xludf.DUMMYFUNCTION("GOOGLETRANSLATE(H3250,""EN"",""ES"")"),"Estrategia empresarial")</f>
        <v>Estrategia empresarial</v>
      </c>
      <c r="J3250" s="16" t="s">
        <v>35</v>
      </c>
      <c r="K3250" s="48">
        <v>0.5</v>
      </c>
      <c r="L3250" s="51" t="s">
        <v>22618</v>
      </c>
      <c r="M3250" s="34" t="s">
        <v>22619</v>
      </c>
      <c r="N3250" s="86" t="s">
        <v>22716</v>
      </c>
      <c r="O3250" s="86" t="str">
        <f>IFERROR(__xludf.DUMMYFUNCTION("GOOGLETRANSLATE(N3250,""EN"",""ES"")"),"Ligeramente positivo gracias a los debates sobre la cooperación energética a pesar de las tensiones.")</f>
        <v>Ligeramente positivo gracias a los debates sobre la cooperación energética a pesar de las tensiones.</v>
      </c>
      <c r="P3250" s="30">
        <v>0.4</v>
      </c>
      <c r="Q3250" s="18" t="str">
        <f>IFERROR(__xludf.DUMMYFUNCTION("GOOGLETRANSLATE(R3250,""ES"",""EN"")"),"cooperation")</f>
        <v>cooperation</v>
      </c>
      <c r="R3250" s="34" t="s">
        <v>22717</v>
      </c>
      <c r="S3250" s="52" t="s">
        <v>22718</v>
      </c>
      <c r="T3250" s="22" t="s">
        <v>22719</v>
      </c>
    </row>
    <row r="3251">
      <c r="A3251" s="23" t="s">
        <v>22720</v>
      </c>
      <c r="B3251" s="77" t="s">
        <v>5737</v>
      </c>
      <c r="C3251" s="41">
        <v>45549.0</v>
      </c>
      <c r="D3251" s="40" t="s">
        <v>22721</v>
      </c>
      <c r="E3251" s="41" t="s">
        <v>22722</v>
      </c>
      <c r="F3251" s="43" t="s">
        <v>22723</v>
      </c>
      <c r="G3251" s="43" t="s">
        <v>22724</v>
      </c>
      <c r="H3251" s="59" t="s">
        <v>661</v>
      </c>
      <c r="I3251" s="25" t="str">
        <f>IFERROR(__xludf.DUMMYFUNCTION("GOOGLETRANSLATE(H3251,""EN"",""ES"")"),"Estrategia empresarial")</f>
        <v>Estrategia empresarial</v>
      </c>
      <c r="J3251" s="26" t="s">
        <v>35</v>
      </c>
      <c r="K3251" s="48">
        <v>0.5</v>
      </c>
      <c r="L3251" s="49" t="s">
        <v>22618</v>
      </c>
      <c r="M3251" s="28" t="s">
        <v>22619</v>
      </c>
      <c r="N3251" s="83" t="s">
        <v>22725</v>
      </c>
      <c r="O3251" s="83" t="str">
        <f>IFERROR(__xludf.DUMMYFUNCTION("GOOGLETRANSLATE(N3251,""EN"",""ES"")"),"Ligeramente positivo debido a las negociaciones en curso.")</f>
        <v>Ligeramente positivo debido a las negociaciones en curso.</v>
      </c>
      <c r="P3251" s="30">
        <v>0.0</v>
      </c>
      <c r="Q3251" s="31"/>
      <c r="R3251" s="31"/>
      <c r="S3251" s="53" t="s">
        <v>22621</v>
      </c>
      <c r="T3251" s="32" t="s">
        <v>22622</v>
      </c>
    </row>
    <row r="3252">
      <c r="A3252" s="33" t="s">
        <v>22726</v>
      </c>
      <c r="B3252" s="76" t="s">
        <v>7322</v>
      </c>
      <c r="C3252" s="41">
        <v>45549.0</v>
      </c>
      <c r="D3252" s="40" t="s">
        <v>22727</v>
      </c>
      <c r="E3252" s="41" t="s">
        <v>22728</v>
      </c>
      <c r="F3252" s="43" t="s">
        <v>22729</v>
      </c>
      <c r="G3252" s="43" t="s">
        <v>22730</v>
      </c>
      <c r="H3252" s="61" t="s">
        <v>661</v>
      </c>
      <c r="I3252" s="15" t="str">
        <f>IFERROR(__xludf.DUMMYFUNCTION("GOOGLETRANSLATE(H3252,""EN"",""ES"")"),"Estrategia empresarial")</f>
        <v>Estrategia empresarial</v>
      </c>
      <c r="J3252" s="16" t="s">
        <v>35</v>
      </c>
      <c r="K3252" s="48">
        <v>0.5</v>
      </c>
      <c r="L3252" s="51" t="s">
        <v>22618</v>
      </c>
      <c r="M3252" s="34" t="s">
        <v>22619</v>
      </c>
      <c r="N3252" s="86" t="s">
        <v>22731</v>
      </c>
      <c r="O3252" s="86" t="str">
        <f>IFERROR(__xludf.DUMMYFUNCTION("GOOGLETRANSLATE(N3252,""EN"",""ES"")"),"Ligeramente positivo debido al compromiso diplomático continuo.")</f>
        <v>Ligeramente positivo debido al compromiso diplomático continuo.</v>
      </c>
      <c r="P3252" s="30">
        <v>-0.3</v>
      </c>
      <c r="Q3252" s="18" t="str">
        <f>IFERROR(__xludf.DUMMYFUNCTION("GOOGLETRANSLATE(R3252,""ES"",""EN"")"),"tense")</f>
        <v>tense</v>
      </c>
      <c r="R3252" s="34" t="s">
        <v>22732</v>
      </c>
      <c r="S3252" s="52" t="s">
        <v>22733</v>
      </c>
      <c r="T3252" s="22" t="s">
        <v>22734</v>
      </c>
    </row>
    <row r="3253">
      <c r="A3253" s="23" t="s">
        <v>22735</v>
      </c>
      <c r="B3253" s="77" t="s">
        <v>22736</v>
      </c>
      <c r="C3253" s="41">
        <v>45549.0</v>
      </c>
      <c r="D3253" s="40" t="s">
        <v>22737</v>
      </c>
      <c r="E3253" s="41" t="s">
        <v>22738</v>
      </c>
      <c r="F3253" s="43" t="s">
        <v>22739</v>
      </c>
      <c r="G3253" s="43" t="s">
        <v>22740</v>
      </c>
      <c r="H3253" s="59" t="s">
        <v>661</v>
      </c>
      <c r="I3253" s="25" t="str">
        <f>IFERROR(__xludf.DUMMYFUNCTION("GOOGLETRANSLATE(H3253,""EN"",""ES"")"),"Estrategia empresarial")</f>
        <v>Estrategia empresarial</v>
      </c>
      <c r="J3253" s="26" t="s">
        <v>35</v>
      </c>
      <c r="K3253" s="48">
        <v>0.5</v>
      </c>
      <c r="L3253" s="49" t="s">
        <v>22618</v>
      </c>
      <c r="M3253" s="28" t="s">
        <v>22619</v>
      </c>
      <c r="N3253" s="83" t="s">
        <v>22741</v>
      </c>
      <c r="O3253" s="83" t="str">
        <f>IFERROR(__xludf.DUMMYFUNCTION("GOOGLETRANSLATE(N3253,""EN"",""ES"")"),"Ligeramente positivo a medida que continúa la cooperación.")</f>
        <v>Ligeramente positivo a medida que continúa la cooperación.</v>
      </c>
      <c r="P3253" s="30">
        <v>0.4</v>
      </c>
      <c r="Q3253" s="31" t="str">
        <f>IFERROR(__xludf.DUMMYFUNCTION("GOOGLETRANSLATE(R3253,""ES"",""EN"")"),"cooperation")</f>
        <v>cooperation</v>
      </c>
      <c r="R3253" s="28" t="s">
        <v>22717</v>
      </c>
      <c r="S3253" s="53" t="s">
        <v>22742</v>
      </c>
      <c r="T3253" s="32" t="s">
        <v>22743</v>
      </c>
    </row>
    <row r="3254">
      <c r="A3254" s="33" t="s">
        <v>22744</v>
      </c>
      <c r="B3254" s="76" t="s">
        <v>22745</v>
      </c>
      <c r="C3254" s="41">
        <v>45549.0</v>
      </c>
      <c r="D3254" s="40" t="s">
        <v>22746</v>
      </c>
      <c r="E3254" s="41" t="s">
        <v>22747</v>
      </c>
      <c r="F3254" s="43" t="s">
        <v>22748</v>
      </c>
      <c r="G3254" s="43" t="s">
        <v>22749</v>
      </c>
      <c r="H3254" s="61" t="s">
        <v>661</v>
      </c>
      <c r="I3254" s="15" t="str">
        <f>IFERROR(__xludf.DUMMYFUNCTION("GOOGLETRANSLATE(H3254,""EN"",""ES"")"),"Estrategia empresarial")</f>
        <v>Estrategia empresarial</v>
      </c>
      <c r="J3254" s="16" t="s">
        <v>35</v>
      </c>
      <c r="K3254" s="48">
        <v>0.5</v>
      </c>
      <c r="L3254" s="51" t="s">
        <v>22618</v>
      </c>
      <c r="M3254" s="34" t="s">
        <v>22619</v>
      </c>
      <c r="N3254" s="86" t="s">
        <v>22750</v>
      </c>
      <c r="O3254" s="86" t="str">
        <f>IFERROR(__xludf.DUMMYFUNCTION("GOOGLETRANSLATE(N3254,""EN"",""ES"")"),"Ligeramente positivo gracias a la cooperación empresarial.")</f>
        <v>Ligeramente positivo gracias a la cooperación empresarial.</v>
      </c>
      <c r="P3254" s="30">
        <v>0.5</v>
      </c>
      <c r="Q3254" s="18" t="str">
        <f>IFERROR(__xludf.DUMMYFUNCTION("GOOGLETRANSLATE(R3254,""ES"",""EN"")"),"alliances, cooperation")</f>
        <v>alliances, cooperation</v>
      </c>
      <c r="R3254" s="34" t="s">
        <v>22751</v>
      </c>
      <c r="S3254" s="52" t="s">
        <v>22752</v>
      </c>
      <c r="T3254" s="22" t="s">
        <v>22753</v>
      </c>
    </row>
    <row r="3255">
      <c r="A3255" s="23" t="s">
        <v>22754</v>
      </c>
      <c r="B3255" s="77" t="s">
        <v>735</v>
      </c>
      <c r="C3255" s="41">
        <v>45549.0</v>
      </c>
      <c r="D3255" s="40" t="s">
        <v>22755</v>
      </c>
      <c r="E3255" s="41" t="s">
        <v>22756</v>
      </c>
      <c r="F3255" s="43" t="s">
        <v>22757</v>
      </c>
      <c r="G3255" s="43" t="s">
        <v>22758</v>
      </c>
      <c r="H3255" s="59" t="s">
        <v>55</v>
      </c>
      <c r="I3255" s="25" t="str">
        <f>IFERROR(__xludf.DUMMYFUNCTION("GOOGLETRANSLATE(H3255,""EN"",""ES"")"),"deportes de motor")</f>
        <v>deportes de motor</v>
      </c>
      <c r="J3255" s="26" t="s">
        <v>27</v>
      </c>
      <c r="K3255" s="17">
        <v>0.0</v>
      </c>
      <c r="L3255" s="54"/>
      <c r="M3255" s="31"/>
      <c r="N3255" s="83"/>
      <c r="O3255" s="83"/>
      <c r="P3255" s="20">
        <v>0.0</v>
      </c>
      <c r="Q3255" s="31"/>
      <c r="R3255" s="31"/>
      <c r="S3255" s="53"/>
      <c r="T3255" s="32"/>
    </row>
    <row r="3256">
      <c r="A3256" s="33" t="s">
        <v>22759</v>
      </c>
      <c r="B3256" s="76" t="s">
        <v>16100</v>
      </c>
      <c r="C3256" s="41">
        <v>45549.0</v>
      </c>
      <c r="D3256" s="40" t="s">
        <v>22760</v>
      </c>
      <c r="E3256" s="41" t="s">
        <v>22761</v>
      </c>
      <c r="F3256" s="43" t="s">
        <v>22762</v>
      </c>
      <c r="G3256" s="43" t="s">
        <v>22763</v>
      </c>
      <c r="H3256" s="61" t="s">
        <v>661</v>
      </c>
      <c r="I3256" s="15" t="str">
        <f>IFERROR(__xludf.DUMMYFUNCTION("GOOGLETRANSLATE(H3256,""EN"",""ES"")"),"Estrategia empresarial")</f>
        <v>Estrategia empresarial</v>
      </c>
      <c r="J3256" s="16" t="s">
        <v>35</v>
      </c>
      <c r="K3256" s="48">
        <v>0.5</v>
      </c>
      <c r="L3256" s="51" t="s">
        <v>22618</v>
      </c>
      <c r="M3256" s="34" t="s">
        <v>22619</v>
      </c>
      <c r="N3256" s="86" t="s">
        <v>22764</v>
      </c>
      <c r="O3256" s="86" t="str">
        <f>IFERROR(__xludf.DUMMYFUNCTION("GOOGLETRANSLATE(N3256,""EN"",""ES"")"),"Ligeramente positivo ya que las discusiones continúan a pesar de las tensiones diplomáticas.")</f>
        <v>Ligeramente positivo ya que las discusiones continúan a pesar de las tensiones diplomáticas.</v>
      </c>
      <c r="P3256" s="30">
        <v>-0.3</v>
      </c>
      <c r="Q3256" s="18" t="str">
        <f>IFERROR(__xludf.DUMMYFUNCTION("GOOGLETRANSLATE(R3256,""ES"",""EN"")"),"rupture")</f>
        <v>rupture</v>
      </c>
      <c r="R3256" s="34" t="s">
        <v>22288</v>
      </c>
      <c r="S3256" s="52" t="s">
        <v>22765</v>
      </c>
      <c r="T3256" s="22" t="s">
        <v>22766</v>
      </c>
    </row>
    <row r="3257">
      <c r="A3257" s="23" t="s">
        <v>22767</v>
      </c>
      <c r="B3257" s="77" t="s">
        <v>22768</v>
      </c>
      <c r="C3257" s="41">
        <v>45549.0</v>
      </c>
      <c r="D3257" s="40" t="s">
        <v>22769</v>
      </c>
      <c r="E3257" s="41" t="s">
        <v>22770</v>
      </c>
      <c r="F3257" s="43" t="s">
        <v>22771</v>
      </c>
      <c r="G3257" s="43" t="s">
        <v>22772</v>
      </c>
      <c r="H3257" s="59" t="s">
        <v>661</v>
      </c>
      <c r="I3257" s="25" t="str">
        <f>IFERROR(__xludf.DUMMYFUNCTION("GOOGLETRANSLATE(H3257,""EN"",""ES"")"),"Estrategia empresarial")</f>
        <v>Estrategia empresarial</v>
      </c>
      <c r="J3257" s="26" t="s">
        <v>35</v>
      </c>
      <c r="K3257" s="48">
        <v>0.5</v>
      </c>
      <c r="L3257" s="49" t="s">
        <v>22618</v>
      </c>
      <c r="M3257" s="28" t="s">
        <v>22619</v>
      </c>
      <c r="N3257" s="83" t="s">
        <v>22773</v>
      </c>
      <c r="O3257" s="83" t="str">
        <f>IFERROR(__xludf.DUMMYFUNCTION("GOOGLETRANSLATE(N3257,""EN"",""ES"")"),"Ligeramente positivo ya que indica avances en las relaciones comerciales.")</f>
        <v>Ligeramente positivo ya que indica avances en las relaciones comerciales.</v>
      </c>
      <c r="P3257" s="30">
        <v>0.4</v>
      </c>
      <c r="Q3257" s="31" t="str">
        <f>IFERROR(__xludf.DUMMYFUNCTION("GOOGLETRANSLATE(R3257,""ES"",""EN"")"),"cooperation")</f>
        <v>cooperation</v>
      </c>
      <c r="R3257" s="28" t="s">
        <v>22717</v>
      </c>
      <c r="S3257" s="53" t="s">
        <v>22774</v>
      </c>
      <c r="T3257" s="32" t="s">
        <v>22775</v>
      </c>
    </row>
    <row r="3258">
      <c r="A3258" s="33" t="s">
        <v>22776</v>
      </c>
      <c r="B3258" s="76" t="s">
        <v>22768</v>
      </c>
      <c r="C3258" s="41">
        <v>45549.0</v>
      </c>
      <c r="D3258" s="40" t="s">
        <v>22777</v>
      </c>
      <c r="E3258" s="41" t="s">
        <v>22778</v>
      </c>
      <c r="F3258" s="43" t="s">
        <v>22779</v>
      </c>
      <c r="G3258" s="43" t="s">
        <v>22780</v>
      </c>
      <c r="H3258" s="61" t="s">
        <v>661</v>
      </c>
      <c r="I3258" s="15" t="str">
        <f>IFERROR(__xludf.DUMMYFUNCTION("GOOGLETRANSLATE(H3258,""EN"",""ES"")"),"Estrategia empresarial")</f>
        <v>Estrategia empresarial</v>
      </c>
      <c r="J3258" s="16" t="s">
        <v>35</v>
      </c>
      <c r="K3258" s="48">
        <v>0.6</v>
      </c>
      <c r="L3258" s="51" t="s">
        <v>22781</v>
      </c>
      <c r="M3258" s="34" t="s">
        <v>22782</v>
      </c>
      <c r="N3258" s="86" t="s">
        <v>22783</v>
      </c>
      <c r="O3258" s="86" t="str">
        <f>IFERROR(__xludf.DUMMYFUNCTION("GOOGLETRANSLATE(N3258,""EN"",""ES"")"),"Positivo porque Repsol juega un papel importante en la producción.")</f>
        <v>Positivo porque Repsol juega un papel importante en la producción.</v>
      </c>
      <c r="P3258" s="30">
        <v>0.0</v>
      </c>
      <c r="Q3258" s="18"/>
      <c r="R3258" s="18"/>
      <c r="S3258" s="52" t="s">
        <v>22784</v>
      </c>
      <c r="T3258" s="22" t="s">
        <v>22785</v>
      </c>
    </row>
    <row r="3259">
      <c r="A3259" s="23" t="s">
        <v>22786</v>
      </c>
      <c r="B3259" s="77" t="s">
        <v>22787</v>
      </c>
      <c r="C3259" s="41">
        <v>45550.0</v>
      </c>
      <c r="D3259" s="40" t="s">
        <v>22788</v>
      </c>
      <c r="E3259" s="41" t="s">
        <v>22789</v>
      </c>
      <c r="F3259" s="43" t="s">
        <v>22790</v>
      </c>
      <c r="G3259" s="43" t="s">
        <v>22791</v>
      </c>
      <c r="H3259" s="59" t="s">
        <v>661</v>
      </c>
      <c r="I3259" s="25" t="str">
        <f>IFERROR(__xludf.DUMMYFUNCTION("GOOGLETRANSLATE(H3259,""EN"",""ES"")"),"Estrategia empresarial")</f>
        <v>Estrategia empresarial</v>
      </c>
      <c r="J3259" s="26" t="s">
        <v>35</v>
      </c>
      <c r="K3259" s="48">
        <v>0.5</v>
      </c>
      <c r="L3259" s="49" t="s">
        <v>22618</v>
      </c>
      <c r="M3259" s="28" t="s">
        <v>22619</v>
      </c>
      <c r="N3259" s="83" t="s">
        <v>22792</v>
      </c>
      <c r="O3259" s="83" t="str">
        <f>IFERROR(__xludf.DUMMYFUNCTION("GOOGLETRANSLATE(N3259,""EN"",""ES"")"),"Ligeramente positivo debido al compromiso continuo.")</f>
        <v>Ligeramente positivo debido al compromiso continuo.</v>
      </c>
      <c r="P3259" s="30">
        <v>-0.3</v>
      </c>
      <c r="Q3259" s="31" t="str">
        <f>IFERROR(__xludf.DUMMYFUNCTION("GOOGLETRANSLATE(R3259,""ES"",""EN"")"),"crisis")</f>
        <v>crisis</v>
      </c>
      <c r="R3259" s="28" t="s">
        <v>22649</v>
      </c>
      <c r="S3259" s="53" t="s">
        <v>22677</v>
      </c>
      <c r="T3259" s="32" t="s">
        <v>22678</v>
      </c>
    </row>
    <row r="3260">
      <c r="A3260" s="33" t="s">
        <v>22793</v>
      </c>
      <c r="B3260" s="76" t="s">
        <v>217</v>
      </c>
      <c r="C3260" s="41">
        <v>45550.0</v>
      </c>
      <c r="D3260" s="40" t="s">
        <v>22794</v>
      </c>
      <c r="E3260" s="41" t="s">
        <v>22795</v>
      </c>
      <c r="F3260" s="43" t="s">
        <v>22796</v>
      </c>
      <c r="G3260" s="43" t="s">
        <v>22797</v>
      </c>
      <c r="H3260" s="61" t="s">
        <v>48</v>
      </c>
      <c r="I3260" s="15" t="str">
        <f>IFERROR(__xludf.DUMMYFUNCTION("GOOGLETRANSLATE(H3260,""EN"",""ES"")"),"Finanzas")</f>
        <v>Finanzas</v>
      </c>
      <c r="J3260" s="16" t="s">
        <v>35</v>
      </c>
      <c r="K3260" s="48">
        <v>-0.5</v>
      </c>
      <c r="L3260" s="51" t="s">
        <v>19216</v>
      </c>
      <c r="M3260" s="34" t="s">
        <v>19217</v>
      </c>
      <c r="N3260" s="86" t="s">
        <v>22798</v>
      </c>
      <c r="O3260" s="86" t="str">
        <f>IFERROR(__xludf.DUMMYFUNCTION("GOOGLETRANSLATE(N3260,""EN"",""ES"")"),"Negativo por la caída del precio del petróleo que afecta a la acción de Repsol.")</f>
        <v>Negativo por la caída del precio del petróleo que afecta a la acción de Repsol.</v>
      </c>
      <c r="P3260" s="30">
        <v>-0.4</v>
      </c>
      <c r="Q3260" s="18" t="str">
        <f>IFERROR(__xludf.DUMMYFUNCTION("GOOGLETRANSLATE(R3260,""ES"",""EN"")"),"drop")</f>
        <v>drop</v>
      </c>
      <c r="R3260" s="34" t="s">
        <v>18681</v>
      </c>
      <c r="S3260" s="52" t="s">
        <v>17910</v>
      </c>
      <c r="T3260" s="22" t="s">
        <v>17911</v>
      </c>
    </row>
    <row r="3261">
      <c r="A3261" s="23" t="s">
        <v>22799</v>
      </c>
      <c r="B3261" s="77" t="s">
        <v>499</v>
      </c>
      <c r="C3261" s="41">
        <v>45550.0</v>
      </c>
      <c r="D3261" s="40" t="s">
        <v>22712</v>
      </c>
      <c r="E3261" s="41" t="s">
        <v>22800</v>
      </c>
      <c r="F3261" s="43" t="s">
        <v>22714</v>
      </c>
      <c r="G3261" s="43" t="s">
        <v>22801</v>
      </c>
      <c r="H3261" s="59" t="s">
        <v>661</v>
      </c>
      <c r="I3261" s="25" t="str">
        <f>IFERROR(__xludf.DUMMYFUNCTION("GOOGLETRANSLATE(H3261,""EN"",""ES"")"),"Estrategia empresarial")</f>
        <v>Estrategia empresarial</v>
      </c>
      <c r="J3261" s="26" t="s">
        <v>35</v>
      </c>
      <c r="K3261" s="48">
        <v>0.5</v>
      </c>
      <c r="L3261" s="49" t="s">
        <v>22618</v>
      </c>
      <c r="M3261" s="28" t="s">
        <v>22619</v>
      </c>
      <c r="N3261" s="83" t="s">
        <v>22802</v>
      </c>
      <c r="O3261" s="83" t="str">
        <f>IFERROR(__xludf.DUMMYFUNCTION("GOOGLETRANSLATE(N3261,""EN"",""ES"")"),"Ligeramente positivo debido a posibles acuerdos comerciales.")</f>
        <v>Ligeramente positivo debido a posibles acuerdos comerciales.</v>
      </c>
      <c r="P3261" s="30">
        <v>0.4</v>
      </c>
      <c r="Q3261" s="31" t="str">
        <f>IFERROR(__xludf.DUMMYFUNCTION("GOOGLETRANSLATE(R3261,""ES"",""EN"")"),"cooperation")</f>
        <v>cooperation</v>
      </c>
      <c r="R3261" s="28" t="s">
        <v>22717</v>
      </c>
      <c r="S3261" s="53" t="s">
        <v>22718</v>
      </c>
      <c r="T3261" s="32" t="s">
        <v>22719</v>
      </c>
    </row>
    <row r="3262">
      <c r="A3262" s="33" t="s">
        <v>22803</v>
      </c>
      <c r="B3262" s="76" t="s">
        <v>85</v>
      </c>
      <c r="C3262" s="41">
        <v>45550.0</v>
      </c>
      <c r="D3262" s="40" t="s">
        <v>22804</v>
      </c>
      <c r="E3262" s="41" t="s">
        <v>22805</v>
      </c>
      <c r="F3262" s="43" t="s">
        <v>22806</v>
      </c>
      <c r="G3262" s="43" t="s">
        <v>22807</v>
      </c>
      <c r="H3262" s="61" t="s">
        <v>130</v>
      </c>
      <c r="I3262" s="15" t="str">
        <f>IFERROR(__xludf.DUMMYFUNCTION("GOOGLETRANSLATE(H3262,""EN"",""ES"")"),"Sostenibilidad")</f>
        <v>Sostenibilidad</v>
      </c>
      <c r="J3262" s="16" t="s">
        <v>35</v>
      </c>
      <c r="K3262" s="48">
        <v>0.7</v>
      </c>
      <c r="L3262" s="51" t="s">
        <v>22808</v>
      </c>
      <c r="M3262" s="34" t="s">
        <v>22809</v>
      </c>
      <c r="N3262" s="86" t="s">
        <v>22810</v>
      </c>
      <c r="O3262" s="86" t="str">
        <f>IFERROR(__xludf.DUMMYFUNCTION("GOOGLETRANSLATE(N3262,""EN"",""ES"")"),"Positivo por la implicación de Repsol en la industria del hidrógeno.")</f>
        <v>Positivo por la implicación de Repsol en la industria del hidrógeno.</v>
      </c>
      <c r="P3262" s="30">
        <v>0.0</v>
      </c>
      <c r="Q3262" s="18"/>
      <c r="R3262" s="18"/>
      <c r="S3262" s="52" t="s">
        <v>22811</v>
      </c>
      <c r="T3262" s="22" t="s">
        <v>22812</v>
      </c>
    </row>
    <row r="3263">
      <c r="A3263" s="23" t="s">
        <v>22813</v>
      </c>
      <c r="B3263" s="77" t="s">
        <v>22814</v>
      </c>
      <c r="C3263" s="41">
        <v>45550.0</v>
      </c>
      <c r="D3263" s="40" t="s">
        <v>22815</v>
      </c>
      <c r="E3263" s="41" t="s">
        <v>22816</v>
      </c>
      <c r="F3263" s="43" t="s">
        <v>22817</v>
      </c>
      <c r="G3263" s="43" t="s">
        <v>22818</v>
      </c>
      <c r="H3263" s="59" t="s">
        <v>975</v>
      </c>
      <c r="I3263" s="25" t="str">
        <f>IFERROR(__xludf.DUMMYFUNCTION("GOOGLETRANSLATE(H3263,""EN"",""ES"")"),"Patrocinio")</f>
        <v>Patrocinio</v>
      </c>
      <c r="J3263" s="26" t="s">
        <v>27</v>
      </c>
      <c r="K3263" s="17">
        <v>0.0</v>
      </c>
      <c r="L3263" s="54"/>
      <c r="M3263" s="31"/>
      <c r="N3263" s="83"/>
      <c r="O3263" s="83"/>
      <c r="P3263" s="20">
        <v>0.0</v>
      </c>
      <c r="Q3263" s="31"/>
      <c r="R3263" s="31"/>
      <c r="S3263" s="53"/>
      <c r="T3263" s="32"/>
    </row>
    <row r="3264">
      <c r="A3264" s="33" t="s">
        <v>22819</v>
      </c>
      <c r="B3264" s="76" t="s">
        <v>68</v>
      </c>
      <c r="C3264" s="41">
        <v>45550.0</v>
      </c>
      <c r="D3264" s="40" t="s">
        <v>22820</v>
      </c>
      <c r="E3264" s="41" t="s">
        <v>22821</v>
      </c>
      <c r="F3264" s="43" t="s">
        <v>22822</v>
      </c>
      <c r="G3264" s="43" t="s">
        <v>22823</v>
      </c>
      <c r="H3264" s="61" t="s">
        <v>55</v>
      </c>
      <c r="I3264" s="15" t="str">
        <f>IFERROR(__xludf.DUMMYFUNCTION("GOOGLETRANSLATE(H3264,""EN"",""ES"")"),"deportes de motor")</f>
        <v>deportes de motor</v>
      </c>
      <c r="J3264" s="16" t="s">
        <v>27</v>
      </c>
      <c r="K3264" s="17">
        <v>0.0</v>
      </c>
      <c r="L3264" s="45"/>
      <c r="M3264" s="18"/>
      <c r="N3264" s="86"/>
      <c r="O3264" s="86"/>
      <c r="P3264" s="20">
        <v>0.0</v>
      </c>
      <c r="Q3264" s="18"/>
      <c r="R3264" s="18"/>
      <c r="S3264" s="52"/>
      <c r="T3264" s="22"/>
    </row>
    <row r="3265">
      <c r="A3265" s="23" t="s">
        <v>22824</v>
      </c>
      <c r="B3265" s="77" t="s">
        <v>22825</v>
      </c>
      <c r="C3265" s="41">
        <v>45550.0</v>
      </c>
      <c r="D3265" s="40" t="s">
        <v>22826</v>
      </c>
      <c r="E3265" s="41" t="s">
        <v>22827</v>
      </c>
      <c r="F3265" s="43" t="s">
        <v>22828</v>
      </c>
      <c r="G3265" s="43" t="s">
        <v>22829</v>
      </c>
      <c r="H3265" s="59" t="s">
        <v>661</v>
      </c>
      <c r="I3265" s="25" t="str">
        <f>IFERROR(__xludf.DUMMYFUNCTION("GOOGLETRANSLATE(H3265,""EN"",""ES"")"),"Estrategia empresarial")</f>
        <v>Estrategia empresarial</v>
      </c>
      <c r="J3265" s="26" t="s">
        <v>35</v>
      </c>
      <c r="K3265" s="48">
        <v>0.5</v>
      </c>
      <c r="L3265" s="49" t="s">
        <v>22618</v>
      </c>
      <c r="M3265" s="28" t="s">
        <v>22619</v>
      </c>
      <c r="N3265" s="83" t="s">
        <v>22830</v>
      </c>
      <c r="O3265" s="83" t="str">
        <f>IFERROR(__xludf.DUMMYFUNCTION("GOOGLETRANSLATE(N3265,""EN"",""ES"")"),"Ligeramente positivo debido a las garantías sobre el mantenimiento de la cooperación energética.")</f>
        <v>Ligeramente positivo debido a las garantías sobre el mantenimiento de la cooperación energética.</v>
      </c>
      <c r="P3265" s="30">
        <v>0.0</v>
      </c>
      <c r="Q3265" s="31"/>
      <c r="R3265" s="31"/>
      <c r="S3265" s="53" t="s">
        <v>22831</v>
      </c>
      <c r="T3265" s="32" t="s">
        <v>22832</v>
      </c>
    </row>
    <row r="3266">
      <c r="A3266" s="33" t="s">
        <v>22833</v>
      </c>
      <c r="B3266" s="76" t="s">
        <v>777</v>
      </c>
      <c r="C3266" s="41">
        <v>45551.0</v>
      </c>
      <c r="D3266" s="40" t="s">
        <v>22834</v>
      </c>
      <c r="E3266" s="41" t="s">
        <v>22835</v>
      </c>
      <c r="F3266" s="43" t="s">
        <v>22836</v>
      </c>
      <c r="G3266" s="43" t="s">
        <v>22837</v>
      </c>
      <c r="H3266" s="61" t="s">
        <v>661</v>
      </c>
      <c r="I3266" s="15" t="str">
        <f>IFERROR(__xludf.DUMMYFUNCTION("GOOGLETRANSLATE(H3266,""EN"",""ES"")"),"Estrategia empresarial")</f>
        <v>Estrategia empresarial</v>
      </c>
      <c r="J3266" s="16" t="s">
        <v>35</v>
      </c>
      <c r="K3266" s="48">
        <v>0.7</v>
      </c>
      <c r="L3266" s="51" t="s">
        <v>22838</v>
      </c>
      <c r="M3266" s="34" t="s">
        <v>22839</v>
      </c>
      <c r="N3266" s="86" t="s">
        <v>22840</v>
      </c>
      <c r="O3266" s="86" t="str">
        <f>IFERROR(__xludf.DUMMYFUNCTION("GOOGLETRANSLATE(N3266,""EN"",""ES"")"),"Positivo por la inversión en digitalización y talento joven.")</f>
        <v>Positivo por la inversión en digitalización y talento joven.</v>
      </c>
      <c r="P3266" s="30">
        <v>0.5</v>
      </c>
      <c r="Q3266" s="18" t="str">
        <f>IFERROR(__xludf.DUMMYFUNCTION("GOOGLETRANSLATE(R3266,""ES"",""EN"")"),"bet, boost")</f>
        <v>bet, boost</v>
      </c>
      <c r="R3266" s="34" t="s">
        <v>22841</v>
      </c>
      <c r="S3266" s="52" t="s">
        <v>22842</v>
      </c>
      <c r="T3266" s="22" t="s">
        <v>22843</v>
      </c>
    </row>
    <row r="3267">
      <c r="A3267" s="23" t="s">
        <v>22844</v>
      </c>
      <c r="B3267" s="77" t="s">
        <v>1072</v>
      </c>
      <c r="C3267" s="41">
        <v>45551.0</v>
      </c>
      <c r="D3267" s="40" t="s">
        <v>22845</v>
      </c>
      <c r="E3267" s="41" t="s">
        <v>22846</v>
      </c>
      <c r="F3267" s="43" t="s">
        <v>22847</v>
      </c>
      <c r="G3267" s="43" t="s">
        <v>22848</v>
      </c>
      <c r="H3267" s="59" t="s">
        <v>48</v>
      </c>
      <c r="I3267" s="25" t="str">
        <f>IFERROR(__xludf.DUMMYFUNCTION("GOOGLETRANSLATE(H3267,""EN"",""ES"")"),"Finanzas")</f>
        <v>Finanzas</v>
      </c>
      <c r="J3267" s="26" t="s">
        <v>35</v>
      </c>
      <c r="K3267" s="48">
        <v>-0.6</v>
      </c>
      <c r="L3267" s="49" t="s">
        <v>19216</v>
      </c>
      <c r="M3267" s="28" t="s">
        <v>19217</v>
      </c>
      <c r="N3267" s="83" t="s">
        <v>22849</v>
      </c>
      <c r="O3267" s="83" t="str">
        <f>IFERROR(__xludf.DUMMYFUNCTION("GOOGLETRANSLATE(N3267,""EN"",""ES"")"),"Negativo debido a la menor valoración que afecta el rendimiento de las acciones.")</f>
        <v>Negativo debido a la menor valoración que afecta el rendimiento de las acciones.</v>
      </c>
      <c r="P3267" s="30">
        <v>-0.7</v>
      </c>
      <c r="Q3267" s="31" t="str">
        <f>IFERROR(__xludf.DUMMYFUNCTION("GOOGLETRANSLATE(R3267,""ES"",""EN"")"),"suffers, lowers")</f>
        <v>suffers, lowers</v>
      </c>
      <c r="R3267" s="28" t="s">
        <v>22850</v>
      </c>
      <c r="S3267" s="53" t="s">
        <v>22851</v>
      </c>
      <c r="T3267" s="32" t="s">
        <v>22852</v>
      </c>
    </row>
    <row r="3268">
      <c r="A3268" s="33" t="s">
        <v>22853</v>
      </c>
      <c r="B3268" s="76" t="s">
        <v>91</v>
      </c>
      <c r="C3268" s="41">
        <v>45551.0</v>
      </c>
      <c r="D3268" s="40" t="s">
        <v>22854</v>
      </c>
      <c r="E3268" s="41" t="s">
        <v>22855</v>
      </c>
      <c r="F3268" s="43" t="s">
        <v>22856</v>
      </c>
      <c r="G3268" s="43" t="s">
        <v>22857</v>
      </c>
      <c r="H3268" s="61" t="s">
        <v>661</v>
      </c>
      <c r="I3268" s="15" t="str">
        <f>IFERROR(__xludf.DUMMYFUNCTION("GOOGLETRANSLATE(H3268,""EN"",""ES"")"),"Estrategia empresarial")</f>
        <v>Estrategia empresarial</v>
      </c>
      <c r="J3268" s="16" t="s">
        <v>35</v>
      </c>
      <c r="K3268" s="48">
        <v>0.5</v>
      </c>
      <c r="L3268" s="51" t="s">
        <v>20237</v>
      </c>
      <c r="M3268" s="34" t="s">
        <v>20238</v>
      </c>
      <c r="N3268" s="86" t="s">
        <v>22858</v>
      </c>
      <c r="O3268" s="86" t="str">
        <f>IFERROR(__xludf.DUMMYFUNCTION("GOOGLETRANSLATE(N3268,""EN"",""ES"")"),"Ligeramente positivo ya que indica la influencia estratégica de Repsol.")</f>
        <v>Ligeramente positivo ya que indica la influencia estratégica de Repsol.</v>
      </c>
      <c r="P3268" s="30">
        <v>-0.3</v>
      </c>
      <c r="Q3268" s="18" t="str">
        <f>IFERROR(__xludf.DUMMYFUNCTION("GOOGLETRANSLATE(R3268,""ES"",""EN"")"),"hinders")</f>
        <v>hinders</v>
      </c>
      <c r="R3268" s="34" t="s">
        <v>22859</v>
      </c>
      <c r="S3268" s="52" t="s">
        <v>22860</v>
      </c>
      <c r="T3268" s="22" t="s">
        <v>22861</v>
      </c>
    </row>
    <row r="3269">
      <c r="A3269" s="23" t="s">
        <v>22862</v>
      </c>
      <c r="B3269" s="77" t="s">
        <v>499</v>
      </c>
      <c r="C3269" s="41">
        <v>45551.0</v>
      </c>
      <c r="D3269" s="40" t="s">
        <v>22863</v>
      </c>
      <c r="E3269" s="41" t="s">
        <v>22864</v>
      </c>
      <c r="F3269" s="43" t="s">
        <v>22865</v>
      </c>
      <c r="G3269" s="43" t="s">
        <v>22866</v>
      </c>
      <c r="H3269" s="59" t="s">
        <v>130</v>
      </c>
      <c r="I3269" s="25" t="str">
        <f>IFERROR(__xludf.DUMMYFUNCTION("GOOGLETRANSLATE(H3269,""EN"",""ES"")"),"Sostenibilidad")</f>
        <v>Sostenibilidad</v>
      </c>
      <c r="J3269" s="26" t="s">
        <v>35</v>
      </c>
      <c r="K3269" s="48">
        <v>0.7</v>
      </c>
      <c r="L3269" s="49" t="s">
        <v>16837</v>
      </c>
      <c r="M3269" s="28" t="s">
        <v>16838</v>
      </c>
      <c r="N3269" s="83" t="s">
        <v>22867</v>
      </c>
      <c r="O3269" s="83" t="str">
        <f>IFERROR(__xludf.DUMMYFUNCTION("GOOGLETRANSLATE(N3269,""EN"",""ES"")"),"Positivo por la inversión de Repsol en energías renovables.")</f>
        <v>Positivo por la inversión de Repsol en energías renovables.</v>
      </c>
      <c r="P3269" s="30">
        <v>0.8</v>
      </c>
      <c r="Q3269" s="31" t="str">
        <f>IFERROR(__xludf.DUMMYFUNCTION("GOOGLETRANSLATE(R3269,""ES"",""EN"")"),"self-consume, solar")</f>
        <v>self-consume, solar</v>
      </c>
      <c r="R3269" s="28" t="s">
        <v>22868</v>
      </c>
      <c r="S3269" s="53" t="s">
        <v>22869</v>
      </c>
      <c r="T3269" s="32" t="s">
        <v>22870</v>
      </c>
    </row>
    <row r="3270">
      <c r="A3270" s="33" t="s">
        <v>22871</v>
      </c>
      <c r="B3270" s="76" t="s">
        <v>666</v>
      </c>
      <c r="C3270" s="41">
        <v>45551.0</v>
      </c>
      <c r="D3270" s="40" t="s">
        <v>22872</v>
      </c>
      <c r="E3270" s="41" t="s">
        <v>22873</v>
      </c>
      <c r="F3270" s="43" t="s">
        <v>22874</v>
      </c>
      <c r="G3270" s="43" t="s">
        <v>22875</v>
      </c>
      <c r="H3270" s="61" t="s">
        <v>661</v>
      </c>
      <c r="I3270" s="15" t="str">
        <f>IFERROR(__xludf.DUMMYFUNCTION("GOOGLETRANSLATE(H3270,""EN"",""ES"")"),"Estrategia empresarial")</f>
        <v>Estrategia empresarial</v>
      </c>
      <c r="J3270" s="16" t="s">
        <v>35</v>
      </c>
      <c r="K3270" s="48">
        <v>0.5</v>
      </c>
      <c r="L3270" s="51" t="s">
        <v>22618</v>
      </c>
      <c r="M3270" s="34" t="s">
        <v>22619</v>
      </c>
      <c r="N3270" s="86" t="s">
        <v>22876</v>
      </c>
      <c r="O3270" s="86" t="str">
        <f>IFERROR(__xludf.DUMMYFUNCTION("GOOGLETRANSLATE(N3270,""EN"",""ES"")"),"Ligeramente positivo ya que Repsol no se ve afectado por las tensiones diplomáticas.")</f>
        <v>Ligeramente positivo ya que Repsol no se ve afectado por las tensiones diplomáticas.</v>
      </c>
      <c r="P3270" s="30">
        <v>0.3</v>
      </c>
      <c r="Q3270" s="18" t="str">
        <f>IFERROR(__xludf.DUMMYFUNCTION("GOOGLETRANSLATE(R3270,""ES"",""EN"")"),"safe")</f>
        <v>safe</v>
      </c>
      <c r="R3270" s="34" t="s">
        <v>22877</v>
      </c>
      <c r="S3270" s="52" t="s">
        <v>22878</v>
      </c>
      <c r="T3270" s="22" t="s">
        <v>22879</v>
      </c>
    </row>
    <row r="3271">
      <c r="A3271" s="23" t="s">
        <v>22880</v>
      </c>
      <c r="B3271" s="77" t="s">
        <v>4559</v>
      </c>
      <c r="C3271" s="41">
        <v>45551.0</v>
      </c>
      <c r="D3271" s="40" t="s">
        <v>22881</v>
      </c>
      <c r="E3271" s="41" t="s">
        <v>22882</v>
      </c>
      <c r="F3271" s="43" t="s">
        <v>22883</v>
      </c>
      <c r="G3271" s="43" t="s">
        <v>22884</v>
      </c>
      <c r="H3271" s="59" t="s">
        <v>130</v>
      </c>
      <c r="I3271" s="25" t="str">
        <f>IFERROR(__xludf.DUMMYFUNCTION("GOOGLETRANSLATE(H3271,""EN"",""ES"")"),"Sostenibilidad")</f>
        <v>Sostenibilidad</v>
      </c>
      <c r="J3271" s="26" t="s">
        <v>35</v>
      </c>
      <c r="K3271" s="48">
        <v>0.7</v>
      </c>
      <c r="L3271" s="49" t="s">
        <v>16837</v>
      </c>
      <c r="M3271" s="28" t="s">
        <v>16838</v>
      </c>
      <c r="N3271" s="83" t="s">
        <v>22885</v>
      </c>
      <c r="O3271" s="83" t="str">
        <f>IFERROR(__xludf.DUMMYFUNCTION("GOOGLETRANSLATE(N3271,""EN"",""ES"")"),"Positivo por el compromiso de Repsol con la sostenibilidad.")</f>
        <v>Positivo por el compromiso de Repsol con la sostenibilidad.</v>
      </c>
      <c r="P3271" s="30">
        <v>0.7</v>
      </c>
      <c r="Q3271" s="31" t="str">
        <f>IFERROR(__xludf.DUMMYFUNCTION("GOOGLETRANSLATE(R3271,""ES"",""EN"")"),"will build, investment")</f>
        <v>will build, investment</v>
      </c>
      <c r="R3271" s="28" t="s">
        <v>22886</v>
      </c>
      <c r="S3271" s="53" t="s">
        <v>22887</v>
      </c>
      <c r="T3271" s="32" t="s">
        <v>22888</v>
      </c>
    </row>
    <row r="3272">
      <c r="A3272" s="33" t="s">
        <v>22889</v>
      </c>
      <c r="B3272" s="76" t="s">
        <v>10964</v>
      </c>
      <c r="C3272" s="41">
        <v>45551.0</v>
      </c>
      <c r="D3272" s="40" t="s">
        <v>22890</v>
      </c>
      <c r="E3272" s="41" t="s">
        <v>22891</v>
      </c>
      <c r="F3272" s="43" t="s">
        <v>22892</v>
      </c>
      <c r="G3272" s="43" t="s">
        <v>22893</v>
      </c>
      <c r="H3272" s="61" t="s">
        <v>130</v>
      </c>
      <c r="I3272" s="15" t="str">
        <f>IFERROR(__xludf.DUMMYFUNCTION("GOOGLETRANSLATE(H3272,""EN"",""ES"")"),"Sostenibilidad")</f>
        <v>Sostenibilidad</v>
      </c>
      <c r="J3272" s="16" t="s">
        <v>35</v>
      </c>
      <c r="K3272" s="48">
        <v>0.7</v>
      </c>
      <c r="L3272" s="51" t="s">
        <v>16837</v>
      </c>
      <c r="M3272" s="34" t="s">
        <v>16838</v>
      </c>
      <c r="N3272" s="86" t="s">
        <v>22894</v>
      </c>
      <c r="O3272" s="86" t="str">
        <f>IFERROR(__xludf.DUMMYFUNCTION("GOOGLETRANSLATE(N3272,""EN"",""ES"")"),"Positivo por la inversión en energías renovables.")</f>
        <v>Positivo por la inversión en energías renovables.</v>
      </c>
      <c r="P3272" s="30">
        <v>0.6</v>
      </c>
      <c r="Q3272" s="18" t="str">
        <f>IFERROR(__xludf.DUMMYFUNCTION("GOOGLETRANSLATE(R3272,""ES"",""EN"")"),"investment")</f>
        <v>investment</v>
      </c>
      <c r="R3272" s="34" t="s">
        <v>11615</v>
      </c>
      <c r="S3272" s="52" t="s">
        <v>22895</v>
      </c>
      <c r="T3272" s="22" t="s">
        <v>22896</v>
      </c>
    </row>
    <row r="3273">
      <c r="A3273" s="23" t="s">
        <v>22897</v>
      </c>
      <c r="B3273" s="77" t="s">
        <v>2515</v>
      </c>
      <c r="C3273" s="41">
        <v>45551.0</v>
      </c>
      <c r="D3273" s="40" t="s">
        <v>22898</v>
      </c>
      <c r="E3273" s="41" t="s">
        <v>22899</v>
      </c>
      <c r="F3273" s="43" t="s">
        <v>22900</v>
      </c>
      <c r="G3273" s="43" t="s">
        <v>22901</v>
      </c>
      <c r="H3273" s="59" t="s">
        <v>661</v>
      </c>
      <c r="I3273" s="25" t="str">
        <f>IFERROR(__xludf.DUMMYFUNCTION("GOOGLETRANSLATE(H3273,""EN"",""ES"")"),"Estrategia empresarial")</f>
        <v>Estrategia empresarial</v>
      </c>
      <c r="J3273" s="26" t="s">
        <v>35</v>
      </c>
      <c r="K3273" s="48">
        <v>0.7</v>
      </c>
      <c r="L3273" s="49" t="s">
        <v>22516</v>
      </c>
      <c r="M3273" s="28" t="s">
        <v>22517</v>
      </c>
      <c r="N3273" s="83" t="s">
        <v>22902</v>
      </c>
      <c r="O3273" s="83" t="str">
        <f>IFERROR(__xludf.DUMMYFUNCTION("GOOGLETRANSLATE(N3273,""EN"",""ES"")"),"Positivo por la implicación de Repsol en tecnologías limpias.")</f>
        <v>Positivo por la implicación de Repsol en tecnologías limpias.</v>
      </c>
      <c r="P3273" s="30">
        <v>0.0</v>
      </c>
      <c r="Q3273" s="31"/>
      <c r="R3273" s="31"/>
      <c r="S3273" s="53" t="s">
        <v>469</v>
      </c>
      <c r="T3273" s="32" t="s">
        <v>470</v>
      </c>
    </row>
    <row r="3274">
      <c r="A3274" s="33" t="s">
        <v>22903</v>
      </c>
      <c r="B3274" s="76" t="s">
        <v>103</v>
      </c>
      <c r="C3274" s="41">
        <v>45551.0</v>
      </c>
      <c r="D3274" s="40" t="s">
        <v>22904</v>
      </c>
      <c r="E3274" s="41" t="s">
        <v>22905</v>
      </c>
      <c r="F3274" s="43" t="s">
        <v>22906</v>
      </c>
      <c r="G3274" s="43" t="s">
        <v>22907</v>
      </c>
      <c r="H3274" s="61" t="s">
        <v>48</v>
      </c>
      <c r="I3274" s="15" t="str">
        <f>IFERROR(__xludf.DUMMYFUNCTION("GOOGLETRANSLATE(H3274,""EN"",""ES"")"),"Finanzas")</f>
        <v>Finanzas</v>
      </c>
      <c r="J3274" s="16" t="s">
        <v>35</v>
      </c>
      <c r="K3274" s="48">
        <v>-0.6</v>
      </c>
      <c r="L3274" s="51" t="s">
        <v>19216</v>
      </c>
      <c r="M3274" s="34" t="s">
        <v>19217</v>
      </c>
      <c r="N3274" s="86" t="s">
        <v>22908</v>
      </c>
      <c r="O3274" s="86" t="str">
        <f>IFERROR(__xludf.DUMMYFUNCTION("GOOGLETRANSLATE(N3274,""EN"",""ES"")"),"Negativo por incertidumbre financiera para los accionistas.")</f>
        <v>Negativo por incertidumbre financiera para los accionistas.</v>
      </c>
      <c r="P3274" s="30">
        <v>-0.7</v>
      </c>
      <c r="Q3274" s="18" t="str">
        <f>IFERROR(__xludf.DUMMYFUNCTION("GOOGLETRANSLATE(R3274,""ES"",""EN"")"),"short, doubt")</f>
        <v>short, doubt</v>
      </c>
      <c r="R3274" s="34" t="s">
        <v>22909</v>
      </c>
      <c r="S3274" s="52" t="s">
        <v>22910</v>
      </c>
      <c r="T3274" s="22" t="s">
        <v>22911</v>
      </c>
    </row>
    <row r="3275">
      <c r="A3275" s="23" t="s">
        <v>22912</v>
      </c>
      <c r="B3275" s="77" t="s">
        <v>21</v>
      </c>
      <c r="C3275" s="41">
        <v>45551.0</v>
      </c>
      <c r="D3275" s="40" t="s">
        <v>22913</v>
      </c>
      <c r="E3275" s="41" t="s">
        <v>22914</v>
      </c>
      <c r="F3275" s="43" t="s">
        <v>22915</v>
      </c>
      <c r="G3275" s="43" t="s">
        <v>22916</v>
      </c>
      <c r="H3275" s="59" t="s">
        <v>148</v>
      </c>
      <c r="I3275" s="25" t="str">
        <f>IFERROR(__xludf.DUMMYFUNCTION("GOOGLETRANSLATE(H3275,""EN"",""ES"")"),"Gastronomía")</f>
        <v>Gastronomía</v>
      </c>
      <c r="J3275" s="26" t="s">
        <v>27</v>
      </c>
      <c r="K3275" s="17">
        <v>0.0</v>
      </c>
      <c r="L3275" s="54"/>
      <c r="M3275" s="31"/>
      <c r="N3275" s="83"/>
      <c r="O3275" s="83"/>
      <c r="P3275" s="20">
        <v>0.0</v>
      </c>
      <c r="Q3275" s="31"/>
      <c r="R3275" s="31"/>
      <c r="S3275" s="53"/>
      <c r="T3275" s="32"/>
    </row>
    <row r="3276">
      <c r="A3276" s="33" t="s">
        <v>22917</v>
      </c>
      <c r="B3276" s="76" t="s">
        <v>1983</v>
      </c>
      <c r="C3276" s="41">
        <v>45551.0</v>
      </c>
      <c r="D3276" s="40" t="s">
        <v>22918</v>
      </c>
      <c r="E3276" s="41" t="s">
        <v>22919</v>
      </c>
      <c r="F3276" s="43" t="s">
        <v>22920</v>
      </c>
      <c r="G3276" s="43" t="s">
        <v>22921</v>
      </c>
      <c r="H3276" s="61" t="s">
        <v>48</v>
      </c>
      <c r="I3276" s="15" t="str">
        <f>IFERROR(__xludf.DUMMYFUNCTION("GOOGLETRANSLATE(H3276,""EN"",""ES"")"),"Finanzas")</f>
        <v>Finanzas</v>
      </c>
      <c r="J3276" s="16" t="s">
        <v>35</v>
      </c>
      <c r="K3276" s="48">
        <v>0.6</v>
      </c>
      <c r="L3276" s="51" t="s">
        <v>19216</v>
      </c>
      <c r="M3276" s="34" t="s">
        <v>19217</v>
      </c>
      <c r="N3276" s="86" t="s">
        <v>22922</v>
      </c>
      <c r="O3276" s="86" t="str">
        <f>IFERROR(__xludf.DUMMYFUNCTION("GOOGLETRANSLATE(N3276,""EN"",""ES"")"),"Positivo porque Repsol puede presentar una oportunidad de inversión.")</f>
        <v>Positivo porque Repsol puede presentar una oportunidad de inversión.</v>
      </c>
      <c r="P3276" s="30">
        <v>0.0</v>
      </c>
      <c r="Q3276" s="18"/>
      <c r="R3276" s="18"/>
      <c r="S3276" s="52" t="s">
        <v>22923</v>
      </c>
      <c r="T3276" s="22" t="s">
        <v>22924</v>
      </c>
    </row>
    <row r="3277">
      <c r="A3277" s="23" t="s">
        <v>22925</v>
      </c>
      <c r="B3277" s="77" t="s">
        <v>22926</v>
      </c>
      <c r="C3277" s="41">
        <v>45551.0</v>
      </c>
      <c r="D3277" s="40" t="s">
        <v>22927</v>
      </c>
      <c r="E3277" s="41" t="s">
        <v>22928</v>
      </c>
      <c r="F3277" s="43" t="s">
        <v>22929</v>
      </c>
      <c r="G3277" s="43" t="s">
        <v>22930</v>
      </c>
      <c r="H3277" s="59" t="s">
        <v>48</v>
      </c>
      <c r="I3277" s="25" t="str">
        <f>IFERROR(__xludf.DUMMYFUNCTION("GOOGLETRANSLATE(H3277,""EN"",""ES"")"),"Finanzas")</f>
        <v>Finanzas</v>
      </c>
      <c r="J3277" s="26" t="s">
        <v>35</v>
      </c>
      <c r="K3277" s="48">
        <v>-0.5</v>
      </c>
      <c r="L3277" s="49" t="s">
        <v>19216</v>
      </c>
      <c r="M3277" s="28" t="s">
        <v>19217</v>
      </c>
      <c r="N3277" s="83" t="s">
        <v>22931</v>
      </c>
      <c r="O3277" s="83" t="str">
        <f>IFERROR(__xludf.DUMMYFUNCTION("GOOGLETRANSLATE(N3277,""EN"",""ES"")"),"Negativo debido a la caída de las acciones en medio de la incertidumbre del mercado petrolero.")</f>
        <v>Negativo debido a la caída de las acciones en medio de la incertidumbre del mercado petrolero.</v>
      </c>
      <c r="P3277" s="30">
        <v>-0.5</v>
      </c>
      <c r="Q3277" s="31" t="str">
        <f>IFERROR(__xludf.DUMMYFUNCTION("GOOGLETRANSLATE(R3277,""ES"",""EN"")"),"falls, uncertainty")</f>
        <v>falls, uncertainty</v>
      </c>
      <c r="R3277" s="28" t="s">
        <v>22932</v>
      </c>
      <c r="S3277" s="53" t="s">
        <v>17786</v>
      </c>
      <c r="T3277" s="32" t="s">
        <v>17787</v>
      </c>
    </row>
    <row r="3278">
      <c r="A3278" s="33" t="s">
        <v>22933</v>
      </c>
      <c r="B3278" s="76" t="s">
        <v>425</v>
      </c>
      <c r="C3278" s="41">
        <v>45551.0</v>
      </c>
      <c r="D3278" s="40" t="s">
        <v>22934</v>
      </c>
      <c r="E3278" s="41" t="s">
        <v>22934</v>
      </c>
      <c r="F3278" s="43" t="s">
        <v>22935</v>
      </c>
      <c r="G3278" s="43" t="s">
        <v>22935</v>
      </c>
      <c r="H3278" s="61" t="s">
        <v>55</v>
      </c>
      <c r="I3278" s="15" t="str">
        <f>IFERROR(__xludf.DUMMYFUNCTION("GOOGLETRANSLATE(H3278,""EN"",""ES"")"),"deportes de motor")</f>
        <v>deportes de motor</v>
      </c>
      <c r="J3278" s="16" t="s">
        <v>27</v>
      </c>
      <c r="K3278" s="17">
        <v>0.0</v>
      </c>
      <c r="L3278" s="45"/>
      <c r="M3278" s="18"/>
      <c r="N3278" s="86"/>
      <c r="O3278" s="86"/>
      <c r="P3278" s="20">
        <v>0.0</v>
      </c>
      <c r="Q3278" s="18"/>
      <c r="R3278" s="18"/>
      <c r="S3278" s="52"/>
      <c r="T3278" s="22"/>
    </row>
    <row r="3279">
      <c r="A3279" s="23" t="s">
        <v>22936</v>
      </c>
      <c r="B3279" s="77" t="s">
        <v>1831</v>
      </c>
      <c r="C3279" s="41">
        <v>45551.0</v>
      </c>
      <c r="D3279" s="40" t="s">
        <v>22937</v>
      </c>
      <c r="E3279" s="41" t="s">
        <v>22938</v>
      </c>
      <c r="F3279" s="43" t="s">
        <v>22939</v>
      </c>
      <c r="G3279" s="43" t="s">
        <v>22940</v>
      </c>
      <c r="H3279" s="59" t="s">
        <v>661</v>
      </c>
      <c r="I3279" s="25" t="str">
        <f>IFERROR(__xludf.DUMMYFUNCTION("GOOGLETRANSLATE(H3279,""EN"",""ES"")"),"Estrategia empresarial")</f>
        <v>Estrategia empresarial</v>
      </c>
      <c r="J3279" s="26" t="s">
        <v>27</v>
      </c>
      <c r="K3279" s="17">
        <v>0.0</v>
      </c>
      <c r="L3279" s="54"/>
      <c r="M3279" s="31"/>
      <c r="N3279" s="83"/>
      <c r="O3279" s="83"/>
      <c r="P3279" s="20">
        <v>0.0</v>
      </c>
      <c r="Q3279" s="31"/>
      <c r="R3279" s="31"/>
      <c r="S3279" s="53"/>
      <c r="T3279" s="32"/>
    </row>
    <row r="3280">
      <c r="A3280" s="33" t="s">
        <v>22941</v>
      </c>
      <c r="B3280" s="76" t="s">
        <v>22942</v>
      </c>
      <c r="C3280" s="41">
        <v>45551.0</v>
      </c>
      <c r="D3280" s="40" t="s">
        <v>22943</v>
      </c>
      <c r="E3280" s="41" t="s">
        <v>22944</v>
      </c>
      <c r="F3280" s="43" t="s">
        <v>22945</v>
      </c>
      <c r="G3280" s="43" t="s">
        <v>22946</v>
      </c>
      <c r="H3280" s="61" t="s">
        <v>661</v>
      </c>
      <c r="I3280" s="15" t="str">
        <f>IFERROR(__xludf.DUMMYFUNCTION("GOOGLETRANSLATE(H3280,""EN"",""ES"")"),"Estrategia empresarial")</f>
        <v>Estrategia empresarial</v>
      </c>
      <c r="J3280" s="16" t="s">
        <v>35</v>
      </c>
      <c r="K3280" s="48">
        <v>0.5</v>
      </c>
      <c r="L3280" s="51" t="s">
        <v>22618</v>
      </c>
      <c r="M3280" s="34" t="s">
        <v>22619</v>
      </c>
      <c r="N3280" s="86" t="s">
        <v>22947</v>
      </c>
      <c r="O3280" s="86" t="str">
        <f>IFERROR(__xludf.DUMMYFUNCTION("GOOGLETRANSLATE(N3280,""EN"",""ES"")"),"Ligeramente positivo debido a las continuas relaciones comerciales.")</f>
        <v>Ligeramente positivo debido a las continuas relaciones comerciales.</v>
      </c>
      <c r="P3280" s="30">
        <v>0.4</v>
      </c>
      <c r="Q3280" s="18" t="str">
        <f>IFERROR(__xludf.DUMMYFUNCTION("GOOGLETRANSLATE(R3280,""ES"",""EN"")"),"wink, keep")</f>
        <v>wink, keep</v>
      </c>
      <c r="R3280" s="34" t="s">
        <v>22948</v>
      </c>
      <c r="S3280" s="52" t="s">
        <v>22949</v>
      </c>
      <c r="T3280" s="22" t="s">
        <v>22950</v>
      </c>
    </row>
    <row r="3281">
      <c r="A3281" s="23" t="s">
        <v>22951</v>
      </c>
      <c r="B3281" s="77" t="s">
        <v>3273</v>
      </c>
      <c r="C3281" s="41">
        <v>45551.0</v>
      </c>
      <c r="D3281" s="40" t="s">
        <v>22952</v>
      </c>
      <c r="E3281" s="41" t="s">
        <v>22953</v>
      </c>
      <c r="F3281" s="43" t="s">
        <v>22954</v>
      </c>
      <c r="G3281" s="43" t="s">
        <v>22955</v>
      </c>
      <c r="H3281" s="59" t="s">
        <v>55</v>
      </c>
      <c r="I3281" s="25" t="str">
        <f>IFERROR(__xludf.DUMMYFUNCTION("GOOGLETRANSLATE(H3281,""EN"",""ES"")"),"deportes de motor")</f>
        <v>deportes de motor</v>
      </c>
      <c r="J3281" s="26" t="s">
        <v>27</v>
      </c>
      <c r="K3281" s="17">
        <v>0.0</v>
      </c>
      <c r="L3281" s="54"/>
      <c r="M3281" s="31"/>
      <c r="N3281" s="83"/>
      <c r="O3281" s="83"/>
      <c r="P3281" s="20">
        <v>0.0</v>
      </c>
      <c r="Q3281" s="31"/>
      <c r="R3281" s="31"/>
      <c r="S3281" s="53"/>
      <c r="T3281" s="32"/>
    </row>
    <row r="3282">
      <c r="A3282" s="33" t="s">
        <v>22956</v>
      </c>
      <c r="B3282" s="76" t="s">
        <v>91</v>
      </c>
      <c r="C3282" s="41">
        <v>45551.0</v>
      </c>
      <c r="D3282" s="40" t="s">
        <v>22957</v>
      </c>
      <c r="E3282" s="41" t="s">
        <v>22958</v>
      </c>
      <c r="F3282" s="43" t="s">
        <v>22959</v>
      </c>
      <c r="G3282" s="43" t="s">
        <v>22960</v>
      </c>
      <c r="H3282" s="61" t="s">
        <v>661</v>
      </c>
      <c r="I3282" s="15" t="str">
        <f>IFERROR(__xludf.DUMMYFUNCTION("GOOGLETRANSLATE(H3282,""EN"",""ES"")"),"Estrategia empresarial")</f>
        <v>Estrategia empresarial</v>
      </c>
      <c r="J3282" s="16" t="s">
        <v>27</v>
      </c>
      <c r="K3282" s="17">
        <v>0.0</v>
      </c>
      <c r="L3282" s="45"/>
      <c r="M3282" s="18"/>
      <c r="N3282" s="86"/>
      <c r="O3282" s="86"/>
      <c r="P3282" s="20">
        <v>0.0</v>
      </c>
      <c r="Q3282" s="18"/>
      <c r="R3282" s="18"/>
      <c r="S3282" s="52"/>
      <c r="T3282" s="22"/>
    </row>
    <row r="3283">
      <c r="A3283" s="23" t="s">
        <v>22961</v>
      </c>
      <c r="B3283" s="77" t="s">
        <v>1203</v>
      </c>
      <c r="C3283" s="41">
        <v>45551.0</v>
      </c>
      <c r="D3283" s="40" t="s">
        <v>22962</v>
      </c>
      <c r="E3283" s="41" t="s">
        <v>22963</v>
      </c>
      <c r="F3283" s="43" t="s">
        <v>22964</v>
      </c>
      <c r="G3283" s="43" t="s">
        <v>22965</v>
      </c>
      <c r="H3283" s="59" t="s">
        <v>661</v>
      </c>
      <c r="I3283" s="25" t="str">
        <f>IFERROR(__xludf.DUMMYFUNCTION("GOOGLETRANSLATE(H3283,""EN"",""ES"")"),"Estrategia empresarial")</f>
        <v>Estrategia empresarial</v>
      </c>
      <c r="J3283" s="26" t="s">
        <v>35</v>
      </c>
      <c r="K3283" s="48">
        <v>-0.5</v>
      </c>
      <c r="L3283" s="49" t="s">
        <v>22966</v>
      </c>
      <c r="M3283" s="28" t="s">
        <v>22967</v>
      </c>
      <c r="N3283" s="83" t="s">
        <v>22968</v>
      </c>
      <c r="O3283" s="83" t="str">
        <f>IFERROR(__xludf.DUMMYFUNCTION("GOOGLETRANSLATE(N3283,""EN"",""ES"")"),"Negativo por preocupaciones financieras de Repsol en Venezuela.")</f>
        <v>Negativo por preocupaciones financieras de Repsol en Venezuela.</v>
      </c>
      <c r="P3283" s="30">
        <v>0.0</v>
      </c>
      <c r="Q3283" s="31"/>
      <c r="R3283" s="31"/>
      <c r="S3283" s="53" t="s">
        <v>22969</v>
      </c>
      <c r="T3283" s="32" t="s">
        <v>22969</v>
      </c>
    </row>
    <row r="3284">
      <c r="A3284" s="33" t="s">
        <v>22970</v>
      </c>
      <c r="B3284" s="76" t="s">
        <v>1338</v>
      </c>
      <c r="C3284" s="41">
        <v>45551.0</v>
      </c>
      <c r="D3284" s="40" t="s">
        <v>22971</v>
      </c>
      <c r="E3284" s="41" t="s">
        <v>22972</v>
      </c>
      <c r="F3284" s="43" t="s">
        <v>22973</v>
      </c>
      <c r="G3284" s="43" t="s">
        <v>22974</v>
      </c>
      <c r="H3284" s="61" t="s">
        <v>22975</v>
      </c>
      <c r="I3284" s="15" t="str">
        <f>IFERROR(__xludf.DUMMYFUNCTION("GOOGLETRANSLATE(H3284,""EN"",""ES"")"),"Mercado de combustibles")</f>
        <v>Mercado de combustibles</v>
      </c>
      <c r="J3284" s="16" t="s">
        <v>27</v>
      </c>
      <c r="K3284" s="17">
        <v>0.0</v>
      </c>
      <c r="L3284" s="45"/>
      <c r="M3284" s="18"/>
      <c r="N3284" s="86"/>
      <c r="O3284" s="86"/>
      <c r="P3284" s="20">
        <v>0.0</v>
      </c>
      <c r="Q3284" s="18"/>
      <c r="R3284" s="18"/>
      <c r="S3284" s="52"/>
      <c r="T3284" s="22"/>
    </row>
    <row r="3285">
      <c r="A3285" s="23" t="s">
        <v>22976</v>
      </c>
      <c r="B3285" s="77" t="s">
        <v>22977</v>
      </c>
      <c r="C3285" s="41">
        <v>45552.0</v>
      </c>
      <c r="D3285" s="40" t="s">
        <v>22978</v>
      </c>
      <c r="E3285" s="41" t="s">
        <v>22979</v>
      </c>
      <c r="F3285" s="43" t="s">
        <v>22980</v>
      </c>
      <c r="G3285" s="43" t="s">
        <v>22981</v>
      </c>
      <c r="H3285" s="59" t="s">
        <v>130</v>
      </c>
      <c r="I3285" s="25" t="str">
        <f>IFERROR(__xludf.DUMMYFUNCTION("GOOGLETRANSLATE(H3285,""EN"",""ES"")"),"Sostenibilidad")</f>
        <v>Sostenibilidad</v>
      </c>
      <c r="J3285" s="26" t="s">
        <v>35</v>
      </c>
      <c r="K3285" s="48">
        <v>0.7</v>
      </c>
      <c r="L3285" s="49" t="s">
        <v>16837</v>
      </c>
      <c r="M3285" s="28" t="s">
        <v>16838</v>
      </c>
      <c r="N3285" s="83" t="s">
        <v>22894</v>
      </c>
      <c r="O3285" s="83" t="str">
        <f>IFERROR(__xludf.DUMMYFUNCTION("GOOGLETRANSLATE(N3285,""EN"",""ES"")"),"Positivo por la inversión en energías renovables.")</f>
        <v>Positivo por la inversión en energías renovables.</v>
      </c>
      <c r="P3285" s="30">
        <v>0.7</v>
      </c>
      <c r="Q3285" s="31" t="str">
        <f>IFERROR(__xludf.DUMMYFUNCTION("GOOGLETRANSLATE(R3285,""ES"",""EN"")"),"will install")</f>
        <v>will install</v>
      </c>
      <c r="R3285" s="28" t="s">
        <v>22982</v>
      </c>
      <c r="S3285" s="53" t="s">
        <v>22983</v>
      </c>
      <c r="T3285" s="32" t="s">
        <v>22984</v>
      </c>
    </row>
    <row r="3286">
      <c r="A3286" s="33" t="s">
        <v>22985</v>
      </c>
      <c r="B3286" s="76" t="s">
        <v>6011</v>
      </c>
      <c r="C3286" s="41">
        <v>45552.0</v>
      </c>
      <c r="D3286" s="40" t="s">
        <v>22986</v>
      </c>
      <c r="E3286" s="41" t="s">
        <v>22987</v>
      </c>
      <c r="F3286" s="43" t="s">
        <v>22988</v>
      </c>
      <c r="G3286" s="43" t="s">
        <v>22989</v>
      </c>
      <c r="H3286" s="61" t="s">
        <v>14973</v>
      </c>
      <c r="I3286" s="15" t="str">
        <f>IFERROR(__xludf.DUMMYFUNCTION("GOOGLETRANSLATE(H3286,""EN"",""ES"")"),"Literatura")</f>
        <v>Literatura</v>
      </c>
      <c r="J3286" s="16" t="s">
        <v>27</v>
      </c>
      <c r="K3286" s="17">
        <v>0.0</v>
      </c>
      <c r="L3286" s="45"/>
      <c r="M3286" s="18"/>
      <c r="N3286" s="86"/>
      <c r="O3286" s="86"/>
      <c r="P3286" s="20">
        <v>0.0</v>
      </c>
      <c r="Q3286" s="18"/>
      <c r="R3286" s="18"/>
      <c r="S3286" s="52"/>
      <c r="T3286" s="22"/>
    </row>
    <row r="3287">
      <c r="A3287" s="23" t="s">
        <v>22990</v>
      </c>
      <c r="B3287" s="77" t="s">
        <v>3320</v>
      </c>
      <c r="C3287" s="41">
        <v>45552.0</v>
      </c>
      <c r="D3287" s="40" t="s">
        <v>22991</v>
      </c>
      <c r="E3287" s="41" t="s">
        <v>22992</v>
      </c>
      <c r="F3287" s="43" t="s">
        <v>22993</v>
      </c>
      <c r="G3287" s="43" t="s">
        <v>22994</v>
      </c>
      <c r="H3287" s="59" t="s">
        <v>130</v>
      </c>
      <c r="I3287" s="25" t="str">
        <f>IFERROR(__xludf.DUMMYFUNCTION("GOOGLETRANSLATE(H3287,""EN"",""ES"")"),"Sostenibilidad")</f>
        <v>Sostenibilidad</v>
      </c>
      <c r="J3287" s="26" t="s">
        <v>35</v>
      </c>
      <c r="K3287" s="48">
        <v>0.7</v>
      </c>
      <c r="L3287" s="49" t="s">
        <v>21358</v>
      </c>
      <c r="M3287" s="28" t="s">
        <v>21359</v>
      </c>
      <c r="N3287" s="83" t="s">
        <v>22995</v>
      </c>
      <c r="O3287" s="83" t="str">
        <f>IFERROR(__xludf.DUMMYFUNCTION("GOOGLETRANSLATE(N3287,""EN"",""ES"")"),"Positivo por el compromiso de Repsol con las iniciativas de economía circular.")</f>
        <v>Positivo por el compromiso de Repsol con las iniciativas de economía circular.</v>
      </c>
      <c r="P3287" s="30">
        <v>0.0</v>
      </c>
      <c r="Q3287" s="31"/>
      <c r="R3287" s="31"/>
      <c r="S3287" s="53" t="s">
        <v>22996</v>
      </c>
      <c r="T3287" s="32" t="s">
        <v>22997</v>
      </c>
    </row>
    <row r="3288">
      <c r="A3288" s="33" t="s">
        <v>22998</v>
      </c>
      <c r="B3288" s="76" t="s">
        <v>558</v>
      </c>
      <c r="C3288" s="41">
        <v>45552.0</v>
      </c>
      <c r="D3288" s="40" t="s">
        <v>22999</v>
      </c>
      <c r="E3288" s="41" t="s">
        <v>23000</v>
      </c>
      <c r="F3288" s="43" t="s">
        <v>23001</v>
      </c>
      <c r="G3288" s="43" t="s">
        <v>23002</v>
      </c>
      <c r="H3288" s="61" t="s">
        <v>661</v>
      </c>
      <c r="I3288" s="15" t="str">
        <f>IFERROR(__xludf.DUMMYFUNCTION("GOOGLETRANSLATE(H3288,""EN"",""ES"")"),"Estrategia empresarial")</f>
        <v>Estrategia empresarial</v>
      </c>
      <c r="J3288" s="16" t="s">
        <v>35</v>
      </c>
      <c r="K3288" s="48">
        <v>-0.6</v>
      </c>
      <c r="L3288" s="51" t="s">
        <v>22314</v>
      </c>
      <c r="M3288" s="34" t="s">
        <v>22315</v>
      </c>
      <c r="N3288" s="86" t="s">
        <v>23003</v>
      </c>
      <c r="O3288" s="86" t="str">
        <f>IFERROR(__xludf.DUMMYFUNCTION("GOOGLETRANSLATE(N3288,""EN"",""ES"")"),"Negativo debido a conflictos internos y valoración a la baja.")</f>
        <v>Negativo debido a conflictos internos y valoración a la baja.</v>
      </c>
      <c r="P3288" s="30">
        <v>-0.6</v>
      </c>
      <c r="Q3288" s="18" t="str">
        <f>IFERROR(__xludf.DUMMYFUNCTION("GOOGLETRANSLATE(R3288,""ES"",""EN"")"),"shock, reduce")</f>
        <v>shock, reduce</v>
      </c>
      <c r="R3288" s="34" t="s">
        <v>23004</v>
      </c>
      <c r="S3288" s="52" t="s">
        <v>23005</v>
      </c>
      <c r="T3288" s="22" t="s">
        <v>23006</v>
      </c>
    </row>
    <row r="3289">
      <c r="A3289" s="23" t="s">
        <v>23007</v>
      </c>
      <c r="B3289" s="77" t="s">
        <v>5669</v>
      </c>
      <c r="C3289" s="41">
        <v>45552.0</v>
      </c>
      <c r="D3289" s="40" t="s">
        <v>23008</v>
      </c>
      <c r="E3289" s="41" t="s">
        <v>23009</v>
      </c>
      <c r="F3289" s="43" t="s">
        <v>23010</v>
      </c>
      <c r="G3289" s="43" t="s">
        <v>23011</v>
      </c>
      <c r="H3289" s="59" t="s">
        <v>661</v>
      </c>
      <c r="I3289" s="25" t="str">
        <f>IFERROR(__xludf.DUMMYFUNCTION("GOOGLETRANSLATE(H3289,""EN"",""ES"")"),"Estrategia empresarial")</f>
        <v>Estrategia empresarial</v>
      </c>
      <c r="J3289" s="26" t="s">
        <v>35</v>
      </c>
      <c r="K3289" s="48">
        <v>-0.6</v>
      </c>
      <c r="L3289" s="49" t="s">
        <v>23012</v>
      </c>
      <c r="M3289" s="28" t="s">
        <v>23013</v>
      </c>
      <c r="N3289" s="83" t="s">
        <v>23014</v>
      </c>
      <c r="O3289" s="83" t="str">
        <f>IFERROR(__xludf.DUMMYFUNCTION("GOOGLETRANSLATE(N3289,""EN"",""ES"")"),"Negativo por complicaciones políticas que afectan a las operaciones de Repsol.")</f>
        <v>Negativo por complicaciones políticas que afectan a las operaciones de Repsol.</v>
      </c>
      <c r="P3289" s="30">
        <v>-0.7</v>
      </c>
      <c r="Q3289" s="31" t="str">
        <f>IFERROR(__xludf.DUMMYFUNCTION("GOOGLETRANSLATE(R3289,""ES"",""EN"")"),"in check, veto")</f>
        <v>in check, veto</v>
      </c>
      <c r="R3289" s="28" t="s">
        <v>23015</v>
      </c>
      <c r="S3289" s="53" t="s">
        <v>23016</v>
      </c>
      <c r="T3289" s="32" t="s">
        <v>23017</v>
      </c>
    </row>
    <row r="3290">
      <c r="A3290" s="33" t="s">
        <v>23018</v>
      </c>
      <c r="B3290" s="76" t="s">
        <v>217</v>
      </c>
      <c r="C3290" s="41">
        <v>45552.0</v>
      </c>
      <c r="D3290" s="40" t="s">
        <v>23019</v>
      </c>
      <c r="E3290" s="41" t="s">
        <v>23020</v>
      </c>
      <c r="F3290" s="43" t="s">
        <v>23021</v>
      </c>
      <c r="G3290" s="43" t="s">
        <v>23022</v>
      </c>
      <c r="H3290" s="61" t="s">
        <v>661</v>
      </c>
      <c r="I3290" s="15" t="str">
        <f>IFERROR(__xludf.DUMMYFUNCTION("GOOGLETRANSLATE(H3290,""EN"",""ES"")"),"Estrategia empresarial")</f>
        <v>Estrategia empresarial</v>
      </c>
      <c r="J3290" s="16" t="s">
        <v>35</v>
      </c>
      <c r="K3290" s="48">
        <v>-0.6</v>
      </c>
      <c r="L3290" s="51" t="s">
        <v>22314</v>
      </c>
      <c r="M3290" s="34" t="s">
        <v>22315</v>
      </c>
      <c r="N3290" s="86" t="s">
        <v>23023</v>
      </c>
      <c r="O3290" s="86" t="str">
        <f>IFERROR(__xludf.DUMMYFUNCTION("GOOGLETRANSLATE(N3290,""EN"",""ES"")"),"Negativo por conflictos internos en proyectos de energías renovables.")</f>
        <v>Negativo por conflictos internos en proyectos de energías renovables.</v>
      </c>
      <c r="P3290" s="30">
        <v>-0.5</v>
      </c>
      <c r="Q3290" s="18" t="str">
        <f>IFERROR(__xludf.DUMMYFUNCTION("GOOGLETRANSLATE(R3290,""ES"",""EN"")"),"crashes")</f>
        <v>crashes</v>
      </c>
      <c r="R3290" s="34" t="s">
        <v>23024</v>
      </c>
      <c r="S3290" s="52" t="s">
        <v>23025</v>
      </c>
      <c r="T3290" s="22" t="s">
        <v>23026</v>
      </c>
    </row>
    <row r="3291">
      <c r="A3291" s="23" t="s">
        <v>23027</v>
      </c>
      <c r="B3291" s="77" t="s">
        <v>1072</v>
      </c>
      <c r="C3291" s="41">
        <v>45552.0</v>
      </c>
      <c r="D3291" s="40" t="s">
        <v>23028</v>
      </c>
      <c r="E3291" s="41" t="s">
        <v>23029</v>
      </c>
      <c r="F3291" s="43" t="s">
        <v>23030</v>
      </c>
      <c r="G3291" s="43" t="s">
        <v>23031</v>
      </c>
      <c r="H3291" s="59" t="s">
        <v>48</v>
      </c>
      <c r="I3291" s="25" t="str">
        <f>IFERROR(__xludf.DUMMYFUNCTION("GOOGLETRANSLATE(H3291,""EN"",""ES"")"),"Finanzas")</f>
        <v>Finanzas</v>
      </c>
      <c r="J3291" s="26" t="s">
        <v>35</v>
      </c>
      <c r="K3291" s="48">
        <v>-0.5</v>
      </c>
      <c r="L3291" s="49" t="s">
        <v>19216</v>
      </c>
      <c r="M3291" s="28" t="s">
        <v>19217</v>
      </c>
      <c r="N3291" s="83" t="s">
        <v>23032</v>
      </c>
      <c r="O3291" s="83" t="str">
        <f>IFERROR(__xludf.DUMMYFUNCTION("GOOGLETRANSLATE(N3291,""EN"",""ES"")"),"Negativo debido a preocupaciones sobre el desempeño de las acciones.")</f>
        <v>Negativo debido a preocupaciones sobre el desempeño de las acciones.</v>
      </c>
      <c r="P3291" s="30">
        <v>-0.4</v>
      </c>
      <c r="Q3291" s="31" t="str">
        <f>IFERROR(__xludf.DUMMYFUNCTION("GOOGLETRANSLATE(R3291,""ES"",""EN"")"),"crosshair")</f>
        <v>crosshair</v>
      </c>
      <c r="R3291" s="28" t="s">
        <v>23033</v>
      </c>
      <c r="S3291" s="53" t="s">
        <v>23034</v>
      </c>
      <c r="T3291" s="32" t="s">
        <v>23035</v>
      </c>
    </row>
    <row r="3292">
      <c r="A3292" s="33" t="s">
        <v>23036</v>
      </c>
      <c r="B3292" s="76" t="s">
        <v>666</v>
      </c>
      <c r="C3292" s="41">
        <v>45552.0</v>
      </c>
      <c r="D3292" s="40" t="s">
        <v>23037</v>
      </c>
      <c r="E3292" s="41" t="s">
        <v>23038</v>
      </c>
      <c r="F3292" s="43" t="s">
        <v>23039</v>
      </c>
      <c r="G3292" s="43" t="s">
        <v>23040</v>
      </c>
      <c r="H3292" s="61" t="s">
        <v>661</v>
      </c>
      <c r="I3292" s="15" t="str">
        <f>IFERROR(__xludf.DUMMYFUNCTION("GOOGLETRANSLATE(H3292,""EN"",""ES"")"),"Estrategia empresarial")</f>
        <v>Estrategia empresarial</v>
      </c>
      <c r="J3292" s="16" t="s">
        <v>35</v>
      </c>
      <c r="K3292" s="48">
        <v>-0.6</v>
      </c>
      <c r="L3292" s="51" t="s">
        <v>23041</v>
      </c>
      <c r="M3292" s="34" t="s">
        <v>23042</v>
      </c>
      <c r="N3292" s="86" t="s">
        <v>23043</v>
      </c>
      <c r="O3292" s="86" t="str">
        <f>IFERROR(__xludf.DUMMYFUNCTION("GOOGLETRANSLATE(N3292,""EN"",""ES"")"),"Negativo debido a desafíos regulatorios y políticos.")</f>
        <v>Negativo debido a desafíos regulatorios y políticos.</v>
      </c>
      <c r="P3292" s="30">
        <v>-0.6</v>
      </c>
      <c r="Q3292" s="18" t="str">
        <f>IFERROR(__xludf.DUMMYFUNCTION("GOOGLETRANSLATE(R3292,""ES"",""EN"")"),"bad news")</f>
        <v>bad news</v>
      </c>
      <c r="R3292" s="34" t="s">
        <v>23044</v>
      </c>
      <c r="S3292" s="52" t="s">
        <v>23045</v>
      </c>
      <c r="T3292" s="22" t="s">
        <v>23046</v>
      </c>
    </row>
    <row r="3293">
      <c r="A3293" s="23" t="s">
        <v>23047</v>
      </c>
      <c r="B3293" s="77" t="s">
        <v>8072</v>
      </c>
      <c r="C3293" s="41">
        <v>45552.0</v>
      </c>
      <c r="D3293" s="40" t="s">
        <v>23048</v>
      </c>
      <c r="E3293" s="41" t="s">
        <v>23049</v>
      </c>
      <c r="F3293" s="43" t="s">
        <v>23050</v>
      </c>
      <c r="G3293" s="43" t="s">
        <v>23051</v>
      </c>
      <c r="H3293" s="59" t="s">
        <v>48</v>
      </c>
      <c r="I3293" s="25" t="str">
        <f>IFERROR(__xludf.DUMMYFUNCTION("GOOGLETRANSLATE(H3293,""EN"",""ES"")"),"Finanzas")</f>
        <v>Finanzas</v>
      </c>
      <c r="J3293" s="26" t="s">
        <v>35</v>
      </c>
      <c r="K3293" s="48">
        <v>-0.5</v>
      </c>
      <c r="L3293" s="49" t="s">
        <v>19216</v>
      </c>
      <c r="M3293" s="28" t="s">
        <v>19217</v>
      </c>
      <c r="N3293" s="83" t="s">
        <v>23052</v>
      </c>
      <c r="O3293" s="83" t="str">
        <f>IFERROR(__xludf.DUMMYFUNCTION("GOOGLETRANSLATE(N3293,""EN"",""ES"")"),"Negativo debido a las dificultades del mercado de valores.")</f>
        <v>Negativo debido a las dificultades del mercado de valores.</v>
      </c>
      <c r="P3293" s="30">
        <v>0.0</v>
      </c>
      <c r="Q3293" s="31"/>
      <c r="R3293" s="31"/>
      <c r="S3293" s="53" t="s">
        <v>23053</v>
      </c>
      <c r="T3293" s="32" t="s">
        <v>23054</v>
      </c>
    </row>
    <row r="3294">
      <c r="A3294" s="33" t="s">
        <v>23055</v>
      </c>
      <c r="B3294" s="76" t="s">
        <v>192</v>
      </c>
      <c r="C3294" s="41">
        <v>45552.0</v>
      </c>
      <c r="D3294" s="40" t="s">
        <v>23056</v>
      </c>
      <c r="E3294" s="41" t="s">
        <v>23057</v>
      </c>
      <c r="F3294" s="43" t="s">
        <v>23058</v>
      </c>
      <c r="G3294" s="43" t="s">
        <v>23059</v>
      </c>
      <c r="H3294" s="61" t="s">
        <v>14973</v>
      </c>
      <c r="I3294" s="15" t="str">
        <f>IFERROR(__xludf.DUMMYFUNCTION("GOOGLETRANSLATE(H3294,""EN"",""ES"")"),"Literatura")</f>
        <v>Literatura</v>
      </c>
      <c r="J3294" s="16" t="s">
        <v>27</v>
      </c>
      <c r="K3294" s="17">
        <v>0.0</v>
      </c>
      <c r="L3294" s="45"/>
      <c r="M3294" s="18"/>
      <c r="N3294" s="86"/>
      <c r="O3294" s="86"/>
      <c r="P3294" s="20">
        <v>0.0</v>
      </c>
      <c r="Q3294" s="18"/>
      <c r="R3294" s="18"/>
      <c r="S3294" s="52"/>
      <c r="T3294" s="22"/>
    </row>
    <row r="3295">
      <c r="A3295" s="23" t="s">
        <v>23060</v>
      </c>
      <c r="B3295" s="77" t="s">
        <v>339</v>
      </c>
      <c r="C3295" s="41">
        <v>45552.0</v>
      </c>
      <c r="D3295" s="40" t="s">
        <v>23061</v>
      </c>
      <c r="E3295" s="41" t="s">
        <v>23062</v>
      </c>
      <c r="F3295" s="43" t="s">
        <v>23063</v>
      </c>
      <c r="G3295" s="43" t="s">
        <v>23064</v>
      </c>
      <c r="H3295" s="59" t="s">
        <v>130</v>
      </c>
      <c r="I3295" s="25" t="str">
        <f>IFERROR(__xludf.DUMMYFUNCTION("GOOGLETRANSLATE(H3295,""EN"",""ES"")"),"Sostenibilidad")</f>
        <v>Sostenibilidad</v>
      </c>
      <c r="J3295" s="26" t="s">
        <v>35</v>
      </c>
      <c r="K3295" s="48">
        <v>0.6</v>
      </c>
      <c r="L3295" s="49" t="s">
        <v>22573</v>
      </c>
      <c r="M3295" s="28" t="s">
        <v>22574</v>
      </c>
      <c r="N3295" s="83" t="s">
        <v>23065</v>
      </c>
      <c r="O3295" s="83" t="str">
        <f>IFERROR(__xludf.DUMMYFUNCTION("GOOGLETRANSLATE(N3295,""EN"",""ES"")"),"Positivo debido a los esfuerzos de sostenibilidad.")</f>
        <v>Positivo debido a los esfuerzos de sostenibilidad.</v>
      </c>
      <c r="P3295" s="30">
        <v>0.5</v>
      </c>
      <c r="Q3295" s="31" t="str">
        <f>IFERROR(__xludf.DUMMYFUNCTION("GOOGLETRANSLATE(R3295,""ES"",""EN"")"),"will install")</f>
        <v>will install</v>
      </c>
      <c r="R3295" s="28" t="s">
        <v>22982</v>
      </c>
      <c r="S3295" s="53" t="s">
        <v>23066</v>
      </c>
      <c r="T3295" s="32" t="s">
        <v>23067</v>
      </c>
    </row>
    <row r="3296">
      <c r="A3296" s="33" t="s">
        <v>23068</v>
      </c>
      <c r="B3296" s="76" t="s">
        <v>1081</v>
      </c>
      <c r="C3296" s="41">
        <v>45552.0</v>
      </c>
      <c r="D3296" s="40" t="s">
        <v>23069</v>
      </c>
      <c r="E3296" s="41" t="s">
        <v>23070</v>
      </c>
      <c r="F3296" s="43" t="s">
        <v>23071</v>
      </c>
      <c r="G3296" s="43" t="s">
        <v>23072</v>
      </c>
      <c r="H3296" s="61" t="s">
        <v>14973</v>
      </c>
      <c r="I3296" s="15" t="str">
        <f>IFERROR(__xludf.DUMMYFUNCTION("GOOGLETRANSLATE(H3296,""EN"",""ES"")"),"Literatura")</f>
        <v>Literatura</v>
      </c>
      <c r="J3296" s="16" t="s">
        <v>27</v>
      </c>
      <c r="K3296" s="17">
        <v>0.0</v>
      </c>
      <c r="L3296" s="45"/>
      <c r="M3296" s="18"/>
      <c r="N3296" s="86"/>
      <c r="O3296" s="86"/>
      <c r="P3296" s="20">
        <v>0.0</v>
      </c>
      <c r="Q3296" s="18"/>
      <c r="R3296" s="18"/>
      <c r="S3296" s="52"/>
      <c r="T3296" s="22"/>
    </row>
    <row r="3297">
      <c r="A3297" s="23" t="s">
        <v>23073</v>
      </c>
      <c r="B3297" s="77" t="s">
        <v>85</v>
      </c>
      <c r="C3297" s="41">
        <v>45552.0</v>
      </c>
      <c r="D3297" s="40" t="s">
        <v>23074</v>
      </c>
      <c r="E3297" s="41" t="s">
        <v>23075</v>
      </c>
      <c r="F3297" s="43" t="s">
        <v>23076</v>
      </c>
      <c r="G3297" s="43" t="s">
        <v>23077</v>
      </c>
      <c r="H3297" s="59" t="s">
        <v>14973</v>
      </c>
      <c r="I3297" s="25" t="str">
        <f>IFERROR(__xludf.DUMMYFUNCTION("GOOGLETRANSLATE(H3297,""EN"",""ES"")"),"Literatura")</f>
        <v>Literatura</v>
      </c>
      <c r="J3297" s="26" t="s">
        <v>27</v>
      </c>
      <c r="K3297" s="17">
        <v>0.0</v>
      </c>
      <c r="L3297" s="54"/>
      <c r="M3297" s="31"/>
      <c r="N3297" s="83"/>
      <c r="O3297" s="83"/>
      <c r="P3297" s="20">
        <v>0.0</v>
      </c>
      <c r="Q3297" s="31"/>
      <c r="R3297" s="31"/>
      <c r="S3297" s="53"/>
      <c r="T3297" s="32"/>
    </row>
    <row r="3298">
      <c r="A3298" s="33" t="s">
        <v>23078</v>
      </c>
      <c r="B3298" s="76" t="s">
        <v>403</v>
      </c>
      <c r="C3298" s="41">
        <v>45552.0</v>
      </c>
      <c r="D3298" s="40" t="s">
        <v>23079</v>
      </c>
      <c r="E3298" s="41" t="s">
        <v>23080</v>
      </c>
      <c r="F3298" s="43" t="s">
        <v>23081</v>
      </c>
      <c r="G3298" s="43" t="s">
        <v>23082</v>
      </c>
      <c r="H3298" s="61" t="s">
        <v>661</v>
      </c>
      <c r="I3298" s="15" t="str">
        <f>IFERROR(__xludf.DUMMYFUNCTION("GOOGLETRANSLATE(H3298,""EN"",""ES"")"),"Estrategia empresarial")</f>
        <v>Estrategia empresarial</v>
      </c>
      <c r="J3298" s="16" t="s">
        <v>35</v>
      </c>
      <c r="K3298" s="48">
        <v>-0.7</v>
      </c>
      <c r="L3298" s="51" t="s">
        <v>23012</v>
      </c>
      <c r="M3298" s="34" t="s">
        <v>23013</v>
      </c>
      <c r="N3298" s="86" t="s">
        <v>23083</v>
      </c>
      <c r="O3298" s="86" t="str">
        <f>IFERROR(__xludf.DUMMYFUNCTION("GOOGLETRANSLATE(N3298,""EN"",""ES"")"),"Negativo por la inestabilidad geopolítica que afecta a Repsol.")</f>
        <v>Negativo por la inestabilidad geopolítica que afecta a Repsol.</v>
      </c>
      <c r="P3298" s="30">
        <v>-0.7</v>
      </c>
      <c r="Q3298" s="18" t="str">
        <f>IFERROR(__xludf.DUMMYFUNCTION("GOOGLETRANSLATE(R3298,""ES"",""EN"")"),"crossroads, crisis")</f>
        <v>crossroads, crisis</v>
      </c>
      <c r="R3298" s="34" t="s">
        <v>23084</v>
      </c>
      <c r="S3298" s="52" t="s">
        <v>23085</v>
      </c>
      <c r="T3298" s="22" t="s">
        <v>23086</v>
      </c>
    </row>
    <row r="3299">
      <c r="A3299" s="23" t="s">
        <v>23087</v>
      </c>
      <c r="B3299" s="77" t="s">
        <v>21</v>
      </c>
      <c r="C3299" s="41">
        <v>45552.0</v>
      </c>
      <c r="D3299" s="40" t="s">
        <v>23088</v>
      </c>
      <c r="E3299" s="41" t="s">
        <v>23089</v>
      </c>
      <c r="F3299" s="43" t="s">
        <v>23090</v>
      </c>
      <c r="G3299" s="43" t="s">
        <v>23091</v>
      </c>
      <c r="H3299" s="59" t="s">
        <v>148</v>
      </c>
      <c r="I3299" s="25" t="str">
        <f>IFERROR(__xludf.DUMMYFUNCTION("GOOGLETRANSLATE(H3299,""EN"",""ES"")"),"Gastronomía")</f>
        <v>Gastronomía</v>
      </c>
      <c r="J3299" s="26" t="s">
        <v>27</v>
      </c>
      <c r="K3299" s="17">
        <v>0.0</v>
      </c>
      <c r="L3299" s="54"/>
      <c r="M3299" s="31"/>
      <c r="N3299" s="83"/>
      <c r="O3299" s="83"/>
      <c r="P3299" s="20">
        <v>0.0</v>
      </c>
      <c r="Q3299" s="31"/>
      <c r="R3299" s="31"/>
      <c r="S3299" s="53"/>
      <c r="T3299" s="32"/>
    </row>
    <row r="3300">
      <c r="A3300" s="33" t="s">
        <v>23092</v>
      </c>
      <c r="B3300" s="76" t="s">
        <v>23093</v>
      </c>
      <c r="C3300" s="41">
        <v>45552.0</v>
      </c>
      <c r="D3300" s="40" t="s">
        <v>23094</v>
      </c>
      <c r="E3300" s="41" t="s">
        <v>23095</v>
      </c>
      <c r="F3300" s="43" t="s">
        <v>23096</v>
      </c>
      <c r="G3300" s="43" t="s">
        <v>23097</v>
      </c>
      <c r="H3300" s="61" t="s">
        <v>14973</v>
      </c>
      <c r="I3300" s="15" t="str">
        <f>IFERROR(__xludf.DUMMYFUNCTION("GOOGLETRANSLATE(H3300,""EN"",""ES"")"),"Literatura")</f>
        <v>Literatura</v>
      </c>
      <c r="J3300" s="16" t="s">
        <v>27</v>
      </c>
      <c r="K3300" s="17">
        <v>0.0</v>
      </c>
      <c r="L3300" s="45"/>
      <c r="M3300" s="18"/>
      <c r="N3300" s="86"/>
      <c r="O3300" s="86"/>
      <c r="P3300" s="20">
        <v>0.0</v>
      </c>
      <c r="Q3300" s="18"/>
      <c r="R3300" s="18"/>
      <c r="S3300" s="52"/>
      <c r="T3300" s="22"/>
    </row>
    <row r="3301">
      <c r="A3301" s="23" t="s">
        <v>23098</v>
      </c>
      <c r="B3301" s="77" t="s">
        <v>217</v>
      </c>
      <c r="C3301" s="41">
        <v>45552.0</v>
      </c>
      <c r="D3301" s="40" t="s">
        <v>23099</v>
      </c>
      <c r="E3301" s="41" t="s">
        <v>23100</v>
      </c>
      <c r="F3301" s="43" t="s">
        <v>23101</v>
      </c>
      <c r="G3301" s="43" t="s">
        <v>23102</v>
      </c>
      <c r="H3301" s="59" t="s">
        <v>130</v>
      </c>
      <c r="I3301" s="25" t="str">
        <f>IFERROR(__xludf.DUMMYFUNCTION("GOOGLETRANSLATE(H3301,""EN"",""ES"")"),"Sostenibilidad")</f>
        <v>Sostenibilidad</v>
      </c>
      <c r="J3301" s="26" t="s">
        <v>35</v>
      </c>
      <c r="K3301" s="48">
        <v>0.7</v>
      </c>
      <c r="L3301" s="49" t="s">
        <v>16837</v>
      </c>
      <c r="M3301" s="28" t="s">
        <v>16838</v>
      </c>
      <c r="N3301" s="83" t="s">
        <v>22867</v>
      </c>
      <c r="O3301" s="83" t="str">
        <f>IFERROR(__xludf.DUMMYFUNCTION("GOOGLETRANSLATE(N3301,""EN"",""ES"")"),"Positivo por la inversión de Repsol en energías renovables.")</f>
        <v>Positivo por la inversión de Repsol en energías renovables.</v>
      </c>
      <c r="P3301" s="30">
        <v>0.6</v>
      </c>
      <c r="Q3301" s="31" t="str">
        <f>IFERROR(__xludf.DUMMYFUNCTION("GOOGLETRANSLATE(R3301,""ES"",""EN"")"),"self-consumption, batteries")</f>
        <v>self-consumption, batteries</v>
      </c>
      <c r="R3301" s="28" t="s">
        <v>23103</v>
      </c>
      <c r="S3301" s="53" t="s">
        <v>23104</v>
      </c>
      <c r="T3301" s="32" t="s">
        <v>23105</v>
      </c>
    </row>
    <row r="3302">
      <c r="A3302" s="33" t="s">
        <v>23106</v>
      </c>
      <c r="B3302" s="76" t="s">
        <v>20547</v>
      </c>
      <c r="C3302" s="41">
        <v>45552.0</v>
      </c>
      <c r="D3302" s="40" t="s">
        <v>23107</v>
      </c>
      <c r="E3302" s="41" t="s">
        <v>23108</v>
      </c>
      <c r="F3302" s="43" t="s">
        <v>23109</v>
      </c>
      <c r="G3302" s="43" t="s">
        <v>23110</v>
      </c>
      <c r="H3302" s="61" t="s">
        <v>661</v>
      </c>
      <c r="I3302" s="15" t="str">
        <f>IFERROR(__xludf.DUMMYFUNCTION("GOOGLETRANSLATE(H3302,""EN"",""ES"")"),"Estrategia empresarial")</f>
        <v>Estrategia empresarial</v>
      </c>
      <c r="J3302" s="16" t="s">
        <v>35</v>
      </c>
      <c r="K3302" s="48">
        <v>0.6</v>
      </c>
      <c r="L3302" s="51" t="s">
        <v>20237</v>
      </c>
      <c r="M3302" s="34" t="s">
        <v>20238</v>
      </c>
      <c r="N3302" s="86" t="s">
        <v>23111</v>
      </c>
      <c r="O3302" s="86" t="str">
        <f>IFERROR(__xludf.DUMMYFUNCTION("GOOGLETRANSLATE(N3302,""EN"",""ES"")"),"Positivo por la continuidad de las operaciones de Repsol en Venezuela.")</f>
        <v>Positivo por la continuidad de las operaciones de Repsol en Venezuela.</v>
      </c>
      <c r="P3302" s="30">
        <v>0.3</v>
      </c>
      <c r="Q3302" s="18" t="str">
        <f>IFERROR(__xludf.DUMMYFUNCTION("GOOGLETRANSLATE(R3302,""ES"",""EN"")"),"strategic")</f>
        <v>strategic</v>
      </c>
      <c r="R3302" s="34" t="s">
        <v>23112</v>
      </c>
      <c r="S3302" s="52" t="s">
        <v>23113</v>
      </c>
      <c r="T3302" s="22" t="s">
        <v>23114</v>
      </c>
    </row>
    <row r="3303">
      <c r="A3303" s="23" t="s">
        <v>23115</v>
      </c>
      <c r="B3303" s="77" t="s">
        <v>21</v>
      </c>
      <c r="C3303" s="41">
        <v>45552.0</v>
      </c>
      <c r="D3303" s="40" t="s">
        <v>23116</v>
      </c>
      <c r="E3303" s="41" t="s">
        <v>23117</v>
      </c>
      <c r="F3303" s="43" t="s">
        <v>23118</v>
      </c>
      <c r="G3303" s="43" t="s">
        <v>23119</v>
      </c>
      <c r="H3303" s="59" t="s">
        <v>969</v>
      </c>
      <c r="I3303" s="25" t="str">
        <f>IFERROR(__xludf.DUMMYFUNCTION("GOOGLETRANSLATE(H3303,""EN"",""ES"")"),"Turismo")</f>
        <v>Turismo</v>
      </c>
      <c r="J3303" s="26" t="s">
        <v>27</v>
      </c>
      <c r="K3303" s="17">
        <v>0.0</v>
      </c>
      <c r="L3303" s="54"/>
      <c r="M3303" s="31"/>
      <c r="N3303" s="83"/>
      <c r="O3303" s="83"/>
      <c r="P3303" s="20">
        <v>0.0</v>
      </c>
      <c r="Q3303" s="31"/>
      <c r="R3303" s="31"/>
      <c r="S3303" s="53"/>
      <c r="T3303" s="32"/>
    </row>
    <row r="3304">
      <c r="A3304" s="33" t="s">
        <v>23120</v>
      </c>
      <c r="B3304" s="76" t="s">
        <v>85</v>
      </c>
      <c r="C3304" s="41">
        <v>45552.0</v>
      </c>
      <c r="D3304" s="40" t="s">
        <v>23121</v>
      </c>
      <c r="E3304" s="41" t="s">
        <v>23121</v>
      </c>
      <c r="F3304" s="43" t="s">
        <v>23122</v>
      </c>
      <c r="G3304" s="43" t="s">
        <v>23122</v>
      </c>
      <c r="H3304" s="61" t="s">
        <v>2591</v>
      </c>
      <c r="I3304" s="15" t="str">
        <f>IFERROR(__xludf.DUMMYFUNCTION("GOOGLETRANSLATE(H3304,""EN"",""ES"")"),"Negocio")</f>
        <v>Negocio</v>
      </c>
      <c r="J3304" s="16" t="s">
        <v>27</v>
      </c>
      <c r="K3304" s="17">
        <v>0.0</v>
      </c>
      <c r="L3304" s="45"/>
      <c r="M3304" s="18"/>
      <c r="N3304" s="86"/>
      <c r="O3304" s="86"/>
      <c r="P3304" s="20">
        <v>0.0</v>
      </c>
      <c r="Q3304" s="18"/>
      <c r="R3304" s="18"/>
      <c r="S3304" s="52"/>
      <c r="T3304" s="22"/>
    </row>
    <row r="3305">
      <c r="A3305" s="23" t="s">
        <v>23123</v>
      </c>
      <c r="B3305" s="77" t="s">
        <v>23124</v>
      </c>
      <c r="C3305" s="41">
        <v>45552.0</v>
      </c>
      <c r="D3305" s="40" t="s">
        <v>23125</v>
      </c>
      <c r="E3305" s="41" t="s">
        <v>23126</v>
      </c>
      <c r="F3305" s="43" t="s">
        <v>23127</v>
      </c>
      <c r="G3305" s="43" t="s">
        <v>23128</v>
      </c>
      <c r="H3305" s="59" t="s">
        <v>130</v>
      </c>
      <c r="I3305" s="25" t="str">
        <f>IFERROR(__xludf.DUMMYFUNCTION("GOOGLETRANSLATE(H3305,""EN"",""ES"")"),"Sostenibilidad")</f>
        <v>Sostenibilidad</v>
      </c>
      <c r="J3305" s="26" t="s">
        <v>35</v>
      </c>
      <c r="K3305" s="48">
        <v>-0.6</v>
      </c>
      <c r="L3305" s="49" t="s">
        <v>23129</v>
      </c>
      <c r="M3305" s="28" t="s">
        <v>23130</v>
      </c>
      <c r="N3305" s="83" t="s">
        <v>23131</v>
      </c>
      <c r="O3305" s="83" t="str">
        <f>IFERROR(__xludf.DUMMYFUNCTION("GOOGLETRANSLATE(N3305,""EN"",""ES"")"),"Negativo por oposición ambiental al proyecto eólico de Repsol.")</f>
        <v>Negativo por oposición ambiental al proyecto eólico de Repsol.</v>
      </c>
      <c r="P3305" s="30">
        <v>-0.4</v>
      </c>
      <c r="Q3305" s="31" t="str">
        <f>IFERROR(__xludf.DUMMYFUNCTION("GOOGLETRANSLATE(R3305,""ES"",""EN"")"),"alleges")</f>
        <v>alleges</v>
      </c>
      <c r="R3305" s="28" t="s">
        <v>23132</v>
      </c>
      <c r="S3305" s="53" t="s">
        <v>23133</v>
      </c>
      <c r="T3305" s="32" t="s">
        <v>23134</v>
      </c>
    </row>
    <row r="3306">
      <c r="A3306" s="33" t="s">
        <v>23135</v>
      </c>
      <c r="B3306" s="76" t="s">
        <v>254</v>
      </c>
      <c r="C3306" s="41">
        <v>45552.0</v>
      </c>
      <c r="D3306" s="40" t="s">
        <v>23136</v>
      </c>
      <c r="E3306" s="41" t="s">
        <v>23137</v>
      </c>
      <c r="F3306" s="43" t="s">
        <v>23138</v>
      </c>
      <c r="G3306" s="43" t="s">
        <v>23139</v>
      </c>
      <c r="H3306" s="61" t="s">
        <v>661</v>
      </c>
      <c r="I3306" s="15" t="str">
        <f>IFERROR(__xludf.DUMMYFUNCTION("GOOGLETRANSLATE(H3306,""EN"",""ES"")"),"Estrategia empresarial")</f>
        <v>Estrategia empresarial</v>
      </c>
      <c r="J3306" s="16" t="s">
        <v>35</v>
      </c>
      <c r="K3306" s="48">
        <v>0.6</v>
      </c>
      <c r="L3306" s="51" t="s">
        <v>23140</v>
      </c>
      <c r="M3306" s="34" t="s">
        <v>23141</v>
      </c>
      <c r="N3306" s="86" t="s">
        <v>23142</v>
      </c>
      <c r="O3306" s="86" t="str">
        <f>IFERROR(__xludf.DUMMYFUNCTION("GOOGLETRANSLATE(N3306,""EN"",""ES"")"),"Positivo debido al desarrollo de infraestructura.")</f>
        <v>Positivo debido al desarrollo de infraestructura.</v>
      </c>
      <c r="P3306" s="30">
        <v>0.3</v>
      </c>
      <c r="Q3306" s="18" t="str">
        <f>IFERROR(__xludf.DUMMYFUNCTION("GOOGLETRANSLATE(R3306,""ES"",""EN"")"),"green light")</f>
        <v>green light</v>
      </c>
      <c r="R3306" s="34" t="s">
        <v>23143</v>
      </c>
      <c r="S3306" s="52" t="s">
        <v>23144</v>
      </c>
      <c r="T3306" s="22" t="s">
        <v>23145</v>
      </c>
    </row>
    <row r="3307">
      <c r="A3307" s="23" t="s">
        <v>23146</v>
      </c>
      <c r="B3307" s="77" t="s">
        <v>558</v>
      </c>
      <c r="C3307" s="41">
        <v>45553.0</v>
      </c>
      <c r="D3307" s="40" t="s">
        <v>23147</v>
      </c>
      <c r="E3307" s="41" t="s">
        <v>23148</v>
      </c>
      <c r="F3307" s="43" t="s">
        <v>23149</v>
      </c>
      <c r="G3307" s="43" t="s">
        <v>23150</v>
      </c>
      <c r="H3307" s="59" t="s">
        <v>130</v>
      </c>
      <c r="I3307" s="25" t="str">
        <f>IFERROR(__xludf.DUMMYFUNCTION("GOOGLETRANSLATE(H3307,""EN"",""ES"")"),"Sostenibilidad")</f>
        <v>Sostenibilidad</v>
      </c>
      <c r="J3307" s="26" t="s">
        <v>35</v>
      </c>
      <c r="K3307" s="48">
        <v>0.7</v>
      </c>
      <c r="L3307" s="49" t="s">
        <v>16837</v>
      </c>
      <c r="M3307" s="28" t="s">
        <v>16838</v>
      </c>
      <c r="N3307" s="83" t="s">
        <v>23151</v>
      </c>
      <c r="O3307" s="83" t="str">
        <f>IFERROR(__xludf.DUMMYFUNCTION("GOOGLETRANSLATE(N3307,""EN"",""ES"")"),"Positivo por la expansión de Repsol en energías renovables.")</f>
        <v>Positivo por la expansión de Repsol en energías renovables.</v>
      </c>
      <c r="P3307" s="30">
        <v>0.5</v>
      </c>
      <c r="Q3307" s="31" t="str">
        <f>IFERROR(__xludf.DUMMYFUNCTION("GOOGLETRANSLATE(R3307,""ES"",""EN"")"),"agreement")</f>
        <v>agreement</v>
      </c>
      <c r="R3307" s="28" t="s">
        <v>11189</v>
      </c>
      <c r="S3307" s="53" t="s">
        <v>23152</v>
      </c>
      <c r="T3307" s="32" t="s">
        <v>23153</v>
      </c>
    </row>
    <row r="3308">
      <c r="A3308" s="33" t="s">
        <v>23154</v>
      </c>
      <c r="B3308" s="76" t="s">
        <v>103</v>
      </c>
      <c r="C3308" s="41">
        <v>45553.0</v>
      </c>
      <c r="D3308" s="40" t="s">
        <v>23155</v>
      </c>
      <c r="E3308" s="41" t="s">
        <v>23156</v>
      </c>
      <c r="F3308" s="43" t="s">
        <v>23157</v>
      </c>
      <c r="G3308" s="43" t="s">
        <v>23158</v>
      </c>
      <c r="H3308" s="61" t="s">
        <v>130</v>
      </c>
      <c r="I3308" s="15" t="str">
        <f>IFERROR(__xludf.DUMMYFUNCTION("GOOGLETRANSLATE(H3308,""EN"",""ES"")"),"Sostenibilidad")</f>
        <v>Sostenibilidad</v>
      </c>
      <c r="J3308" s="16" t="s">
        <v>35</v>
      </c>
      <c r="K3308" s="48">
        <v>0.7</v>
      </c>
      <c r="L3308" s="51" t="s">
        <v>16837</v>
      </c>
      <c r="M3308" s="34" t="s">
        <v>16838</v>
      </c>
      <c r="N3308" s="86" t="s">
        <v>23151</v>
      </c>
      <c r="O3308" s="86" t="str">
        <f>IFERROR(__xludf.DUMMYFUNCTION("GOOGLETRANSLATE(N3308,""EN"",""ES"")"),"Positivo por la expansión de Repsol en energías renovables.")</f>
        <v>Positivo por la expansión de Repsol en energías renovables.</v>
      </c>
      <c r="P3308" s="30">
        <v>0.6</v>
      </c>
      <c r="Q3308" s="18" t="str">
        <f>IFERROR(__xludf.DUMMYFUNCTION("GOOGLETRANSLATE(R3308,""ES"",""EN"")"),"alian, renewable")</f>
        <v>alian, renewable</v>
      </c>
      <c r="R3308" s="34" t="s">
        <v>23159</v>
      </c>
      <c r="S3308" s="52" t="s">
        <v>23160</v>
      </c>
      <c r="T3308" s="22" t="s">
        <v>23161</v>
      </c>
    </row>
    <row r="3309">
      <c r="A3309" s="23" t="s">
        <v>23162</v>
      </c>
      <c r="B3309" s="77" t="s">
        <v>217</v>
      </c>
      <c r="C3309" s="41">
        <v>45553.0</v>
      </c>
      <c r="D3309" s="40" t="s">
        <v>23163</v>
      </c>
      <c r="E3309" s="41" t="s">
        <v>23164</v>
      </c>
      <c r="F3309" s="43" t="s">
        <v>23165</v>
      </c>
      <c r="G3309" s="43" t="s">
        <v>23166</v>
      </c>
      <c r="H3309" s="59" t="s">
        <v>130</v>
      </c>
      <c r="I3309" s="25" t="str">
        <f>IFERROR(__xludf.DUMMYFUNCTION("GOOGLETRANSLATE(H3309,""EN"",""ES"")"),"Sostenibilidad")</f>
        <v>Sostenibilidad</v>
      </c>
      <c r="J3309" s="26" t="s">
        <v>35</v>
      </c>
      <c r="K3309" s="48">
        <v>0.7</v>
      </c>
      <c r="L3309" s="49" t="s">
        <v>16837</v>
      </c>
      <c r="M3309" s="28" t="s">
        <v>16838</v>
      </c>
      <c r="N3309" s="83" t="s">
        <v>23167</v>
      </c>
      <c r="O3309" s="83" t="str">
        <f>IFERROR(__xludf.DUMMYFUNCTION("GOOGLETRANSLATE(N3309,""EN"",""ES"")"),"Positivo por la expansión de Repsol hacia las energías renovables.")</f>
        <v>Positivo por la expansión de Repsol hacia las energías renovables.</v>
      </c>
      <c r="P3309" s="30">
        <v>0.6</v>
      </c>
      <c r="Q3309" s="31" t="str">
        <f>IFERROR(__xludf.DUMMYFUNCTION("GOOGLETRANSLATE(R3309,""ES"",""EN"")"),"alian, renewable")</f>
        <v>alian, renewable</v>
      </c>
      <c r="R3309" s="28" t="s">
        <v>23159</v>
      </c>
      <c r="S3309" s="53" t="s">
        <v>23168</v>
      </c>
      <c r="T3309" s="32" t="s">
        <v>23169</v>
      </c>
    </row>
    <row r="3310">
      <c r="A3310" s="33" t="s">
        <v>23170</v>
      </c>
      <c r="B3310" s="76" t="s">
        <v>666</v>
      </c>
      <c r="C3310" s="41">
        <v>45553.0</v>
      </c>
      <c r="D3310" s="40" t="s">
        <v>23171</v>
      </c>
      <c r="E3310" s="41" t="s">
        <v>23172</v>
      </c>
      <c r="F3310" s="43" t="s">
        <v>23173</v>
      </c>
      <c r="G3310" s="43" t="s">
        <v>23174</v>
      </c>
      <c r="H3310" s="61" t="s">
        <v>130</v>
      </c>
      <c r="I3310" s="15" t="str">
        <f>IFERROR(__xludf.DUMMYFUNCTION("GOOGLETRANSLATE(H3310,""EN"",""ES"")"),"Sostenibilidad")</f>
        <v>Sostenibilidad</v>
      </c>
      <c r="J3310" s="16" t="s">
        <v>35</v>
      </c>
      <c r="K3310" s="48">
        <v>0.7</v>
      </c>
      <c r="L3310" s="51" t="s">
        <v>16837</v>
      </c>
      <c r="M3310" s="34" t="s">
        <v>16838</v>
      </c>
      <c r="N3310" s="86" t="s">
        <v>23175</v>
      </c>
      <c r="O3310" s="86" t="str">
        <f>IFERROR(__xludf.DUMMYFUNCTION("GOOGLETRANSLATE(N3310,""EN"",""ES"")"),"Positivo por crecimiento en proyectos de energías renovables.")</f>
        <v>Positivo por crecimiento en proyectos de energías renovables.</v>
      </c>
      <c r="P3310" s="30">
        <v>0.4</v>
      </c>
      <c r="Q3310" s="18" t="str">
        <f>IFERROR(__xludf.DUMMYFUNCTION("GOOGLETRANSLATE(R3310,""ES"",""EN"")"),"-")</f>
        <v>-</v>
      </c>
      <c r="R3310" s="34" t="s">
        <v>11852</v>
      </c>
      <c r="S3310" s="52" t="s">
        <v>23176</v>
      </c>
      <c r="T3310" s="22" t="s">
        <v>23177</v>
      </c>
    </row>
    <row r="3311">
      <c r="A3311" s="23" t="s">
        <v>23178</v>
      </c>
      <c r="B3311" s="77" t="s">
        <v>19194</v>
      </c>
      <c r="C3311" s="41">
        <v>45553.0</v>
      </c>
      <c r="D3311" s="40" t="s">
        <v>23179</v>
      </c>
      <c r="E3311" s="41" t="s">
        <v>23180</v>
      </c>
      <c r="F3311" s="43" t="s">
        <v>23181</v>
      </c>
      <c r="G3311" s="43" t="s">
        <v>23182</v>
      </c>
      <c r="H3311" s="59" t="s">
        <v>48</v>
      </c>
      <c r="I3311" s="25" t="str">
        <f>IFERROR(__xludf.DUMMYFUNCTION("GOOGLETRANSLATE(H3311,""EN"",""ES"")"),"Finanzas")</f>
        <v>Finanzas</v>
      </c>
      <c r="J3311" s="26" t="s">
        <v>35</v>
      </c>
      <c r="K3311" s="48">
        <v>-0.5</v>
      </c>
      <c r="L3311" s="49" t="s">
        <v>19216</v>
      </c>
      <c r="M3311" s="28" t="s">
        <v>19217</v>
      </c>
      <c r="N3311" s="83" t="s">
        <v>23183</v>
      </c>
      <c r="O3311" s="83" t="str">
        <f>IFERROR(__xludf.DUMMYFUNCTION("GOOGLETRANSLATE(N3311,""EN"",""ES"")"),"Negativo debido a preocupaciones de riesgo financiero.")</f>
        <v>Negativo debido a preocupaciones de riesgo financiero.</v>
      </c>
      <c r="P3311" s="30">
        <v>-0.3</v>
      </c>
      <c r="Q3311" s="31" t="str">
        <f>IFERROR(__xludf.DUMMYFUNCTION("GOOGLETRANSLATE(R3311,""ES"",""EN"")"),"risk")</f>
        <v>risk</v>
      </c>
      <c r="R3311" s="28" t="s">
        <v>23184</v>
      </c>
      <c r="S3311" s="53" t="s">
        <v>23185</v>
      </c>
      <c r="T3311" s="32" t="s">
        <v>23186</v>
      </c>
    </row>
    <row r="3312">
      <c r="A3312" s="33" t="s">
        <v>23187</v>
      </c>
      <c r="B3312" s="76" t="s">
        <v>4634</v>
      </c>
      <c r="C3312" s="41">
        <v>45553.0</v>
      </c>
      <c r="D3312" s="40" t="s">
        <v>23188</v>
      </c>
      <c r="E3312" s="41" t="s">
        <v>23189</v>
      </c>
      <c r="F3312" s="43" t="s">
        <v>23190</v>
      </c>
      <c r="G3312" s="43" t="s">
        <v>23191</v>
      </c>
      <c r="H3312" s="61" t="s">
        <v>148</v>
      </c>
      <c r="I3312" s="15" t="str">
        <f>IFERROR(__xludf.DUMMYFUNCTION("GOOGLETRANSLATE(H3312,""EN"",""ES"")"),"Gastronomía")</f>
        <v>Gastronomía</v>
      </c>
      <c r="J3312" s="16" t="s">
        <v>27</v>
      </c>
      <c r="K3312" s="17">
        <v>0.0</v>
      </c>
      <c r="L3312" s="45"/>
      <c r="M3312" s="18"/>
      <c r="N3312" s="86"/>
      <c r="O3312" s="86"/>
      <c r="P3312" s="20">
        <v>0.0</v>
      </c>
      <c r="Q3312" s="18"/>
      <c r="R3312" s="18"/>
      <c r="S3312" s="52"/>
      <c r="T3312" s="22"/>
    </row>
    <row r="3313">
      <c r="A3313" s="23" t="s">
        <v>23192</v>
      </c>
      <c r="B3313" s="77" t="s">
        <v>21</v>
      </c>
      <c r="C3313" s="41">
        <v>45553.0</v>
      </c>
      <c r="D3313" s="40" t="s">
        <v>23193</v>
      </c>
      <c r="E3313" s="41" t="s">
        <v>23194</v>
      </c>
      <c r="F3313" s="43" t="s">
        <v>23195</v>
      </c>
      <c r="G3313" s="43" t="s">
        <v>23196</v>
      </c>
      <c r="H3313" s="59" t="s">
        <v>148</v>
      </c>
      <c r="I3313" s="25" t="str">
        <f>IFERROR(__xludf.DUMMYFUNCTION("GOOGLETRANSLATE(H3313,""EN"",""ES"")"),"Gastronomía")</f>
        <v>Gastronomía</v>
      </c>
      <c r="J3313" s="26" t="s">
        <v>27</v>
      </c>
      <c r="K3313" s="17">
        <v>0.0</v>
      </c>
      <c r="L3313" s="54"/>
      <c r="M3313" s="31"/>
      <c r="N3313" s="83"/>
      <c r="O3313" s="83"/>
      <c r="P3313" s="20">
        <v>0.0</v>
      </c>
      <c r="Q3313" s="31"/>
      <c r="R3313" s="31"/>
      <c r="S3313" s="53"/>
      <c r="T3313" s="32"/>
    </row>
    <row r="3314">
      <c r="A3314" s="33" t="s">
        <v>23197</v>
      </c>
      <c r="B3314" s="76" t="s">
        <v>6297</v>
      </c>
      <c r="C3314" s="41">
        <v>45553.0</v>
      </c>
      <c r="D3314" s="40" t="s">
        <v>23198</v>
      </c>
      <c r="E3314" s="41" t="s">
        <v>23199</v>
      </c>
      <c r="F3314" s="43" t="s">
        <v>23200</v>
      </c>
      <c r="G3314" s="43" t="s">
        <v>23201</v>
      </c>
      <c r="H3314" s="61" t="s">
        <v>148</v>
      </c>
      <c r="I3314" s="15" t="str">
        <f>IFERROR(__xludf.DUMMYFUNCTION("GOOGLETRANSLATE(H3314,""EN"",""ES"")"),"Gastronomía")</f>
        <v>Gastronomía</v>
      </c>
      <c r="J3314" s="16" t="s">
        <v>27</v>
      </c>
      <c r="K3314" s="17">
        <v>0.0</v>
      </c>
      <c r="L3314" s="45"/>
      <c r="M3314" s="18"/>
      <c r="N3314" s="86"/>
      <c r="O3314" s="86"/>
      <c r="P3314" s="20">
        <v>0.0</v>
      </c>
      <c r="Q3314" s="18"/>
      <c r="R3314" s="18"/>
      <c r="S3314" s="52"/>
      <c r="T3314" s="22"/>
    </row>
    <row r="3315">
      <c r="A3315" s="23" t="s">
        <v>23202</v>
      </c>
      <c r="B3315" s="77" t="s">
        <v>85</v>
      </c>
      <c r="C3315" s="41">
        <v>45553.0</v>
      </c>
      <c r="D3315" s="40" t="s">
        <v>23203</v>
      </c>
      <c r="E3315" s="41" t="s">
        <v>23204</v>
      </c>
      <c r="F3315" s="43" t="s">
        <v>23205</v>
      </c>
      <c r="G3315" s="43" t="s">
        <v>23206</v>
      </c>
      <c r="H3315" s="59" t="s">
        <v>148</v>
      </c>
      <c r="I3315" s="25" t="str">
        <f>IFERROR(__xludf.DUMMYFUNCTION("GOOGLETRANSLATE(H3315,""EN"",""ES"")"),"Gastronomía")</f>
        <v>Gastronomía</v>
      </c>
      <c r="J3315" s="26" t="s">
        <v>27</v>
      </c>
      <c r="K3315" s="17">
        <v>0.0</v>
      </c>
      <c r="L3315" s="54"/>
      <c r="M3315" s="31"/>
      <c r="N3315" s="83"/>
      <c r="O3315" s="83"/>
      <c r="P3315" s="20">
        <v>0.0</v>
      </c>
      <c r="Q3315" s="31"/>
      <c r="R3315" s="31"/>
      <c r="S3315" s="53"/>
      <c r="T3315" s="32"/>
    </row>
    <row r="3316">
      <c r="A3316" s="33" t="s">
        <v>23207</v>
      </c>
      <c r="B3316" s="76" t="s">
        <v>1602</v>
      </c>
      <c r="C3316" s="41">
        <v>45553.0</v>
      </c>
      <c r="D3316" s="40" t="s">
        <v>23208</v>
      </c>
      <c r="E3316" s="41" t="s">
        <v>17872</v>
      </c>
      <c r="F3316" s="43" t="s">
        <v>23209</v>
      </c>
      <c r="G3316" s="43" t="s">
        <v>17874</v>
      </c>
      <c r="H3316" s="61" t="s">
        <v>48</v>
      </c>
      <c r="I3316" s="15" t="str">
        <f>IFERROR(__xludf.DUMMYFUNCTION("GOOGLETRANSLATE(H3316,""EN"",""ES"")"),"Finanzas")</f>
        <v>Finanzas</v>
      </c>
      <c r="J3316" s="16" t="s">
        <v>35</v>
      </c>
      <c r="K3316" s="48">
        <v>0.6</v>
      </c>
      <c r="L3316" s="51" t="s">
        <v>19216</v>
      </c>
      <c r="M3316" s="34" t="s">
        <v>19217</v>
      </c>
      <c r="N3316" s="86" t="s">
        <v>23210</v>
      </c>
      <c r="O3316" s="86" t="str">
        <f>IFERROR(__xludf.DUMMYFUNCTION("GOOGLETRANSLATE(N3316,""EN"",""ES"")"),"Positivo debido al análisis financiero.")</f>
        <v>Positivo debido al análisis financiero.</v>
      </c>
      <c r="P3316" s="30">
        <v>0.0</v>
      </c>
      <c r="Q3316" s="18"/>
      <c r="R3316" s="18"/>
      <c r="S3316" s="52" t="s">
        <v>21700</v>
      </c>
      <c r="T3316" s="22" t="s">
        <v>21701</v>
      </c>
    </row>
    <row r="3317">
      <c r="A3317" s="23" t="s">
        <v>23211</v>
      </c>
      <c r="B3317" s="77" t="s">
        <v>229</v>
      </c>
      <c r="C3317" s="41">
        <v>45553.0</v>
      </c>
      <c r="D3317" s="40" t="s">
        <v>23212</v>
      </c>
      <c r="E3317" s="41" t="s">
        <v>23213</v>
      </c>
      <c r="F3317" s="43" t="s">
        <v>23214</v>
      </c>
      <c r="G3317" s="43" t="s">
        <v>23215</v>
      </c>
      <c r="H3317" s="59" t="s">
        <v>661</v>
      </c>
      <c r="I3317" s="25" t="str">
        <f>IFERROR(__xludf.DUMMYFUNCTION("GOOGLETRANSLATE(H3317,""EN"",""ES"")"),"Estrategia empresarial")</f>
        <v>Estrategia empresarial</v>
      </c>
      <c r="J3317" s="26" t="s">
        <v>35</v>
      </c>
      <c r="K3317" s="48">
        <v>0.6</v>
      </c>
      <c r="L3317" s="49" t="s">
        <v>22304</v>
      </c>
      <c r="M3317" s="28" t="s">
        <v>22305</v>
      </c>
      <c r="N3317" s="83" t="s">
        <v>23216</v>
      </c>
      <c r="O3317" s="83" t="str">
        <f>IFERROR(__xludf.DUMMYFUNCTION("GOOGLETRANSLATE(N3317,""EN"",""ES"")"),"Positivo debido al posicionamiento competitivo en el mercado.")</f>
        <v>Positivo debido al posicionamiento competitivo en el mercado.</v>
      </c>
      <c r="P3317" s="30">
        <v>0.4</v>
      </c>
      <c r="Q3317" s="31" t="str">
        <f>IFERROR(__xludf.DUMMYFUNCTION("GOOGLETRANSLATE(R3317,""ES"",""EN"")"),"stand out")</f>
        <v>stand out</v>
      </c>
      <c r="R3317" s="28" t="s">
        <v>23217</v>
      </c>
      <c r="S3317" s="53" t="s">
        <v>23218</v>
      </c>
      <c r="T3317" s="32" t="s">
        <v>23219</v>
      </c>
    </row>
    <row r="3318">
      <c r="A3318" s="33" t="s">
        <v>23220</v>
      </c>
      <c r="B3318" s="76" t="s">
        <v>10673</v>
      </c>
      <c r="C3318" s="41">
        <v>45553.0</v>
      </c>
      <c r="D3318" s="40" t="s">
        <v>23221</v>
      </c>
      <c r="E3318" s="41" t="s">
        <v>23222</v>
      </c>
      <c r="F3318" s="43" t="s">
        <v>23223</v>
      </c>
      <c r="G3318" s="43" t="s">
        <v>23224</v>
      </c>
      <c r="H3318" s="61" t="s">
        <v>23225</v>
      </c>
      <c r="I3318" s="15" t="str">
        <f>IFERROR(__xludf.DUMMYFUNCTION("GOOGLETRANSLATE(H3318,""EN"",""ES"")"),"Relaciones Públicas y Reputación")</f>
        <v>Relaciones Públicas y Reputación</v>
      </c>
      <c r="J3318" s="16" t="s">
        <v>35</v>
      </c>
      <c r="K3318" s="48">
        <v>-0.6</v>
      </c>
      <c r="L3318" s="51" t="s">
        <v>23226</v>
      </c>
      <c r="M3318" s="34" t="s">
        <v>23227</v>
      </c>
      <c r="N3318" s="86" t="s">
        <v>23228</v>
      </c>
      <c r="O3318" s="86" t="str">
        <f>IFERROR(__xludf.DUMMYFUNCTION("GOOGLETRANSLATE(N3318,""EN"",""ES"")"),"Negativo por críticas a las estrategias de patrocinio.")</f>
        <v>Negativo por críticas a las estrategias de patrocinio.</v>
      </c>
      <c r="P3318" s="30">
        <v>-0.5</v>
      </c>
      <c r="Q3318" s="18" t="str">
        <f>IFERROR(__xludf.DUMMYFUNCTION("GOOGLETRANSLATE(R3318,""ES"",""EN"")"),"sportswashing")</f>
        <v>sportswashing</v>
      </c>
      <c r="R3318" s="34" t="s">
        <v>23229</v>
      </c>
      <c r="S3318" s="52" t="s">
        <v>23230</v>
      </c>
      <c r="T3318" s="22" t="s">
        <v>23231</v>
      </c>
    </row>
    <row r="3319">
      <c r="A3319" s="23" t="s">
        <v>23232</v>
      </c>
      <c r="B3319" s="77" t="s">
        <v>4673</v>
      </c>
      <c r="C3319" s="41">
        <v>45553.0</v>
      </c>
      <c r="D3319" s="40" t="s">
        <v>23233</v>
      </c>
      <c r="E3319" s="41" t="s">
        <v>23234</v>
      </c>
      <c r="F3319" s="43" t="s">
        <v>23235</v>
      </c>
      <c r="G3319" s="43" t="s">
        <v>23236</v>
      </c>
      <c r="H3319" s="59" t="s">
        <v>14973</v>
      </c>
      <c r="I3319" s="25" t="str">
        <f>IFERROR(__xludf.DUMMYFUNCTION("GOOGLETRANSLATE(H3319,""EN"",""ES"")"),"Literatura")</f>
        <v>Literatura</v>
      </c>
      <c r="J3319" s="26" t="s">
        <v>27</v>
      </c>
      <c r="K3319" s="17">
        <v>0.0</v>
      </c>
      <c r="L3319" s="54"/>
      <c r="M3319" s="31"/>
      <c r="N3319" s="83"/>
      <c r="O3319" s="83"/>
      <c r="P3319" s="20">
        <v>0.0</v>
      </c>
      <c r="Q3319" s="31"/>
      <c r="R3319" s="31"/>
      <c r="S3319" s="53"/>
      <c r="T3319" s="32"/>
    </row>
    <row r="3320">
      <c r="A3320" s="33" t="s">
        <v>23237</v>
      </c>
      <c r="B3320" s="76" t="s">
        <v>499</v>
      </c>
      <c r="C3320" s="41">
        <v>45553.0</v>
      </c>
      <c r="D3320" s="40" t="s">
        <v>23238</v>
      </c>
      <c r="E3320" s="41" t="s">
        <v>23239</v>
      </c>
      <c r="F3320" s="43" t="s">
        <v>23240</v>
      </c>
      <c r="G3320" s="43" t="s">
        <v>23241</v>
      </c>
      <c r="H3320" s="61" t="s">
        <v>130</v>
      </c>
      <c r="I3320" s="15" t="str">
        <f>IFERROR(__xludf.DUMMYFUNCTION("GOOGLETRANSLATE(H3320,""EN"",""ES"")"),"Sostenibilidad")</f>
        <v>Sostenibilidad</v>
      </c>
      <c r="J3320" s="16" t="s">
        <v>35</v>
      </c>
      <c r="K3320" s="48">
        <v>0.7</v>
      </c>
      <c r="L3320" s="51" t="s">
        <v>12216</v>
      </c>
      <c r="M3320" s="34" t="s">
        <v>12217</v>
      </c>
      <c r="N3320" s="86" t="s">
        <v>23065</v>
      </c>
      <c r="O3320" s="86" t="str">
        <f>IFERROR(__xludf.DUMMYFUNCTION("GOOGLETRANSLATE(N3320,""EN"",""ES"")"),"Positivo debido a los esfuerzos de sostenibilidad.")</f>
        <v>Positivo debido a los esfuerzos de sostenibilidad.</v>
      </c>
      <c r="P3320" s="30">
        <v>0.5</v>
      </c>
      <c r="Q3320" s="18" t="str">
        <f>IFERROR(__xludf.DUMMYFUNCTION("GOOGLETRANSLATE(R3320,""ES"",""EN"")"),"biomethane")</f>
        <v>biomethane</v>
      </c>
      <c r="R3320" s="34" t="s">
        <v>10683</v>
      </c>
      <c r="S3320" s="52" t="s">
        <v>23242</v>
      </c>
      <c r="T3320" s="22" t="s">
        <v>23243</v>
      </c>
    </row>
    <row r="3321">
      <c r="A3321" s="23" t="s">
        <v>23244</v>
      </c>
      <c r="B3321" s="77" t="s">
        <v>23245</v>
      </c>
      <c r="C3321" s="41">
        <v>45553.0</v>
      </c>
      <c r="D3321" s="40" t="s">
        <v>23246</v>
      </c>
      <c r="E3321" s="41" t="s">
        <v>23247</v>
      </c>
      <c r="F3321" s="43" t="s">
        <v>23248</v>
      </c>
      <c r="G3321" s="43" t="s">
        <v>23249</v>
      </c>
      <c r="H3321" s="59" t="s">
        <v>130</v>
      </c>
      <c r="I3321" s="25" t="str">
        <f>IFERROR(__xludf.DUMMYFUNCTION("GOOGLETRANSLATE(H3321,""EN"",""ES"")"),"Sostenibilidad")</f>
        <v>Sostenibilidad</v>
      </c>
      <c r="J3321" s="26" t="s">
        <v>35</v>
      </c>
      <c r="K3321" s="48">
        <v>0.7</v>
      </c>
      <c r="L3321" s="49" t="s">
        <v>12216</v>
      </c>
      <c r="M3321" s="28" t="s">
        <v>12217</v>
      </c>
      <c r="N3321" s="83" t="s">
        <v>23250</v>
      </c>
      <c r="O3321" s="83" t="str">
        <f>IFERROR(__xludf.DUMMYFUNCTION("GOOGLETRANSLATE(N3321,""EN"",""ES"")"),"Positivo por la expansión de las energías renovables.")</f>
        <v>Positivo por la expansión de las energías renovables.</v>
      </c>
      <c r="P3321" s="30">
        <v>0.4</v>
      </c>
      <c r="Q3321" s="31" t="str">
        <f>IFERROR(__xludf.DUMMYFUNCTION("GOOGLETRANSLATE(R3321,""ES"",""EN"")"),"biomethane")</f>
        <v>biomethane</v>
      </c>
      <c r="R3321" s="28" t="s">
        <v>10683</v>
      </c>
      <c r="S3321" s="53" t="s">
        <v>23251</v>
      </c>
      <c r="T3321" s="32" t="s">
        <v>23252</v>
      </c>
    </row>
    <row r="3322">
      <c r="A3322" s="33" t="s">
        <v>23253</v>
      </c>
      <c r="B3322" s="76" t="s">
        <v>4283</v>
      </c>
      <c r="C3322" s="41">
        <v>45553.0</v>
      </c>
      <c r="D3322" s="40" t="s">
        <v>23254</v>
      </c>
      <c r="E3322" s="41" t="s">
        <v>23255</v>
      </c>
      <c r="F3322" s="43" t="s">
        <v>23256</v>
      </c>
      <c r="G3322" s="43" t="s">
        <v>23257</v>
      </c>
      <c r="H3322" s="61" t="s">
        <v>55</v>
      </c>
      <c r="I3322" s="15" t="str">
        <f>IFERROR(__xludf.DUMMYFUNCTION("GOOGLETRANSLATE(H3322,""EN"",""ES"")"),"deportes de motor")</f>
        <v>deportes de motor</v>
      </c>
      <c r="J3322" s="16" t="s">
        <v>27</v>
      </c>
      <c r="K3322" s="17">
        <v>0.0</v>
      </c>
      <c r="L3322" s="45"/>
      <c r="M3322" s="18"/>
      <c r="N3322" s="86"/>
      <c r="O3322" s="86"/>
      <c r="P3322" s="20">
        <v>0.0</v>
      </c>
      <c r="Q3322" s="18"/>
      <c r="R3322" s="18"/>
      <c r="S3322" s="52"/>
      <c r="T3322" s="22"/>
    </row>
    <row r="3323">
      <c r="A3323" s="23" t="s">
        <v>23258</v>
      </c>
      <c r="B3323" s="77" t="s">
        <v>23259</v>
      </c>
      <c r="C3323" s="41">
        <v>45553.0</v>
      </c>
      <c r="D3323" s="40" t="s">
        <v>23260</v>
      </c>
      <c r="E3323" s="41" t="s">
        <v>23261</v>
      </c>
      <c r="F3323" s="43" t="s">
        <v>23262</v>
      </c>
      <c r="G3323" s="43" t="s">
        <v>23263</v>
      </c>
      <c r="H3323" s="59" t="s">
        <v>130</v>
      </c>
      <c r="I3323" s="25" t="str">
        <f>IFERROR(__xludf.DUMMYFUNCTION("GOOGLETRANSLATE(H3323,""EN"",""ES"")"),"Sostenibilidad")</f>
        <v>Sostenibilidad</v>
      </c>
      <c r="J3323" s="26" t="s">
        <v>27</v>
      </c>
      <c r="K3323" s="17">
        <v>0.0</v>
      </c>
      <c r="L3323" s="54"/>
      <c r="M3323" s="31"/>
      <c r="N3323" s="83"/>
      <c r="O3323" s="83"/>
      <c r="P3323" s="20">
        <v>0.0</v>
      </c>
      <c r="Q3323" s="31"/>
      <c r="R3323" s="31"/>
      <c r="S3323" s="53"/>
      <c r="T3323" s="32"/>
    </row>
    <row r="3324">
      <c r="A3324" s="33" t="s">
        <v>23264</v>
      </c>
      <c r="B3324" s="76" t="s">
        <v>43</v>
      </c>
      <c r="C3324" s="41">
        <v>45554.0</v>
      </c>
      <c r="D3324" s="40" t="s">
        <v>23265</v>
      </c>
      <c r="E3324" s="41" t="s">
        <v>23266</v>
      </c>
      <c r="F3324" s="43" t="s">
        <v>23267</v>
      </c>
      <c r="G3324" s="43" t="s">
        <v>23268</v>
      </c>
      <c r="H3324" s="61" t="s">
        <v>148</v>
      </c>
      <c r="I3324" s="15" t="str">
        <f>IFERROR(__xludf.DUMMYFUNCTION("GOOGLETRANSLATE(H3324,""EN"",""ES"")"),"Gastronomía")</f>
        <v>Gastronomía</v>
      </c>
      <c r="J3324" s="16" t="s">
        <v>27</v>
      </c>
      <c r="K3324" s="17">
        <v>0.0</v>
      </c>
      <c r="L3324" s="45"/>
      <c r="M3324" s="18"/>
      <c r="N3324" s="86"/>
      <c r="O3324" s="86"/>
      <c r="P3324" s="20">
        <v>0.0</v>
      </c>
      <c r="Q3324" s="18"/>
      <c r="R3324" s="18"/>
      <c r="S3324" s="52"/>
      <c r="T3324" s="22"/>
    </row>
    <row r="3325">
      <c r="A3325" s="23" t="s">
        <v>23269</v>
      </c>
      <c r="B3325" s="77" t="s">
        <v>5669</v>
      </c>
      <c r="C3325" s="41">
        <v>45554.0</v>
      </c>
      <c r="D3325" s="40" t="s">
        <v>23270</v>
      </c>
      <c r="E3325" s="41" t="s">
        <v>23271</v>
      </c>
      <c r="F3325" s="43" t="s">
        <v>23272</v>
      </c>
      <c r="G3325" s="43" t="s">
        <v>23273</v>
      </c>
      <c r="H3325" s="59" t="s">
        <v>5747</v>
      </c>
      <c r="I3325" s="25" t="str">
        <f>IFERROR(__xludf.DUMMYFUNCTION("GOOGLETRANSLATE(H3325,""EN"",""ES"")"),"Mercado energético")</f>
        <v>Mercado energético</v>
      </c>
      <c r="J3325" s="26" t="s">
        <v>35</v>
      </c>
      <c r="K3325" s="48">
        <v>0.0</v>
      </c>
      <c r="L3325" s="54"/>
      <c r="M3325" s="31"/>
      <c r="N3325" s="83" t="s">
        <v>23274</v>
      </c>
      <c r="O3325" s="83" t="str">
        <f>IFERROR(__xludf.DUMMYFUNCTION("GOOGLETRANSLATE(N3325,""EN"",""ES"")"),"Neutral al no impactar en el negocio de Repsol.")</f>
        <v>Neutral al no impactar en el negocio de Repsol.</v>
      </c>
      <c r="P3325" s="30">
        <v>0.0</v>
      </c>
      <c r="Q3325" s="31"/>
      <c r="R3325" s="31"/>
      <c r="S3325" s="53" t="s">
        <v>21801</v>
      </c>
      <c r="T3325" s="32" t="s">
        <v>21802</v>
      </c>
    </row>
    <row r="3326">
      <c r="A3326" s="33" t="s">
        <v>23275</v>
      </c>
      <c r="B3326" s="76" t="s">
        <v>85</v>
      </c>
      <c r="C3326" s="41">
        <v>45554.0</v>
      </c>
      <c r="D3326" s="40" t="s">
        <v>23276</v>
      </c>
      <c r="E3326" s="41" t="s">
        <v>23277</v>
      </c>
      <c r="F3326" s="43" t="s">
        <v>23278</v>
      </c>
      <c r="G3326" s="43" t="s">
        <v>23279</v>
      </c>
      <c r="H3326" s="61" t="s">
        <v>148</v>
      </c>
      <c r="I3326" s="15" t="str">
        <f>IFERROR(__xludf.DUMMYFUNCTION("GOOGLETRANSLATE(H3326,""EN"",""ES"")"),"Gastronomía")</f>
        <v>Gastronomía</v>
      </c>
      <c r="J3326" s="16" t="s">
        <v>27</v>
      </c>
      <c r="K3326" s="17">
        <v>0.0</v>
      </c>
      <c r="L3326" s="45"/>
      <c r="M3326" s="18"/>
      <c r="N3326" s="86"/>
      <c r="O3326" s="86"/>
      <c r="P3326" s="20">
        <v>0.0</v>
      </c>
      <c r="Q3326" s="18"/>
      <c r="R3326" s="18"/>
      <c r="S3326" s="52"/>
      <c r="T3326" s="22"/>
    </row>
    <row r="3327">
      <c r="A3327" s="23" t="s">
        <v>23280</v>
      </c>
      <c r="B3327" s="77" t="s">
        <v>626</v>
      </c>
      <c r="C3327" s="41">
        <v>45554.0</v>
      </c>
      <c r="D3327" s="40" t="s">
        <v>23281</v>
      </c>
      <c r="E3327" s="41" t="s">
        <v>23282</v>
      </c>
      <c r="F3327" s="43" t="s">
        <v>23283</v>
      </c>
      <c r="G3327" s="43" t="s">
        <v>23284</v>
      </c>
      <c r="H3327" s="59" t="s">
        <v>661</v>
      </c>
      <c r="I3327" s="25" t="str">
        <f>IFERROR(__xludf.DUMMYFUNCTION("GOOGLETRANSLATE(H3327,""EN"",""ES"")"),"Estrategia empresarial")</f>
        <v>Estrategia empresarial</v>
      </c>
      <c r="J3327" s="26" t="s">
        <v>35</v>
      </c>
      <c r="K3327" s="48">
        <v>-0.7</v>
      </c>
      <c r="L3327" s="49" t="s">
        <v>23285</v>
      </c>
      <c r="M3327" s="28" t="s">
        <v>23286</v>
      </c>
      <c r="N3327" s="83" t="s">
        <v>23287</v>
      </c>
      <c r="O3327" s="83" t="str">
        <f>IFERROR(__xludf.DUMMYFUNCTION("GOOGLETRANSLATE(N3327,""EN"",""ES"")"),"Negativo por riesgos regulatorios para Repsol.")</f>
        <v>Negativo por riesgos regulatorios para Repsol.</v>
      </c>
      <c r="P3327" s="30">
        <v>-0.6</v>
      </c>
      <c r="Q3327" s="31" t="str">
        <f>IFERROR(__xludf.DUMMYFUNCTION("GOOGLETRANSLATE(R3327,""ES"",""EN"")"),"punish")</f>
        <v>punish</v>
      </c>
      <c r="R3327" s="28" t="s">
        <v>23288</v>
      </c>
      <c r="S3327" s="53" t="s">
        <v>23289</v>
      </c>
      <c r="T3327" s="32" t="s">
        <v>23290</v>
      </c>
    </row>
    <row r="3328">
      <c r="A3328" s="33" t="s">
        <v>23291</v>
      </c>
      <c r="B3328" s="76" t="s">
        <v>614</v>
      </c>
      <c r="C3328" s="41">
        <v>45554.0</v>
      </c>
      <c r="D3328" s="40" t="s">
        <v>23292</v>
      </c>
      <c r="E3328" s="41" t="s">
        <v>23293</v>
      </c>
      <c r="F3328" s="43" t="s">
        <v>23294</v>
      </c>
      <c r="G3328" s="43" t="s">
        <v>23295</v>
      </c>
      <c r="H3328" s="61" t="s">
        <v>22975</v>
      </c>
      <c r="I3328" s="15" t="str">
        <f>IFERROR(__xludf.DUMMYFUNCTION("GOOGLETRANSLATE(H3328,""EN"",""ES"")"),"Mercado de combustibles")</f>
        <v>Mercado de combustibles</v>
      </c>
      <c r="J3328" s="16" t="s">
        <v>35</v>
      </c>
      <c r="K3328" s="48">
        <v>0.0</v>
      </c>
      <c r="L3328" s="45"/>
      <c r="M3328" s="18"/>
      <c r="N3328" s="86" t="s">
        <v>23274</v>
      </c>
      <c r="O3328" s="86" t="str">
        <f>IFERROR(__xludf.DUMMYFUNCTION("GOOGLETRANSLATE(N3328,""EN"",""ES"")"),"Neutral al no impactar en el negocio de Repsol.")</f>
        <v>Neutral al no impactar en el negocio de Repsol.</v>
      </c>
      <c r="P3328" s="30">
        <v>0.0</v>
      </c>
      <c r="Q3328" s="18"/>
      <c r="R3328" s="18"/>
      <c r="S3328" s="52" t="s">
        <v>23296</v>
      </c>
      <c r="T3328" s="22" t="s">
        <v>23297</v>
      </c>
    </row>
    <row r="3329">
      <c r="A3329" s="23" t="s">
        <v>23298</v>
      </c>
      <c r="B3329" s="77" t="s">
        <v>23299</v>
      </c>
      <c r="C3329" s="41">
        <v>45554.0</v>
      </c>
      <c r="D3329" s="40" t="s">
        <v>23300</v>
      </c>
      <c r="E3329" s="41" t="s">
        <v>23301</v>
      </c>
      <c r="F3329" s="43" t="s">
        <v>23302</v>
      </c>
      <c r="G3329" s="43" t="s">
        <v>23303</v>
      </c>
      <c r="H3329" s="59" t="s">
        <v>148</v>
      </c>
      <c r="I3329" s="25" t="str">
        <f>IFERROR(__xludf.DUMMYFUNCTION("GOOGLETRANSLATE(H3329,""EN"",""ES"")"),"Gastronomía")</f>
        <v>Gastronomía</v>
      </c>
      <c r="J3329" s="26" t="s">
        <v>27</v>
      </c>
      <c r="K3329" s="17">
        <v>0.0</v>
      </c>
      <c r="L3329" s="54"/>
      <c r="M3329" s="31"/>
      <c r="N3329" s="83"/>
      <c r="O3329" s="83"/>
      <c r="P3329" s="20">
        <v>0.0</v>
      </c>
      <c r="Q3329" s="31"/>
      <c r="R3329" s="31"/>
      <c r="S3329" s="53"/>
      <c r="T3329" s="32"/>
    </row>
    <row r="3330">
      <c r="A3330" s="33" t="s">
        <v>23304</v>
      </c>
      <c r="B3330" s="76" t="s">
        <v>2672</v>
      </c>
      <c r="C3330" s="41">
        <v>45555.0</v>
      </c>
      <c r="D3330" s="40" t="s">
        <v>23305</v>
      </c>
      <c r="E3330" s="41" t="s">
        <v>23306</v>
      </c>
      <c r="F3330" s="43" t="s">
        <v>23307</v>
      </c>
      <c r="G3330" s="43" t="s">
        <v>23308</v>
      </c>
      <c r="H3330" s="61" t="s">
        <v>130</v>
      </c>
      <c r="I3330" s="15" t="str">
        <f>IFERROR(__xludf.DUMMYFUNCTION("GOOGLETRANSLATE(H3330,""EN"",""ES"")"),"Sostenibilidad")</f>
        <v>Sostenibilidad</v>
      </c>
      <c r="J3330" s="16" t="s">
        <v>35</v>
      </c>
      <c r="K3330" s="48">
        <v>0.7</v>
      </c>
      <c r="L3330" s="51" t="s">
        <v>21358</v>
      </c>
      <c r="M3330" s="34" t="s">
        <v>21359</v>
      </c>
      <c r="N3330" s="86" t="s">
        <v>23309</v>
      </c>
      <c r="O3330" s="86" t="str">
        <f>IFERROR(__xludf.DUMMYFUNCTION("GOOGLETRANSLATE(N3330,""EN"",""ES"")"),"Sentimiento positivo que pone de relieve el papel de Repsol en la sostenibilidad medioambiental y del empleo.")</f>
        <v>Sentimiento positivo que pone de relieve el papel de Repsol en la sostenibilidad medioambiental y del empleo.</v>
      </c>
      <c r="P3330" s="30">
        <v>0.5</v>
      </c>
      <c r="Q3330" s="18" t="str">
        <f>IFERROR(__xludf.DUMMYFUNCTION("GOOGLETRANSLATE(R3330,""ES"",""EN"")"),"sustainable employment")</f>
        <v>sustainable employment</v>
      </c>
      <c r="R3330" s="34" t="s">
        <v>23310</v>
      </c>
      <c r="S3330" s="52" t="s">
        <v>23311</v>
      </c>
      <c r="T3330" s="22" t="s">
        <v>23312</v>
      </c>
    </row>
    <row r="3331">
      <c r="A3331" s="23" t="s">
        <v>23313</v>
      </c>
      <c r="B3331" s="77" t="s">
        <v>2442</v>
      </c>
      <c r="C3331" s="41">
        <v>45555.0</v>
      </c>
      <c r="D3331" s="40" t="s">
        <v>23314</v>
      </c>
      <c r="E3331" s="41" t="s">
        <v>23315</v>
      </c>
      <c r="F3331" s="43" t="s">
        <v>23316</v>
      </c>
      <c r="G3331" s="43" t="s">
        <v>23317</v>
      </c>
      <c r="H3331" s="59" t="s">
        <v>23318</v>
      </c>
      <c r="I3331" s="25" t="str">
        <f>IFERROR(__xludf.DUMMYFUNCTION("GOOGLETRANSLATE(H3331,""EN"",""ES"")"),"Riesgos comerciales")</f>
        <v>Riesgos comerciales</v>
      </c>
      <c r="J3331" s="26" t="s">
        <v>35</v>
      </c>
      <c r="K3331" s="48">
        <v>-0.7</v>
      </c>
      <c r="L3331" s="49" t="s">
        <v>23319</v>
      </c>
      <c r="M3331" s="28" t="s">
        <v>23320</v>
      </c>
      <c r="N3331" s="83" t="s">
        <v>23321</v>
      </c>
      <c r="O3331" s="83" t="str">
        <f>IFERROR(__xludf.DUMMYFUNCTION("GOOGLETRANSLATE(N3331,""EN"",""ES"")"),"Sentimiento negativo por un fallo de seguridad que afecta a los clientes de Repsol.")</f>
        <v>Sentimiento negativo por un fallo de seguridad que afecta a los clientes de Repsol.</v>
      </c>
      <c r="P3331" s="30">
        <v>-0.8</v>
      </c>
      <c r="Q3331" s="31" t="str">
        <f>IFERROR(__xludf.DUMMYFUNCTION("GOOGLETRANSLATE(R3331,""ES"",""EN"")"),"cyber attack, stolen")</f>
        <v>cyber attack, stolen</v>
      </c>
      <c r="R3331" s="28" t="s">
        <v>23322</v>
      </c>
      <c r="S3331" s="53" t="s">
        <v>23323</v>
      </c>
      <c r="T3331" s="32" t="s">
        <v>23324</v>
      </c>
    </row>
    <row r="3332">
      <c r="A3332" s="33" t="s">
        <v>23325</v>
      </c>
      <c r="B3332" s="76" t="s">
        <v>217</v>
      </c>
      <c r="C3332" s="41">
        <v>45555.0</v>
      </c>
      <c r="D3332" s="40" t="s">
        <v>23326</v>
      </c>
      <c r="E3332" s="41" t="s">
        <v>23327</v>
      </c>
      <c r="F3332" s="43" t="s">
        <v>23328</v>
      </c>
      <c r="G3332" s="43" t="s">
        <v>23329</v>
      </c>
      <c r="H3332" s="61" t="s">
        <v>661</v>
      </c>
      <c r="I3332" s="15" t="str">
        <f>IFERROR(__xludf.DUMMYFUNCTION("GOOGLETRANSLATE(H3332,""EN"",""ES"")"),"Estrategia empresarial")</f>
        <v>Estrategia empresarial</v>
      </c>
      <c r="J3332" s="16" t="s">
        <v>35</v>
      </c>
      <c r="K3332" s="48">
        <v>0.7</v>
      </c>
      <c r="L3332" s="51" t="s">
        <v>12776</v>
      </c>
      <c r="M3332" s="34" t="s">
        <v>12777</v>
      </c>
      <c r="N3332" s="86" t="s">
        <v>23330</v>
      </c>
      <c r="O3332" s="86" t="str">
        <f>IFERROR(__xludf.DUMMYFUNCTION("GOOGLETRANSLATE(N3332,""EN"",""ES"")"),"Sentimiento positivo al suponer una expansión del negocio de Repsol.")</f>
        <v>Sentimiento positivo al suponer una expansión del negocio de Repsol.</v>
      </c>
      <c r="P3332" s="30">
        <v>0.4</v>
      </c>
      <c r="Q3332" s="18" t="str">
        <f>IFERROR(__xludf.DUMMYFUNCTION("GOOGLETRANSLATE(R3332,""ES"",""EN"")"),"buys")</f>
        <v>buys</v>
      </c>
      <c r="R3332" s="34" t="s">
        <v>9531</v>
      </c>
      <c r="S3332" s="52" t="s">
        <v>23331</v>
      </c>
      <c r="T3332" s="22" t="s">
        <v>23332</v>
      </c>
    </row>
    <row r="3333">
      <c r="A3333" s="23" t="s">
        <v>23333</v>
      </c>
      <c r="B3333" s="77" t="s">
        <v>23334</v>
      </c>
      <c r="C3333" s="41">
        <v>45555.0</v>
      </c>
      <c r="D3333" s="40" t="s">
        <v>23335</v>
      </c>
      <c r="E3333" s="41" t="s">
        <v>23336</v>
      </c>
      <c r="F3333" s="43" t="s">
        <v>23337</v>
      </c>
      <c r="G3333" s="43" t="s">
        <v>23338</v>
      </c>
      <c r="H3333" s="59" t="s">
        <v>23318</v>
      </c>
      <c r="I3333" s="25" t="str">
        <f>IFERROR(__xludf.DUMMYFUNCTION("GOOGLETRANSLATE(H3333,""EN"",""ES"")"),"Riesgos comerciales")</f>
        <v>Riesgos comerciales</v>
      </c>
      <c r="J3333" s="26" t="s">
        <v>35</v>
      </c>
      <c r="K3333" s="48">
        <v>-0.7</v>
      </c>
      <c r="L3333" s="49" t="s">
        <v>23319</v>
      </c>
      <c r="M3333" s="28" t="s">
        <v>23320</v>
      </c>
      <c r="N3333" s="83" t="s">
        <v>23339</v>
      </c>
      <c r="O3333" s="83" t="str">
        <f>IFERROR(__xludf.DUMMYFUNCTION("GOOGLETRANSLATE(N3333,""EN"",""ES"")"),"Sentimiento negativo en lo que respecta a una violación de datos que afecta a los clientes.")</f>
        <v>Sentimiento negativo en lo que respecta a una violación de datos que afecta a los clientes.</v>
      </c>
      <c r="P3333" s="30">
        <v>-0.7</v>
      </c>
      <c r="Q3333" s="31" t="str">
        <f>IFERROR(__xludf.DUMMYFUNCTION("GOOGLETRANSLATE(R3333,""ES"",""EN"")"),"cyber attack")</f>
        <v>cyber attack</v>
      </c>
      <c r="R3333" s="28" t="s">
        <v>23340</v>
      </c>
      <c r="S3333" s="53" t="s">
        <v>23341</v>
      </c>
      <c r="T3333" s="32" t="s">
        <v>23342</v>
      </c>
    </row>
    <row r="3334">
      <c r="A3334" s="33" t="s">
        <v>23343</v>
      </c>
      <c r="B3334" s="76" t="s">
        <v>43</v>
      </c>
      <c r="C3334" s="41">
        <v>45555.0</v>
      </c>
      <c r="D3334" s="40" t="s">
        <v>23344</v>
      </c>
      <c r="E3334" s="41" t="s">
        <v>23345</v>
      </c>
      <c r="F3334" s="43" t="s">
        <v>23346</v>
      </c>
      <c r="G3334" s="43" t="s">
        <v>23347</v>
      </c>
      <c r="H3334" s="61" t="s">
        <v>130</v>
      </c>
      <c r="I3334" s="15" t="str">
        <f>IFERROR(__xludf.DUMMYFUNCTION("GOOGLETRANSLATE(H3334,""EN"",""ES"")"),"Sostenibilidad")</f>
        <v>Sostenibilidad</v>
      </c>
      <c r="J3334" s="16" t="s">
        <v>35</v>
      </c>
      <c r="K3334" s="48">
        <v>0.7</v>
      </c>
      <c r="L3334" s="51" t="s">
        <v>22808</v>
      </c>
      <c r="M3334" s="34" t="s">
        <v>22809</v>
      </c>
      <c r="N3334" s="86" t="s">
        <v>23348</v>
      </c>
      <c r="O3334" s="86" t="str">
        <f>IFERROR(__xludf.DUMMYFUNCTION("GOOGLETRANSLATE(N3334,""EN"",""ES"")"),"Sentimiento positivo ya que destaca la colaboración para el desarrollo de energías limpias.")</f>
        <v>Sentimiento positivo ya que destaca la colaboración para el desarrollo de energías limpias.</v>
      </c>
      <c r="P3334" s="30">
        <v>0.5</v>
      </c>
      <c r="Q3334" s="18" t="str">
        <f>IFERROR(__xludf.DUMMYFUNCTION("GOOGLETRANSLATE(R3334,""ES"",""EN"")"),"they agree, hydrogen")</f>
        <v>they agree, hydrogen</v>
      </c>
      <c r="R3334" s="34" t="s">
        <v>23349</v>
      </c>
      <c r="S3334" s="52" t="s">
        <v>23350</v>
      </c>
      <c r="T3334" s="22" t="s">
        <v>23351</v>
      </c>
    </row>
    <row r="3335">
      <c r="A3335" s="23" t="s">
        <v>23352</v>
      </c>
      <c r="B3335" s="77" t="s">
        <v>499</v>
      </c>
      <c r="C3335" s="41">
        <v>45555.0</v>
      </c>
      <c r="D3335" s="40" t="s">
        <v>23353</v>
      </c>
      <c r="E3335" s="41" t="s">
        <v>23354</v>
      </c>
      <c r="F3335" s="43" t="s">
        <v>23355</v>
      </c>
      <c r="G3335" s="43" t="s">
        <v>23356</v>
      </c>
      <c r="H3335" s="59" t="s">
        <v>661</v>
      </c>
      <c r="I3335" s="25" t="str">
        <f>IFERROR(__xludf.DUMMYFUNCTION("GOOGLETRANSLATE(H3335,""EN"",""ES"")"),"Estrategia empresarial")</f>
        <v>Estrategia empresarial</v>
      </c>
      <c r="J3335" s="26" t="s">
        <v>35</v>
      </c>
      <c r="K3335" s="48">
        <v>0.7</v>
      </c>
      <c r="L3335" s="49" t="s">
        <v>12776</v>
      </c>
      <c r="M3335" s="28" t="s">
        <v>12777</v>
      </c>
      <c r="N3335" s="83" t="s">
        <v>23357</v>
      </c>
      <c r="O3335" s="83" t="str">
        <f>IFERROR(__xludf.DUMMYFUNCTION("GOOGLETRANSLATE(N3335,""EN"",""ES"")"),"Sentimiento positivo por la expansión de Repsol en el mercado petrolero.")</f>
        <v>Sentimiento positivo por la expansión de Repsol en el mercado petrolero.</v>
      </c>
      <c r="P3335" s="30">
        <v>0.6</v>
      </c>
      <c r="Q3335" s="31" t="str">
        <f>IFERROR(__xludf.DUMMYFUNCTION("GOOGLETRANSLATE(R3335,""ES"",""EN"")"),"raise, buy")</f>
        <v>raise, buy</v>
      </c>
      <c r="R3335" s="28" t="s">
        <v>23358</v>
      </c>
      <c r="S3335" s="53" t="s">
        <v>23359</v>
      </c>
      <c r="T3335" s="32" t="s">
        <v>23360</v>
      </c>
    </row>
    <row r="3336">
      <c r="A3336" s="33" t="s">
        <v>23361</v>
      </c>
      <c r="B3336" s="76" t="s">
        <v>19043</v>
      </c>
      <c r="C3336" s="41">
        <v>45555.0</v>
      </c>
      <c r="D3336" s="40" t="s">
        <v>23362</v>
      </c>
      <c r="E3336" s="41" t="s">
        <v>23363</v>
      </c>
      <c r="F3336" s="43" t="s">
        <v>23364</v>
      </c>
      <c r="G3336" s="43" t="s">
        <v>23365</v>
      </c>
      <c r="H3336" s="61" t="s">
        <v>23318</v>
      </c>
      <c r="I3336" s="15" t="str">
        <f>IFERROR(__xludf.DUMMYFUNCTION("GOOGLETRANSLATE(H3336,""EN"",""ES"")"),"Riesgos comerciales")</f>
        <v>Riesgos comerciales</v>
      </c>
      <c r="J3336" s="16" t="s">
        <v>35</v>
      </c>
      <c r="K3336" s="48">
        <v>-0.7</v>
      </c>
      <c r="L3336" s="51" t="s">
        <v>23319</v>
      </c>
      <c r="M3336" s="34" t="s">
        <v>23320</v>
      </c>
      <c r="N3336" s="86" t="s">
        <v>23366</v>
      </c>
      <c r="O3336" s="86" t="str">
        <f>IFERROR(__xludf.DUMMYFUNCTION("GOOGLETRANSLATE(N3336,""EN"",""ES"")"),"Sentimiento negativo debido a problemas de seguridad que afectan a los clientes.")</f>
        <v>Sentimiento negativo debido a problemas de seguridad que afectan a los clientes.</v>
      </c>
      <c r="P3336" s="30">
        <v>-0.7</v>
      </c>
      <c r="Q3336" s="18" t="str">
        <f>IFERROR(__xludf.DUMMYFUNCTION("GOOGLETRANSLATE(R3336,""ES"",""EN"")"),"cyber attack")</f>
        <v>cyber attack</v>
      </c>
      <c r="R3336" s="34" t="s">
        <v>23340</v>
      </c>
      <c r="S3336" s="52" t="s">
        <v>23367</v>
      </c>
      <c r="T3336" s="22" t="s">
        <v>23368</v>
      </c>
    </row>
    <row r="3337">
      <c r="A3337" s="23" t="s">
        <v>23369</v>
      </c>
      <c r="B3337" s="77" t="s">
        <v>23299</v>
      </c>
      <c r="C3337" s="41">
        <v>45555.0</v>
      </c>
      <c r="D3337" s="40" t="s">
        <v>23370</v>
      </c>
      <c r="E3337" s="41" t="s">
        <v>23371</v>
      </c>
      <c r="F3337" s="43" t="s">
        <v>23372</v>
      </c>
      <c r="G3337" s="43" t="s">
        <v>23373</v>
      </c>
      <c r="H3337" s="59" t="s">
        <v>148</v>
      </c>
      <c r="I3337" s="25" t="str">
        <f>IFERROR(__xludf.DUMMYFUNCTION("GOOGLETRANSLATE(H3337,""EN"",""ES"")"),"Gastronomía")</f>
        <v>Gastronomía</v>
      </c>
      <c r="J3337" s="26" t="s">
        <v>27</v>
      </c>
      <c r="K3337" s="17">
        <v>0.0</v>
      </c>
      <c r="L3337" s="54"/>
      <c r="M3337" s="31"/>
      <c r="N3337" s="83"/>
      <c r="O3337" s="83"/>
      <c r="P3337" s="20">
        <v>0.0</v>
      </c>
      <c r="Q3337" s="31"/>
      <c r="R3337" s="31"/>
      <c r="S3337" s="53"/>
      <c r="T3337" s="32"/>
    </row>
    <row r="3338">
      <c r="A3338" s="33" t="s">
        <v>23374</v>
      </c>
      <c r="B3338" s="76" t="s">
        <v>23375</v>
      </c>
      <c r="C3338" s="41">
        <v>45555.0</v>
      </c>
      <c r="D3338" s="40" t="s">
        <v>23376</v>
      </c>
      <c r="E3338" s="41" t="s">
        <v>23377</v>
      </c>
      <c r="F3338" s="43" t="s">
        <v>23378</v>
      </c>
      <c r="G3338" s="43" t="s">
        <v>23379</v>
      </c>
      <c r="H3338" s="61" t="s">
        <v>23318</v>
      </c>
      <c r="I3338" s="15" t="str">
        <f>IFERROR(__xludf.DUMMYFUNCTION("GOOGLETRANSLATE(H3338,""EN"",""ES"")"),"Riesgos comerciales")</f>
        <v>Riesgos comerciales</v>
      </c>
      <c r="J3338" s="16" t="s">
        <v>35</v>
      </c>
      <c r="K3338" s="48">
        <v>-0.8</v>
      </c>
      <c r="L3338" s="51" t="s">
        <v>23319</v>
      </c>
      <c r="M3338" s="34" t="s">
        <v>23320</v>
      </c>
      <c r="N3338" s="86" t="s">
        <v>23380</v>
      </c>
      <c r="O3338" s="86" t="str">
        <f>IFERROR(__xludf.DUMMYFUNCTION("GOOGLETRANSLATE(N3338,""EN"",""ES"")"),"Sentimiento fuertemente negativo ya que implica una violación de seguridad importante.")</f>
        <v>Sentimiento fuertemente negativo ya que implica una violación de seguridad importante.</v>
      </c>
      <c r="P3338" s="30">
        <v>-0.8</v>
      </c>
      <c r="Q3338" s="18" t="str">
        <f>IFERROR(__xludf.DUMMYFUNCTION("GOOGLETRANSLATE(R3338,""ES"",""EN"")"),"hacking, stolen")</f>
        <v>hacking, stolen</v>
      </c>
      <c r="R3338" s="34" t="s">
        <v>23381</v>
      </c>
      <c r="S3338" s="52" t="s">
        <v>23382</v>
      </c>
      <c r="T3338" s="22" t="s">
        <v>23383</v>
      </c>
    </row>
    <row r="3339">
      <c r="A3339" s="23" t="s">
        <v>23384</v>
      </c>
      <c r="B3339" s="77" t="s">
        <v>23385</v>
      </c>
      <c r="C3339" s="41">
        <v>45555.0</v>
      </c>
      <c r="D3339" s="40" t="s">
        <v>23386</v>
      </c>
      <c r="E3339" s="41" t="s">
        <v>23387</v>
      </c>
      <c r="F3339" s="43" t="s">
        <v>23388</v>
      </c>
      <c r="G3339" s="43" t="s">
        <v>23389</v>
      </c>
      <c r="H3339" s="59" t="s">
        <v>23318</v>
      </c>
      <c r="I3339" s="25" t="str">
        <f>IFERROR(__xludf.DUMMYFUNCTION("GOOGLETRANSLATE(H3339,""EN"",""ES"")"),"Riesgos comerciales")</f>
        <v>Riesgos comerciales</v>
      </c>
      <c r="J3339" s="26" t="s">
        <v>35</v>
      </c>
      <c r="K3339" s="48">
        <v>-0.8</v>
      </c>
      <c r="L3339" s="49" t="s">
        <v>23319</v>
      </c>
      <c r="M3339" s="28" t="s">
        <v>23320</v>
      </c>
      <c r="N3339" s="83" t="s">
        <v>23390</v>
      </c>
      <c r="O3339" s="83" t="str">
        <f>IFERROR(__xludf.DUMMYFUNCTION("GOOGLETRANSLATE(N3339,""EN"",""ES"")"),"Sentimiento fuertemente negativo debido a la gravedad de la violación de datos.")</f>
        <v>Sentimiento fuertemente negativo debido a la gravedad de la violación de datos.</v>
      </c>
      <c r="P3339" s="30">
        <v>-0.9</v>
      </c>
      <c r="Q3339" s="31" t="str">
        <f>IFERROR(__xludf.DUMMYFUNCTION("GOOGLETRANSLATE(R3339,""ES"",""EN"")"),"stolen")</f>
        <v>stolen</v>
      </c>
      <c r="R3339" s="28" t="s">
        <v>23391</v>
      </c>
      <c r="S3339" s="53" t="s">
        <v>23392</v>
      </c>
      <c r="T3339" s="32" t="s">
        <v>23393</v>
      </c>
    </row>
    <row r="3340">
      <c r="A3340" s="33" t="s">
        <v>23394</v>
      </c>
      <c r="B3340" s="76" t="s">
        <v>21</v>
      </c>
      <c r="C3340" s="41">
        <v>45555.0</v>
      </c>
      <c r="D3340" s="40" t="s">
        <v>23395</v>
      </c>
      <c r="E3340" s="41" t="s">
        <v>23396</v>
      </c>
      <c r="F3340" s="43" t="s">
        <v>23397</v>
      </c>
      <c r="G3340" s="43" t="s">
        <v>23398</v>
      </c>
      <c r="H3340" s="61" t="s">
        <v>969</v>
      </c>
      <c r="I3340" s="15" t="str">
        <f>IFERROR(__xludf.DUMMYFUNCTION("GOOGLETRANSLATE(H3340,""EN"",""ES"")"),"Turismo")</f>
        <v>Turismo</v>
      </c>
      <c r="J3340" s="16" t="s">
        <v>27</v>
      </c>
      <c r="K3340" s="17">
        <v>0.0</v>
      </c>
      <c r="L3340" s="45"/>
      <c r="M3340" s="18"/>
      <c r="N3340" s="86"/>
      <c r="O3340" s="86"/>
      <c r="P3340" s="20">
        <v>0.0</v>
      </c>
      <c r="Q3340" s="18"/>
      <c r="R3340" s="18"/>
      <c r="S3340" s="52"/>
      <c r="T3340" s="22"/>
    </row>
    <row r="3341">
      <c r="A3341" s="23" t="s">
        <v>23399</v>
      </c>
      <c r="B3341" s="77" t="s">
        <v>163</v>
      </c>
      <c r="C3341" s="41">
        <v>45555.0</v>
      </c>
      <c r="D3341" s="40" t="s">
        <v>23400</v>
      </c>
      <c r="E3341" s="41" t="s">
        <v>23401</v>
      </c>
      <c r="F3341" s="43" t="s">
        <v>23402</v>
      </c>
      <c r="G3341" s="43" t="s">
        <v>23403</v>
      </c>
      <c r="H3341" s="59" t="s">
        <v>23404</v>
      </c>
      <c r="I3341" s="25" t="str">
        <f>IFERROR(__xludf.DUMMYFUNCTION("GOOGLETRANSLATE(H3341,""EN"",""ES"")"),"Regulación energética")</f>
        <v>Regulación energética</v>
      </c>
      <c r="J3341" s="26" t="s">
        <v>35</v>
      </c>
      <c r="K3341" s="48">
        <v>0.0</v>
      </c>
      <c r="L3341" s="54"/>
      <c r="M3341" s="31"/>
      <c r="N3341" s="83" t="s">
        <v>23405</v>
      </c>
      <c r="O3341" s="83" t="str">
        <f>IFERROR(__xludf.DUMMYFUNCTION("GOOGLETRANSLATE(N3341,""EN"",""ES"")"),"Sentimiento neutral, ya que explica los cambios regulatorios.")</f>
        <v>Sentimiento neutral, ya que explica los cambios regulatorios.</v>
      </c>
      <c r="P3341" s="30">
        <v>0.0</v>
      </c>
      <c r="Q3341" s="31"/>
      <c r="R3341" s="31"/>
      <c r="S3341" s="53" t="s">
        <v>23406</v>
      </c>
      <c r="T3341" s="32" t="s">
        <v>23407</v>
      </c>
    </row>
    <row r="3342">
      <c r="A3342" s="33" t="s">
        <v>23408</v>
      </c>
      <c r="B3342" s="76" t="s">
        <v>3320</v>
      </c>
      <c r="C3342" s="41">
        <v>45555.0</v>
      </c>
      <c r="D3342" s="40" t="s">
        <v>23409</v>
      </c>
      <c r="E3342" s="41" t="s">
        <v>23410</v>
      </c>
      <c r="F3342" s="43" t="s">
        <v>23411</v>
      </c>
      <c r="G3342" s="43" t="s">
        <v>23412</v>
      </c>
      <c r="H3342" s="61" t="s">
        <v>130</v>
      </c>
      <c r="I3342" s="15" t="str">
        <f>IFERROR(__xludf.DUMMYFUNCTION("GOOGLETRANSLATE(H3342,""EN"",""ES"")"),"Sostenibilidad")</f>
        <v>Sostenibilidad</v>
      </c>
      <c r="J3342" s="16" t="s">
        <v>27</v>
      </c>
      <c r="K3342" s="17">
        <v>0.0</v>
      </c>
      <c r="L3342" s="45"/>
      <c r="M3342" s="18"/>
      <c r="N3342" s="86"/>
      <c r="O3342" s="86"/>
      <c r="P3342" s="20">
        <v>0.0</v>
      </c>
      <c r="Q3342" s="18"/>
      <c r="R3342" s="18"/>
      <c r="S3342" s="52"/>
      <c r="T3342" s="22"/>
    </row>
    <row r="3343">
      <c r="A3343" s="23" t="s">
        <v>23413</v>
      </c>
      <c r="B3343" s="77" t="s">
        <v>85</v>
      </c>
      <c r="C3343" s="41">
        <v>45555.0</v>
      </c>
      <c r="D3343" s="40" t="s">
        <v>23414</v>
      </c>
      <c r="E3343" s="41" t="s">
        <v>23415</v>
      </c>
      <c r="F3343" s="43" t="s">
        <v>23416</v>
      </c>
      <c r="G3343" s="43" t="s">
        <v>23417</v>
      </c>
      <c r="H3343" s="59" t="s">
        <v>969</v>
      </c>
      <c r="I3343" s="25" t="str">
        <f>IFERROR(__xludf.DUMMYFUNCTION("GOOGLETRANSLATE(H3343,""EN"",""ES"")"),"Turismo")</f>
        <v>Turismo</v>
      </c>
      <c r="J3343" s="26" t="s">
        <v>27</v>
      </c>
      <c r="K3343" s="17">
        <v>0.0</v>
      </c>
      <c r="L3343" s="54"/>
      <c r="M3343" s="31"/>
      <c r="N3343" s="83"/>
      <c r="O3343" s="83"/>
      <c r="P3343" s="20">
        <v>0.0</v>
      </c>
      <c r="Q3343" s="31"/>
      <c r="R3343" s="31"/>
      <c r="S3343" s="53"/>
      <c r="T3343" s="32"/>
    </row>
    <row r="3344">
      <c r="A3344" s="33" t="s">
        <v>23418</v>
      </c>
      <c r="B3344" s="76" t="s">
        <v>163</v>
      </c>
      <c r="C3344" s="41">
        <v>45555.0</v>
      </c>
      <c r="D3344" s="40" t="s">
        <v>23419</v>
      </c>
      <c r="E3344" s="41" t="s">
        <v>23420</v>
      </c>
      <c r="F3344" s="43" t="s">
        <v>23421</v>
      </c>
      <c r="G3344" s="43" t="s">
        <v>23422</v>
      </c>
      <c r="H3344" s="61" t="s">
        <v>130</v>
      </c>
      <c r="I3344" s="15" t="str">
        <f>IFERROR(__xludf.DUMMYFUNCTION("GOOGLETRANSLATE(H3344,""EN"",""ES"")"),"Sostenibilidad")</f>
        <v>Sostenibilidad</v>
      </c>
      <c r="J3344" s="16" t="s">
        <v>35</v>
      </c>
      <c r="K3344" s="48">
        <v>0.7</v>
      </c>
      <c r="L3344" s="51" t="s">
        <v>16837</v>
      </c>
      <c r="M3344" s="34" t="s">
        <v>16838</v>
      </c>
      <c r="N3344" s="86" t="s">
        <v>23423</v>
      </c>
      <c r="O3344" s="86" t="str">
        <f>IFERROR(__xludf.DUMMYFUNCTION("GOOGLETRANSLATE(N3344,""EN"",""ES"")"),"Sentimiento positivo por expansión en México.")</f>
        <v>Sentimiento positivo por expansión en México.</v>
      </c>
      <c r="P3344" s="30">
        <v>0.5</v>
      </c>
      <c r="Q3344" s="18" t="str">
        <f>IFERROR(__xludf.DUMMYFUNCTION("GOOGLETRANSLATE(R3344,""ES"",""EN"")"),"modernizes")</f>
        <v>modernizes</v>
      </c>
      <c r="R3344" s="34" t="s">
        <v>23424</v>
      </c>
      <c r="S3344" s="52" t="s">
        <v>23425</v>
      </c>
      <c r="T3344" s="22" t="s">
        <v>23426</v>
      </c>
    </row>
    <row r="3345">
      <c r="A3345" s="23" t="s">
        <v>23427</v>
      </c>
      <c r="B3345" s="77" t="s">
        <v>217</v>
      </c>
      <c r="C3345" s="41">
        <v>45555.0</v>
      </c>
      <c r="D3345" s="40" t="s">
        <v>23428</v>
      </c>
      <c r="E3345" s="41" t="s">
        <v>23429</v>
      </c>
      <c r="F3345" s="43" t="s">
        <v>23430</v>
      </c>
      <c r="G3345" s="43" t="s">
        <v>23431</v>
      </c>
      <c r="H3345" s="59" t="s">
        <v>661</v>
      </c>
      <c r="I3345" s="25" t="str">
        <f>IFERROR(__xludf.DUMMYFUNCTION("GOOGLETRANSLATE(H3345,""EN"",""ES"")"),"Estrategia empresarial")</f>
        <v>Estrategia empresarial</v>
      </c>
      <c r="J3345" s="26" t="s">
        <v>35</v>
      </c>
      <c r="K3345" s="48">
        <v>0.7</v>
      </c>
      <c r="L3345" s="49" t="s">
        <v>12776</v>
      </c>
      <c r="M3345" s="28" t="s">
        <v>12777</v>
      </c>
      <c r="N3345" s="83" t="s">
        <v>23432</v>
      </c>
      <c r="O3345" s="83" t="str">
        <f>IFERROR(__xludf.DUMMYFUNCTION("GOOGLETRANSLATE(N3345,""EN"",""ES"")"),"Sentimiento positivo ya que refleja el crecimiento empresarial.")</f>
        <v>Sentimiento positivo ya que refleja el crecimiento empresarial.</v>
      </c>
      <c r="P3345" s="30">
        <v>0.6</v>
      </c>
      <c r="Q3345" s="31" t="str">
        <f>IFERROR(__xludf.DUMMYFUNCTION("GOOGLETRANSLATE(R3345,""ES"",""EN"")"),"raise, buy")</f>
        <v>raise, buy</v>
      </c>
      <c r="R3345" s="28" t="s">
        <v>23358</v>
      </c>
      <c r="S3345" s="53" t="s">
        <v>23433</v>
      </c>
      <c r="T3345" s="32" t="s">
        <v>23434</v>
      </c>
    </row>
    <row r="3346">
      <c r="A3346" s="33" t="s">
        <v>23435</v>
      </c>
      <c r="B3346" s="76" t="s">
        <v>977</v>
      </c>
      <c r="C3346" s="41">
        <v>45555.0</v>
      </c>
      <c r="D3346" s="40" t="s">
        <v>23436</v>
      </c>
      <c r="E3346" s="41" t="s">
        <v>23437</v>
      </c>
      <c r="F3346" s="43" t="s">
        <v>23438</v>
      </c>
      <c r="G3346" s="43" t="s">
        <v>23439</v>
      </c>
      <c r="H3346" s="61" t="s">
        <v>1975</v>
      </c>
      <c r="I3346" s="15" t="str">
        <f>IFERROR(__xludf.DUMMYFUNCTION("GOOGLETRANSLATE(H3346,""EN"",""ES"")"),"Política")</f>
        <v>Política</v>
      </c>
      <c r="J3346" s="16" t="s">
        <v>27</v>
      </c>
      <c r="K3346" s="17">
        <v>0.0</v>
      </c>
      <c r="L3346" s="45"/>
      <c r="M3346" s="18"/>
      <c r="N3346" s="86"/>
      <c r="O3346" s="86"/>
      <c r="P3346" s="20">
        <v>0.0</v>
      </c>
      <c r="Q3346" s="18"/>
      <c r="R3346" s="18"/>
      <c r="S3346" s="52"/>
      <c r="T3346" s="22"/>
    </row>
    <row r="3347">
      <c r="A3347" s="23" t="s">
        <v>23440</v>
      </c>
      <c r="B3347" s="77" t="s">
        <v>163</v>
      </c>
      <c r="C3347" s="41">
        <v>45555.0</v>
      </c>
      <c r="D3347" s="40" t="s">
        <v>23441</v>
      </c>
      <c r="E3347" s="41" t="s">
        <v>23442</v>
      </c>
      <c r="F3347" s="43" t="s">
        <v>23443</v>
      </c>
      <c r="G3347" s="43" t="s">
        <v>23444</v>
      </c>
      <c r="H3347" s="59" t="s">
        <v>55</v>
      </c>
      <c r="I3347" s="25" t="str">
        <f>IFERROR(__xludf.DUMMYFUNCTION("GOOGLETRANSLATE(H3347,""EN"",""ES"")"),"deportes de motor")</f>
        <v>deportes de motor</v>
      </c>
      <c r="J3347" s="26" t="s">
        <v>27</v>
      </c>
      <c r="K3347" s="17">
        <v>0.0</v>
      </c>
      <c r="L3347" s="54"/>
      <c r="M3347" s="31"/>
      <c r="N3347" s="83"/>
      <c r="O3347" s="83"/>
      <c r="P3347" s="20">
        <v>0.0</v>
      </c>
      <c r="Q3347" s="31"/>
      <c r="R3347" s="31"/>
      <c r="S3347" s="53"/>
      <c r="T3347" s="32"/>
    </row>
    <row r="3348">
      <c r="A3348" s="33" t="s">
        <v>23445</v>
      </c>
      <c r="B3348" s="76" t="s">
        <v>163</v>
      </c>
      <c r="C3348" s="41">
        <v>45555.0</v>
      </c>
      <c r="D3348" s="40" t="s">
        <v>23446</v>
      </c>
      <c r="E3348" s="41" t="s">
        <v>23447</v>
      </c>
      <c r="F3348" s="43" t="s">
        <v>23448</v>
      </c>
      <c r="G3348" s="43" t="s">
        <v>23449</v>
      </c>
      <c r="H3348" s="61" t="s">
        <v>661</v>
      </c>
      <c r="I3348" s="15" t="str">
        <f>IFERROR(__xludf.DUMMYFUNCTION("GOOGLETRANSLATE(H3348,""EN"",""ES"")"),"Estrategia empresarial")</f>
        <v>Estrategia empresarial</v>
      </c>
      <c r="J3348" s="16" t="s">
        <v>35</v>
      </c>
      <c r="K3348" s="48">
        <v>0.7</v>
      </c>
      <c r="L3348" s="51" t="s">
        <v>12776</v>
      </c>
      <c r="M3348" s="34" t="s">
        <v>12777</v>
      </c>
      <c r="N3348" s="86" t="s">
        <v>3442</v>
      </c>
      <c r="O3348" s="86" t="str">
        <f>IFERROR(__xludf.DUMMYFUNCTION("GOOGLETRANSLATE(N3348,""EN"",""ES"")"),"Sentimiento positivo debido a la expansión del negocio.")</f>
        <v>Sentimiento positivo debido a la expansión del negocio.</v>
      </c>
      <c r="P3348" s="30">
        <v>0.6</v>
      </c>
      <c r="Q3348" s="18" t="str">
        <f>IFERROR(__xludf.DUMMYFUNCTION("GOOGLETRANSLATE(R3348,""ES"",""EN"")"),"reinforce, buy")</f>
        <v>reinforce, buy</v>
      </c>
      <c r="R3348" s="34" t="s">
        <v>23450</v>
      </c>
      <c r="S3348" s="52" t="s">
        <v>23451</v>
      </c>
      <c r="T3348" s="22" t="s">
        <v>23452</v>
      </c>
    </row>
    <row r="3349">
      <c r="A3349" s="23" t="s">
        <v>23453</v>
      </c>
      <c r="B3349" s="77" t="s">
        <v>23454</v>
      </c>
      <c r="C3349" s="41">
        <v>45556.0</v>
      </c>
      <c r="D3349" s="40" t="s">
        <v>23455</v>
      </c>
      <c r="E3349" s="41" t="s">
        <v>23456</v>
      </c>
      <c r="F3349" s="43" t="s">
        <v>23457</v>
      </c>
      <c r="G3349" s="43" t="s">
        <v>23458</v>
      </c>
      <c r="H3349" s="59" t="s">
        <v>23318</v>
      </c>
      <c r="I3349" s="25" t="str">
        <f>IFERROR(__xludf.DUMMYFUNCTION("GOOGLETRANSLATE(H3349,""EN"",""ES"")"),"Riesgos comerciales")</f>
        <v>Riesgos comerciales</v>
      </c>
      <c r="J3349" s="26" t="s">
        <v>35</v>
      </c>
      <c r="K3349" s="48">
        <v>-0.8</v>
      </c>
      <c r="L3349" s="49" t="s">
        <v>23319</v>
      </c>
      <c r="M3349" s="28" t="s">
        <v>23320</v>
      </c>
      <c r="N3349" s="83" t="s">
        <v>23459</v>
      </c>
      <c r="O3349" s="83" t="str">
        <f>IFERROR(__xludf.DUMMYFUNCTION("GOOGLETRANSLATE(N3349,""EN"",""ES"")"),"Sentimiento fuertemente negativo debido a una importante filtración de datos que afecta a los clientes.")</f>
        <v>Sentimiento fuertemente negativo debido a una importante filtración de datos que afecta a los clientes.</v>
      </c>
      <c r="P3349" s="30">
        <v>-0.8</v>
      </c>
      <c r="Q3349" s="31" t="str">
        <f>IFERROR(__xludf.DUMMYFUNCTION("GOOGLETRANSLATE(R3349,""ES"",""EN"")"),"cyber attack")</f>
        <v>cyber attack</v>
      </c>
      <c r="R3349" s="28" t="s">
        <v>23340</v>
      </c>
      <c r="S3349" s="53" t="s">
        <v>23460</v>
      </c>
      <c r="T3349" s="32" t="s">
        <v>23461</v>
      </c>
    </row>
    <row r="3350">
      <c r="A3350" s="33" t="s">
        <v>23462</v>
      </c>
      <c r="B3350" s="76" t="s">
        <v>217</v>
      </c>
      <c r="C3350" s="41">
        <v>45556.0</v>
      </c>
      <c r="D3350" s="40" t="s">
        <v>23463</v>
      </c>
      <c r="E3350" s="41" t="s">
        <v>23464</v>
      </c>
      <c r="F3350" s="43" t="s">
        <v>23465</v>
      </c>
      <c r="G3350" s="43" t="s">
        <v>23466</v>
      </c>
      <c r="H3350" s="61" t="s">
        <v>48</v>
      </c>
      <c r="I3350" s="15" t="str">
        <f>IFERROR(__xludf.DUMMYFUNCTION("GOOGLETRANSLATE(H3350,""EN"",""ES"")"),"Finanzas")</f>
        <v>Finanzas</v>
      </c>
      <c r="J3350" s="16" t="s">
        <v>35</v>
      </c>
      <c r="K3350" s="48">
        <v>0.6</v>
      </c>
      <c r="L3350" s="51" t="s">
        <v>19216</v>
      </c>
      <c r="M3350" s="34" t="s">
        <v>19217</v>
      </c>
      <c r="N3350" s="86" t="s">
        <v>23467</v>
      </c>
      <c r="O3350" s="86" t="str">
        <f>IFERROR(__xludf.DUMMYFUNCTION("GOOGLETRANSLATE(N3350,""EN"",""ES"")"),"Sentimiento positivo que sugiere estabilidad en la cotización de las acciones de Repsol.")</f>
        <v>Sentimiento positivo que sugiere estabilidad en la cotización de las acciones de Repsol.</v>
      </c>
      <c r="P3350" s="30">
        <v>0.0</v>
      </c>
      <c r="Q3350" s="18"/>
      <c r="R3350" s="18"/>
      <c r="S3350" s="52" t="s">
        <v>23468</v>
      </c>
      <c r="T3350" s="22" t="s">
        <v>23469</v>
      </c>
    </row>
    <row r="3351">
      <c r="A3351" s="23" t="s">
        <v>23470</v>
      </c>
      <c r="B3351" s="77" t="s">
        <v>425</v>
      </c>
      <c r="C3351" s="41">
        <v>45556.0</v>
      </c>
      <c r="D3351" s="40" t="s">
        <v>23471</v>
      </c>
      <c r="E3351" s="41" t="s">
        <v>23472</v>
      </c>
      <c r="F3351" s="43" t="s">
        <v>23471</v>
      </c>
      <c r="G3351" s="43" t="s">
        <v>23473</v>
      </c>
      <c r="H3351" s="59" t="s">
        <v>55</v>
      </c>
      <c r="I3351" s="25" t="str">
        <f>IFERROR(__xludf.DUMMYFUNCTION("GOOGLETRANSLATE(H3351,""EN"",""ES"")"),"deportes de motor")</f>
        <v>deportes de motor</v>
      </c>
      <c r="J3351" s="26" t="s">
        <v>27</v>
      </c>
      <c r="K3351" s="17">
        <v>0.0</v>
      </c>
      <c r="L3351" s="54"/>
      <c r="M3351" s="31"/>
      <c r="N3351" s="83"/>
      <c r="O3351" s="83"/>
      <c r="P3351" s="20">
        <v>0.0</v>
      </c>
      <c r="Q3351" s="31"/>
      <c r="R3351" s="31"/>
      <c r="S3351" s="53"/>
      <c r="T3351" s="32"/>
    </row>
    <row r="3352">
      <c r="A3352" s="33" t="s">
        <v>23474</v>
      </c>
      <c r="B3352" s="76" t="s">
        <v>103</v>
      </c>
      <c r="C3352" s="41">
        <v>45556.0</v>
      </c>
      <c r="D3352" s="40" t="s">
        <v>23475</v>
      </c>
      <c r="E3352" s="41" t="s">
        <v>23476</v>
      </c>
      <c r="F3352" s="43" t="s">
        <v>23477</v>
      </c>
      <c r="G3352" s="43" t="s">
        <v>23478</v>
      </c>
      <c r="H3352" s="61" t="s">
        <v>48</v>
      </c>
      <c r="I3352" s="15" t="str">
        <f>IFERROR(__xludf.DUMMYFUNCTION("GOOGLETRANSLATE(H3352,""EN"",""ES"")"),"Finanzas")</f>
        <v>Finanzas</v>
      </c>
      <c r="J3352" s="16" t="s">
        <v>35</v>
      </c>
      <c r="K3352" s="48">
        <v>-0.5</v>
      </c>
      <c r="L3352" s="51" t="s">
        <v>19216</v>
      </c>
      <c r="M3352" s="34" t="s">
        <v>19217</v>
      </c>
      <c r="N3352" s="86" t="s">
        <v>23479</v>
      </c>
      <c r="O3352" s="86" t="str">
        <f>IFERROR(__xludf.DUMMYFUNCTION("GOOGLETRANSLATE(N3352,""EN"",""ES"")"),"Sentimiento negativo debido a la menor rentabilidad esperada en el sector petrolero.")</f>
        <v>Sentimiento negativo debido a la menor rentabilidad esperada en el sector petrolero.</v>
      </c>
      <c r="P3352" s="30">
        <v>-0.2</v>
      </c>
      <c r="Q3352" s="18" t="str">
        <f>IFERROR(__xludf.DUMMYFUNCTION("GOOGLETRANSLATE(R3352,""ES"",""EN"")"),"-")</f>
        <v>-</v>
      </c>
      <c r="R3352" s="34" t="s">
        <v>11852</v>
      </c>
      <c r="S3352" s="52" t="s">
        <v>23480</v>
      </c>
      <c r="T3352" s="22" t="s">
        <v>23481</v>
      </c>
    </row>
    <row r="3353">
      <c r="A3353" s="23" t="s">
        <v>23482</v>
      </c>
      <c r="B3353" s="77" t="s">
        <v>3543</v>
      </c>
      <c r="C3353" s="41">
        <v>45556.0</v>
      </c>
      <c r="D3353" s="40" t="s">
        <v>23483</v>
      </c>
      <c r="E3353" s="41" t="s">
        <v>23484</v>
      </c>
      <c r="F3353" s="43" t="s">
        <v>23485</v>
      </c>
      <c r="G3353" s="43" t="s">
        <v>23486</v>
      </c>
      <c r="H3353" s="59" t="s">
        <v>148</v>
      </c>
      <c r="I3353" s="25" t="str">
        <f>IFERROR(__xludf.DUMMYFUNCTION("GOOGLETRANSLATE(H3353,""EN"",""ES"")"),"Gastronomía")</f>
        <v>Gastronomía</v>
      </c>
      <c r="J3353" s="26" t="s">
        <v>27</v>
      </c>
      <c r="K3353" s="17">
        <v>0.0</v>
      </c>
      <c r="L3353" s="54"/>
      <c r="M3353" s="31"/>
      <c r="N3353" s="83"/>
      <c r="O3353" s="83"/>
      <c r="P3353" s="20">
        <v>0.0</v>
      </c>
      <c r="Q3353" s="31"/>
      <c r="R3353" s="31"/>
      <c r="S3353" s="53"/>
      <c r="T3353" s="32"/>
    </row>
    <row r="3354">
      <c r="A3354" s="33" t="s">
        <v>23487</v>
      </c>
      <c r="B3354" s="76" t="s">
        <v>977</v>
      </c>
      <c r="C3354" s="41">
        <v>45556.0</v>
      </c>
      <c r="D3354" s="40" t="s">
        <v>23488</v>
      </c>
      <c r="E3354" s="41" t="s">
        <v>23489</v>
      </c>
      <c r="F3354" s="43" t="s">
        <v>23490</v>
      </c>
      <c r="G3354" s="43" t="s">
        <v>23491</v>
      </c>
      <c r="H3354" s="61" t="s">
        <v>148</v>
      </c>
      <c r="I3354" s="15" t="str">
        <f>IFERROR(__xludf.DUMMYFUNCTION("GOOGLETRANSLATE(H3354,""EN"",""ES"")"),"Gastronomía")</f>
        <v>Gastronomía</v>
      </c>
      <c r="J3354" s="16" t="s">
        <v>27</v>
      </c>
      <c r="K3354" s="17">
        <v>0.0</v>
      </c>
      <c r="L3354" s="45"/>
      <c r="M3354" s="18"/>
      <c r="N3354" s="86"/>
      <c r="O3354" s="86"/>
      <c r="P3354" s="20">
        <v>0.0</v>
      </c>
      <c r="Q3354" s="18"/>
      <c r="R3354" s="18"/>
      <c r="S3354" s="52"/>
      <c r="T3354" s="22"/>
    </row>
    <row r="3355">
      <c r="A3355" s="23" t="s">
        <v>23492</v>
      </c>
      <c r="B3355" s="77" t="s">
        <v>163</v>
      </c>
      <c r="C3355" s="41">
        <v>45556.0</v>
      </c>
      <c r="D3355" s="40" t="s">
        <v>23493</v>
      </c>
      <c r="E3355" s="41" t="s">
        <v>23494</v>
      </c>
      <c r="F3355" s="43" t="s">
        <v>23495</v>
      </c>
      <c r="G3355" s="43" t="s">
        <v>23494</v>
      </c>
      <c r="H3355" s="59" t="s">
        <v>55</v>
      </c>
      <c r="I3355" s="25" t="str">
        <f>IFERROR(__xludf.DUMMYFUNCTION("GOOGLETRANSLATE(H3355,""EN"",""ES"")"),"deportes de motor")</f>
        <v>deportes de motor</v>
      </c>
      <c r="J3355" s="26" t="s">
        <v>27</v>
      </c>
      <c r="K3355" s="17">
        <v>0.0</v>
      </c>
      <c r="L3355" s="54"/>
      <c r="M3355" s="31"/>
      <c r="N3355" s="83"/>
      <c r="O3355" s="83"/>
      <c r="P3355" s="20">
        <v>0.0</v>
      </c>
      <c r="Q3355" s="31"/>
      <c r="R3355" s="31"/>
      <c r="S3355" s="53"/>
      <c r="T3355" s="32"/>
    </row>
    <row r="3356">
      <c r="A3356" s="33" t="s">
        <v>23496</v>
      </c>
      <c r="B3356" s="76" t="s">
        <v>425</v>
      </c>
      <c r="C3356" s="41">
        <v>45556.0</v>
      </c>
      <c r="D3356" s="40" t="s">
        <v>23497</v>
      </c>
      <c r="E3356" s="41" t="s">
        <v>23498</v>
      </c>
      <c r="F3356" s="43" t="s">
        <v>23499</v>
      </c>
      <c r="G3356" s="43" t="s">
        <v>23500</v>
      </c>
      <c r="H3356" s="61" t="s">
        <v>55</v>
      </c>
      <c r="I3356" s="15" t="str">
        <f>IFERROR(__xludf.DUMMYFUNCTION("GOOGLETRANSLATE(H3356,""EN"",""ES"")"),"deportes de motor")</f>
        <v>deportes de motor</v>
      </c>
      <c r="J3356" s="16" t="s">
        <v>27</v>
      </c>
      <c r="K3356" s="17">
        <v>0.0</v>
      </c>
      <c r="L3356" s="45"/>
      <c r="M3356" s="18"/>
      <c r="N3356" s="86"/>
      <c r="O3356" s="86"/>
      <c r="P3356" s="20">
        <v>0.0</v>
      </c>
      <c r="Q3356" s="18"/>
      <c r="R3356" s="18"/>
      <c r="S3356" s="52"/>
      <c r="T3356" s="22"/>
    </row>
    <row r="3357">
      <c r="A3357" s="23" t="s">
        <v>23501</v>
      </c>
      <c r="B3357" s="77" t="s">
        <v>1970</v>
      </c>
      <c r="C3357" s="41">
        <v>45557.0</v>
      </c>
      <c r="D3357" s="40" t="s">
        <v>23502</v>
      </c>
      <c r="E3357" s="41" t="s">
        <v>23503</v>
      </c>
      <c r="F3357" s="43" t="s">
        <v>23504</v>
      </c>
      <c r="G3357" s="43" t="s">
        <v>23505</v>
      </c>
      <c r="H3357" s="59" t="s">
        <v>661</v>
      </c>
      <c r="I3357" s="25" t="str">
        <f>IFERROR(__xludf.DUMMYFUNCTION("GOOGLETRANSLATE(H3357,""EN"",""ES"")"),"Estrategia empresarial")</f>
        <v>Estrategia empresarial</v>
      </c>
      <c r="J3357" s="26" t="s">
        <v>35</v>
      </c>
      <c r="K3357" s="48">
        <v>0.5</v>
      </c>
      <c r="L3357" s="49" t="s">
        <v>22618</v>
      </c>
      <c r="M3357" s="28" t="s">
        <v>22619</v>
      </c>
      <c r="N3357" s="83" t="s">
        <v>23506</v>
      </c>
      <c r="O3357" s="83" t="str">
        <f>IFERROR(__xludf.DUMMYFUNCTION("GOOGLETRANSLATE(N3357,""EN"",""ES"")"),"Ligeramente positivo ya que destaca la cooperación empresarial continua a pesar de las tensiones.")</f>
        <v>Ligeramente positivo ya que destaca la cooperación empresarial continua a pesar de las tensiones.</v>
      </c>
      <c r="P3357" s="30">
        <v>-0.3</v>
      </c>
      <c r="Q3357" s="31" t="str">
        <f>IFERROR(__xludf.DUMMYFUNCTION("GOOGLETRANSLATE(R3357,""ES"",""EN"")"),"obligated")</f>
        <v>obligated</v>
      </c>
      <c r="R3357" s="28" t="s">
        <v>23507</v>
      </c>
      <c r="S3357" s="53" t="s">
        <v>23508</v>
      </c>
      <c r="T3357" s="32" t="s">
        <v>23509</v>
      </c>
    </row>
    <row r="3358">
      <c r="A3358" s="33" t="s">
        <v>23510</v>
      </c>
      <c r="B3358" s="76" t="s">
        <v>499</v>
      </c>
      <c r="C3358" s="41">
        <v>45557.0</v>
      </c>
      <c r="D3358" s="40" t="s">
        <v>23511</v>
      </c>
      <c r="E3358" s="41" t="s">
        <v>23512</v>
      </c>
      <c r="F3358" s="43" t="s">
        <v>23513</v>
      </c>
      <c r="G3358" s="43" t="s">
        <v>23514</v>
      </c>
      <c r="H3358" s="61" t="s">
        <v>130</v>
      </c>
      <c r="I3358" s="15" t="str">
        <f>IFERROR(__xludf.DUMMYFUNCTION("GOOGLETRANSLATE(H3358,""EN"",""ES"")"),"Sostenibilidad")</f>
        <v>Sostenibilidad</v>
      </c>
      <c r="J3358" s="16" t="s">
        <v>35</v>
      </c>
      <c r="K3358" s="48">
        <v>0.6</v>
      </c>
      <c r="L3358" s="51" t="s">
        <v>23515</v>
      </c>
      <c r="M3358" s="34" t="s">
        <v>23516</v>
      </c>
      <c r="N3358" s="86" t="s">
        <v>23517</v>
      </c>
      <c r="O3358" s="86" t="str">
        <f>IFERROR(__xludf.DUMMYFUNCTION("GOOGLETRANSLATE(N3358,""EN"",""ES"")"),"Sentimiento positivo ya que refleja la inversión en energías renovables.")</f>
        <v>Sentimiento positivo ya que refleja la inversión en energías renovables.</v>
      </c>
      <c r="P3358" s="30">
        <v>0.5</v>
      </c>
      <c r="Q3358" s="18" t="str">
        <f>IFERROR(__xludf.DUMMYFUNCTION("GOOGLETRANSLATE(R3358,""ES"",""EN"")"),"acquires, solar")</f>
        <v>acquires, solar</v>
      </c>
      <c r="R3358" s="34" t="s">
        <v>23518</v>
      </c>
      <c r="S3358" s="52" t="s">
        <v>23519</v>
      </c>
      <c r="T3358" s="22" t="s">
        <v>23520</v>
      </c>
    </row>
    <row r="3359">
      <c r="A3359" s="23" t="s">
        <v>23521</v>
      </c>
      <c r="B3359" s="77" t="s">
        <v>4038</v>
      </c>
      <c r="C3359" s="41">
        <v>45557.0</v>
      </c>
      <c r="D3359" s="40" t="s">
        <v>23522</v>
      </c>
      <c r="E3359" s="41" t="s">
        <v>23523</v>
      </c>
      <c r="F3359" s="43" t="s">
        <v>23524</v>
      </c>
      <c r="G3359" s="43" t="s">
        <v>23525</v>
      </c>
      <c r="H3359" s="59" t="s">
        <v>148</v>
      </c>
      <c r="I3359" s="25" t="str">
        <f>IFERROR(__xludf.DUMMYFUNCTION("GOOGLETRANSLATE(H3359,""EN"",""ES"")"),"Gastronomía")</f>
        <v>Gastronomía</v>
      </c>
      <c r="J3359" s="26" t="s">
        <v>27</v>
      </c>
      <c r="K3359" s="17">
        <v>0.0</v>
      </c>
      <c r="L3359" s="54"/>
      <c r="M3359" s="31"/>
      <c r="N3359" s="83"/>
      <c r="O3359" s="83"/>
      <c r="P3359" s="20">
        <v>0.0</v>
      </c>
      <c r="Q3359" s="31"/>
      <c r="R3359" s="31"/>
      <c r="S3359" s="53"/>
      <c r="T3359" s="32"/>
    </row>
    <row r="3360">
      <c r="A3360" s="33" t="s">
        <v>23526</v>
      </c>
      <c r="B3360" s="76" t="s">
        <v>1093</v>
      </c>
      <c r="C3360" s="41">
        <v>45557.0</v>
      </c>
      <c r="D3360" s="40" t="s">
        <v>23527</v>
      </c>
      <c r="E3360" s="41" t="s">
        <v>23528</v>
      </c>
      <c r="F3360" s="43" t="s">
        <v>23529</v>
      </c>
      <c r="G3360" s="43" t="s">
        <v>23530</v>
      </c>
      <c r="H3360" s="61" t="s">
        <v>130</v>
      </c>
      <c r="I3360" s="15" t="str">
        <f>IFERROR(__xludf.DUMMYFUNCTION("GOOGLETRANSLATE(H3360,""EN"",""ES"")"),"Sostenibilidad")</f>
        <v>Sostenibilidad</v>
      </c>
      <c r="J3360" s="16" t="s">
        <v>35</v>
      </c>
      <c r="K3360" s="48">
        <v>0.7</v>
      </c>
      <c r="L3360" s="51" t="s">
        <v>10976</v>
      </c>
      <c r="M3360" s="34" t="s">
        <v>10977</v>
      </c>
      <c r="N3360" s="86" t="s">
        <v>23531</v>
      </c>
      <c r="O3360" s="86" t="str">
        <f>IFERROR(__xludf.DUMMYFUNCTION("GOOGLETRANSLATE(N3360,""EN"",""ES"")"),"Sentimiento positivo, ya que destaca la adopción de combustible sostenible.")</f>
        <v>Sentimiento positivo, ya que destaca la adopción de combustible sostenible.</v>
      </c>
      <c r="P3360" s="30">
        <v>0.6</v>
      </c>
      <c r="Q3360" s="18" t="str">
        <f>IFERROR(__xludf.DUMMYFUNCTION("GOOGLETRANSLATE(R3360,""ES"",""EN"")"),"biofuel")</f>
        <v>biofuel</v>
      </c>
      <c r="R3360" s="34" t="s">
        <v>11889</v>
      </c>
      <c r="S3360" s="52" t="s">
        <v>23532</v>
      </c>
      <c r="T3360" s="22" t="s">
        <v>23533</v>
      </c>
    </row>
    <row r="3361">
      <c r="A3361" s="23" t="s">
        <v>23534</v>
      </c>
      <c r="B3361" s="77" t="s">
        <v>425</v>
      </c>
      <c r="C3361" s="41">
        <v>45557.0</v>
      </c>
      <c r="D3361" s="40" t="s">
        <v>23535</v>
      </c>
      <c r="E3361" s="41" t="s">
        <v>23536</v>
      </c>
      <c r="F3361" s="43" t="s">
        <v>23537</v>
      </c>
      <c r="G3361" s="43" t="s">
        <v>23538</v>
      </c>
      <c r="H3361" s="59" t="s">
        <v>55</v>
      </c>
      <c r="I3361" s="25" t="str">
        <f>IFERROR(__xludf.DUMMYFUNCTION("GOOGLETRANSLATE(H3361,""EN"",""ES"")"),"deportes de motor")</f>
        <v>deportes de motor</v>
      </c>
      <c r="J3361" s="26" t="s">
        <v>27</v>
      </c>
      <c r="K3361" s="17">
        <v>0.0</v>
      </c>
      <c r="L3361" s="54"/>
      <c r="M3361" s="31"/>
      <c r="N3361" s="83"/>
      <c r="O3361" s="83"/>
      <c r="P3361" s="20">
        <v>0.0</v>
      </c>
      <c r="Q3361" s="31"/>
      <c r="R3361" s="31"/>
      <c r="S3361" s="53"/>
      <c r="T3361" s="32"/>
    </row>
    <row r="3362">
      <c r="A3362" s="33" t="s">
        <v>23539</v>
      </c>
      <c r="B3362" s="76" t="s">
        <v>1568</v>
      </c>
      <c r="C3362" s="41">
        <v>45557.0</v>
      </c>
      <c r="D3362" s="40" t="s">
        <v>23540</v>
      </c>
      <c r="E3362" s="41" t="s">
        <v>23541</v>
      </c>
      <c r="F3362" s="43" t="s">
        <v>23542</v>
      </c>
      <c r="G3362" s="43" t="s">
        <v>23543</v>
      </c>
      <c r="H3362" s="61" t="s">
        <v>148</v>
      </c>
      <c r="I3362" s="15" t="str">
        <f>IFERROR(__xludf.DUMMYFUNCTION("GOOGLETRANSLATE(H3362,""EN"",""ES"")"),"Gastronomía")</f>
        <v>Gastronomía</v>
      </c>
      <c r="J3362" s="16" t="s">
        <v>27</v>
      </c>
      <c r="K3362" s="17">
        <v>0.0</v>
      </c>
      <c r="L3362" s="45"/>
      <c r="M3362" s="18"/>
      <c r="N3362" s="86"/>
      <c r="O3362" s="86"/>
      <c r="P3362" s="20">
        <v>0.0</v>
      </c>
      <c r="Q3362" s="18"/>
      <c r="R3362" s="18"/>
      <c r="S3362" s="52"/>
      <c r="T3362" s="22"/>
    </row>
    <row r="3363">
      <c r="A3363" s="23" t="s">
        <v>23544</v>
      </c>
      <c r="B3363" s="77" t="s">
        <v>23545</v>
      </c>
      <c r="C3363" s="41">
        <v>45557.0</v>
      </c>
      <c r="D3363" s="40" t="s">
        <v>23546</v>
      </c>
      <c r="E3363" s="41" t="s">
        <v>23547</v>
      </c>
      <c r="F3363" s="43" t="s">
        <v>23548</v>
      </c>
      <c r="G3363" s="43" t="s">
        <v>23549</v>
      </c>
      <c r="H3363" s="59" t="s">
        <v>661</v>
      </c>
      <c r="I3363" s="25" t="str">
        <f>IFERROR(__xludf.DUMMYFUNCTION("GOOGLETRANSLATE(H3363,""EN"",""ES"")"),"Estrategia empresarial")</f>
        <v>Estrategia empresarial</v>
      </c>
      <c r="J3363" s="26" t="s">
        <v>35</v>
      </c>
      <c r="K3363" s="48">
        <v>0.7</v>
      </c>
      <c r="L3363" s="49" t="s">
        <v>12776</v>
      </c>
      <c r="M3363" s="28" t="s">
        <v>12777</v>
      </c>
      <c r="N3363" s="83" t="s">
        <v>23550</v>
      </c>
      <c r="O3363" s="83" t="str">
        <f>IFERROR(__xludf.DUMMYFUNCTION("GOOGLETRANSLATE(N3363,""EN"",""ES"")"),"Sentimiento positivo, ya que amplía las operaciones petroleras de Repsol.")</f>
        <v>Sentimiento positivo, ya que amplía las operaciones petroleras de Repsol.</v>
      </c>
      <c r="P3363" s="30">
        <v>0.4</v>
      </c>
      <c r="Q3363" s="31" t="str">
        <f>IFERROR(__xludf.DUMMYFUNCTION("GOOGLETRANSLATE(R3363,""ES"",""EN"")"),"increases")</f>
        <v>increases</v>
      </c>
      <c r="R3363" s="28" t="s">
        <v>23551</v>
      </c>
      <c r="S3363" s="53" t="s">
        <v>23552</v>
      </c>
      <c r="T3363" s="32" t="s">
        <v>23553</v>
      </c>
    </row>
    <row r="3364">
      <c r="A3364" s="33" t="s">
        <v>23554</v>
      </c>
      <c r="B3364" s="76" t="s">
        <v>103</v>
      </c>
      <c r="C3364" s="41">
        <v>45557.0</v>
      </c>
      <c r="D3364" s="40" t="s">
        <v>23555</v>
      </c>
      <c r="E3364" s="41" t="s">
        <v>23556</v>
      </c>
      <c r="F3364" s="43" t="s">
        <v>23557</v>
      </c>
      <c r="G3364" s="43" t="s">
        <v>23558</v>
      </c>
      <c r="H3364" s="61" t="s">
        <v>130</v>
      </c>
      <c r="I3364" s="15" t="str">
        <f>IFERROR(__xludf.DUMMYFUNCTION("GOOGLETRANSLATE(H3364,""EN"",""ES"")"),"Sostenibilidad")</f>
        <v>Sostenibilidad</v>
      </c>
      <c r="J3364" s="16" t="s">
        <v>35</v>
      </c>
      <c r="K3364" s="48">
        <v>0.6</v>
      </c>
      <c r="L3364" s="51" t="s">
        <v>23515</v>
      </c>
      <c r="M3364" s="34" t="s">
        <v>23516</v>
      </c>
      <c r="N3364" s="86" t="s">
        <v>23559</v>
      </c>
      <c r="O3364" s="86" t="str">
        <f>IFERROR(__xludf.DUMMYFUNCTION("GOOGLETRANSLATE(N3364,""EN"",""ES"")"),"Sentimiento positivo ya que refleja una fuerte inversión en energías renovables.")</f>
        <v>Sentimiento positivo ya que refleja una fuerte inversión en energías renovables.</v>
      </c>
      <c r="P3364" s="30">
        <v>0.0</v>
      </c>
      <c r="Q3364" s="18"/>
      <c r="R3364" s="18"/>
      <c r="S3364" s="52" t="s">
        <v>21801</v>
      </c>
      <c r="T3364" s="22" t="s">
        <v>21802</v>
      </c>
    </row>
    <row r="3365">
      <c r="A3365" s="23" t="s">
        <v>23560</v>
      </c>
      <c r="B3365" s="77" t="s">
        <v>499</v>
      </c>
      <c r="C3365" s="41">
        <v>45557.0</v>
      </c>
      <c r="D3365" s="40" t="s">
        <v>23561</v>
      </c>
      <c r="E3365" s="41" t="s">
        <v>23562</v>
      </c>
      <c r="F3365" s="43" t="s">
        <v>23563</v>
      </c>
      <c r="G3365" s="43" t="s">
        <v>23564</v>
      </c>
      <c r="H3365" s="59" t="s">
        <v>5747</v>
      </c>
      <c r="I3365" s="25" t="str">
        <f>IFERROR(__xludf.DUMMYFUNCTION("GOOGLETRANSLATE(H3365,""EN"",""ES"")"),"Mercado energético")</f>
        <v>Mercado energético</v>
      </c>
      <c r="J3365" s="26" t="s">
        <v>35</v>
      </c>
      <c r="K3365" s="48">
        <v>0.0</v>
      </c>
      <c r="L3365" s="54"/>
      <c r="M3365" s="31"/>
      <c r="N3365" s="83" t="s">
        <v>23565</v>
      </c>
      <c r="O3365" s="83" t="str">
        <f>IFERROR(__xludf.DUMMYFUNCTION("GOOGLETRANSLATE(N3365,""EN"",""ES"")"),"Sentimiento neutral, ya que se discuten planes de negocios sin un impacto claro.")</f>
        <v>Sentimiento neutral, ya que se discuten planes de negocios sin un impacto claro.</v>
      </c>
      <c r="P3365" s="30">
        <v>0.0</v>
      </c>
      <c r="Q3365" s="31"/>
      <c r="R3365" s="31"/>
      <c r="S3365" s="53" t="s">
        <v>21801</v>
      </c>
      <c r="T3365" s="32" t="s">
        <v>21802</v>
      </c>
    </row>
    <row r="3366">
      <c r="A3366" s="33" t="s">
        <v>23566</v>
      </c>
      <c r="B3366" s="76" t="s">
        <v>3189</v>
      </c>
      <c r="C3366" s="41">
        <v>45557.0</v>
      </c>
      <c r="D3366" s="40" t="s">
        <v>23567</v>
      </c>
      <c r="E3366" s="41" t="s">
        <v>23568</v>
      </c>
      <c r="F3366" s="43" t="s">
        <v>23569</v>
      </c>
      <c r="G3366" s="43" t="s">
        <v>23570</v>
      </c>
      <c r="H3366" s="61" t="s">
        <v>55</v>
      </c>
      <c r="I3366" s="15" t="str">
        <f>IFERROR(__xludf.DUMMYFUNCTION("GOOGLETRANSLATE(H3366,""EN"",""ES"")"),"deportes de motor")</f>
        <v>deportes de motor</v>
      </c>
      <c r="J3366" s="16" t="s">
        <v>27</v>
      </c>
      <c r="K3366" s="17">
        <v>0.0</v>
      </c>
      <c r="L3366" s="45"/>
      <c r="M3366" s="18"/>
      <c r="N3366" s="86"/>
      <c r="O3366" s="86"/>
      <c r="P3366" s="20">
        <v>0.0</v>
      </c>
      <c r="Q3366" s="18"/>
      <c r="R3366" s="18"/>
      <c r="S3366" s="52"/>
      <c r="T3366" s="22"/>
    </row>
    <row r="3367">
      <c r="A3367" s="23" t="s">
        <v>23571</v>
      </c>
      <c r="B3367" s="77" t="s">
        <v>9404</v>
      </c>
      <c r="C3367" s="41">
        <v>45558.0</v>
      </c>
      <c r="D3367" s="40" t="s">
        <v>23572</v>
      </c>
      <c r="E3367" s="41" t="s">
        <v>23573</v>
      </c>
      <c r="F3367" s="43" t="s">
        <v>23574</v>
      </c>
      <c r="G3367" s="43" t="s">
        <v>23575</v>
      </c>
      <c r="H3367" s="59" t="s">
        <v>130</v>
      </c>
      <c r="I3367" s="25" t="str">
        <f>IFERROR(__xludf.DUMMYFUNCTION("GOOGLETRANSLATE(H3367,""EN"",""ES"")"),"Sostenibilidad")</f>
        <v>Sostenibilidad</v>
      </c>
      <c r="J3367" s="26" t="s">
        <v>35</v>
      </c>
      <c r="K3367" s="48">
        <v>0.7</v>
      </c>
      <c r="L3367" s="49" t="s">
        <v>10976</v>
      </c>
      <c r="M3367" s="28" t="s">
        <v>10977</v>
      </c>
      <c r="N3367" s="83" t="s">
        <v>23576</v>
      </c>
      <c r="O3367" s="83" t="str">
        <f>IFERROR(__xludf.DUMMYFUNCTION("GOOGLETRANSLATE(N3367,""EN"",""ES"")"),"Sentimiento positivo debido a las iniciativas de combustibles sostenibles.")</f>
        <v>Sentimiento positivo debido a las iniciativas de combustibles sostenibles.</v>
      </c>
      <c r="P3367" s="30">
        <v>0.6</v>
      </c>
      <c r="Q3367" s="31" t="str">
        <f>IFERROR(__xludf.DUMMYFUNCTION("GOOGLETRANSLATE(R3367,""ES"",""EN"")"),"biomethane")</f>
        <v>biomethane</v>
      </c>
      <c r="R3367" s="28" t="s">
        <v>10683</v>
      </c>
      <c r="S3367" s="53" t="s">
        <v>23577</v>
      </c>
      <c r="T3367" s="32" t="s">
        <v>23578</v>
      </c>
    </row>
    <row r="3368">
      <c r="A3368" s="33" t="s">
        <v>23579</v>
      </c>
      <c r="B3368" s="76" t="s">
        <v>207</v>
      </c>
      <c r="C3368" s="41">
        <v>45558.0</v>
      </c>
      <c r="D3368" s="40" t="s">
        <v>23580</v>
      </c>
      <c r="E3368" s="41" t="s">
        <v>23581</v>
      </c>
      <c r="F3368" s="43" t="s">
        <v>23582</v>
      </c>
      <c r="G3368" s="43" t="s">
        <v>23583</v>
      </c>
      <c r="H3368" s="61" t="s">
        <v>130</v>
      </c>
      <c r="I3368" s="15" t="str">
        <f>IFERROR(__xludf.DUMMYFUNCTION("GOOGLETRANSLATE(H3368,""EN"",""ES"")"),"Sostenibilidad")</f>
        <v>Sostenibilidad</v>
      </c>
      <c r="J3368" s="16" t="s">
        <v>35</v>
      </c>
      <c r="K3368" s="48">
        <v>0.6</v>
      </c>
      <c r="L3368" s="51" t="s">
        <v>23515</v>
      </c>
      <c r="M3368" s="34" t="s">
        <v>23516</v>
      </c>
      <c r="N3368" s="86" t="s">
        <v>23584</v>
      </c>
      <c r="O3368" s="86" t="str">
        <f>IFERROR(__xludf.DUMMYFUNCTION("GOOGLETRANSLATE(N3368,""EN"",""ES"")"),"Sentimiento positivo, ya que refleja la inversión en proyectos de energía limpia.")</f>
        <v>Sentimiento positivo, ya que refleja la inversión en proyectos de energía limpia.</v>
      </c>
      <c r="P3368" s="30">
        <v>0.6</v>
      </c>
      <c r="Q3368" s="18" t="str">
        <f>IFERROR(__xludf.DUMMYFUNCTION("GOOGLETRANSLATE(R3368,""ES"",""EN"")"),"purchase, solar")</f>
        <v>purchase, solar</v>
      </c>
      <c r="R3368" s="34" t="s">
        <v>23585</v>
      </c>
      <c r="S3368" s="52" t="s">
        <v>23586</v>
      </c>
      <c r="T3368" s="22" t="s">
        <v>23587</v>
      </c>
    </row>
    <row r="3369">
      <c r="A3369" s="23" t="s">
        <v>23588</v>
      </c>
      <c r="B3369" s="77" t="s">
        <v>23589</v>
      </c>
      <c r="C3369" s="41">
        <v>45558.0</v>
      </c>
      <c r="D3369" s="40" t="s">
        <v>23590</v>
      </c>
      <c r="E3369" s="41" t="s">
        <v>23591</v>
      </c>
      <c r="F3369" s="43" t="s">
        <v>23592</v>
      </c>
      <c r="G3369" s="43" t="s">
        <v>23593</v>
      </c>
      <c r="H3369" s="59" t="s">
        <v>661</v>
      </c>
      <c r="I3369" s="25" t="str">
        <f>IFERROR(__xludf.DUMMYFUNCTION("GOOGLETRANSLATE(H3369,""EN"",""ES"")"),"Estrategia empresarial")</f>
        <v>Estrategia empresarial</v>
      </c>
      <c r="J3369" s="26" t="s">
        <v>27</v>
      </c>
      <c r="K3369" s="17">
        <v>0.0</v>
      </c>
      <c r="L3369" s="54"/>
      <c r="M3369" s="31"/>
      <c r="N3369" s="83"/>
      <c r="O3369" s="83"/>
      <c r="P3369" s="20">
        <v>0.0</v>
      </c>
      <c r="Q3369" s="31"/>
      <c r="R3369" s="31"/>
      <c r="S3369" s="53"/>
      <c r="T3369" s="32"/>
    </row>
    <row r="3370">
      <c r="A3370" s="33" t="s">
        <v>23594</v>
      </c>
      <c r="B3370" s="76" t="s">
        <v>163</v>
      </c>
      <c r="C3370" s="41">
        <v>45558.0</v>
      </c>
      <c r="D3370" s="40" t="s">
        <v>23595</v>
      </c>
      <c r="E3370" s="41" t="s">
        <v>23596</v>
      </c>
      <c r="F3370" s="43" t="s">
        <v>23597</v>
      </c>
      <c r="G3370" s="43" t="s">
        <v>23598</v>
      </c>
      <c r="H3370" s="61" t="s">
        <v>661</v>
      </c>
      <c r="I3370" s="15" t="str">
        <f>IFERROR(__xludf.DUMMYFUNCTION("GOOGLETRANSLATE(H3370,""EN"",""ES"")"),"Estrategia empresarial")</f>
        <v>Estrategia empresarial</v>
      </c>
      <c r="J3370" s="16" t="s">
        <v>27</v>
      </c>
      <c r="K3370" s="17">
        <v>0.0</v>
      </c>
      <c r="L3370" s="45"/>
      <c r="M3370" s="18"/>
      <c r="N3370" s="86"/>
      <c r="O3370" s="86"/>
      <c r="P3370" s="20">
        <v>0.0</v>
      </c>
      <c r="Q3370" s="18"/>
      <c r="R3370" s="18"/>
      <c r="S3370" s="52"/>
      <c r="T3370" s="22"/>
    </row>
    <row r="3371">
      <c r="A3371" s="23" t="s">
        <v>23599</v>
      </c>
      <c r="B3371" s="77" t="s">
        <v>23600</v>
      </c>
      <c r="C3371" s="41">
        <v>45558.0</v>
      </c>
      <c r="D3371" s="40" t="s">
        <v>23601</v>
      </c>
      <c r="E3371" s="41" t="s">
        <v>23602</v>
      </c>
      <c r="F3371" s="43" t="s">
        <v>23603</v>
      </c>
      <c r="G3371" s="43" t="s">
        <v>23604</v>
      </c>
      <c r="H3371" s="59" t="s">
        <v>130</v>
      </c>
      <c r="I3371" s="25" t="str">
        <f>IFERROR(__xludf.DUMMYFUNCTION("GOOGLETRANSLATE(H3371,""EN"",""ES"")"),"Sostenibilidad")</f>
        <v>Sostenibilidad</v>
      </c>
      <c r="J3371" s="26" t="s">
        <v>35</v>
      </c>
      <c r="K3371" s="48">
        <v>0.6</v>
      </c>
      <c r="L3371" s="49" t="s">
        <v>23605</v>
      </c>
      <c r="M3371" s="28" t="s">
        <v>23606</v>
      </c>
      <c r="N3371" s="83" t="s">
        <v>23607</v>
      </c>
      <c r="O3371" s="83" t="str">
        <f>IFERROR(__xludf.DUMMYFUNCTION("GOOGLETRANSLATE(N3371,""EN"",""ES"")"),"Sentimiento ligeramente positivo, ya que se analiza la implicación de Repsol en las discusiones sobre la transición energética.")</f>
        <v>Sentimiento ligeramente positivo, ya que se analiza la implicación de Repsol en las discusiones sobre la transición energética.</v>
      </c>
      <c r="P3371" s="30">
        <v>0.4</v>
      </c>
      <c r="Q3371" s="31" t="str">
        <f>IFERROR(__xludf.DUMMYFUNCTION("GOOGLETRANSLATE(R3371,""ES"",""EN"")"),"drive")</f>
        <v>drive</v>
      </c>
      <c r="R3371" s="28" t="s">
        <v>23608</v>
      </c>
      <c r="S3371" s="53" t="s">
        <v>23609</v>
      </c>
      <c r="T3371" s="32" t="s">
        <v>23610</v>
      </c>
    </row>
    <row r="3372">
      <c r="A3372" s="33" t="s">
        <v>23611</v>
      </c>
      <c r="B3372" s="76" t="s">
        <v>666</v>
      </c>
      <c r="C3372" s="41">
        <v>45558.0</v>
      </c>
      <c r="D3372" s="40" t="s">
        <v>23612</v>
      </c>
      <c r="E3372" s="41" t="s">
        <v>23613</v>
      </c>
      <c r="F3372" s="43" t="s">
        <v>23614</v>
      </c>
      <c r="G3372" s="43" t="s">
        <v>23615</v>
      </c>
      <c r="H3372" s="61" t="s">
        <v>130</v>
      </c>
      <c r="I3372" s="15" t="str">
        <f>IFERROR(__xludf.DUMMYFUNCTION("GOOGLETRANSLATE(H3372,""EN"",""ES"")"),"Sostenibilidad")</f>
        <v>Sostenibilidad</v>
      </c>
      <c r="J3372" s="16" t="s">
        <v>35</v>
      </c>
      <c r="K3372" s="48">
        <v>0.6</v>
      </c>
      <c r="L3372" s="51" t="s">
        <v>23515</v>
      </c>
      <c r="M3372" s="34" t="s">
        <v>23516</v>
      </c>
      <c r="N3372" s="86" t="s">
        <v>23616</v>
      </c>
      <c r="O3372" s="86" t="str">
        <f>IFERROR(__xludf.DUMMYFUNCTION("GOOGLETRANSLATE(N3372,""EN"",""ES"")"),"Sentimiento positivo, ya que destaca el crecimiento bursátil y la inversión en renovables.")</f>
        <v>Sentimiento positivo, ya que destaca el crecimiento bursátil y la inversión en renovables.</v>
      </c>
      <c r="P3372" s="30">
        <v>0.5</v>
      </c>
      <c r="Q3372" s="18" t="str">
        <f>IFERROR(__xludf.DUMMYFUNCTION("GOOGLETRANSLATE(R3372,""ES"",""EN"")"),"buy, photovoltaic")</f>
        <v>buy, photovoltaic</v>
      </c>
      <c r="R3372" s="34" t="s">
        <v>23617</v>
      </c>
      <c r="S3372" s="52" t="s">
        <v>23618</v>
      </c>
      <c r="T3372" s="22" t="s">
        <v>23619</v>
      </c>
    </row>
    <row r="3373">
      <c r="A3373" s="23" t="s">
        <v>23620</v>
      </c>
      <c r="B3373" s="77" t="s">
        <v>4559</v>
      </c>
      <c r="C3373" s="41">
        <v>45558.0</v>
      </c>
      <c r="D3373" s="40" t="s">
        <v>23621</v>
      </c>
      <c r="E3373" s="41" t="s">
        <v>23622</v>
      </c>
      <c r="F3373" s="43" t="s">
        <v>23623</v>
      </c>
      <c r="G3373" s="43" t="s">
        <v>23624</v>
      </c>
      <c r="H3373" s="59" t="s">
        <v>23318</v>
      </c>
      <c r="I3373" s="25" t="str">
        <f>IFERROR(__xludf.DUMMYFUNCTION("GOOGLETRANSLATE(H3373,""EN"",""ES"")"),"Riesgos comerciales")</f>
        <v>Riesgos comerciales</v>
      </c>
      <c r="J3373" s="26" t="s">
        <v>35</v>
      </c>
      <c r="K3373" s="48">
        <v>-0.7</v>
      </c>
      <c r="L3373" s="49" t="s">
        <v>23625</v>
      </c>
      <c r="M3373" s="28" t="s">
        <v>23626</v>
      </c>
      <c r="N3373" s="83" t="s">
        <v>23627</v>
      </c>
      <c r="O3373" s="83" t="str">
        <f>IFERROR(__xludf.DUMMYFUNCTION("GOOGLETRANSLATE(N3373,""EN"",""ES"")"),"Sentimiento negativo, en lo que se refiere a conflictos laborales y acciones industriales.")</f>
        <v>Sentimiento negativo, en lo que se refiere a conflictos laborales y acciones industriales.</v>
      </c>
      <c r="P3373" s="30">
        <v>-0.7</v>
      </c>
      <c r="Q3373" s="31" t="str">
        <f>IFERROR(__xludf.DUMMYFUNCTION("GOOGLETRANSLATE(R3373,""ES"",""EN"")"),"strike")</f>
        <v>strike</v>
      </c>
      <c r="R3373" s="28" t="s">
        <v>21133</v>
      </c>
      <c r="S3373" s="53" t="s">
        <v>23628</v>
      </c>
      <c r="T3373" s="32" t="s">
        <v>23629</v>
      </c>
    </row>
    <row r="3374">
      <c r="A3374" s="33" t="s">
        <v>23630</v>
      </c>
      <c r="B3374" s="76" t="s">
        <v>1072</v>
      </c>
      <c r="C3374" s="41">
        <v>45558.0</v>
      </c>
      <c r="D3374" s="40" t="s">
        <v>23631</v>
      </c>
      <c r="E3374" s="41" t="s">
        <v>23632</v>
      </c>
      <c r="F3374" s="43" t="s">
        <v>23633</v>
      </c>
      <c r="G3374" s="43" t="s">
        <v>23634</v>
      </c>
      <c r="H3374" s="61" t="s">
        <v>130</v>
      </c>
      <c r="I3374" s="15" t="str">
        <f>IFERROR(__xludf.DUMMYFUNCTION("GOOGLETRANSLATE(H3374,""EN"",""ES"")"),"Sostenibilidad")</f>
        <v>Sostenibilidad</v>
      </c>
      <c r="J3374" s="16" t="s">
        <v>35</v>
      </c>
      <c r="K3374" s="48">
        <v>0.6</v>
      </c>
      <c r="L3374" s="51" t="s">
        <v>23515</v>
      </c>
      <c r="M3374" s="34" t="s">
        <v>23516</v>
      </c>
      <c r="N3374" s="86" t="s">
        <v>23635</v>
      </c>
      <c r="O3374" s="86" t="str">
        <f>IFERROR(__xludf.DUMMYFUNCTION("GOOGLETRANSLATE(N3374,""EN"",""ES"")"),"Sentimiento positivo, ya que refleja la inversión en energías limpias.")</f>
        <v>Sentimiento positivo, ya que refleja la inversión en energías limpias.</v>
      </c>
      <c r="P3374" s="30">
        <v>0.6</v>
      </c>
      <c r="Q3374" s="18" t="str">
        <f>IFERROR(__xludf.DUMMYFUNCTION("GOOGLETRANSLATE(R3374,""ES"",""EN"")"),"purchase, photovoltaic")</f>
        <v>purchase, photovoltaic</v>
      </c>
      <c r="R3374" s="34" t="s">
        <v>23636</v>
      </c>
      <c r="S3374" s="52" t="s">
        <v>23637</v>
      </c>
      <c r="T3374" s="22" t="s">
        <v>23638</v>
      </c>
    </row>
    <row r="3375">
      <c r="A3375" s="23" t="s">
        <v>23639</v>
      </c>
      <c r="B3375" s="77" t="s">
        <v>217</v>
      </c>
      <c r="C3375" s="41">
        <v>45558.0</v>
      </c>
      <c r="D3375" s="40" t="s">
        <v>23640</v>
      </c>
      <c r="E3375" s="41" t="s">
        <v>23641</v>
      </c>
      <c r="F3375" s="43" t="s">
        <v>23642</v>
      </c>
      <c r="G3375" s="43" t="s">
        <v>23643</v>
      </c>
      <c r="H3375" s="59" t="s">
        <v>130</v>
      </c>
      <c r="I3375" s="25" t="str">
        <f>IFERROR(__xludf.DUMMYFUNCTION("GOOGLETRANSLATE(H3375,""EN"",""ES"")"),"Sostenibilidad")</f>
        <v>Sostenibilidad</v>
      </c>
      <c r="J3375" s="26" t="s">
        <v>35</v>
      </c>
      <c r="K3375" s="48">
        <v>0.6</v>
      </c>
      <c r="L3375" s="49" t="s">
        <v>23515</v>
      </c>
      <c r="M3375" s="28" t="s">
        <v>23516</v>
      </c>
      <c r="N3375" s="83" t="s">
        <v>23644</v>
      </c>
      <c r="O3375" s="83" t="str">
        <f>IFERROR(__xludf.DUMMYFUNCTION("GOOGLETRANSLATE(N3375,""EN"",""ES"")"),"Sentimiento positivo, enfatizando la expansión de las energías renovables.")</f>
        <v>Sentimiento positivo, enfatizando la expansión de las energías renovables.</v>
      </c>
      <c r="P3375" s="30">
        <v>0.6</v>
      </c>
      <c r="Q3375" s="31" t="str">
        <f>IFERROR(__xludf.DUMMYFUNCTION("GOOGLETRANSLATE(R3375,""ES"",""EN"")"),"buys")</f>
        <v>buys</v>
      </c>
      <c r="R3375" s="28" t="s">
        <v>9531</v>
      </c>
      <c r="S3375" s="53" t="s">
        <v>23645</v>
      </c>
      <c r="T3375" s="32" t="s">
        <v>23646</v>
      </c>
    </row>
    <row r="3376">
      <c r="A3376" s="33" t="s">
        <v>23647</v>
      </c>
      <c r="B3376" s="76" t="s">
        <v>85</v>
      </c>
      <c r="C3376" s="41">
        <v>45558.0</v>
      </c>
      <c r="D3376" s="40" t="s">
        <v>23648</v>
      </c>
      <c r="E3376" s="41" t="s">
        <v>23649</v>
      </c>
      <c r="F3376" s="43" t="s">
        <v>23650</v>
      </c>
      <c r="G3376" s="43" t="s">
        <v>23651</v>
      </c>
      <c r="H3376" s="61" t="s">
        <v>130</v>
      </c>
      <c r="I3376" s="15" t="str">
        <f>IFERROR(__xludf.DUMMYFUNCTION("GOOGLETRANSLATE(H3376,""EN"",""ES"")"),"Sostenibilidad")</f>
        <v>Sostenibilidad</v>
      </c>
      <c r="J3376" s="16" t="s">
        <v>35</v>
      </c>
      <c r="K3376" s="48">
        <v>0.6</v>
      </c>
      <c r="L3376" s="51" t="s">
        <v>23515</v>
      </c>
      <c r="M3376" s="34" t="s">
        <v>23516</v>
      </c>
      <c r="N3376" s="86" t="s">
        <v>23652</v>
      </c>
      <c r="O3376" s="86" t="str">
        <f>IFERROR(__xludf.DUMMYFUNCTION("GOOGLETRANSLATE(N3376,""EN"",""ES"")"),"Sentimiento positivo, que muestra el crecimiento en proyectos de energía solar.")</f>
        <v>Sentimiento positivo, que muestra el crecimiento en proyectos de energía solar.</v>
      </c>
      <c r="P3376" s="30">
        <v>0.6</v>
      </c>
      <c r="Q3376" s="18" t="str">
        <f>IFERROR(__xludf.DUMMYFUNCTION("GOOGLETRANSLATE(R3376,""ES"",""EN"")"),"acquires, solar")</f>
        <v>acquires, solar</v>
      </c>
      <c r="R3376" s="34" t="s">
        <v>23518</v>
      </c>
      <c r="S3376" s="52" t="s">
        <v>23653</v>
      </c>
      <c r="T3376" s="22" t="s">
        <v>23654</v>
      </c>
    </row>
    <row r="3377">
      <c r="A3377" s="23" t="s">
        <v>23655</v>
      </c>
      <c r="B3377" s="77" t="s">
        <v>23656</v>
      </c>
      <c r="C3377" s="41">
        <v>45558.0</v>
      </c>
      <c r="D3377" s="40" t="s">
        <v>23657</v>
      </c>
      <c r="E3377" s="41" t="s">
        <v>23658</v>
      </c>
      <c r="F3377" s="43" t="s">
        <v>23659</v>
      </c>
      <c r="G3377" s="43" t="s">
        <v>23660</v>
      </c>
      <c r="H3377" s="59" t="s">
        <v>661</v>
      </c>
      <c r="I3377" s="25" t="str">
        <f>IFERROR(__xludf.DUMMYFUNCTION("GOOGLETRANSLATE(H3377,""EN"",""ES"")"),"Estrategia empresarial")</f>
        <v>Estrategia empresarial</v>
      </c>
      <c r="J3377" s="26" t="s">
        <v>35</v>
      </c>
      <c r="K3377" s="48">
        <v>0.7</v>
      </c>
      <c r="L3377" s="49" t="s">
        <v>12776</v>
      </c>
      <c r="M3377" s="28" t="s">
        <v>12777</v>
      </c>
      <c r="N3377" s="83" t="s">
        <v>23661</v>
      </c>
      <c r="O3377" s="83" t="str">
        <f>IFERROR(__xludf.DUMMYFUNCTION("GOOGLETRANSLATE(N3377,""EN"",""ES"")"),"Sentimiento positivo que indica crecimiento de las inversiones energéticas de Repsol.")</f>
        <v>Sentimiento positivo que indica crecimiento de las inversiones energéticas de Repsol.</v>
      </c>
      <c r="P3377" s="30">
        <v>0.6</v>
      </c>
      <c r="Q3377" s="31" t="str">
        <f>IFERROR(__xludf.DUMMYFUNCTION("GOOGLETRANSLATE(R3377,""ES"",""EN"")"),"increase, buy")</f>
        <v>increase, buy</v>
      </c>
      <c r="R3377" s="28" t="s">
        <v>23662</v>
      </c>
      <c r="S3377" s="53" t="s">
        <v>23552</v>
      </c>
      <c r="T3377" s="32" t="s">
        <v>23553</v>
      </c>
    </row>
    <row r="3378">
      <c r="A3378" s="33" t="s">
        <v>23663</v>
      </c>
      <c r="B3378" s="76" t="s">
        <v>5959</v>
      </c>
      <c r="C3378" s="41">
        <v>45558.0</v>
      </c>
      <c r="D3378" s="40" t="s">
        <v>23664</v>
      </c>
      <c r="E3378" s="41" t="s">
        <v>23665</v>
      </c>
      <c r="F3378" s="43" t="s">
        <v>23666</v>
      </c>
      <c r="G3378" s="43" t="s">
        <v>23667</v>
      </c>
      <c r="H3378" s="61" t="s">
        <v>130</v>
      </c>
      <c r="I3378" s="15" t="str">
        <f>IFERROR(__xludf.DUMMYFUNCTION("GOOGLETRANSLATE(H3378,""EN"",""ES"")"),"Sostenibilidad")</f>
        <v>Sostenibilidad</v>
      </c>
      <c r="J3378" s="16" t="s">
        <v>35</v>
      </c>
      <c r="K3378" s="48">
        <v>0.6</v>
      </c>
      <c r="L3378" s="51" t="s">
        <v>23515</v>
      </c>
      <c r="M3378" s="34" t="s">
        <v>23516</v>
      </c>
      <c r="N3378" s="86" t="s">
        <v>23668</v>
      </c>
      <c r="O3378" s="86" t="str">
        <f>IFERROR(__xludf.DUMMYFUNCTION("GOOGLETRANSLATE(N3378,""EN"",""ES"")"),"Sentimiento positivo, ya que apoya el desarrollo de energías renovables.")</f>
        <v>Sentimiento positivo, ya que apoya el desarrollo de energías renovables.</v>
      </c>
      <c r="P3378" s="30">
        <v>0.6</v>
      </c>
      <c r="Q3378" s="18" t="str">
        <f>IFERROR(__xludf.DUMMYFUNCTION("GOOGLETRANSLATE(R3378,""ES"",""EN"")"),"buys")</f>
        <v>buys</v>
      </c>
      <c r="R3378" s="34" t="s">
        <v>9531</v>
      </c>
      <c r="S3378" s="52" t="s">
        <v>23669</v>
      </c>
      <c r="T3378" s="22" t="s">
        <v>23670</v>
      </c>
    </row>
    <row r="3379">
      <c r="A3379" s="23" t="s">
        <v>23671</v>
      </c>
      <c r="B3379" s="77" t="s">
        <v>2696</v>
      </c>
      <c r="C3379" s="41">
        <v>45558.0</v>
      </c>
      <c r="D3379" s="40" t="s">
        <v>23672</v>
      </c>
      <c r="E3379" s="41" t="s">
        <v>23673</v>
      </c>
      <c r="F3379" s="43" t="s">
        <v>23674</v>
      </c>
      <c r="G3379" s="43" t="s">
        <v>23675</v>
      </c>
      <c r="H3379" s="59" t="s">
        <v>130</v>
      </c>
      <c r="I3379" s="25" t="str">
        <f>IFERROR(__xludf.DUMMYFUNCTION("GOOGLETRANSLATE(H3379,""EN"",""ES"")"),"Sostenibilidad")</f>
        <v>Sostenibilidad</v>
      </c>
      <c r="J3379" s="26" t="s">
        <v>35</v>
      </c>
      <c r="K3379" s="48">
        <v>0.6</v>
      </c>
      <c r="L3379" s="49" t="s">
        <v>23515</v>
      </c>
      <c r="M3379" s="28" t="s">
        <v>23516</v>
      </c>
      <c r="N3379" s="83" t="s">
        <v>23676</v>
      </c>
      <c r="O3379" s="83" t="str">
        <f>IFERROR(__xludf.DUMMYFUNCTION("GOOGLETRANSLATE(N3379,""EN"",""ES"")"),"Sentimiento positivo, ya que se analiza el crecimiento financiero en el sector renovable.")</f>
        <v>Sentimiento positivo, ya que se analiza el crecimiento financiero en el sector renovable.</v>
      </c>
      <c r="P3379" s="30">
        <v>0.6</v>
      </c>
      <c r="Q3379" s="31" t="str">
        <f>IFERROR(__xludf.DUMMYFUNCTION("GOOGLETRANSLATE(R3379,""ES"",""EN"")"),"buy, photovoltaic")</f>
        <v>buy, photovoltaic</v>
      </c>
      <c r="R3379" s="28" t="s">
        <v>23677</v>
      </c>
      <c r="S3379" s="53" t="s">
        <v>23678</v>
      </c>
      <c r="T3379" s="32" t="s">
        <v>23679</v>
      </c>
    </row>
    <row r="3380">
      <c r="A3380" s="33" t="s">
        <v>23680</v>
      </c>
      <c r="B3380" s="76" t="s">
        <v>23681</v>
      </c>
      <c r="C3380" s="41">
        <v>45558.0</v>
      </c>
      <c r="D3380" s="40" t="s">
        <v>23682</v>
      </c>
      <c r="E3380" s="41" t="s">
        <v>23683</v>
      </c>
      <c r="F3380" s="43" t="s">
        <v>23684</v>
      </c>
      <c r="G3380" s="43" t="s">
        <v>23685</v>
      </c>
      <c r="H3380" s="61" t="s">
        <v>661</v>
      </c>
      <c r="I3380" s="15" t="str">
        <f>IFERROR(__xludf.DUMMYFUNCTION("GOOGLETRANSLATE(H3380,""EN"",""ES"")"),"Estrategia empresarial")</f>
        <v>Estrategia empresarial</v>
      </c>
      <c r="J3380" s="16" t="s">
        <v>35</v>
      </c>
      <c r="K3380" s="48">
        <v>-0.5</v>
      </c>
      <c r="L3380" s="51" t="s">
        <v>23012</v>
      </c>
      <c r="M3380" s="34" t="s">
        <v>23013</v>
      </c>
      <c r="N3380" s="86" t="s">
        <v>23686</v>
      </c>
      <c r="O3380" s="86" t="str">
        <f>IFERROR(__xludf.DUMMYFUNCTION("GOOGLETRANSLATE(N3380,""EN"",""ES"")"),"Sentimiento ligeramente negativo debido a la tensión política entre Venezuela y España.")</f>
        <v>Sentimiento ligeramente negativo debido a la tensión política entre Venezuela y España.</v>
      </c>
      <c r="P3380" s="30">
        <v>-0.3</v>
      </c>
      <c r="Q3380" s="18" t="str">
        <f>IFERROR(__xludf.DUMMYFUNCTION("GOOGLETRANSLATE(R3380,""ES"",""EN"")"),"strain")</f>
        <v>strain</v>
      </c>
      <c r="R3380" s="34" t="s">
        <v>22538</v>
      </c>
      <c r="S3380" s="52" t="s">
        <v>23687</v>
      </c>
      <c r="T3380" s="22" t="s">
        <v>23688</v>
      </c>
    </row>
    <row r="3381">
      <c r="A3381" s="23" t="s">
        <v>23689</v>
      </c>
      <c r="B3381" s="77" t="s">
        <v>229</v>
      </c>
      <c r="C3381" s="41">
        <v>45558.0</v>
      </c>
      <c r="D3381" s="40" t="s">
        <v>23690</v>
      </c>
      <c r="E3381" s="41" t="s">
        <v>23691</v>
      </c>
      <c r="F3381" s="43" t="s">
        <v>23692</v>
      </c>
      <c r="G3381" s="43" t="s">
        <v>23693</v>
      </c>
      <c r="H3381" s="59" t="s">
        <v>22975</v>
      </c>
      <c r="I3381" s="25" t="str">
        <f>IFERROR(__xludf.DUMMYFUNCTION("GOOGLETRANSLATE(H3381,""EN"",""ES"")"),"Mercado de combustibles")</f>
        <v>Mercado de combustibles</v>
      </c>
      <c r="J3381" s="26" t="s">
        <v>27</v>
      </c>
      <c r="K3381" s="17">
        <v>0.0</v>
      </c>
      <c r="L3381" s="54"/>
      <c r="M3381" s="31"/>
      <c r="N3381" s="83"/>
      <c r="O3381" s="83"/>
      <c r="P3381" s="20">
        <v>0.0</v>
      </c>
      <c r="Q3381" s="31"/>
      <c r="R3381" s="31"/>
      <c r="S3381" s="53"/>
      <c r="T3381" s="32"/>
    </row>
    <row r="3382">
      <c r="A3382" s="33" t="s">
        <v>23694</v>
      </c>
      <c r="B3382" s="76" t="s">
        <v>23695</v>
      </c>
      <c r="C3382" s="41">
        <v>45558.0</v>
      </c>
      <c r="D3382" s="40" t="s">
        <v>23696</v>
      </c>
      <c r="E3382" s="41" t="s">
        <v>23697</v>
      </c>
      <c r="F3382" s="43" t="s">
        <v>23698</v>
      </c>
      <c r="G3382" s="43" t="s">
        <v>23699</v>
      </c>
      <c r="H3382" s="61" t="s">
        <v>661</v>
      </c>
      <c r="I3382" s="15" t="str">
        <f>IFERROR(__xludf.DUMMYFUNCTION("GOOGLETRANSLATE(H3382,""EN"",""ES"")"),"Estrategia empresarial")</f>
        <v>Estrategia empresarial</v>
      </c>
      <c r="J3382" s="16" t="s">
        <v>35</v>
      </c>
      <c r="K3382" s="48">
        <v>0.5</v>
      </c>
      <c r="L3382" s="51" t="s">
        <v>22618</v>
      </c>
      <c r="M3382" s="34" t="s">
        <v>22619</v>
      </c>
      <c r="N3382" s="86" t="s">
        <v>23700</v>
      </c>
      <c r="O3382" s="86" t="str">
        <f>IFERROR(__xludf.DUMMYFUNCTION("GOOGLETRANSLATE(N3382,""EN"",""ES"")"),"Sentimiento ligeramente positivo, lo que indica una cooperación empresarial continua a pesar de las tensiones políticas.")</f>
        <v>Sentimiento ligeramente positivo, lo que indica una cooperación empresarial continua a pesar de las tensiones políticas.</v>
      </c>
      <c r="P3382" s="30">
        <v>0.2</v>
      </c>
      <c r="Q3382" s="18" t="str">
        <f>IFERROR(__xludf.DUMMYFUNCTION("GOOGLETRANSLATE(R3382,""ES"",""EN"")"),"they review")</f>
        <v>they review</v>
      </c>
      <c r="R3382" s="34" t="s">
        <v>23701</v>
      </c>
      <c r="S3382" s="52" t="s">
        <v>23702</v>
      </c>
      <c r="T3382" s="22" t="s">
        <v>23703</v>
      </c>
    </row>
    <row r="3383">
      <c r="A3383" s="23" t="s">
        <v>23704</v>
      </c>
      <c r="B3383" s="77" t="s">
        <v>23705</v>
      </c>
      <c r="C3383" s="41">
        <v>45558.0</v>
      </c>
      <c r="D3383" s="40" t="s">
        <v>23706</v>
      </c>
      <c r="E3383" s="41" t="s">
        <v>23707</v>
      </c>
      <c r="F3383" s="43" t="s">
        <v>23708</v>
      </c>
      <c r="G3383" s="43" t="s">
        <v>23709</v>
      </c>
      <c r="H3383" s="59" t="s">
        <v>130</v>
      </c>
      <c r="I3383" s="25" t="str">
        <f>IFERROR(__xludf.DUMMYFUNCTION("GOOGLETRANSLATE(H3383,""EN"",""ES"")"),"Sostenibilidad")</f>
        <v>Sostenibilidad</v>
      </c>
      <c r="J3383" s="26" t="s">
        <v>35</v>
      </c>
      <c r="K3383" s="48">
        <v>0.7</v>
      </c>
      <c r="L3383" s="49" t="s">
        <v>23710</v>
      </c>
      <c r="M3383" s="28" t="s">
        <v>23711</v>
      </c>
      <c r="N3383" s="83" t="s">
        <v>23712</v>
      </c>
      <c r="O3383" s="83" t="str">
        <f>IFERROR(__xludf.DUMMYFUNCTION("GOOGLETRANSLATE(N3383,""EN"",""ES"")"),"Sentimiento positivo, destacando un hito en el uso sostenible de combustible.")</f>
        <v>Sentimiento positivo, destacando un hito en el uso sostenible de combustible.</v>
      </c>
      <c r="P3383" s="30">
        <v>0.7</v>
      </c>
      <c r="Q3383" s="31" t="str">
        <f>IFERROR(__xludf.DUMMYFUNCTION("GOOGLETRANSLATE(R3383,""ES"",""EN"")"),"sustainable fuel")</f>
        <v>sustainable fuel</v>
      </c>
      <c r="R3383" s="28" t="s">
        <v>10979</v>
      </c>
      <c r="S3383" s="53" t="s">
        <v>23713</v>
      </c>
      <c r="T3383" s="32" t="s">
        <v>23714</v>
      </c>
    </row>
    <row r="3384">
      <c r="A3384" s="33" t="s">
        <v>23715</v>
      </c>
      <c r="B3384" s="76" t="s">
        <v>163</v>
      </c>
      <c r="C3384" s="41">
        <v>45558.0</v>
      </c>
      <c r="D3384" s="40" t="s">
        <v>23716</v>
      </c>
      <c r="E3384" s="41" t="s">
        <v>23717</v>
      </c>
      <c r="F3384" s="43" t="s">
        <v>23718</v>
      </c>
      <c r="G3384" s="43" t="s">
        <v>23719</v>
      </c>
      <c r="H3384" s="61" t="s">
        <v>5747</v>
      </c>
      <c r="I3384" s="15" t="str">
        <f>IFERROR(__xludf.DUMMYFUNCTION("GOOGLETRANSLATE(H3384,""EN"",""ES"")"),"Mercado energético")</f>
        <v>Mercado energético</v>
      </c>
      <c r="J3384" s="16" t="s">
        <v>27</v>
      </c>
      <c r="K3384" s="17">
        <v>0.0</v>
      </c>
      <c r="L3384" s="45"/>
      <c r="M3384" s="18"/>
      <c r="N3384" s="86"/>
      <c r="O3384" s="86"/>
      <c r="P3384" s="20">
        <v>0.0</v>
      </c>
      <c r="Q3384" s="18"/>
      <c r="R3384" s="18"/>
      <c r="S3384" s="52"/>
      <c r="T3384" s="22"/>
    </row>
    <row r="3385">
      <c r="A3385" s="23" t="s">
        <v>23720</v>
      </c>
      <c r="B3385" s="77" t="s">
        <v>14380</v>
      </c>
      <c r="C3385" s="41">
        <v>45558.0</v>
      </c>
      <c r="D3385" s="40" t="s">
        <v>23721</v>
      </c>
      <c r="E3385" s="41" t="s">
        <v>23722</v>
      </c>
      <c r="F3385" s="43" t="s">
        <v>23723</v>
      </c>
      <c r="G3385" s="43" t="s">
        <v>23724</v>
      </c>
      <c r="H3385" s="59" t="s">
        <v>23318</v>
      </c>
      <c r="I3385" s="25" t="str">
        <f>IFERROR(__xludf.DUMMYFUNCTION("GOOGLETRANSLATE(H3385,""EN"",""ES"")"),"Riesgos comerciales")</f>
        <v>Riesgos comerciales</v>
      </c>
      <c r="J3385" s="26" t="s">
        <v>35</v>
      </c>
      <c r="K3385" s="48">
        <v>-0.6</v>
      </c>
      <c r="L3385" s="49" t="s">
        <v>23725</v>
      </c>
      <c r="M3385" s="28" t="s">
        <v>23726</v>
      </c>
      <c r="N3385" s="83" t="s">
        <v>23727</v>
      </c>
      <c r="O3385" s="83" t="str">
        <f>IFERROR(__xludf.DUMMYFUNCTION("GOOGLETRANSLATE(N3385,""EN"",""ES"")"),"Sentimiento negativo, alerta sobre estafas dirigidas a clientes de Repsol.")</f>
        <v>Sentimiento negativo, alerta sobre estafas dirigidas a clientes de Repsol.</v>
      </c>
      <c r="P3385" s="30">
        <v>-0.5</v>
      </c>
      <c r="Q3385" s="31" t="str">
        <f>IFERROR(__xludf.DUMMYFUNCTION("GOOGLETRANSLATE(R3385,""ES"",""EN"")"),"scam")</f>
        <v>scam</v>
      </c>
      <c r="R3385" s="28" t="s">
        <v>18533</v>
      </c>
      <c r="S3385" s="53" t="s">
        <v>23728</v>
      </c>
      <c r="T3385" s="32" t="s">
        <v>23729</v>
      </c>
    </row>
    <row r="3386">
      <c r="A3386" s="33" t="s">
        <v>23730</v>
      </c>
      <c r="B3386" s="76" t="s">
        <v>85</v>
      </c>
      <c r="C3386" s="41">
        <v>45558.0</v>
      </c>
      <c r="D3386" s="40" t="s">
        <v>23731</v>
      </c>
      <c r="E3386" s="41" t="s">
        <v>23732</v>
      </c>
      <c r="F3386" s="43" t="s">
        <v>23733</v>
      </c>
      <c r="G3386" s="43" t="s">
        <v>23734</v>
      </c>
      <c r="H3386" s="61" t="s">
        <v>23318</v>
      </c>
      <c r="I3386" s="15" t="str">
        <f>IFERROR(__xludf.DUMMYFUNCTION("GOOGLETRANSLATE(H3386,""EN"",""ES"")"),"Riesgos comerciales")</f>
        <v>Riesgos comerciales</v>
      </c>
      <c r="J3386" s="16" t="s">
        <v>27</v>
      </c>
      <c r="K3386" s="17">
        <v>0.0</v>
      </c>
      <c r="L3386" s="45"/>
      <c r="M3386" s="18"/>
      <c r="N3386" s="86"/>
      <c r="O3386" s="86"/>
      <c r="P3386" s="20">
        <v>0.0</v>
      </c>
      <c r="Q3386" s="18"/>
      <c r="R3386" s="18"/>
      <c r="S3386" s="52"/>
      <c r="T3386" s="22"/>
    </row>
    <row r="3387">
      <c r="A3387" s="23" t="s">
        <v>23735</v>
      </c>
      <c r="B3387" s="77" t="s">
        <v>163</v>
      </c>
      <c r="C3387" s="41">
        <v>45558.0</v>
      </c>
      <c r="D3387" s="40" t="s">
        <v>23736</v>
      </c>
      <c r="E3387" s="41" t="s">
        <v>23737</v>
      </c>
      <c r="F3387" s="43" t="s">
        <v>23738</v>
      </c>
      <c r="G3387" s="43" t="s">
        <v>23739</v>
      </c>
      <c r="H3387" s="59" t="s">
        <v>55</v>
      </c>
      <c r="I3387" s="25" t="str">
        <f>IFERROR(__xludf.DUMMYFUNCTION("GOOGLETRANSLATE(H3387,""EN"",""ES"")"),"deportes de motor")</f>
        <v>deportes de motor</v>
      </c>
      <c r="J3387" s="26" t="s">
        <v>27</v>
      </c>
      <c r="K3387" s="17">
        <v>0.0</v>
      </c>
      <c r="L3387" s="54"/>
      <c r="M3387" s="31"/>
      <c r="N3387" s="83"/>
      <c r="O3387" s="83"/>
      <c r="P3387" s="20">
        <v>0.0</v>
      </c>
      <c r="Q3387" s="31"/>
      <c r="R3387" s="31"/>
      <c r="S3387" s="53"/>
      <c r="T3387" s="32"/>
    </row>
    <row r="3388">
      <c r="A3388" s="33" t="s">
        <v>23740</v>
      </c>
      <c r="B3388" s="76" t="s">
        <v>23741</v>
      </c>
      <c r="C3388" s="41">
        <v>45558.0</v>
      </c>
      <c r="D3388" s="40" t="s">
        <v>23742</v>
      </c>
      <c r="E3388" s="41" t="s">
        <v>23743</v>
      </c>
      <c r="F3388" s="43" t="s">
        <v>23744</v>
      </c>
      <c r="G3388" s="43" t="s">
        <v>23745</v>
      </c>
      <c r="H3388" s="61" t="s">
        <v>661</v>
      </c>
      <c r="I3388" s="15" t="str">
        <f>IFERROR(__xludf.DUMMYFUNCTION("GOOGLETRANSLATE(H3388,""EN"",""ES"")"),"Estrategia empresarial")</f>
        <v>Estrategia empresarial</v>
      </c>
      <c r="J3388" s="16" t="s">
        <v>35</v>
      </c>
      <c r="K3388" s="48">
        <v>0.5</v>
      </c>
      <c r="L3388" s="51" t="s">
        <v>22618</v>
      </c>
      <c r="M3388" s="34" t="s">
        <v>22619</v>
      </c>
      <c r="N3388" s="86" t="s">
        <v>23746</v>
      </c>
      <c r="O3388" s="86" t="str">
        <f>IFERROR(__xludf.DUMMYFUNCTION("GOOGLETRANSLATE(N3388,""EN"",""ES"")"),"Sentimiento ligeramente positivo, ya que indica discusiones comerciales activas a pesar de las tensiones políticas.")</f>
        <v>Sentimiento ligeramente positivo, ya que indica discusiones comerciales activas a pesar de las tensiones políticas.</v>
      </c>
      <c r="P3388" s="30">
        <v>0.1</v>
      </c>
      <c r="Q3388" s="18" t="str">
        <f>IFERROR(__xludf.DUMMYFUNCTION("GOOGLETRANSLATE(R3388,""ES"",""EN"")"),"-")</f>
        <v>-</v>
      </c>
      <c r="R3388" s="34" t="s">
        <v>11852</v>
      </c>
      <c r="S3388" s="52" t="s">
        <v>23747</v>
      </c>
      <c r="T3388" s="22" t="s">
        <v>23748</v>
      </c>
    </row>
    <row r="3389">
      <c r="A3389" s="23" t="s">
        <v>23749</v>
      </c>
      <c r="B3389" s="77" t="s">
        <v>23750</v>
      </c>
      <c r="C3389" s="41">
        <v>45558.0</v>
      </c>
      <c r="D3389" s="40" t="s">
        <v>23502</v>
      </c>
      <c r="E3389" s="41" t="s">
        <v>23751</v>
      </c>
      <c r="F3389" s="43" t="s">
        <v>23504</v>
      </c>
      <c r="G3389" s="43" t="s">
        <v>23752</v>
      </c>
      <c r="H3389" s="59" t="s">
        <v>661</v>
      </c>
      <c r="I3389" s="25" t="str">
        <f>IFERROR(__xludf.DUMMYFUNCTION("GOOGLETRANSLATE(H3389,""EN"",""ES"")"),"Estrategia empresarial")</f>
        <v>Estrategia empresarial</v>
      </c>
      <c r="J3389" s="26" t="s">
        <v>35</v>
      </c>
      <c r="K3389" s="48">
        <v>0.5</v>
      </c>
      <c r="L3389" s="49" t="s">
        <v>22618</v>
      </c>
      <c r="M3389" s="28" t="s">
        <v>22619</v>
      </c>
      <c r="N3389" s="83" t="s">
        <v>23753</v>
      </c>
      <c r="O3389" s="83" t="str">
        <f>IFERROR(__xludf.DUMMYFUNCTION("GOOGLETRANSLATE(N3389,""EN"",""ES"")"),"Sentimiento ligeramente positivo, ya que sugiere continuidad en los negocios a pesar de las tensiones políticas.")</f>
        <v>Sentimiento ligeramente positivo, ya que sugiere continuidad en los negocios a pesar de las tensiones políticas.</v>
      </c>
      <c r="P3389" s="30">
        <v>-0.3</v>
      </c>
      <c r="Q3389" s="31" t="str">
        <f>IFERROR(__xludf.DUMMYFUNCTION("GOOGLETRANSLATE(R3389,""ES"",""EN"")"),"obligated")</f>
        <v>obligated</v>
      </c>
      <c r="R3389" s="28" t="s">
        <v>23507</v>
      </c>
      <c r="S3389" s="53" t="s">
        <v>23508</v>
      </c>
      <c r="T3389" s="32" t="s">
        <v>23509</v>
      </c>
    </row>
    <row r="3390">
      <c r="A3390" s="33" t="s">
        <v>23754</v>
      </c>
      <c r="B3390" s="76" t="s">
        <v>11980</v>
      </c>
      <c r="C3390" s="41">
        <v>45558.0</v>
      </c>
      <c r="D3390" s="40" t="s">
        <v>23755</v>
      </c>
      <c r="E3390" s="41" t="s">
        <v>23756</v>
      </c>
      <c r="F3390" s="43" t="s">
        <v>23757</v>
      </c>
      <c r="G3390" s="43" t="s">
        <v>23758</v>
      </c>
      <c r="H3390" s="61" t="s">
        <v>661</v>
      </c>
      <c r="I3390" s="15" t="str">
        <f>IFERROR(__xludf.DUMMYFUNCTION("GOOGLETRANSLATE(H3390,""EN"",""ES"")"),"Estrategia empresarial")</f>
        <v>Estrategia empresarial</v>
      </c>
      <c r="J3390" s="16" t="s">
        <v>35</v>
      </c>
      <c r="K3390" s="48">
        <v>0.5</v>
      </c>
      <c r="L3390" s="51" t="s">
        <v>22618</v>
      </c>
      <c r="M3390" s="34" t="s">
        <v>22619</v>
      </c>
      <c r="N3390" s="86" t="s">
        <v>23759</v>
      </c>
      <c r="O3390" s="86" t="str">
        <f>IFERROR(__xludf.DUMMYFUNCTION("GOOGLETRANSLATE(N3390,""EN"",""ES"")"),"Sentimiento ligeramente positivo, que refleja el compromiso diplomático.")</f>
        <v>Sentimiento ligeramente positivo, que refleja el compromiso diplomático.</v>
      </c>
      <c r="P3390" s="30">
        <v>0.1</v>
      </c>
      <c r="Q3390" s="18" t="str">
        <f>IFERROR(__xludf.DUMMYFUNCTION("GOOGLETRANSLATE(R3390,""ES"",""EN"")"),"-")</f>
        <v>-</v>
      </c>
      <c r="R3390" s="34" t="s">
        <v>11852</v>
      </c>
      <c r="S3390" s="52" t="s">
        <v>23760</v>
      </c>
      <c r="T3390" s="22" t="s">
        <v>23761</v>
      </c>
    </row>
    <row r="3391">
      <c r="A3391" s="23" t="s">
        <v>23762</v>
      </c>
      <c r="B3391" s="77" t="s">
        <v>23763</v>
      </c>
      <c r="C3391" s="41">
        <v>45558.0</v>
      </c>
      <c r="D3391" s="40" t="s">
        <v>23764</v>
      </c>
      <c r="E3391" s="41" t="s">
        <v>23683</v>
      </c>
      <c r="F3391" s="43" t="s">
        <v>23765</v>
      </c>
      <c r="G3391" s="43" t="s">
        <v>23685</v>
      </c>
      <c r="H3391" s="59" t="s">
        <v>661</v>
      </c>
      <c r="I3391" s="25" t="str">
        <f>IFERROR(__xludf.DUMMYFUNCTION("GOOGLETRANSLATE(H3391,""EN"",""ES"")"),"Estrategia empresarial")</f>
        <v>Estrategia empresarial</v>
      </c>
      <c r="J3391" s="26" t="s">
        <v>35</v>
      </c>
      <c r="K3391" s="48">
        <v>0.5</v>
      </c>
      <c r="L3391" s="49" t="s">
        <v>22618</v>
      </c>
      <c r="M3391" s="28" t="s">
        <v>22619</v>
      </c>
      <c r="N3391" s="83" t="s">
        <v>23766</v>
      </c>
      <c r="O3391" s="83" t="str">
        <f>IFERROR(__xludf.DUMMYFUNCTION("GOOGLETRANSLATE(N3391,""EN"",""ES"")"),"Sentimiento ligeramente positivo, lo que indica que las relaciones comerciales persisten a pesar de los problemas políticos.")</f>
        <v>Sentimiento ligeramente positivo, lo que indica que las relaciones comerciales persisten a pesar de los problemas políticos.</v>
      </c>
      <c r="P3391" s="30">
        <v>-0.3</v>
      </c>
      <c r="Q3391" s="31" t="str">
        <f>IFERROR(__xludf.DUMMYFUNCTION("GOOGLETRANSLATE(R3391,""ES"",""EN"")"),"strain")</f>
        <v>strain</v>
      </c>
      <c r="R3391" s="28" t="s">
        <v>22538</v>
      </c>
      <c r="S3391" s="53" t="s">
        <v>23687</v>
      </c>
      <c r="T3391" s="32" t="s">
        <v>23688</v>
      </c>
    </row>
    <row r="3392">
      <c r="A3392" s="33" t="s">
        <v>23767</v>
      </c>
      <c r="B3392" s="76" t="s">
        <v>22768</v>
      </c>
      <c r="C3392" s="41">
        <v>45558.0</v>
      </c>
      <c r="D3392" s="40" t="s">
        <v>23768</v>
      </c>
      <c r="E3392" s="41" t="s">
        <v>23769</v>
      </c>
      <c r="F3392" s="43" t="s">
        <v>23770</v>
      </c>
      <c r="G3392" s="43" t="s">
        <v>23771</v>
      </c>
      <c r="H3392" s="61" t="s">
        <v>661</v>
      </c>
      <c r="I3392" s="15" t="str">
        <f>IFERROR(__xludf.DUMMYFUNCTION("GOOGLETRANSLATE(H3392,""EN"",""ES"")"),"Estrategia empresarial")</f>
        <v>Estrategia empresarial</v>
      </c>
      <c r="J3392" s="16" t="s">
        <v>35</v>
      </c>
      <c r="K3392" s="48">
        <v>0.5</v>
      </c>
      <c r="L3392" s="51" t="s">
        <v>22618</v>
      </c>
      <c r="M3392" s="34" t="s">
        <v>22619</v>
      </c>
      <c r="N3392" s="86" t="s">
        <v>23772</v>
      </c>
      <c r="O3392" s="86" t="str">
        <f>IFERROR(__xludf.DUMMYFUNCTION("GOOGLETRANSLATE(N3392,""EN"",""ES"")"),"Sentimiento ligeramente positivo, lo que refleja el avance en la cooperación energética.")</f>
        <v>Sentimiento ligeramente positivo, lo que refleja el avance en la cooperación energética.</v>
      </c>
      <c r="P3392" s="30">
        <v>0.3</v>
      </c>
      <c r="Q3392" s="18" t="str">
        <f>IFERROR(__xludf.DUMMYFUNCTION("GOOGLETRANSLATE(R3392,""ES"",""EN"")"),"advance, agreements")</f>
        <v>advance, agreements</v>
      </c>
      <c r="R3392" s="34" t="s">
        <v>23773</v>
      </c>
      <c r="S3392" s="52" t="s">
        <v>23774</v>
      </c>
      <c r="T3392" s="22" t="s">
        <v>23775</v>
      </c>
    </row>
    <row r="3393">
      <c r="A3393" s="23" t="s">
        <v>23776</v>
      </c>
      <c r="B3393" s="77" t="s">
        <v>22613</v>
      </c>
      <c r="C3393" s="41">
        <v>45558.0</v>
      </c>
      <c r="D3393" s="40" t="s">
        <v>23777</v>
      </c>
      <c r="E3393" s="41" t="s">
        <v>23778</v>
      </c>
      <c r="F3393" s="43" t="s">
        <v>23779</v>
      </c>
      <c r="G3393" s="43" t="s">
        <v>23780</v>
      </c>
      <c r="H3393" s="59" t="s">
        <v>661</v>
      </c>
      <c r="I3393" s="25" t="str">
        <f>IFERROR(__xludf.DUMMYFUNCTION("GOOGLETRANSLATE(H3393,""EN"",""ES"")"),"Estrategia empresarial")</f>
        <v>Estrategia empresarial</v>
      </c>
      <c r="J3393" s="26" t="s">
        <v>35</v>
      </c>
      <c r="K3393" s="48">
        <v>0.5</v>
      </c>
      <c r="L3393" s="49" t="s">
        <v>22618</v>
      </c>
      <c r="M3393" s="28" t="s">
        <v>22619</v>
      </c>
      <c r="N3393" s="83" t="s">
        <v>23781</v>
      </c>
      <c r="O3393" s="83" t="str">
        <f>IFERROR(__xludf.DUMMYFUNCTION("GOOGLETRANSLATE(N3393,""EN"",""ES"")"),"Sentimiento ligeramente positivo, centrado en la consolidación empresarial a pesar del clima político.")</f>
        <v>Sentimiento ligeramente positivo, centrado en la consolidación empresarial a pesar del clima político.</v>
      </c>
      <c r="P3393" s="30">
        <v>0.4</v>
      </c>
      <c r="Q3393" s="31" t="str">
        <f>IFERROR(__xludf.DUMMYFUNCTION("GOOGLETRANSLATE(R3393,""ES"",""EN"")"),"consolidate alliances")</f>
        <v>consolidate alliances</v>
      </c>
      <c r="R3393" s="28" t="s">
        <v>23782</v>
      </c>
      <c r="S3393" s="53" t="s">
        <v>23783</v>
      </c>
      <c r="T3393" s="32" t="s">
        <v>23784</v>
      </c>
    </row>
    <row r="3394">
      <c r="A3394" s="33" t="s">
        <v>23785</v>
      </c>
      <c r="B3394" s="76" t="s">
        <v>23786</v>
      </c>
      <c r="C3394" s="41">
        <v>45558.0</v>
      </c>
      <c r="D3394" s="40" t="s">
        <v>23787</v>
      </c>
      <c r="E3394" s="41" t="s">
        <v>23788</v>
      </c>
      <c r="F3394" s="43" t="s">
        <v>23789</v>
      </c>
      <c r="G3394" s="43" t="s">
        <v>23790</v>
      </c>
      <c r="H3394" s="61" t="s">
        <v>661</v>
      </c>
      <c r="I3394" s="15" t="str">
        <f>IFERROR(__xludf.DUMMYFUNCTION("GOOGLETRANSLATE(H3394,""EN"",""ES"")"),"Estrategia empresarial")</f>
        <v>Estrategia empresarial</v>
      </c>
      <c r="J3394" s="16" t="s">
        <v>35</v>
      </c>
      <c r="K3394" s="48">
        <v>0.5</v>
      </c>
      <c r="L3394" s="51" t="s">
        <v>22618</v>
      </c>
      <c r="M3394" s="34" t="s">
        <v>22619</v>
      </c>
      <c r="N3394" s="86" t="s">
        <v>23791</v>
      </c>
      <c r="O3394" s="86" t="str">
        <f>IFERROR(__xludf.DUMMYFUNCTION("GOOGLETRANSLATE(N3394,""EN"",""ES"")"),"Sentimiento ligeramente positivo, que refuerza las discusiones comerciales en curso.")</f>
        <v>Sentimiento ligeramente positivo, que refuerza las discusiones comerciales en curso.</v>
      </c>
      <c r="P3394" s="30">
        <v>0.1</v>
      </c>
      <c r="Q3394" s="18" t="str">
        <f>IFERROR(__xludf.DUMMYFUNCTION("GOOGLETRANSLATE(R3394,""ES"",""EN"")"),"-")</f>
        <v>-</v>
      </c>
      <c r="R3394" s="34" t="s">
        <v>11852</v>
      </c>
      <c r="S3394" s="52" t="s">
        <v>23760</v>
      </c>
      <c r="T3394" s="22" t="s">
        <v>23761</v>
      </c>
    </row>
    <row r="3395">
      <c r="A3395" s="23" t="s">
        <v>23792</v>
      </c>
      <c r="B3395" s="77" t="s">
        <v>23793</v>
      </c>
      <c r="C3395" s="41">
        <v>45558.0</v>
      </c>
      <c r="D3395" s="40" t="s">
        <v>23794</v>
      </c>
      <c r="E3395" s="41" t="s">
        <v>23795</v>
      </c>
      <c r="F3395" s="43" t="s">
        <v>23796</v>
      </c>
      <c r="G3395" s="43" t="s">
        <v>23797</v>
      </c>
      <c r="H3395" s="59" t="s">
        <v>130</v>
      </c>
      <c r="I3395" s="25" t="str">
        <f>IFERROR(__xludf.DUMMYFUNCTION("GOOGLETRANSLATE(H3395,""EN"",""ES"")"),"Sostenibilidad")</f>
        <v>Sostenibilidad</v>
      </c>
      <c r="J3395" s="26" t="s">
        <v>35</v>
      </c>
      <c r="K3395" s="48">
        <v>0.6</v>
      </c>
      <c r="L3395" s="49" t="s">
        <v>23515</v>
      </c>
      <c r="M3395" s="28" t="s">
        <v>23516</v>
      </c>
      <c r="N3395" s="83" t="s">
        <v>23798</v>
      </c>
      <c r="O3395" s="83" t="str">
        <f>IFERROR(__xludf.DUMMYFUNCTION("GOOGLETRANSLATE(N3395,""EN"",""ES"")"),"Sentimiento positivo, destacando la inversión en proyectos de energía solar.")</f>
        <v>Sentimiento positivo, destacando la inversión en proyectos de energía solar.</v>
      </c>
      <c r="P3395" s="30">
        <v>0.6</v>
      </c>
      <c r="Q3395" s="31" t="str">
        <f>IFERROR(__xludf.DUMMYFUNCTION("GOOGLETRANSLATE(R3395,""ES"",""EN"")"),"acquires, solar")</f>
        <v>acquires, solar</v>
      </c>
      <c r="R3395" s="28" t="s">
        <v>23518</v>
      </c>
      <c r="S3395" s="53" t="s">
        <v>23519</v>
      </c>
      <c r="T3395" s="32" t="s">
        <v>23520</v>
      </c>
    </row>
    <row r="3396">
      <c r="A3396" s="33" t="s">
        <v>23799</v>
      </c>
      <c r="B3396" s="76" t="s">
        <v>8740</v>
      </c>
      <c r="C3396" s="41">
        <v>45558.0</v>
      </c>
      <c r="D3396" s="40" t="s">
        <v>23800</v>
      </c>
      <c r="E3396" s="41" t="s">
        <v>23801</v>
      </c>
      <c r="F3396" s="43" t="s">
        <v>23802</v>
      </c>
      <c r="G3396" s="43" t="s">
        <v>23803</v>
      </c>
      <c r="H3396" s="61" t="s">
        <v>661</v>
      </c>
      <c r="I3396" s="15" t="str">
        <f>IFERROR(__xludf.DUMMYFUNCTION("GOOGLETRANSLATE(H3396,""EN"",""ES"")"),"Estrategia empresarial")</f>
        <v>Estrategia empresarial</v>
      </c>
      <c r="J3396" s="16" t="s">
        <v>35</v>
      </c>
      <c r="K3396" s="48">
        <v>0.5</v>
      </c>
      <c r="L3396" s="51" t="s">
        <v>22618</v>
      </c>
      <c r="M3396" s="34" t="s">
        <v>22619</v>
      </c>
      <c r="N3396" s="86" t="s">
        <v>23804</v>
      </c>
      <c r="O3396" s="86" t="str">
        <f>IFERROR(__xludf.DUMMYFUNCTION("GOOGLETRANSLATE(N3396,""EN"",""ES"")"),"Sentimiento ligeramente positivo, que muestra un enfoque proactivo hacia la cooperación energética.")</f>
        <v>Sentimiento ligeramente positivo, que muestra un enfoque proactivo hacia la cooperación energética.</v>
      </c>
      <c r="P3396" s="30">
        <v>0.4</v>
      </c>
      <c r="Q3396" s="18" t="str">
        <f>IFERROR(__xludf.DUMMYFUNCTION("GOOGLETRANSLATE(R3396,""ES"",""EN"")"),"advance, agreements")</f>
        <v>advance, agreements</v>
      </c>
      <c r="R3396" s="34" t="s">
        <v>23773</v>
      </c>
      <c r="S3396" s="52" t="s">
        <v>23805</v>
      </c>
      <c r="T3396" s="22" t="s">
        <v>23806</v>
      </c>
    </row>
    <row r="3397">
      <c r="A3397" s="23" t="s">
        <v>23807</v>
      </c>
      <c r="B3397" s="77" t="s">
        <v>23808</v>
      </c>
      <c r="C3397" s="41">
        <v>45558.0</v>
      </c>
      <c r="D3397" s="40" t="s">
        <v>23809</v>
      </c>
      <c r="E3397" s="41" t="s">
        <v>23810</v>
      </c>
      <c r="F3397" s="43" t="s">
        <v>23811</v>
      </c>
      <c r="G3397" s="43" t="s">
        <v>23812</v>
      </c>
      <c r="H3397" s="59" t="s">
        <v>661</v>
      </c>
      <c r="I3397" s="25" t="str">
        <f>IFERROR(__xludf.DUMMYFUNCTION("GOOGLETRANSLATE(H3397,""EN"",""ES"")"),"Estrategia empresarial")</f>
        <v>Estrategia empresarial</v>
      </c>
      <c r="J3397" s="26" t="s">
        <v>35</v>
      </c>
      <c r="K3397" s="48">
        <v>0.5</v>
      </c>
      <c r="L3397" s="49" t="s">
        <v>22618</v>
      </c>
      <c r="M3397" s="28" t="s">
        <v>22619</v>
      </c>
      <c r="N3397" s="83" t="s">
        <v>23813</v>
      </c>
      <c r="O3397" s="83" t="str">
        <f>IFERROR(__xludf.DUMMYFUNCTION("GOOGLETRANSLATE(N3397,""EN"",""ES"")"),"Sentimiento ligeramente positivo, que refleja la alineación diplomática y empresarial.")</f>
        <v>Sentimiento ligeramente positivo, que refleja la alineación diplomática y empresarial.</v>
      </c>
      <c r="P3397" s="30">
        <v>0.5</v>
      </c>
      <c r="Q3397" s="31" t="str">
        <f>IFERROR(__xludf.DUMMYFUNCTION("GOOGLETRANSLATE(R3397,""ES"",""EN"")"),"strengthen agreements")</f>
        <v>strengthen agreements</v>
      </c>
      <c r="R3397" s="28" t="s">
        <v>23814</v>
      </c>
      <c r="S3397" s="53" t="s">
        <v>23815</v>
      </c>
      <c r="T3397" s="32" t="s">
        <v>23816</v>
      </c>
    </row>
    <row r="3398">
      <c r="A3398" s="33" t="s">
        <v>23817</v>
      </c>
      <c r="B3398" s="76" t="s">
        <v>5880</v>
      </c>
      <c r="C3398" s="41">
        <v>45558.0</v>
      </c>
      <c r="D3398" s="40" t="s">
        <v>23818</v>
      </c>
      <c r="E3398" s="41" t="s">
        <v>23819</v>
      </c>
      <c r="F3398" s="43" t="s">
        <v>23820</v>
      </c>
      <c r="G3398" s="43" t="s">
        <v>23821</v>
      </c>
      <c r="H3398" s="61" t="s">
        <v>661</v>
      </c>
      <c r="I3398" s="15" t="str">
        <f>IFERROR(__xludf.DUMMYFUNCTION("GOOGLETRANSLATE(H3398,""EN"",""ES"")"),"Estrategia empresarial")</f>
        <v>Estrategia empresarial</v>
      </c>
      <c r="J3398" s="16" t="s">
        <v>35</v>
      </c>
      <c r="K3398" s="48">
        <v>0.5</v>
      </c>
      <c r="L3398" s="51" t="s">
        <v>22618</v>
      </c>
      <c r="M3398" s="34" t="s">
        <v>22619</v>
      </c>
      <c r="N3398" s="86" t="s">
        <v>23822</v>
      </c>
      <c r="O3398" s="86" t="str">
        <f>IFERROR(__xludf.DUMMYFUNCTION("GOOGLETRANSLATE(N3398,""EN"",""ES"")"),"Sentimiento ligeramente positivo, continuando con el tema de las discusiones comerciales.")</f>
        <v>Sentimiento ligeramente positivo, continuando con el tema de las discusiones comerciales.</v>
      </c>
      <c r="P3398" s="30">
        <v>0.3</v>
      </c>
      <c r="Q3398" s="18" t="str">
        <f>IFERROR(__xludf.DUMMYFUNCTION("GOOGLETRANSLATE(R3398,""ES"",""EN"")"),"review agreements")</f>
        <v>review agreements</v>
      </c>
      <c r="R3398" s="34" t="s">
        <v>23823</v>
      </c>
      <c r="S3398" s="52" t="s">
        <v>23824</v>
      </c>
      <c r="T3398" s="22" t="s">
        <v>23825</v>
      </c>
    </row>
    <row r="3399">
      <c r="A3399" s="23" t="s">
        <v>23826</v>
      </c>
      <c r="B3399" s="77" t="s">
        <v>5991</v>
      </c>
      <c r="C3399" s="41">
        <v>45558.0</v>
      </c>
      <c r="D3399" s="40" t="s">
        <v>23827</v>
      </c>
      <c r="E3399" s="41" t="s">
        <v>23828</v>
      </c>
      <c r="F3399" s="43" t="s">
        <v>23829</v>
      </c>
      <c r="G3399" s="43" t="s">
        <v>23830</v>
      </c>
      <c r="H3399" s="59" t="s">
        <v>661</v>
      </c>
      <c r="I3399" s="25" t="str">
        <f>IFERROR(__xludf.DUMMYFUNCTION("GOOGLETRANSLATE(H3399,""EN"",""ES"")"),"Estrategia empresarial")</f>
        <v>Estrategia empresarial</v>
      </c>
      <c r="J3399" s="26" t="s">
        <v>35</v>
      </c>
      <c r="K3399" s="48">
        <v>0.5</v>
      </c>
      <c r="L3399" s="49" t="s">
        <v>22618</v>
      </c>
      <c r="M3399" s="28" t="s">
        <v>22619</v>
      </c>
      <c r="N3399" s="83" t="s">
        <v>23831</v>
      </c>
      <c r="O3399" s="83" t="str">
        <f>IFERROR(__xludf.DUMMYFUNCTION("GOOGLETRANSLATE(N3399,""EN"",""ES"")"),"Sentimiento ligeramente positivo, que enfatiza la participación activa en proyectos energéticos.")</f>
        <v>Sentimiento ligeramente positivo, que enfatiza la participación activa en proyectos energéticos.</v>
      </c>
      <c r="P3399" s="30">
        <v>0.4</v>
      </c>
      <c r="Q3399" s="31" t="str">
        <f>IFERROR(__xludf.DUMMYFUNCTION("GOOGLETRANSLATE(R3399,""ES"",""EN"")"),"new alliances")</f>
        <v>new alliances</v>
      </c>
      <c r="R3399" s="28" t="s">
        <v>23832</v>
      </c>
      <c r="S3399" s="53" t="s">
        <v>23833</v>
      </c>
      <c r="T3399" s="32" t="s">
        <v>23834</v>
      </c>
    </row>
    <row r="3400">
      <c r="A3400" s="33" t="s">
        <v>23835</v>
      </c>
      <c r="B3400" s="76" t="s">
        <v>23836</v>
      </c>
      <c r="C3400" s="41">
        <v>45558.0</v>
      </c>
      <c r="D3400" s="40" t="s">
        <v>23837</v>
      </c>
      <c r="E3400" s="41" t="s">
        <v>23838</v>
      </c>
      <c r="F3400" s="43" t="s">
        <v>23839</v>
      </c>
      <c r="G3400" s="43" t="s">
        <v>23840</v>
      </c>
      <c r="H3400" s="61" t="s">
        <v>661</v>
      </c>
      <c r="I3400" s="15" t="str">
        <f>IFERROR(__xludf.DUMMYFUNCTION("GOOGLETRANSLATE(H3400,""EN"",""ES"")"),"Estrategia empresarial")</f>
        <v>Estrategia empresarial</v>
      </c>
      <c r="J3400" s="16" t="s">
        <v>35</v>
      </c>
      <c r="K3400" s="48">
        <v>0.5</v>
      </c>
      <c r="L3400" s="51" t="s">
        <v>22618</v>
      </c>
      <c r="M3400" s="34" t="s">
        <v>22619</v>
      </c>
      <c r="N3400" s="86" t="s">
        <v>23841</v>
      </c>
      <c r="O3400" s="86" t="str">
        <f>IFERROR(__xludf.DUMMYFUNCTION("GOOGLETRANSLATE(N3400,""EN"",""ES"")"),"Sentimiento ligeramente positivo, destacando la estabilidad en las relaciones comerciales.")</f>
        <v>Sentimiento ligeramente positivo, destacando la estabilidad en las relaciones comerciales.</v>
      </c>
      <c r="P3400" s="30">
        <v>0.5</v>
      </c>
      <c r="Q3400" s="18" t="str">
        <f>IFERROR(__xludf.DUMMYFUNCTION("GOOGLETRANSLATE(R3400,""ES"",""EN"")"),"maintain, alliance")</f>
        <v>maintain, alliance</v>
      </c>
      <c r="R3400" s="34" t="s">
        <v>23842</v>
      </c>
      <c r="S3400" s="52" t="s">
        <v>23843</v>
      </c>
      <c r="T3400" s="22" t="s">
        <v>23844</v>
      </c>
    </row>
    <row r="3401">
      <c r="A3401" s="23" t="s">
        <v>23845</v>
      </c>
      <c r="B3401" s="77" t="s">
        <v>3320</v>
      </c>
      <c r="C3401" s="41">
        <v>45559.0</v>
      </c>
      <c r="D3401" s="40" t="s">
        <v>23846</v>
      </c>
      <c r="E3401" s="41" t="s">
        <v>23847</v>
      </c>
      <c r="F3401" s="43" t="s">
        <v>23848</v>
      </c>
      <c r="G3401" s="43" t="s">
        <v>23849</v>
      </c>
      <c r="H3401" s="59" t="s">
        <v>130</v>
      </c>
      <c r="I3401" s="25" t="str">
        <f>IFERROR(__xludf.DUMMYFUNCTION("GOOGLETRANSLATE(H3401,""EN"",""ES"")"),"Sostenibilidad")</f>
        <v>Sostenibilidad</v>
      </c>
      <c r="J3401" s="26" t="s">
        <v>27</v>
      </c>
      <c r="K3401" s="17">
        <v>0.0</v>
      </c>
      <c r="L3401" s="54"/>
      <c r="M3401" s="31"/>
      <c r="N3401" s="83"/>
      <c r="O3401" s="83"/>
      <c r="P3401" s="20">
        <v>0.0</v>
      </c>
      <c r="Q3401" s="31"/>
      <c r="R3401" s="31"/>
      <c r="S3401" s="53"/>
      <c r="T3401" s="32"/>
    </row>
    <row r="3402">
      <c r="A3402" s="33" t="s">
        <v>23850</v>
      </c>
      <c r="B3402" s="76" t="s">
        <v>8894</v>
      </c>
      <c r="C3402" s="41">
        <v>45559.0</v>
      </c>
      <c r="D3402" s="40" t="s">
        <v>23851</v>
      </c>
      <c r="E3402" s="41" t="s">
        <v>23852</v>
      </c>
      <c r="F3402" s="43" t="s">
        <v>23853</v>
      </c>
      <c r="G3402" s="43" t="s">
        <v>23854</v>
      </c>
      <c r="H3402" s="61" t="s">
        <v>48</v>
      </c>
      <c r="I3402" s="15" t="str">
        <f>IFERROR(__xludf.DUMMYFUNCTION("GOOGLETRANSLATE(H3402,""EN"",""ES"")"),"Finanzas")</f>
        <v>Finanzas</v>
      </c>
      <c r="J3402" s="16" t="s">
        <v>35</v>
      </c>
      <c r="K3402" s="48">
        <v>0.4</v>
      </c>
      <c r="L3402" s="51" t="s">
        <v>19216</v>
      </c>
      <c r="M3402" s="34" t="s">
        <v>19217</v>
      </c>
      <c r="N3402" s="86" t="s">
        <v>23855</v>
      </c>
      <c r="O3402" s="86" t="str">
        <f>IFERROR(__xludf.DUMMYFUNCTION("GOOGLETRANSLATE(N3402,""EN"",""ES"")"),"Sentimiento de neutro a ligeramente positivo, que destaca los ajustes de dividendos en medio de las fluctuaciones de las acciones.")</f>
        <v>Sentimiento de neutro a ligeramente positivo, que destaca los ajustes de dividendos en medio de las fluctuaciones de las acciones.</v>
      </c>
      <c r="P3402" s="30">
        <v>-0.4</v>
      </c>
      <c r="Q3402" s="18" t="str">
        <f>IFERROR(__xludf.DUMMYFUNCTION("GOOGLETRANSLATE(R3402,""ES"",""EN"")"),"falls")</f>
        <v>falls</v>
      </c>
      <c r="R3402" s="34" t="s">
        <v>18430</v>
      </c>
      <c r="S3402" s="52" t="s">
        <v>23856</v>
      </c>
      <c r="T3402" s="22" t="s">
        <v>23857</v>
      </c>
    </row>
    <row r="3403">
      <c r="A3403" s="23" t="s">
        <v>23858</v>
      </c>
      <c r="B3403" s="77" t="s">
        <v>558</v>
      </c>
      <c r="C3403" s="41">
        <v>45559.0</v>
      </c>
      <c r="D3403" s="40" t="s">
        <v>23859</v>
      </c>
      <c r="E3403" s="41" t="s">
        <v>23860</v>
      </c>
      <c r="F3403" s="43" t="s">
        <v>23861</v>
      </c>
      <c r="G3403" s="43" t="s">
        <v>23862</v>
      </c>
      <c r="H3403" s="59" t="s">
        <v>48</v>
      </c>
      <c r="I3403" s="25" t="str">
        <f>IFERROR(__xludf.DUMMYFUNCTION("GOOGLETRANSLATE(H3403,""EN"",""ES"")"),"Finanzas")</f>
        <v>Finanzas</v>
      </c>
      <c r="J3403" s="26" t="s">
        <v>35</v>
      </c>
      <c r="K3403" s="48">
        <v>-0.5</v>
      </c>
      <c r="L3403" s="49" t="s">
        <v>19216</v>
      </c>
      <c r="M3403" s="28" t="s">
        <v>19217</v>
      </c>
      <c r="N3403" s="83" t="s">
        <v>23863</v>
      </c>
      <c r="O3403" s="83" t="str">
        <f>IFERROR(__xludf.DUMMYFUNCTION("GOOGLETRANSLATE(N3403,""EN"",""ES"")"),"Sentimiento negativo, ya que refleja una disminución de la confianza del mercado.")</f>
        <v>Sentimiento negativo, ya que refleja una disminución de la confianza del mercado.</v>
      </c>
      <c r="P3403" s="30">
        <v>-0.7</v>
      </c>
      <c r="Q3403" s="31" t="str">
        <f>IFERROR(__xludf.DUMMYFUNCTION("GOOGLETRANSLATE(R3403,""ES"",""EN"")"),"they lower")</f>
        <v>they lower</v>
      </c>
      <c r="R3403" s="28" t="s">
        <v>23864</v>
      </c>
      <c r="S3403" s="53" t="s">
        <v>23865</v>
      </c>
      <c r="T3403" s="32" t="s">
        <v>23866</v>
      </c>
    </row>
    <row r="3404">
      <c r="A3404" s="33" t="s">
        <v>23867</v>
      </c>
      <c r="B3404" s="76" t="s">
        <v>5525</v>
      </c>
      <c r="C3404" s="41">
        <v>45559.0</v>
      </c>
      <c r="D3404" s="40" t="s">
        <v>23868</v>
      </c>
      <c r="E3404" s="41" t="s">
        <v>23869</v>
      </c>
      <c r="F3404" s="43" t="s">
        <v>23870</v>
      </c>
      <c r="G3404" s="43" t="s">
        <v>23871</v>
      </c>
      <c r="H3404" s="61" t="s">
        <v>48</v>
      </c>
      <c r="I3404" s="15" t="str">
        <f>IFERROR(__xludf.DUMMYFUNCTION("GOOGLETRANSLATE(H3404,""EN"",""ES"")"),"Finanzas")</f>
        <v>Finanzas</v>
      </c>
      <c r="J3404" s="16" t="s">
        <v>35</v>
      </c>
      <c r="K3404" s="48">
        <v>-0.6</v>
      </c>
      <c r="L3404" s="51" t="s">
        <v>23872</v>
      </c>
      <c r="M3404" s="34" t="s">
        <v>23873</v>
      </c>
      <c r="N3404" s="86" t="s">
        <v>23874</v>
      </c>
      <c r="O3404" s="86" t="str">
        <f>IFERROR(__xludf.DUMMYFUNCTION("GOOGLETRANSLATE(N3404,""EN"",""ES"")"),"Sentimiento negativo, que indica dificultades financieras y un posicionamiento bajista de los inversores.")</f>
        <v>Sentimiento negativo, que indica dificultades financieras y un posicionamiento bajista de los inversores.</v>
      </c>
      <c r="P3404" s="30">
        <v>-0.6</v>
      </c>
      <c r="Q3404" s="18" t="str">
        <f>IFERROR(__xludf.DUMMYFUNCTION("GOOGLETRANSLATE(R3404,""ES"",""EN"")"),"lows, bearish")</f>
        <v>lows, bearish</v>
      </c>
      <c r="R3404" s="34" t="s">
        <v>23875</v>
      </c>
      <c r="S3404" s="52" t="s">
        <v>23876</v>
      </c>
      <c r="T3404" s="22" t="s">
        <v>23877</v>
      </c>
    </row>
    <row r="3405">
      <c r="A3405" s="23" t="s">
        <v>23878</v>
      </c>
      <c r="B3405" s="77" t="s">
        <v>8884</v>
      </c>
      <c r="C3405" s="41">
        <v>45559.0</v>
      </c>
      <c r="D3405" s="40" t="s">
        <v>23879</v>
      </c>
      <c r="E3405" s="41" t="s">
        <v>23880</v>
      </c>
      <c r="F3405" s="43" t="s">
        <v>23881</v>
      </c>
      <c r="G3405" s="43" t="s">
        <v>23882</v>
      </c>
      <c r="H3405" s="59" t="s">
        <v>48</v>
      </c>
      <c r="I3405" s="25" t="str">
        <f>IFERROR(__xludf.DUMMYFUNCTION("GOOGLETRANSLATE(H3405,""EN"",""ES"")"),"Finanzas")</f>
        <v>Finanzas</v>
      </c>
      <c r="J3405" s="26" t="s">
        <v>35</v>
      </c>
      <c r="K3405" s="48">
        <v>0.5</v>
      </c>
      <c r="L3405" s="49" t="s">
        <v>23883</v>
      </c>
      <c r="M3405" s="28" t="s">
        <v>23884</v>
      </c>
      <c r="N3405" s="83" t="s">
        <v>23885</v>
      </c>
      <c r="O3405" s="83" t="str">
        <f>IFERROR(__xludf.DUMMYFUNCTION("GOOGLETRANSLATE(N3405,""EN"",""ES"")"),"Sentimiento ligeramente positivo, ya que tranquiliza a los inversores sobre la estabilidad financiera.")</f>
        <v>Sentimiento ligeramente positivo, ya que tranquiliza a los inversores sobre la estabilidad financiera.</v>
      </c>
      <c r="P3405" s="30">
        <v>0.3</v>
      </c>
      <c r="Q3405" s="31" t="str">
        <f>IFERROR(__xludf.DUMMYFUNCTION("GOOGLETRANSLATE(R3405,""ES"",""EN"")"),"will keep")</f>
        <v>will keep</v>
      </c>
      <c r="R3405" s="28" t="s">
        <v>23886</v>
      </c>
      <c r="S3405" s="53" t="s">
        <v>23887</v>
      </c>
      <c r="T3405" s="32" t="s">
        <v>23888</v>
      </c>
    </row>
    <row r="3406">
      <c r="A3406" s="33" t="s">
        <v>23889</v>
      </c>
      <c r="B3406" s="76" t="s">
        <v>19821</v>
      </c>
      <c r="C3406" s="41">
        <v>45559.0</v>
      </c>
      <c r="D3406" s="40" t="s">
        <v>23890</v>
      </c>
      <c r="E3406" s="41" t="s">
        <v>23891</v>
      </c>
      <c r="F3406" s="43" t="s">
        <v>23892</v>
      </c>
      <c r="G3406" s="43" t="s">
        <v>23893</v>
      </c>
      <c r="H3406" s="61" t="s">
        <v>48</v>
      </c>
      <c r="I3406" s="15" t="str">
        <f>IFERROR(__xludf.DUMMYFUNCTION("GOOGLETRANSLATE(H3406,""EN"",""ES"")"),"Finanzas")</f>
        <v>Finanzas</v>
      </c>
      <c r="J3406" s="16" t="s">
        <v>35</v>
      </c>
      <c r="K3406" s="48">
        <v>-0.6</v>
      </c>
      <c r="L3406" s="51" t="s">
        <v>19216</v>
      </c>
      <c r="M3406" s="34" t="s">
        <v>19217</v>
      </c>
      <c r="N3406" s="86" t="s">
        <v>23894</v>
      </c>
      <c r="O3406" s="86" t="str">
        <f>IFERROR(__xludf.DUMMYFUNCTION("GOOGLETRANSLATE(N3406,""EN"",""ES"")"),"Sentimiento negativo, ya que resalta la presión y la incertidumbre del mercado de valores.")</f>
        <v>Sentimiento negativo, ya que resalta la presión y la incertidumbre del mercado de valores.</v>
      </c>
      <c r="P3406" s="30">
        <v>-0.6</v>
      </c>
      <c r="Q3406" s="18" t="str">
        <f>IFERROR(__xludf.DUMMYFUNCTION("GOOGLETRANSLATE(R3406,""ES"",""EN"")"),"pressure, bearish")</f>
        <v>pressure, bearish</v>
      </c>
      <c r="R3406" s="34" t="s">
        <v>23895</v>
      </c>
      <c r="S3406" s="52" t="s">
        <v>23896</v>
      </c>
      <c r="T3406" s="22" t="s">
        <v>23897</v>
      </c>
    </row>
    <row r="3407">
      <c r="A3407" s="23" t="s">
        <v>23898</v>
      </c>
      <c r="B3407" s="77" t="s">
        <v>1602</v>
      </c>
      <c r="C3407" s="41">
        <v>45559.0</v>
      </c>
      <c r="D3407" s="40" t="s">
        <v>23899</v>
      </c>
      <c r="E3407" s="41" t="s">
        <v>23900</v>
      </c>
      <c r="F3407" s="43" t="s">
        <v>23901</v>
      </c>
      <c r="G3407" s="43" t="s">
        <v>23902</v>
      </c>
      <c r="H3407" s="59" t="s">
        <v>48</v>
      </c>
      <c r="I3407" s="25" t="str">
        <f>IFERROR(__xludf.DUMMYFUNCTION("GOOGLETRANSLATE(H3407,""EN"",""ES"")"),"Finanzas")</f>
        <v>Finanzas</v>
      </c>
      <c r="J3407" s="26" t="s">
        <v>35</v>
      </c>
      <c r="K3407" s="48">
        <v>-0.6</v>
      </c>
      <c r="L3407" s="49" t="s">
        <v>23872</v>
      </c>
      <c r="M3407" s="28" t="s">
        <v>23873</v>
      </c>
      <c r="N3407" s="83" t="s">
        <v>23903</v>
      </c>
      <c r="O3407" s="83" t="str">
        <f>IFERROR(__xludf.DUMMYFUNCTION("GOOGLETRANSLATE(N3407,""EN"",""ES"")"),"Sentimiento negativo, ya que indica menores expectativas por parte de las principales instituciones financieras.")</f>
        <v>Sentimiento negativo, ya que indica menores expectativas por parte de las principales instituciones financieras.</v>
      </c>
      <c r="P3407" s="30">
        <v>-0.5</v>
      </c>
      <c r="Q3407" s="31" t="str">
        <f>IFERROR(__xludf.DUMMYFUNCTION("GOOGLETRANSLATE(R3407,""ES"",""EN"")"),"cut, lower")</f>
        <v>cut, lower</v>
      </c>
      <c r="R3407" s="28" t="s">
        <v>23904</v>
      </c>
      <c r="S3407" s="53" t="s">
        <v>23905</v>
      </c>
      <c r="T3407" s="32" t="s">
        <v>23906</v>
      </c>
    </row>
    <row r="3408">
      <c r="A3408" s="33" t="s">
        <v>23907</v>
      </c>
      <c r="B3408" s="76" t="s">
        <v>4984</v>
      </c>
      <c r="C3408" s="41">
        <v>45559.0</v>
      </c>
      <c r="D3408" s="40" t="s">
        <v>23908</v>
      </c>
      <c r="E3408" s="41" t="s">
        <v>23909</v>
      </c>
      <c r="F3408" s="43" t="s">
        <v>23910</v>
      </c>
      <c r="G3408" s="43" t="s">
        <v>23911</v>
      </c>
      <c r="H3408" s="61" t="s">
        <v>23318</v>
      </c>
      <c r="I3408" s="15" t="str">
        <f>IFERROR(__xludf.DUMMYFUNCTION("GOOGLETRANSLATE(H3408,""EN"",""ES"")"),"Riesgos comerciales")</f>
        <v>Riesgos comerciales</v>
      </c>
      <c r="J3408" s="16" t="s">
        <v>35</v>
      </c>
      <c r="K3408" s="48">
        <v>-0.8</v>
      </c>
      <c r="L3408" s="51" t="s">
        <v>23319</v>
      </c>
      <c r="M3408" s="34" t="s">
        <v>23320</v>
      </c>
      <c r="N3408" s="86" t="s">
        <v>23912</v>
      </c>
      <c r="O3408" s="86" t="str">
        <f>IFERROR(__xludf.DUMMYFUNCTION("GOOGLETRANSLATE(N3408,""EN"",""ES"")"),"Fuerte sentimiento negativo, ya que se trata de una brecha de seguridad que afecta a los clientes.")</f>
        <v>Fuerte sentimiento negativo, ya que se trata de una brecha de seguridad que afecta a los clientes.</v>
      </c>
      <c r="P3408" s="30">
        <v>-0.8</v>
      </c>
      <c r="Q3408" s="18" t="str">
        <f>IFERROR(__xludf.DUMMYFUNCTION("GOOGLETRANSLATE(R3408,""ES"",""EN"")"),"cyber attack, exposes")</f>
        <v>cyber attack, exposes</v>
      </c>
      <c r="R3408" s="34" t="s">
        <v>23913</v>
      </c>
      <c r="S3408" s="52" t="s">
        <v>23914</v>
      </c>
      <c r="T3408" s="22" t="s">
        <v>23915</v>
      </c>
    </row>
    <row r="3409">
      <c r="A3409" s="23" t="s">
        <v>23916</v>
      </c>
      <c r="B3409" s="77" t="s">
        <v>21</v>
      </c>
      <c r="C3409" s="41">
        <v>45559.0</v>
      </c>
      <c r="D3409" s="40" t="s">
        <v>23917</v>
      </c>
      <c r="E3409" s="41" t="s">
        <v>23918</v>
      </c>
      <c r="F3409" s="43" t="s">
        <v>23919</v>
      </c>
      <c r="G3409" s="43" t="s">
        <v>23920</v>
      </c>
      <c r="H3409" s="59" t="s">
        <v>969</v>
      </c>
      <c r="I3409" s="25" t="str">
        <f>IFERROR(__xludf.DUMMYFUNCTION("GOOGLETRANSLATE(H3409,""EN"",""ES"")"),"Turismo")</f>
        <v>Turismo</v>
      </c>
      <c r="J3409" s="26" t="s">
        <v>27</v>
      </c>
      <c r="K3409" s="17">
        <v>0.0</v>
      </c>
      <c r="L3409" s="54"/>
      <c r="M3409" s="31"/>
      <c r="N3409" s="83"/>
      <c r="O3409" s="83"/>
      <c r="P3409" s="20">
        <v>0.0</v>
      </c>
      <c r="Q3409" s="31"/>
      <c r="R3409" s="31"/>
      <c r="S3409" s="53"/>
      <c r="T3409" s="32"/>
    </row>
    <row r="3410">
      <c r="A3410" s="33" t="s">
        <v>23921</v>
      </c>
      <c r="B3410" s="76" t="s">
        <v>2696</v>
      </c>
      <c r="C3410" s="41">
        <v>45559.0</v>
      </c>
      <c r="D3410" s="40" t="s">
        <v>23922</v>
      </c>
      <c r="E3410" s="41" t="s">
        <v>23923</v>
      </c>
      <c r="F3410" s="43" t="s">
        <v>23924</v>
      </c>
      <c r="G3410" s="43" t="s">
        <v>23925</v>
      </c>
      <c r="H3410" s="61" t="s">
        <v>661</v>
      </c>
      <c r="I3410" s="15" t="str">
        <f>IFERROR(__xludf.DUMMYFUNCTION("GOOGLETRANSLATE(H3410,""EN"",""ES"")"),"Estrategia empresarial")</f>
        <v>Estrategia empresarial</v>
      </c>
      <c r="J3410" s="16" t="s">
        <v>35</v>
      </c>
      <c r="K3410" s="48">
        <v>0.5</v>
      </c>
      <c r="L3410" s="51" t="s">
        <v>22618</v>
      </c>
      <c r="M3410" s="34" t="s">
        <v>22619</v>
      </c>
      <c r="N3410" s="86" t="s">
        <v>23926</v>
      </c>
      <c r="O3410" s="86" t="str">
        <f>IFERROR(__xludf.DUMMYFUNCTION("GOOGLETRANSLATE(N3410,""EN"",""ES"")"),"Sentimiento ligeramente positivo, lo que indica discusiones diplomáticas y comerciales en curso.")</f>
        <v>Sentimiento ligeramente positivo, lo que indica discusiones diplomáticas y comerciales en curso.</v>
      </c>
      <c r="P3410" s="30">
        <v>-0.3</v>
      </c>
      <c r="Q3410" s="18" t="str">
        <f>IFERROR(__xludf.DUMMYFUNCTION("GOOGLETRANSLATE(R3410,""ES"",""EN"")"),"strain")</f>
        <v>strain</v>
      </c>
      <c r="R3410" s="34" t="s">
        <v>22538</v>
      </c>
      <c r="S3410" s="52" t="s">
        <v>22468</v>
      </c>
      <c r="T3410" s="22" t="s">
        <v>22469</v>
      </c>
    </row>
    <row r="3411">
      <c r="A3411" s="23" t="s">
        <v>23927</v>
      </c>
      <c r="B3411" s="77" t="s">
        <v>8287</v>
      </c>
      <c r="C3411" s="41">
        <v>45559.0</v>
      </c>
      <c r="D3411" s="40" t="s">
        <v>23928</v>
      </c>
      <c r="E3411" s="41" t="s">
        <v>23928</v>
      </c>
      <c r="F3411" s="43" t="s">
        <v>23929</v>
      </c>
      <c r="G3411" s="43" t="s">
        <v>23929</v>
      </c>
      <c r="H3411" s="59" t="s">
        <v>130</v>
      </c>
      <c r="I3411" s="25" t="str">
        <f>IFERROR(__xludf.DUMMYFUNCTION("GOOGLETRANSLATE(H3411,""EN"",""ES"")"),"Sostenibilidad")</f>
        <v>Sostenibilidad</v>
      </c>
      <c r="J3411" s="26" t="s">
        <v>35</v>
      </c>
      <c r="K3411" s="48">
        <v>0.6</v>
      </c>
      <c r="L3411" s="49" t="s">
        <v>23515</v>
      </c>
      <c r="M3411" s="28" t="s">
        <v>23516</v>
      </c>
      <c r="N3411" s="83" t="s">
        <v>23930</v>
      </c>
      <c r="O3411" s="83" t="str">
        <f>IFERROR(__xludf.DUMMYFUNCTION("GOOGLETRANSLATE(N3411,""EN"",""ES"")"),"Sentimiento positivo, destacando un importante acuerdo de energía renovable.")</f>
        <v>Sentimiento positivo, destacando un importante acuerdo de energía renovable.</v>
      </c>
      <c r="P3411" s="30">
        <v>0.0</v>
      </c>
      <c r="Q3411" s="31"/>
      <c r="R3411" s="31"/>
      <c r="S3411" s="53" t="s">
        <v>23931</v>
      </c>
      <c r="T3411" s="32" t="s">
        <v>23932</v>
      </c>
    </row>
    <row r="3412">
      <c r="A3412" s="33" t="s">
        <v>23933</v>
      </c>
      <c r="B3412" s="76" t="s">
        <v>23934</v>
      </c>
      <c r="C3412" s="41">
        <v>45559.0</v>
      </c>
      <c r="D3412" s="40" t="s">
        <v>23935</v>
      </c>
      <c r="E3412" s="41" t="s">
        <v>23936</v>
      </c>
      <c r="F3412" s="43" t="s">
        <v>23937</v>
      </c>
      <c r="G3412" s="43" t="s">
        <v>23938</v>
      </c>
      <c r="H3412" s="61" t="s">
        <v>23318</v>
      </c>
      <c r="I3412" s="15" t="str">
        <f>IFERROR(__xludf.DUMMYFUNCTION("GOOGLETRANSLATE(H3412,""EN"",""ES"")"),"Riesgos comerciales")</f>
        <v>Riesgos comerciales</v>
      </c>
      <c r="J3412" s="16" t="s">
        <v>35</v>
      </c>
      <c r="K3412" s="48">
        <v>-0.6</v>
      </c>
      <c r="L3412" s="51" t="s">
        <v>23939</v>
      </c>
      <c r="M3412" s="34" t="s">
        <v>23940</v>
      </c>
      <c r="N3412" s="86" t="s">
        <v>23941</v>
      </c>
      <c r="O3412" s="86" t="str">
        <f>IFERROR(__xludf.DUMMYFUNCTION("GOOGLETRANSLATE(N3412,""EN"",""ES"")"),"Sentimiento negativo, que muestra a Repsol beneficiándose de los conflictos geopolíticos.")</f>
        <v>Sentimiento negativo, que muestra a Repsol beneficiándose de los conflictos geopolíticos.</v>
      </c>
      <c r="P3412" s="30">
        <v>-0.4</v>
      </c>
      <c r="Q3412" s="18" t="str">
        <f>IFERROR(__xludf.DUMMYFUNCTION("GOOGLETRANSLATE(R3412,""ES"",""EN"")"),"enriches")</f>
        <v>enriches</v>
      </c>
      <c r="R3412" s="34" t="s">
        <v>23942</v>
      </c>
      <c r="S3412" s="52" t="s">
        <v>23943</v>
      </c>
      <c r="T3412" s="22" t="s">
        <v>23944</v>
      </c>
    </row>
    <row r="3413">
      <c r="A3413" s="23" t="s">
        <v>23945</v>
      </c>
      <c r="B3413" s="77" t="s">
        <v>1568</v>
      </c>
      <c r="C3413" s="41">
        <v>45559.0</v>
      </c>
      <c r="D3413" s="40" t="s">
        <v>23946</v>
      </c>
      <c r="E3413" s="41" t="s">
        <v>23947</v>
      </c>
      <c r="F3413" s="43" t="s">
        <v>23948</v>
      </c>
      <c r="G3413" s="43" t="s">
        <v>23949</v>
      </c>
      <c r="H3413" s="59" t="s">
        <v>661</v>
      </c>
      <c r="I3413" s="25" t="str">
        <f>IFERROR(__xludf.DUMMYFUNCTION("GOOGLETRANSLATE(H3413,""EN"",""ES"")"),"Estrategia empresarial")</f>
        <v>Estrategia empresarial</v>
      </c>
      <c r="J3413" s="26" t="s">
        <v>35</v>
      </c>
      <c r="K3413" s="48">
        <v>0.6</v>
      </c>
      <c r="L3413" s="49" t="s">
        <v>20237</v>
      </c>
      <c r="M3413" s="28" t="s">
        <v>20238</v>
      </c>
      <c r="N3413" s="83" t="s">
        <v>23950</v>
      </c>
      <c r="O3413" s="83" t="str">
        <f>IFERROR(__xludf.DUMMYFUNCTION("GOOGLETRANSLATE(N3413,""EN"",""ES"")"),"Sentimiento positivo, que muestra el abastecimiento estratégico de petróleo.")</f>
        <v>Sentimiento positivo, que muestra el abastecimiento estratégico de petróleo.</v>
      </c>
      <c r="P3413" s="30">
        <v>0.0</v>
      </c>
      <c r="Q3413" s="31"/>
      <c r="R3413" s="31"/>
      <c r="S3413" s="53" t="s">
        <v>23951</v>
      </c>
      <c r="T3413" s="32" t="s">
        <v>23952</v>
      </c>
    </row>
    <row r="3414">
      <c r="A3414" s="33" t="s">
        <v>23953</v>
      </c>
      <c r="B3414" s="76" t="s">
        <v>43</v>
      </c>
      <c r="C3414" s="41">
        <v>45559.0</v>
      </c>
      <c r="D3414" s="40" t="s">
        <v>23954</v>
      </c>
      <c r="E3414" s="41" t="s">
        <v>23955</v>
      </c>
      <c r="F3414" s="43" t="s">
        <v>23956</v>
      </c>
      <c r="G3414" s="43" t="s">
        <v>23957</v>
      </c>
      <c r="H3414" s="61" t="s">
        <v>5747</v>
      </c>
      <c r="I3414" s="15" t="str">
        <f>IFERROR(__xludf.DUMMYFUNCTION("GOOGLETRANSLATE(H3414,""EN"",""ES"")"),"Mercado energético")</f>
        <v>Mercado energético</v>
      </c>
      <c r="J3414" s="16" t="s">
        <v>27</v>
      </c>
      <c r="K3414" s="17">
        <v>0.0</v>
      </c>
      <c r="L3414" s="45"/>
      <c r="M3414" s="18"/>
      <c r="N3414" s="86"/>
      <c r="O3414" s="86"/>
      <c r="P3414" s="20">
        <v>0.0</v>
      </c>
      <c r="Q3414" s="18"/>
      <c r="R3414" s="18"/>
      <c r="S3414" s="52"/>
      <c r="T3414" s="22"/>
    </row>
    <row r="3415">
      <c r="A3415" s="23" t="s">
        <v>23958</v>
      </c>
      <c r="B3415" s="77" t="s">
        <v>11876</v>
      </c>
      <c r="C3415" s="41">
        <v>45559.0</v>
      </c>
      <c r="D3415" s="40" t="s">
        <v>23959</v>
      </c>
      <c r="E3415" s="41" t="s">
        <v>23960</v>
      </c>
      <c r="F3415" s="43" t="s">
        <v>23961</v>
      </c>
      <c r="G3415" s="43" t="s">
        <v>23962</v>
      </c>
      <c r="H3415" s="59" t="s">
        <v>661</v>
      </c>
      <c r="I3415" s="25" t="str">
        <f>IFERROR(__xludf.DUMMYFUNCTION("GOOGLETRANSLATE(H3415,""EN"",""ES"")"),"Estrategia empresarial")</f>
        <v>Estrategia empresarial</v>
      </c>
      <c r="J3415" s="26" t="s">
        <v>35</v>
      </c>
      <c r="K3415" s="48">
        <v>0.5</v>
      </c>
      <c r="L3415" s="49" t="s">
        <v>22618</v>
      </c>
      <c r="M3415" s="28" t="s">
        <v>22619</v>
      </c>
      <c r="N3415" s="83" t="s">
        <v>23963</v>
      </c>
      <c r="O3415" s="83" t="str">
        <f>IFERROR(__xludf.DUMMYFUNCTION("GOOGLETRANSLATE(N3415,""EN"",""ES"")"),"Sentimiento ligeramente positivo, lo que indica una colaboración continua.")</f>
        <v>Sentimiento ligeramente positivo, lo que indica una colaboración continua.</v>
      </c>
      <c r="P3415" s="30">
        <v>0.5</v>
      </c>
      <c r="Q3415" s="31" t="str">
        <f>IFERROR(__xludf.DUMMYFUNCTION("GOOGLETRANSLATE(R3415,""ES"",""EN"")"),"advance, agreements")</f>
        <v>advance, agreements</v>
      </c>
      <c r="R3415" s="28" t="s">
        <v>23773</v>
      </c>
      <c r="S3415" s="53" t="s">
        <v>23964</v>
      </c>
      <c r="T3415" s="32" t="s">
        <v>23965</v>
      </c>
    </row>
    <row r="3416">
      <c r="A3416" s="33" t="s">
        <v>23966</v>
      </c>
      <c r="B3416" s="76" t="s">
        <v>14925</v>
      </c>
      <c r="C3416" s="41">
        <v>45559.0</v>
      </c>
      <c r="D3416" s="40" t="s">
        <v>23967</v>
      </c>
      <c r="E3416" s="41" t="s">
        <v>23968</v>
      </c>
      <c r="F3416" s="43" t="s">
        <v>23969</v>
      </c>
      <c r="G3416" s="43" t="s">
        <v>23970</v>
      </c>
      <c r="H3416" s="61" t="s">
        <v>23971</v>
      </c>
      <c r="I3416" s="15" t="str">
        <f>IFERROR(__xludf.DUMMYFUNCTION("GOOGLETRANSLATE(H3416,""EN"",""ES"")"),"Regulador")</f>
        <v>Regulador</v>
      </c>
      <c r="J3416" s="16" t="s">
        <v>27</v>
      </c>
      <c r="K3416" s="17">
        <v>0.0</v>
      </c>
      <c r="L3416" s="45"/>
      <c r="M3416" s="18"/>
      <c r="N3416" s="86"/>
      <c r="O3416" s="86"/>
      <c r="P3416" s="20">
        <v>0.0</v>
      </c>
      <c r="Q3416" s="18"/>
      <c r="R3416" s="18"/>
      <c r="S3416" s="52"/>
      <c r="T3416" s="22"/>
    </row>
    <row r="3417">
      <c r="A3417" s="23" t="s">
        <v>23972</v>
      </c>
      <c r="B3417" s="77" t="s">
        <v>1602</v>
      </c>
      <c r="C3417" s="41">
        <v>45559.0</v>
      </c>
      <c r="D3417" s="40" t="s">
        <v>23973</v>
      </c>
      <c r="E3417" s="41" t="s">
        <v>23974</v>
      </c>
      <c r="F3417" s="43" t="s">
        <v>23975</v>
      </c>
      <c r="G3417" s="43" t="s">
        <v>23976</v>
      </c>
      <c r="H3417" s="59" t="s">
        <v>48</v>
      </c>
      <c r="I3417" s="25" t="str">
        <f>IFERROR(__xludf.DUMMYFUNCTION("GOOGLETRANSLATE(H3417,""EN"",""ES"")"),"Finanzas")</f>
        <v>Finanzas</v>
      </c>
      <c r="J3417" s="26" t="s">
        <v>35</v>
      </c>
      <c r="K3417" s="48">
        <v>-0.6</v>
      </c>
      <c r="L3417" s="49" t="s">
        <v>23872</v>
      </c>
      <c r="M3417" s="28" t="s">
        <v>23873</v>
      </c>
      <c r="N3417" s="83" t="s">
        <v>23977</v>
      </c>
      <c r="O3417" s="83" t="str">
        <f>IFERROR(__xludf.DUMMYFUNCTION("GOOGLETRANSLATE(N3417,""EN"",""ES"")"),"Sentimiento negativo, que indica continuas luchas en el desempeño de las acciones de Repsol.")</f>
        <v>Sentimiento negativo, que indica continuas luchas en el desempeño de las acciones de Repsol.</v>
      </c>
      <c r="P3417" s="30">
        <v>-0.3</v>
      </c>
      <c r="Q3417" s="31" t="str">
        <f>IFERROR(__xludf.DUMMYFUNCTION("GOOGLETRANSLATE(R3417,""ES"",""EN"")"),"#VALUE!")</f>
        <v>#VALUE!</v>
      </c>
      <c r="R3417" s="31"/>
      <c r="S3417" s="53" t="s">
        <v>23978</v>
      </c>
      <c r="T3417" s="32" t="s">
        <v>23979</v>
      </c>
    </row>
    <row r="3418">
      <c r="A3418" s="33" t="s">
        <v>23980</v>
      </c>
      <c r="B3418" s="76" t="s">
        <v>21</v>
      </c>
      <c r="C3418" s="41">
        <v>45559.0</v>
      </c>
      <c r="D3418" s="40" t="s">
        <v>23981</v>
      </c>
      <c r="E3418" s="41" t="s">
        <v>23982</v>
      </c>
      <c r="F3418" s="43" t="s">
        <v>23983</v>
      </c>
      <c r="G3418" s="43" t="s">
        <v>23984</v>
      </c>
      <c r="H3418" s="61" t="s">
        <v>148</v>
      </c>
      <c r="I3418" s="15" t="str">
        <f>IFERROR(__xludf.DUMMYFUNCTION("GOOGLETRANSLATE(H3418,""EN"",""ES"")"),"Gastronomía")</f>
        <v>Gastronomía</v>
      </c>
      <c r="J3418" s="16" t="s">
        <v>27</v>
      </c>
      <c r="K3418" s="17">
        <v>0.0</v>
      </c>
      <c r="L3418" s="45"/>
      <c r="M3418" s="18"/>
      <c r="N3418" s="86"/>
      <c r="O3418" s="86"/>
      <c r="P3418" s="20">
        <v>0.0</v>
      </c>
      <c r="Q3418" s="18"/>
      <c r="R3418" s="18"/>
      <c r="S3418" s="52"/>
      <c r="T3418" s="22"/>
    </row>
    <row r="3419">
      <c r="A3419" s="23" t="s">
        <v>23985</v>
      </c>
      <c r="B3419" s="77" t="s">
        <v>23299</v>
      </c>
      <c r="C3419" s="41">
        <v>45559.0</v>
      </c>
      <c r="D3419" s="40" t="s">
        <v>23986</v>
      </c>
      <c r="E3419" s="41" t="s">
        <v>23987</v>
      </c>
      <c r="F3419" s="43" t="s">
        <v>23988</v>
      </c>
      <c r="G3419" s="43" t="s">
        <v>23989</v>
      </c>
      <c r="H3419" s="59" t="s">
        <v>148</v>
      </c>
      <c r="I3419" s="25" t="str">
        <f>IFERROR(__xludf.DUMMYFUNCTION("GOOGLETRANSLATE(H3419,""EN"",""ES"")"),"Gastronomía")</f>
        <v>Gastronomía</v>
      </c>
      <c r="J3419" s="26" t="s">
        <v>27</v>
      </c>
      <c r="K3419" s="17">
        <v>0.0</v>
      </c>
      <c r="L3419" s="54"/>
      <c r="M3419" s="31"/>
      <c r="N3419" s="83"/>
      <c r="O3419" s="83"/>
      <c r="P3419" s="20">
        <v>0.0</v>
      </c>
      <c r="Q3419" s="31"/>
      <c r="R3419" s="31"/>
      <c r="S3419" s="53"/>
      <c r="T3419" s="32"/>
    </row>
    <row r="3420">
      <c r="A3420" s="33" t="s">
        <v>23990</v>
      </c>
      <c r="B3420" s="76" t="s">
        <v>1602</v>
      </c>
      <c r="C3420" s="41">
        <v>45559.0</v>
      </c>
      <c r="D3420" s="40" t="s">
        <v>23991</v>
      </c>
      <c r="E3420" s="41" t="s">
        <v>23992</v>
      </c>
      <c r="F3420" s="43" t="s">
        <v>23993</v>
      </c>
      <c r="G3420" s="43" t="s">
        <v>23994</v>
      </c>
      <c r="H3420" s="61" t="s">
        <v>48</v>
      </c>
      <c r="I3420" s="15" t="str">
        <f>IFERROR(__xludf.DUMMYFUNCTION("GOOGLETRANSLATE(H3420,""EN"",""ES"")"),"Finanzas")</f>
        <v>Finanzas</v>
      </c>
      <c r="J3420" s="16" t="s">
        <v>27</v>
      </c>
      <c r="K3420" s="17">
        <v>0.0</v>
      </c>
      <c r="L3420" s="45"/>
      <c r="M3420" s="18"/>
      <c r="N3420" s="86"/>
      <c r="O3420" s="86"/>
      <c r="P3420" s="20">
        <v>0.0</v>
      </c>
      <c r="Q3420" s="18"/>
      <c r="R3420" s="18"/>
      <c r="S3420" s="52"/>
      <c r="T3420" s="22"/>
    </row>
    <row r="3421">
      <c r="A3421" s="23" t="s">
        <v>23995</v>
      </c>
      <c r="B3421" s="77" t="s">
        <v>23996</v>
      </c>
      <c r="C3421" s="41">
        <v>45559.0</v>
      </c>
      <c r="D3421" s="40" t="s">
        <v>23997</v>
      </c>
      <c r="E3421" s="41" t="s">
        <v>23998</v>
      </c>
      <c r="F3421" s="43" t="s">
        <v>23999</v>
      </c>
      <c r="G3421" s="43" t="s">
        <v>24000</v>
      </c>
      <c r="H3421" s="59" t="s">
        <v>661</v>
      </c>
      <c r="I3421" s="25" t="str">
        <f>IFERROR(__xludf.DUMMYFUNCTION("GOOGLETRANSLATE(H3421,""EN"",""ES"")"),"Estrategia empresarial")</f>
        <v>Estrategia empresarial</v>
      </c>
      <c r="J3421" s="26" t="s">
        <v>35</v>
      </c>
      <c r="K3421" s="48">
        <v>0.7</v>
      </c>
      <c r="L3421" s="49" t="s">
        <v>12776</v>
      </c>
      <c r="M3421" s="28" t="s">
        <v>12777</v>
      </c>
      <c r="N3421" s="83" t="s">
        <v>24001</v>
      </c>
      <c r="O3421" s="83" t="str">
        <f>IFERROR(__xludf.DUMMYFUNCTION("GOOGLETRANSLATE(N3421,""EN"",""ES"")"),"Sentimiento positivo, que muestra la expansión de Repsol en el sector energético.")</f>
        <v>Sentimiento positivo, que muestra la expansión de Repsol en el sector energético.</v>
      </c>
      <c r="P3421" s="30">
        <v>0.6</v>
      </c>
      <c r="Q3421" s="31" t="str">
        <f>IFERROR(__xludf.DUMMYFUNCTION("GOOGLETRANSLATE(R3421,""ES"",""EN"")"),"reinforces")</f>
        <v>reinforces</v>
      </c>
      <c r="R3421" s="28" t="s">
        <v>24002</v>
      </c>
      <c r="S3421" s="53" t="s">
        <v>24003</v>
      </c>
      <c r="T3421" s="32" t="s">
        <v>24004</v>
      </c>
    </row>
    <row r="3422">
      <c r="A3422" s="33" t="s">
        <v>24005</v>
      </c>
      <c r="B3422" s="76" t="s">
        <v>24006</v>
      </c>
      <c r="C3422" s="41">
        <v>45559.0</v>
      </c>
      <c r="D3422" s="40" t="s">
        <v>24007</v>
      </c>
      <c r="E3422" s="41" t="s">
        <v>24008</v>
      </c>
      <c r="F3422" s="43" t="s">
        <v>24009</v>
      </c>
      <c r="G3422" s="43" t="s">
        <v>24010</v>
      </c>
      <c r="H3422" s="61" t="s">
        <v>130</v>
      </c>
      <c r="I3422" s="15" t="str">
        <f>IFERROR(__xludf.DUMMYFUNCTION("GOOGLETRANSLATE(H3422,""EN"",""ES"")"),"Sostenibilidad")</f>
        <v>Sostenibilidad</v>
      </c>
      <c r="J3422" s="16" t="s">
        <v>35</v>
      </c>
      <c r="K3422" s="48">
        <v>0.6</v>
      </c>
      <c r="L3422" s="51" t="s">
        <v>23515</v>
      </c>
      <c r="M3422" s="34" t="s">
        <v>23516</v>
      </c>
      <c r="N3422" s="86" t="s">
        <v>24011</v>
      </c>
      <c r="O3422" s="86" t="str">
        <f>IFERROR(__xludf.DUMMYFUNCTION("GOOGLETRANSLATE(N3422,""EN"",""ES"")"),"Sentimiento positivo, reforzando el crecimiento de proyectos de energías renovables.")</f>
        <v>Sentimiento positivo, reforzando el crecimiento de proyectos de energías renovables.</v>
      </c>
      <c r="P3422" s="30">
        <v>0.0</v>
      </c>
      <c r="Q3422" s="18"/>
      <c r="R3422" s="18"/>
      <c r="S3422" s="52" t="s">
        <v>24012</v>
      </c>
      <c r="T3422" s="22" t="s">
        <v>24013</v>
      </c>
    </row>
    <row r="3423">
      <c r="A3423" s="23" t="s">
        <v>24014</v>
      </c>
      <c r="B3423" s="77" t="s">
        <v>952</v>
      </c>
      <c r="C3423" s="41">
        <v>45560.0</v>
      </c>
      <c r="D3423" s="40" t="s">
        <v>24015</v>
      </c>
      <c r="E3423" s="41" t="s">
        <v>24016</v>
      </c>
      <c r="F3423" s="43" t="s">
        <v>24017</v>
      </c>
      <c r="G3423" s="43" t="s">
        <v>24018</v>
      </c>
      <c r="H3423" s="59" t="s">
        <v>130</v>
      </c>
      <c r="I3423" s="25" t="str">
        <f>IFERROR(__xludf.DUMMYFUNCTION("GOOGLETRANSLATE(H3423,""EN"",""ES"")"),"Sostenibilidad")</f>
        <v>Sostenibilidad</v>
      </c>
      <c r="J3423" s="26" t="s">
        <v>27</v>
      </c>
      <c r="K3423" s="17">
        <v>0.0</v>
      </c>
      <c r="L3423" s="54"/>
      <c r="M3423" s="31"/>
      <c r="N3423" s="83"/>
      <c r="O3423" s="83"/>
      <c r="P3423" s="20">
        <v>0.0</v>
      </c>
      <c r="Q3423" s="31"/>
      <c r="R3423" s="31"/>
      <c r="S3423" s="53"/>
      <c r="T3423" s="32"/>
    </row>
    <row r="3424">
      <c r="A3424" s="33" t="s">
        <v>24019</v>
      </c>
      <c r="B3424" s="76" t="s">
        <v>11267</v>
      </c>
      <c r="C3424" s="41">
        <v>45560.0</v>
      </c>
      <c r="D3424" s="40" t="s">
        <v>24020</v>
      </c>
      <c r="E3424" s="41" t="s">
        <v>24021</v>
      </c>
      <c r="F3424" s="43" t="s">
        <v>24022</v>
      </c>
      <c r="G3424" s="43" t="s">
        <v>24023</v>
      </c>
      <c r="H3424" s="61" t="s">
        <v>661</v>
      </c>
      <c r="I3424" s="15" t="str">
        <f>IFERROR(__xludf.DUMMYFUNCTION("GOOGLETRANSLATE(H3424,""EN"",""ES"")"),"Estrategia empresarial")</f>
        <v>Estrategia empresarial</v>
      </c>
      <c r="J3424" s="16" t="s">
        <v>27</v>
      </c>
      <c r="K3424" s="17">
        <v>0.0</v>
      </c>
      <c r="L3424" s="45"/>
      <c r="M3424" s="18"/>
      <c r="N3424" s="86"/>
      <c r="O3424" s="86"/>
      <c r="P3424" s="20">
        <v>0.0</v>
      </c>
      <c r="Q3424" s="18"/>
      <c r="R3424" s="18"/>
      <c r="S3424" s="52"/>
      <c r="T3424" s="22"/>
    </row>
    <row r="3425">
      <c r="A3425" s="23" t="s">
        <v>24024</v>
      </c>
      <c r="B3425" s="77" t="s">
        <v>207</v>
      </c>
      <c r="C3425" s="41">
        <v>45560.0</v>
      </c>
      <c r="D3425" s="40" t="s">
        <v>24025</v>
      </c>
      <c r="E3425" s="41" t="s">
        <v>24026</v>
      </c>
      <c r="F3425" s="43" t="s">
        <v>24027</v>
      </c>
      <c r="G3425" s="43" t="s">
        <v>24028</v>
      </c>
      <c r="H3425" s="59" t="s">
        <v>661</v>
      </c>
      <c r="I3425" s="25" t="str">
        <f>IFERROR(__xludf.DUMMYFUNCTION("GOOGLETRANSLATE(H3425,""EN"",""ES"")"),"Estrategia empresarial")</f>
        <v>Estrategia empresarial</v>
      </c>
      <c r="J3425" s="26" t="s">
        <v>35</v>
      </c>
      <c r="K3425" s="48">
        <v>0.5</v>
      </c>
      <c r="L3425" s="49" t="s">
        <v>22618</v>
      </c>
      <c r="M3425" s="28" t="s">
        <v>22619</v>
      </c>
      <c r="N3425" s="83" t="s">
        <v>24029</v>
      </c>
      <c r="O3425" s="83" t="str">
        <f>IFERROR(__xludf.DUMMYFUNCTION("GOOGLETRANSLATE(N3425,""EN"",""ES"")"),"Sentimiento ligeramente positivo, centrado en compromisos comerciales.")</f>
        <v>Sentimiento ligeramente positivo, centrado en compromisos comerciales.</v>
      </c>
      <c r="P3425" s="30">
        <v>0.0</v>
      </c>
      <c r="Q3425" s="31"/>
      <c r="R3425" s="31"/>
      <c r="S3425" s="53" t="s">
        <v>22621</v>
      </c>
      <c r="T3425" s="32" t="s">
        <v>22622</v>
      </c>
    </row>
    <row r="3426">
      <c r="A3426" s="33" t="s">
        <v>24030</v>
      </c>
      <c r="B3426" s="76" t="s">
        <v>85</v>
      </c>
      <c r="C3426" s="41">
        <v>45560.0</v>
      </c>
      <c r="D3426" s="40" t="s">
        <v>24031</v>
      </c>
      <c r="E3426" s="41" t="s">
        <v>24032</v>
      </c>
      <c r="F3426" s="43" t="s">
        <v>24033</v>
      </c>
      <c r="G3426" s="43" t="s">
        <v>24034</v>
      </c>
      <c r="H3426" s="61" t="s">
        <v>661</v>
      </c>
      <c r="I3426" s="15" t="str">
        <f>IFERROR(__xludf.DUMMYFUNCTION("GOOGLETRANSLATE(H3426,""EN"",""ES"")"),"Estrategia empresarial")</f>
        <v>Estrategia empresarial</v>
      </c>
      <c r="J3426" s="16" t="s">
        <v>27</v>
      </c>
      <c r="K3426" s="17">
        <v>0.0</v>
      </c>
      <c r="L3426" s="45"/>
      <c r="M3426" s="18"/>
      <c r="N3426" s="86"/>
      <c r="O3426" s="86"/>
      <c r="P3426" s="20">
        <v>0.0</v>
      </c>
      <c r="Q3426" s="18"/>
      <c r="R3426" s="18"/>
      <c r="S3426" s="52"/>
      <c r="T3426" s="22"/>
    </row>
    <row r="3427">
      <c r="A3427" s="23" t="s">
        <v>24035</v>
      </c>
      <c r="B3427" s="77" t="s">
        <v>21</v>
      </c>
      <c r="C3427" s="41">
        <v>45560.0</v>
      </c>
      <c r="D3427" s="40" t="s">
        <v>24036</v>
      </c>
      <c r="E3427" s="41" t="s">
        <v>24037</v>
      </c>
      <c r="F3427" s="43" t="s">
        <v>24038</v>
      </c>
      <c r="G3427" s="43" t="s">
        <v>24039</v>
      </c>
      <c r="H3427" s="59" t="s">
        <v>969</v>
      </c>
      <c r="I3427" s="25" t="str">
        <f>IFERROR(__xludf.DUMMYFUNCTION("GOOGLETRANSLATE(H3427,""EN"",""ES"")"),"Turismo")</f>
        <v>Turismo</v>
      </c>
      <c r="J3427" s="26" t="s">
        <v>27</v>
      </c>
      <c r="K3427" s="17">
        <v>0.0</v>
      </c>
      <c r="L3427" s="54"/>
      <c r="M3427" s="31"/>
      <c r="N3427" s="83"/>
      <c r="O3427" s="83"/>
      <c r="P3427" s="20">
        <v>0.0</v>
      </c>
      <c r="Q3427" s="31"/>
      <c r="R3427" s="31"/>
      <c r="S3427" s="53"/>
      <c r="T3427" s="32"/>
    </row>
    <row r="3428">
      <c r="A3428" s="33" t="s">
        <v>24040</v>
      </c>
      <c r="B3428" s="76" t="s">
        <v>558</v>
      </c>
      <c r="C3428" s="41">
        <v>45560.0</v>
      </c>
      <c r="D3428" s="40" t="s">
        <v>24041</v>
      </c>
      <c r="E3428" s="41" t="s">
        <v>24042</v>
      </c>
      <c r="F3428" s="43" t="s">
        <v>24043</v>
      </c>
      <c r="G3428" s="43" t="s">
        <v>24044</v>
      </c>
      <c r="H3428" s="61" t="s">
        <v>48</v>
      </c>
      <c r="I3428" s="15" t="str">
        <f>IFERROR(__xludf.DUMMYFUNCTION("GOOGLETRANSLATE(H3428,""EN"",""ES"")"),"Finanzas")</f>
        <v>Finanzas</v>
      </c>
      <c r="J3428" s="16" t="s">
        <v>35</v>
      </c>
      <c r="K3428" s="48">
        <v>0.5</v>
      </c>
      <c r="L3428" s="51" t="s">
        <v>19216</v>
      </c>
      <c r="M3428" s="34" t="s">
        <v>19217</v>
      </c>
      <c r="N3428" s="86" t="s">
        <v>24045</v>
      </c>
      <c r="O3428" s="86" t="str">
        <f>IFERROR(__xludf.DUMMYFUNCTION("GOOGLETRANSLATE(N3428,""EN"",""ES"")"),"Sentimiento ligeramente positivo, discutiendo el análisis del mercado de valores.")</f>
        <v>Sentimiento ligeramente positivo, discutiendo el análisis del mercado de valores.</v>
      </c>
      <c r="P3428" s="30">
        <v>0.0</v>
      </c>
      <c r="Q3428" s="18"/>
      <c r="R3428" s="18"/>
      <c r="S3428" s="52" t="s">
        <v>24046</v>
      </c>
      <c r="T3428" s="22" t="s">
        <v>24047</v>
      </c>
    </row>
    <row r="3429">
      <c r="A3429" s="23" t="s">
        <v>24048</v>
      </c>
      <c r="B3429" s="77" t="s">
        <v>1072</v>
      </c>
      <c r="C3429" s="41">
        <v>45560.0</v>
      </c>
      <c r="D3429" s="40" t="s">
        <v>24049</v>
      </c>
      <c r="E3429" s="41" t="s">
        <v>24050</v>
      </c>
      <c r="F3429" s="43" t="s">
        <v>24051</v>
      </c>
      <c r="G3429" s="43" t="s">
        <v>24052</v>
      </c>
      <c r="H3429" s="59" t="s">
        <v>661</v>
      </c>
      <c r="I3429" s="25" t="str">
        <f>IFERROR(__xludf.DUMMYFUNCTION("GOOGLETRANSLATE(H3429,""EN"",""ES"")"),"Estrategia empresarial")</f>
        <v>Estrategia empresarial</v>
      </c>
      <c r="J3429" s="26" t="s">
        <v>27</v>
      </c>
      <c r="K3429" s="17">
        <v>0.0</v>
      </c>
      <c r="L3429" s="54"/>
      <c r="M3429" s="31"/>
      <c r="N3429" s="83"/>
      <c r="O3429" s="83"/>
      <c r="P3429" s="20">
        <v>0.0</v>
      </c>
      <c r="Q3429" s="31"/>
      <c r="R3429" s="31"/>
      <c r="S3429" s="53"/>
      <c r="T3429" s="32"/>
    </row>
    <row r="3430">
      <c r="A3430" s="33" t="s">
        <v>24053</v>
      </c>
      <c r="B3430" s="76" t="s">
        <v>163</v>
      </c>
      <c r="C3430" s="41">
        <v>45560.0</v>
      </c>
      <c r="D3430" s="40" t="s">
        <v>24054</v>
      </c>
      <c r="E3430" s="41" t="s">
        <v>24055</v>
      </c>
      <c r="F3430" s="43" t="s">
        <v>24056</v>
      </c>
      <c r="G3430" s="43" t="s">
        <v>24057</v>
      </c>
      <c r="H3430" s="61" t="s">
        <v>55</v>
      </c>
      <c r="I3430" s="15" t="str">
        <f>IFERROR(__xludf.DUMMYFUNCTION("GOOGLETRANSLATE(H3430,""EN"",""ES"")"),"deportes de motor")</f>
        <v>deportes de motor</v>
      </c>
      <c r="J3430" s="16" t="s">
        <v>27</v>
      </c>
      <c r="K3430" s="17">
        <v>0.0</v>
      </c>
      <c r="L3430" s="45"/>
      <c r="M3430" s="18"/>
      <c r="N3430" s="86"/>
      <c r="O3430" s="86"/>
      <c r="P3430" s="20">
        <v>0.0</v>
      </c>
      <c r="Q3430" s="18"/>
      <c r="R3430" s="18"/>
      <c r="S3430" s="52"/>
      <c r="T3430" s="22"/>
    </row>
    <row r="3431">
      <c r="A3431" s="23" t="s">
        <v>24058</v>
      </c>
      <c r="B3431" s="77" t="s">
        <v>217</v>
      </c>
      <c r="C3431" s="41">
        <v>45560.0</v>
      </c>
      <c r="D3431" s="40" t="s">
        <v>24059</v>
      </c>
      <c r="E3431" s="41" t="s">
        <v>24060</v>
      </c>
      <c r="F3431" s="43" t="s">
        <v>24061</v>
      </c>
      <c r="G3431" s="43" t="s">
        <v>24062</v>
      </c>
      <c r="H3431" s="59" t="s">
        <v>148</v>
      </c>
      <c r="I3431" s="25" t="str">
        <f>IFERROR(__xludf.DUMMYFUNCTION("GOOGLETRANSLATE(H3431,""EN"",""ES"")"),"Gastronomía")</f>
        <v>Gastronomía</v>
      </c>
      <c r="J3431" s="26" t="s">
        <v>27</v>
      </c>
      <c r="K3431" s="17">
        <v>0.0</v>
      </c>
      <c r="L3431" s="54"/>
      <c r="M3431" s="31"/>
      <c r="N3431" s="83"/>
      <c r="O3431" s="83"/>
      <c r="P3431" s="20">
        <v>0.0</v>
      </c>
      <c r="Q3431" s="31"/>
      <c r="R3431" s="31"/>
      <c r="S3431" s="53"/>
      <c r="T3431" s="32"/>
    </row>
    <row r="3432">
      <c r="A3432" s="33" t="s">
        <v>24063</v>
      </c>
      <c r="B3432" s="76" t="s">
        <v>23299</v>
      </c>
      <c r="C3432" s="41">
        <v>45560.0</v>
      </c>
      <c r="D3432" s="40" t="s">
        <v>24064</v>
      </c>
      <c r="E3432" s="41" t="s">
        <v>24065</v>
      </c>
      <c r="F3432" s="43" t="s">
        <v>24066</v>
      </c>
      <c r="G3432" s="43" t="s">
        <v>24067</v>
      </c>
      <c r="H3432" s="61" t="s">
        <v>148</v>
      </c>
      <c r="I3432" s="15" t="str">
        <f>IFERROR(__xludf.DUMMYFUNCTION("GOOGLETRANSLATE(H3432,""EN"",""ES"")"),"Gastronomía")</f>
        <v>Gastronomía</v>
      </c>
      <c r="J3432" s="16" t="s">
        <v>27</v>
      </c>
      <c r="K3432" s="17">
        <v>0.0</v>
      </c>
      <c r="L3432" s="45"/>
      <c r="M3432" s="18"/>
      <c r="N3432" s="86"/>
      <c r="O3432" s="86"/>
      <c r="P3432" s="20">
        <v>0.0</v>
      </c>
      <c r="Q3432" s="18"/>
      <c r="R3432" s="18"/>
      <c r="S3432" s="52"/>
      <c r="T3432" s="22"/>
    </row>
    <row r="3433">
      <c r="A3433" s="23" t="s">
        <v>24068</v>
      </c>
      <c r="B3433" s="77" t="s">
        <v>24069</v>
      </c>
      <c r="C3433" s="41">
        <v>45561.0</v>
      </c>
      <c r="D3433" s="40" t="s">
        <v>24070</v>
      </c>
      <c r="E3433" s="41" t="s">
        <v>24071</v>
      </c>
      <c r="F3433" s="43" t="s">
        <v>24072</v>
      </c>
      <c r="G3433" s="43" t="s">
        <v>24073</v>
      </c>
      <c r="H3433" s="59" t="s">
        <v>661</v>
      </c>
      <c r="I3433" s="25" t="str">
        <f>IFERROR(__xludf.DUMMYFUNCTION("GOOGLETRANSLATE(H3433,""EN"",""ES"")"),"Estrategia empresarial")</f>
        <v>Estrategia empresarial</v>
      </c>
      <c r="J3433" s="26" t="s">
        <v>35</v>
      </c>
      <c r="K3433" s="48">
        <v>0.6</v>
      </c>
      <c r="L3433" s="49" t="s">
        <v>24074</v>
      </c>
      <c r="M3433" s="28" t="s">
        <v>24075</v>
      </c>
      <c r="N3433" s="83" t="s">
        <v>24076</v>
      </c>
      <c r="O3433" s="83" t="str">
        <f>IFERROR(__xludf.DUMMYFUNCTION("GOOGLETRANSLATE(N3433,""EN"",""ES"")"),"Sentimiento positivo que pone de manifiesto la recompensa promocional de Repsol.")</f>
        <v>Sentimiento positivo que pone de manifiesto la recompensa promocional de Repsol.</v>
      </c>
      <c r="P3433" s="30">
        <v>0.4</v>
      </c>
      <c r="Q3433" s="31" t="str">
        <f>IFERROR(__xludf.DUMMYFUNCTION("GOOGLETRANSLATE(R3433,""ES"",""EN"")"),"draw")</f>
        <v>draw</v>
      </c>
      <c r="R3433" s="28" t="s">
        <v>24077</v>
      </c>
      <c r="S3433" s="53" t="s">
        <v>24078</v>
      </c>
      <c r="T3433" s="32" t="s">
        <v>24079</v>
      </c>
    </row>
    <row r="3434">
      <c r="A3434" s="33" t="s">
        <v>24080</v>
      </c>
      <c r="B3434" s="76" t="s">
        <v>24081</v>
      </c>
      <c r="C3434" s="41">
        <v>45561.0</v>
      </c>
      <c r="D3434" s="40" t="s">
        <v>24082</v>
      </c>
      <c r="E3434" s="41" t="s">
        <v>24083</v>
      </c>
      <c r="F3434" s="43" t="s">
        <v>24084</v>
      </c>
      <c r="G3434" s="43" t="s">
        <v>24085</v>
      </c>
      <c r="H3434" s="61" t="s">
        <v>48</v>
      </c>
      <c r="I3434" s="15" t="str">
        <f>IFERROR(__xludf.DUMMYFUNCTION("GOOGLETRANSLATE(H3434,""EN"",""ES"")"),"Finanzas")</f>
        <v>Finanzas</v>
      </c>
      <c r="J3434" s="16" t="s">
        <v>35</v>
      </c>
      <c r="K3434" s="48">
        <v>-0.5</v>
      </c>
      <c r="L3434" s="51" t="s">
        <v>23872</v>
      </c>
      <c r="M3434" s="34" t="s">
        <v>23873</v>
      </c>
      <c r="N3434" s="86" t="s">
        <v>24086</v>
      </c>
      <c r="O3434" s="86" t="str">
        <f>IFERROR(__xludf.DUMMYFUNCTION("GOOGLETRANSLATE(N3434,""EN"",""ES"")"),"Sentimiento negativo, que refleja el pobre desempeño de las acciones.")</f>
        <v>Sentimiento negativo, que refleja el pobre desempeño de las acciones.</v>
      </c>
      <c r="P3434" s="30">
        <v>-0.5</v>
      </c>
      <c r="Q3434" s="18" t="str">
        <f>IFERROR(__xludf.DUMMYFUNCTION("GOOGLETRANSLATE(R3434,""ES"",""EN"")"),"worse")</f>
        <v>worse</v>
      </c>
      <c r="R3434" s="34" t="s">
        <v>24087</v>
      </c>
      <c r="S3434" s="52" t="s">
        <v>24088</v>
      </c>
      <c r="T3434" s="22" t="s">
        <v>24089</v>
      </c>
    </row>
    <row r="3435">
      <c r="A3435" s="23" t="s">
        <v>24090</v>
      </c>
      <c r="B3435" s="77" t="s">
        <v>499</v>
      </c>
      <c r="C3435" s="41">
        <v>45561.0</v>
      </c>
      <c r="D3435" s="40" t="s">
        <v>24091</v>
      </c>
      <c r="E3435" s="41" t="s">
        <v>24092</v>
      </c>
      <c r="F3435" s="43" t="s">
        <v>24093</v>
      </c>
      <c r="G3435" s="43" t="s">
        <v>24094</v>
      </c>
      <c r="H3435" s="59" t="s">
        <v>661</v>
      </c>
      <c r="I3435" s="25" t="str">
        <f>IFERROR(__xludf.DUMMYFUNCTION("GOOGLETRANSLATE(H3435,""EN"",""ES"")"),"Estrategia empresarial")</f>
        <v>Estrategia empresarial</v>
      </c>
      <c r="J3435" s="26" t="s">
        <v>35</v>
      </c>
      <c r="K3435" s="48">
        <v>0.7</v>
      </c>
      <c r="L3435" s="49" t="s">
        <v>24095</v>
      </c>
      <c r="M3435" s="28" t="s">
        <v>24096</v>
      </c>
      <c r="N3435" s="83" t="s">
        <v>24097</v>
      </c>
      <c r="O3435" s="83" t="str">
        <f>IFERROR(__xludf.DUMMYFUNCTION("GOOGLETRANSLATE(N3435,""EN"",""ES"")"),"Sentimiento positivo, destacando las importantes inversiones en energía.")</f>
        <v>Sentimiento positivo, destacando las importantes inversiones en energía.</v>
      </c>
      <c r="P3435" s="30">
        <v>0.6</v>
      </c>
      <c r="Q3435" s="31" t="str">
        <f>IFERROR(__xludf.DUMMYFUNCTION("GOOGLETRANSLATE(R3435,""ES"",""EN"")"),"will begin")</f>
        <v>will begin</v>
      </c>
      <c r="R3435" s="28" t="s">
        <v>24098</v>
      </c>
      <c r="S3435" s="53" t="s">
        <v>24099</v>
      </c>
      <c r="T3435" s="32" t="s">
        <v>24100</v>
      </c>
    </row>
    <row r="3436">
      <c r="A3436" s="33" t="s">
        <v>24101</v>
      </c>
      <c r="B3436" s="76" t="s">
        <v>21</v>
      </c>
      <c r="C3436" s="41">
        <v>45561.0</v>
      </c>
      <c r="D3436" s="40" t="s">
        <v>24102</v>
      </c>
      <c r="E3436" s="41" t="s">
        <v>24103</v>
      </c>
      <c r="F3436" s="43" t="s">
        <v>24104</v>
      </c>
      <c r="G3436" s="43" t="s">
        <v>24105</v>
      </c>
      <c r="H3436" s="61" t="s">
        <v>130</v>
      </c>
      <c r="I3436" s="15" t="str">
        <f>IFERROR(__xludf.DUMMYFUNCTION("GOOGLETRANSLATE(H3436,""EN"",""ES"")"),"Sostenibilidad")</f>
        <v>Sostenibilidad</v>
      </c>
      <c r="J3436" s="16" t="s">
        <v>27</v>
      </c>
      <c r="K3436" s="17">
        <v>0.0</v>
      </c>
      <c r="L3436" s="45"/>
      <c r="M3436" s="18"/>
      <c r="N3436" s="86"/>
      <c r="O3436" s="86"/>
      <c r="P3436" s="20">
        <v>0.0</v>
      </c>
      <c r="Q3436" s="18"/>
      <c r="R3436" s="18"/>
      <c r="S3436" s="52"/>
      <c r="T3436" s="22"/>
    </row>
    <row r="3437">
      <c r="A3437" s="23" t="s">
        <v>24106</v>
      </c>
      <c r="B3437" s="77" t="s">
        <v>666</v>
      </c>
      <c r="C3437" s="41">
        <v>45561.0</v>
      </c>
      <c r="D3437" s="40" t="s">
        <v>24107</v>
      </c>
      <c r="E3437" s="41" t="s">
        <v>24108</v>
      </c>
      <c r="F3437" s="43" t="s">
        <v>24109</v>
      </c>
      <c r="G3437" s="43" t="s">
        <v>24110</v>
      </c>
      <c r="H3437" s="59" t="s">
        <v>48</v>
      </c>
      <c r="I3437" s="25" t="str">
        <f>IFERROR(__xludf.DUMMYFUNCTION("GOOGLETRANSLATE(H3437,""EN"",""ES"")"),"Finanzas")</f>
        <v>Finanzas</v>
      </c>
      <c r="J3437" s="26" t="s">
        <v>27</v>
      </c>
      <c r="K3437" s="17">
        <v>0.0</v>
      </c>
      <c r="L3437" s="54"/>
      <c r="M3437" s="31"/>
      <c r="N3437" s="83"/>
      <c r="O3437" s="83"/>
      <c r="P3437" s="20">
        <v>0.0</v>
      </c>
      <c r="Q3437" s="31"/>
      <c r="R3437" s="31"/>
      <c r="S3437" s="53"/>
      <c r="T3437" s="32"/>
    </row>
    <row r="3438">
      <c r="A3438" s="33" t="s">
        <v>24111</v>
      </c>
      <c r="B3438" s="76" t="s">
        <v>21</v>
      </c>
      <c r="C3438" s="41">
        <v>45561.0</v>
      </c>
      <c r="D3438" s="40" t="s">
        <v>24112</v>
      </c>
      <c r="E3438" s="41" t="s">
        <v>24113</v>
      </c>
      <c r="F3438" s="43" t="s">
        <v>24114</v>
      </c>
      <c r="G3438" s="43" t="s">
        <v>24115</v>
      </c>
      <c r="H3438" s="61" t="s">
        <v>148</v>
      </c>
      <c r="I3438" s="15" t="str">
        <f>IFERROR(__xludf.DUMMYFUNCTION("GOOGLETRANSLATE(H3438,""EN"",""ES"")"),"Gastronomía")</f>
        <v>Gastronomía</v>
      </c>
      <c r="J3438" s="16" t="s">
        <v>27</v>
      </c>
      <c r="K3438" s="17">
        <v>0.0</v>
      </c>
      <c r="L3438" s="45"/>
      <c r="M3438" s="18"/>
      <c r="N3438" s="86"/>
      <c r="O3438" s="86"/>
      <c r="P3438" s="20">
        <v>0.0</v>
      </c>
      <c r="Q3438" s="18"/>
      <c r="R3438" s="18"/>
      <c r="S3438" s="52"/>
      <c r="T3438" s="22"/>
    </row>
    <row r="3439">
      <c r="A3439" s="23" t="s">
        <v>24116</v>
      </c>
      <c r="B3439" s="77" t="s">
        <v>24117</v>
      </c>
      <c r="C3439" s="41">
        <v>45561.0</v>
      </c>
      <c r="D3439" s="40" t="s">
        <v>24118</v>
      </c>
      <c r="E3439" s="41" t="s">
        <v>24119</v>
      </c>
      <c r="F3439" s="43" t="s">
        <v>24120</v>
      </c>
      <c r="G3439" s="43" t="s">
        <v>24121</v>
      </c>
      <c r="H3439" s="59" t="s">
        <v>1975</v>
      </c>
      <c r="I3439" s="25" t="str">
        <f>IFERROR(__xludf.DUMMYFUNCTION("GOOGLETRANSLATE(H3439,""EN"",""ES"")"),"Política")</f>
        <v>Política</v>
      </c>
      <c r="J3439" s="26" t="s">
        <v>27</v>
      </c>
      <c r="K3439" s="17">
        <v>0.0</v>
      </c>
      <c r="L3439" s="54"/>
      <c r="M3439" s="31"/>
      <c r="N3439" s="83"/>
      <c r="O3439" s="83"/>
      <c r="P3439" s="20">
        <v>0.0</v>
      </c>
      <c r="Q3439" s="31"/>
      <c r="R3439" s="31"/>
      <c r="S3439" s="53"/>
      <c r="T3439" s="32"/>
    </row>
    <row r="3440">
      <c r="A3440" s="33" t="s">
        <v>24122</v>
      </c>
      <c r="B3440" s="76" t="s">
        <v>1970</v>
      </c>
      <c r="C3440" s="41">
        <v>45561.0</v>
      </c>
      <c r="D3440" s="40" t="s">
        <v>24123</v>
      </c>
      <c r="E3440" s="41" t="s">
        <v>24124</v>
      </c>
      <c r="F3440" s="43" t="s">
        <v>24125</v>
      </c>
      <c r="G3440" s="43" t="s">
        <v>24126</v>
      </c>
      <c r="H3440" s="61" t="s">
        <v>23318</v>
      </c>
      <c r="I3440" s="15" t="str">
        <f>IFERROR(__xludf.DUMMYFUNCTION("GOOGLETRANSLATE(H3440,""EN"",""ES"")"),"Riesgos comerciales")</f>
        <v>Riesgos comerciales</v>
      </c>
      <c r="J3440" s="16" t="s">
        <v>27</v>
      </c>
      <c r="K3440" s="17">
        <v>0.0</v>
      </c>
      <c r="L3440" s="45"/>
      <c r="M3440" s="18"/>
      <c r="N3440" s="86"/>
      <c r="O3440" s="86"/>
      <c r="P3440" s="20">
        <v>0.0</v>
      </c>
      <c r="Q3440" s="18"/>
      <c r="R3440" s="18"/>
      <c r="S3440" s="52"/>
      <c r="T3440" s="22"/>
    </row>
    <row r="3441">
      <c r="A3441" s="23" t="s">
        <v>24127</v>
      </c>
      <c r="B3441" s="77" t="s">
        <v>1602</v>
      </c>
      <c r="C3441" s="41">
        <v>45561.0</v>
      </c>
      <c r="D3441" s="40" t="s">
        <v>24128</v>
      </c>
      <c r="E3441" s="41" t="s">
        <v>24129</v>
      </c>
      <c r="F3441" s="43" t="s">
        <v>24130</v>
      </c>
      <c r="G3441" s="43" t="s">
        <v>24131</v>
      </c>
      <c r="H3441" s="59" t="s">
        <v>48</v>
      </c>
      <c r="I3441" s="25" t="str">
        <f>IFERROR(__xludf.DUMMYFUNCTION("GOOGLETRANSLATE(H3441,""EN"",""ES"")"),"Finanzas")</f>
        <v>Finanzas</v>
      </c>
      <c r="J3441" s="26" t="s">
        <v>27</v>
      </c>
      <c r="K3441" s="17">
        <v>0.0</v>
      </c>
      <c r="L3441" s="54"/>
      <c r="M3441" s="31"/>
      <c r="N3441" s="83"/>
      <c r="O3441" s="83"/>
      <c r="P3441" s="20">
        <v>0.0</v>
      </c>
      <c r="Q3441" s="31"/>
      <c r="R3441" s="31"/>
      <c r="S3441" s="53"/>
      <c r="T3441" s="32"/>
    </row>
    <row r="3442">
      <c r="A3442" s="33" t="s">
        <v>24132</v>
      </c>
      <c r="B3442" s="76" t="s">
        <v>91</v>
      </c>
      <c r="C3442" s="41">
        <v>45561.0</v>
      </c>
      <c r="D3442" s="40" t="s">
        <v>24133</v>
      </c>
      <c r="E3442" s="41" t="s">
        <v>24134</v>
      </c>
      <c r="F3442" s="43" t="s">
        <v>24135</v>
      </c>
      <c r="G3442" s="43" t="s">
        <v>24136</v>
      </c>
      <c r="H3442" s="61" t="s">
        <v>395</v>
      </c>
      <c r="I3442" s="15" t="str">
        <f>IFERROR(__xludf.DUMMYFUNCTION("GOOGLETRANSLATE(H3442,""EN"",""ES"")"),"Ambiente")</f>
        <v>Ambiente</v>
      </c>
      <c r="J3442" s="16" t="s">
        <v>27</v>
      </c>
      <c r="K3442" s="17">
        <v>0.0</v>
      </c>
      <c r="L3442" s="45"/>
      <c r="M3442" s="18"/>
      <c r="N3442" s="86"/>
      <c r="O3442" s="86"/>
      <c r="P3442" s="20">
        <v>0.0</v>
      </c>
      <c r="Q3442" s="18"/>
      <c r="R3442" s="18"/>
      <c r="S3442" s="52"/>
      <c r="T3442" s="22"/>
    </row>
    <row r="3443">
      <c r="A3443" s="23" t="s">
        <v>24137</v>
      </c>
      <c r="B3443" s="77" t="s">
        <v>499</v>
      </c>
      <c r="C3443" s="41">
        <v>45562.0</v>
      </c>
      <c r="D3443" s="40" t="s">
        <v>24138</v>
      </c>
      <c r="E3443" s="41" t="s">
        <v>24139</v>
      </c>
      <c r="F3443" s="43" t="s">
        <v>24140</v>
      </c>
      <c r="G3443" s="43" t="s">
        <v>24141</v>
      </c>
      <c r="H3443" s="59" t="s">
        <v>661</v>
      </c>
      <c r="I3443" s="25" t="str">
        <f>IFERROR(__xludf.DUMMYFUNCTION("GOOGLETRANSLATE(H3443,""EN"",""ES"")"),"Estrategia empresarial")</f>
        <v>Estrategia empresarial</v>
      </c>
      <c r="J3443" s="26" t="s">
        <v>35</v>
      </c>
      <c r="K3443" s="48">
        <v>0.6</v>
      </c>
      <c r="L3443" s="49" t="s">
        <v>24074</v>
      </c>
      <c r="M3443" s="28" t="s">
        <v>24075</v>
      </c>
      <c r="N3443" s="83" t="s">
        <v>24142</v>
      </c>
      <c r="O3443" s="83" t="str">
        <f>IFERROR(__xludf.DUMMYFUNCTION("GOOGLETRANSLATE(N3443,""EN"",""ES"")"),"Sentimiento positivo que muestra la recompensa a los clientes de Repsol.")</f>
        <v>Sentimiento positivo que muestra la recompensa a los clientes de Repsol.</v>
      </c>
      <c r="P3443" s="30">
        <v>0.5</v>
      </c>
      <c r="Q3443" s="31" t="str">
        <f>IFERROR(__xludf.DUMMYFUNCTION("GOOGLETRANSLATE(R3443,""ES"",""EN"")"),"rewards")</f>
        <v>rewards</v>
      </c>
      <c r="R3443" s="28" t="s">
        <v>24143</v>
      </c>
      <c r="S3443" s="53" t="s">
        <v>24144</v>
      </c>
      <c r="T3443" s="32" t="s">
        <v>24145</v>
      </c>
    </row>
    <row r="3444">
      <c r="A3444" s="33" t="s">
        <v>24146</v>
      </c>
      <c r="B3444" s="76" t="s">
        <v>558</v>
      </c>
      <c r="C3444" s="41">
        <v>45562.0</v>
      </c>
      <c r="D3444" s="40" t="s">
        <v>24147</v>
      </c>
      <c r="E3444" s="41" t="s">
        <v>24148</v>
      </c>
      <c r="F3444" s="43" t="s">
        <v>24149</v>
      </c>
      <c r="G3444" s="43" t="s">
        <v>24150</v>
      </c>
      <c r="H3444" s="61" t="s">
        <v>48</v>
      </c>
      <c r="I3444" s="15" t="str">
        <f>IFERROR(__xludf.DUMMYFUNCTION("GOOGLETRANSLATE(H3444,""EN"",""ES"")"),"Finanzas")</f>
        <v>Finanzas</v>
      </c>
      <c r="J3444" s="16" t="s">
        <v>35</v>
      </c>
      <c r="K3444" s="48">
        <v>0.5</v>
      </c>
      <c r="L3444" s="51" t="s">
        <v>19216</v>
      </c>
      <c r="M3444" s="34" t="s">
        <v>19217</v>
      </c>
      <c r="N3444" s="86" t="s">
        <v>24151</v>
      </c>
      <c r="O3444" s="86" t="str">
        <f>IFERROR(__xludf.DUMMYFUNCTION("GOOGLETRANSLATE(N3444,""EN"",""ES"")"),"Sentimiento ligeramente positivo, discutiendo estrategias de inversión.")</f>
        <v>Sentimiento ligeramente positivo, discutiendo estrategias de inversión.</v>
      </c>
      <c r="P3444" s="30">
        <v>0.0</v>
      </c>
      <c r="Q3444" s="18"/>
      <c r="R3444" s="18"/>
      <c r="S3444" s="52" t="s">
        <v>24152</v>
      </c>
      <c r="T3444" s="22" t="s">
        <v>24153</v>
      </c>
    </row>
    <row r="3445">
      <c r="A3445" s="23" t="s">
        <v>24154</v>
      </c>
      <c r="B3445" s="77" t="s">
        <v>163</v>
      </c>
      <c r="C3445" s="41">
        <v>45562.0</v>
      </c>
      <c r="D3445" s="40" t="s">
        <v>24155</v>
      </c>
      <c r="E3445" s="41" t="s">
        <v>24156</v>
      </c>
      <c r="F3445" s="43" t="s">
        <v>24157</v>
      </c>
      <c r="G3445" s="43" t="s">
        <v>24158</v>
      </c>
      <c r="H3445" s="59" t="s">
        <v>130</v>
      </c>
      <c r="I3445" s="25" t="str">
        <f>IFERROR(__xludf.DUMMYFUNCTION("GOOGLETRANSLATE(H3445,""EN"",""ES"")"),"Sostenibilidad")</f>
        <v>Sostenibilidad</v>
      </c>
      <c r="J3445" s="26" t="s">
        <v>35</v>
      </c>
      <c r="K3445" s="48">
        <v>0.6</v>
      </c>
      <c r="L3445" s="49" t="s">
        <v>24159</v>
      </c>
      <c r="M3445" s="28" t="s">
        <v>24160</v>
      </c>
      <c r="N3445" s="83" t="s">
        <v>24161</v>
      </c>
      <c r="O3445" s="83" t="str">
        <f>IFERROR(__xludf.DUMMYFUNCTION("GOOGLETRANSLATE(N3445,""EN"",""ES"")"),"Sentimiento positivo, destacando los descuentos en combustible y el esfuerzo en sostenibilidad de Repsol.")</f>
        <v>Sentimiento positivo, destacando los descuentos en combustible y el esfuerzo en sostenibilidad de Repsol.</v>
      </c>
      <c r="P3445" s="30">
        <v>0.3</v>
      </c>
      <c r="Q3445" s="31" t="str">
        <f>IFERROR(__xludf.DUMMYFUNCTION("GOOGLETRANSLATE(R3445,""ES"",""EN"")"),"discount")</f>
        <v>discount</v>
      </c>
      <c r="R3445" s="28" t="s">
        <v>15498</v>
      </c>
      <c r="S3445" s="53" t="s">
        <v>24162</v>
      </c>
      <c r="T3445" s="32" t="s">
        <v>24163</v>
      </c>
    </row>
    <row r="3446">
      <c r="A3446" s="33" t="s">
        <v>24164</v>
      </c>
      <c r="B3446" s="76" t="s">
        <v>614</v>
      </c>
      <c r="C3446" s="41">
        <v>45562.0</v>
      </c>
      <c r="D3446" s="40" t="s">
        <v>24165</v>
      </c>
      <c r="E3446" s="41" t="s">
        <v>24166</v>
      </c>
      <c r="F3446" s="43" t="s">
        <v>24167</v>
      </c>
      <c r="G3446" s="43" t="s">
        <v>24168</v>
      </c>
      <c r="H3446" s="61" t="s">
        <v>661</v>
      </c>
      <c r="I3446" s="15" t="str">
        <f>IFERROR(__xludf.DUMMYFUNCTION("GOOGLETRANSLATE(H3446,""EN"",""ES"")"),"Estrategia empresarial")</f>
        <v>Estrategia empresarial</v>
      </c>
      <c r="J3446" s="16" t="s">
        <v>35</v>
      </c>
      <c r="K3446" s="48">
        <v>0.6</v>
      </c>
      <c r="L3446" s="51" t="s">
        <v>24074</v>
      </c>
      <c r="M3446" s="34" t="s">
        <v>24075</v>
      </c>
      <c r="N3446" s="86" t="s">
        <v>24169</v>
      </c>
      <c r="O3446" s="86" t="str">
        <f>IFERROR(__xludf.DUMMYFUNCTION("GOOGLETRANSLATE(N3446,""EN"",""ES"")"),"Sentimiento positivo que refuerza el éxito promocional de Repsol.")</f>
        <v>Sentimiento positivo que refuerza el éxito promocional de Repsol.</v>
      </c>
      <c r="P3446" s="30">
        <v>0.4</v>
      </c>
      <c r="Q3446" s="18" t="str">
        <f>IFERROR(__xludf.DUMMYFUNCTION("GOOGLETRANSLATE(R3446,""ES"",""EN"")"),"win")</f>
        <v>win</v>
      </c>
      <c r="R3446" s="34" t="s">
        <v>11737</v>
      </c>
      <c r="S3446" s="52" t="s">
        <v>24170</v>
      </c>
      <c r="T3446" s="22" t="s">
        <v>24171</v>
      </c>
    </row>
    <row r="3447">
      <c r="A3447" s="23" t="s">
        <v>24172</v>
      </c>
      <c r="B3447" s="77" t="s">
        <v>24173</v>
      </c>
      <c r="C3447" s="41">
        <v>45562.0</v>
      </c>
      <c r="D3447" s="40" t="s">
        <v>24174</v>
      </c>
      <c r="E3447" s="41" t="s">
        <v>24174</v>
      </c>
      <c r="F3447" s="43" t="s">
        <v>24175</v>
      </c>
      <c r="G3447" s="43" t="s">
        <v>24175</v>
      </c>
      <c r="H3447" s="59" t="s">
        <v>48</v>
      </c>
      <c r="I3447" s="25" t="str">
        <f>IFERROR(__xludf.DUMMYFUNCTION("GOOGLETRANSLATE(H3447,""EN"",""ES"")"),"Finanzas")</f>
        <v>Finanzas</v>
      </c>
      <c r="J3447" s="26" t="s">
        <v>35</v>
      </c>
      <c r="K3447" s="48">
        <v>-0.5</v>
      </c>
      <c r="L3447" s="49" t="s">
        <v>23872</v>
      </c>
      <c r="M3447" s="28" t="s">
        <v>23873</v>
      </c>
      <c r="N3447" s="83" t="s">
        <v>24176</v>
      </c>
      <c r="O3447" s="83" t="str">
        <f>IFERROR(__xludf.DUMMYFUNCTION("GOOGLETRANSLATE(N3447,""EN"",""ES"")"),"Sentimiento negativo, que indica un pobre desempeño del mercado de valores.")</f>
        <v>Sentimiento negativo, que indica un pobre desempeño del mercado de valores.</v>
      </c>
      <c r="P3447" s="30">
        <v>-0.5</v>
      </c>
      <c r="Q3447" s="31" t="str">
        <f>IFERROR(__xludf.DUMMYFUNCTION("GOOGLETRANSLATE(R3447,""ES"",""EN"")"),"worse")</f>
        <v>worse</v>
      </c>
      <c r="R3447" s="28" t="s">
        <v>24087</v>
      </c>
      <c r="S3447" s="53" t="s">
        <v>24177</v>
      </c>
      <c r="T3447" s="32" t="s">
        <v>24178</v>
      </c>
    </row>
    <row r="3448">
      <c r="A3448" s="33" t="s">
        <v>24179</v>
      </c>
      <c r="B3448" s="76" t="s">
        <v>4832</v>
      </c>
      <c r="C3448" s="41">
        <v>45562.0</v>
      </c>
      <c r="D3448" s="40" t="s">
        <v>24180</v>
      </c>
      <c r="E3448" s="41" t="s">
        <v>24181</v>
      </c>
      <c r="F3448" s="43" t="s">
        <v>24182</v>
      </c>
      <c r="G3448" s="43" t="s">
        <v>24183</v>
      </c>
      <c r="H3448" s="61" t="s">
        <v>48</v>
      </c>
      <c r="I3448" s="15" t="str">
        <f>IFERROR(__xludf.DUMMYFUNCTION("GOOGLETRANSLATE(H3448,""EN"",""ES"")"),"Finanzas")</f>
        <v>Finanzas</v>
      </c>
      <c r="J3448" s="16" t="s">
        <v>35</v>
      </c>
      <c r="K3448" s="48">
        <v>0.5</v>
      </c>
      <c r="L3448" s="51" t="s">
        <v>19216</v>
      </c>
      <c r="M3448" s="34" t="s">
        <v>19217</v>
      </c>
      <c r="N3448" s="86" t="s">
        <v>24184</v>
      </c>
      <c r="O3448" s="86" t="str">
        <f>IFERROR(__xludf.DUMMYFUNCTION("GOOGLETRANSLATE(N3448,""EN"",""ES"")"),"Sentimiento ligeramente positivo, lo que sugiere una posible recuperación del mercado de valores.")</f>
        <v>Sentimiento ligeramente positivo, lo que sugiere una posible recuperación del mercado de valores.</v>
      </c>
      <c r="P3448" s="30">
        <v>0.0</v>
      </c>
      <c r="Q3448" s="18"/>
      <c r="R3448" s="18"/>
      <c r="S3448" s="52" t="s">
        <v>24185</v>
      </c>
      <c r="T3448" s="22" t="s">
        <v>24186</v>
      </c>
    </row>
    <row r="3449">
      <c r="A3449" s="23" t="s">
        <v>24187</v>
      </c>
      <c r="B3449" s="77" t="s">
        <v>666</v>
      </c>
      <c r="C3449" s="41">
        <v>45562.0</v>
      </c>
      <c r="D3449" s="40" t="s">
        <v>24188</v>
      </c>
      <c r="E3449" s="41" t="s">
        <v>24189</v>
      </c>
      <c r="F3449" s="43" t="s">
        <v>24190</v>
      </c>
      <c r="G3449" s="43" t="s">
        <v>24191</v>
      </c>
      <c r="H3449" s="59" t="s">
        <v>661</v>
      </c>
      <c r="I3449" s="25" t="str">
        <f>IFERROR(__xludf.DUMMYFUNCTION("GOOGLETRANSLATE(H3449,""EN"",""ES"")"),"Estrategia empresarial")</f>
        <v>Estrategia empresarial</v>
      </c>
      <c r="J3449" s="26" t="s">
        <v>35</v>
      </c>
      <c r="K3449" s="48">
        <v>0.7</v>
      </c>
      <c r="L3449" s="49" t="s">
        <v>24095</v>
      </c>
      <c r="M3449" s="28" t="s">
        <v>24096</v>
      </c>
      <c r="N3449" s="83" t="s">
        <v>24192</v>
      </c>
      <c r="O3449" s="83" t="str">
        <f>IFERROR(__xludf.DUMMYFUNCTION("GOOGLETRANSLATE(N3449,""EN"",""ES"")"),"Sentimiento positivo, destacando la implicación de Repsol en un gran proyecto energético.")</f>
        <v>Sentimiento positivo, destacando la implicación de Repsol en un gran proyecto energético.</v>
      </c>
      <c r="P3449" s="30">
        <v>0.6</v>
      </c>
      <c r="Q3449" s="31" t="str">
        <f>IFERROR(__xludf.DUMMYFUNCTION("GOOGLETRANSLATE(R3449,""ES"",""EN"")"),"will explode")</f>
        <v>will explode</v>
      </c>
      <c r="R3449" s="28" t="s">
        <v>24193</v>
      </c>
      <c r="S3449" s="53" t="s">
        <v>24194</v>
      </c>
      <c r="T3449" s="32" t="s">
        <v>24195</v>
      </c>
    </row>
    <row r="3450">
      <c r="A3450" s="33" t="s">
        <v>24196</v>
      </c>
      <c r="B3450" s="76" t="s">
        <v>1072</v>
      </c>
      <c r="C3450" s="41">
        <v>45562.0</v>
      </c>
      <c r="D3450" s="40" t="s">
        <v>24197</v>
      </c>
      <c r="E3450" s="41" t="s">
        <v>24198</v>
      </c>
      <c r="F3450" s="43" t="s">
        <v>24199</v>
      </c>
      <c r="G3450" s="43" t="s">
        <v>24200</v>
      </c>
      <c r="H3450" s="61" t="s">
        <v>661</v>
      </c>
      <c r="I3450" s="15" t="str">
        <f>IFERROR(__xludf.DUMMYFUNCTION("GOOGLETRANSLATE(H3450,""EN"",""ES"")"),"Estrategia empresarial")</f>
        <v>Estrategia empresarial</v>
      </c>
      <c r="J3450" s="16" t="s">
        <v>35</v>
      </c>
      <c r="K3450" s="48">
        <v>0.6</v>
      </c>
      <c r="L3450" s="51" t="s">
        <v>24201</v>
      </c>
      <c r="M3450" s="34" t="s">
        <v>24202</v>
      </c>
      <c r="N3450" s="86" t="s">
        <v>24203</v>
      </c>
      <c r="O3450" s="86" t="str">
        <f>IFERROR(__xludf.DUMMYFUNCTION("GOOGLETRANSLATE(N3450,""EN"",""ES"")"),"Sentimiento positivo, destacando la apuesta de Repsol por la sostenibilidad.")</f>
        <v>Sentimiento positivo, destacando la apuesta de Repsol por la sostenibilidad.</v>
      </c>
      <c r="P3450" s="30">
        <v>0.4</v>
      </c>
      <c r="Q3450" s="18" t="str">
        <f>IFERROR(__xludf.DUMMYFUNCTION("GOOGLETRANSLATE(R3450,""ES"",""EN"")"),"investment")</f>
        <v>investment</v>
      </c>
      <c r="R3450" s="34" t="s">
        <v>11615</v>
      </c>
      <c r="S3450" s="52" t="s">
        <v>24204</v>
      </c>
      <c r="T3450" s="22" t="s">
        <v>24205</v>
      </c>
    </row>
    <row r="3451">
      <c r="A3451" s="23" t="s">
        <v>24206</v>
      </c>
      <c r="B3451" s="77" t="s">
        <v>2210</v>
      </c>
      <c r="C3451" s="41">
        <v>45562.0</v>
      </c>
      <c r="D3451" s="40" t="s">
        <v>24207</v>
      </c>
      <c r="E3451" s="41" t="s">
        <v>24208</v>
      </c>
      <c r="F3451" s="43" t="s">
        <v>24209</v>
      </c>
      <c r="G3451" s="43" t="s">
        <v>24210</v>
      </c>
      <c r="H3451" s="59" t="s">
        <v>661</v>
      </c>
      <c r="I3451" s="25" t="str">
        <f>IFERROR(__xludf.DUMMYFUNCTION("GOOGLETRANSLATE(H3451,""EN"",""ES"")"),"Estrategia empresarial")</f>
        <v>Estrategia empresarial</v>
      </c>
      <c r="J3451" s="26" t="s">
        <v>27</v>
      </c>
      <c r="K3451" s="17">
        <v>0.0</v>
      </c>
      <c r="L3451" s="54"/>
      <c r="M3451" s="31"/>
      <c r="N3451" s="83"/>
      <c r="O3451" s="83"/>
      <c r="P3451" s="20">
        <v>0.0</v>
      </c>
      <c r="Q3451" s="31"/>
      <c r="R3451" s="31"/>
      <c r="S3451" s="53"/>
      <c r="T3451" s="32"/>
    </row>
    <row r="3452">
      <c r="A3452" s="33" t="s">
        <v>24211</v>
      </c>
      <c r="B3452" s="76" t="s">
        <v>21</v>
      </c>
      <c r="C3452" s="41">
        <v>45562.0</v>
      </c>
      <c r="D3452" s="40" t="s">
        <v>24212</v>
      </c>
      <c r="E3452" s="41" t="s">
        <v>24213</v>
      </c>
      <c r="F3452" s="43" t="s">
        <v>24214</v>
      </c>
      <c r="G3452" s="43" t="s">
        <v>24215</v>
      </c>
      <c r="H3452" s="61" t="s">
        <v>148</v>
      </c>
      <c r="I3452" s="15" t="str">
        <f>IFERROR(__xludf.DUMMYFUNCTION("GOOGLETRANSLATE(H3452,""EN"",""ES"")"),"Gastronomía")</f>
        <v>Gastronomía</v>
      </c>
      <c r="J3452" s="16" t="s">
        <v>27</v>
      </c>
      <c r="K3452" s="17">
        <v>0.0</v>
      </c>
      <c r="L3452" s="45"/>
      <c r="M3452" s="18"/>
      <c r="N3452" s="86"/>
      <c r="O3452" s="86"/>
      <c r="P3452" s="20">
        <v>0.0</v>
      </c>
      <c r="Q3452" s="18"/>
      <c r="R3452" s="18"/>
      <c r="S3452" s="52"/>
      <c r="T3452" s="22"/>
    </row>
    <row r="3453">
      <c r="A3453" s="23" t="s">
        <v>24216</v>
      </c>
      <c r="B3453" s="77" t="s">
        <v>16303</v>
      </c>
      <c r="C3453" s="41">
        <v>45562.0</v>
      </c>
      <c r="D3453" s="40" t="s">
        <v>24217</v>
      </c>
      <c r="E3453" s="41" t="s">
        <v>24218</v>
      </c>
      <c r="F3453" s="43" t="s">
        <v>24219</v>
      </c>
      <c r="G3453" s="43" t="s">
        <v>24220</v>
      </c>
      <c r="H3453" s="59" t="s">
        <v>661</v>
      </c>
      <c r="I3453" s="25" t="str">
        <f>IFERROR(__xludf.DUMMYFUNCTION("GOOGLETRANSLATE(H3453,""EN"",""ES"")"),"Estrategia empresarial")</f>
        <v>Estrategia empresarial</v>
      </c>
      <c r="J3453" s="26" t="s">
        <v>35</v>
      </c>
      <c r="K3453" s="48">
        <v>0.6</v>
      </c>
      <c r="L3453" s="49" t="s">
        <v>24201</v>
      </c>
      <c r="M3453" s="28" t="s">
        <v>24202</v>
      </c>
      <c r="N3453" s="83" t="s">
        <v>24221</v>
      </c>
      <c r="O3453" s="83" t="str">
        <f>IFERROR(__xludf.DUMMYFUNCTION("GOOGLETRANSLATE(N3453,""EN"",""ES"")"),"Sentimiento positivo, centrado en el mantenimiento planificado por Repsol para la eficiencia.")</f>
        <v>Sentimiento positivo, centrado en el mantenimiento planificado por Repsol para la eficiencia.</v>
      </c>
      <c r="P3453" s="30">
        <v>0.0</v>
      </c>
      <c r="Q3453" s="31"/>
      <c r="R3453" s="31"/>
      <c r="S3453" s="53" t="s">
        <v>24222</v>
      </c>
      <c r="T3453" s="32" t="s">
        <v>24223</v>
      </c>
    </row>
    <row r="3454">
      <c r="A3454" s="33" t="s">
        <v>24224</v>
      </c>
      <c r="B3454" s="76" t="s">
        <v>1602</v>
      </c>
      <c r="C3454" s="41">
        <v>45562.0</v>
      </c>
      <c r="D3454" s="40" t="s">
        <v>24225</v>
      </c>
      <c r="E3454" s="41" t="s">
        <v>24226</v>
      </c>
      <c r="F3454" s="43" t="s">
        <v>24084</v>
      </c>
      <c r="G3454" s="43" t="s">
        <v>24227</v>
      </c>
      <c r="H3454" s="61" t="s">
        <v>48</v>
      </c>
      <c r="I3454" s="15" t="str">
        <f>IFERROR(__xludf.DUMMYFUNCTION("GOOGLETRANSLATE(H3454,""EN"",""ES"")"),"Finanzas")</f>
        <v>Finanzas</v>
      </c>
      <c r="J3454" s="16" t="s">
        <v>35</v>
      </c>
      <c r="K3454" s="48">
        <v>-0.5</v>
      </c>
      <c r="L3454" s="51" t="s">
        <v>23872</v>
      </c>
      <c r="M3454" s="34" t="s">
        <v>23873</v>
      </c>
      <c r="N3454" s="86" t="s">
        <v>24228</v>
      </c>
      <c r="O3454" s="86" t="str">
        <f>IFERROR(__xludf.DUMMYFUNCTION("GOOGLETRANSLATE(N3454,""EN"",""ES"")"),"Sentimiento negativo, que indica un desempeño débil de las acciones.")</f>
        <v>Sentimiento negativo, que indica un desempeño débil de las acciones.</v>
      </c>
      <c r="P3454" s="30">
        <v>-0.5</v>
      </c>
      <c r="Q3454" s="18" t="str">
        <f>IFERROR(__xludf.DUMMYFUNCTION("GOOGLETRANSLATE(R3454,""ES"",""EN"")"),"worse")</f>
        <v>worse</v>
      </c>
      <c r="R3454" s="34" t="s">
        <v>24087</v>
      </c>
      <c r="S3454" s="52" t="s">
        <v>24177</v>
      </c>
      <c r="T3454" s="22" t="s">
        <v>24178</v>
      </c>
    </row>
    <row r="3455">
      <c r="A3455" s="23" t="s">
        <v>24229</v>
      </c>
      <c r="B3455" s="77" t="s">
        <v>1081</v>
      </c>
      <c r="C3455" s="41">
        <v>45562.0</v>
      </c>
      <c r="D3455" s="40" t="s">
        <v>24230</v>
      </c>
      <c r="E3455" s="41" t="s">
        <v>24231</v>
      </c>
      <c r="F3455" s="43" t="s">
        <v>24232</v>
      </c>
      <c r="G3455" s="43" t="s">
        <v>24233</v>
      </c>
      <c r="H3455" s="59" t="s">
        <v>661</v>
      </c>
      <c r="I3455" s="25" t="str">
        <f>IFERROR(__xludf.DUMMYFUNCTION("GOOGLETRANSLATE(H3455,""EN"",""ES"")"),"Estrategia empresarial")</f>
        <v>Estrategia empresarial</v>
      </c>
      <c r="J3455" s="26" t="s">
        <v>35</v>
      </c>
      <c r="K3455" s="48">
        <v>0.6</v>
      </c>
      <c r="L3455" s="49" t="s">
        <v>24201</v>
      </c>
      <c r="M3455" s="28" t="s">
        <v>24202</v>
      </c>
      <c r="N3455" s="83" t="s">
        <v>24234</v>
      </c>
      <c r="O3455" s="83" t="str">
        <f>IFERROR(__xludf.DUMMYFUNCTION("GOOGLETRANSLATE(N3455,""EN"",""ES"")"),"Sentimiento positivo, destacando la creación de empleo y la inversión en mantenimiento.")</f>
        <v>Sentimiento positivo, destacando la creación de empleo y la inversión en mantenimiento.</v>
      </c>
      <c r="P3455" s="30">
        <v>0.3</v>
      </c>
      <c r="Q3455" s="31" t="str">
        <f>IFERROR(__xludf.DUMMYFUNCTION("GOOGLETRANSLATE(R3455,""ES"",""EN"")"),"hire")</f>
        <v>hire</v>
      </c>
      <c r="R3455" s="28" t="s">
        <v>24235</v>
      </c>
      <c r="S3455" s="53" t="s">
        <v>24236</v>
      </c>
      <c r="T3455" s="32" t="s">
        <v>24237</v>
      </c>
    </row>
    <row r="3456">
      <c r="A3456" s="33" t="s">
        <v>24238</v>
      </c>
      <c r="B3456" s="76" t="s">
        <v>2199</v>
      </c>
      <c r="C3456" s="41">
        <v>45562.0</v>
      </c>
      <c r="D3456" s="40" t="s">
        <v>24239</v>
      </c>
      <c r="E3456" s="41" t="s">
        <v>24240</v>
      </c>
      <c r="F3456" s="43" t="s">
        <v>24241</v>
      </c>
      <c r="G3456" s="43" t="s">
        <v>24242</v>
      </c>
      <c r="H3456" s="61" t="s">
        <v>661</v>
      </c>
      <c r="I3456" s="15" t="str">
        <f>IFERROR(__xludf.DUMMYFUNCTION("GOOGLETRANSLATE(H3456,""EN"",""ES"")"),"Estrategia empresarial")</f>
        <v>Estrategia empresarial</v>
      </c>
      <c r="J3456" s="16" t="s">
        <v>35</v>
      </c>
      <c r="K3456" s="48">
        <v>0.6</v>
      </c>
      <c r="L3456" s="51" t="s">
        <v>24074</v>
      </c>
      <c r="M3456" s="34" t="s">
        <v>24075</v>
      </c>
      <c r="N3456" s="86" t="s">
        <v>24243</v>
      </c>
      <c r="O3456" s="86" t="str">
        <f>IFERROR(__xludf.DUMMYFUNCTION("GOOGLETRANSLATE(N3456,""EN"",""ES"")"),"Sentimiento positivo, destacando la recompensa a los clientes de Repsol.")</f>
        <v>Sentimiento positivo, destacando la recompensa a los clientes de Repsol.</v>
      </c>
      <c r="P3456" s="30">
        <v>0.4</v>
      </c>
      <c r="Q3456" s="18" t="str">
        <f>IFERROR(__xludf.DUMMYFUNCTION("GOOGLETRANSLATE(R3456,""ES"",""EN"")"),"win")</f>
        <v>win</v>
      </c>
      <c r="R3456" s="34" t="s">
        <v>11737</v>
      </c>
      <c r="S3456" s="52" t="s">
        <v>24244</v>
      </c>
      <c r="T3456" s="22" t="s">
        <v>24245</v>
      </c>
    </row>
    <row r="3457">
      <c r="A3457" s="23" t="s">
        <v>24246</v>
      </c>
      <c r="B3457" s="77" t="s">
        <v>163</v>
      </c>
      <c r="C3457" s="41">
        <v>45562.0</v>
      </c>
      <c r="D3457" s="40" t="s">
        <v>24247</v>
      </c>
      <c r="E3457" s="41" t="s">
        <v>24248</v>
      </c>
      <c r="F3457" s="43" t="s">
        <v>24249</v>
      </c>
      <c r="G3457" s="43" t="s">
        <v>24250</v>
      </c>
      <c r="H3457" s="59" t="s">
        <v>130</v>
      </c>
      <c r="I3457" s="25" t="str">
        <f>IFERROR(__xludf.DUMMYFUNCTION("GOOGLETRANSLATE(H3457,""EN"",""ES"")"),"Sostenibilidad")</f>
        <v>Sostenibilidad</v>
      </c>
      <c r="J3457" s="26" t="s">
        <v>27</v>
      </c>
      <c r="K3457" s="17">
        <v>0.0</v>
      </c>
      <c r="L3457" s="54"/>
      <c r="M3457" s="31"/>
      <c r="N3457" s="83"/>
      <c r="O3457" s="83"/>
      <c r="P3457" s="20">
        <v>0.0</v>
      </c>
      <c r="Q3457" s="31"/>
      <c r="R3457" s="31"/>
      <c r="S3457" s="53"/>
      <c r="T3457" s="32"/>
    </row>
    <row r="3458">
      <c r="A3458" s="33" t="s">
        <v>24251</v>
      </c>
      <c r="B3458" s="76" t="s">
        <v>24252</v>
      </c>
      <c r="C3458" s="41">
        <v>45562.0</v>
      </c>
      <c r="D3458" s="40" t="s">
        <v>24253</v>
      </c>
      <c r="E3458" s="41" t="s">
        <v>24254</v>
      </c>
      <c r="F3458" s="43" t="s">
        <v>24255</v>
      </c>
      <c r="G3458" s="43" t="s">
        <v>24256</v>
      </c>
      <c r="H3458" s="61" t="s">
        <v>661</v>
      </c>
      <c r="I3458" s="15" t="str">
        <f>IFERROR(__xludf.DUMMYFUNCTION("GOOGLETRANSLATE(H3458,""EN"",""ES"")"),"Estrategia empresarial")</f>
        <v>Estrategia empresarial</v>
      </c>
      <c r="J3458" s="16" t="s">
        <v>35</v>
      </c>
      <c r="K3458" s="48">
        <v>0.6</v>
      </c>
      <c r="L3458" s="51" t="s">
        <v>24074</v>
      </c>
      <c r="M3458" s="34" t="s">
        <v>24075</v>
      </c>
      <c r="N3458" s="86" t="s">
        <v>24257</v>
      </c>
      <c r="O3458" s="86" t="str">
        <f>IFERROR(__xludf.DUMMYFUNCTION("GOOGLETRANSLATE(N3458,""EN"",""ES"")"),"Sentimiento positivo que refuerza la campaña promocional de Repsol.")</f>
        <v>Sentimiento positivo que refuerza la campaña promocional de Repsol.</v>
      </c>
      <c r="P3458" s="30">
        <v>0.3</v>
      </c>
      <c r="Q3458" s="18" t="str">
        <f>IFERROR(__xludf.DUMMYFUNCTION("GOOGLETRANSLATE(R3458,""ES"",""EN"")"),"#VALUE!")</f>
        <v>#VALUE!</v>
      </c>
      <c r="R3458" s="18"/>
      <c r="S3458" s="52" t="s">
        <v>24258</v>
      </c>
      <c r="T3458" s="22" t="s">
        <v>24259</v>
      </c>
    </row>
    <row r="3459">
      <c r="A3459" s="23" t="s">
        <v>24260</v>
      </c>
      <c r="B3459" s="77" t="s">
        <v>9569</v>
      </c>
      <c r="C3459" s="41">
        <v>45562.0</v>
      </c>
      <c r="D3459" s="40" t="s">
        <v>24261</v>
      </c>
      <c r="E3459" s="41" t="s">
        <v>24262</v>
      </c>
      <c r="F3459" s="43" t="s">
        <v>24263</v>
      </c>
      <c r="G3459" s="43" t="s">
        <v>24264</v>
      </c>
      <c r="H3459" s="59" t="s">
        <v>661</v>
      </c>
      <c r="I3459" s="25" t="str">
        <f>IFERROR(__xludf.DUMMYFUNCTION("GOOGLETRANSLATE(H3459,""EN"",""ES"")"),"Estrategia empresarial")</f>
        <v>Estrategia empresarial</v>
      </c>
      <c r="J3459" s="26" t="s">
        <v>35</v>
      </c>
      <c r="K3459" s="48">
        <v>0.6</v>
      </c>
      <c r="L3459" s="49" t="s">
        <v>24074</v>
      </c>
      <c r="M3459" s="28" t="s">
        <v>24075</v>
      </c>
      <c r="N3459" s="83" t="s">
        <v>24265</v>
      </c>
      <c r="O3459" s="83" t="str">
        <f>IFERROR(__xludf.DUMMYFUNCTION("GOOGLETRANSLATE(N3459,""EN"",""ES"")"),"Sentimiento positivo, impulsando el sistema de pagos digitales de Repsol.")</f>
        <v>Sentimiento positivo, impulsando el sistema de pagos digitales de Repsol.</v>
      </c>
      <c r="P3459" s="30">
        <v>0.5</v>
      </c>
      <c r="Q3459" s="31" t="str">
        <f>IFERROR(__xludf.DUMMYFUNCTION("GOOGLETRANSLATE(R3459,""ES"",""EN"")"),"rewards")</f>
        <v>rewards</v>
      </c>
      <c r="R3459" s="28" t="s">
        <v>24143</v>
      </c>
      <c r="S3459" s="53" t="s">
        <v>24266</v>
      </c>
      <c r="T3459" s="32" t="s">
        <v>24267</v>
      </c>
    </row>
    <row r="3460">
      <c r="A3460" s="33" t="s">
        <v>24268</v>
      </c>
      <c r="B3460" s="76" t="s">
        <v>21</v>
      </c>
      <c r="C3460" s="41">
        <v>45562.0</v>
      </c>
      <c r="D3460" s="40" t="s">
        <v>24269</v>
      </c>
      <c r="E3460" s="41" t="s">
        <v>24270</v>
      </c>
      <c r="F3460" s="43" t="s">
        <v>24271</v>
      </c>
      <c r="G3460" s="43" t="s">
        <v>24272</v>
      </c>
      <c r="H3460" s="61" t="s">
        <v>26</v>
      </c>
      <c r="I3460" s="15" t="str">
        <f>IFERROR(__xludf.DUMMYFUNCTION("GOOGLETRANSLATE(H3460,""EN"",""ES"")"),"Otro")</f>
        <v>Otro</v>
      </c>
      <c r="J3460" s="16" t="s">
        <v>27</v>
      </c>
      <c r="K3460" s="17">
        <v>0.0</v>
      </c>
      <c r="L3460" s="45"/>
      <c r="M3460" s="18"/>
      <c r="N3460" s="86"/>
      <c r="O3460" s="86"/>
      <c r="P3460" s="20">
        <v>0.0</v>
      </c>
      <c r="Q3460" s="18"/>
      <c r="R3460" s="18"/>
      <c r="S3460" s="52"/>
      <c r="T3460" s="22"/>
    </row>
    <row r="3461">
      <c r="A3461" s="23" t="s">
        <v>24273</v>
      </c>
      <c r="B3461" s="77" t="s">
        <v>2696</v>
      </c>
      <c r="C3461" s="41">
        <v>45562.0</v>
      </c>
      <c r="D3461" s="40" t="s">
        <v>24274</v>
      </c>
      <c r="E3461" s="41" t="s">
        <v>24275</v>
      </c>
      <c r="F3461" s="43" t="s">
        <v>24276</v>
      </c>
      <c r="G3461" s="43" t="s">
        <v>24277</v>
      </c>
      <c r="H3461" s="59" t="s">
        <v>130</v>
      </c>
      <c r="I3461" s="25" t="str">
        <f>IFERROR(__xludf.DUMMYFUNCTION("GOOGLETRANSLATE(H3461,""EN"",""ES"")"),"Sostenibilidad")</f>
        <v>Sostenibilidad</v>
      </c>
      <c r="J3461" s="26" t="s">
        <v>27</v>
      </c>
      <c r="K3461" s="17">
        <v>0.0</v>
      </c>
      <c r="L3461" s="54"/>
      <c r="M3461" s="31"/>
      <c r="N3461" s="83"/>
      <c r="O3461" s="83"/>
      <c r="P3461" s="20">
        <v>0.0</v>
      </c>
      <c r="Q3461" s="31"/>
      <c r="R3461" s="31"/>
      <c r="S3461" s="53"/>
      <c r="T3461" s="32"/>
    </row>
    <row r="3462">
      <c r="A3462" s="33" t="s">
        <v>24278</v>
      </c>
      <c r="B3462" s="76" t="s">
        <v>558</v>
      </c>
      <c r="C3462" s="41">
        <v>45562.0</v>
      </c>
      <c r="D3462" s="40" t="s">
        <v>24279</v>
      </c>
      <c r="E3462" s="41" t="s">
        <v>24280</v>
      </c>
      <c r="F3462" s="43" t="s">
        <v>24281</v>
      </c>
      <c r="G3462" s="43" t="s">
        <v>24282</v>
      </c>
      <c r="H3462" s="61" t="s">
        <v>48</v>
      </c>
      <c r="I3462" s="15" t="str">
        <f>IFERROR(__xludf.DUMMYFUNCTION("GOOGLETRANSLATE(H3462,""EN"",""ES"")"),"Finanzas")</f>
        <v>Finanzas</v>
      </c>
      <c r="J3462" s="16" t="s">
        <v>35</v>
      </c>
      <c r="K3462" s="48">
        <v>0.6</v>
      </c>
      <c r="L3462" s="51" t="s">
        <v>19216</v>
      </c>
      <c r="M3462" s="34" t="s">
        <v>19217</v>
      </c>
      <c r="N3462" s="86" t="s">
        <v>24283</v>
      </c>
      <c r="O3462" s="86" t="str">
        <f>IFERROR(__xludf.DUMMYFUNCTION("GOOGLETRANSLATE(N3462,""EN"",""ES"")"),"Sentimiento positivo, que muestra el papel de Repsol en las ganancias bursátiles.")</f>
        <v>Sentimiento positivo, que muestra el papel de Repsol en las ganancias bursátiles.</v>
      </c>
      <c r="P3462" s="30">
        <v>0.4</v>
      </c>
      <c r="Q3462" s="18" t="str">
        <f>IFERROR(__xludf.DUMMYFUNCTION("GOOGLETRANSLATE(R3462,""ES"",""EN"")"),"rises")</f>
        <v>rises</v>
      </c>
      <c r="R3462" s="34" t="s">
        <v>24284</v>
      </c>
      <c r="S3462" s="52" t="s">
        <v>24285</v>
      </c>
      <c r="T3462" s="22" t="s">
        <v>24286</v>
      </c>
    </row>
    <row r="3463">
      <c r="A3463" s="23" t="s">
        <v>24287</v>
      </c>
      <c r="B3463" s="77" t="s">
        <v>24288</v>
      </c>
      <c r="C3463" s="41">
        <v>45562.0</v>
      </c>
      <c r="D3463" s="40" t="s">
        <v>24289</v>
      </c>
      <c r="E3463" s="41" t="s">
        <v>24290</v>
      </c>
      <c r="F3463" s="43" t="s">
        <v>24291</v>
      </c>
      <c r="G3463" s="43" t="s">
        <v>24292</v>
      </c>
      <c r="H3463" s="59" t="s">
        <v>48</v>
      </c>
      <c r="I3463" s="25" t="str">
        <f>IFERROR(__xludf.DUMMYFUNCTION("GOOGLETRANSLATE(H3463,""EN"",""ES"")"),"Finanzas")</f>
        <v>Finanzas</v>
      </c>
      <c r="J3463" s="26" t="s">
        <v>27</v>
      </c>
      <c r="K3463" s="17">
        <v>0.0</v>
      </c>
      <c r="L3463" s="54"/>
      <c r="M3463" s="31"/>
      <c r="N3463" s="83"/>
      <c r="O3463" s="83"/>
      <c r="P3463" s="20">
        <v>0.0</v>
      </c>
      <c r="Q3463" s="31"/>
      <c r="R3463" s="31"/>
      <c r="S3463" s="53"/>
      <c r="T3463" s="32"/>
    </row>
    <row r="3464">
      <c r="A3464" s="33" t="s">
        <v>24293</v>
      </c>
      <c r="B3464" s="76" t="s">
        <v>163</v>
      </c>
      <c r="C3464" s="41">
        <v>45562.0</v>
      </c>
      <c r="D3464" s="40" t="s">
        <v>24294</v>
      </c>
      <c r="E3464" s="41" t="s">
        <v>24295</v>
      </c>
      <c r="F3464" s="43" t="s">
        <v>24296</v>
      </c>
      <c r="G3464" s="43" t="s">
        <v>24297</v>
      </c>
      <c r="H3464" s="61" t="s">
        <v>55</v>
      </c>
      <c r="I3464" s="15" t="str">
        <f>IFERROR(__xludf.DUMMYFUNCTION("GOOGLETRANSLATE(H3464,""EN"",""ES"")"),"deportes de motor")</f>
        <v>deportes de motor</v>
      </c>
      <c r="J3464" s="16" t="s">
        <v>27</v>
      </c>
      <c r="K3464" s="17">
        <v>0.0</v>
      </c>
      <c r="L3464" s="45"/>
      <c r="M3464" s="18"/>
      <c r="N3464" s="86"/>
      <c r="O3464" s="86"/>
      <c r="P3464" s="20">
        <v>0.0</v>
      </c>
      <c r="Q3464" s="18"/>
      <c r="R3464" s="18"/>
      <c r="S3464" s="52"/>
      <c r="T3464" s="22"/>
    </row>
    <row r="3465">
      <c r="A3465" s="23" t="s">
        <v>24298</v>
      </c>
      <c r="B3465" s="77" t="s">
        <v>4038</v>
      </c>
      <c r="C3465" s="41">
        <v>45562.0</v>
      </c>
      <c r="D3465" s="40" t="s">
        <v>24299</v>
      </c>
      <c r="E3465" s="41" t="s">
        <v>24300</v>
      </c>
      <c r="F3465" s="43" t="s">
        <v>24301</v>
      </c>
      <c r="G3465" s="43" t="s">
        <v>24302</v>
      </c>
      <c r="H3465" s="59" t="s">
        <v>148</v>
      </c>
      <c r="I3465" s="25" t="str">
        <f>IFERROR(__xludf.DUMMYFUNCTION("GOOGLETRANSLATE(H3465,""EN"",""ES"")"),"Gastronomía")</f>
        <v>Gastronomía</v>
      </c>
      <c r="J3465" s="26" t="s">
        <v>27</v>
      </c>
      <c r="K3465" s="17">
        <v>0.0</v>
      </c>
      <c r="L3465" s="54"/>
      <c r="M3465" s="31"/>
      <c r="N3465" s="83"/>
      <c r="O3465" s="83"/>
      <c r="P3465" s="20">
        <v>0.0</v>
      </c>
      <c r="Q3465" s="31"/>
      <c r="R3465" s="31"/>
      <c r="S3465" s="53"/>
      <c r="T3465" s="32"/>
    </row>
    <row r="3466">
      <c r="A3466" s="33" t="s">
        <v>24303</v>
      </c>
      <c r="B3466" s="76" t="s">
        <v>6458</v>
      </c>
      <c r="C3466" s="41">
        <v>45562.0</v>
      </c>
      <c r="D3466" s="40" t="s">
        <v>24304</v>
      </c>
      <c r="E3466" s="41" t="s">
        <v>24305</v>
      </c>
      <c r="F3466" s="43" t="s">
        <v>24306</v>
      </c>
      <c r="G3466" s="43" t="s">
        <v>24307</v>
      </c>
      <c r="H3466" s="61" t="s">
        <v>148</v>
      </c>
      <c r="I3466" s="15" t="str">
        <f>IFERROR(__xludf.DUMMYFUNCTION("GOOGLETRANSLATE(H3466,""EN"",""ES"")"),"Gastronomía")</f>
        <v>Gastronomía</v>
      </c>
      <c r="J3466" s="16" t="s">
        <v>27</v>
      </c>
      <c r="K3466" s="17">
        <v>0.0</v>
      </c>
      <c r="L3466" s="45"/>
      <c r="M3466" s="18"/>
      <c r="N3466" s="86"/>
      <c r="O3466" s="86"/>
      <c r="P3466" s="20">
        <v>0.0</v>
      </c>
      <c r="Q3466" s="18"/>
      <c r="R3466" s="18"/>
      <c r="S3466" s="52"/>
      <c r="T3466" s="22"/>
    </row>
    <row r="3467">
      <c r="A3467" s="23" t="s">
        <v>24308</v>
      </c>
      <c r="B3467" s="77" t="s">
        <v>1072</v>
      </c>
      <c r="C3467" s="41">
        <v>45563.0</v>
      </c>
      <c r="D3467" s="40" t="s">
        <v>24309</v>
      </c>
      <c r="E3467" s="41" t="s">
        <v>24310</v>
      </c>
      <c r="F3467" s="43" t="s">
        <v>24311</v>
      </c>
      <c r="G3467" s="43" t="s">
        <v>24312</v>
      </c>
      <c r="H3467" s="59" t="s">
        <v>130</v>
      </c>
      <c r="I3467" s="25" t="str">
        <f>IFERROR(__xludf.DUMMYFUNCTION("GOOGLETRANSLATE(H3467,""EN"",""ES"")"),"Sostenibilidad")</f>
        <v>Sostenibilidad</v>
      </c>
      <c r="J3467" s="26" t="s">
        <v>35</v>
      </c>
      <c r="K3467" s="48">
        <v>-0.4</v>
      </c>
      <c r="L3467" s="49" t="s">
        <v>24313</v>
      </c>
      <c r="M3467" s="28" t="s">
        <v>24314</v>
      </c>
      <c r="N3467" s="83" t="s">
        <v>24315</v>
      </c>
      <c r="O3467" s="83" t="str">
        <f>IFERROR(__xludf.DUMMYFUNCTION("GOOGLETRANSLATE(N3467,""EN"",""ES"")"),"Sentimiento ligeramente negativo, que señala las ineficiencias en la infraestructura de carga.")</f>
        <v>Sentimiento ligeramente negativo, que señala las ineficiencias en la infraestructura de carga.</v>
      </c>
      <c r="P3467" s="30">
        <v>-0.4</v>
      </c>
      <c r="Q3467" s="31" t="str">
        <f>IFERROR(__xludf.DUMMYFUNCTION("GOOGLETRANSLATE(R3467,""ES"",""EN"")"),"unemployed")</f>
        <v>unemployed</v>
      </c>
      <c r="R3467" s="28" t="s">
        <v>24316</v>
      </c>
      <c r="S3467" s="53" t="s">
        <v>24317</v>
      </c>
      <c r="T3467" s="32" t="s">
        <v>24318</v>
      </c>
    </row>
    <row r="3468">
      <c r="A3468" s="33" t="s">
        <v>24319</v>
      </c>
      <c r="B3468" s="76" t="s">
        <v>163</v>
      </c>
      <c r="C3468" s="41">
        <v>45563.0</v>
      </c>
      <c r="D3468" s="40" t="s">
        <v>24320</v>
      </c>
      <c r="E3468" s="41" t="s">
        <v>24320</v>
      </c>
      <c r="F3468" s="43" t="s">
        <v>24321</v>
      </c>
      <c r="G3468" s="43" t="s">
        <v>24321</v>
      </c>
      <c r="H3468" s="61" t="s">
        <v>55</v>
      </c>
      <c r="I3468" s="15" t="str">
        <f>IFERROR(__xludf.DUMMYFUNCTION("GOOGLETRANSLATE(H3468,""EN"",""ES"")"),"deportes de motor")</f>
        <v>deportes de motor</v>
      </c>
      <c r="J3468" s="16" t="s">
        <v>27</v>
      </c>
      <c r="K3468" s="17">
        <v>0.0</v>
      </c>
      <c r="L3468" s="45"/>
      <c r="M3468" s="18"/>
      <c r="N3468" s="86"/>
      <c r="O3468" s="86"/>
      <c r="P3468" s="20">
        <v>0.0</v>
      </c>
      <c r="Q3468" s="18"/>
      <c r="R3468" s="18"/>
      <c r="S3468" s="52"/>
      <c r="T3468" s="22"/>
    </row>
    <row r="3469">
      <c r="A3469" s="23" t="s">
        <v>24322</v>
      </c>
      <c r="B3469" s="77" t="s">
        <v>977</v>
      </c>
      <c r="C3469" s="41">
        <v>45563.0</v>
      </c>
      <c r="D3469" s="40" t="s">
        <v>24323</v>
      </c>
      <c r="E3469" s="41" t="s">
        <v>24324</v>
      </c>
      <c r="F3469" s="43" t="s">
        <v>24325</v>
      </c>
      <c r="G3469" s="43" t="s">
        <v>24326</v>
      </c>
      <c r="H3469" s="59" t="s">
        <v>23318</v>
      </c>
      <c r="I3469" s="25" t="str">
        <f>IFERROR(__xludf.DUMMYFUNCTION("GOOGLETRANSLATE(H3469,""EN"",""ES"")"),"Riesgos comerciales")</f>
        <v>Riesgos comerciales</v>
      </c>
      <c r="J3469" s="26" t="s">
        <v>35</v>
      </c>
      <c r="K3469" s="48">
        <v>-0.6</v>
      </c>
      <c r="L3469" s="49" t="s">
        <v>24327</v>
      </c>
      <c r="M3469" s="28" t="s">
        <v>24328</v>
      </c>
      <c r="N3469" s="83" t="s">
        <v>24329</v>
      </c>
      <c r="O3469" s="83" t="str">
        <f>IFERROR(__xludf.DUMMYFUNCTION("GOOGLETRANSLATE(N3469,""EN"",""ES"")"),"Sentimiento negativo, destacando tensiones políticas y acusaciones contra Repsol.")</f>
        <v>Sentimiento negativo, destacando tensiones políticas y acusaciones contra Repsol.</v>
      </c>
      <c r="P3469" s="30">
        <v>0.0</v>
      </c>
      <c r="Q3469" s="31"/>
      <c r="R3469" s="31"/>
      <c r="S3469" s="53" t="s">
        <v>24330</v>
      </c>
      <c r="T3469" s="32" t="s">
        <v>24331</v>
      </c>
    </row>
    <row r="3470">
      <c r="A3470" s="33" t="s">
        <v>24332</v>
      </c>
      <c r="B3470" s="76" t="s">
        <v>881</v>
      </c>
      <c r="C3470" s="41">
        <v>45563.0</v>
      </c>
      <c r="D3470" s="40" t="s">
        <v>24333</v>
      </c>
      <c r="E3470" s="41" t="s">
        <v>24334</v>
      </c>
      <c r="F3470" s="43" t="s">
        <v>24335</v>
      </c>
      <c r="G3470" s="43" t="s">
        <v>24336</v>
      </c>
      <c r="H3470" s="61" t="s">
        <v>26</v>
      </c>
      <c r="I3470" s="15" t="str">
        <f>IFERROR(__xludf.DUMMYFUNCTION("GOOGLETRANSLATE(H3470,""EN"",""ES"")"),"Otro")</f>
        <v>Otro</v>
      </c>
      <c r="J3470" s="16" t="s">
        <v>27</v>
      </c>
      <c r="K3470" s="17">
        <v>0.0</v>
      </c>
      <c r="L3470" s="45"/>
      <c r="M3470" s="18"/>
      <c r="N3470" s="86"/>
      <c r="O3470" s="86"/>
      <c r="P3470" s="20">
        <v>0.0</v>
      </c>
      <c r="Q3470" s="18"/>
      <c r="R3470" s="18"/>
      <c r="S3470" s="52"/>
      <c r="T3470" s="22"/>
    </row>
    <row r="3471">
      <c r="A3471" s="23" t="s">
        <v>24337</v>
      </c>
      <c r="B3471" s="77" t="s">
        <v>448</v>
      </c>
      <c r="C3471" s="41">
        <v>45563.0</v>
      </c>
      <c r="D3471" s="40" t="s">
        <v>24338</v>
      </c>
      <c r="E3471" s="41" t="s">
        <v>24339</v>
      </c>
      <c r="F3471" s="43" t="s">
        <v>24340</v>
      </c>
      <c r="G3471" s="43" t="s">
        <v>24341</v>
      </c>
      <c r="H3471" s="59" t="s">
        <v>1975</v>
      </c>
      <c r="I3471" s="25" t="str">
        <f>IFERROR(__xludf.DUMMYFUNCTION("GOOGLETRANSLATE(H3471,""EN"",""ES"")"),"Política")</f>
        <v>Política</v>
      </c>
      <c r="J3471" s="26" t="s">
        <v>27</v>
      </c>
      <c r="K3471" s="17">
        <v>0.0</v>
      </c>
      <c r="L3471" s="54"/>
      <c r="M3471" s="31"/>
      <c r="N3471" s="83"/>
      <c r="O3471" s="83"/>
      <c r="P3471" s="20">
        <v>0.0</v>
      </c>
      <c r="Q3471" s="31"/>
      <c r="R3471" s="31"/>
      <c r="S3471" s="53"/>
      <c r="T3471" s="32"/>
    </row>
    <row r="3472">
      <c r="A3472" s="33" t="s">
        <v>24342</v>
      </c>
      <c r="B3472" s="76" t="s">
        <v>425</v>
      </c>
      <c r="C3472" s="41">
        <v>45563.0</v>
      </c>
      <c r="D3472" s="40" t="s">
        <v>24343</v>
      </c>
      <c r="E3472" s="41" t="s">
        <v>24344</v>
      </c>
      <c r="F3472" s="43" t="s">
        <v>24345</v>
      </c>
      <c r="G3472" s="43" t="s">
        <v>24346</v>
      </c>
      <c r="H3472" s="61" t="s">
        <v>55</v>
      </c>
      <c r="I3472" s="15" t="str">
        <f>IFERROR(__xludf.DUMMYFUNCTION("GOOGLETRANSLATE(H3472,""EN"",""ES"")"),"deportes de motor")</f>
        <v>deportes de motor</v>
      </c>
      <c r="J3472" s="16" t="s">
        <v>27</v>
      </c>
      <c r="K3472" s="17">
        <v>0.0</v>
      </c>
      <c r="L3472" s="45"/>
      <c r="M3472" s="18"/>
      <c r="N3472" s="86"/>
      <c r="O3472" s="86"/>
      <c r="P3472" s="20">
        <v>0.0</v>
      </c>
      <c r="Q3472" s="18"/>
      <c r="R3472" s="18"/>
      <c r="S3472" s="52"/>
      <c r="T3472" s="22"/>
    </row>
    <row r="3473">
      <c r="A3473" s="23" t="s">
        <v>24347</v>
      </c>
      <c r="B3473" s="77" t="s">
        <v>4673</v>
      </c>
      <c r="C3473" s="41">
        <v>45564.0</v>
      </c>
      <c r="D3473" s="40" t="s">
        <v>24348</v>
      </c>
      <c r="E3473" s="41" t="s">
        <v>24349</v>
      </c>
      <c r="F3473" s="43" t="s">
        <v>24350</v>
      </c>
      <c r="G3473" s="43" t="s">
        <v>24351</v>
      </c>
      <c r="H3473" s="59" t="s">
        <v>26</v>
      </c>
      <c r="I3473" s="25" t="str">
        <f>IFERROR(__xludf.DUMMYFUNCTION("GOOGLETRANSLATE(H3473,""EN"",""ES"")"),"Otro")</f>
        <v>Otro</v>
      </c>
      <c r="J3473" s="26" t="s">
        <v>27</v>
      </c>
      <c r="K3473" s="17">
        <v>0.0</v>
      </c>
      <c r="L3473" s="54"/>
      <c r="M3473" s="31"/>
      <c r="N3473" s="83"/>
      <c r="O3473" s="83"/>
      <c r="P3473" s="20">
        <v>0.0</v>
      </c>
      <c r="Q3473" s="31"/>
      <c r="R3473" s="31"/>
      <c r="S3473" s="53"/>
      <c r="T3473" s="32"/>
    </row>
    <row r="3474">
      <c r="A3474" s="33" t="s">
        <v>24352</v>
      </c>
      <c r="B3474" s="76" t="s">
        <v>3992</v>
      </c>
      <c r="C3474" s="41">
        <v>45564.0</v>
      </c>
      <c r="D3474" s="40" t="s">
        <v>24353</v>
      </c>
      <c r="E3474" s="41" t="s">
        <v>24354</v>
      </c>
      <c r="F3474" s="43" t="s">
        <v>24355</v>
      </c>
      <c r="G3474" s="43" t="s">
        <v>24356</v>
      </c>
      <c r="H3474" s="61" t="s">
        <v>23318</v>
      </c>
      <c r="I3474" s="15" t="str">
        <f>IFERROR(__xludf.DUMMYFUNCTION("GOOGLETRANSLATE(H3474,""EN"",""ES"")"),"Riesgos comerciales")</f>
        <v>Riesgos comerciales</v>
      </c>
      <c r="J3474" s="16" t="s">
        <v>35</v>
      </c>
      <c r="K3474" s="48">
        <v>-0.7</v>
      </c>
      <c r="L3474" s="51" t="s">
        <v>24357</v>
      </c>
      <c r="M3474" s="34" t="s">
        <v>24358</v>
      </c>
      <c r="N3474" s="86" t="s">
        <v>24359</v>
      </c>
      <c r="O3474" s="86" t="str">
        <f>IFERROR(__xludf.DUMMYFUNCTION("GOOGLETRANSLATE(N3474,""EN"",""ES"")"),"Sentimiento negativo, destacando riesgos geopolíticos para Repsol.")</f>
        <v>Sentimiento negativo, destacando riesgos geopolíticos para Repsol.</v>
      </c>
      <c r="P3474" s="30">
        <v>-0.7</v>
      </c>
      <c r="Q3474" s="18" t="str">
        <f>IFERROR(__xludf.DUMMYFUNCTION("GOOGLETRANSLATE(R3474,""ES"",""EN"")"),"revocation")</f>
        <v>revocation</v>
      </c>
      <c r="R3474" s="34" t="s">
        <v>24360</v>
      </c>
      <c r="S3474" s="52" t="s">
        <v>24361</v>
      </c>
      <c r="T3474" s="22" t="s">
        <v>24362</v>
      </c>
    </row>
    <row r="3475">
      <c r="A3475" s="23" t="s">
        <v>24363</v>
      </c>
      <c r="B3475" s="77" t="s">
        <v>163</v>
      </c>
      <c r="C3475" s="41">
        <v>45564.0</v>
      </c>
      <c r="D3475" s="40" t="s">
        <v>24364</v>
      </c>
      <c r="E3475" s="41" t="s">
        <v>24365</v>
      </c>
      <c r="F3475" s="43" t="s">
        <v>24366</v>
      </c>
      <c r="G3475" s="43" t="s">
        <v>24367</v>
      </c>
      <c r="H3475" s="59" t="s">
        <v>55</v>
      </c>
      <c r="I3475" s="25" t="str">
        <f>IFERROR(__xludf.DUMMYFUNCTION("GOOGLETRANSLATE(H3475,""EN"",""ES"")"),"deportes de motor")</f>
        <v>deportes de motor</v>
      </c>
      <c r="J3475" s="26" t="s">
        <v>27</v>
      </c>
      <c r="K3475" s="17">
        <v>0.0</v>
      </c>
      <c r="L3475" s="54"/>
      <c r="M3475" s="31"/>
      <c r="N3475" s="83"/>
      <c r="O3475" s="83"/>
      <c r="P3475" s="20">
        <v>0.0</v>
      </c>
      <c r="Q3475" s="31"/>
      <c r="R3475" s="31"/>
      <c r="S3475" s="53"/>
      <c r="T3475" s="32"/>
    </row>
    <row r="3476">
      <c r="A3476" s="33" t="s">
        <v>24368</v>
      </c>
      <c r="B3476" s="76" t="s">
        <v>24369</v>
      </c>
      <c r="C3476" s="41">
        <v>45564.0</v>
      </c>
      <c r="D3476" s="40" t="s">
        <v>24370</v>
      </c>
      <c r="E3476" s="41" t="s">
        <v>24371</v>
      </c>
      <c r="F3476" s="43" t="s">
        <v>24372</v>
      </c>
      <c r="G3476" s="43" t="s">
        <v>24373</v>
      </c>
      <c r="H3476" s="61" t="s">
        <v>661</v>
      </c>
      <c r="I3476" s="15" t="str">
        <f>IFERROR(__xludf.DUMMYFUNCTION("GOOGLETRANSLATE(H3476,""EN"",""ES"")"),"Estrategia empresarial")</f>
        <v>Estrategia empresarial</v>
      </c>
      <c r="J3476" s="16" t="s">
        <v>35</v>
      </c>
      <c r="K3476" s="48">
        <v>0.4</v>
      </c>
      <c r="L3476" s="51" t="s">
        <v>24374</v>
      </c>
      <c r="M3476" s="34" t="s">
        <v>24375</v>
      </c>
      <c r="N3476" s="86" t="s">
        <v>24376</v>
      </c>
      <c r="O3476" s="86" t="str">
        <f>IFERROR(__xludf.DUMMYFUNCTION("GOOGLETRANSLATE(N3476,""EN"",""ES"")"),"Sentimiento ligeramente positivo, lo que indica cooperación entre empresas y gobierno.")</f>
        <v>Sentimiento ligeramente positivo, lo que indica cooperación entre empresas y gobierno.</v>
      </c>
      <c r="P3476" s="30">
        <v>0.0</v>
      </c>
      <c r="Q3476" s="18"/>
      <c r="R3476" s="18"/>
      <c r="S3476" s="52" t="s">
        <v>24377</v>
      </c>
      <c r="T3476" s="22" t="s">
        <v>24378</v>
      </c>
    </row>
    <row r="3477">
      <c r="A3477" s="23" t="s">
        <v>24379</v>
      </c>
      <c r="B3477" s="77" t="s">
        <v>14682</v>
      </c>
      <c r="C3477" s="41">
        <v>45564.0</v>
      </c>
      <c r="D3477" s="40" t="s">
        <v>24380</v>
      </c>
      <c r="E3477" s="41" t="s">
        <v>24381</v>
      </c>
      <c r="F3477" s="43" t="s">
        <v>24382</v>
      </c>
      <c r="G3477" s="43" t="s">
        <v>24383</v>
      </c>
      <c r="H3477" s="59" t="s">
        <v>55</v>
      </c>
      <c r="I3477" s="25" t="str">
        <f>IFERROR(__xludf.DUMMYFUNCTION("GOOGLETRANSLATE(H3477,""EN"",""ES"")"),"deportes de motor")</f>
        <v>deportes de motor</v>
      </c>
      <c r="J3477" s="26" t="s">
        <v>27</v>
      </c>
      <c r="K3477" s="17">
        <v>0.0</v>
      </c>
      <c r="L3477" s="54"/>
      <c r="M3477" s="31"/>
      <c r="N3477" s="83"/>
      <c r="O3477" s="83"/>
      <c r="P3477" s="20">
        <v>0.0</v>
      </c>
      <c r="Q3477" s="31"/>
      <c r="R3477" s="31"/>
      <c r="S3477" s="53"/>
      <c r="T3477" s="32"/>
    </row>
    <row r="3478">
      <c r="A3478" s="33" t="s">
        <v>24384</v>
      </c>
      <c r="B3478" s="76" t="s">
        <v>4393</v>
      </c>
      <c r="C3478" s="41">
        <v>45564.0</v>
      </c>
      <c r="D3478" s="40" t="s">
        <v>24385</v>
      </c>
      <c r="E3478" s="41" t="s">
        <v>24386</v>
      </c>
      <c r="F3478" s="43" t="s">
        <v>24387</v>
      </c>
      <c r="G3478" s="43" t="s">
        <v>24388</v>
      </c>
      <c r="H3478" s="61" t="s">
        <v>1975</v>
      </c>
      <c r="I3478" s="15" t="str">
        <f>IFERROR(__xludf.DUMMYFUNCTION("GOOGLETRANSLATE(H3478,""EN"",""ES"")"),"Política")</f>
        <v>Política</v>
      </c>
      <c r="J3478" s="16" t="s">
        <v>27</v>
      </c>
      <c r="K3478" s="17">
        <v>0.0</v>
      </c>
      <c r="L3478" s="45"/>
      <c r="M3478" s="18"/>
      <c r="N3478" s="86"/>
      <c r="O3478" s="86"/>
      <c r="P3478" s="20">
        <v>0.0</v>
      </c>
      <c r="Q3478" s="18"/>
      <c r="R3478" s="18"/>
      <c r="S3478" s="52"/>
      <c r="T3478" s="22"/>
    </row>
    <row r="3479">
      <c r="A3479" s="23" t="s">
        <v>24389</v>
      </c>
      <c r="B3479" s="77" t="s">
        <v>499</v>
      </c>
      <c r="C3479" s="41">
        <v>45564.0</v>
      </c>
      <c r="D3479" s="40" t="s">
        <v>24390</v>
      </c>
      <c r="E3479" s="41" t="s">
        <v>24391</v>
      </c>
      <c r="F3479" s="43" t="s">
        <v>24392</v>
      </c>
      <c r="G3479" s="43" t="s">
        <v>24393</v>
      </c>
      <c r="H3479" s="59" t="s">
        <v>23318</v>
      </c>
      <c r="I3479" s="25" t="str">
        <f>IFERROR(__xludf.DUMMYFUNCTION("GOOGLETRANSLATE(H3479,""EN"",""ES"")"),"Riesgos comerciales")</f>
        <v>Riesgos comerciales</v>
      </c>
      <c r="J3479" s="26" t="s">
        <v>35</v>
      </c>
      <c r="K3479" s="48">
        <v>-0.4</v>
      </c>
      <c r="L3479" s="49" t="s">
        <v>24394</v>
      </c>
      <c r="M3479" s="28" t="s">
        <v>24395</v>
      </c>
      <c r="N3479" s="83" t="s">
        <v>24396</v>
      </c>
      <c r="O3479" s="83" t="str">
        <f>IFERROR(__xludf.DUMMYFUNCTION("GOOGLETRANSLATE(N3479,""EN"",""ES"")"),"Sentimiento ligeramente negativo, que apunta a cambios geopolíticos en las asociaciones energéticas.")</f>
        <v>Sentimiento ligeramente negativo, que apunta a cambios geopolíticos en las asociaciones energéticas.</v>
      </c>
      <c r="P3479" s="30">
        <v>0.0</v>
      </c>
      <c r="Q3479" s="31"/>
      <c r="R3479" s="31"/>
      <c r="S3479" s="53" t="s">
        <v>24397</v>
      </c>
      <c r="T3479" s="32" t="s">
        <v>24398</v>
      </c>
    </row>
    <row r="3480">
      <c r="A3480" s="33" t="s">
        <v>24399</v>
      </c>
      <c r="B3480" s="76" t="s">
        <v>614</v>
      </c>
      <c r="C3480" s="41">
        <v>45564.0</v>
      </c>
      <c r="D3480" s="40" t="s">
        <v>24400</v>
      </c>
      <c r="E3480" s="41" t="s">
        <v>24401</v>
      </c>
      <c r="F3480" s="43" t="s">
        <v>24402</v>
      </c>
      <c r="G3480" s="43" t="s">
        <v>24403</v>
      </c>
      <c r="H3480" s="61" t="s">
        <v>5878</v>
      </c>
      <c r="I3480" s="15" t="str">
        <f>IFERROR(__xludf.DUMMYFUNCTION("GOOGLETRANSLATE(H3480,""EN"",""ES"")"),"Entretenimiento")</f>
        <v>Entretenimiento</v>
      </c>
      <c r="J3480" s="16" t="s">
        <v>27</v>
      </c>
      <c r="K3480" s="17">
        <v>0.0</v>
      </c>
      <c r="L3480" s="45"/>
      <c r="M3480" s="18"/>
      <c r="N3480" s="86"/>
      <c r="O3480" s="86"/>
      <c r="P3480" s="20">
        <v>0.0</v>
      </c>
      <c r="Q3480" s="18"/>
      <c r="R3480" s="18"/>
      <c r="S3480" s="52"/>
      <c r="T3480" s="22"/>
    </row>
    <row r="3481">
      <c r="A3481" s="23" t="s">
        <v>24404</v>
      </c>
      <c r="B3481" s="77" t="s">
        <v>50</v>
      </c>
      <c r="C3481" s="41">
        <v>45564.0</v>
      </c>
      <c r="D3481" s="40" t="s">
        <v>24405</v>
      </c>
      <c r="E3481" s="41" t="s">
        <v>24406</v>
      </c>
      <c r="F3481" s="24" t="s">
        <v>24407</v>
      </c>
      <c r="G3481" s="24" t="s">
        <v>24408</v>
      </c>
      <c r="H3481" s="87" t="s">
        <v>3985</v>
      </c>
      <c r="I3481" s="25" t="str">
        <f>IFERROR(__xludf.DUMMYFUNCTION("GOOGLETRANSLATE(H3481,""EN"",""ES"")"),"Deportes")</f>
        <v>Deportes</v>
      </c>
      <c r="J3481" s="26" t="s">
        <v>27</v>
      </c>
      <c r="K3481" s="17">
        <v>0.0</v>
      </c>
      <c r="L3481" s="25"/>
      <c r="M3481" s="31"/>
      <c r="N3481" s="83"/>
      <c r="O3481" s="83"/>
      <c r="P3481" s="20">
        <v>0.0</v>
      </c>
      <c r="Q3481" s="31"/>
      <c r="R3481" s="31"/>
      <c r="S3481" s="53"/>
      <c r="T3481" s="32"/>
    </row>
    <row r="3482">
      <c r="A3482" s="33" t="s">
        <v>24409</v>
      </c>
      <c r="B3482" s="76" t="s">
        <v>50</v>
      </c>
      <c r="C3482" s="41">
        <v>45564.0</v>
      </c>
      <c r="D3482" s="40" t="s">
        <v>24410</v>
      </c>
      <c r="E3482" s="41" t="s">
        <v>24411</v>
      </c>
      <c r="F3482" s="43" t="s">
        <v>24412</v>
      </c>
      <c r="G3482" s="43" t="s">
        <v>24413</v>
      </c>
      <c r="H3482" s="51" t="s">
        <v>55</v>
      </c>
      <c r="I3482" s="15" t="str">
        <f>IFERROR(__xludf.DUMMYFUNCTION("GOOGLETRANSLATE(H3482,""EN"",""ES"")"),"deportes de motor")</f>
        <v>deportes de motor</v>
      </c>
      <c r="J3482" s="16" t="s">
        <v>27</v>
      </c>
      <c r="K3482" s="17">
        <v>0.0</v>
      </c>
      <c r="L3482" s="51"/>
      <c r="M3482" s="18"/>
      <c r="N3482" s="51"/>
      <c r="O3482" s="65"/>
      <c r="P3482" s="20">
        <v>0.0</v>
      </c>
      <c r="Q3482" s="18"/>
      <c r="R3482" s="18"/>
      <c r="S3482" s="52"/>
      <c r="T3482" s="22"/>
    </row>
    <row r="3483">
      <c r="A3483" s="23" t="s">
        <v>24414</v>
      </c>
      <c r="B3483" s="77" t="s">
        <v>2696</v>
      </c>
      <c r="C3483" s="41">
        <v>45565.0</v>
      </c>
      <c r="D3483" s="40" t="s">
        <v>24415</v>
      </c>
      <c r="E3483" s="41" t="s">
        <v>24416</v>
      </c>
      <c r="F3483" s="24" t="s">
        <v>24417</v>
      </c>
      <c r="G3483" s="24" t="s">
        <v>24418</v>
      </c>
      <c r="H3483" s="25" t="s">
        <v>24419</v>
      </c>
      <c r="I3483" s="25" t="str">
        <f>IFERROR(__xludf.DUMMYFUNCTION("GOOGLETRANSLATE(H3483,""EN"",""ES"")"),"Negocios/Política")</f>
        <v>Negocios/Política</v>
      </c>
      <c r="J3483" s="26" t="s">
        <v>35</v>
      </c>
      <c r="K3483" s="78">
        <v>-0.7</v>
      </c>
      <c r="L3483" s="26" t="s">
        <v>24420</v>
      </c>
      <c r="M3483" s="28" t="s">
        <v>24421</v>
      </c>
      <c r="N3483" s="59" t="s">
        <v>24422</v>
      </c>
      <c r="O3483" s="47" t="str">
        <f>IFERROR(__xludf.DUMMYFUNCTION("GOOGLETRANSLATE(N3483,""EN"",""ES"")"),"Negativo, discutiendo las complejidades y desafíos del cobro de deudas de Repsol en Venezuela.")</f>
        <v>Negativo, discutiendo las complejidades y desafíos del cobro de deudas de Repsol en Venezuela.</v>
      </c>
      <c r="P3483" s="30">
        <v>-0.4</v>
      </c>
      <c r="Q3483" s="31" t="str">
        <f>IFERROR(__xludf.DUMMYFUNCTION("GOOGLETRANSLATE(R3483,""ES"",""EN"")"),"dilemma")</f>
        <v>dilemma</v>
      </c>
      <c r="R3483" s="28" t="s">
        <v>24423</v>
      </c>
      <c r="S3483" s="53" t="s">
        <v>24424</v>
      </c>
      <c r="T3483" s="32" t="s">
        <v>24425</v>
      </c>
    </row>
    <row r="3484">
      <c r="A3484" s="33" t="s">
        <v>24426</v>
      </c>
      <c r="B3484" s="76" t="s">
        <v>43</v>
      </c>
      <c r="C3484" s="41">
        <v>45565.0</v>
      </c>
      <c r="D3484" s="40" t="s">
        <v>24427</v>
      </c>
      <c r="E3484" s="41" t="s">
        <v>24428</v>
      </c>
      <c r="F3484" s="43" t="s">
        <v>24429</v>
      </c>
      <c r="G3484" s="43" t="s">
        <v>24430</v>
      </c>
      <c r="H3484" s="61" t="s">
        <v>48</v>
      </c>
      <c r="I3484" s="15" t="str">
        <f>IFERROR(__xludf.DUMMYFUNCTION("GOOGLETRANSLATE(H3484,""EN"",""ES"")"),"Finanzas")</f>
        <v>Finanzas</v>
      </c>
      <c r="J3484" s="16" t="s">
        <v>35</v>
      </c>
      <c r="K3484" s="78">
        <v>0.5</v>
      </c>
      <c r="L3484" s="51" t="s">
        <v>24431</v>
      </c>
      <c r="M3484" s="34" t="s">
        <v>24432</v>
      </c>
      <c r="N3484" s="34" t="s">
        <v>24433</v>
      </c>
      <c r="O3484" s="88" t="str">
        <f>IFERROR(__xludf.DUMMYFUNCTION("GOOGLETRANSLATE(N3484,""EN"",""ES"")"),"La fuerte demanda de bonos sugiere confianza de los inversores en Repsol.")</f>
        <v>La fuerte demanda de bonos sugiere confianza de los inversores en Repsol.</v>
      </c>
      <c r="P3484" s="30">
        <v>0.5</v>
      </c>
      <c r="Q3484" s="18" t="str">
        <f>IFERROR(__xludf.DUMMYFUNCTION("GOOGLETRANSLATE(R3484,""ES"",""EN"")"),"fury")</f>
        <v>fury</v>
      </c>
      <c r="R3484" s="34" t="s">
        <v>24434</v>
      </c>
      <c r="S3484" s="52" t="s">
        <v>24435</v>
      </c>
      <c r="T3484" s="22" t="s">
        <v>24436</v>
      </c>
    </row>
    <row r="3485">
      <c r="A3485" s="23" t="s">
        <v>24437</v>
      </c>
      <c r="B3485" s="77" t="s">
        <v>6642</v>
      </c>
      <c r="C3485" s="41">
        <v>45565.0</v>
      </c>
      <c r="D3485" s="40" t="s">
        <v>24438</v>
      </c>
      <c r="E3485" s="41" t="s">
        <v>24439</v>
      </c>
      <c r="F3485" s="43" t="s">
        <v>24440</v>
      </c>
      <c r="G3485" s="43" t="s">
        <v>24441</v>
      </c>
      <c r="H3485" s="59" t="s">
        <v>148</v>
      </c>
      <c r="I3485" s="25" t="str">
        <f>IFERROR(__xludf.DUMMYFUNCTION("GOOGLETRANSLATE(H3485,""EN"",""ES"")"),"Gastronomía")</f>
        <v>Gastronomía</v>
      </c>
      <c r="J3485" s="26" t="s">
        <v>27</v>
      </c>
      <c r="K3485" s="17">
        <v>0.0</v>
      </c>
      <c r="L3485" s="49"/>
      <c r="M3485" s="31"/>
      <c r="N3485" s="31"/>
      <c r="O3485" s="89"/>
      <c r="P3485" s="20">
        <v>0.0</v>
      </c>
      <c r="Q3485" s="31"/>
      <c r="R3485" s="31"/>
      <c r="S3485" s="53"/>
      <c r="T3485" s="32"/>
    </row>
    <row r="3486">
      <c r="A3486" s="33" t="s">
        <v>24442</v>
      </c>
      <c r="B3486" s="76" t="s">
        <v>163</v>
      </c>
      <c r="C3486" s="41">
        <v>45565.0</v>
      </c>
      <c r="D3486" s="40" t="s">
        <v>24443</v>
      </c>
      <c r="E3486" s="41" t="s">
        <v>24444</v>
      </c>
      <c r="F3486" s="43" t="s">
        <v>24445</v>
      </c>
      <c r="G3486" s="43" t="s">
        <v>24446</v>
      </c>
      <c r="H3486" s="51" t="s">
        <v>21272</v>
      </c>
      <c r="I3486" s="15" t="str">
        <f>IFERROR(__xludf.DUMMYFUNCTION("GOOGLETRANSLATE(H3486,""EN"",""ES"")"),"Herrada")</f>
        <v>Herrada</v>
      </c>
      <c r="J3486" s="16" t="s">
        <v>27</v>
      </c>
      <c r="K3486" s="17">
        <v>0.0</v>
      </c>
      <c r="L3486" s="45"/>
      <c r="M3486" s="18"/>
      <c r="N3486" s="18"/>
      <c r="O3486" s="88"/>
      <c r="P3486" s="20">
        <v>0.0</v>
      </c>
      <c r="Q3486" s="18"/>
      <c r="R3486" s="18"/>
      <c r="S3486" s="52"/>
      <c r="T3486" s="22"/>
    </row>
    <row r="3487">
      <c r="A3487" s="23" t="s">
        <v>24447</v>
      </c>
      <c r="B3487" s="77" t="s">
        <v>3216</v>
      </c>
      <c r="C3487" s="41">
        <v>45565.0</v>
      </c>
      <c r="D3487" s="40" t="s">
        <v>24448</v>
      </c>
      <c r="E3487" s="41" t="s">
        <v>24449</v>
      </c>
      <c r="F3487" s="43" t="s">
        <v>24450</v>
      </c>
      <c r="G3487" s="43" t="s">
        <v>24451</v>
      </c>
      <c r="H3487" s="51" t="s">
        <v>130</v>
      </c>
      <c r="I3487" s="25" t="str">
        <f>IFERROR(__xludf.DUMMYFUNCTION("GOOGLETRANSLATE(H3487,""EN"",""ES"")"),"Sostenibilidad")</f>
        <v>Sostenibilidad</v>
      </c>
      <c r="J3487" s="26" t="s">
        <v>35</v>
      </c>
      <c r="K3487" s="48">
        <v>-0.6</v>
      </c>
      <c r="L3487" s="49" t="s">
        <v>24452</v>
      </c>
      <c r="M3487" s="28" t="s">
        <v>24453</v>
      </c>
      <c r="N3487" s="28" t="s">
        <v>24454</v>
      </c>
      <c r="O3487" s="89" t="str">
        <f>IFERROR(__xludf.DUMMYFUNCTION("GOOGLETRANSLATE(N3487,""EN"",""ES"")"),"Las elevadas emisiones podrían afectar negativamente a la reputación ESG de Repsol.")</f>
        <v>Las elevadas emisiones podrían afectar negativamente a la reputación ESG de Repsol.</v>
      </c>
      <c r="P3487" s="30">
        <v>-0.6</v>
      </c>
      <c r="Q3487" s="31" t="str">
        <f>IFERROR(__xludf.DUMMYFUNCTION("GOOGLETRANSLATE(R3487,""ES"",""EN"")"),"they burn")</f>
        <v>they burn</v>
      </c>
      <c r="R3487" s="28" t="s">
        <v>24455</v>
      </c>
      <c r="S3487" s="53" t="s">
        <v>24456</v>
      </c>
      <c r="T3487" s="32" t="s">
        <v>24457</v>
      </c>
    </row>
    <row r="3488">
      <c r="A3488" s="33" t="s">
        <v>24458</v>
      </c>
      <c r="B3488" s="76" t="s">
        <v>1192</v>
      </c>
      <c r="C3488" s="41">
        <v>45565.0</v>
      </c>
      <c r="D3488" s="40" t="s">
        <v>24459</v>
      </c>
      <c r="E3488" s="41" t="s">
        <v>24460</v>
      </c>
      <c r="F3488" s="43" t="s">
        <v>24461</v>
      </c>
      <c r="G3488" s="43" t="s">
        <v>24462</v>
      </c>
      <c r="H3488" s="51" t="s">
        <v>130</v>
      </c>
      <c r="I3488" s="15" t="str">
        <f>IFERROR(__xludf.DUMMYFUNCTION("GOOGLETRANSLATE(H3488,""EN"",""ES"")"),"Sostenibilidad")</f>
        <v>Sostenibilidad</v>
      </c>
      <c r="J3488" s="16" t="s">
        <v>35</v>
      </c>
      <c r="K3488" s="48">
        <v>0.7</v>
      </c>
      <c r="L3488" s="51" t="s">
        <v>24463</v>
      </c>
      <c r="M3488" s="34" t="s">
        <v>24464</v>
      </c>
      <c r="N3488" s="34" t="s">
        <v>24465</v>
      </c>
      <c r="O3488" s="88" t="str">
        <f>IFERROR(__xludf.DUMMYFUNCTION("GOOGLETRANSLATE(N3488,""EN"",""ES"")"),"Positivo debido a incentivos ambientales y financieros.")</f>
        <v>Positivo debido a incentivos ambientales y financieros.</v>
      </c>
      <c r="P3488" s="30">
        <v>0.5</v>
      </c>
      <c r="Q3488" s="18" t="str">
        <f>IFERROR(__xludf.DUMMYFUNCTION("GOOGLETRANSLATE(R3488,""ES"",""EN"")"),"will pay")</f>
        <v>will pay</v>
      </c>
      <c r="R3488" s="34" t="s">
        <v>24466</v>
      </c>
      <c r="S3488" s="52" t="s">
        <v>24467</v>
      </c>
      <c r="T3488" s="22" t="s">
        <v>24468</v>
      </c>
    </row>
    <row r="3489">
      <c r="A3489" s="23" t="s">
        <v>24469</v>
      </c>
      <c r="B3489" s="77" t="s">
        <v>24470</v>
      </c>
      <c r="C3489" s="41">
        <v>45565.0</v>
      </c>
      <c r="D3489" s="40" t="s">
        <v>24471</v>
      </c>
      <c r="E3489" s="41" t="s">
        <v>24472</v>
      </c>
      <c r="F3489" s="43" t="s">
        <v>24473</v>
      </c>
      <c r="G3489" s="43" t="s">
        <v>24474</v>
      </c>
      <c r="H3489" s="51" t="s">
        <v>21272</v>
      </c>
      <c r="I3489" s="25" t="str">
        <f>IFERROR(__xludf.DUMMYFUNCTION("GOOGLETRANSLATE(H3489,""EN"",""ES"")"),"Herrada")</f>
        <v>Herrada</v>
      </c>
      <c r="J3489" s="26" t="s">
        <v>27</v>
      </c>
      <c r="K3489" s="17">
        <v>0.0</v>
      </c>
      <c r="L3489" s="54"/>
      <c r="M3489" s="31"/>
      <c r="N3489" s="31"/>
      <c r="O3489" s="89"/>
      <c r="P3489" s="20">
        <v>0.0</v>
      </c>
      <c r="Q3489" s="31"/>
      <c r="R3489" s="31"/>
      <c r="S3489" s="53"/>
      <c r="T3489" s="32"/>
    </row>
    <row r="3490">
      <c r="A3490" s="33" t="s">
        <v>24475</v>
      </c>
      <c r="B3490" s="76" t="s">
        <v>91</v>
      </c>
      <c r="C3490" s="41">
        <v>45565.0</v>
      </c>
      <c r="D3490" s="40" t="s">
        <v>24476</v>
      </c>
      <c r="E3490" s="41" t="s">
        <v>24477</v>
      </c>
      <c r="F3490" s="43" t="s">
        <v>24478</v>
      </c>
      <c r="G3490" s="43" t="s">
        <v>24479</v>
      </c>
      <c r="H3490" s="51" t="s">
        <v>21272</v>
      </c>
      <c r="I3490" s="15" t="str">
        <f>IFERROR(__xludf.DUMMYFUNCTION("GOOGLETRANSLATE(H3490,""EN"",""ES"")"),"Herrada")</f>
        <v>Herrada</v>
      </c>
      <c r="J3490" s="16" t="s">
        <v>27</v>
      </c>
      <c r="K3490" s="17">
        <v>0.0</v>
      </c>
      <c r="L3490" s="45"/>
      <c r="M3490" s="18"/>
      <c r="N3490" s="18"/>
      <c r="O3490" s="88"/>
      <c r="P3490" s="20">
        <v>0.0</v>
      </c>
      <c r="Q3490" s="18"/>
      <c r="R3490" s="18"/>
      <c r="S3490" s="52"/>
      <c r="T3490" s="22"/>
    </row>
    <row r="3491">
      <c r="A3491" s="23" t="s">
        <v>24480</v>
      </c>
      <c r="B3491" s="77" t="s">
        <v>21</v>
      </c>
      <c r="C3491" s="41">
        <v>45565.0</v>
      </c>
      <c r="D3491" s="40" t="s">
        <v>24481</v>
      </c>
      <c r="E3491" s="41" t="s">
        <v>24482</v>
      </c>
      <c r="F3491" s="43" t="s">
        <v>24483</v>
      </c>
      <c r="G3491" s="43" t="s">
        <v>24484</v>
      </c>
      <c r="H3491" s="51" t="s">
        <v>26</v>
      </c>
      <c r="I3491" s="25" t="str">
        <f>IFERROR(__xludf.DUMMYFUNCTION("GOOGLETRANSLATE(H3491,""EN"",""ES"")"),"Otro")</f>
        <v>Otro</v>
      </c>
      <c r="J3491" s="26" t="s">
        <v>27</v>
      </c>
      <c r="K3491" s="17">
        <v>0.0</v>
      </c>
      <c r="L3491" s="54"/>
      <c r="M3491" s="31"/>
      <c r="N3491" s="31"/>
      <c r="O3491" s="89"/>
      <c r="P3491" s="20">
        <v>0.0</v>
      </c>
      <c r="Q3491" s="31"/>
      <c r="R3491" s="31"/>
      <c r="S3491" s="53"/>
      <c r="T3491" s="32"/>
    </row>
    <row r="3492">
      <c r="A3492" s="33" t="s">
        <v>24485</v>
      </c>
      <c r="B3492" s="76" t="s">
        <v>260</v>
      </c>
      <c r="C3492" s="41">
        <v>45565.0</v>
      </c>
      <c r="D3492" s="40" t="s">
        <v>24486</v>
      </c>
      <c r="E3492" s="41" t="s">
        <v>24487</v>
      </c>
      <c r="F3492" s="43" t="s">
        <v>24488</v>
      </c>
      <c r="G3492" s="43" t="s">
        <v>24489</v>
      </c>
      <c r="H3492" s="51" t="s">
        <v>5747</v>
      </c>
      <c r="I3492" s="15" t="str">
        <f>IFERROR(__xludf.DUMMYFUNCTION("GOOGLETRANSLATE(H3492,""EN"",""ES"")"),"Mercado energético")</f>
        <v>Mercado energético</v>
      </c>
      <c r="J3492" s="16" t="s">
        <v>35</v>
      </c>
      <c r="K3492" s="48">
        <v>-0.3</v>
      </c>
      <c r="L3492" s="51" t="s">
        <v>24490</v>
      </c>
      <c r="M3492" s="34" t="s">
        <v>24491</v>
      </c>
      <c r="N3492" s="34" t="s">
        <v>24492</v>
      </c>
      <c r="O3492" s="88" t="str">
        <f>IFERROR(__xludf.DUMMYFUNCTION("GOOGLETRANSLATE(N3492,""EN"",""ES"")"),"Impacto negativo en las ventas de combustibles de Repsol.")</f>
        <v>Impacto negativo en las ventas de combustibles de Repsol.</v>
      </c>
      <c r="P3492" s="30">
        <v>-0.5</v>
      </c>
      <c r="Q3492" s="18" t="str">
        <f>IFERROR(__xludf.DUMMYFUNCTION("GOOGLETRANSLATE(R3492,""ES"",""EN"")"),"burst")</f>
        <v>burst</v>
      </c>
      <c r="R3492" s="34" t="s">
        <v>24493</v>
      </c>
      <c r="S3492" s="52" t="s">
        <v>18318</v>
      </c>
      <c r="T3492" s="22" t="s">
        <v>18319</v>
      </c>
    </row>
    <row r="3493">
      <c r="A3493" s="23" t="s">
        <v>24494</v>
      </c>
      <c r="B3493" s="77" t="s">
        <v>977</v>
      </c>
      <c r="C3493" s="41">
        <v>45565.0</v>
      </c>
      <c r="D3493" s="40" t="s">
        <v>24495</v>
      </c>
      <c r="E3493" s="41" t="s">
        <v>24496</v>
      </c>
      <c r="F3493" s="43" t="s">
        <v>24497</v>
      </c>
      <c r="G3493" s="43" t="s">
        <v>24498</v>
      </c>
      <c r="H3493" s="51" t="s">
        <v>21272</v>
      </c>
      <c r="I3493" s="25" t="str">
        <f>IFERROR(__xludf.DUMMYFUNCTION("GOOGLETRANSLATE(H3493,""EN"",""ES"")"),"Herrada")</f>
        <v>Herrada</v>
      </c>
      <c r="J3493" s="26" t="s">
        <v>27</v>
      </c>
      <c r="K3493" s="17">
        <v>0.0</v>
      </c>
      <c r="L3493" s="54"/>
      <c r="M3493" s="31"/>
      <c r="N3493" s="31"/>
      <c r="O3493" s="89"/>
      <c r="P3493" s="20">
        <v>0.0</v>
      </c>
      <c r="Q3493" s="31"/>
      <c r="R3493" s="31"/>
      <c r="S3493" s="53"/>
      <c r="T3493" s="32"/>
    </row>
    <row r="3494">
      <c r="A3494" s="33" t="s">
        <v>24499</v>
      </c>
      <c r="B3494" s="76" t="s">
        <v>1916</v>
      </c>
      <c r="C3494" s="41">
        <v>45565.0</v>
      </c>
      <c r="D3494" s="40" t="s">
        <v>24500</v>
      </c>
      <c r="E3494" s="41" t="s">
        <v>24501</v>
      </c>
      <c r="F3494" s="43" t="s">
        <v>24502</v>
      </c>
      <c r="G3494" s="43" t="s">
        <v>24503</v>
      </c>
      <c r="H3494" s="51" t="s">
        <v>130</v>
      </c>
      <c r="I3494" s="15" t="str">
        <f>IFERROR(__xludf.DUMMYFUNCTION("GOOGLETRANSLATE(H3494,""EN"",""ES"")"),"Sostenibilidad")</f>
        <v>Sostenibilidad</v>
      </c>
      <c r="J3494" s="16" t="s">
        <v>35</v>
      </c>
      <c r="K3494" s="48">
        <v>0.7</v>
      </c>
      <c r="L3494" s="51" t="s">
        <v>24504</v>
      </c>
      <c r="M3494" s="34" t="s">
        <v>24505</v>
      </c>
      <c r="N3494" s="34" t="s">
        <v>24506</v>
      </c>
      <c r="O3494" s="88" t="str">
        <f>IFERROR(__xludf.DUMMYFUNCTION("GOOGLETRANSLATE(N3494,""EN"",""ES"")"),"Positivo por responsabilidad social corporativa.")</f>
        <v>Positivo por responsabilidad social corporativa.</v>
      </c>
      <c r="P3494" s="30">
        <v>0.6</v>
      </c>
      <c r="Q3494" s="18" t="str">
        <f>IFERROR(__xludf.DUMMYFUNCTION("GOOGLETRANSLATE(R3494,""ES"",""EN"")"),"they throw")</f>
        <v>they throw</v>
      </c>
      <c r="R3494" s="34" t="s">
        <v>24507</v>
      </c>
      <c r="S3494" s="52" t="s">
        <v>24508</v>
      </c>
      <c r="T3494" s="22" t="s">
        <v>24509</v>
      </c>
    </row>
    <row r="3495">
      <c r="A3495" s="23" t="s">
        <v>24510</v>
      </c>
      <c r="B3495" s="77" t="s">
        <v>23299</v>
      </c>
      <c r="C3495" s="41">
        <v>45565.0</v>
      </c>
      <c r="D3495" s="40" t="s">
        <v>24511</v>
      </c>
      <c r="E3495" s="41" t="s">
        <v>24512</v>
      </c>
      <c r="F3495" s="43" t="s">
        <v>24513</v>
      </c>
      <c r="G3495" s="43" t="s">
        <v>24514</v>
      </c>
      <c r="H3495" s="51" t="s">
        <v>21272</v>
      </c>
      <c r="I3495" s="25" t="str">
        <f>IFERROR(__xludf.DUMMYFUNCTION("GOOGLETRANSLATE(H3495,""EN"",""ES"")"),"Herrada")</f>
        <v>Herrada</v>
      </c>
      <c r="J3495" s="26" t="s">
        <v>27</v>
      </c>
      <c r="K3495" s="17">
        <v>0.0</v>
      </c>
      <c r="L3495" s="54"/>
      <c r="M3495" s="31"/>
      <c r="N3495" s="31"/>
      <c r="O3495" s="89"/>
      <c r="P3495" s="20">
        <v>0.0</v>
      </c>
      <c r="Q3495" s="31"/>
      <c r="R3495" s="31"/>
      <c r="S3495" s="53"/>
      <c r="T3495" s="32"/>
    </row>
    <row r="3496">
      <c r="A3496" s="33" t="s">
        <v>24515</v>
      </c>
      <c r="B3496" s="76" t="s">
        <v>163</v>
      </c>
      <c r="C3496" s="41">
        <v>45565.0</v>
      </c>
      <c r="D3496" s="40" t="s">
        <v>24516</v>
      </c>
      <c r="E3496" s="41" t="s">
        <v>24517</v>
      </c>
      <c r="F3496" s="43" t="s">
        <v>24518</v>
      </c>
      <c r="G3496" s="43" t="s">
        <v>24519</v>
      </c>
      <c r="H3496" s="51" t="s">
        <v>55</v>
      </c>
      <c r="I3496" s="15" t="str">
        <f>IFERROR(__xludf.DUMMYFUNCTION("GOOGLETRANSLATE(H3496,""EN"",""ES"")"),"deportes de motor")</f>
        <v>deportes de motor</v>
      </c>
      <c r="J3496" s="16" t="s">
        <v>27</v>
      </c>
      <c r="K3496" s="17">
        <v>0.0</v>
      </c>
      <c r="L3496" s="45"/>
      <c r="M3496" s="18"/>
      <c r="N3496" s="18"/>
      <c r="O3496" s="88"/>
      <c r="P3496" s="20">
        <v>0.0</v>
      </c>
      <c r="Q3496" s="18"/>
      <c r="R3496" s="18"/>
      <c r="S3496" s="52"/>
      <c r="T3496" s="22"/>
    </row>
    <row r="3497">
      <c r="A3497" s="23" t="s">
        <v>24520</v>
      </c>
      <c r="B3497" s="77" t="s">
        <v>8072</v>
      </c>
      <c r="C3497" s="41">
        <v>45565.0</v>
      </c>
      <c r="D3497" s="40" t="s">
        <v>24521</v>
      </c>
      <c r="E3497" s="41" t="s">
        <v>24522</v>
      </c>
      <c r="F3497" s="43" t="s">
        <v>24523</v>
      </c>
      <c r="G3497" s="43" t="s">
        <v>24524</v>
      </c>
      <c r="H3497" s="51" t="s">
        <v>21272</v>
      </c>
      <c r="I3497" s="25" t="str">
        <f>IFERROR(__xludf.DUMMYFUNCTION("GOOGLETRANSLATE(H3497,""EN"",""ES"")"),"Herrada")</f>
        <v>Herrada</v>
      </c>
      <c r="J3497" s="26" t="s">
        <v>27</v>
      </c>
      <c r="K3497" s="17">
        <v>0.0</v>
      </c>
      <c r="L3497" s="54"/>
      <c r="M3497" s="31"/>
      <c r="N3497" s="31"/>
      <c r="O3497" s="89"/>
      <c r="P3497" s="20">
        <v>0.0</v>
      </c>
      <c r="Q3497" s="31"/>
      <c r="R3497" s="31"/>
      <c r="S3497" s="53"/>
      <c r="T3497" s="32"/>
    </row>
    <row r="3498">
      <c r="A3498" s="33" t="s">
        <v>24525</v>
      </c>
      <c r="B3498" s="76" t="s">
        <v>24526</v>
      </c>
      <c r="C3498" s="41">
        <v>45565.0</v>
      </c>
      <c r="D3498" s="40" t="s">
        <v>24527</v>
      </c>
      <c r="E3498" s="41" t="s">
        <v>24528</v>
      </c>
      <c r="F3498" s="43" t="s">
        <v>24529</v>
      </c>
      <c r="G3498" s="43" t="s">
        <v>24530</v>
      </c>
      <c r="H3498" s="51" t="s">
        <v>21272</v>
      </c>
      <c r="I3498" s="15" t="str">
        <f>IFERROR(__xludf.DUMMYFUNCTION("GOOGLETRANSLATE(H3498,""EN"",""ES"")"),"Herrada")</f>
        <v>Herrada</v>
      </c>
      <c r="J3498" s="16" t="s">
        <v>27</v>
      </c>
      <c r="K3498" s="17">
        <v>0.0</v>
      </c>
      <c r="L3498" s="45"/>
      <c r="M3498" s="18"/>
      <c r="N3498" s="18"/>
      <c r="O3498" s="88"/>
      <c r="P3498" s="20">
        <v>0.0</v>
      </c>
      <c r="Q3498" s="18"/>
      <c r="R3498" s="18"/>
      <c r="S3498" s="52"/>
      <c r="T3498" s="22"/>
    </row>
    <row r="3499">
      <c r="A3499" s="23" t="s">
        <v>24531</v>
      </c>
      <c r="B3499" s="77" t="s">
        <v>163</v>
      </c>
      <c r="C3499" s="41">
        <v>45566.0</v>
      </c>
      <c r="D3499" s="40" t="s">
        <v>24532</v>
      </c>
      <c r="E3499" s="41" t="s">
        <v>24533</v>
      </c>
      <c r="F3499" s="43" t="s">
        <v>24534</v>
      </c>
      <c r="G3499" s="43" t="s">
        <v>24535</v>
      </c>
      <c r="H3499" s="51" t="s">
        <v>661</v>
      </c>
      <c r="I3499" s="25" t="str">
        <f>IFERROR(__xludf.DUMMYFUNCTION("GOOGLETRANSLATE(H3499,""EN"",""ES"")"),"Estrategia empresarial")</f>
        <v>Estrategia empresarial</v>
      </c>
      <c r="J3499" s="26" t="s">
        <v>35</v>
      </c>
      <c r="K3499" s="48">
        <v>0.3</v>
      </c>
      <c r="L3499" s="49" t="s">
        <v>24536</v>
      </c>
      <c r="M3499" s="28" t="s">
        <v>24537</v>
      </c>
      <c r="N3499" s="28" t="s">
        <v>24538</v>
      </c>
      <c r="O3499" s="89" t="str">
        <f>IFERROR(__xludf.DUMMYFUNCTION("GOOGLETRANSLATE(N3499,""EN"",""ES"")"),"Reestructuración corporativa neutral.")</f>
        <v>Reestructuración corporativa neutral.</v>
      </c>
      <c r="P3499" s="30">
        <v>0.0</v>
      </c>
      <c r="Q3499" s="31"/>
      <c r="R3499" s="31"/>
      <c r="S3499" s="53" t="s">
        <v>24539</v>
      </c>
      <c r="T3499" s="32" t="s">
        <v>24540</v>
      </c>
    </row>
    <row r="3500">
      <c r="A3500" s="33" t="s">
        <v>24541</v>
      </c>
      <c r="B3500" s="76" t="s">
        <v>1072</v>
      </c>
      <c r="C3500" s="41">
        <v>45566.0</v>
      </c>
      <c r="D3500" s="40" t="s">
        <v>24542</v>
      </c>
      <c r="E3500" s="41" t="s">
        <v>24543</v>
      </c>
      <c r="F3500" s="43" t="s">
        <v>24544</v>
      </c>
      <c r="G3500" s="43" t="s">
        <v>24545</v>
      </c>
      <c r="H3500" s="51" t="s">
        <v>661</v>
      </c>
      <c r="I3500" s="15" t="str">
        <f>IFERROR(__xludf.DUMMYFUNCTION("GOOGLETRANSLATE(H3500,""EN"",""ES"")"),"Estrategia empresarial")</f>
        <v>Estrategia empresarial</v>
      </c>
      <c r="J3500" s="16" t="s">
        <v>35</v>
      </c>
      <c r="K3500" s="48">
        <v>0.5</v>
      </c>
      <c r="L3500" s="51" t="s">
        <v>24546</v>
      </c>
      <c r="M3500" s="34" t="s">
        <v>24547</v>
      </c>
      <c r="N3500" s="34" t="s">
        <v>24548</v>
      </c>
      <c r="O3500" s="88" t="str">
        <f>IFERROR(__xludf.DUMMYFUNCTION("GOOGLETRANSLATE(N3500,""EN"",""ES"")"),"Positivo debido a la posible expansión de la asociación.")</f>
        <v>Positivo debido a la posible expansión de la asociación.</v>
      </c>
      <c r="P3500" s="30">
        <v>0.5</v>
      </c>
      <c r="Q3500" s="18" t="str">
        <f>IFERROR(__xludf.DUMMYFUNCTION("GOOGLETRANSLATE(R3500,""ES"",""EN"")"),"ally, ""great project""")</f>
        <v>ally, "great project"</v>
      </c>
      <c r="R3500" s="34" t="s">
        <v>24549</v>
      </c>
      <c r="S3500" s="52" t="s">
        <v>24550</v>
      </c>
      <c r="T3500" s="22" t="s">
        <v>24550</v>
      </c>
    </row>
    <row r="3501">
      <c r="A3501" s="23" t="s">
        <v>24551</v>
      </c>
      <c r="B3501" s="77" t="s">
        <v>881</v>
      </c>
      <c r="C3501" s="41">
        <v>45566.0</v>
      </c>
      <c r="D3501" s="40" t="s">
        <v>24552</v>
      </c>
      <c r="E3501" s="41" t="s">
        <v>24553</v>
      </c>
      <c r="F3501" s="43" t="s">
        <v>24554</v>
      </c>
      <c r="G3501" s="43" t="s">
        <v>24555</v>
      </c>
      <c r="H3501" s="51" t="s">
        <v>661</v>
      </c>
      <c r="I3501" s="25" t="str">
        <f>IFERROR(__xludf.DUMMYFUNCTION("GOOGLETRANSLATE(H3501,""EN"",""ES"")"),"Estrategia empresarial")</f>
        <v>Estrategia empresarial</v>
      </c>
      <c r="J3501" s="26" t="s">
        <v>35</v>
      </c>
      <c r="K3501" s="48">
        <v>0.5</v>
      </c>
      <c r="L3501" s="49" t="s">
        <v>24556</v>
      </c>
      <c r="M3501" s="28" t="s">
        <v>24557</v>
      </c>
      <c r="N3501" s="28" t="s">
        <v>10578</v>
      </c>
      <c r="O3501" s="89" t="str">
        <f>IFERROR(__xludf.DUMMYFUNCTION("GOOGLETRANSLATE(N3501,""EN"",""ES"")"),"Movimiento estratégico positivo.")</f>
        <v>Movimiento estratégico positivo.</v>
      </c>
      <c r="P3501" s="30">
        <v>0.6</v>
      </c>
      <c r="Q3501" s="31" t="str">
        <f>IFERROR(__xludf.DUMMYFUNCTION("GOOGLETRANSLATE(R3501,""ES"",""EN"")"),"partner, ""big plant""")</f>
        <v>partner, "big plant"</v>
      </c>
      <c r="R3501" s="28" t="s">
        <v>24558</v>
      </c>
      <c r="S3501" s="53" t="s">
        <v>24559</v>
      </c>
      <c r="T3501" s="32" t="s">
        <v>24560</v>
      </c>
    </row>
    <row r="3502">
      <c r="A3502" s="33" t="s">
        <v>24561</v>
      </c>
      <c r="B3502" s="76" t="s">
        <v>4283</v>
      </c>
      <c r="C3502" s="41">
        <v>45566.0</v>
      </c>
      <c r="D3502" s="40" t="s">
        <v>24562</v>
      </c>
      <c r="E3502" s="41" t="s">
        <v>24563</v>
      </c>
      <c r="F3502" s="43" t="s">
        <v>24564</v>
      </c>
      <c r="G3502" s="43" t="s">
        <v>24565</v>
      </c>
      <c r="H3502" s="51" t="s">
        <v>21272</v>
      </c>
      <c r="I3502" s="15" t="str">
        <f>IFERROR(__xludf.DUMMYFUNCTION("GOOGLETRANSLATE(H3502,""EN"",""ES"")"),"Herrada")</f>
        <v>Herrada</v>
      </c>
      <c r="J3502" s="16" t="s">
        <v>27</v>
      </c>
      <c r="K3502" s="17">
        <v>0.0</v>
      </c>
      <c r="L3502" s="45"/>
      <c r="M3502" s="18"/>
      <c r="N3502" s="18"/>
      <c r="O3502" s="88"/>
      <c r="P3502" s="20">
        <v>0.0</v>
      </c>
      <c r="Q3502" s="18"/>
      <c r="R3502" s="18"/>
      <c r="S3502" s="52"/>
      <c r="T3502" s="22"/>
    </row>
    <row r="3503">
      <c r="A3503" s="23" t="s">
        <v>24566</v>
      </c>
      <c r="B3503" s="77" t="s">
        <v>614</v>
      </c>
      <c r="C3503" s="41">
        <v>45566.0</v>
      </c>
      <c r="D3503" s="40" t="s">
        <v>24567</v>
      </c>
      <c r="E3503" s="41" t="s">
        <v>24568</v>
      </c>
      <c r="F3503" s="43" t="s">
        <v>24569</v>
      </c>
      <c r="G3503" s="43" t="s">
        <v>24570</v>
      </c>
      <c r="H3503" s="51" t="s">
        <v>21272</v>
      </c>
      <c r="I3503" s="25" t="str">
        <f>IFERROR(__xludf.DUMMYFUNCTION("GOOGLETRANSLATE(H3503,""EN"",""ES"")"),"Herrada")</f>
        <v>Herrada</v>
      </c>
      <c r="J3503" s="26" t="s">
        <v>27</v>
      </c>
      <c r="K3503" s="17">
        <v>0.0</v>
      </c>
      <c r="L3503" s="54"/>
      <c r="M3503" s="31"/>
      <c r="N3503" s="31"/>
      <c r="O3503" s="89"/>
      <c r="P3503" s="20">
        <v>0.0</v>
      </c>
      <c r="Q3503" s="31"/>
      <c r="R3503" s="31"/>
      <c r="S3503" s="53"/>
      <c r="T3503" s="32"/>
    </row>
    <row r="3504">
      <c r="A3504" s="33" t="s">
        <v>24571</v>
      </c>
      <c r="B3504" s="76" t="s">
        <v>1602</v>
      </c>
      <c r="C3504" s="41">
        <v>45566.0</v>
      </c>
      <c r="D3504" s="40" t="s">
        <v>24572</v>
      </c>
      <c r="E3504" s="41" t="s">
        <v>24573</v>
      </c>
      <c r="F3504" s="43" t="s">
        <v>24574</v>
      </c>
      <c r="G3504" s="43" t="s">
        <v>24575</v>
      </c>
      <c r="H3504" s="51" t="s">
        <v>48</v>
      </c>
      <c r="I3504" s="15" t="str">
        <f>IFERROR(__xludf.DUMMYFUNCTION("GOOGLETRANSLATE(H3504,""EN"",""ES"")"),"Finanzas")</f>
        <v>Finanzas</v>
      </c>
      <c r="J3504" s="16" t="s">
        <v>35</v>
      </c>
      <c r="K3504" s="48">
        <v>0.0</v>
      </c>
      <c r="L3504" s="45"/>
      <c r="M3504" s="18"/>
      <c r="N3504" s="34" t="s">
        <v>24576</v>
      </c>
      <c r="O3504" s="88" t="str">
        <f>IFERROR(__xludf.DUMMYFUNCTION("GOOGLETRANSLATE(N3504,""EN"",""ES"")"),"Análisis financiero neutral.")</f>
        <v>Análisis financiero neutral.</v>
      </c>
      <c r="P3504" s="30">
        <v>0.0</v>
      </c>
      <c r="Q3504" s="18"/>
      <c r="R3504" s="18"/>
      <c r="S3504" s="52" t="s">
        <v>24577</v>
      </c>
      <c r="T3504" s="22" t="s">
        <v>24577</v>
      </c>
    </row>
    <row r="3505">
      <c r="A3505" s="23" t="s">
        <v>24578</v>
      </c>
      <c r="B3505" s="77" t="s">
        <v>23299</v>
      </c>
      <c r="C3505" s="41">
        <v>45566.0</v>
      </c>
      <c r="D3505" s="40" t="s">
        <v>24579</v>
      </c>
      <c r="E3505" s="41" t="s">
        <v>24580</v>
      </c>
      <c r="F3505" s="43" t="s">
        <v>24581</v>
      </c>
      <c r="G3505" s="43" t="s">
        <v>24582</v>
      </c>
      <c r="H3505" s="51" t="s">
        <v>21272</v>
      </c>
      <c r="I3505" s="25" t="str">
        <f>IFERROR(__xludf.DUMMYFUNCTION("GOOGLETRANSLATE(H3505,""EN"",""ES"")"),"Herrada")</f>
        <v>Herrada</v>
      </c>
      <c r="J3505" s="26" t="s">
        <v>27</v>
      </c>
      <c r="K3505" s="17">
        <v>0.0</v>
      </c>
      <c r="L3505" s="54"/>
      <c r="M3505" s="31"/>
      <c r="N3505" s="31"/>
      <c r="O3505" s="89"/>
      <c r="P3505" s="20">
        <v>0.0</v>
      </c>
      <c r="Q3505" s="31"/>
      <c r="R3505" s="31"/>
      <c r="S3505" s="53"/>
      <c r="T3505" s="32"/>
    </row>
    <row r="3506">
      <c r="A3506" s="33" t="s">
        <v>24583</v>
      </c>
      <c r="B3506" s="76" t="s">
        <v>229</v>
      </c>
      <c r="C3506" s="41">
        <v>45566.0</v>
      </c>
      <c r="D3506" s="40" t="s">
        <v>24584</v>
      </c>
      <c r="E3506" s="41" t="s">
        <v>24585</v>
      </c>
      <c r="F3506" s="43" t="s">
        <v>24586</v>
      </c>
      <c r="G3506" s="43" t="s">
        <v>24587</v>
      </c>
      <c r="H3506" s="51" t="s">
        <v>5747</v>
      </c>
      <c r="I3506" s="15" t="str">
        <f>IFERROR(__xludf.DUMMYFUNCTION("GOOGLETRANSLATE(H3506,""EN"",""ES"")"),"Mercado energético")</f>
        <v>Mercado energético</v>
      </c>
      <c r="J3506" s="16" t="s">
        <v>35</v>
      </c>
      <c r="K3506" s="48">
        <v>0.4</v>
      </c>
      <c r="L3506" s="51" t="s">
        <v>24588</v>
      </c>
      <c r="M3506" s="34" t="s">
        <v>24589</v>
      </c>
      <c r="N3506" s="34" t="s">
        <v>24590</v>
      </c>
      <c r="O3506" s="88" t="str">
        <f>IFERROR(__xludf.DUMMYFUNCTION("GOOGLETRANSLATE(N3506,""EN"",""ES"")"),"Positivo al no estar implicada Repsol.")</f>
        <v>Positivo al no estar implicada Repsol.</v>
      </c>
      <c r="P3506" s="30">
        <v>0.7</v>
      </c>
      <c r="Q3506" s="18" t="str">
        <f>IFERROR(__xludf.DUMMYFUNCTION("GOOGLETRANSLATE(R3506,""ES"",""EN"")"),"free from fraud")</f>
        <v>free from fraud</v>
      </c>
      <c r="R3506" s="34" t="s">
        <v>24591</v>
      </c>
      <c r="S3506" s="52" t="s">
        <v>24592</v>
      </c>
      <c r="T3506" s="22" t="s">
        <v>24592</v>
      </c>
    </row>
    <row r="3507">
      <c r="A3507" s="23" t="s">
        <v>24593</v>
      </c>
      <c r="B3507" s="77" t="s">
        <v>103</v>
      </c>
      <c r="C3507" s="41">
        <v>45566.0</v>
      </c>
      <c r="D3507" s="40" t="s">
        <v>24594</v>
      </c>
      <c r="E3507" s="41" t="s">
        <v>24595</v>
      </c>
      <c r="F3507" s="43" t="s">
        <v>24596</v>
      </c>
      <c r="G3507" s="43" t="s">
        <v>24597</v>
      </c>
      <c r="H3507" s="51" t="s">
        <v>661</v>
      </c>
      <c r="I3507" s="25" t="str">
        <f>IFERROR(__xludf.DUMMYFUNCTION("GOOGLETRANSLATE(H3507,""EN"",""ES"")"),"Estrategia empresarial")</f>
        <v>Estrategia empresarial</v>
      </c>
      <c r="J3507" s="26" t="s">
        <v>27</v>
      </c>
      <c r="K3507" s="17">
        <v>0.0</v>
      </c>
      <c r="L3507" s="54"/>
      <c r="M3507" s="31"/>
      <c r="N3507" s="31"/>
      <c r="O3507" s="89"/>
      <c r="P3507" s="20">
        <v>0.0</v>
      </c>
      <c r="Q3507" s="31"/>
      <c r="R3507" s="31"/>
      <c r="S3507" s="53"/>
      <c r="T3507" s="32"/>
    </row>
    <row r="3508">
      <c r="A3508" s="33" t="s">
        <v>24598</v>
      </c>
      <c r="B3508" s="76" t="s">
        <v>24599</v>
      </c>
      <c r="C3508" s="41">
        <v>45566.0</v>
      </c>
      <c r="D3508" s="40" t="s">
        <v>24600</v>
      </c>
      <c r="E3508" s="41" t="s">
        <v>24601</v>
      </c>
      <c r="F3508" s="43" t="s">
        <v>24602</v>
      </c>
      <c r="G3508" s="43" t="s">
        <v>24603</v>
      </c>
      <c r="H3508" s="51" t="s">
        <v>48</v>
      </c>
      <c r="I3508" s="15" t="str">
        <f>IFERROR(__xludf.DUMMYFUNCTION("GOOGLETRANSLATE(H3508,""EN"",""ES"")"),"Finanzas")</f>
        <v>Finanzas</v>
      </c>
      <c r="J3508" s="16" t="s">
        <v>35</v>
      </c>
      <c r="K3508" s="48">
        <v>0.0</v>
      </c>
      <c r="L3508" s="45"/>
      <c r="M3508" s="18"/>
      <c r="N3508" s="34" t="s">
        <v>24604</v>
      </c>
      <c r="O3508" s="88" t="str">
        <f>IFERROR(__xludf.DUMMYFUNCTION("GOOGLETRANSLATE(N3508,""EN"",""ES"")"),"Informe financiero neutral.")</f>
        <v>Informe financiero neutral.</v>
      </c>
      <c r="P3508" s="30">
        <v>0.0</v>
      </c>
      <c r="Q3508" s="18"/>
      <c r="R3508" s="18"/>
      <c r="S3508" s="52" t="s">
        <v>24605</v>
      </c>
      <c r="T3508" s="22" t="s">
        <v>24605</v>
      </c>
    </row>
    <row r="3509">
      <c r="A3509" s="37" t="s">
        <v>24606</v>
      </c>
      <c r="B3509" s="77" t="s">
        <v>6685</v>
      </c>
      <c r="C3509" s="41">
        <v>45566.0</v>
      </c>
      <c r="D3509" s="40" t="s">
        <v>24607</v>
      </c>
      <c r="E3509" s="41" t="s">
        <v>24608</v>
      </c>
      <c r="F3509" s="43" t="s">
        <v>24609</v>
      </c>
      <c r="G3509" s="43" t="s">
        <v>24610</v>
      </c>
      <c r="H3509" s="51" t="s">
        <v>21272</v>
      </c>
      <c r="I3509" s="25" t="str">
        <f>IFERROR(__xludf.DUMMYFUNCTION("GOOGLETRANSLATE(H3509,""EN"",""ES"")"),"Herrada")</f>
        <v>Herrada</v>
      </c>
      <c r="J3509" s="26" t="s">
        <v>27</v>
      </c>
      <c r="K3509" s="17">
        <v>0.0</v>
      </c>
      <c r="L3509" s="54"/>
      <c r="M3509" s="31"/>
      <c r="N3509" s="31"/>
      <c r="O3509" s="89"/>
      <c r="P3509" s="20">
        <v>0.0</v>
      </c>
      <c r="Q3509" s="31"/>
      <c r="R3509" s="31"/>
      <c r="S3509" s="53"/>
      <c r="T3509" s="32"/>
    </row>
    <row r="3510">
      <c r="A3510" s="33" t="s">
        <v>24611</v>
      </c>
      <c r="B3510" s="76" t="s">
        <v>977</v>
      </c>
      <c r="C3510" s="41">
        <v>45567.0</v>
      </c>
      <c r="D3510" s="40" t="s">
        <v>24612</v>
      </c>
      <c r="E3510" s="41" t="s">
        <v>24613</v>
      </c>
      <c r="F3510" s="43" t="s">
        <v>24614</v>
      </c>
      <c r="G3510" s="43" t="s">
        <v>24615</v>
      </c>
      <c r="H3510" s="51" t="s">
        <v>48</v>
      </c>
      <c r="I3510" s="15" t="str">
        <f>IFERROR(__xludf.DUMMYFUNCTION("GOOGLETRANSLATE(H3510,""EN"",""ES"")"),"Finanzas")</f>
        <v>Finanzas</v>
      </c>
      <c r="J3510" s="16" t="s">
        <v>35</v>
      </c>
      <c r="K3510" s="48">
        <v>0.4</v>
      </c>
      <c r="L3510" s="51" t="s">
        <v>24616</v>
      </c>
      <c r="M3510" s="34" t="s">
        <v>24617</v>
      </c>
      <c r="N3510" s="34" t="s">
        <v>24618</v>
      </c>
      <c r="O3510" s="88" t="str">
        <f>IFERROR(__xludf.DUMMYFUNCTION("GOOGLETRANSLATE(N3510,""EN"",""ES"")"),"Ganancias bursátiles a corto plazo debido a factores geopolíticos.")</f>
        <v>Ganancias bursátiles a corto plazo debido a factores geopolíticos.</v>
      </c>
      <c r="P3510" s="30">
        <v>0.4</v>
      </c>
      <c r="Q3510" s="18" t="str">
        <f>IFERROR(__xludf.DUMMYFUNCTION("GOOGLETRANSLATE(R3510,""ES"",""EN"")"),"in favor")</f>
        <v>in favor</v>
      </c>
      <c r="R3510" s="34" t="s">
        <v>24619</v>
      </c>
      <c r="S3510" s="52" t="s">
        <v>24620</v>
      </c>
      <c r="T3510" s="22" t="s">
        <v>24620</v>
      </c>
    </row>
    <row r="3511">
      <c r="A3511" s="23" t="s">
        <v>24621</v>
      </c>
      <c r="B3511" s="77" t="s">
        <v>85</v>
      </c>
      <c r="C3511" s="41">
        <v>45567.0</v>
      </c>
      <c r="D3511" s="40" t="s">
        <v>24622</v>
      </c>
      <c r="E3511" s="41" t="s">
        <v>24444</v>
      </c>
      <c r="F3511" s="43" t="s">
        <v>24623</v>
      </c>
      <c r="G3511" s="43" t="s">
        <v>24446</v>
      </c>
      <c r="H3511" s="51" t="s">
        <v>21272</v>
      </c>
      <c r="I3511" s="25" t="str">
        <f>IFERROR(__xludf.DUMMYFUNCTION("GOOGLETRANSLATE(H3511,""EN"",""ES"")"),"Herrada")</f>
        <v>Herrada</v>
      </c>
      <c r="J3511" s="26" t="s">
        <v>27</v>
      </c>
      <c r="K3511" s="17">
        <v>0.0</v>
      </c>
      <c r="L3511" s="54"/>
      <c r="M3511" s="31"/>
      <c r="N3511" s="31"/>
      <c r="O3511" s="89"/>
      <c r="P3511" s="20">
        <v>0.0</v>
      </c>
      <c r="Q3511" s="31"/>
      <c r="R3511" s="31"/>
      <c r="S3511" s="53"/>
      <c r="T3511" s="32"/>
    </row>
    <row r="3512">
      <c r="A3512" s="33" t="s">
        <v>24624</v>
      </c>
      <c r="B3512" s="76" t="s">
        <v>666</v>
      </c>
      <c r="C3512" s="41">
        <v>45567.0</v>
      </c>
      <c r="D3512" s="40" t="s">
        <v>24625</v>
      </c>
      <c r="E3512" s="41" t="s">
        <v>24626</v>
      </c>
      <c r="F3512" s="43" t="s">
        <v>24627</v>
      </c>
      <c r="G3512" s="43" t="s">
        <v>24628</v>
      </c>
      <c r="H3512" s="51" t="s">
        <v>661</v>
      </c>
      <c r="I3512" s="15" t="str">
        <f>IFERROR(__xludf.DUMMYFUNCTION("GOOGLETRANSLATE(H3512,""EN"",""ES"")"),"Estrategia empresarial")</f>
        <v>Estrategia empresarial</v>
      </c>
      <c r="J3512" s="16" t="s">
        <v>35</v>
      </c>
      <c r="K3512" s="48">
        <v>-0.5</v>
      </c>
      <c r="L3512" s="51" t="s">
        <v>24629</v>
      </c>
      <c r="M3512" s="34" t="s">
        <v>24630</v>
      </c>
      <c r="N3512" s="34" t="s">
        <v>24631</v>
      </c>
      <c r="O3512" s="88" t="str">
        <f>IFERROR(__xludf.DUMMYFUNCTION("GOOGLETRANSLATE(N3512,""EN"",""ES"")"),"Negativo por conflictos laborales.")</f>
        <v>Negativo por conflictos laborales.</v>
      </c>
      <c r="P3512" s="30">
        <v>-0.8</v>
      </c>
      <c r="Q3512" s="18" t="str">
        <f>IFERROR(__xludf.DUMMYFUNCTION("GOOGLETRANSLATE(R3512,""ES"",""EN"")"),"strike")</f>
        <v>strike</v>
      </c>
      <c r="R3512" s="34" t="s">
        <v>21133</v>
      </c>
      <c r="S3512" s="52" t="s">
        <v>24632</v>
      </c>
      <c r="T3512" s="22" t="s">
        <v>24632</v>
      </c>
    </row>
    <row r="3513">
      <c r="A3513" s="23" t="s">
        <v>24633</v>
      </c>
      <c r="B3513" s="77" t="s">
        <v>1178</v>
      </c>
      <c r="C3513" s="41">
        <v>45567.0</v>
      </c>
      <c r="D3513" s="40" t="s">
        <v>24634</v>
      </c>
      <c r="E3513" s="41" t="s">
        <v>24635</v>
      </c>
      <c r="F3513" s="43" t="s">
        <v>24636</v>
      </c>
      <c r="G3513" s="43" t="s">
        <v>24637</v>
      </c>
      <c r="H3513" s="51" t="s">
        <v>21272</v>
      </c>
      <c r="I3513" s="25" t="str">
        <f>IFERROR(__xludf.DUMMYFUNCTION("GOOGLETRANSLATE(H3513,""EN"",""ES"")"),"Herrada")</f>
        <v>Herrada</v>
      </c>
      <c r="J3513" s="26" t="s">
        <v>27</v>
      </c>
      <c r="K3513" s="17">
        <v>0.0</v>
      </c>
      <c r="L3513" s="54"/>
      <c r="M3513" s="31"/>
      <c r="N3513" s="31"/>
      <c r="O3513" s="89"/>
      <c r="P3513" s="20">
        <v>0.0</v>
      </c>
      <c r="Q3513" s="31"/>
      <c r="R3513" s="31"/>
      <c r="S3513" s="53"/>
      <c r="T3513" s="32"/>
    </row>
    <row r="3514">
      <c r="A3514" s="33" t="s">
        <v>24638</v>
      </c>
      <c r="B3514" s="76" t="s">
        <v>558</v>
      </c>
      <c r="C3514" s="41">
        <v>45567.0</v>
      </c>
      <c r="D3514" s="40" t="s">
        <v>24639</v>
      </c>
      <c r="E3514" s="41" t="s">
        <v>24640</v>
      </c>
      <c r="F3514" s="43" t="s">
        <v>24641</v>
      </c>
      <c r="G3514" s="43" t="s">
        <v>24642</v>
      </c>
      <c r="H3514" s="51" t="s">
        <v>48</v>
      </c>
      <c r="I3514" s="15" t="str">
        <f>IFERROR(__xludf.DUMMYFUNCTION("GOOGLETRANSLATE(H3514,""EN"",""ES"")"),"Finanzas")</f>
        <v>Finanzas</v>
      </c>
      <c r="J3514" s="16" t="s">
        <v>35</v>
      </c>
      <c r="K3514" s="48">
        <v>0.0</v>
      </c>
      <c r="L3514" s="45"/>
      <c r="M3514" s="18"/>
      <c r="N3514" s="34" t="s">
        <v>24643</v>
      </c>
      <c r="O3514" s="88" t="str">
        <f>IFERROR(__xludf.DUMMYFUNCTION("GOOGLETRANSLATE(N3514,""EN"",""ES"")"),"Informe neutral del mercado de valores.")</f>
        <v>Informe neutral del mercado de valores.</v>
      </c>
      <c r="P3514" s="30">
        <v>0.0</v>
      </c>
      <c r="Q3514" s="18"/>
      <c r="R3514" s="18"/>
      <c r="S3514" s="52" t="s">
        <v>24644</v>
      </c>
      <c r="T3514" s="22" t="s">
        <v>24645</v>
      </c>
    </row>
    <row r="3515">
      <c r="A3515" s="23" t="s">
        <v>24646</v>
      </c>
      <c r="B3515" s="77" t="s">
        <v>21</v>
      </c>
      <c r="C3515" s="41">
        <v>45567.0</v>
      </c>
      <c r="D3515" s="40" t="s">
        <v>24647</v>
      </c>
      <c r="E3515" s="41" t="s">
        <v>24648</v>
      </c>
      <c r="F3515" s="43" t="s">
        <v>24649</v>
      </c>
      <c r="G3515" s="43" t="s">
        <v>24650</v>
      </c>
      <c r="H3515" s="51" t="s">
        <v>21272</v>
      </c>
      <c r="I3515" s="25" t="str">
        <f>IFERROR(__xludf.DUMMYFUNCTION("GOOGLETRANSLATE(H3515,""EN"",""ES"")"),"Herrada")</f>
        <v>Herrada</v>
      </c>
      <c r="J3515" s="26" t="s">
        <v>27</v>
      </c>
      <c r="K3515" s="17">
        <v>0.0</v>
      </c>
      <c r="L3515" s="54"/>
      <c r="M3515" s="31"/>
      <c r="N3515" s="31"/>
      <c r="O3515" s="89"/>
      <c r="P3515" s="20">
        <v>0.0</v>
      </c>
      <c r="Q3515" s="31"/>
      <c r="R3515" s="31"/>
      <c r="S3515" s="53"/>
      <c r="T3515" s="32"/>
    </row>
    <row r="3516">
      <c r="A3516" s="33" t="s">
        <v>24651</v>
      </c>
      <c r="B3516" s="76" t="s">
        <v>217</v>
      </c>
      <c r="C3516" s="41">
        <v>45567.0</v>
      </c>
      <c r="D3516" s="40" t="s">
        <v>24652</v>
      </c>
      <c r="E3516" s="41" t="s">
        <v>24653</v>
      </c>
      <c r="F3516" s="43" t="s">
        <v>24654</v>
      </c>
      <c r="G3516" s="43" t="s">
        <v>24655</v>
      </c>
      <c r="H3516" s="51" t="s">
        <v>661</v>
      </c>
      <c r="I3516" s="15" t="str">
        <f>IFERROR(__xludf.DUMMYFUNCTION("GOOGLETRANSLATE(H3516,""EN"",""ES"")"),"Estrategia empresarial")</f>
        <v>Estrategia empresarial</v>
      </c>
      <c r="J3516" s="16" t="s">
        <v>35</v>
      </c>
      <c r="K3516" s="48">
        <v>0.3</v>
      </c>
      <c r="L3516" s="51" t="s">
        <v>24656</v>
      </c>
      <c r="M3516" s="34" t="s">
        <v>24657</v>
      </c>
      <c r="N3516" s="34" t="s">
        <v>24658</v>
      </c>
      <c r="O3516" s="88" t="str">
        <f>IFERROR(__xludf.DUMMYFUNCTION("GOOGLETRANSLATE(N3516,""EN"",""ES"")"),"Transición corporativa neutral.")</f>
        <v>Transición corporativa neutral.</v>
      </c>
      <c r="P3516" s="30">
        <v>0.3</v>
      </c>
      <c r="Q3516" s="18" t="str">
        <f>IFERROR(__xludf.DUMMYFUNCTION("GOOGLETRANSLATE(R3516,""ES"",""EN"")"),"joint venture")</f>
        <v>joint venture</v>
      </c>
      <c r="R3516" s="34" t="s">
        <v>24659</v>
      </c>
      <c r="S3516" s="52" t="s">
        <v>24660</v>
      </c>
      <c r="T3516" s="22" t="s">
        <v>24660</v>
      </c>
    </row>
    <row r="3517">
      <c r="A3517" s="23" t="s">
        <v>24661</v>
      </c>
      <c r="B3517" s="77" t="s">
        <v>5129</v>
      </c>
      <c r="C3517" s="41">
        <v>45567.0</v>
      </c>
      <c r="D3517" s="40" t="s">
        <v>24662</v>
      </c>
      <c r="E3517" s="41" t="s">
        <v>24663</v>
      </c>
      <c r="F3517" s="43" t="s">
        <v>24664</v>
      </c>
      <c r="G3517" s="43" t="s">
        <v>24665</v>
      </c>
      <c r="H3517" s="51" t="s">
        <v>48</v>
      </c>
      <c r="I3517" s="25" t="str">
        <f>IFERROR(__xludf.DUMMYFUNCTION("GOOGLETRANSLATE(H3517,""EN"",""ES"")"),"Finanzas")</f>
        <v>Finanzas</v>
      </c>
      <c r="J3517" s="26" t="s">
        <v>35</v>
      </c>
      <c r="K3517" s="48">
        <v>0.4</v>
      </c>
      <c r="L3517" s="49" t="s">
        <v>24666</v>
      </c>
      <c r="M3517" s="28" t="s">
        <v>24667</v>
      </c>
      <c r="N3517" s="28" t="s">
        <v>24668</v>
      </c>
      <c r="O3517" s="89" t="str">
        <f>IFERROR(__xludf.DUMMYFUNCTION("GOOGLETRANSLATE(N3517,""EN"",""ES"")"),"Positivo por las ganancias bursátiles, aunque vinculado a la inestabilidad geopolítica.")</f>
        <v>Positivo por las ganancias bursátiles, aunque vinculado a la inestabilidad geopolítica.</v>
      </c>
      <c r="P3517" s="30">
        <v>0.5</v>
      </c>
      <c r="Q3517" s="31" t="str">
        <f>IFERROR(__xludf.DUMMYFUNCTION("GOOGLETRANSLATE(R3517,""ES"",""EN"")"),"they go up")</f>
        <v>they go up</v>
      </c>
      <c r="R3517" s="28" t="s">
        <v>21058</v>
      </c>
      <c r="S3517" s="53" t="s">
        <v>24669</v>
      </c>
      <c r="T3517" s="32" t="s">
        <v>24669</v>
      </c>
    </row>
    <row r="3518">
      <c r="A3518" s="33" t="s">
        <v>24670</v>
      </c>
      <c r="B3518" s="76" t="s">
        <v>2944</v>
      </c>
      <c r="C3518" s="41">
        <v>45567.0</v>
      </c>
      <c r="D3518" s="40" t="s">
        <v>24671</v>
      </c>
      <c r="E3518" s="41" t="s">
        <v>24672</v>
      </c>
      <c r="F3518" s="43" t="s">
        <v>24673</v>
      </c>
      <c r="G3518" s="43" t="s">
        <v>24674</v>
      </c>
      <c r="H3518" s="51" t="s">
        <v>21272</v>
      </c>
      <c r="I3518" s="15" t="str">
        <f>IFERROR(__xludf.DUMMYFUNCTION("GOOGLETRANSLATE(H3518,""EN"",""ES"")"),"Herrada")</f>
        <v>Herrada</v>
      </c>
      <c r="J3518" s="16" t="s">
        <v>27</v>
      </c>
      <c r="K3518" s="17">
        <v>0.0</v>
      </c>
      <c r="L3518" s="45"/>
      <c r="M3518" s="18"/>
      <c r="N3518" s="18"/>
      <c r="O3518" s="88"/>
      <c r="P3518" s="20">
        <v>0.0</v>
      </c>
      <c r="Q3518" s="18"/>
      <c r="R3518" s="18"/>
      <c r="S3518" s="52"/>
      <c r="T3518" s="22"/>
    </row>
    <row r="3519">
      <c r="A3519" s="23" t="s">
        <v>24675</v>
      </c>
      <c r="B3519" s="77" t="s">
        <v>8029</v>
      </c>
      <c r="C3519" s="41">
        <v>45567.0</v>
      </c>
      <c r="D3519" s="40" t="s">
        <v>24676</v>
      </c>
      <c r="E3519" s="41" t="s">
        <v>24677</v>
      </c>
      <c r="F3519" s="43" t="s">
        <v>24678</v>
      </c>
      <c r="G3519" s="43" t="s">
        <v>24679</v>
      </c>
      <c r="H3519" s="51" t="s">
        <v>48</v>
      </c>
      <c r="I3519" s="25" t="str">
        <f>IFERROR(__xludf.DUMMYFUNCTION("GOOGLETRANSLATE(H3519,""EN"",""ES"")"),"Finanzas")</f>
        <v>Finanzas</v>
      </c>
      <c r="J3519" s="26" t="s">
        <v>35</v>
      </c>
      <c r="K3519" s="48">
        <v>0.0</v>
      </c>
      <c r="L3519" s="54"/>
      <c r="M3519" s="31"/>
      <c r="N3519" s="28" t="s">
        <v>24680</v>
      </c>
      <c r="O3519" s="89" t="str">
        <f>IFERROR(__xludf.DUMMYFUNCTION("GOOGLETRANSLATE(N3519,""EN"",""ES"")"),"Neutral ya que es puramente informativo.")</f>
        <v>Neutral ya que es puramente informativo.</v>
      </c>
      <c r="P3519" s="30">
        <v>0.0</v>
      </c>
      <c r="Q3519" s="31"/>
      <c r="R3519" s="31"/>
      <c r="S3519" s="53" t="s">
        <v>24681</v>
      </c>
      <c r="T3519" s="32" t="s">
        <v>24681</v>
      </c>
    </row>
    <row r="3520">
      <c r="A3520" s="33" t="s">
        <v>24682</v>
      </c>
      <c r="B3520" s="76" t="s">
        <v>2713</v>
      </c>
      <c r="C3520" s="41">
        <v>45567.0</v>
      </c>
      <c r="D3520" s="40" t="s">
        <v>24683</v>
      </c>
      <c r="E3520" s="41" t="s">
        <v>24684</v>
      </c>
      <c r="F3520" s="43" t="s">
        <v>24685</v>
      </c>
      <c r="G3520" s="43" t="s">
        <v>24686</v>
      </c>
      <c r="H3520" s="51" t="s">
        <v>661</v>
      </c>
      <c r="I3520" s="15" t="str">
        <f>IFERROR(__xludf.DUMMYFUNCTION("GOOGLETRANSLATE(H3520,""EN"",""ES"")"),"Estrategia empresarial")</f>
        <v>Estrategia empresarial</v>
      </c>
      <c r="J3520" s="16" t="s">
        <v>35</v>
      </c>
      <c r="K3520" s="48">
        <v>0.3</v>
      </c>
      <c r="L3520" s="51" t="s">
        <v>24687</v>
      </c>
      <c r="M3520" s="34" t="s">
        <v>24688</v>
      </c>
      <c r="N3520" s="34" t="s">
        <v>24658</v>
      </c>
      <c r="O3520" s="88" t="str">
        <f>IFERROR(__xludf.DUMMYFUNCTION("GOOGLETRANSLATE(N3520,""EN"",""ES"")"),"Transición corporativa neutral.")</f>
        <v>Transición corporativa neutral.</v>
      </c>
      <c r="P3520" s="30">
        <v>0.0</v>
      </c>
      <c r="Q3520" s="18"/>
      <c r="R3520" s="18"/>
      <c r="S3520" s="52" t="s">
        <v>24689</v>
      </c>
      <c r="T3520" s="22" t="s">
        <v>24689</v>
      </c>
    </row>
    <row r="3521">
      <c r="A3521" s="23" t="s">
        <v>24690</v>
      </c>
      <c r="B3521" s="77" t="s">
        <v>1602</v>
      </c>
      <c r="C3521" s="41">
        <v>45567.0</v>
      </c>
      <c r="D3521" s="40" t="s">
        <v>24691</v>
      </c>
      <c r="E3521" s="41" t="s">
        <v>24692</v>
      </c>
      <c r="F3521" s="43" t="s">
        <v>24693</v>
      </c>
      <c r="G3521" s="43" t="s">
        <v>24694</v>
      </c>
      <c r="H3521" s="51" t="s">
        <v>48</v>
      </c>
      <c r="I3521" s="25" t="str">
        <f>IFERROR(__xludf.DUMMYFUNCTION("GOOGLETRANSLATE(H3521,""EN"",""ES"")"),"Finanzas")</f>
        <v>Finanzas</v>
      </c>
      <c r="J3521" s="26" t="s">
        <v>35</v>
      </c>
      <c r="K3521" s="48">
        <v>0.3</v>
      </c>
      <c r="L3521" s="49" t="s">
        <v>24695</v>
      </c>
      <c r="M3521" s="28" t="s">
        <v>24696</v>
      </c>
      <c r="N3521" s="28" t="s">
        <v>24697</v>
      </c>
      <c r="O3521" s="89" t="str">
        <f>IFERROR(__xludf.DUMMYFUNCTION("GOOGLETRANSLATE(N3521,""EN"",""ES"")"),"Positivo ya que las acciones muestran signos de recuperación.")</f>
        <v>Positivo ya que las acciones muestran signos de recuperación.</v>
      </c>
      <c r="P3521" s="30">
        <v>0.4</v>
      </c>
      <c r="Q3521" s="31" t="str">
        <f>IFERROR(__xludf.DUMMYFUNCTION("GOOGLETRANSLATE(R3521,""ES"",""EN"")"),"overcome resistance")</f>
        <v>overcome resistance</v>
      </c>
      <c r="R3521" s="28" t="s">
        <v>24698</v>
      </c>
      <c r="S3521" s="53" t="s">
        <v>24699</v>
      </c>
      <c r="T3521" s="32" t="s">
        <v>24699</v>
      </c>
    </row>
    <row r="3522">
      <c r="A3522" s="33" t="s">
        <v>24700</v>
      </c>
      <c r="B3522" s="76" t="s">
        <v>2696</v>
      </c>
      <c r="C3522" s="41">
        <v>45567.0</v>
      </c>
      <c r="D3522" s="40" t="s">
        <v>24701</v>
      </c>
      <c r="E3522" s="41" t="s">
        <v>24702</v>
      </c>
      <c r="F3522" s="43" t="s">
        <v>24703</v>
      </c>
      <c r="G3522" s="43" t="s">
        <v>24704</v>
      </c>
      <c r="H3522" s="51" t="s">
        <v>21272</v>
      </c>
      <c r="I3522" s="15" t="str">
        <f>IFERROR(__xludf.DUMMYFUNCTION("GOOGLETRANSLATE(H3522,""EN"",""ES"")"),"Herrada")</f>
        <v>Herrada</v>
      </c>
      <c r="J3522" s="16" t="s">
        <v>27</v>
      </c>
      <c r="K3522" s="17">
        <v>0.0</v>
      </c>
      <c r="L3522" s="45"/>
      <c r="M3522" s="18"/>
      <c r="N3522" s="18"/>
      <c r="O3522" s="88"/>
      <c r="P3522" s="20">
        <v>0.0</v>
      </c>
      <c r="Q3522" s="18"/>
      <c r="R3522" s="18"/>
      <c r="S3522" s="52"/>
      <c r="T3522" s="22"/>
    </row>
    <row r="3523">
      <c r="A3523" s="23" t="s">
        <v>24705</v>
      </c>
      <c r="B3523" s="77" t="s">
        <v>4450</v>
      </c>
      <c r="C3523" s="41">
        <v>45567.0</v>
      </c>
      <c r="D3523" s="40" t="s">
        <v>24706</v>
      </c>
      <c r="E3523" s="41" t="s">
        <v>24707</v>
      </c>
      <c r="F3523" s="43" t="s">
        <v>24708</v>
      </c>
      <c r="G3523" s="43" t="s">
        <v>24709</v>
      </c>
      <c r="H3523" s="51" t="s">
        <v>661</v>
      </c>
      <c r="I3523" s="25" t="str">
        <f>IFERROR(__xludf.DUMMYFUNCTION("GOOGLETRANSLATE(H3523,""EN"",""ES"")"),"Estrategia empresarial")</f>
        <v>Estrategia empresarial</v>
      </c>
      <c r="J3523" s="26" t="s">
        <v>35</v>
      </c>
      <c r="K3523" s="48">
        <v>-0.6</v>
      </c>
      <c r="L3523" s="49" t="s">
        <v>24710</v>
      </c>
      <c r="M3523" s="28" t="s">
        <v>24711</v>
      </c>
      <c r="N3523" s="28" t="s">
        <v>24712</v>
      </c>
      <c r="O3523" s="89" t="str">
        <f>IFERROR(__xludf.DUMMYFUNCTION("GOOGLETRANSLATE(N3523,""EN"",""ES"")"),"Negativo por dificultades financieras en la cadena de suministro de Repsol.")</f>
        <v>Negativo por dificultades financieras en la cadena de suministro de Repsol.</v>
      </c>
      <c r="P3523" s="30">
        <v>-0.6</v>
      </c>
      <c r="Q3523" s="31" t="str">
        <f>IFERROR(__xludf.DUMMYFUNCTION("GOOGLETRANSLATE(R3523,""ES"",""EN"")"),"uncertainty, ""debts""")</f>
        <v>uncertainty, "debts"</v>
      </c>
      <c r="R3523" s="28" t="s">
        <v>24713</v>
      </c>
      <c r="S3523" s="53" t="s">
        <v>24714</v>
      </c>
      <c r="T3523" s="32" t="s">
        <v>24714</v>
      </c>
    </row>
    <row r="3524">
      <c r="A3524" s="33" t="s">
        <v>24715</v>
      </c>
      <c r="B3524" s="76" t="s">
        <v>15061</v>
      </c>
      <c r="C3524" s="41">
        <v>45567.0</v>
      </c>
      <c r="D3524" s="40" t="s">
        <v>24716</v>
      </c>
      <c r="E3524" s="41" t="s">
        <v>24717</v>
      </c>
      <c r="F3524" s="43" t="s">
        <v>24718</v>
      </c>
      <c r="G3524" s="43" t="s">
        <v>24719</v>
      </c>
      <c r="H3524" s="51" t="s">
        <v>21272</v>
      </c>
      <c r="I3524" s="15" t="str">
        <f>IFERROR(__xludf.DUMMYFUNCTION("GOOGLETRANSLATE(H3524,""EN"",""ES"")"),"Herrada")</f>
        <v>Herrada</v>
      </c>
      <c r="J3524" s="16" t="s">
        <v>27</v>
      </c>
      <c r="K3524" s="17">
        <v>0.0</v>
      </c>
      <c r="L3524" s="45"/>
      <c r="M3524" s="18"/>
      <c r="N3524" s="18"/>
      <c r="O3524" s="88"/>
      <c r="P3524" s="20">
        <v>0.0</v>
      </c>
      <c r="Q3524" s="18"/>
      <c r="R3524" s="18"/>
      <c r="S3524" s="52"/>
      <c r="T3524" s="22"/>
    </row>
    <row r="3525">
      <c r="A3525" s="23" t="s">
        <v>24720</v>
      </c>
      <c r="B3525" s="77" t="s">
        <v>85</v>
      </c>
      <c r="C3525" s="41">
        <v>45567.0</v>
      </c>
      <c r="D3525" s="40" t="s">
        <v>24721</v>
      </c>
      <c r="E3525" s="41" t="s">
        <v>24722</v>
      </c>
      <c r="F3525" s="43" t="s">
        <v>24723</v>
      </c>
      <c r="G3525" s="43" t="s">
        <v>24724</v>
      </c>
      <c r="H3525" s="51" t="s">
        <v>661</v>
      </c>
      <c r="I3525" s="25" t="str">
        <f>IFERROR(__xludf.DUMMYFUNCTION("GOOGLETRANSLATE(H3525,""EN"",""ES"")"),"Estrategia empresarial")</f>
        <v>Estrategia empresarial</v>
      </c>
      <c r="J3525" s="26" t="s">
        <v>35</v>
      </c>
      <c r="K3525" s="48">
        <v>0.3</v>
      </c>
      <c r="L3525" s="49" t="s">
        <v>24725</v>
      </c>
      <c r="M3525" s="28" t="s">
        <v>24726</v>
      </c>
      <c r="N3525" s="28" t="s">
        <v>24727</v>
      </c>
      <c r="O3525" s="89" t="str">
        <f>IFERROR(__xludf.DUMMYFUNCTION("GOOGLETRANSLATE(N3525,""EN"",""ES"")"),"Transición empresarial neutral.")</f>
        <v>Transición empresarial neutral.</v>
      </c>
      <c r="P3525" s="30">
        <v>0.0</v>
      </c>
      <c r="Q3525" s="31"/>
      <c r="R3525" s="31"/>
      <c r="S3525" s="53" t="s">
        <v>24728</v>
      </c>
      <c r="T3525" s="32" t="s">
        <v>24728</v>
      </c>
    </row>
    <row r="3526">
      <c r="A3526" s="33" t="s">
        <v>24729</v>
      </c>
      <c r="B3526" s="76" t="s">
        <v>21</v>
      </c>
      <c r="C3526" s="41">
        <v>45567.0</v>
      </c>
      <c r="D3526" s="40" t="s">
        <v>24730</v>
      </c>
      <c r="E3526" s="41" t="s">
        <v>24731</v>
      </c>
      <c r="F3526" s="43" t="s">
        <v>24732</v>
      </c>
      <c r="G3526" s="43" t="s">
        <v>24733</v>
      </c>
      <c r="H3526" s="51" t="s">
        <v>26</v>
      </c>
      <c r="I3526" s="15" t="str">
        <f>IFERROR(__xludf.DUMMYFUNCTION("GOOGLETRANSLATE(H3526,""EN"",""ES"")"),"Otro")</f>
        <v>Otro</v>
      </c>
      <c r="J3526" s="16" t="s">
        <v>27</v>
      </c>
      <c r="K3526" s="17">
        <v>0.0</v>
      </c>
      <c r="L3526" s="18"/>
      <c r="M3526" s="18"/>
      <c r="N3526" s="18"/>
      <c r="O3526" s="88"/>
      <c r="P3526" s="20">
        <v>0.0</v>
      </c>
      <c r="Q3526" s="18"/>
      <c r="R3526" s="18"/>
      <c r="S3526" s="52"/>
      <c r="T3526" s="22"/>
    </row>
    <row r="3527">
      <c r="A3527" s="56" t="s">
        <v>24734</v>
      </c>
      <c r="B3527" s="77" t="s">
        <v>2944</v>
      </c>
      <c r="C3527" s="41">
        <v>45567.0</v>
      </c>
      <c r="D3527" s="68" t="s">
        <v>24735</v>
      </c>
      <c r="E3527" s="41" t="s">
        <v>24736</v>
      </c>
      <c r="F3527" s="43" t="str">
        <f>IFERROR(__xludf.DUMMYFUNCTION("GOOGLETRANSLATE(D3527,""ES"",""EN"")"),"The iconic Huelva bar that received a 'Solete' renews its distinctive")</f>
        <v>The iconic Huelva bar that received a 'Solete' renews its distinctive</v>
      </c>
      <c r="G3527" s="43" t="s">
        <v>24737</v>
      </c>
      <c r="H3527" s="66" t="s">
        <v>148</v>
      </c>
      <c r="I3527" s="25" t="str">
        <f>IFERROR(__xludf.DUMMYFUNCTION("GOOGLETRANSLATE(H3527,""EN"",""ES"")"),"Gastronomía")</f>
        <v>Gastronomía</v>
      </c>
      <c r="J3527" s="26" t="s">
        <v>27</v>
      </c>
      <c r="K3527" s="17">
        <v>0.0</v>
      </c>
      <c r="L3527" s="54"/>
      <c r="M3527" s="31"/>
      <c r="N3527" s="90"/>
      <c r="O3527" s="90"/>
      <c r="P3527" s="20">
        <v>0.0</v>
      </c>
      <c r="Q3527" s="31"/>
      <c r="R3527" s="31"/>
      <c r="S3527" s="53"/>
      <c r="T3527" s="32"/>
    </row>
    <row r="3528">
      <c r="A3528" s="33" t="s">
        <v>24738</v>
      </c>
      <c r="B3528" s="76" t="s">
        <v>558</v>
      </c>
      <c r="C3528" s="41">
        <v>45567.0</v>
      </c>
      <c r="D3528" s="40" t="s">
        <v>24739</v>
      </c>
      <c r="E3528" s="41" t="s">
        <v>24740</v>
      </c>
      <c r="F3528" s="43" t="s">
        <v>24741</v>
      </c>
      <c r="G3528" s="43" t="s">
        <v>24742</v>
      </c>
      <c r="H3528" s="65" t="s">
        <v>24743</v>
      </c>
      <c r="I3528" s="15" t="str">
        <f>IFERROR(__xludf.DUMMYFUNCTION("GOOGLETRANSLATE(H3528,""EN"",""ES"")"),"Mercado de Valores")</f>
        <v>Mercado de Valores</v>
      </c>
      <c r="J3528" s="16" t="s">
        <v>27</v>
      </c>
      <c r="K3528" s="17">
        <v>0.0</v>
      </c>
      <c r="L3528" s="45"/>
      <c r="M3528" s="18"/>
      <c r="N3528" s="91"/>
      <c r="O3528" s="91"/>
      <c r="P3528" s="20">
        <v>0.0</v>
      </c>
      <c r="Q3528" s="18"/>
      <c r="R3528" s="18"/>
      <c r="S3528" s="52"/>
      <c r="T3528" s="22"/>
    </row>
    <row r="3529">
      <c r="A3529" s="23" t="s">
        <v>24744</v>
      </c>
      <c r="B3529" s="77" t="s">
        <v>21</v>
      </c>
      <c r="C3529" s="41">
        <v>45567.0</v>
      </c>
      <c r="D3529" s="40" t="s">
        <v>24745</v>
      </c>
      <c r="E3529" s="41" t="s">
        <v>24746</v>
      </c>
      <c r="F3529" s="43" t="s">
        <v>24747</v>
      </c>
      <c r="G3529" s="43" t="s">
        <v>24748</v>
      </c>
      <c r="H3529" s="66" t="s">
        <v>969</v>
      </c>
      <c r="I3529" s="25" t="str">
        <f>IFERROR(__xludf.DUMMYFUNCTION("GOOGLETRANSLATE(H3529,""EN"",""ES"")"),"Turismo")</f>
        <v>Turismo</v>
      </c>
      <c r="J3529" s="26" t="s">
        <v>27</v>
      </c>
      <c r="K3529" s="17">
        <v>0.0</v>
      </c>
      <c r="L3529" s="54"/>
      <c r="M3529" s="31"/>
      <c r="N3529" s="90"/>
      <c r="O3529" s="90"/>
      <c r="P3529" s="20">
        <v>0.0</v>
      </c>
      <c r="Q3529" s="31"/>
      <c r="R3529" s="31"/>
      <c r="S3529" s="53"/>
      <c r="T3529" s="32"/>
    </row>
    <row r="3530">
      <c r="A3530" s="33" t="s">
        <v>24749</v>
      </c>
      <c r="B3530" s="76" t="s">
        <v>1005</v>
      </c>
      <c r="C3530" s="41">
        <v>45567.0</v>
      </c>
      <c r="D3530" s="40" t="s">
        <v>24750</v>
      </c>
      <c r="E3530" s="41" t="s">
        <v>24751</v>
      </c>
      <c r="F3530" s="43" t="s">
        <v>24752</v>
      </c>
      <c r="G3530" s="43" t="s">
        <v>24753</v>
      </c>
      <c r="H3530" s="65" t="s">
        <v>24754</v>
      </c>
      <c r="I3530" s="15" t="str">
        <f>IFERROR(__xludf.DUMMYFUNCTION("GOOGLETRANSLATE(H3530,""EN"",""ES"")"),"Negocios y economía")</f>
        <v>Negocios y economía</v>
      </c>
      <c r="J3530" s="16" t="s">
        <v>35</v>
      </c>
      <c r="K3530" s="48">
        <v>-0.8</v>
      </c>
      <c r="L3530" s="51" t="s">
        <v>24755</v>
      </c>
      <c r="M3530" s="34" t="s">
        <v>24756</v>
      </c>
      <c r="N3530" s="91" t="s">
        <v>24757</v>
      </c>
      <c r="O3530" s="91" t="str">
        <f>IFERROR(__xludf.DUMMYFUNCTION("GOOGLETRANSLATE(N3530,""EN"",""ES"")"),"Impacto negativo en Repsol por potencial asociación con inestabilidad financiera.")</f>
        <v>Impacto negativo en Repsol por potencial asociación con inestabilidad financiera.</v>
      </c>
      <c r="P3530" s="30">
        <v>-0.5</v>
      </c>
      <c r="Q3530" s="18" t="str">
        <f>IFERROR(__xludf.DUMMYFUNCTION("GOOGLETRANSLATE(R3530,""ES"",""EN"")"),"bankruptcy")</f>
        <v>bankruptcy</v>
      </c>
      <c r="R3530" s="34" t="s">
        <v>24758</v>
      </c>
      <c r="S3530" s="52" t="s">
        <v>24759</v>
      </c>
      <c r="T3530" s="22" t="s">
        <v>24759</v>
      </c>
    </row>
    <row r="3531">
      <c r="A3531" s="23" t="s">
        <v>24760</v>
      </c>
      <c r="B3531" s="77" t="s">
        <v>1072</v>
      </c>
      <c r="C3531" s="41">
        <v>45567.0</v>
      </c>
      <c r="D3531" s="40" t="s">
        <v>24761</v>
      </c>
      <c r="E3531" s="41" t="s">
        <v>24762</v>
      </c>
      <c r="F3531" s="43" t="s">
        <v>24763</v>
      </c>
      <c r="G3531" s="43" t="s">
        <v>24764</v>
      </c>
      <c r="H3531" s="66" t="s">
        <v>24743</v>
      </c>
      <c r="I3531" s="25" t="str">
        <f>IFERROR(__xludf.DUMMYFUNCTION("GOOGLETRANSLATE(H3531,""EN"",""ES"")"),"Mercado de Valores")</f>
        <v>Mercado de Valores</v>
      </c>
      <c r="J3531" s="26" t="s">
        <v>27</v>
      </c>
      <c r="K3531" s="17">
        <v>0.0</v>
      </c>
      <c r="L3531" s="54"/>
      <c r="M3531" s="31"/>
      <c r="N3531" s="90"/>
      <c r="O3531" s="90"/>
      <c r="P3531" s="20">
        <v>0.0</v>
      </c>
      <c r="Q3531" s="31"/>
      <c r="R3531" s="31"/>
      <c r="S3531" s="53"/>
      <c r="T3531" s="32"/>
    </row>
    <row r="3532">
      <c r="A3532" s="33" t="s">
        <v>24765</v>
      </c>
      <c r="B3532" s="76" t="s">
        <v>513</v>
      </c>
      <c r="C3532" s="41">
        <v>45567.0</v>
      </c>
      <c r="D3532" s="40" t="s">
        <v>24766</v>
      </c>
      <c r="E3532" s="41" t="s">
        <v>24767</v>
      </c>
      <c r="F3532" s="43" t="s">
        <v>24768</v>
      </c>
      <c r="G3532" s="43" t="s">
        <v>24769</v>
      </c>
      <c r="H3532" s="65" t="s">
        <v>55</v>
      </c>
      <c r="I3532" s="15" t="str">
        <f>IFERROR(__xludf.DUMMYFUNCTION("GOOGLETRANSLATE(H3532,""EN"",""ES"")"),"deportes de motor")</f>
        <v>deportes de motor</v>
      </c>
      <c r="J3532" s="16" t="s">
        <v>27</v>
      </c>
      <c r="K3532" s="17">
        <v>0.0</v>
      </c>
      <c r="L3532" s="45"/>
      <c r="M3532" s="18"/>
      <c r="N3532" s="91"/>
      <c r="O3532" s="91"/>
      <c r="P3532" s="20">
        <v>0.0</v>
      </c>
      <c r="Q3532" s="18"/>
      <c r="R3532" s="18"/>
      <c r="S3532" s="52"/>
      <c r="T3532" s="22"/>
    </row>
    <row r="3533">
      <c r="A3533" s="23" t="s">
        <v>24770</v>
      </c>
      <c r="B3533" s="77" t="s">
        <v>487</v>
      </c>
      <c r="C3533" s="41">
        <v>45567.0</v>
      </c>
      <c r="D3533" s="40" t="s">
        <v>24771</v>
      </c>
      <c r="E3533" s="41" t="s">
        <v>24772</v>
      </c>
      <c r="F3533" s="43" t="s">
        <v>24773</v>
      </c>
      <c r="G3533" s="43" t="s">
        <v>24774</v>
      </c>
      <c r="H3533" s="66" t="s">
        <v>55</v>
      </c>
      <c r="I3533" s="25" t="str">
        <f>IFERROR(__xludf.DUMMYFUNCTION("GOOGLETRANSLATE(H3533,""EN"",""ES"")"),"deportes de motor")</f>
        <v>deportes de motor</v>
      </c>
      <c r="J3533" s="26" t="s">
        <v>27</v>
      </c>
      <c r="K3533" s="17">
        <v>0.0</v>
      </c>
      <c r="L3533" s="54"/>
      <c r="M3533" s="31"/>
      <c r="N3533" s="90"/>
      <c r="O3533" s="90"/>
      <c r="P3533" s="20">
        <v>0.0</v>
      </c>
      <c r="Q3533" s="31"/>
      <c r="R3533" s="31"/>
      <c r="S3533" s="53"/>
      <c r="T3533" s="32"/>
    </row>
    <row r="3534">
      <c r="A3534" s="33" t="s">
        <v>24775</v>
      </c>
      <c r="B3534" s="76" t="s">
        <v>24776</v>
      </c>
      <c r="C3534" s="41">
        <v>45567.0</v>
      </c>
      <c r="D3534" s="40" t="s">
        <v>24777</v>
      </c>
      <c r="E3534" s="41" t="s">
        <v>24778</v>
      </c>
      <c r="F3534" s="43" t="s">
        <v>24779</v>
      </c>
      <c r="G3534" s="43" t="s">
        <v>24780</v>
      </c>
      <c r="H3534" s="65" t="s">
        <v>24781</v>
      </c>
      <c r="I3534" s="15" t="str">
        <f>IFERROR(__xludf.DUMMYFUNCTION("GOOGLETRANSLATE(H3534,""EN"",""ES"")"),"Energía Renovable")</f>
        <v>Energía Renovable</v>
      </c>
      <c r="J3534" s="16" t="s">
        <v>35</v>
      </c>
      <c r="K3534" s="48">
        <v>0.6</v>
      </c>
      <c r="L3534" s="51" t="s">
        <v>24782</v>
      </c>
      <c r="M3534" s="34" t="s">
        <v>24783</v>
      </c>
      <c r="N3534" s="91" t="s">
        <v>24784</v>
      </c>
      <c r="O3534" s="91" t="str">
        <f>IFERROR(__xludf.DUMMYFUNCTION("GOOGLETRANSLATE(N3534,""EN"",""ES"")"),"Asociación positiva con iniciativas de energías renovables.")</f>
        <v>Asociación positiva con iniciativas de energías renovables.</v>
      </c>
      <c r="P3534" s="30">
        <v>0.0</v>
      </c>
      <c r="Q3534" s="18"/>
      <c r="R3534" s="18"/>
      <c r="S3534" s="52" t="s">
        <v>24785</v>
      </c>
      <c r="T3534" s="22" t="s">
        <v>24785</v>
      </c>
    </row>
    <row r="3535">
      <c r="A3535" s="23" t="s">
        <v>24786</v>
      </c>
      <c r="B3535" s="77" t="s">
        <v>3045</v>
      </c>
      <c r="C3535" s="41">
        <v>45567.0</v>
      </c>
      <c r="D3535" s="40" t="s">
        <v>24787</v>
      </c>
      <c r="E3535" s="41" t="s">
        <v>24788</v>
      </c>
      <c r="F3535" s="43" t="s">
        <v>24789</v>
      </c>
      <c r="G3535" s="43" t="s">
        <v>24790</v>
      </c>
      <c r="H3535" s="66" t="s">
        <v>969</v>
      </c>
      <c r="I3535" s="25" t="str">
        <f>IFERROR(__xludf.DUMMYFUNCTION("GOOGLETRANSLATE(H3535,""EN"",""ES"")"),"Turismo")</f>
        <v>Turismo</v>
      </c>
      <c r="J3535" s="26" t="s">
        <v>27</v>
      </c>
      <c r="K3535" s="17">
        <v>0.0</v>
      </c>
      <c r="L3535" s="54"/>
      <c r="M3535" s="31"/>
      <c r="N3535" s="90"/>
      <c r="O3535" s="90"/>
      <c r="P3535" s="20">
        <v>0.0</v>
      </c>
      <c r="Q3535" s="31"/>
      <c r="R3535" s="31"/>
      <c r="S3535" s="53"/>
      <c r="T3535" s="32"/>
    </row>
    <row r="3536">
      <c r="A3536" s="33" t="s">
        <v>24791</v>
      </c>
      <c r="B3536" s="76" t="s">
        <v>4432</v>
      </c>
      <c r="C3536" s="41">
        <v>45567.0</v>
      </c>
      <c r="D3536" s="40" t="s">
        <v>24792</v>
      </c>
      <c r="E3536" s="41" t="s">
        <v>24793</v>
      </c>
      <c r="F3536" s="43" t="s">
        <v>24794</v>
      </c>
      <c r="G3536" s="43" t="s">
        <v>24795</v>
      </c>
      <c r="H3536" s="65" t="s">
        <v>55</v>
      </c>
      <c r="I3536" s="15" t="str">
        <f>IFERROR(__xludf.DUMMYFUNCTION("GOOGLETRANSLATE(H3536,""EN"",""ES"")"),"deportes de motor")</f>
        <v>deportes de motor</v>
      </c>
      <c r="J3536" s="16" t="s">
        <v>27</v>
      </c>
      <c r="K3536" s="17">
        <v>0.0</v>
      </c>
      <c r="L3536" s="45"/>
      <c r="M3536" s="18"/>
      <c r="N3536" s="91"/>
      <c r="O3536" s="91"/>
      <c r="P3536" s="20">
        <v>0.0</v>
      </c>
      <c r="Q3536" s="18"/>
      <c r="R3536" s="18"/>
      <c r="S3536" s="52"/>
      <c r="T3536" s="22"/>
    </row>
    <row r="3537">
      <c r="A3537" s="23" t="s">
        <v>24796</v>
      </c>
      <c r="B3537" s="77" t="s">
        <v>163</v>
      </c>
      <c r="C3537" s="41">
        <v>45568.0</v>
      </c>
      <c r="D3537" s="40" t="s">
        <v>24797</v>
      </c>
      <c r="E3537" s="41" t="s">
        <v>24798</v>
      </c>
      <c r="F3537" s="43" t="s">
        <v>24799</v>
      </c>
      <c r="G3537" s="43" t="s">
        <v>24800</v>
      </c>
      <c r="H3537" s="66" t="s">
        <v>782</v>
      </c>
      <c r="I3537" s="25" t="str">
        <f>IFERROR(__xludf.DUMMYFUNCTION("GOOGLETRANSLATE(H3537,""EN"",""ES"")"),"Tecnología")</f>
        <v>Tecnología</v>
      </c>
      <c r="J3537" s="26" t="s">
        <v>27</v>
      </c>
      <c r="K3537" s="17">
        <v>0.0</v>
      </c>
      <c r="L3537" s="54"/>
      <c r="M3537" s="31"/>
      <c r="N3537" s="90"/>
      <c r="O3537" s="90"/>
      <c r="P3537" s="20">
        <v>0.0</v>
      </c>
      <c r="Q3537" s="31"/>
      <c r="R3537" s="31"/>
      <c r="S3537" s="53"/>
      <c r="T3537" s="32"/>
    </row>
    <row r="3538">
      <c r="A3538" s="33" t="s">
        <v>24801</v>
      </c>
      <c r="B3538" s="76" t="s">
        <v>499</v>
      </c>
      <c r="C3538" s="41">
        <v>45568.0</v>
      </c>
      <c r="D3538" s="40" t="s">
        <v>24802</v>
      </c>
      <c r="E3538" s="41" t="s">
        <v>24803</v>
      </c>
      <c r="F3538" s="43" t="s">
        <v>24804</v>
      </c>
      <c r="G3538" s="43" t="s">
        <v>24805</v>
      </c>
      <c r="H3538" s="65" t="s">
        <v>24806</v>
      </c>
      <c r="I3538" s="15" t="str">
        <f>IFERROR(__xludf.DUMMYFUNCTION("GOOGLETRANSLATE(H3538,""EN"",""ES"")"),"Reconocimiento Corporativo")</f>
        <v>Reconocimiento Corporativo</v>
      </c>
      <c r="J3538" s="16" t="s">
        <v>35</v>
      </c>
      <c r="K3538" s="48">
        <v>0.8</v>
      </c>
      <c r="L3538" s="51" t="s">
        <v>24807</v>
      </c>
      <c r="M3538" s="34" t="s">
        <v>24808</v>
      </c>
      <c r="N3538" s="91" t="s">
        <v>24809</v>
      </c>
      <c r="O3538" s="91" t="str">
        <f>IFERROR(__xludf.DUMMYFUNCTION("GOOGLETRANSLATE(N3538,""EN"",""ES"")"),"Reconocimiento positivo al esfuerzo de innovación de Repsol.")</f>
        <v>Reconocimiento positivo al esfuerzo de innovación de Repsol.</v>
      </c>
      <c r="P3538" s="30">
        <v>0.8</v>
      </c>
      <c r="Q3538" s="18" t="str">
        <f>IFERROR(__xludf.DUMMYFUNCTION("GOOGLETRANSLATE(R3538,""ES"",""EN"")"),"Award, ""Innovation""")</f>
        <v>Award, "Innovation"</v>
      </c>
      <c r="R3538" s="34" t="s">
        <v>24810</v>
      </c>
      <c r="S3538" s="52" t="s">
        <v>24811</v>
      </c>
      <c r="T3538" s="22" t="s">
        <v>24811</v>
      </c>
    </row>
    <row r="3539">
      <c r="A3539" s="23" t="s">
        <v>24812</v>
      </c>
      <c r="B3539" s="77" t="s">
        <v>217</v>
      </c>
      <c r="C3539" s="41">
        <v>45568.0</v>
      </c>
      <c r="D3539" s="40" t="s">
        <v>24813</v>
      </c>
      <c r="E3539" s="41" t="s">
        <v>24814</v>
      </c>
      <c r="F3539" s="43" t="s">
        <v>24815</v>
      </c>
      <c r="G3539" s="43" t="s">
        <v>24816</v>
      </c>
      <c r="H3539" s="66" t="s">
        <v>24743</v>
      </c>
      <c r="I3539" s="25" t="str">
        <f>IFERROR(__xludf.DUMMYFUNCTION("GOOGLETRANSLATE(H3539,""EN"",""ES"")"),"Mercado de Valores")</f>
        <v>Mercado de Valores</v>
      </c>
      <c r="J3539" s="26" t="s">
        <v>35</v>
      </c>
      <c r="K3539" s="48">
        <v>0.5</v>
      </c>
      <c r="L3539" s="49" t="s">
        <v>24817</v>
      </c>
      <c r="M3539" s="28" t="s">
        <v>24818</v>
      </c>
      <c r="N3539" s="90" t="s">
        <v>24819</v>
      </c>
      <c r="O3539" s="90" t="str">
        <f>IFERROR(__xludf.DUMMYFUNCTION("GOOGLETRANSLATE(N3539,""EN"",""ES"")"),"Mención positiva al potencial de mercado de Repsol.")</f>
        <v>Mención positiva al potencial de mercado de Repsol.</v>
      </c>
      <c r="P3539" s="30">
        <v>0.6</v>
      </c>
      <c r="Q3539" s="31" t="str">
        <f>IFERROR(__xludf.DUMMYFUNCTION("GOOGLETRANSLATE(R3539,""ES"",""EN"")"),"greater potential")</f>
        <v>greater potential</v>
      </c>
      <c r="R3539" s="28" t="s">
        <v>24820</v>
      </c>
      <c r="S3539" s="53" t="s">
        <v>24821</v>
      </c>
      <c r="T3539" s="32" t="s">
        <v>24821</v>
      </c>
    </row>
    <row r="3540">
      <c r="A3540" s="33" t="s">
        <v>24822</v>
      </c>
      <c r="B3540" s="76" t="s">
        <v>1983</v>
      </c>
      <c r="C3540" s="41">
        <v>45568.0</v>
      </c>
      <c r="D3540" s="40" t="s">
        <v>24823</v>
      </c>
      <c r="E3540" s="41" t="s">
        <v>24824</v>
      </c>
      <c r="F3540" s="43" t="s">
        <v>24825</v>
      </c>
      <c r="G3540" s="43" t="s">
        <v>24826</v>
      </c>
      <c r="H3540" s="65" t="s">
        <v>24743</v>
      </c>
      <c r="I3540" s="15" t="str">
        <f>IFERROR(__xludf.DUMMYFUNCTION("GOOGLETRANSLATE(H3540,""EN"",""ES"")"),"Mercado de Valores")</f>
        <v>Mercado de Valores</v>
      </c>
      <c r="J3540" s="16" t="s">
        <v>35</v>
      </c>
      <c r="K3540" s="48">
        <v>-0.6</v>
      </c>
      <c r="L3540" s="51" t="s">
        <v>24827</v>
      </c>
      <c r="M3540" s="34" t="s">
        <v>24828</v>
      </c>
      <c r="N3540" s="91" t="s">
        <v>23052</v>
      </c>
      <c r="O3540" s="91" t="str">
        <f>IFERROR(__xludf.DUMMYFUNCTION("GOOGLETRANSLATE(N3540,""EN"",""ES"")"),"Negativo debido a las dificultades del mercado de valores.")</f>
        <v>Negativo debido a las dificultades del mercado de valores.</v>
      </c>
      <c r="P3540" s="30">
        <v>-0.4</v>
      </c>
      <c r="Q3540" s="18" t="str">
        <f>IFERROR(__xludf.DUMMYFUNCTION("GOOGLETRANSLATE(R3540,""ES"",""EN"")"),"punishment")</f>
        <v>punishment</v>
      </c>
      <c r="R3540" s="34" t="s">
        <v>24829</v>
      </c>
      <c r="S3540" s="52" t="s">
        <v>24830</v>
      </c>
      <c r="T3540" s="22" t="s">
        <v>24830</v>
      </c>
    </row>
    <row r="3541">
      <c r="A3541" s="23" t="s">
        <v>24831</v>
      </c>
      <c r="B3541" s="77" t="s">
        <v>674</v>
      </c>
      <c r="C3541" s="41">
        <v>45568.0</v>
      </c>
      <c r="D3541" s="40" t="s">
        <v>24832</v>
      </c>
      <c r="E3541" s="41" t="s">
        <v>24833</v>
      </c>
      <c r="F3541" s="43" t="s">
        <v>24834</v>
      </c>
      <c r="G3541" s="43" t="s">
        <v>24835</v>
      </c>
      <c r="H3541" s="66" t="s">
        <v>24836</v>
      </c>
      <c r="I3541" s="25" t="str">
        <f>IFERROR(__xludf.DUMMYFUNCTION("GOOGLETRANSLATE(H3541,""EN"",""ES"")"),"Cuestiones legales")</f>
        <v>Cuestiones legales</v>
      </c>
      <c r="J3541" s="26" t="s">
        <v>27</v>
      </c>
      <c r="K3541" s="17">
        <v>0.0</v>
      </c>
      <c r="L3541" s="54"/>
      <c r="M3541" s="31"/>
      <c r="N3541" s="90"/>
      <c r="O3541" s="90"/>
      <c r="P3541" s="20">
        <v>0.0</v>
      </c>
      <c r="Q3541" s="31"/>
      <c r="R3541" s="31"/>
      <c r="S3541" s="53"/>
      <c r="T3541" s="32"/>
    </row>
    <row r="3542">
      <c r="A3542" s="33" t="s">
        <v>24837</v>
      </c>
      <c r="B3542" s="76" t="s">
        <v>21</v>
      </c>
      <c r="C3542" s="41">
        <v>45568.0</v>
      </c>
      <c r="D3542" s="40" t="s">
        <v>24838</v>
      </c>
      <c r="E3542" s="41" t="s">
        <v>24839</v>
      </c>
      <c r="F3542" s="43" t="s">
        <v>24840</v>
      </c>
      <c r="G3542" s="43" t="s">
        <v>24841</v>
      </c>
      <c r="H3542" s="65" t="s">
        <v>148</v>
      </c>
      <c r="I3542" s="15" t="str">
        <f>IFERROR(__xludf.DUMMYFUNCTION("GOOGLETRANSLATE(H3542,""EN"",""ES"")"),"Gastronomía")</f>
        <v>Gastronomía</v>
      </c>
      <c r="J3542" s="16" t="s">
        <v>27</v>
      </c>
      <c r="K3542" s="17">
        <v>0.0</v>
      </c>
      <c r="L3542" s="45"/>
      <c r="M3542" s="18"/>
      <c r="N3542" s="91"/>
      <c r="O3542" s="91"/>
      <c r="P3542" s="20">
        <v>0.0</v>
      </c>
      <c r="Q3542" s="18"/>
      <c r="R3542" s="18"/>
      <c r="S3542" s="52"/>
      <c r="T3542" s="22"/>
    </row>
    <row r="3543">
      <c r="A3543" s="23" t="s">
        <v>24842</v>
      </c>
      <c r="B3543" s="77" t="s">
        <v>24843</v>
      </c>
      <c r="C3543" s="41">
        <v>45568.0</v>
      </c>
      <c r="D3543" s="40" t="s">
        <v>24844</v>
      </c>
      <c r="E3543" s="41" t="s">
        <v>24845</v>
      </c>
      <c r="F3543" s="43" t="s">
        <v>24846</v>
      </c>
      <c r="G3543" s="43" t="s">
        <v>24847</v>
      </c>
      <c r="H3543" s="66" t="s">
        <v>24781</v>
      </c>
      <c r="I3543" s="25" t="str">
        <f>IFERROR(__xludf.DUMMYFUNCTION("GOOGLETRANSLATE(H3543,""EN"",""ES"")"),"Energía Renovable")</f>
        <v>Energía Renovable</v>
      </c>
      <c r="J3543" s="26" t="s">
        <v>35</v>
      </c>
      <c r="K3543" s="48">
        <v>0.7</v>
      </c>
      <c r="L3543" s="49" t="s">
        <v>24848</v>
      </c>
      <c r="M3543" s="28" t="s">
        <v>24849</v>
      </c>
      <c r="N3543" s="90" t="s">
        <v>24850</v>
      </c>
      <c r="O3543" s="90" t="str">
        <f>IFERROR(__xludf.DUMMYFUNCTION("GOOGLETRANSLATE(N3543,""EN"",""ES"")"),"Impacto positivo debido a los esfuerzos de sostenibilidad.")</f>
        <v>Impacto positivo debido a los esfuerzos de sostenibilidad.</v>
      </c>
      <c r="P3543" s="30">
        <v>0.7</v>
      </c>
      <c r="Q3543" s="31" t="str">
        <f>IFERROR(__xludf.DUMMYFUNCTION("GOOGLETRANSLATE(R3543,""ES"",""EN"")"),"renewable fuels")</f>
        <v>renewable fuels</v>
      </c>
      <c r="R3543" s="28" t="s">
        <v>584</v>
      </c>
      <c r="S3543" s="53" t="s">
        <v>24851</v>
      </c>
      <c r="T3543" s="32" t="s">
        <v>24851</v>
      </c>
    </row>
    <row r="3544">
      <c r="A3544" s="33" t="s">
        <v>24852</v>
      </c>
      <c r="B3544" s="76" t="s">
        <v>1072</v>
      </c>
      <c r="C3544" s="41">
        <v>45568.0</v>
      </c>
      <c r="D3544" s="40" t="s">
        <v>24853</v>
      </c>
      <c r="E3544" s="41" t="s">
        <v>24854</v>
      </c>
      <c r="F3544" s="43" t="s">
        <v>24855</v>
      </c>
      <c r="G3544" s="43" t="s">
        <v>24856</v>
      </c>
      <c r="H3544" s="65" t="s">
        <v>24743</v>
      </c>
      <c r="I3544" s="15" t="str">
        <f>IFERROR(__xludf.DUMMYFUNCTION("GOOGLETRANSLATE(H3544,""EN"",""ES"")"),"Mercado de Valores")</f>
        <v>Mercado de Valores</v>
      </c>
      <c r="J3544" s="16" t="s">
        <v>35</v>
      </c>
      <c r="K3544" s="48">
        <v>-0.5</v>
      </c>
      <c r="L3544" s="51" t="s">
        <v>24857</v>
      </c>
      <c r="M3544" s="34" t="s">
        <v>24858</v>
      </c>
      <c r="N3544" s="91" t="s">
        <v>24859</v>
      </c>
      <c r="O3544" s="91" t="str">
        <f>IFERROR(__xludf.DUMMYFUNCTION("GOOGLETRANSLATE(N3544,""EN"",""ES"")"),"Sentimiento financiero negativo debido al movimiento bajista.")</f>
        <v>Sentimiento financiero negativo debido al movimiento bajista.</v>
      </c>
      <c r="P3544" s="30">
        <v>-0.5</v>
      </c>
      <c r="Q3544" s="18" t="str">
        <f>IFERROR(__xludf.DUMMYFUNCTION("GOOGLETRANSLATE(R3544,""ES"",""EN"")"),"bearish pulse")</f>
        <v>bearish pulse</v>
      </c>
      <c r="R3544" s="34" t="s">
        <v>24860</v>
      </c>
      <c r="S3544" s="52" t="s">
        <v>24861</v>
      </c>
      <c r="T3544" s="22" t="s">
        <v>24861</v>
      </c>
    </row>
    <row r="3545">
      <c r="A3545" s="23" t="s">
        <v>24862</v>
      </c>
      <c r="B3545" s="77" t="s">
        <v>24863</v>
      </c>
      <c r="C3545" s="41">
        <v>45568.0</v>
      </c>
      <c r="D3545" s="40" t="s">
        <v>24864</v>
      </c>
      <c r="E3545" s="41" t="s">
        <v>24865</v>
      </c>
      <c r="F3545" s="43" t="s">
        <v>24866</v>
      </c>
      <c r="G3545" s="43" t="s">
        <v>24867</v>
      </c>
      <c r="H3545" s="66" t="s">
        <v>148</v>
      </c>
      <c r="I3545" s="25" t="str">
        <f>IFERROR(__xludf.DUMMYFUNCTION("GOOGLETRANSLATE(H3545,""EN"",""ES"")"),"Gastronomía")</f>
        <v>Gastronomía</v>
      </c>
      <c r="J3545" s="26" t="s">
        <v>27</v>
      </c>
      <c r="K3545" s="17">
        <v>0.0</v>
      </c>
      <c r="L3545" s="54"/>
      <c r="M3545" s="31"/>
      <c r="N3545" s="90"/>
      <c r="O3545" s="90"/>
      <c r="P3545" s="20">
        <v>0.0</v>
      </c>
      <c r="Q3545" s="31"/>
      <c r="R3545" s="31"/>
      <c r="S3545" s="53"/>
      <c r="T3545" s="32"/>
    </row>
    <row r="3546">
      <c r="A3546" s="33" t="s">
        <v>24868</v>
      </c>
      <c r="B3546" s="76" t="s">
        <v>2944</v>
      </c>
      <c r="C3546" s="41">
        <v>45568.0</v>
      </c>
      <c r="D3546" s="40" t="s">
        <v>24869</v>
      </c>
      <c r="E3546" s="41" t="s">
        <v>24870</v>
      </c>
      <c r="F3546" s="43" t="s">
        <v>24871</v>
      </c>
      <c r="G3546" s="43" t="s">
        <v>24872</v>
      </c>
      <c r="H3546" s="65" t="s">
        <v>148</v>
      </c>
      <c r="I3546" s="15" t="str">
        <f>IFERROR(__xludf.DUMMYFUNCTION("GOOGLETRANSLATE(H3546,""EN"",""ES"")"),"Gastronomía")</f>
        <v>Gastronomía</v>
      </c>
      <c r="J3546" s="16" t="s">
        <v>27</v>
      </c>
      <c r="K3546" s="17">
        <v>0.0</v>
      </c>
      <c r="L3546" s="45"/>
      <c r="M3546" s="18"/>
      <c r="N3546" s="91"/>
      <c r="O3546" s="91"/>
      <c r="P3546" s="20">
        <v>0.0</v>
      </c>
      <c r="Q3546" s="18"/>
      <c r="R3546" s="18"/>
      <c r="S3546" s="52"/>
      <c r="T3546" s="22"/>
    </row>
    <row r="3547">
      <c r="A3547" s="23" t="s">
        <v>24873</v>
      </c>
      <c r="B3547" s="77" t="s">
        <v>558</v>
      </c>
      <c r="C3547" s="41">
        <v>45568.0</v>
      </c>
      <c r="D3547" s="40" t="s">
        <v>24874</v>
      </c>
      <c r="E3547" s="41" t="s">
        <v>24875</v>
      </c>
      <c r="F3547" s="43" t="s">
        <v>24876</v>
      </c>
      <c r="G3547" s="43" t="s">
        <v>24877</v>
      </c>
      <c r="H3547" s="66" t="s">
        <v>24743</v>
      </c>
      <c r="I3547" s="25" t="str">
        <f>IFERROR(__xludf.DUMMYFUNCTION("GOOGLETRANSLATE(H3547,""EN"",""ES"")"),"Mercado de Valores")</f>
        <v>Mercado de Valores</v>
      </c>
      <c r="J3547" s="26" t="s">
        <v>35</v>
      </c>
      <c r="K3547" s="48">
        <v>0.4</v>
      </c>
      <c r="L3547" s="49" t="s">
        <v>24878</v>
      </c>
      <c r="M3547" s="28" t="s">
        <v>24879</v>
      </c>
      <c r="N3547" s="90" t="s">
        <v>24880</v>
      </c>
      <c r="O3547" s="90" t="str">
        <f>IFERROR(__xludf.DUMMYFUNCTION("GOOGLETRANSLATE(N3547,""EN"",""ES"")"),"Ligeramente positivo ya que Repsol se está estabilizando a pesar de la caída del mercado.")</f>
        <v>Ligeramente positivo ya que Repsol se está estabilizando a pesar de la caída del mercado.</v>
      </c>
      <c r="P3547" s="30">
        <v>0.3</v>
      </c>
      <c r="Q3547" s="31" t="str">
        <f>IFERROR(__xludf.DUMMYFUNCTION("GOOGLETRANSLATE(R3547,""ES"",""EN"")"),"thanks to")</f>
        <v>thanks to</v>
      </c>
      <c r="R3547" s="28" t="s">
        <v>24881</v>
      </c>
      <c r="S3547" s="53" t="s">
        <v>24882</v>
      </c>
      <c r="T3547" s="32" t="s">
        <v>24882</v>
      </c>
    </row>
    <row r="3548">
      <c r="A3548" s="33" t="s">
        <v>24883</v>
      </c>
      <c r="B3548" s="76" t="s">
        <v>499</v>
      </c>
      <c r="C3548" s="41">
        <v>45568.0</v>
      </c>
      <c r="D3548" s="40" t="s">
        <v>24884</v>
      </c>
      <c r="E3548" s="41" t="s">
        <v>24885</v>
      </c>
      <c r="F3548" s="43" t="s">
        <v>24886</v>
      </c>
      <c r="G3548" s="43" t="s">
        <v>24887</v>
      </c>
      <c r="H3548" s="65" t="s">
        <v>24743</v>
      </c>
      <c r="I3548" s="15" t="str">
        <f>IFERROR(__xludf.DUMMYFUNCTION("GOOGLETRANSLATE(H3548,""EN"",""ES"")"),"Mercado de Valores")</f>
        <v>Mercado de Valores</v>
      </c>
      <c r="J3548" s="16" t="s">
        <v>35</v>
      </c>
      <c r="K3548" s="48">
        <v>0.5</v>
      </c>
      <c r="L3548" s="51" t="s">
        <v>24888</v>
      </c>
      <c r="M3548" s="34" t="s">
        <v>24889</v>
      </c>
      <c r="N3548" s="91" t="s">
        <v>24890</v>
      </c>
      <c r="O3548" s="91" t="str">
        <f>IFERROR(__xludf.DUMMYFUNCTION("GOOGLETRANSLATE(N3548,""EN"",""ES"")"),"Sentimiento positivo porque Repsol contribuye a la recuperación bursátil.")</f>
        <v>Sentimiento positivo porque Repsol contribuye a la recuperación bursátil.</v>
      </c>
      <c r="P3548" s="30">
        <v>0.3</v>
      </c>
      <c r="Q3548" s="18" t="str">
        <f>IFERROR(__xludf.DUMMYFUNCTION("GOOGLETRANSLATE(R3548,""ES"",""EN"")"),"supported on")</f>
        <v>supported on</v>
      </c>
      <c r="R3548" s="34" t="s">
        <v>24891</v>
      </c>
      <c r="S3548" s="52" t="s">
        <v>24892</v>
      </c>
      <c r="T3548" s="22" t="s">
        <v>24892</v>
      </c>
    </row>
    <row r="3549">
      <c r="A3549" s="23" t="s">
        <v>24893</v>
      </c>
      <c r="B3549" s="77" t="s">
        <v>163</v>
      </c>
      <c r="C3549" s="41">
        <v>45568.0</v>
      </c>
      <c r="D3549" s="40" t="s">
        <v>24894</v>
      </c>
      <c r="E3549" s="41" t="s">
        <v>24895</v>
      </c>
      <c r="F3549" s="43" t="s">
        <v>24896</v>
      </c>
      <c r="G3549" s="43" t="s">
        <v>24897</v>
      </c>
      <c r="H3549" s="66" t="s">
        <v>782</v>
      </c>
      <c r="I3549" s="25" t="str">
        <f>IFERROR(__xludf.DUMMYFUNCTION("GOOGLETRANSLATE(H3549,""EN"",""ES"")"),"Tecnología")</f>
        <v>Tecnología</v>
      </c>
      <c r="J3549" s="26" t="s">
        <v>27</v>
      </c>
      <c r="K3549" s="17">
        <v>0.0</v>
      </c>
      <c r="L3549" s="54"/>
      <c r="M3549" s="31"/>
      <c r="N3549" s="90"/>
      <c r="O3549" s="90"/>
      <c r="P3549" s="20">
        <v>0.0</v>
      </c>
      <c r="Q3549" s="31"/>
      <c r="R3549" s="31"/>
      <c r="S3549" s="53"/>
      <c r="T3549" s="32"/>
    </row>
    <row r="3550">
      <c r="A3550" s="33" t="s">
        <v>24898</v>
      </c>
      <c r="B3550" s="76" t="s">
        <v>1192</v>
      </c>
      <c r="C3550" s="41">
        <v>45568.0</v>
      </c>
      <c r="D3550" s="40" t="s">
        <v>24899</v>
      </c>
      <c r="E3550" s="41" t="s">
        <v>24900</v>
      </c>
      <c r="F3550" s="43" t="s">
        <v>24901</v>
      </c>
      <c r="G3550" s="43" t="s">
        <v>24902</v>
      </c>
      <c r="H3550" s="65" t="s">
        <v>24743</v>
      </c>
      <c r="I3550" s="15" t="str">
        <f>IFERROR(__xludf.DUMMYFUNCTION("GOOGLETRANSLATE(H3550,""EN"",""ES"")"),"Mercado de Valores")</f>
        <v>Mercado de Valores</v>
      </c>
      <c r="J3550" s="16" t="s">
        <v>35</v>
      </c>
      <c r="K3550" s="48">
        <v>0.5</v>
      </c>
      <c r="L3550" s="51" t="s">
        <v>24903</v>
      </c>
      <c r="M3550" s="34" t="s">
        <v>24904</v>
      </c>
      <c r="N3550" s="91" t="s">
        <v>24905</v>
      </c>
      <c r="O3550" s="91" t="str">
        <f>IFERROR(__xludf.DUMMYFUNCTION("GOOGLETRANSLATE(N3550,""EN"",""ES"")"),"Positivo movimiento bursátil asociado a Repsol.")</f>
        <v>Positivo movimiento bursátil asociado a Repsol.</v>
      </c>
      <c r="P3550" s="30">
        <v>0.4</v>
      </c>
      <c r="Q3550" s="18" t="str">
        <f>IFERROR(__xludf.DUMMYFUNCTION("GOOGLETRANSLATE(R3550,""ES"",""EN"")"),"pull")</f>
        <v>pull</v>
      </c>
      <c r="R3550" s="34" t="s">
        <v>24906</v>
      </c>
      <c r="S3550" s="52" t="s">
        <v>24907</v>
      </c>
      <c r="T3550" s="22" t="s">
        <v>24907</v>
      </c>
    </row>
    <row r="3551">
      <c r="A3551" s="23" t="s">
        <v>24908</v>
      </c>
      <c r="B3551" s="77" t="s">
        <v>881</v>
      </c>
      <c r="C3551" s="41">
        <v>45568.0</v>
      </c>
      <c r="D3551" s="40" t="s">
        <v>24909</v>
      </c>
      <c r="E3551" s="41" t="s">
        <v>24910</v>
      </c>
      <c r="F3551" s="43" t="s">
        <v>24911</v>
      </c>
      <c r="G3551" s="43" t="s">
        <v>24912</v>
      </c>
      <c r="H3551" s="66" t="s">
        <v>148</v>
      </c>
      <c r="I3551" s="25" t="str">
        <f>IFERROR(__xludf.DUMMYFUNCTION("GOOGLETRANSLATE(H3551,""EN"",""ES"")"),"Gastronomía")</f>
        <v>Gastronomía</v>
      </c>
      <c r="J3551" s="26" t="s">
        <v>27</v>
      </c>
      <c r="K3551" s="17">
        <v>0.0</v>
      </c>
      <c r="L3551" s="54"/>
      <c r="M3551" s="31"/>
      <c r="N3551" s="90"/>
      <c r="O3551" s="90"/>
      <c r="P3551" s="20">
        <v>0.0</v>
      </c>
      <c r="Q3551" s="31"/>
      <c r="R3551" s="31"/>
      <c r="S3551" s="53"/>
      <c r="T3551" s="32"/>
    </row>
    <row r="3552">
      <c r="A3552" s="33" t="s">
        <v>24913</v>
      </c>
      <c r="B3552" s="76" t="s">
        <v>499</v>
      </c>
      <c r="C3552" s="41">
        <v>45568.0</v>
      </c>
      <c r="D3552" s="40" t="s">
        <v>24914</v>
      </c>
      <c r="E3552" s="41" t="s">
        <v>24915</v>
      </c>
      <c r="F3552" s="43" t="s">
        <v>24916</v>
      </c>
      <c r="G3552" s="43" t="s">
        <v>24917</v>
      </c>
      <c r="H3552" s="65" t="s">
        <v>24781</v>
      </c>
      <c r="I3552" s="15" t="str">
        <f>IFERROR(__xludf.DUMMYFUNCTION("GOOGLETRANSLATE(H3552,""EN"",""ES"")"),"Energía Renovable")</f>
        <v>Energía Renovable</v>
      </c>
      <c r="J3552" s="16" t="s">
        <v>35</v>
      </c>
      <c r="K3552" s="48">
        <v>0.6</v>
      </c>
      <c r="L3552" s="51" t="s">
        <v>24918</v>
      </c>
      <c r="M3552" s="34" t="s">
        <v>24919</v>
      </c>
      <c r="N3552" s="91" t="s">
        <v>24920</v>
      </c>
      <c r="O3552" s="91" t="str">
        <f>IFERROR(__xludf.DUMMYFUNCTION("GOOGLETRANSLATE(N3552,""EN"",""ES"")"),"Positivo por la apuesta de Repsol por las energías renovables.")</f>
        <v>Positivo por la apuesta de Repsol por las energías renovables.</v>
      </c>
      <c r="P3552" s="30">
        <v>0.6</v>
      </c>
      <c r="Q3552" s="18" t="str">
        <f>IFERROR(__xludf.DUMMYFUNCTION("GOOGLETRANSLATE(R3552,""ES"",""EN"")"),"renewable fuel")</f>
        <v>renewable fuel</v>
      </c>
      <c r="R3552" s="34" t="s">
        <v>10542</v>
      </c>
      <c r="S3552" s="52" t="s">
        <v>24921</v>
      </c>
      <c r="T3552" s="22" t="s">
        <v>24921</v>
      </c>
    </row>
    <row r="3553">
      <c r="A3553" s="23" t="s">
        <v>24922</v>
      </c>
      <c r="B3553" s="77" t="s">
        <v>163</v>
      </c>
      <c r="C3553" s="41">
        <v>45569.0</v>
      </c>
      <c r="D3553" s="40" t="s">
        <v>24923</v>
      </c>
      <c r="E3553" s="41" t="s">
        <v>24924</v>
      </c>
      <c r="F3553" s="43" t="s">
        <v>24925</v>
      </c>
      <c r="G3553" s="43" t="s">
        <v>24926</v>
      </c>
      <c r="H3553" s="66" t="s">
        <v>782</v>
      </c>
      <c r="I3553" s="25" t="str">
        <f>IFERROR(__xludf.DUMMYFUNCTION("GOOGLETRANSLATE(H3553,""EN"",""ES"")"),"Tecnología")</f>
        <v>Tecnología</v>
      </c>
      <c r="J3553" s="26" t="s">
        <v>27</v>
      </c>
      <c r="K3553" s="17">
        <v>0.0</v>
      </c>
      <c r="L3553" s="54"/>
      <c r="M3553" s="31"/>
      <c r="N3553" s="90"/>
      <c r="O3553" s="90"/>
      <c r="P3553" s="20">
        <v>0.0</v>
      </c>
      <c r="Q3553" s="31"/>
      <c r="R3553" s="31"/>
      <c r="S3553" s="53"/>
      <c r="T3553" s="32"/>
    </row>
    <row r="3554">
      <c r="A3554" s="33" t="s">
        <v>24927</v>
      </c>
      <c r="B3554" s="76" t="s">
        <v>2008</v>
      </c>
      <c r="C3554" s="41">
        <v>45569.0</v>
      </c>
      <c r="D3554" s="40" t="s">
        <v>24443</v>
      </c>
      <c r="E3554" s="41" t="s">
        <v>24444</v>
      </c>
      <c r="F3554" s="43" t="s">
        <v>24445</v>
      </c>
      <c r="G3554" s="43" t="s">
        <v>24446</v>
      </c>
      <c r="H3554" s="65" t="s">
        <v>55</v>
      </c>
      <c r="I3554" s="15" t="str">
        <f>IFERROR(__xludf.DUMMYFUNCTION("GOOGLETRANSLATE(H3554,""EN"",""ES"")"),"deportes de motor")</f>
        <v>deportes de motor</v>
      </c>
      <c r="J3554" s="16" t="s">
        <v>27</v>
      </c>
      <c r="K3554" s="17">
        <v>0.0</v>
      </c>
      <c r="L3554" s="45"/>
      <c r="M3554" s="18"/>
      <c r="N3554" s="91"/>
      <c r="O3554" s="91"/>
      <c r="P3554" s="20">
        <v>0.0</v>
      </c>
      <c r="Q3554" s="18"/>
      <c r="R3554" s="18"/>
      <c r="S3554" s="52"/>
      <c r="T3554" s="22"/>
    </row>
    <row r="3555">
      <c r="A3555" s="23" t="s">
        <v>24928</v>
      </c>
      <c r="B3555" s="77" t="s">
        <v>339</v>
      </c>
      <c r="C3555" s="41">
        <v>45569.0</v>
      </c>
      <c r="D3555" s="40" t="s">
        <v>24929</v>
      </c>
      <c r="E3555" s="41" t="s">
        <v>24930</v>
      </c>
      <c r="F3555" s="43" t="s">
        <v>24931</v>
      </c>
      <c r="G3555" s="43" t="s">
        <v>24932</v>
      </c>
      <c r="H3555" s="66" t="s">
        <v>24781</v>
      </c>
      <c r="I3555" s="25" t="str">
        <f>IFERROR(__xludf.DUMMYFUNCTION("GOOGLETRANSLATE(H3555,""EN"",""ES"")"),"Energía Renovable")</f>
        <v>Energía Renovable</v>
      </c>
      <c r="J3555" s="26" t="s">
        <v>35</v>
      </c>
      <c r="K3555" s="48">
        <v>0.7</v>
      </c>
      <c r="L3555" s="49" t="s">
        <v>24933</v>
      </c>
      <c r="M3555" s="28" t="s">
        <v>24934</v>
      </c>
      <c r="N3555" s="90" t="s">
        <v>24935</v>
      </c>
      <c r="O3555" s="90" t="str">
        <f>IFERROR(__xludf.DUMMYFUNCTION("GOOGLETRANSLATE(N3555,""EN"",""ES"")"),"Positivo por el papel de Repsol en la sostenibilidad.")</f>
        <v>Positivo por el papel de Repsol en la sostenibilidad.</v>
      </c>
      <c r="P3555" s="30">
        <v>0.7</v>
      </c>
      <c r="Q3555" s="31" t="str">
        <f>IFERROR(__xludf.DUMMYFUNCTION("GOOGLETRANSLATE(R3555,""ES"",""EN"")"),"decarbonize")</f>
        <v>decarbonize</v>
      </c>
      <c r="R3555" s="28" t="s">
        <v>11252</v>
      </c>
      <c r="S3555" s="53" t="s">
        <v>24936</v>
      </c>
      <c r="T3555" s="32" t="s">
        <v>24936</v>
      </c>
    </row>
    <row r="3556">
      <c r="A3556" s="33" t="s">
        <v>24937</v>
      </c>
      <c r="B3556" s="76" t="s">
        <v>2696</v>
      </c>
      <c r="C3556" s="41">
        <v>45569.0</v>
      </c>
      <c r="D3556" s="40" t="s">
        <v>24938</v>
      </c>
      <c r="E3556" s="41" t="s">
        <v>24939</v>
      </c>
      <c r="F3556" s="43" t="s">
        <v>24940</v>
      </c>
      <c r="G3556" s="43" t="s">
        <v>24941</v>
      </c>
      <c r="H3556" s="65" t="s">
        <v>24743</v>
      </c>
      <c r="I3556" s="15" t="str">
        <f>IFERROR(__xludf.DUMMYFUNCTION("GOOGLETRANSLATE(H3556,""EN"",""ES"")"),"Mercado de Valores")</f>
        <v>Mercado de Valores</v>
      </c>
      <c r="J3556" s="16" t="s">
        <v>35</v>
      </c>
      <c r="K3556" s="48">
        <v>0.4</v>
      </c>
      <c r="L3556" s="51" t="s">
        <v>24942</v>
      </c>
      <c r="M3556" s="34" t="s">
        <v>24943</v>
      </c>
      <c r="N3556" s="91" t="s">
        <v>24944</v>
      </c>
      <c r="O3556" s="91" t="str">
        <f>IFERROR(__xludf.DUMMYFUNCTION("GOOGLETRANSLATE(N3556,""EN"",""ES"")"),"Actividad de los mercados financieros, sin impacto directo en la reputación de Repsol.")</f>
        <v>Actividad de los mercados financieros, sin impacto directo en la reputación de Repsol.</v>
      </c>
      <c r="P3556" s="30">
        <v>0.0</v>
      </c>
      <c r="Q3556" s="18"/>
      <c r="R3556" s="18"/>
      <c r="S3556" s="52" t="s">
        <v>24945</v>
      </c>
      <c r="T3556" s="22" t="s">
        <v>24945</v>
      </c>
    </row>
    <row r="3557">
      <c r="A3557" s="23" t="s">
        <v>24946</v>
      </c>
      <c r="B3557" s="77" t="s">
        <v>614</v>
      </c>
      <c r="C3557" s="41">
        <v>45569.0</v>
      </c>
      <c r="D3557" s="40" t="s">
        <v>24947</v>
      </c>
      <c r="E3557" s="41" t="s">
        <v>24948</v>
      </c>
      <c r="F3557" s="43" t="s">
        <v>24949</v>
      </c>
      <c r="G3557" s="43" t="s">
        <v>24950</v>
      </c>
      <c r="H3557" s="66" t="s">
        <v>148</v>
      </c>
      <c r="I3557" s="25" t="str">
        <f>IFERROR(__xludf.DUMMYFUNCTION("GOOGLETRANSLATE(H3557,""EN"",""ES"")"),"Gastronomía")</f>
        <v>Gastronomía</v>
      </c>
      <c r="J3557" s="26" t="s">
        <v>27</v>
      </c>
      <c r="K3557" s="17">
        <v>0.0</v>
      </c>
      <c r="L3557" s="54"/>
      <c r="M3557" s="31"/>
      <c r="N3557" s="90"/>
      <c r="O3557" s="90"/>
      <c r="P3557" s="20">
        <v>0.0</v>
      </c>
      <c r="Q3557" s="31"/>
      <c r="R3557" s="31"/>
      <c r="S3557" s="53"/>
      <c r="T3557" s="32"/>
    </row>
    <row r="3558">
      <c r="A3558" s="33" t="s">
        <v>24951</v>
      </c>
      <c r="B3558" s="76" t="s">
        <v>85</v>
      </c>
      <c r="C3558" s="41">
        <v>45569.0</v>
      </c>
      <c r="D3558" s="40" t="s">
        <v>24952</v>
      </c>
      <c r="E3558" s="41" t="s">
        <v>24953</v>
      </c>
      <c r="F3558" s="43" t="s">
        <v>24954</v>
      </c>
      <c r="G3558" s="43" t="s">
        <v>24955</v>
      </c>
      <c r="H3558" s="65" t="s">
        <v>24754</v>
      </c>
      <c r="I3558" s="15" t="str">
        <f>IFERROR(__xludf.DUMMYFUNCTION("GOOGLETRANSLATE(H3558,""EN"",""ES"")"),"Negocios y economía")</f>
        <v>Negocios y economía</v>
      </c>
      <c r="J3558" s="16" t="s">
        <v>35</v>
      </c>
      <c r="K3558" s="48">
        <v>0.7</v>
      </c>
      <c r="L3558" s="51" t="s">
        <v>24956</v>
      </c>
      <c r="M3558" s="34" t="s">
        <v>24957</v>
      </c>
      <c r="N3558" s="91" t="s">
        <v>24958</v>
      </c>
      <c r="O3558" s="91" t="str">
        <f>IFERROR(__xludf.DUMMYFUNCTION("GOOGLETRANSLATE(N3558,""EN"",""ES"")"),"Impacto positivo debido al crecimiento del negocio y la expansión del mercado.")</f>
        <v>Impacto positivo debido al crecimiento del negocio y la expansión del mercado.</v>
      </c>
      <c r="P3558" s="30">
        <v>0.8</v>
      </c>
      <c r="Q3558" s="18" t="str">
        <f>IFERROR(__xludf.DUMMYFUNCTION("GOOGLETRANSLATE(R3558,""ES"",""EN"")"),"triples clients")</f>
        <v>triples clients</v>
      </c>
      <c r="R3558" s="34" t="s">
        <v>24959</v>
      </c>
      <c r="S3558" s="52" t="s">
        <v>24960</v>
      </c>
      <c r="T3558" s="22" t="s">
        <v>24960</v>
      </c>
    </row>
    <row r="3559">
      <c r="A3559" s="23" t="s">
        <v>24961</v>
      </c>
      <c r="B3559" s="77" t="s">
        <v>425</v>
      </c>
      <c r="C3559" s="41">
        <v>45569.0</v>
      </c>
      <c r="D3559" s="40" t="s">
        <v>24962</v>
      </c>
      <c r="E3559" s="41" t="s">
        <v>24963</v>
      </c>
      <c r="F3559" s="43" t="s">
        <v>24964</v>
      </c>
      <c r="G3559" s="43" t="s">
        <v>24965</v>
      </c>
      <c r="H3559" s="66" t="s">
        <v>55</v>
      </c>
      <c r="I3559" s="25" t="str">
        <f>IFERROR(__xludf.DUMMYFUNCTION("GOOGLETRANSLATE(H3559,""EN"",""ES"")"),"deportes de motor")</f>
        <v>deportes de motor</v>
      </c>
      <c r="J3559" s="26" t="s">
        <v>27</v>
      </c>
      <c r="K3559" s="17">
        <v>0.0</v>
      </c>
      <c r="L3559" s="54"/>
      <c r="M3559" s="31"/>
      <c r="N3559" s="90"/>
      <c r="O3559" s="90"/>
      <c r="P3559" s="20">
        <v>0.0</v>
      </c>
      <c r="Q3559" s="31"/>
      <c r="R3559" s="31"/>
      <c r="S3559" s="53"/>
      <c r="T3559" s="32"/>
    </row>
    <row r="3560">
      <c r="A3560" s="33" t="s">
        <v>24966</v>
      </c>
      <c r="B3560" s="76" t="s">
        <v>43</v>
      </c>
      <c r="C3560" s="41">
        <v>45569.0</v>
      </c>
      <c r="D3560" s="40" t="s">
        <v>24967</v>
      </c>
      <c r="E3560" s="41" t="s">
        <v>24968</v>
      </c>
      <c r="F3560" s="43" t="s">
        <v>24969</v>
      </c>
      <c r="G3560" s="43" t="s">
        <v>24970</v>
      </c>
      <c r="H3560" s="65" t="s">
        <v>24743</v>
      </c>
      <c r="I3560" s="15" t="str">
        <f>IFERROR(__xludf.DUMMYFUNCTION("GOOGLETRANSLATE(H3560,""EN"",""ES"")"),"Mercado de Valores")</f>
        <v>Mercado de Valores</v>
      </c>
      <c r="J3560" s="16" t="s">
        <v>35</v>
      </c>
      <c r="K3560" s="48">
        <v>0.5</v>
      </c>
      <c r="L3560" s="51" t="s">
        <v>24971</v>
      </c>
      <c r="M3560" s="34" t="s">
        <v>24972</v>
      </c>
      <c r="N3560" s="91" t="s">
        <v>24973</v>
      </c>
      <c r="O3560" s="91" t="str">
        <f>IFERROR(__xludf.DUMMYFUNCTION("GOOGLETRANSLATE(N3560,""EN"",""ES"")"),"Actualización del mercado financiero, no directamente sobre Repsol.")</f>
        <v>Actualización del mercado financiero, no directamente sobre Repsol.</v>
      </c>
      <c r="P3560" s="30">
        <v>0.0</v>
      </c>
      <c r="Q3560" s="18"/>
      <c r="R3560" s="18"/>
      <c r="S3560" s="52" t="s">
        <v>24974</v>
      </c>
      <c r="T3560" s="22" t="s">
        <v>24975</v>
      </c>
    </row>
    <row r="3561">
      <c r="A3561" s="23" t="s">
        <v>24976</v>
      </c>
      <c r="B3561" s="77" t="s">
        <v>11295</v>
      </c>
      <c r="C3561" s="41">
        <v>45569.0</v>
      </c>
      <c r="D3561" s="40" t="s">
        <v>24977</v>
      </c>
      <c r="E3561" s="41" t="s">
        <v>24978</v>
      </c>
      <c r="F3561" s="43" t="s">
        <v>24979</v>
      </c>
      <c r="G3561" s="43" t="s">
        <v>24980</v>
      </c>
      <c r="H3561" s="66" t="s">
        <v>5747</v>
      </c>
      <c r="I3561" s="25" t="str">
        <f>IFERROR(__xludf.DUMMYFUNCTION("GOOGLETRANSLATE(H3561,""EN"",""ES"")"),"Mercado energético")</f>
        <v>Mercado energético</v>
      </c>
      <c r="J3561" s="26" t="s">
        <v>35</v>
      </c>
      <c r="K3561" s="48">
        <v>0.3</v>
      </c>
      <c r="L3561" s="49" t="s">
        <v>24981</v>
      </c>
      <c r="M3561" s="28" t="s">
        <v>24982</v>
      </c>
      <c r="N3561" s="90" t="s">
        <v>24983</v>
      </c>
      <c r="O3561" s="90" t="str">
        <f>IFERROR(__xludf.DUMMYFUNCTION("GOOGLETRANSLATE(N3561,""EN"",""ES"")"),"Potencialmente positivo para la expansión de Repsol en el sector energético.")</f>
        <v>Potencialmente positivo para la expansión de Repsol en el sector energético.</v>
      </c>
      <c r="P3561" s="30">
        <v>0.5</v>
      </c>
      <c r="Q3561" s="31" t="str">
        <f>IFERROR(__xludf.DUMMYFUNCTION("GOOGLETRANSLATE(R3561,""ES"",""EN"")"),"assumes supply")</f>
        <v>assumes supply</v>
      </c>
      <c r="R3561" s="28" t="s">
        <v>24984</v>
      </c>
      <c r="S3561" s="53" t="s">
        <v>24985</v>
      </c>
      <c r="T3561" s="32" t="s">
        <v>24985</v>
      </c>
    </row>
    <row r="3562">
      <c r="A3562" s="33" t="s">
        <v>24986</v>
      </c>
      <c r="B3562" s="76" t="s">
        <v>614</v>
      </c>
      <c r="C3562" s="41">
        <v>45570.0</v>
      </c>
      <c r="D3562" s="40" t="s">
        <v>24987</v>
      </c>
      <c r="E3562" s="41" t="s">
        <v>24988</v>
      </c>
      <c r="F3562" s="43" t="s">
        <v>24989</v>
      </c>
      <c r="G3562" s="43" t="s">
        <v>24990</v>
      </c>
      <c r="H3562" s="65" t="s">
        <v>24754</v>
      </c>
      <c r="I3562" s="15" t="str">
        <f>IFERROR(__xludf.DUMMYFUNCTION("GOOGLETRANSLATE(H3562,""EN"",""ES"")"),"Negocios y economía")</f>
        <v>Negocios y economía</v>
      </c>
      <c r="J3562" s="16" t="s">
        <v>35</v>
      </c>
      <c r="K3562" s="48">
        <v>0.2</v>
      </c>
      <c r="L3562" s="51" t="s">
        <v>24991</v>
      </c>
      <c r="M3562" s="34" t="s">
        <v>24992</v>
      </c>
      <c r="N3562" s="91" t="s">
        <v>24993</v>
      </c>
      <c r="O3562" s="91" t="str">
        <f>IFERROR(__xludf.DUMMYFUNCTION("GOOGLETRANSLATE(N3562,""EN"",""ES"")"),"Positivo porque pone de relieve la presencia de Repsol en el mercado.")</f>
        <v>Positivo porque pone de relieve la presencia de Repsol en el mercado.</v>
      </c>
      <c r="P3562" s="30">
        <v>0.0</v>
      </c>
      <c r="Q3562" s="18"/>
      <c r="R3562" s="18"/>
      <c r="S3562" s="52" t="s">
        <v>24994</v>
      </c>
      <c r="T3562" s="22" t="s">
        <v>24995</v>
      </c>
    </row>
    <row r="3563">
      <c r="A3563" s="23" t="s">
        <v>24996</v>
      </c>
      <c r="B3563" s="77" t="s">
        <v>1602</v>
      </c>
      <c r="C3563" s="41">
        <v>45570.0</v>
      </c>
      <c r="D3563" s="40" t="s">
        <v>24997</v>
      </c>
      <c r="E3563" s="41" t="s">
        <v>24998</v>
      </c>
      <c r="F3563" s="43" t="s">
        <v>24999</v>
      </c>
      <c r="G3563" s="43" t="s">
        <v>25000</v>
      </c>
      <c r="H3563" s="66" t="s">
        <v>24743</v>
      </c>
      <c r="I3563" s="25" t="str">
        <f>IFERROR(__xludf.DUMMYFUNCTION("GOOGLETRANSLATE(H3563,""EN"",""ES"")"),"Mercado de Valores")</f>
        <v>Mercado de Valores</v>
      </c>
      <c r="J3563" s="26" t="s">
        <v>35</v>
      </c>
      <c r="K3563" s="48">
        <v>0.6</v>
      </c>
      <c r="L3563" s="49" t="s">
        <v>25001</v>
      </c>
      <c r="M3563" s="28" t="s">
        <v>25002</v>
      </c>
      <c r="N3563" s="90" t="s">
        <v>25003</v>
      </c>
      <c r="O3563" s="90" t="str">
        <f>IFERROR(__xludf.DUMMYFUNCTION("GOOGLETRANSLATE(N3563,""EN"",""ES"")"),"Sentimiento positivo al posicionarse Repsol como líder del mercado.")</f>
        <v>Sentimiento positivo al posicionarse Repsol como líder del mercado.</v>
      </c>
      <c r="P3563" s="30">
        <v>0.5</v>
      </c>
      <c r="Q3563" s="31" t="str">
        <f>IFERROR(__xludf.DUMMYFUNCTION("GOOGLETRANSLATE(R3563,""ES"",""EN"")"),"leaders")</f>
        <v>leaders</v>
      </c>
      <c r="R3563" s="28" t="s">
        <v>25004</v>
      </c>
      <c r="S3563" s="53" t="s">
        <v>25005</v>
      </c>
      <c r="T3563" s="32" t="s">
        <v>25005</v>
      </c>
    </row>
    <row r="3564">
      <c r="A3564" s="33" t="s">
        <v>25006</v>
      </c>
      <c r="B3564" s="76" t="s">
        <v>4937</v>
      </c>
      <c r="C3564" s="41">
        <v>45570.0</v>
      </c>
      <c r="D3564" s="40" t="s">
        <v>25007</v>
      </c>
      <c r="E3564" s="41" t="s">
        <v>25008</v>
      </c>
      <c r="F3564" s="43" t="s">
        <v>25009</v>
      </c>
      <c r="G3564" s="43" t="s">
        <v>25010</v>
      </c>
      <c r="H3564" s="65" t="s">
        <v>148</v>
      </c>
      <c r="I3564" s="15" t="str">
        <f>IFERROR(__xludf.DUMMYFUNCTION("GOOGLETRANSLATE(H3564,""EN"",""ES"")"),"Gastronomía")</f>
        <v>Gastronomía</v>
      </c>
      <c r="J3564" s="16" t="s">
        <v>27</v>
      </c>
      <c r="K3564" s="17">
        <v>0.0</v>
      </c>
      <c r="L3564" s="45"/>
      <c r="M3564" s="18"/>
      <c r="N3564" s="91"/>
      <c r="O3564" s="91"/>
      <c r="P3564" s="20">
        <v>0.0</v>
      </c>
      <c r="Q3564" s="18"/>
      <c r="R3564" s="18"/>
      <c r="S3564" s="52"/>
      <c r="T3564" s="22"/>
    </row>
    <row r="3565">
      <c r="A3565" s="23" t="s">
        <v>25011</v>
      </c>
      <c r="B3565" s="77" t="s">
        <v>163</v>
      </c>
      <c r="C3565" s="41">
        <v>45570.0</v>
      </c>
      <c r="D3565" s="40" t="s">
        <v>25012</v>
      </c>
      <c r="E3565" s="41" t="s">
        <v>25013</v>
      </c>
      <c r="F3565" s="43" t="s">
        <v>25014</v>
      </c>
      <c r="G3565" s="43" t="s">
        <v>25015</v>
      </c>
      <c r="H3565" s="66" t="s">
        <v>55</v>
      </c>
      <c r="I3565" s="25" t="str">
        <f>IFERROR(__xludf.DUMMYFUNCTION("GOOGLETRANSLATE(H3565,""EN"",""ES"")"),"deportes de motor")</f>
        <v>deportes de motor</v>
      </c>
      <c r="J3565" s="26" t="s">
        <v>27</v>
      </c>
      <c r="K3565" s="17">
        <v>0.0</v>
      </c>
      <c r="L3565" s="54"/>
      <c r="M3565" s="31"/>
      <c r="N3565" s="90"/>
      <c r="O3565" s="90"/>
      <c r="P3565" s="20">
        <v>0.0</v>
      </c>
      <c r="Q3565" s="31"/>
      <c r="R3565" s="31"/>
      <c r="S3565" s="53"/>
      <c r="T3565" s="32"/>
    </row>
    <row r="3566">
      <c r="A3566" s="33" t="s">
        <v>25016</v>
      </c>
      <c r="B3566" s="76" t="s">
        <v>217</v>
      </c>
      <c r="C3566" s="41">
        <v>45570.0</v>
      </c>
      <c r="D3566" s="40" t="s">
        <v>25017</v>
      </c>
      <c r="E3566" s="41" t="s">
        <v>25018</v>
      </c>
      <c r="F3566" s="43" t="s">
        <v>25019</v>
      </c>
      <c r="G3566" s="43" t="s">
        <v>25020</v>
      </c>
      <c r="H3566" s="65" t="s">
        <v>24781</v>
      </c>
      <c r="I3566" s="15" t="str">
        <f>IFERROR(__xludf.DUMMYFUNCTION("GOOGLETRANSLATE(H3566,""EN"",""ES"")"),"Energía Renovable")</f>
        <v>Energía Renovable</v>
      </c>
      <c r="J3566" s="16" t="s">
        <v>35</v>
      </c>
      <c r="K3566" s="48">
        <v>0.6</v>
      </c>
      <c r="L3566" s="51" t="s">
        <v>25021</v>
      </c>
      <c r="M3566" s="34" t="s">
        <v>25022</v>
      </c>
      <c r="N3566" s="91" t="s">
        <v>25023</v>
      </c>
      <c r="O3566" s="91" t="str">
        <f>IFERROR(__xludf.DUMMYFUNCTION("GOOGLETRANSLATE(N3566,""EN"",""ES"")"),"Positivo por la implicación de Repsol en proyectos de energías renovables.")</f>
        <v>Positivo por la implicación de Repsol en proyectos de energías renovables.</v>
      </c>
      <c r="P3566" s="30">
        <v>0.6</v>
      </c>
      <c r="Q3566" s="18" t="str">
        <f>IFERROR(__xludf.DUMMYFUNCTION("GOOGLETRANSLATE(R3566,""ES"",""EN"")"),"wind farm")</f>
        <v>wind farm</v>
      </c>
      <c r="R3566" s="34" t="s">
        <v>25024</v>
      </c>
      <c r="S3566" s="52" t="s">
        <v>25025</v>
      </c>
      <c r="T3566" s="22" t="s">
        <v>25025</v>
      </c>
    </row>
    <row r="3567">
      <c r="A3567" s="23" t="s">
        <v>25026</v>
      </c>
      <c r="B3567" s="77" t="s">
        <v>85</v>
      </c>
      <c r="C3567" s="41">
        <v>45570.0</v>
      </c>
      <c r="D3567" s="40" t="s">
        <v>25027</v>
      </c>
      <c r="E3567" s="41" t="s">
        <v>25028</v>
      </c>
      <c r="F3567" s="43" t="s">
        <v>25029</v>
      </c>
      <c r="G3567" s="43" t="s">
        <v>25030</v>
      </c>
      <c r="H3567" s="66" t="s">
        <v>148</v>
      </c>
      <c r="I3567" s="25" t="str">
        <f>IFERROR(__xludf.DUMMYFUNCTION("GOOGLETRANSLATE(H3567,""EN"",""ES"")"),"Gastronomía")</f>
        <v>Gastronomía</v>
      </c>
      <c r="J3567" s="26" t="s">
        <v>27</v>
      </c>
      <c r="K3567" s="17">
        <v>0.0</v>
      </c>
      <c r="L3567" s="54"/>
      <c r="M3567" s="31"/>
      <c r="N3567" s="90"/>
      <c r="O3567" s="90"/>
      <c r="P3567" s="20">
        <v>0.0</v>
      </c>
      <c r="Q3567" s="31"/>
      <c r="R3567" s="31"/>
      <c r="S3567" s="53"/>
      <c r="T3567" s="32"/>
    </row>
    <row r="3568">
      <c r="A3568" s="33" t="s">
        <v>25031</v>
      </c>
      <c r="B3568" s="76" t="s">
        <v>10964</v>
      </c>
      <c r="C3568" s="41">
        <v>45570.0</v>
      </c>
      <c r="D3568" s="40" t="s">
        <v>25032</v>
      </c>
      <c r="E3568" s="41" t="s">
        <v>25033</v>
      </c>
      <c r="F3568" s="43" t="s">
        <v>25034</v>
      </c>
      <c r="G3568" s="43" t="s">
        <v>25035</v>
      </c>
      <c r="H3568" s="65" t="s">
        <v>24806</v>
      </c>
      <c r="I3568" s="15" t="str">
        <f>IFERROR(__xludf.DUMMYFUNCTION("GOOGLETRANSLATE(H3568,""EN"",""ES"")"),"Reconocimiento Corporativo")</f>
        <v>Reconocimiento Corporativo</v>
      </c>
      <c r="J3568" s="16" t="s">
        <v>35</v>
      </c>
      <c r="K3568" s="48">
        <v>0.5</v>
      </c>
      <c r="L3568" s="51" t="s">
        <v>25036</v>
      </c>
      <c r="M3568" s="34" t="s">
        <v>25037</v>
      </c>
      <c r="N3568" s="91" t="s">
        <v>25038</v>
      </c>
      <c r="O3568" s="91" t="str">
        <f>IFERROR(__xludf.DUMMYFUNCTION("GOOGLETRANSLATE(N3568,""EN"",""ES"")"),"Positivo porque demuestra la implicación de Repsol en el intercambio de conocimiento.")</f>
        <v>Positivo porque demuestra la implicación de Repsol en el intercambio de conocimiento.</v>
      </c>
      <c r="P3568" s="30">
        <v>0.4</v>
      </c>
      <c r="Q3568" s="18" t="str">
        <f>IFERROR(__xludf.DUMMYFUNCTION("GOOGLETRANSLATE(R3568,""ES"",""EN"")"),"Fair, ""Government""")</f>
        <v>Fair, "Government"</v>
      </c>
      <c r="R3568" s="34" t="s">
        <v>25039</v>
      </c>
      <c r="S3568" s="52" t="s">
        <v>25040</v>
      </c>
      <c r="T3568" s="22" t="s">
        <v>25040</v>
      </c>
    </row>
    <row r="3569">
      <c r="A3569" s="23" t="s">
        <v>25041</v>
      </c>
      <c r="B3569" s="77" t="s">
        <v>1072</v>
      </c>
      <c r="C3569" s="41">
        <v>45570.0</v>
      </c>
      <c r="D3569" s="40" t="s">
        <v>25042</v>
      </c>
      <c r="E3569" s="41" t="s">
        <v>25043</v>
      </c>
      <c r="F3569" s="43" t="s">
        <v>25044</v>
      </c>
      <c r="G3569" s="43" t="s">
        <v>25045</v>
      </c>
      <c r="H3569" s="66" t="s">
        <v>24754</v>
      </c>
      <c r="I3569" s="25" t="str">
        <f>IFERROR(__xludf.DUMMYFUNCTION("GOOGLETRANSLATE(H3569,""EN"",""ES"")"),"Negocios y economía")</f>
        <v>Negocios y economía</v>
      </c>
      <c r="J3569" s="26" t="s">
        <v>35</v>
      </c>
      <c r="K3569" s="48">
        <v>0.4</v>
      </c>
      <c r="L3569" s="49" t="s">
        <v>25046</v>
      </c>
      <c r="M3569" s="28" t="s">
        <v>25047</v>
      </c>
      <c r="N3569" s="90" t="s">
        <v>3442</v>
      </c>
      <c r="O3569" s="90" t="str">
        <f>IFERROR(__xludf.DUMMYFUNCTION("GOOGLETRANSLATE(N3569,""EN"",""ES"")"),"Sentimiento positivo debido a la expansión del negocio.")</f>
        <v>Sentimiento positivo debido a la expansión del negocio.</v>
      </c>
      <c r="P3569" s="30">
        <v>0.0</v>
      </c>
      <c r="Q3569" s="31"/>
      <c r="R3569" s="31"/>
      <c r="S3569" s="53" t="s">
        <v>25048</v>
      </c>
      <c r="T3569" s="32" t="s">
        <v>25048</v>
      </c>
    </row>
    <row r="3570">
      <c r="A3570" s="33" t="s">
        <v>25049</v>
      </c>
      <c r="B3570" s="76" t="s">
        <v>229</v>
      </c>
      <c r="C3570" s="41">
        <v>45570.0</v>
      </c>
      <c r="D3570" s="40" t="s">
        <v>25050</v>
      </c>
      <c r="E3570" s="41" t="s">
        <v>25051</v>
      </c>
      <c r="F3570" s="43" t="s">
        <v>25052</v>
      </c>
      <c r="G3570" s="43" t="s">
        <v>25053</v>
      </c>
      <c r="H3570" s="65" t="s">
        <v>24754</v>
      </c>
      <c r="I3570" s="15" t="str">
        <f>IFERROR(__xludf.DUMMYFUNCTION("GOOGLETRANSLATE(H3570,""EN"",""ES"")"),"Negocios y economía")</f>
        <v>Negocios y economía</v>
      </c>
      <c r="J3570" s="16" t="s">
        <v>35</v>
      </c>
      <c r="K3570" s="48">
        <v>-0.5</v>
      </c>
      <c r="L3570" s="51" t="s">
        <v>25054</v>
      </c>
      <c r="M3570" s="34" t="s">
        <v>25055</v>
      </c>
      <c r="N3570" s="91" t="s">
        <v>25056</v>
      </c>
      <c r="O3570" s="91" t="str">
        <f>IFERROR(__xludf.DUMMYFUNCTION("GOOGLETRANSLATE(N3570,""EN"",""ES"")"),"Negativo porque sugiere presión competitiva contra Repsol.")</f>
        <v>Negativo porque sugiere presión competitiva contra Repsol.</v>
      </c>
      <c r="P3570" s="30">
        <v>-0.7</v>
      </c>
      <c r="Q3570" s="18" t="str">
        <f>IFERROR(__xludf.DUMMYFUNCTION("GOOGLETRANSLATE(R3570,""ES"",""EN"")"),"extinction")</f>
        <v>extinction</v>
      </c>
      <c r="R3570" s="34" t="s">
        <v>25057</v>
      </c>
      <c r="S3570" s="52" t="s">
        <v>25058</v>
      </c>
      <c r="T3570" s="22" t="s">
        <v>25058</v>
      </c>
    </row>
    <row r="3571">
      <c r="A3571" s="23" t="s">
        <v>25059</v>
      </c>
      <c r="B3571" s="77" t="s">
        <v>85</v>
      </c>
      <c r="C3571" s="41">
        <v>45570.0</v>
      </c>
      <c r="D3571" s="40" t="s">
        <v>25060</v>
      </c>
      <c r="E3571" s="41" t="s">
        <v>25061</v>
      </c>
      <c r="F3571" s="43" t="s">
        <v>25062</v>
      </c>
      <c r="G3571" s="43" t="s">
        <v>25063</v>
      </c>
      <c r="H3571" s="66" t="s">
        <v>969</v>
      </c>
      <c r="I3571" s="25" t="str">
        <f>IFERROR(__xludf.DUMMYFUNCTION("GOOGLETRANSLATE(H3571,""EN"",""ES"")"),"Turismo")</f>
        <v>Turismo</v>
      </c>
      <c r="J3571" s="26" t="s">
        <v>27</v>
      </c>
      <c r="K3571" s="17">
        <v>0.0</v>
      </c>
      <c r="L3571" s="54"/>
      <c r="M3571" s="31"/>
      <c r="N3571" s="90"/>
      <c r="O3571" s="90"/>
      <c r="P3571" s="20">
        <v>0.0</v>
      </c>
      <c r="Q3571" s="31"/>
      <c r="R3571" s="31"/>
      <c r="S3571" s="53"/>
      <c r="T3571" s="32"/>
    </row>
    <row r="3572">
      <c r="A3572" s="33" t="s">
        <v>25064</v>
      </c>
      <c r="B3572" s="76" t="s">
        <v>163</v>
      </c>
      <c r="C3572" s="41">
        <v>45570.0</v>
      </c>
      <c r="D3572" s="40" t="s">
        <v>25065</v>
      </c>
      <c r="E3572" s="41" t="s">
        <v>25066</v>
      </c>
      <c r="F3572" s="43" t="s">
        <v>25067</v>
      </c>
      <c r="G3572" s="43" t="s">
        <v>25068</v>
      </c>
      <c r="H3572" s="65" t="s">
        <v>55</v>
      </c>
      <c r="I3572" s="15" t="str">
        <f>IFERROR(__xludf.DUMMYFUNCTION("GOOGLETRANSLATE(H3572,""EN"",""ES"")"),"deportes de motor")</f>
        <v>deportes de motor</v>
      </c>
      <c r="J3572" s="16" t="s">
        <v>27</v>
      </c>
      <c r="K3572" s="17">
        <v>0.0</v>
      </c>
      <c r="L3572" s="45"/>
      <c r="M3572" s="18"/>
      <c r="N3572" s="91"/>
      <c r="O3572" s="91"/>
      <c r="P3572" s="20">
        <v>0.0</v>
      </c>
      <c r="Q3572" s="18"/>
      <c r="R3572" s="18"/>
      <c r="S3572" s="52"/>
      <c r="T3572" s="22"/>
    </row>
    <row r="3573">
      <c r="A3573" s="23" t="s">
        <v>25069</v>
      </c>
      <c r="B3573" s="77" t="s">
        <v>17195</v>
      </c>
      <c r="C3573" s="41">
        <v>45570.0</v>
      </c>
      <c r="D3573" s="40" t="s">
        <v>24977</v>
      </c>
      <c r="E3573" s="41" t="s">
        <v>25070</v>
      </c>
      <c r="F3573" s="43" t="s">
        <v>24979</v>
      </c>
      <c r="G3573" s="43" t="s">
        <v>25071</v>
      </c>
      <c r="H3573" s="66" t="s">
        <v>25072</v>
      </c>
      <c r="I3573" s="25" t="str">
        <f>IFERROR(__xludf.DUMMYFUNCTION("GOOGLETRANSLATE(H3573,""EN"",""ES"")"),"Petróleo y energía")</f>
        <v>Petróleo y energía</v>
      </c>
      <c r="J3573" s="26" t="s">
        <v>35</v>
      </c>
      <c r="K3573" s="48">
        <v>0.4</v>
      </c>
      <c r="L3573" s="49" t="s">
        <v>25073</v>
      </c>
      <c r="M3573" s="28" t="s">
        <v>25074</v>
      </c>
      <c r="N3573" s="90" t="s">
        <v>25075</v>
      </c>
      <c r="O3573" s="90" t="str">
        <f>IFERROR(__xludf.DUMMYFUNCTION("GOOGLETRANSLATE(N3573,""EN"",""ES"")"),"Positivo para el papel de Repsol en la expansión energética.")</f>
        <v>Positivo para el papel de Repsol en la expansión energética.</v>
      </c>
      <c r="P3573" s="30">
        <v>0.5</v>
      </c>
      <c r="Q3573" s="31" t="str">
        <f>IFERROR(__xludf.DUMMYFUNCTION("GOOGLETRANSLATE(R3573,""ES"",""EN"")"),"assumes supply")</f>
        <v>assumes supply</v>
      </c>
      <c r="R3573" s="28" t="s">
        <v>24984</v>
      </c>
      <c r="S3573" s="53" t="s">
        <v>24985</v>
      </c>
      <c r="T3573" s="32" t="s">
        <v>24985</v>
      </c>
    </row>
    <row r="3574">
      <c r="A3574" s="33" t="s">
        <v>25076</v>
      </c>
      <c r="B3574" s="76" t="s">
        <v>425</v>
      </c>
      <c r="C3574" s="41">
        <v>45570.0</v>
      </c>
      <c r="D3574" s="40" t="s">
        <v>25077</v>
      </c>
      <c r="E3574" s="41" t="s">
        <v>25078</v>
      </c>
      <c r="F3574" s="43" t="s">
        <v>25079</v>
      </c>
      <c r="G3574" s="43" t="s">
        <v>25080</v>
      </c>
      <c r="H3574" s="65" t="s">
        <v>55</v>
      </c>
      <c r="I3574" s="15" t="str">
        <f>IFERROR(__xludf.DUMMYFUNCTION("GOOGLETRANSLATE(H3574,""EN"",""ES"")"),"deportes de motor")</f>
        <v>deportes de motor</v>
      </c>
      <c r="J3574" s="16" t="s">
        <v>27</v>
      </c>
      <c r="K3574" s="17">
        <v>0.0</v>
      </c>
      <c r="L3574" s="45"/>
      <c r="M3574" s="18"/>
      <c r="N3574" s="91"/>
      <c r="O3574" s="91"/>
      <c r="P3574" s="20">
        <v>0.0</v>
      </c>
      <c r="Q3574" s="18"/>
      <c r="R3574" s="18"/>
      <c r="S3574" s="52"/>
      <c r="T3574" s="22"/>
    </row>
    <row r="3575">
      <c r="A3575" s="23" t="s">
        <v>25081</v>
      </c>
      <c r="B3575" s="77" t="s">
        <v>14279</v>
      </c>
      <c r="C3575" s="41">
        <v>45570.0</v>
      </c>
      <c r="D3575" s="40" t="s">
        <v>25082</v>
      </c>
      <c r="E3575" s="41" t="s">
        <v>25083</v>
      </c>
      <c r="F3575" s="43" t="s">
        <v>25084</v>
      </c>
      <c r="G3575" s="43" t="s">
        <v>25085</v>
      </c>
      <c r="H3575" s="66" t="s">
        <v>782</v>
      </c>
      <c r="I3575" s="25" t="str">
        <f>IFERROR(__xludf.DUMMYFUNCTION("GOOGLETRANSLATE(H3575,""EN"",""ES"")"),"Tecnología")</f>
        <v>Tecnología</v>
      </c>
      <c r="J3575" s="26" t="s">
        <v>35</v>
      </c>
      <c r="K3575" s="48">
        <v>-0.4</v>
      </c>
      <c r="L3575" s="49" t="s">
        <v>25086</v>
      </c>
      <c r="M3575" s="28" t="s">
        <v>25087</v>
      </c>
      <c r="N3575" s="90" t="s">
        <v>25088</v>
      </c>
      <c r="O3575" s="90" t="str">
        <f>IFERROR(__xludf.DUMMYFUNCTION("GOOGLETRANSLATE(N3575,""EN"",""ES"")"),"Negativo por problemas reportados con la app de Repsol.")</f>
        <v>Negativo por problemas reportados con la app de Repsol.</v>
      </c>
      <c r="P3575" s="30">
        <v>-0.4</v>
      </c>
      <c r="Q3575" s="31" t="str">
        <f>IFERROR(__xludf.DUMMYFUNCTION("GOOGLETRANSLATE(R3575,""ES"",""EN"")"),"failures")</f>
        <v>failures</v>
      </c>
      <c r="R3575" s="28" t="s">
        <v>25089</v>
      </c>
      <c r="S3575" s="53" t="s">
        <v>25090</v>
      </c>
      <c r="T3575" s="32" t="s">
        <v>25090</v>
      </c>
    </row>
    <row r="3576">
      <c r="A3576" s="33" t="s">
        <v>25091</v>
      </c>
      <c r="B3576" s="76" t="s">
        <v>163</v>
      </c>
      <c r="C3576" s="41">
        <v>45571.0</v>
      </c>
      <c r="D3576" s="40" t="s">
        <v>25092</v>
      </c>
      <c r="E3576" s="41" t="s">
        <v>25093</v>
      </c>
      <c r="F3576" s="43" t="s">
        <v>25094</v>
      </c>
      <c r="G3576" s="43" t="s">
        <v>25095</v>
      </c>
      <c r="H3576" s="65" t="s">
        <v>24781</v>
      </c>
      <c r="I3576" s="15" t="str">
        <f>IFERROR(__xludf.DUMMYFUNCTION("GOOGLETRANSLATE(H3576,""EN"",""ES"")"),"Energía Renovable")</f>
        <v>Energía Renovable</v>
      </c>
      <c r="J3576" s="16" t="s">
        <v>35</v>
      </c>
      <c r="K3576" s="48">
        <v>0.7</v>
      </c>
      <c r="L3576" s="51" t="s">
        <v>25096</v>
      </c>
      <c r="M3576" s="34" t="s">
        <v>25097</v>
      </c>
      <c r="N3576" s="91" t="s">
        <v>23065</v>
      </c>
      <c r="O3576" s="91" t="str">
        <f>IFERROR(__xludf.DUMMYFUNCTION("GOOGLETRANSLATE(N3576,""EN"",""ES"")"),"Positivo debido a los esfuerzos de sostenibilidad.")</f>
        <v>Positivo debido a los esfuerzos de sostenibilidad.</v>
      </c>
      <c r="P3576" s="30">
        <v>0.5</v>
      </c>
      <c r="Q3576" s="18" t="str">
        <f>IFERROR(__xludf.DUMMYFUNCTION("GOOGLETRANSLATE(R3576,""ES"",""EN"")"),"renewable fuels")</f>
        <v>renewable fuels</v>
      </c>
      <c r="R3576" s="34" t="s">
        <v>584</v>
      </c>
      <c r="S3576" s="52" t="s">
        <v>25098</v>
      </c>
      <c r="T3576" s="22" t="s">
        <v>25098</v>
      </c>
    </row>
    <row r="3577">
      <c r="A3577" s="23" t="s">
        <v>25099</v>
      </c>
      <c r="B3577" s="77" t="s">
        <v>3490</v>
      </c>
      <c r="C3577" s="41">
        <v>45571.0</v>
      </c>
      <c r="D3577" s="40" t="s">
        <v>25100</v>
      </c>
      <c r="E3577" s="41" t="s">
        <v>25101</v>
      </c>
      <c r="F3577" s="43" t="s">
        <v>25102</v>
      </c>
      <c r="G3577" s="43" t="s">
        <v>25103</v>
      </c>
      <c r="H3577" s="66" t="s">
        <v>24754</v>
      </c>
      <c r="I3577" s="25" t="str">
        <f>IFERROR(__xludf.DUMMYFUNCTION("GOOGLETRANSLATE(H3577,""EN"",""ES"")"),"Negocios y economía")</f>
        <v>Negocios y economía</v>
      </c>
      <c r="J3577" s="26" t="s">
        <v>35</v>
      </c>
      <c r="K3577" s="48">
        <v>0.4</v>
      </c>
      <c r="L3577" s="49" t="s">
        <v>25104</v>
      </c>
      <c r="M3577" s="28" t="s">
        <v>25105</v>
      </c>
      <c r="N3577" s="90" t="s">
        <v>25106</v>
      </c>
      <c r="O3577" s="90" t="str">
        <f>IFERROR(__xludf.DUMMYFUNCTION("GOOGLETRANSLATE(N3577,""EN"",""ES"")"),"Noticias especulativas, sin impacto claro positivo o negativo.")</f>
        <v>Noticias especulativas, sin impacto claro positivo o negativo.</v>
      </c>
      <c r="P3577" s="30">
        <v>0.3</v>
      </c>
      <c r="Q3577" s="31" t="str">
        <f>IFERROR(__xludf.DUMMYFUNCTION("GOOGLETRANSLATE(R3577,""ES"",""EN"")"),"Fusion")</f>
        <v>Fusion</v>
      </c>
      <c r="R3577" s="28" t="s">
        <v>25107</v>
      </c>
      <c r="S3577" s="53" t="s">
        <v>25108</v>
      </c>
      <c r="T3577" s="32" t="s">
        <v>25108</v>
      </c>
    </row>
    <row r="3578">
      <c r="A3578" s="33" t="s">
        <v>25109</v>
      </c>
      <c r="B3578" s="76" t="s">
        <v>43</v>
      </c>
      <c r="C3578" s="41">
        <v>45571.0</v>
      </c>
      <c r="D3578" s="40" t="s">
        <v>25110</v>
      </c>
      <c r="E3578" s="41" t="s">
        <v>25111</v>
      </c>
      <c r="F3578" s="43" t="s">
        <v>25112</v>
      </c>
      <c r="G3578" s="43" t="s">
        <v>25113</v>
      </c>
      <c r="H3578" s="65" t="s">
        <v>148</v>
      </c>
      <c r="I3578" s="15" t="str">
        <f>IFERROR(__xludf.DUMMYFUNCTION("GOOGLETRANSLATE(H3578,""EN"",""ES"")"),"Gastronomía")</f>
        <v>Gastronomía</v>
      </c>
      <c r="J3578" s="16" t="s">
        <v>27</v>
      </c>
      <c r="K3578" s="17">
        <v>0.0</v>
      </c>
      <c r="L3578" s="45"/>
      <c r="M3578" s="18"/>
      <c r="N3578" s="91"/>
      <c r="O3578" s="91"/>
      <c r="P3578" s="20">
        <v>0.0</v>
      </c>
      <c r="Q3578" s="18"/>
      <c r="R3578" s="18"/>
      <c r="S3578" s="52"/>
      <c r="T3578" s="22"/>
    </row>
    <row r="3579">
      <c r="A3579" s="23" t="s">
        <v>25114</v>
      </c>
      <c r="B3579" s="77" t="s">
        <v>229</v>
      </c>
      <c r="C3579" s="41">
        <v>45571.0</v>
      </c>
      <c r="D3579" s="40" t="s">
        <v>25115</v>
      </c>
      <c r="E3579" s="41" t="s">
        <v>25116</v>
      </c>
      <c r="F3579" s="43" t="s">
        <v>25117</v>
      </c>
      <c r="G3579" s="43" t="s">
        <v>25118</v>
      </c>
      <c r="H3579" s="66" t="s">
        <v>24754</v>
      </c>
      <c r="I3579" s="25" t="str">
        <f>IFERROR(__xludf.DUMMYFUNCTION("GOOGLETRANSLATE(H3579,""EN"",""ES"")"),"Negocios y economía")</f>
        <v>Negocios y economía</v>
      </c>
      <c r="J3579" s="26" t="s">
        <v>35</v>
      </c>
      <c r="K3579" s="48">
        <v>-0.7</v>
      </c>
      <c r="L3579" s="49" t="s">
        <v>25119</v>
      </c>
      <c r="M3579" s="28" t="s">
        <v>25120</v>
      </c>
      <c r="N3579" s="90" t="s">
        <v>25121</v>
      </c>
      <c r="O3579" s="90" t="str">
        <f>IFERROR(__xludf.DUMMYFUNCTION("GOOGLETRANSLATE(N3579,""EN"",""ES"")"),"Encuadre fuertemente negativo del declive de la industria.")</f>
        <v>Encuadre fuertemente negativo del declive de la industria.</v>
      </c>
      <c r="P3579" s="30">
        <v>-0.8</v>
      </c>
      <c r="Q3579" s="31" t="str">
        <f>IFERROR(__xludf.DUMMYFUNCTION("GOOGLETRANSLATE(R3579,""ES"",""EN"")"),"death, ""they will close""")</f>
        <v>death, "they will close"</v>
      </c>
      <c r="R3579" s="28" t="s">
        <v>25122</v>
      </c>
      <c r="S3579" s="53" t="s">
        <v>25123</v>
      </c>
      <c r="T3579" s="32" t="s">
        <v>25123</v>
      </c>
    </row>
    <row r="3580">
      <c r="A3580" s="33" t="s">
        <v>25124</v>
      </c>
      <c r="B3580" s="76" t="s">
        <v>21</v>
      </c>
      <c r="C3580" s="41">
        <v>45571.0</v>
      </c>
      <c r="D3580" s="40" t="s">
        <v>25125</v>
      </c>
      <c r="E3580" s="41" t="s">
        <v>25126</v>
      </c>
      <c r="F3580" s="43" t="s">
        <v>25127</v>
      </c>
      <c r="G3580" s="43" t="s">
        <v>25128</v>
      </c>
      <c r="H3580" s="65" t="s">
        <v>969</v>
      </c>
      <c r="I3580" s="15" t="str">
        <f>IFERROR(__xludf.DUMMYFUNCTION("GOOGLETRANSLATE(H3580,""EN"",""ES"")"),"Turismo")</f>
        <v>Turismo</v>
      </c>
      <c r="J3580" s="16" t="s">
        <v>27</v>
      </c>
      <c r="K3580" s="17">
        <v>0.0</v>
      </c>
      <c r="L3580" s="45"/>
      <c r="M3580" s="18"/>
      <c r="N3580" s="91"/>
      <c r="O3580" s="91"/>
      <c r="P3580" s="20">
        <v>0.0</v>
      </c>
      <c r="Q3580" s="18"/>
      <c r="R3580" s="18"/>
      <c r="S3580" s="52"/>
      <c r="T3580" s="22"/>
    </row>
    <row r="3581">
      <c r="A3581" s="23" t="s">
        <v>25129</v>
      </c>
      <c r="B3581" s="77" t="s">
        <v>3273</v>
      </c>
      <c r="C3581" s="41">
        <v>45571.0</v>
      </c>
      <c r="D3581" s="40" t="s">
        <v>25012</v>
      </c>
      <c r="E3581" s="41" t="s">
        <v>25130</v>
      </c>
      <c r="F3581" s="43" t="s">
        <v>25014</v>
      </c>
      <c r="G3581" s="43" t="s">
        <v>25131</v>
      </c>
      <c r="H3581" s="66" t="s">
        <v>55</v>
      </c>
      <c r="I3581" s="25" t="str">
        <f>IFERROR(__xludf.DUMMYFUNCTION("GOOGLETRANSLATE(H3581,""EN"",""ES"")"),"deportes de motor")</f>
        <v>deportes de motor</v>
      </c>
      <c r="J3581" s="26" t="s">
        <v>27</v>
      </c>
      <c r="K3581" s="17">
        <v>0.0</v>
      </c>
      <c r="L3581" s="54"/>
      <c r="M3581" s="31"/>
      <c r="N3581" s="90"/>
      <c r="O3581" s="90"/>
      <c r="P3581" s="20">
        <v>0.0</v>
      </c>
      <c r="Q3581" s="31"/>
      <c r="R3581" s="31"/>
      <c r="S3581" s="53"/>
      <c r="T3581" s="32"/>
    </row>
    <row r="3582">
      <c r="A3582" s="33" t="s">
        <v>25132</v>
      </c>
      <c r="B3582" s="76" t="s">
        <v>3067</v>
      </c>
      <c r="C3582" s="41">
        <v>45571.0</v>
      </c>
      <c r="D3582" s="40" t="s">
        <v>25133</v>
      </c>
      <c r="E3582" s="41" t="s">
        <v>25134</v>
      </c>
      <c r="F3582" s="43" t="s">
        <v>25135</v>
      </c>
      <c r="G3582" s="43" t="s">
        <v>25136</v>
      </c>
      <c r="H3582" s="65" t="s">
        <v>148</v>
      </c>
      <c r="I3582" s="15" t="str">
        <f>IFERROR(__xludf.DUMMYFUNCTION("GOOGLETRANSLATE(H3582,""EN"",""ES"")"),"Gastronomía")</f>
        <v>Gastronomía</v>
      </c>
      <c r="J3582" s="16" t="s">
        <v>27</v>
      </c>
      <c r="K3582" s="17">
        <v>0.0</v>
      </c>
      <c r="L3582" s="45"/>
      <c r="M3582" s="18"/>
      <c r="N3582" s="91"/>
      <c r="O3582" s="91"/>
      <c r="P3582" s="20">
        <v>0.0</v>
      </c>
      <c r="Q3582" s="18"/>
      <c r="R3582" s="18"/>
      <c r="S3582" s="52"/>
      <c r="T3582" s="22"/>
    </row>
    <row r="3583">
      <c r="A3583" s="23" t="s">
        <v>25137</v>
      </c>
      <c r="B3583" s="77" t="s">
        <v>163</v>
      </c>
      <c r="C3583" s="41">
        <v>45571.0</v>
      </c>
      <c r="D3583" s="40" t="s">
        <v>25138</v>
      </c>
      <c r="E3583" s="41" t="s">
        <v>25139</v>
      </c>
      <c r="F3583" s="43" t="s">
        <v>25140</v>
      </c>
      <c r="G3583" s="43" t="s">
        <v>25141</v>
      </c>
      <c r="H3583" s="66" t="s">
        <v>55</v>
      </c>
      <c r="I3583" s="25" t="str">
        <f>IFERROR(__xludf.DUMMYFUNCTION("GOOGLETRANSLATE(H3583,""EN"",""ES"")"),"deportes de motor")</f>
        <v>deportes de motor</v>
      </c>
      <c r="J3583" s="26" t="s">
        <v>27</v>
      </c>
      <c r="K3583" s="17">
        <v>0.0</v>
      </c>
      <c r="L3583" s="54"/>
      <c r="M3583" s="31"/>
      <c r="N3583" s="90"/>
      <c r="O3583" s="90"/>
      <c r="P3583" s="20">
        <v>0.0</v>
      </c>
      <c r="Q3583" s="31"/>
      <c r="R3583" s="31"/>
      <c r="S3583" s="53"/>
      <c r="T3583" s="32"/>
    </row>
    <row r="3584">
      <c r="A3584" s="33" t="s">
        <v>25142</v>
      </c>
      <c r="B3584" s="76" t="s">
        <v>1011</v>
      </c>
      <c r="C3584" s="41">
        <v>45571.0</v>
      </c>
      <c r="D3584" s="40" t="s">
        <v>25143</v>
      </c>
      <c r="E3584" s="41" t="s">
        <v>25144</v>
      </c>
      <c r="F3584" s="43" t="s">
        <v>25145</v>
      </c>
      <c r="G3584" s="43" t="s">
        <v>25146</v>
      </c>
      <c r="H3584" s="65" t="s">
        <v>25147</v>
      </c>
      <c r="I3584" s="15" t="str">
        <f>IFERROR(__xludf.DUMMYFUNCTION("GOOGLETRANSLATE(H3584,""EN"",""ES"")"),"Cuestiones ambientales")</f>
        <v>Cuestiones ambientales</v>
      </c>
      <c r="J3584" s="16" t="s">
        <v>35</v>
      </c>
      <c r="K3584" s="48">
        <v>-0.8</v>
      </c>
      <c r="L3584" s="51" t="s">
        <v>25148</v>
      </c>
      <c r="M3584" s="34" t="s">
        <v>25149</v>
      </c>
      <c r="N3584" s="91" t="s">
        <v>25150</v>
      </c>
      <c r="O3584" s="91" t="str">
        <f>IFERROR(__xludf.DUMMYFUNCTION("GOOGLETRANSLATE(N3584,""EN"",""ES"")"),"Fuertemente negativo debido al impacto ambiental.")</f>
        <v>Fuertemente negativo debido al impacto ambiental.</v>
      </c>
      <c r="P3584" s="30">
        <v>-0.6</v>
      </c>
      <c r="Q3584" s="18" t="str">
        <f>IFERROR(__xludf.DUMMYFUNCTION("GOOGLETRANSLATE(R3584,""ES"",""EN"")"),"spill")</f>
        <v>spill</v>
      </c>
      <c r="R3584" s="34" t="s">
        <v>18452</v>
      </c>
      <c r="S3584" s="52" t="s">
        <v>10066</v>
      </c>
      <c r="T3584" s="22" t="s">
        <v>10066</v>
      </c>
    </row>
    <row r="3585">
      <c r="A3585" s="23" t="s">
        <v>25151</v>
      </c>
      <c r="B3585" s="77" t="s">
        <v>2442</v>
      </c>
      <c r="C3585" s="41">
        <v>45571.0</v>
      </c>
      <c r="D3585" s="40" t="s">
        <v>25152</v>
      </c>
      <c r="E3585" s="41" t="s">
        <v>25152</v>
      </c>
      <c r="F3585" s="43" t="s">
        <v>25153</v>
      </c>
      <c r="G3585" s="43" t="s">
        <v>25153</v>
      </c>
      <c r="H3585" s="66" t="s">
        <v>24806</v>
      </c>
      <c r="I3585" s="25" t="str">
        <f>IFERROR(__xludf.DUMMYFUNCTION("GOOGLETRANSLATE(H3585,""EN"",""ES"")"),"Reconocimiento Corporativo")</f>
        <v>Reconocimiento Corporativo</v>
      </c>
      <c r="J3585" s="26" t="s">
        <v>27</v>
      </c>
      <c r="K3585" s="17">
        <v>0.0</v>
      </c>
      <c r="L3585" s="54"/>
      <c r="M3585" s="31"/>
      <c r="N3585" s="90"/>
      <c r="O3585" s="90"/>
      <c r="P3585" s="20">
        <v>0.0</v>
      </c>
      <c r="Q3585" s="31"/>
      <c r="R3585" s="31"/>
      <c r="S3585" s="53"/>
      <c r="T3585" s="32"/>
    </row>
    <row r="3586">
      <c r="A3586" s="33" t="s">
        <v>25154</v>
      </c>
      <c r="B3586" s="76" t="s">
        <v>163</v>
      </c>
      <c r="C3586" s="41">
        <v>45572.0</v>
      </c>
      <c r="D3586" s="40" t="s">
        <v>25155</v>
      </c>
      <c r="E3586" s="41" t="s">
        <v>25156</v>
      </c>
      <c r="F3586" s="43" t="s">
        <v>25157</v>
      </c>
      <c r="G3586" s="43" t="s">
        <v>25158</v>
      </c>
      <c r="H3586" s="65" t="s">
        <v>25159</v>
      </c>
      <c r="I3586" s="15" t="str">
        <f>IFERROR(__xludf.DUMMYFUNCTION("GOOGLETRANSLATE(H3586,""EN"",""ES"")"),"Iniciativas corporativas")</f>
        <v>Iniciativas corporativas</v>
      </c>
      <c r="J3586" s="16" t="s">
        <v>27</v>
      </c>
      <c r="K3586" s="17">
        <v>0.0</v>
      </c>
      <c r="L3586" s="45"/>
      <c r="M3586" s="18"/>
      <c r="N3586" s="91"/>
      <c r="O3586" s="91"/>
      <c r="P3586" s="20">
        <v>0.0</v>
      </c>
      <c r="Q3586" s="18"/>
      <c r="R3586" s="18"/>
      <c r="S3586" s="52"/>
      <c r="T3586" s="22"/>
    </row>
    <row r="3587">
      <c r="A3587" s="23" t="s">
        <v>25160</v>
      </c>
      <c r="B3587" s="77" t="s">
        <v>403</v>
      </c>
      <c r="C3587" s="41">
        <v>45572.0</v>
      </c>
      <c r="D3587" s="40" t="s">
        <v>25161</v>
      </c>
      <c r="E3587" s="41" t="s">
        <v>25162</v>
      </c>
      <c r="F3587" s="43" t="s">
        <v>25163</v>
      </c>
      <c r="G3587" s="43" t="s">
        <v>25164</v>
      </c>
      <c r="H3587" s="66" t="s">
        <v>24754</v>
      </c>
      <c r="I3587" s="25" t="str">
        <f>IFERROR(__xludf.DUMMYFUNCTION("GOOGLETRANSLATE(H3587,""EN"",""ES"")"),"Negocios y economía")</f>
        <v>Negocios y economía</v>
      </c>
      <c r="J3587" s="26" t="s">
        <v>35</v>
      </c>
      <c r="K3587" s="48">
        <v>0.7</v>
      </c>
      <c r="L3587" s="49" t="s">
        <v>25165</v>
      </c>
      <c r="M3587" s="28" t="s">
        <v>25166</v>
      </c>
      <c r="N3587" s="90" t="s">
        <v>25167</v>
      </c>
      <c r="O3587" s="90" t="str">
        <f>IFERROR(__xludf.DUMMYFUNCTION("GOOGLETRANSLATE(N3587,""EN"",""ES"")"),"Positivo ya que Repsol gana cuota de mercado.")</f>
        <v>Positivo ya que Repsol gana cuota de mercado.</v>
      </c>
      <c r="P3587" s="30">
        <v>0.4</v>
      </c>
      <c r="Q3587" s="31" t="str">
        <f>IFERROR(__xludf.DUMMYFUNCTION("GOOGLETRANSLATE(R3587,""ES"",""EN"")"),"lose customers")</f>
        <v>lose customers</v>
      </c>
      <c r="R3587" s="28" t="s">
        <v>25168</v>
      </c>
      <c r="S3587" s="53" t="s">
        <v>25169</v>
      </c>
      <c r="T3587" s="32" t="s">
        <v>25169</v>
      </c>
    </row>
    <row r="3588">
      <c r="A3588" s="33" t="s">
        <v>25170</v>
      </c>
      <c r="B3588" s="76" t="s">
        <v>5129</v>
      </c>
      <c r="C3588" s="41">
        <v>45572.0</v>
      </c>
      <c r="D3588" s="40" t="s">
        <v>25171</v>
      </c>
      <c r="E3588" s="41" t="s">
        <v>25172</v>
      </c>
      <c r="F3588" s="43" t="s">
        <v>25173</v>
      </c>
      <c r="G3588" s="43" t="s">
        <v>25174</v>
      </c>
      <c r="H3588" s="65" t="s">
        <v>24743</v>
      </c>
      <c r="I3588" s="15" t="str">
        <f>IFERROR(__xludf.DUMMYFUNCTION("GOOGLETRANSLATE(H3588,""EN"",""ES"")"),"Mercado de Valores")</f>
        <v>Mercado de Valores</v>
      </c>
      <c r="J3588" s="16" t="s">
        <v>35</v>
      </c>
      <c r="K3588" s="48">
        <v>-0.3</v>
      </c>
      <c r="L3588" s="51" t="s">
        <v>25175</v>
      </c>
      <c r="M3588" s="34" t="s">
        <v>25176</v>
      </c>
      <c r="N3588" s="91" t="s">
        <v>25177</v>
      </c>
      <c r="O3588" s="91" t="str">
        <f>IFERROR(__xludf.DUMMYFUNCTION("GOOGLETRANSLATE(N3588,""EN"",""ES"")"),"Ligeramente negativo debido al recorte del precio objetivo.")</f>
        <v>Ligeramente negativo debido al recorte del precio objetivo.</v>
      </c>
      <c r="P3588" s="30">
        <v>0.0</v>
      </c>
      <c r="Q3588" s="18"/>
      <c r="R3588" s="18"/>
      <c r="S3588" s="52" t="s">
        <v>24577</v>
      </c>
      <c r="T3588" s="22" t="s">
        <v>24577</v>
      </c>
    </row>
    <row r="3589">
      <c r="A3589" s="23" t="s">
        <v>25178</v>
      </c>
      <c r="B3589" s="77" t="s">
        <v>7544</v>
      </c>
      <c r="C3589" s="41">
        <v>45572.0</v>
      </c>
      <c r="D3589" s="40" t="s">
        <v>25179</v>
      </c>
      <c r="E3589" s="41" t="s">
        <v>25180</v>
      </c>
      <c r="F3589" s="43" t="s">
        <v>25181</v>
      </c>
      <c r="G3589" s="43" t="s">
        <v>25182</v>
      </c>
      <c r="H3589" s="66" t="s">
        <v>5747</v>
      </c>
      <c r="I3589" s="25" t="str">
        <f>IFERROR(__xludf.DUMMYFUNCTION("GOOGLETRANSLATE(H3589,""EN"",""ES"")"),"Mercado energético")</f>
        <v>Mercado energético</v>
      </c>
      <c r="J3589" s="26" t="s">
        <v>35</v>
      </c>
      <c r="K3589" s="48">
        <v>-0.5</v>
      </c>
      <c r="L3589" s="49" t="s">
        <v>25183</v>
      </c>
      <c r="M3589" s="28" t="s">
        <v>25184</v>
      </c>
      <c r="N3589" s="90" t="s">
        <v>25185</v>
      </c>
      <c r="O3589" s="90" t="str">
        <f>IFERROR(__xludf.DUMMYFUNCTION("GOOGLETRANSLATE(N3589,""EN"",""ES"")"),"Sentimiento negativo debido a la crítica pública.")</f>
        <v>Sentimiento negativo debido a la crítica pública.</v>
      </c>
      <c r="P3589" s="30">
        <v>-0.5</v>
      </c>
      <c r="Q3589" s="31" t="str">
        <f>IFERROR(__xludf.DUMMYFUNCTION("GOOGLETRANSLATE(R3589,""ES"",""EN"")"),"criticism")</f>
        <v>criticism</v>
      </c>
      <c r="R3589" s="28" t="s">
        <v>25186</v>
      </c>
      <c r="S3589" s="53" t="s">
        <v>25187</v>
      </c>
      <c r="T3589" s="32" t="s">
        <v>25187</v>
      </c>
    </row>
    <row r="3590">
      <c r="A3590" s="33" t="s">
        <v>25188</v>
      </c>
      <c r="B3590" s="76" t="s">
        <v>8072</v>
      </c>
      <c r="C3590" s="41">
        <v>45572.0</v>
      </c>
      <c r="D3590" s="40" t="s">
        <v>25189</v>
      </c>
      <c r="E3590" s="41" t="s">
        <v>25190</v>
      </c>
      <c r="F3590" s="43" t="s">
        <v>25191</v>
      </c>
      <c r="G3590" s="43" t="s">
        <v>25192</v>
      </c>
      <c r="H3590" s="65" t="s">
        <v>24743</v>
      </c>
      <c r="I3590" s="15" t="str">
        <f>IFERROR(__xludf.DUMMYFUNCTION("GOOGLETRANSLATE(H3590,""EN"",""ES"")"),"Mercado de Valores")</f>
        <v>Mercado de Valores</v>
      </c>
      <c r="J3590" s="16" t="s">
        <v>35</v>
      </c>
      <c r="K3590" s="48">
        <v>0.4</v>
      </c>
      <c r="L3590" s="51" t="s">
        <v>25193</v>
      </c>
      <c r="M3590" s="34" t="s">
        <v>25194</v>
      </c>
      <c r="N3590" s="91" t="s">
        <v>25195</v>
      </c>
      <c r="O3590" s="91" t="str">
        <f>IFERROR(__xludf.DUMMYFUNCTION("GOOGLETRANSLATE(N3590,""EN"",""ES"")"),"Análisis de mercado neutral.")</f>
        <v>Análisis de mercado neutral.</v>
      </c>
      <c r="P3590" s="30">
        <v>0.0</v>
      </c>
      <c r="Q3590" s="18"/>
      <c r="R3590" s="18"/>
      <c r="S3590" s="52" t="s">
        <v>24644</v>
      </c>
      <c r="T3590" s="22" t="s">
        <v>24645</v>
      </c>
    </row>
    <row r="3591">
      <c r="A3591" s="23" t="s">
        <v>25196</v>
      </c>
      <c r="B3591" s="77" t="s">
        <v>4450</v>
      </c>
      <c r="C3591" s="41">
        <v>45572.0</v>
      </c>
      <c r="D3591" s="40" t="s">
        <v>25197</v>
      </c>
      <c r="E3591" s="41" t="s">
        <v>25198</v>
      </c>
      <c r="F3591" s="43" t="s">
        <v>25199</v>
      </c>
      <c r="G3591" s="43" t="s">
        <v>25200</v>
      </c>
      <c r="H3591" s="66" t="s">
        <v>25201</v>
      </c>
      <c r="I3591" s="25" t="str">
        <f>IFERROR(__xludf.DUMMYFUNCTION("GOOGLETRANSLATE(H3591,""EN"",""ES"")"),"Asuntos Laborales")</f>
        <v>Asuntos Laborales</v>
      </c>
      <c r="J3591" s="26" t="s">
        <v>35</v>
      </c>
      <c r="K3591" s="48">
        <v>-0.7</v>
      </c>
      <c r="L3591" s="49" t="s">
        <v>25202</v>
      </c>
      <c r="M3591" s="28" t="s">
        <v>25203</v>
      </c>
      <c r="N3591" s="90" t="s">
        <v>25204</v>
      </c>
      <c r="O3591" s="90" t="str">
        <f>IFERROR(__xludf.DUMMYFUNCTION("GOOGLETRANSLATE(N3591,""EN"",""ES"")"),"Negativo por conflictividad laboral.")</f>
        <v>Negativo por conflictividad laboral.</v>
      </c>
      <c r="P3591" s="30">
        <v>-0.9</v>
      </c>
      <c r="Q3591" s="31" t="str">
        <f>IFERROR(__xludf.DUMMYFUNCTION("GOOGLETRANSLATE(R3591,""ES"",""EN"")"),"indefinite strike")</f>
        <v>indefinite strike</v>
      </c>
      <c r="R3591" s="28" t="s">
        <v>25205</v>
      </c>
      <c r="S3591" s="53" t="s">
        <v>25206</v>
      </c>
      <c r="T3591" s="32" t="s">
        <v>25206</v>
      </c>
    </row>
    <row r="3592">
      <c r="A3592" s="33" t="s">
        <v>25207</v>
      </c>
      <c r="B3592" s="76" t="s">
        <v>1072</v>
      </c>
      <c r="C3592" s="41">
        <v>45572.0</v>
      </c>
      <c r="D3592" s="40" t="s">
        <v>25208</v>
      </c>
      <c r="E3592" s="41" t="s">
        <v>25209</v>
      </c>
      <c r="F3592" s="43" t="s">
        <v>25210</v>
      </c>
      <c r="G3592" s="43" t="s">
        <v>25211</v>
      </c>
      <c r="H3592" s="65" t="s">
        <v>24743</v>
      </c>
      <c r="I3592" s="15" t="str">
        <f>IFERROR(__xludf.DUMMYFUNCTION("GOOGLETRANSLATE(H3592,""EN"",""ES"")"),"Mercado de Valores")</f>
        <v>Mercado de Valores</v>
      </c>
      <c r="J3592" s="16" t="s">
        <v>35</v>
      </c>
      <c r="K3592" s="48">
        <v>0.5</v>
      </c>
      <c r="L3592" s="51" t="s">
        <v>25212</v>
      </c>
      <c r="M3592" s="34" t="s">
        <v>25212</v>
      </c>
      <c r="N3592" s="91" t="s">
        <v>25213</v>
      </c>
      <c r="O3592" s="91" t="str">
        <f>IFERROR(__xludf.DUMMYFUNCTION("GOOGLETRANSLATE(N3592,""EN"",""ES"")"),"Positivo por las ganancias en bolsa.")</f>
        <v>Positivo por las ganancias en bolsa.</v>
      </c>
      <c r="P3592" s="30">
        <v>0.0</v>
      </c>
      <c r="Q3592" s="18"/>
      <c r="R3592" s="18"/>
      <c r="S3592" s="52" t="s">
        <v>24577</v>
      </c>
      <c r="T3592" s="22" t="s">
        <v>24577</v>
      </c>
    </row>
    <row r="3593">
      <c r="A3593" s="23" t="s">
        <v>25214</v>
      </c>
      <c r="B3593" s="77" t="s">
        <v>4948</v>
      </c>
      <c r="C3593" s="41">
        <v>45572.0</v>
      </c>
      <c r="D3593" s="40" t="s">
        <v>25215</v>
      </c>
      <c r="E3593" s="41" t="s">
        <v>25216</v>
      </c>
      <c r="F3593" s="43" t="s">
        <v>25217</v>
      </c>
      <c r="G3593" s="43" t="s">
        <v>25218</v>
      </c>
      <c r="H3593" s="66" t="s">
        <v>25201</v>
      </c>
      <c r="I3593" s="25" t="str">
        <f>IFERROR(__xludf.DUMMYFUNCTION("GOOGLETRANSLATE(H3593,""EN"",""ES"")"),"Asuntos Laborales")</f>
        <v>Asuntos Laborales</v>
      </c>
      <c r="J3593" s="26" t="s">
        <v>35</v>
      </c>
      <c r="K3593" s="48">
        <v>-0.8</v>
      </c>
      <c r="L3593" s="49" t="s">
        <v>25219</v>
      </c>
      <c r="M3593" s="28" t="s">
        <v>25220</v>
      </c>
      <c r="N3593" s="90" t="s">
        <v>25221</v>
      </c>
      <c r="O3593" s="90" t="str">
        <f>IFERROR(__xludf.DUMMYFUNCTION("GOOGLETRANSLATE(N3593,""EN"",""ES"")"),"Sentimiento negativo debido a las huelgas laborales.")</f>
        <v>Sentimiento negativo debido a las huelgas laborales.</v>
      </c>
      <c r="P3593" s="30">
        <v>-0.9</v>
      </c>
      <c r="Q3593" s="31" t="str">
        <f>IFERROR(__xludf.DUMMYFUNCTION("GOOGLETRANSLATE(R3593,""ES"",""EN"")"),"indefinite strike")</f>
        <v>indefinite strike</v>
      </c>
      <c r="R3593" s="28" t="s">
        <v>25205</v>
      </c>
      <c r="S3593" s="53" t="s">
        <v>25222</v>
      </c>
      <c r="T3593" s="32" t="s">
        <v>25222</v>
      </c>
    </row>
    <row r="3594">
      <c r="A3594" s="33" t="s">
        <v>25223</v>
      </c>
      <c r="B3594" s="76" t="s">
        <v>25224</v>
      </c>
      <c r="C3594" s="41">
        <v>45572.0</v>
      </c>
      <c r="D3594" s="40" t="s">
        <v>25225</v>
      </c>
      <c r="E3594" s="41" t="s">
        <v>25226</v>
      </c>
      <c r="F3594" s="43" t="s">
        <v>25227</v>
      </c>
      <c r="G3594" s="43" t="s">
        <v>25228</v>
      </c>
      <c r="H3594" s="65" t="s">
        <v>55</v>
      </c>
      <c r="I3594" s="15" t="str">
        <f>IFERROR(__xludf.DUMMYFUNCTION("GOOGLETRANSLATE(H3594,""EN"",""ES"")"),"deportes de motor")</f>
        <v>deportes de motor</v>
      </c>
      <c r="J3594" s="16" t="s">
        <v>27</v>
      </c>
      <c r="K3594" s="17">
        <v>0.0</v>
      </c>
      <c r="L3594" s="45"/>
      <c r="M3594" s="18"/>
      <c r="N3594" s="91"/>
      <c r="O3594" s="91"/>
      <c r="P3594" s="20">
        <v>0.0</v>
      </c>
      <c r="Q3594" s="18"/>
      <c r="R3594" s="18"/>
      <c r="S3594" s="52"/>
      <c r="T3594" s="22"/>
    </row>
    <row r="3595">
      <c r="A3595" s="23" t="s">
        <v>25229</v>
      </c>
      <c r="B3595" s="77" t="s">
        <v>21</v>
      </c>
      <c r="C3595" s="41">
        <v>45572.0</v>
      </c>
      <c r="D3595" s="40" t="s">
        <v>25230</v>
      </c>
      <c r="E3595" s="41" t="s">
        <v>25231</v>
      </c>
      <c r="F3595" s="43" t="s">
        <v>25232</v>
      </c>
      <c r="G3595" s="43" t="s">
        <v>25233</v>
      </c>
      <c r="H3595" s="66" t="s">
        <v>148</v>
      </c>
      <c r="I3595" s="25" t="str">
        <f>IFERROR(__xludf.DUMMYFUNCTION("GOOGLETRANSLATE(H3595,""EN"",""ES"")"),"Gastronomía")</f>
        <v>Gastronomía</v>
      </c>
      <c r="J3595" s="26" t="s">
        <v>27</v>
      </c>
      <c r="K3595" s="17">
        <v>0.0</v>
      </c>
      <c r="L3595" s="54"/>
      <c r="M3595" s="31"/>
      <c r="N3595" s="90"/>
      <c r="O3595" s="90"/>
      <c r="P3595" s="20">
        <v>0.0</v>
      </c>
      <c r="Q3595" s="31"/>
      <c r="R3595" s="31"/>
      <c r="S3595" s="53"/>
      <c r="T3595" s="32"/>
    </row>
    <row r="3596">
      <c r="A3596" s="33" t="s">
        <v>25234</v>
      </c>
      <c r="B3596" s="76" t="s">
        <v>614</v>
      </c>
      <c r="C3596" s="41">
        <v>45572.0</v>
      </c>
      <c r="D3596" s="40" t="s">
        <v>25235</v>
      </c>
      <c r="E3596" s="41" t="s">
        <v>25236</v>
      </c>
      <c r="F3596" s="43" t="s">
        <v>25237</v>
      </c>
      <c r="G3596" s="43" t="s">
        <v>25238</v>
      </c>
      <c r="H3596" s="65" t="s">
        <v>130</v>
      </c>
      <c r="I3596" s="15" t="str">
        <f>IFERROR(__xludf.DUMMYFUNCTION("GOOGLETRANSLATE(H3596,""EN"",""ES"")"),"Sostenibilidad")</f>
        <v>Sostenibilidad</v>
      </c>
      <c r="J3596" s="16" t="s">
        <v>35</v>
      </c>
      <c r="K3596" s="48">
        <v>0.7</v>
      </c>
      <c r="L3596" s="51" t="s">
        <v>25239</v>
      </c>
      <c r="M3596" s="34" t="s">
        <v>25240</v>
      </c>
      <c r="N3596" s="91" t="s">
        <v>25241</v>
      </c>
      <c r="O3596" s="91" t="str">
        <f>IFERROR(__xludf.DUMMYFUNCTION("GOOGLETRANSLATE(N3596,""EN"",""ES"")"),"Positivo por el esfuerzo de Repsol en sostenibilidad.")</f>
        <v>Positivo por el esfuerzo de Repsol en sostenibilidad.</v>
      </c>
      <c r="P3596" s="30">
        <v>0.5</v>
      </c>
      <c r="Q3596" s="18" t="str">
        <f>IFERROR(__xludf.DUMMYFUNCTION("GOOGLETRANSLATE(R3596,""ES"",""EN"")"),"recycling, ""sustainability""")</f>
        <v>recycling, "sustainability"</v>
      </c>
      <c r="R3596" s="34" t="s">
        <v>25242</v>
      </c>
      <c r="S3596" s="52" t="s">
        <v>25243</v>
      </c>
      <c r="T3596" s="22" t="s">
        <v>25243</v>
      </c>
    </row>
    <row r="3597">
      <c r="A3597" s="23" t="s">
        <v>25244</v>
      </c>
      <c r="B3597" s="77" t="s">
        <v>558</v>
      </c>
      <c r="C3597" s="41">
        <v>45572.0</v>
      </c>
      <c r="D3597" s="40" t="s">
        <v>25245</v>
      </c>
      <c r="E3597" s="41" t="s">
        <v>25246</v>
      </c>
      <c r="F3597" s="43" t="s">
        <v>25247</v>
      </c>
      <c r="G3597" s="43" t="s">
        <v>25248</v>
      </c>
      <c r="H3597" s="66" t="s">
        <v>24743</v>
      </c>
      <c r="I3597" s="25" t="str">
        <f>IFERROR(__xludf.DUMMYFUNCTION("GOOGLETRANSLATE(H3597,""EN"",""ES"")"),"Mercado de Valores")</f>
        <v>Mercado de Valores</v>
      </c>
      <c r="J3597" s="26" t="s">
        <v>35</v>
      </c>
      <c r="K3597" s="48">
        <v>-0.4</v>
      </c>
      <c r="L3597" s="49" t="s">
        <v>25249</v>
      </c>
      <c r="M3597" s="28" t="s">
        <v>25249</v>
      </c>
      <c r="N3597" s="90" t="s">
        <v>25250</v>
      </c>
      <c r="O3597" s="90" t="str">
        <f>IFERROR(__xludf.DUMMYFUNCTION("GOOGLETRANSLATE(N3597,""EN"",""ES"")"),"Ligeramente negativo debido al menor potencial de stock.")</f>
        <v>Ligeramente negativo debido al menor potencial de stock.</v>
      </c>
      <c r="P3597" s="30">
        <v>-0.4</v>
      </c>
      <c r="Q3597" s="31" t="str">
        <f>IFERROR(__xludf.DUMMYFUNCTION("GOOGLETRANSLATE(R3597,""ES"",""EN"")"),"cuts potential")</f>
        <v>cuts potential</v>
      </c>
      <c r="R3597" s="28" t="s">
        <v>25251</v>
      </c>
      <c r="S3597" s="53" t="s">
        <v>25252</v>
      </c>
      <c r="T3597" s="32" t="s">
        <v>25252</v>
      </c>
    </row>
    <row r="3598">
      <c r="A3598" s="33" t="s">
        <v>25253</v>
      </c>
      <c r="B3598" s="76" t="s">
        <v>163</v>
      </c>
      <c r="C3598" s="41">
        <v>45572.0</v>
      </c>
      <c r="D3598" s="40" t="s">
        <v>25254</v>
      </c>
      <c r="E3598" s="41" t="s">
        <v>25255</v>
      </c>
      <c r="F3598" s="43" t="s">
        <v>25256</v>
      </c>
      <c r="G3598" s="43" t="s">
        <v>25257</v>
      </c>
      <c r="H3598" s="65" t="s">
        <v>782</v>
      </c>
      <c r="I3598" s="15" t="str">
        <f>IFERROR(__xludf.DUMMYFUNCTION("GOOGLETRANSLATE(H3598,""EN"",""ES"")"),"Tecnología")</f>
        <v>Tecnología</v>
      </c>
      <c r="J3598" s="16" t="s">
        <v>27</v>
      </c>
      <c r="K3598" s="17">
        <v>0.0</v>
      </c>
      <c r="L3598" s="45"/>
      <c r="M3598" s="18"/>
      <c r="N3598" s="91"/>
      <c r="O3598" s="91"/>
      <c r="P3598" s="20">
        <v>0.0</v>
      </c>
      <c r="Q3598" s="18"/>
      <c r="R3598" s="18"/>
      <c r="S3598" s="52"/>
      <c r="T3598" s="22"/>
    </row>
    <row r="3599">
      <c r="A3599" s="23" t="s">
        <v>25258</v>
      </c>
      <c r="B3599" s="77" t="s">
        <v>1005</v>
      </c>
      <c r="C3599" s="41">
        <v>45572.0</v>
      </c>
      <c r="D3599" s="40" t="s">
        <v>25259</v>
      </c>
      <c r="E3599" s="41" t="s">
        <v>25260</v>
      </c>
      <c r="F3599" s="43" t="s">
        <v>25261</v>
      </c>
      <c r="G3599" s="43" t="s">
        <v>25262</v>
      </c>
      <c r="H3599" s="66" t="s">
        <v>25201</v>
      </c>
      <c r="I3599" s="25" t="str">
        <f>IFERROR(__xludf.DUMMYFUNCTION("GOOGLETRANSLATE(H3599,""EN"",""ES"")"),"Asuntos Laborales")</f>
        <v>Asuntos Laborales</v>
      </c>
      <c r="J3599" s="26" t="s">
        <v>35</v>
      </c>
      <c r="K3599" s="48">
        <v>-0.8</v>
      </c>
      <c r="L3599" s="49" t="s">
        <v>25202</v>
      </c>
      <c r="M3599" s="28" t="s">
        <v>25203</v>
      </c>
      <c r="N3599" s="90" t="s">
        <v>25263</v>
      </c>
      <c r="O3599" s="90" t="str">
        <f>IFERROR(__xludf.DUMMYFUNCTION("GOOGLETRANSLATE(N3599,""EN"",""ES"")"),"Impacto negativo por huelga laboral.")</f>
        <v>Impacto negativo por huelga laboral.</v>
      </c>
      <c r="P3599" s="30">
        <v>-0.9</v>
      </c>
      <c r="Q3599" s="31" t="str">
        <f>IFERROR(__xludf.DUMMYFUNCTION("GOOGLETRANSLATE(R3599,""ES"",""EN"")"),"indefinite strike")</f>
        <v>indefinite strike</v>
      </c>
      <c r="R3599" s="28" t="s">
        <v>25205</v>
      </c>
      <c r="S3599" s="53" t="s">
        <v>25264</v>
      </c>
      <c r="T3599" s="32" t="s">
        <v>25264</v>
      </c>
    </row>
    <row r="3600">
      <c r="A3600" s="33" t="s">
        <v>25265</v>
      </c>
      <c r="B3600" s="76" t="s">
        <v>85</v>
      </c>
      <c r="C3600" s="41">
        <v>45572.0</v>
      </c>
      <c r="D3600" s="40" t="s">
        <v>25266</v>
      </c>
      <c r="E3600" s="41" t="s">
        <v>25267</v>
      </c>
      <c r="F3600" s="43" t="s">
        <v>25268</v>
      </c>
      <c r="G3600" s="43" t="s">
        <v>25269</v>
      </c>
      <c r="H3600" s="65" t="s">
        <v>130</v>
      </c>
      <c r="I3600" s="15" t="str">
        <f>IFERROR(__xludf.DUMMYFUNCTION("GOOGLETRANSLATE(H3600,""EN"",""ES"")"),"Sostenibilidad")</f>
        <v>Sostenibilidad</v>
      </c>
      <c r="J3600" s="16" t="s">
        <v>35</v>
      </c>
      <c r="K3600" s="48">
        <v>0.6</v>
      </c>
      <c r="L3600" s="51" t="s">
        <v>25239</v>
      </c>
      <c r="M3600" s="34" t="s">
        <v>25240</v>
      </c>
      <c r="N3600" s="91" t="s">
        <v>25270</v>
      </c>
      <c r="O3600" s="91" t="str">
        <f>IFERROR(__xludf.DUMMYFUNCTION("GOOGLETRANSLATE(N3600,""EN"",""ES"")"),"Positivo debido a la iniciativa de sostenibilidad.")</f>
        <v>Positivo debido a la iniciativa de sostenibilidad.</v>
      </c>
      <c r="P3600" s="30">
        <v>0.0</v>
      </c>
      <c r="Q3600" s="18"/>
      <c r="R3600" s="18"/>
      <c r="S3600" s="52" t="s">
        <v>25271</v>
      </c>
      <c r="T3600" s="22" t="s">
        <v>25272</v>
      </c>
    </row>
    <row r="3601">
      <c r="A3601" s="23" t="s">
        <v>25273</v>
      </c>
      <c r="B3601" s="77" t="s">
        <v>1072</v>
      </c>
      <c r="C3601" s="41">
        <v>45572.0</v>
      </c>
      <c r="D3601" s="40" t="s">
        <v>25274</v>
      </c>
      <c r="E3601" s="41" t="s">
        <v>25275</v>
      </c>
      <c r="F3601" s="43" t="s">
        <v>25276</v>
      </c>
      <c r="G3601" s="43" t="s">
        <v>25277</v>
      </c>
      <c r="H3601" s="66" t="s">
        <v>24743</v>
      </c>
      <c r="I3601" s="25" t="str">
        <f>IFERROR(__xludf.DUMMYFUNCTION("GOOGLETRANSLATE(H3601,""EN"",""ES"")"),"Mercado de Valores")</f>
        <v>Mercado de Valores</v>
      </c>
      <c r="J3601" s="26" t="s">
        <v>35</v>
      </c>
      <c r="K3601" s="48">
        <v>0.4</v>
      </c>
      <c r="L3601" s="49" t="s">
        <v>25278</v>
      </c>
      <c r="M3601" s="28" t="s">
        <v>25279</v>
      </c>
      <c r="N3601" s="90" t="s">
        <v>25280</v>
      </c>
      <c r="O3601" s="90" t="str">
        <f>IFERROR(__xludf.DUMMYFUNCTION("GOOGLETRANSLATE(N3601,""EN"",""ES"")"),"Evaluación financiera neutral.")</f>
        <v>Evaluación financiera neutral.</v>
      </c>
      <c r="P3601" s="30">
        <v>0.1</v>
      </c>
      <c r="Q3601" s="31" t="str">
        <f>IFERROR(__xludf.DUMMYFUNCTION("GOOGLETRANSLATE(R3601,""ES"",""EN"")"),"-")</f>
        <v>-</v>
      </c>
      <c r="R3601" s="28" t="s">
        <v>11852</v>
      </c>
      <c r="S3601" s="53" t="s">
        <v>25281</v>
      </c>
      <c r="T3601" s="32" t="s">
        <v>25282</v>
      </c>
    </row>
    <row r="3602">
      <c r="A3602" s="33" t="s">
        <v>25283</v>
      </c>
      <c r="B3602" s="76" t="s">
        <v>254</v>
      </c>
      <c r="C3602" s="41">
        <v>45572.0</v>
      </c>
      <c r="D3602" s="40" t="s">
        <v>25284</v>
      </c>
      <c r="E3602" s="41" t="s">
        <v>25285</v>
      </c>
      <c r="F3602" s="43" t="s">
        <v>25286</v>
      </c>
      <c r="G3602" s="43" t="s">
        <v>25287</v>
      </c>
      <c r="H3602" s="65" t="s">
        <v>25147</v>
      </c>
      <c r="I3602" s="15" t="str">
        <f>IFERROR(__xludf.DUMMYFUNCTION("GOOGLETRANSLATE(H3602,""EN"",""ES"")"),"Cuestiones ambientales")</f>
        <v>Cuestiones ambientales</v>
      </c>
      <c r="J3602" s="16" t="s">
        <v>27</v>
      </c>
      <c r="K3602" s="17">
        <v>0.0</v>
      </c>
      <c r="L3602" s="45"/>
      <c r="M3602" s="18"/>
      <c r="N3602" s="91"/>
      <c r="O3602" s="91"/>
      <c r="P3602" s="20">
        <v>0.0</v>
      </c>
      <c r="Q3602" s="18"/>
      <c r="R3602" s="18"/>
      <c r="S3602" s="52"/>
      <c r="T3602" s="22"/>
    </row>
    <row r="3603">
      <c r="A3603" s="23" t="s">
        <v>25288</v>
      </c>
      <c r="B3603" s="77" t="s">
        <v>25289</v>
      </c>
      <c r="C3603" s="41">
        <v>45573.0</v>
      </c>
      <c r="D3603" s="40" t="s">
        <v>25290</v>
      </c>
      <c r="E3603" s="41" t="s">
        <v>25291</v>
      </c>
      <c r="F3603" s="43" t="s">
        <v>25292</v>
      </c>
      <c r="G3603" s="43" t="s">
        <v>25293</v>
      </c>
      <c r="H3603" s="66" t="s">
        <v>130</v>
      </c>
      <c r="I3603" s="25" t="str">
        <f>IFERROR(__xludf.DUMMYFUNCTION("GOOGLETRANSLATE(H3603,""EN"",""ES"")"),"Sostenibilidad")</f>
        <v>Sostenibilidad</v>
      </c>
      <c r="J3603" s="26" t="s">
        <v>35</v>
      </c>
      <c r="K3603" s="48">
        <v>0.7</v>
      </c>
      <c r="L3603" s="49" t="s">
        <v>25294</v>
      </c>
      <c r="M3603" s="28" t="s">
        <v>25295</v>
      </c>
      <c r="N3603" s="90" t="s">
        <v>23065</v>
      </c>
      <c r="O3603" s="90" t="str">
        <f>IFERROR(__xludf.DUMMYFUNCTION("GOOGLETRANSLATE(N3603,""EN"",""ES"")"),"Positivo debido a los esfuerzos de sostenibilidad.")</f>
        <v>Positivo debido a los esfuerzos de sostenibilidad.</v>
      </c>
      <c r="P3603" s="30">
        <v>0.6</v>
      </c>
      <c r="Q3603" s="31" t="str">
        <f>IFERROR(__xludf.DUMMYFUNCTION("GOOGLETRANSLATE(R3603,""ES"",""EN"")"),"renewable, recycled fuels")</f>
        <v>renewable, recycled fuels</v>
      </c>
      <c r="R3603" s="28" t="s">
        <v>25296</v>
      </c>
      <c r="S3603" s="53" t="s">
        <v>25297</v>
      </c>
      <c r="T3603" s="32" t="s">
        <v>25298</v>
      </c>
    </row>
    <row r="3604">
      <c r="A3604" s="33" t="s">
        <v>25299</v>
      </c>
      <c r="B3604" s="76" t="s">
        <v>499</v>
      </c>
      <c r="C3604" s="41">
        <v>45573.0</v>
      </c>
      <c r="D3604" s="40" t="s">
        <v>25300</v>
      </c>
      <c r="E3604" s="41" t="s">
        <v>25301</v>
      </c>
      <c r="F3604" s="43" t="s">
        <v>25302</v>
      </c>
      <c r="G3604" s="43" t="s">
        <v>25303</v>
      </c>
      <c r="H3604" s="65" t="s">
        <v>1914</v>
      </c>
      <c r="I3604" s="15" t="str">
        <f>IFERROR(__xludf.DUMMYFUNCTION("GOOGLETRANSLATE(H3604,""EN"",""ES"")"),"Política energética")</f>
        <v>Política energética</v>
      </c>
      <c r="J3604" s="16" t="s">
        <v>35</v>
      </c>
      <c r="K3604" s="48">
        <v>-0.4</v>
      </c>
      <c r="L3604" s="51" t="s">
        <v>25304</v>
      </c>
      <c r="M3604" s="34" t="s">
        <v>25305</v>
      </c>
      <c r="N3604" s="91" t="s">
        <v>25306</v>
      </c>
      <c r="O3604" s="91" t="str">
        <f>IFERROR(__xludf.DUMMYFUNCTION("GOOGLETRANSLATE(N3604,""EN"",""ES"")"),"Negativo por oposición a la normativa medioambiental.")</f>
        <v>Negativo por oposición a la normativa medioambiental.</v>
      </c>
      <c r="P3604" s="30">
        <v>-0.5</v>
      </c>
      <c r="Q3604" s="18" t="str">
        <f>IFERROR(__xludf.DUMMYFUNCTION("GOOGLETRANSLATE(R3604,""ES"",""EN"")"),"criticism, unviable")</f>
        <v>criticism, unviable</v>
      </c>
      <c r="R3604" s="34" t="s">
        <v>25307</v>
      </c>
      <c r="S3604" s="52" t="s">
        <v>25308</v>
      </c>
      <c r="T3604" s="22" t="s">
        <v>25309</v>
      </c>
    </row>
    <row r="3605">
      <c r="A3605" s="23" t="s">
        <v>25310</v>
      </c>
      <c r="B3605" s="77" t="s">
        <v>163</v>
      </c>
      <c r="C3605" s="41">
        <v>45573.0</v>
      </c>
      <c r="D3605" s="40" t="s">
        <v>25311</v>
      </c>
      <c r="E3605" s="41" t="s">
        <v>25312</v>
      </c>
      <c r="F3605" s="43" t="s">
        <v>25313</v>
      </c>
      <c r="G3605" s="43" t="s">
        <v>25314</v>
      </c>
      <c r="H3605" s="66" t="s">
        <v>5747</v>
      </c>
      <c r="I3605" s="25" t="str">
        <f>IFERROR(__xludf.DUMMYFUNCTION("GOOGLETRANSLATE(H3605,""EN"",""ES"")"),"Mercado energético")</f>
        <v>Mercado energético</v>
      </c>
      <c r="J3605" s="26" t="s">
        <v>35</v>
      </c>
      <c r="K3605" s="48">
        <v>0.0</v>
      </c>
      <c r="L3605" s="54"/>
      <c r="M3605" s="31"/>
      <c r="N3605" s="90" t="s">
        <v>25315</v>
      </c>
      <c r="O3605" s="90" t="str">
        <f>IFERROR(__xludf.DUMMYFUNCTION("GOOGLETRANSLATE(N3605,""EN"",""ES"")"),"Actualización comercial neutral.")</f>
        <v>Actualización comercial neutral.</v>
      </c>
      <c r="P3605" s="30">
        <v>0.0</v>
      </c>
      <c r="Q3605" s="31"/>
      <c r="R3605" s="31"/>
      <c r="S3605" s="53" t="s">
        <v>10136</v>
      </c>
      <c r="T3605" s="32" t="s">
        <v>10137</v>
      </c>
    </row>
    <row r="3606">
      <c r="A3606" s="33" t="s">
        <v>25316</v>
      </c>
      <c r="B3606" s="76" t="s">
        <v>4038</v>
      </c>
      <c r="C3606" s="41">
        <v>45573.0</v>
      </c>
      <c r="D3606" s="40" t="s">
        <v>25317</v>
      </c>
      <c r="E3606" s="41" t="s">
        <v>25318</v>
      </c>
      <c r="F3606" s="43" t="s">
        <v>25319</v>
      </c>
      <c r="G3606" s="43" t="s">
        <v>25320</v>
      </c>
      <c r="H3606" s="65" t="s">
        <v>3003</v>
      </c>
      <c r="I3606" s="15" t="str">
        <f>IFERROR(__xludf.DUMMYFUNCTION("GOOGLETRANSLATE(H3606,""EN"",""ES"")"),"Bienes raíces")</f>
        <v>Bienes raíces</v>
      </c>
      <c r="J3606" s="16" t="s">
        <v>27</v>
      </c>
      <c r="K3606" s="17">
        <v>0.0</v>
      </c>
      <c r="L3606" s="45"/>
      <c r="M3606" s="18"/>
      <c r="N3606" s="91"/>
      <c r="O3606" s="91"/>
      <c r="P3606" s="20">
        <v>0.0</v>
      </c>
      <c r="Q3606" s="18"/>
      <c r="R3606" s="18"/>
      <c r="S3606" s="52"/>
      <c r="T3606" s="22"/>
    </row>
    <row r="3607">
      <c r="A3607" s="23" t="s">
        <v>25321</v>
      </c>
      <c r="B3607" s="77" t="s">
        <v>431</v>
      </c>
      <c r="C3607" s="41">
        <v>45573.0</v>
      </c>
      <c r="D3607" s="40" t="s">
        <v>25322</v>
      </c>
      <c r="E3607" s="41" t="s">
        <v>25323</v>
      </c>
      <c r="F3607" s="43" t="s">
        <v>25324</v>
      </c>
      <c r="G3607" s="43" t="s">
        <v>25325</v>
      </c>
      <c r="H3607" s="66" t="s">
        <v>148</v>
      </c>
      <c r="I3607" s="25" t="str">
        <f>IFERROR(__xludf.DUMMYFUNCTION("GOOGLETRANSLATE(H3607,""EN"",""ES"")"),"Gastronomía")</f>
        <v>Gastronomía</v>
      </c>
      <c r="J3607" s="26" t="s">
        <v>27</v>
      </c>
      <c r="K3607" s="17">
        <v>0.0</v>
      </c>
      <c r="L3607" s="54"/>
      <c r="M3607" s="31"/>
      <c r="N3607" s="90"/>
      <c r="O3607" s="90"/>
      <c r="P3607" s="20">
        <v>0.0</v>
      </c>
      <c r="Q3607" s="31"/>
      <c r="R3607" s="31"/>
      <c r="S3607" s="53"/>
      <c r="T3607" s="32"/>
    </row>
    <row r="3608">
      <c r="A3608" s="33" t="s">
        <v>25326</v>
      </c>
      <c r="B3608" s="76" t="s">
        <v>6297</v>
      </c>
      <c r="C3608" s="41">
        <v>45573.0</v>
      </c>
      <c r="D3608" s="40" t="s">
        <v>25327</v>
      </c>
      <c r="E3608" s="41" t="s">
        <v>25328</v>
      </c>
      <c r="F3608" s="43" t="s">
        <v>25329</v>
      </c>
      <c r="G3608" s="43" t="s">
        <v>25330</v>
      </c>
      <c r="H3608" s="65" t="s">
        <v>3003</v>
      </c>
      <c r="I3608" s="15" t="str">
        <f>IFERROR(__xludf.DUMMYFUNCTION("GOOGLETRANSLATE(H3608,""EN"",""ES"")"),"Bienes raíces")</f>
        <v>Bienes raíces</v>
      </c>
      <c r="J3608" s="16" t="s">
        <v>27</v>
      </c>
      <c r="K3608" s="17">
        <v>0.0</v>
      </c>
      <c r="L3608" s="45"/>
      <c r="M3608" s="18"/>
      <c r="N3608" s="91"/>
      <c r="O3608" s="91"/>
      <c r="P3608" s="20">
        <v>0.0</v>
      </c>
      <c r="Q3608" s="18"/>
      <c r="R3608" s="18"/>
      <c r="S3608" s="52"/>
      <c r="T3608" s="22"/>
    </row>
    <row r="3609">
      <c r="A3609" s="23" t="s">
        <v>25331</v>
      </c>
      <c r="B3609" s="77" t="s">
        <v>85</v>
      </c>
      <c r="C3609" s="41">
        <v>45573.0</v>
      </c>
      <c r="D3609" s="40" t="s">
        <v>25332</v>
      </c>
      <c r="E3609" s="41" t="s">
        <v>25333</v>
      </c>
      <c r="F3609" s="43" t="s">
        <v>25334</v>
      </c>
      <c r="G3609" s="43" t="s">
        <v>25335</v>
      </c>
      <c r="H3609" s="66" t="s">
        <v>24754</v>
      </c>
      <c r="I3609" s="25" t="str">
        <f>IFERROR(__xludf.DUMMYFUNCTION("GOOGLETRANSLATE(H3609,""EN"",""ES"")"),"Negocios y economía")</f>
        <v>Negocios y economía</v>
      </c>
      <c r="J3609" s="26" t="s">
        <v>35</v>
      </c>
      <c r="K3609" s="48">
        <v>-0.7</v>
      </c>
      <c r="L3609" s="49" t="s">
        <v>25336</v>
      </c>
      <c r="M3609" s="28" t="s">
        <v>25337</v>
      </c>
      <c r="N3609" s="90" t="s">
        <v>25338</v>
      </c>
      <c r="O3609" s="90" t="str">
        <f>IFERROR(__xludf.DUMMYFUNCTION("GOOGLETRANSLATE(N3609,""EN"",""ES"")"),"Fuertemente negativo debido al impacto financiero y laboral.")</f>
        <v>Fuertemente negativo debido al impacto financiero y laboral.</v>
      </c>
      <c r="P3609" s="30">
        <v>-0.7</v>
      </c>
      <c r="Q3609" s="31" t="str">
        <f>IFERROR(__xludf.DUMMYFUNCTION("GOOGLETRANSLATE(R3609,""ES"",""EN"")"),"bankruptcy, hole")</f>
        <v>bankruptcy, hole</v>
      </c>
      <c r="R3609" s="28" t="s">
        <v>25339</v>
      </c>
      <c r="S3609" s="53" t="s">
        <v>25340</v>
      </c>
      <c r="T3609" s="32" t="s">
        <v>25341</v>
      </c>
    </row>
    <row r="3610">
      <c r="A3610" s="33" t="s">
        <v>25342</v>
      </c>
      <c r="B3610" s="76" t="s">
        <v>163</v>
      </c>
      <c r="C3610" s="41">
        <v>45573.0</v>
      </c>
      <c r="D3610" s="40" t="s">
        <v>25343</v>
      </c>
      <c r="E3610" s="41" t="s">
        <v>25344</v>
      </c>
      <c r="F3610" s="43" t="s">
        <v>25345</v>
      </c>
      <c r="G3610" s="43" t="s">
        <v>25346</v>
      </c>
      <c r="H3610" s="65" t="s">
        <v>24754</v>
      </c>
      <c r="I3610" s="15" t="str">
        <f>IFERROR(__xludf.DUMMYFUNCTION("GOOGLETRANSLATE(H3610,""EN"",""ES"")"),"Negocios y economía")</f>
        <v>Negocios y economía</v>
      </c>
      <c r="J3610" s="16" t="s">
        <v>35</v>
      </c>
      <c r="K3610" s="48">
        <v>0.5</v>
      </c>
      <c r="L3610" s="51" t="s">
        <v>25347</v>
      </c>
      <c r="M3610" s="34" t="s">
        <v>25348</v>
      </c>
      <c r="N3610" s="91" t="s">
        <v>25349</v>
      </c>
      <c r="O3610" s="91" t="str">
        <f>IFERROR(__xludf.DUMMYFUNCTION("GOOGLETRANSLATE(N3610,""EN"",""ES"")"),"Sin relación con el negocio principal de Repsol.")</f>
        <v>Sin relación con el negocio principal de Repsol.</v>
      </c>
      <c r="P3610" s="30">
        <v>0.0</v>
      </c>
      <c r="Q3610" s="18"/>
      <c r="R3610" s="18"/>
      <c r="S3610" s="52" t="s">
        <v>25350</v>
      </c>
      <c r="T3610" s="22" t="s">
        <v>25351</v>
      </c>
    </row>
    <row r="3611">
      <c r="A3611" s="23" t="s">
        <v>25352</v>
      </c>
      <c r="B3611" s="77" t="s">
        <v>217</v>
      </c>
      <c r="C3611" s="41">
        <v>45573.0</v>
      </c>
      <c r="D3611" s="40" t="s">
        <v>25353</v>
      </c>
      <c r="E3611" s="41" t="s">
        <v>25354</v>
      </c>
      <c r="F3611" s="43" t="s">
        <v>25355</v>
      </c>
      <c r="G3611" s="43" t="s">
        <v>25356</v>
      </c>
      <c r="H3611" s="66" t="s">
        <v>55</v>
      </c>
      <c r="I3611" s="25" t="str">
        <f>IFERROR(__xludf.DUMMYFUNCTION("GOOGLETRANSLATE(H3611,""EN"",""ES"")"),"deportes de motor")</f>
        <v>deportes de motor</v>
      </c>
      <c r="J3611" s="26" t="s">
        <v>27</v>
      </c>
      <c r="K3611" s="17">
        <v>0.0</v>
      </c>
      <c r="L3611" s="54"/>
      <c r="M3611" s="31"/>
      <c r="N3611" s="90"/>
      <c r="O3611" s="90"/>
      <c r="P3611" s="20">
        <v>0.0</v>
      </c>
      <c r="Q3611" s="31"/>
      <c r="R3611" s="31"/>
      <c r="S3611" s="53"/>
      <c r="T3611" s="32"/>
    </row>
    <row r="3612">
      <c r="A3612" s="33" t="s">
        <v>25357</v>
      </c>
      <c r="B3612" s="76" t="s">
        <v>1005</v>
      </c>
      <c r="C3612" s="41">
        <v>45573.0</v>
      </c>
      <c r="D3612" s="40" t="s">
        <v>25358</v>
      </c>
      <c r="E3612" s="41" t="s">
        <v>25359</v>
      </c>
      <c r="F3612" s="43" t="s">
        <v>25360</v>
      </c>
      <c r="G3612" s="43" t="s">
        <v>25361</v>
      </c>
      <c r="H3612" s="65" t="s">
        <v>3003</v>
      </c>
      <c r="I3612" s="15" t="str">
        <f>IFERROR(__xludf.DUMMYFUNCTION("GOOGLETRANSLATE(H3612,""EN"",""ES"")"),"Bienes raíces")</f>
        <v>Bienes raíces</v>
      </c>
      <c r="J3612" s="16" t="s">
        <v>27</v>
      </c>
      <c r="K3612" s="17">
        <v>0.0</v>
      </c>
      <c r="L3612" s="45"/>
      <c r="M3612" s="18"/>
      <c r="N3612" s="91"/>
      <c r="O3612" s="91"/>
      <c r="P3612" s="20">
        <v>0.0</v>
      </c>
      <c r="Q3612" s="18"/>
      <c r="R3612" s="18"/>
      <c r="S3612" s="52"/>
      <c r="T3612" s="22"/>
    </row>
    <row r="3613">
      <c r="A3613" s="23" t="s">
        <v>25362</v>
      </c>
      <c r="B3613" s="77" t="s">
        <v>21</v>
      </c>
      <c r="C3613" s="41">
        <v>45573.0</v>
      </c>
      <c r="D3613" s="40" t="s">
        <v>25363</v>
      </c>
      <c r="E3613" s="41" t="s">
        <v>25364</v>
      </c>
      <c r="F3613" s="43" t="s">
        <v>25365</v>
      </c>
      <c r="G3613" s="43" t="s">
        <v>25366</v>
      </c>
      <c r="H3613" s="66" t="s">
        <v>148</v>
      </c>
      <c r="I3613" s="25" t="str">
        <f>IFERROR(__xludf.DUMMYFUNCTION("GOOGLETRANSLATE(H3613,""EN"",""ES"")"),"Gastronomía")</f>
        <v>Gastronomía</v>
      </c>
      <c r="J3613" s="26" t="s">
        <v>27</v>
      </c>
      <c r="K3613" s="17">
        <v>0.0</v>
      </c>
      <c r="L3613" s="54"/>
      <c r="M3613" s="31"/>
      <c r="N3613" s="90"/>
      <c r="O3613" s="90"/>
      <c r="P3613" s="20">
        <v>0.0</v>
      </c>
      <c r="Q3613" s="31"/>
      <c r="R3613" s="31"/>
      <c r="S3613" s="53"/>
      <c r="T3613" s="32"/>
    </row>
    <row r="3614">
      <c r="A3614" s="33" t="s">
        <v>25367</v>
      </c>
      <c r="B3614" s="76" t="s">
        <v>3511</v>
      </c>
      <c r="C3614" s="41">
        <v>45573.0</v>
      </c>
      <c r="D3614" s="40" t="s">
        <v>25368</v>
      </c>
      <c r="E3614" s="41" t="s">
        <v>25369</v>
      </c>
      <c r="F3614" s="43" t="s">
        <v>25370</v>
      </c>
      <c r="G3614" s="43" t="s">
        <v>25371</v>
      </c>
      <c r="H3614" s="65" t="s">
        <v>3003</v>
      </c>
      <c r="I3614" s="15" t="str">
        <f>IFERROR(__xludf.DUMMYFUNCTION("GOOGLETRANSLATE(H3614,""EN"",""ES"")"),"Bienes raíces")</f>
        <v>Bienes raíces</v>
      </c>
      <c r="J3614" s="16" t="s">
        <v>27</v>
      </c>
      <c r="K3614" s="17">
        <v>0.0</v>
      </c>
      <c r="L3614" s="45"/>
      <c r="M3614" s="18"/>
      <c r="N3614" s="91"/>
      <c r="O3614" s="91"/>
      <c r="P3614" s="20">
        <v>0.0</v>
      </c>
      <c r="Q3614" s="18"/>
      <c r="R3614" s="18"/>
      <c r="S3614" s="52"/>
      <c r="T3614" s="22"/>
    </row>
    <row r="3615">
      <c r="A3615" s="23" t="s">
        <v>25372</v>
      </c>
      <c r="B3615" s="77" t="s">
        <v>4559</v>
      </c>
      <c r="C3615" s="41">
        <v>45573.0</v>
      </c>
      <c r="D3615" s="40" t="s">
        <v>25373</v>
      </c>
      <c r="E3615" s="41" t="s">
        <v>25374</v>
      </c>
      <c r="F3615" s="43" t="s">
        <v>25375</v>
      </c>
      <c r="G3615" s="43" t="s">
        <v>25376</v>
      </c>
      <c r="H3615" s="66" t="s">
        <v>25377</v>
      </c>
      <c r="I3615" s="25" t="str">
        <f>IFERROR(__xludf.DUMMYFUNCTION("GOOGLETRANSLATE(H3615,""EN"",""ES"")"),"Patrocinio Corporativo")</f>
        <v>Patrocinio Corporativo</v>
      </c>
      <c r="J3615" s="26" t="s">
        <v>27</v>
      </c>
      <c r="K3615" s="17">
        <v>0.0</v>
      </c>
      <c r="L3615" s="54"/>
      <c r="M3615" s="31"/>
      <c r="N3615" s="90"/>
      <c r="O3615" s="90"/>
      <c r="P3615" s="20">
        <v>0.0</v>
      </c>
      <c r="Q3615" s="31"/>
      <c r="R3615" s="31"/>
      <c r="S3615" s="53"/>
      <c r="T3615" s="32"/>
    </row>
    <row r="3616">
      <c r="A3616" s="33" t="s">
        <v>25378</v>
      </c>
      <c r="B3616" s="76" t="s">
        <v>6885</v>
      </c>
      <c r="C3616" s="41">
        <v>45573.0</v>
      </c>
      <c r="D3616" s="40" t="s">
        <v>25379</v>
      </c>
      <c r="E3616" s="41" t="s">
        <v>25380</v>
      </c>
      <c r="F3616" s="43" t="s">
        <v>25381</v>
      </c>
      <c r="G3616" s="43" t="s">
        <v>25382</v>
      </c>
      <c r="H3616" s="65" t="s">
        <v>148</v>
      </c>
      <c r="I3616" s="15" t="str">
        <f>IFERROR(__xludf.DUMMYFUNCTION("GOOGLETRANSLATE(H3616,""EN"",""ES"")"),"Gastronomía")</f>
        <v>Gastronomía</v>
      </c>
      <c r="J3616" s="16" t="s">
        <v>27</v>
      </c>
      <c r="K3616" s="17">
        <v>0.0</v>
      </c>
      <c r="L3616" s="45"/>
      <c r="M3616" s="18"/>
      <c r="N3616" s="91"/>
      <c r="O3616" s="91"/>
      <c r="P3616" s="20">
        <v>0.0</v>
      </c>
      <c r="Q3616" s="18"/>
      <c r="R3616" s="18"/>
      <c r="S3616" s="52"/>
      <c r="T3616" s="22"/>
    </row>
    <row r="3617">
      <c r="A3617" s="23" t="s">
        <v>25383</v>
      </c>
      <c r="B3617" s="77" t="s">
        <v>25384</v>
      </c>
      <c r="C3617" s="41">
        <v>45573.0</v>
      </c>
      <c r="D3617" s="40" t="s">
        <v>25385</v>
      </c>
      <c r="E3617" s="41" t="s">
        <v>25386</v>
      </c>
      <c r="F3617" s="43" t="s">
        <v>25387</v>
      </c>
      <c r="G3617" s="43" t="s">
        <v>25388</v>
      </c>
      <c r="H3617" s="66" t="s">
        <v>1914</v>
      </c>
      <c r="I3617" s="25" t="str">
        <f>IFERROR(__xludf.DUMMYFUNCTION("GOOGLETRANSLATE(H3617,""EN"",""ES"")"),"Política energética")</f>
        <v>Política energética</v>
      </c>
      <c r="J3617" s="26" t="s">
        <v>35</v>
      </c>
      <c r="K3617" s="48">
        <v>0.5</v>
      </c>
      <c r="L3617" s="54" t="s">
        <v>25389</v>
      </c>
      <c r="M3617" s="31" t="s">
        <v>25390</v>
      </c>
      <c r="N3617" s="90" t="s">
        <v>25391</v>
      </c>
      <c r="O3617" s="90" t="str">
        <f>IFERROR(__xludf.DUMMYFUNCTION("GOOGLETRANSLATE(N3617,""EN"",""ES"")"),"Positivo porque demuestra la postura proactiva de Repsol en materia de integración energética.")</f>
        <v>Positivo porque demuestra la postura proactiva de Repsol en materia de integración energética.</v>
      </c>
      <c r="P3617" s="30">
        <v>0.4</v>
      </c>
      <c r="Q3617" s="31" t="str">
        <f>IFERROR(__xludf.DUMMYFUNCTION("GOOGLETRANSLATE(R3617,""ES"",""EN"")"),"advocate, connect")</f>
        <v>advocate, connect</v>
      </c>
      <c r="R3617" s="28" t="s">
        <v>25392</v>
      </c>
      <c r="S3617" s="53" t="s">
        <v>25393</v>
      </c>
      <c r="T3617" s="32" t="s">
        <v>25394</v>
      </c>
    </row>
    <row r="3618">
      <c r="A3618" s="33" t="s">
        <v>25395</v>
      </c>
      <c r="B3618" s="76" t="s">
        <v>23299</v>
      </c>
      <c r="C3618" s="41">
        <v>45573.0</v>
      </c>
      <c r="D3618" s="40" t="s">
        <v>25396</v>
      </c>
      <c r="E3618" s="41" t="s">
        <v>25397</v>
      </c>
      <c r="F3618" s="43" t="s">
        <v>25398</v>
      </c>
      <c r="G3618" s="43" t="s">
        <v>25399</v>
      </c>
      <c r="H3618" s="65" t="s">
        <v>148</v>
      </c>
      <c r="I3618" s="15" t="str">
        <f>IFERROR(__xludf.DUMMYFUNCTION("GOOGLETRANSLATE(H3618,""EN"",""ES"")"),"Gastronomía")</f>
        <v>Gastronomía</v>
      </c>
      <c r="J3618" s="16" t="s">
        <v>27</v>
      </c>
      <c r="K3618" s="17">
        <v>0.0</v>
      </c>
      <c r="L3618" s="45"/>
      <c r="M3618" s="18"/>
      <c r="N3618" s="91"/>
      <c r="O3618" s="91"/>
      <c r="P3618" s="20">
        <v>0.0</v>
      </c>
      <c r="Q3618" s="18"/>
      <c r="R3618" s="18"/>
      <c r="S3618" s="52"/>
      <c r="T3618" s="22"/>
    </row>
    <row r="3619">
      <c r="A3619" s="23" t="s">
        <v>25400</v>
      </c>
      <c r="B3619" s="77" t="s">
        <v>85</v>
      </c>
      <c r="C3619" s="41">
        <v>45573.0</v>
      </c>
      <c r="D3619" s="40" t="s">
        <v>25401</v>
      </c>
      <c r="E3619" s="41" t="s">
        <v>25402</v>
      </c>
      <c r="F3619" s="43" t="s">
        <v>25403</v>
      </c>
      <c r="G3619" s="43" t="s">
        <v>25404</v>
      </c>
      <c r="H3619" s="66" t="s">
        <v>3003</v>
      </c>
      <c r="I3619" s="25" t="str">
        <f>IFERROR(__xludf.DUMMYFUNCTION("GOOGLETRANSLATE(H3619,""EN"",""ES"")"),"Bienes raíces")</f>
        <v>Bienes raíces</v>
      </c>
      <c r="J3619" s="26" t="s">
        <v>27</v>
      </c>
      <c r="K3619" s="17">
        <v>0.0</v>
      </c>
      <c r="L3619" s="54"/>
      <c r="M3619" s="31"/>
      <c r="N3619" s="90"/>
      <c r="O3619" s="90"/>
      <c r="P3619" s="20">
        <v>0.0</v>
      </c>
      <c r="Q3619" s="31"/>
      <c r="R3619" s="31"/>
      <c r="S3619" s="53"/>
      <c r="T3619" s="32"/>
    </row>
    <row r="3620">
      <c r="A3620" s="33" t="s">
        <v>25405</v>
      </c>
      <c r="B3620" s="76" t="s">
        <v>217</v>
      </c>
      <c r="C3620" s="41">
        <v>45573.0</v>
      </c>
      <c r="D3620" s="40" t="s">
        <v>25406</v>
      </c>
      <c r="E3620" s="41" t="s">
        <v>25407</v>
      </c>
      <c r="F3620" s="43" t="s">
        <v>25408</v>
      </c>
      <c r="G3620" s="43" t="s">
        <v>25409</v>
      </c>
      <c r="H3620" s="65" t="s">
        <v>1914</v>
      </c>
      <c r="I3620" s="15" t="str">
        <f>IFERROR(__xludf.DUMMYFUNCTION("GOOGLETRANSLATE(H3620,""EN"",""ES"")"),"Política energética")</f>
        <v>Política energética</v>
      </c>
      <c r="J3620" s="16" t="s">
        <v>35</v>
      </c>
      <c r="K3620" s="48">
        <v>-0.5</v>
      </c>
      <c r="L3620" s="45" t="s">
        <v>25410</v>
      </c>
      <c r="M3620" s="18" t="s">
        <v>25411</v>
      </c>
      <c r="N3620" s="91" t="s">
        <v>25412</v>
      </c>
      <c r="O3620" s="91" t="str">
        <f>IFERROR(__xludf.DUMMYFUNCTION("GOOGLETRANSLATE(N3620,""EN"",""ES"")"),"Negativo debido al tono de confrontación hacia la política gubernamental.")</f>
        <v>Negativo debido al tono de confrontación hacia la política gubernamental.</v>
      </c>
      <c r="P3620" s="30">
        <v>-0.5</v>
      </c>
      <c r="Q3620" s="18" t="str">
        <f>IFERROR(__xludf.DUMMYFUNCTION("GOOGLETRANSLATE(R3620,""ES"",""EN"")"),"load, unviable")</f>
        <v>load, unviable</v>
      </c>
      <c r="R3620" s="34" t="s">
        <v>25413</v>
      </c>
      <c r="S3620" s="52" t="s">
        <v>25414</v>
      </c>
      <c r="T3620" s="22" t="s">
        <v>25415</v>
      </c>
    </row>
    <row r="3621">
      <c r="A3621" s="23" t="s">
        <v>25416</v>
      </c>
      <c r="B3621" s="77" t="s">
        <v>21</v>
      </c>
      <c r="C3621" s="41">
        <v>45573.0</v>
      </c>
      <c r="D3621" s="40" t="s">
        <v>25417</v>
      </c>
      <c r="E3621" s="41" t="s">
        <v>25418</v>
      </c>
      <c r="F3621" s="43" t="s">
        <v>25419</v>
      </c>
      <c r="G3621" s="43" t="s">
        <v>25420</v>
      </c>
      <c r="H3621" s="66" t="s">
        <v>8762</v>
      </c>
      <c r="I3621" s="25" t="str">
        <f>IFERROR(__xludf.DUMMYFUNCTION("GOOGLETRANSLATE(H3621,""EN"",""ES"")"),"Viajar")</f>
        <v>Viajar</v>
      </c>
      <c r="J3621" s="26" t="s">
        <v>27</v>
      </c>
      <c r="K3621" s="17">
        <v>0.0</v>
      </c>
      <c r="L3621" s="54"/>
      <c r="M3621" s="31"/>
      <c r="N3621" s="90"/>
      <c r="O3621" s="90"/>
      <c r="P3621" s="20">
        <v>0.0</v>
      </c>
      <c r="Q3621" s="31"/>
      <c r="R3621" s="31"/>
      <c r="S3621" s="53"/>
      <c r="T3621" s="32"/>
    </row>
    <row r="3622">
      <c r="A3622" s="33" t="s">
        <v>25421</v>
      </c>
      <c r="B3622" s="34" t="s">
        <v>25422</v>
      </c>
      <c r="C3622" s="41">
        <v>45574.0</v>
      </c>
      <c r="D3622" s="40" t="s">
        <v>25423</v>
      </c>
      <c r="E3622" s="41" t="s">
        <v>25424</v>
      </c>
      <c r="F3622" s="43" t="s">
        <v>25425</v>
      </c>
      <c r="G3622" s="43" t="s">
        <v>25426</v>
      </c>
      <c r="H3622" s="65" t="s">
        <v>24754</v>
      </c>
      <c r="I3622" s="15" t="str">
        <f>IFERROR(__xludf.DUMMYFUNCTION("GOOGLETRANSLATE(H3622,""EN"",""ES"")"),"Negocios y economía")</f>
        <v>Negocios y economía</v>
      </c>
      <c r="J3622" s="16" t="s">
        <v>35</v>
      </c>
      <c r="K3622" s="48">
        <v>0.5</v>
      </c>
      <c r="L3622" s="45" t="s">
        <v>25427</v>
      </c>
      <c r="M3622" s="18" t="s">
        <v>25428</v>
      </c>
      <c r="N3622" s="91" t="s">
        <v>25429</v>
      </c>
      <c r="O3622" s="91" t="str">
        <f>IFERROR(__xludf.DUMMYFUNCTION("GOOGLETRANSLATE(N3622,""EN"",""ES"")"),"Positivo porque pone de relieve los planes de expansión empresarial de Repsol.")</f>
        <v>Positivo porque pone de relieve los planes de expansión empresarial de Repsol.</v>
      </c>
      <c r="P3622" s="30">
        <v>0.5</v>
      </c>
      <c r="Q3622" s="18" t="str">
        <f>IFERROR(__xludf.DUMMYFUNCTION("GOOGLETRANSLATE(R3622,""ES"",""EN"")"),"investment, development")</f>
        <v>investment, development</v>
      </c>
      <c r="R3622" s="34" t="s">
        <v>25430</v>
      </c>
      <c r="S3622" s="52" t="s">
        <v>25431</v>
      </c>
      <c r="T3622" s="22" t="s">
        <v>25432</v>
      </c>
    </row>
    <row r="3623">
      <c r="A3623" s="23" t="s">
        <v>25433</v>
      </c>
      <c r="B3623" s="77" t="s">
        <v>163</v>
      </c>
      <c r="C3623" s="41">
        <v>45574.0</v>
      </c>
      <c r="D3623" s="40" t="s">
        <v>25434</v>
      </c>
      <c r="E3623" s="41" t="s">
        <v>25435</v>
      </c>
      <c r="F3623" s="43" t="s">
        <v>25436</v>
      </c>
      <c r="G3623" s="43" t="s">
        <v>25437</v>
      </c>
      <c r="H3623" s="66" t="s">
        <v>1914</v>
      </c>
      <c r="I3623" s="25" t="str">
        <f>IFERROR(__xludf.DUMMYFUNCTION("GOOGLETRANSLATE(H3623,""EN"",""ES"")"),"Política energética")</f>
        <v>Política energética</v>
      </c>
      <c r="J3623" s="26" t="s">
        <v>35</v>
      </c>
      <c r="K3623" s="48">
        <v>0.6</v>
      </c>
      <c r="L3623" s="54" t="s">
        <v>25438</v>
      </c>
      <c r="M3623" s="31" t="s">
        <v>25439</v>
      </c>
      <c r="N3623" s="90" t="s">
        <v>25440</v>
      </c>
      <c r="O3623" s="90" t="str">
        <f>IFERROR(__xludf.DUMMYFUNCTION("GOOGLETRANSLATE(N3623,""EN"",""ES"")"),"Positivo debido al énfasis en la sostenibilidad y el crecimiento económico.")</f>
        <v>Positivo debido al énfasis en la sostenibilidad y el crecimiento económico.</v>
      </c>
      <c r="P3623" s="30">
        <v>0.6</v>
      </c>
      <c r="Q3623" s="31" t="str">
        <f>IFERROR(__xludf.DUMMYFUNCTION("GOOGLETRANSLATE(R3623,""ES"",""EN"")"),"transition, decarbonization")</f>
        <v>transition, decarbonization</v>
      </c>
      <c r="R3623" s="28" t="s">
        <v>25441</v>
      </c>
      <c r="S3623" s="53" t="s">
        <v>25442</v>
      </c>
      <c r="T3623" s="32" t="s">
        <v>25443</v>
      </c>
    </row>
    <row r="3624">
      <c r="A3624" s="33" t="s">
        <v>25444</v>
      </c>
      <c r="B3624" s="76" t="s">
        <v>2442</v>
      </c>
      <c r="C3624" s="41">
        <v>45574.0</v>
      </c>
      <c r="D3624" s="40" t="s">
        <v>25445</v>
      </c>
      <c r="E3624" s="41" t="s">
        <v>25446</v>
      </c>
      <c r="F3624" s="43" t="s">
        <v>25447</v>
      </c>
      <c r="G3624" s="43" t="s">
        <v>25448</v>
      </c>
      <c r="H3624" s="65" t="s">
        <v>24754</v>
      </c>
      <c r="I3624" s="15" t="str">
        <f>IFERROR(__xludf.DUMMYFUNCTION("GOOGLETRANSLATE(H3624,""EN"",""ES"")"),"Negocios y economía")</f>
        <v>Negocios y economía</v>
      </c>
      <c r="J3624" s="16" t="s">
        <v>35</v>
      </c>
      <c r="K3624" s="48">
        <v>-0.6</v>
      </c>
      <c r="L3624" s="45" t="s">
        <v>25449</v>
      </c>
      <c r="M3624" s="18" t="s">
        <v>25450</v>
      </c>
      <c r="N3624" s="91" t="s">
        <v>25451</v>
      </c>
      <c r="O3624" s="91" t="str">
        <f>IFERROR(__xludf.DUMMYFUNCTION("GOOGLETRANSLATE(N3624,""EN"",""ES"")"),"Negativo debido a una caída en la producción.")</f>
        <v>Negativo debido a una caída en la producción.</v>
      </c>
      <c r="P3624" s="30">
        <v>-0.3</v>
      </c>
      <c r="Q3624" s="18" t="str">
        <f>IFERROR(__xludf.DUMMYFUNCTION("GOOGLETRANSLATE(R3624,""ES"",""EN"")"),"descended")</f>
        <v>descended</v>
      </c>
      <c r="R3624" s="34" t="s">
        <v>25452</v>
      </c>
      <c r="S3624" s="52" t="s">
        <v>25453</v>
      </c>
      <c r="T3624" s="22" t="s">
        <v>25454</v>
      </c>
    </row>
    <row r="3625">
      <c r="A3625" s="23" t="s">
        <v>25455</v>
      </c>
      <c r="B3625" s="77" t="s">
        <v>103</v>
      </c>
      <c r="C3625" s="41">
        <v>45574.0</v>
      </c>
      <c r="D3625" s="40" t="s">
        <v>25456</v>
      </c>
      <c r="E3625" s="41" t="s">
        <v>25457</v>
      </c>
      <c r="F3625" s="43" t="s">
        <v>25458</v>
      </c>
      <c r="G3625" s="43" t="s">
        <v>25459</v>
      </c>
      <c r="H3625" s="66" t="s">
        <v>24754</v>
      </c>
      <c r="I3625" s="25" t="str">
        <f>IFERROR(__xludf.DUMMYFUNCTION("GOOGLETRANSLATE(H3625,""EN"",""ES"")"),"Negocios y economía")</f>
        <v>Negocios y economía</v>
      </c>
      <c r="J3625" s="26" t="s">
        <v>35</v>
      </c>
      <c r="K3625" s="48">
        <v>-0.8</v>
      </c>
      <c r="L3625" s="54" t="s">
        <v>25460</v>
      </c>
      <c r="M3625" s="31" t="s">
        <v>25461</v>
      </c>
      <c r="N3625" s="90" t="s">
        <v>25462</v>
      </c>
      <c r="O3625" s="90" t="str">
        <f>IFERROR(__xludf.DUMMYFUNCTION("GOOGLETRANSLATE(N3625,""EN"",""ES"")"),"Fuertemente negativo debido a una importante caída financiera y operativa.")</f>
        <v>Fuertemente negativo debido a una importante caída financiera y operativa.</v>
      </c>
      <c r="P3625" s="30">
        <v>-0.8</v>
      </c>
      <c r="Q3625" s="31" t="str">
        <f>IFERROR(__xludf.DUMMYFUNCTION("GOOGLETRANSLATE(R3625,""ES"",""EN"")"),"fall, fall")</f>
        <v>fall, fall</v>
      </c>
      <c r="R3625" s="28" t="s">
        <v>25463</v>
      </c>
      <c r="S3625" s="53" t="s">
        <v>25464</v>
      </c>
      <c r="T3625" s="32" t="s">
        <v>25465</v>
      </c>
    </row>
    <row r="3626">
      <c r="A3626" s="33" t="s">
        <v>25466</v>
      </c>
      <c r="B3626" s="76" t="s">
        <v>666</v>
      </c>
      <c r="C3626" s="41">
        <v>45574.0</v>
      </c>
      <c r="D3626" s="40" t="s">
        <v>25467</v>
      </c>
      <c r="E3626" s="41" t="s">
        <v>25468</v>
      </c>
      <c r="F3626" s="43" t="s">
        <v>25469</v>
      </c>
      <c r="G3626" s="43" t="s">
        <v>25470</v>
      </c>
      <c r="H3626" s="65" t="s">
        <v>24754</v>
      </c>
      <c r="I3626" s="15" t="str">
        <f>IFERROR(__xludf.DUMMYFUNCTION("GOOGLETRANSLATE(H3626,""EN"",""ES"")"),"Negocios y economía")</f>
        <v>Negocios y economía</v>
      </c>
      <c r="J3626" s="16" t="s">
        <v>35</v>
      </c>
      <c r="K3626" s="48">
        <v>-0.8</v>
      </c>
      <c r="L3626" s="45" t="s">
        <v>25460</v>
      </c>
      <c r="M3626" s="18" t="s">
        <v>25461</v>
      </c>
      <c r="N3626" s="91" t="s">
        <v>25471</v>
      </c>
      <c r="O3626" s="91" t="str">
        <f>IFERROR(__xludf.DUMMYFUNCTION("GOOGLETRANSLATE(N3626,""EN"",""ES"")"),"Altamente negativo debido al fuerte deterioro financiero.")</f>
        <v>Altamente negativo debido al fuerte deterioro financiero.</v>
      </c>
      <c r="P3626" s="30">
        <v>-0.9</v>
      </c>
      <c r="Q3626" s="18" t="str">
        <f>IFERROR(__xludf.DUMMYFUNCTION("GOOGLETRANSLATE(R3626,""ES"",""EN"")"),"collapse")</f>
        <v>collapse</v>
      </c>
      <c r="R3626" s="34" t="s">
        <v>25472</v>
      </c>
      <c r="S3626" s="52" t="s">
        <v>25473</v>
      </c>
      <c r="T3626" s="22" t="s">
        <v>25474</v>
      </c>
    </row>
    <row r="3627">
      <c r="A3627" s="23" t="s">
        <v>25475</v>
      </c>
      <c r="B3627" s="77" t="s">
        <v>6753</v>
      </c>
      <c r="C3627" s="41">
        <v>45574.0</v>
      </c>
      <c r="D3627" s="40" t="s">
        <v>25476</v>
      </c>
      <c r="E3627" s="41" t="s">
        <v>25477</v>
      </c>
      <c r="F3627" s="43" t="s">
        <v>25478</v>
      </c>
      <c r="G3627" s="43" t="s">
        <v>25479</v>
      </c>
      <c r="H3627" s="66" t="s">
        <v>148</v>
      </c>
      <c r="I3627" s="25" t="str">
        <f>IFERROR(__xludf.DUMMYFUNCTION("GOOGLETRANSLATE(H3627,""EN"",""ES"")"),"Gastronomía")</f>
        <v>Gastronomía</v>
      </c>
      <c r="J3627" s="26" t="s">
        <v>27</v>
      </c>
      <c r="K3627" s="17">
        <v>0.0</v>
      </c>
      <c r="L3627" s="54"/>
      <c r="M3627" s="31"/>
      <c r="N3627" s="90"/>
      <c r="O3627" s="90"/>
      <c r="P3627" s="20">
        <v>0.0</v>
      </c>
      <c r="Q3627" s="31"/>
      <c r="R3627" s="31"/>
      <c r="S3627" s="53"/>
      <c r="T3627" s="32"/>
    </row>
    <row r="3628">
      <c r="A3628" s="33" t="s">
        <v>25480</v>
      </c>
      <c r="B3628" s="76" t="s">
        <v>558</v>
      </c>
      <c r="C3628" s="41">
        <v>45574.0</v>
      </c>
      <c r="D3628" s="40" t="s">
        <v>25481</v>
      </c>
      <c r="E3628" s="41" t="s">
        <v>25482</v>
      </c>
      <c r="F3628" s="43" t="s">
        <v>25483</v>
      </c>
      <c r="G3628" s="43" t="s">
        <v>25484</v>
      </c>
      <c r="H3628" s="65" t="s">
        <v>24743</v>
      </c>
      <c r="I3628" s="15" t="str">
        <f>IFERROR(__xludf.DUMMYFUNCTION("GOOGLETRANSLATE(H3628,""EN"",""ES"")"),"Mercado de Valores")</f>
        <v>Mercado de Valores</v>
      </c>
      <c r="J3628" s="16" t="s">
        <v>35</v>
      </c>
      <c r="K3628" s="48">
        <v>-0.4</v>
      </c>
      <c r="L3628" s="45" t="s">
        <v>25485</v>
      </c>
      <c r="M3628" s="18" t="s">
        <v>25485</v>
      </c>
      <c r="N3628" s="91" t="s">
        <v>25486</v>
      </c>
      <c r="O3628" s="91" t="str">
        <f>IFERROR(__xludf.DUMMYFUNCTION("GOOGLETRANSLATE(N3628,""EN"",""ES"")"),"Negativo por falta de confianza de los inversores.")</f>
        <v>Negativo por falta de confianza de los inversores.</v>
      </c>
      <c r="P3628" s="30">
        <v>-0.6</v>
      </c>
      <c r="Q3628" s="18" t="str">
        <f>IFERROR(__xludf.DUMMYFUNCTION("GOOGLETRANSLATE(R3628,""ES"",""EN"")"),"not convincing")</f>
        <v>not convincing</v>
      </c>
      <c r="R3628" s="34" t="s">
        <v>25487</v>
      </c>
      <c r="S3628" s="52" t="s">
        <v>25488</v>
      </c>
      <c r="T3628" s="22" t="s">
        <v>25489</v>
      </c>
    </row>
    <row r="3629">
      <c r="A3629" s="23" t="s">
        <v>25490</v>
      </c>
      <c r="B3629" s="77" t="s">
        <v>1072</v>
      </c>
      <c r="C3629" s="41">
        <v>45574.0</v>
      </c>
      <c r="D3629" s="40" t="s">
        <v>25491</v>
      </c>
      <c r="E3629" s="41" t="s">
        <v>25492</v>
      </c>
      <c r="F3629" s="43" t="s">
        <v>25493</v>
      </c>
      <c r="G3629" s="43" t="s">
        <v>25494</v>
      </c>
      <c r="H3629" s="66" t="s">
        <v>24743</v>
      </c>
      <c r="I3629" s="25" t="str">
        <f>IFERROR(__xludf.DUMMYFUNCTION("GOOGLETRANSLATE(H3629,""EN"",""ES"")"),"Mercado de Valores")</f>
        <v>Mercado de Valores</v>
      </c>
      <c r="J3629" s="26" t="s">
        <v>35</v>
      </c>
      <c r="K3629" s="48">
        <v>-0.3</v>
      </c>
      <c r="L3629" s="54" t="s">
        <v>25495</v>
      </c>
      <c r="M3629" s="31" t="s">
        <v>25496</v>
      </c>
      <c r="N3629" s="90" t="s">
        <v>25497</v>
      </c>
      <c r="O3629" s="90" t="str">
        <f>IFERROR(__xludf.DUMMYFUNCTION("GOOGLETRANSLATE(N3629,""EN"",""ES"")"),"Negativo ya que indica cautela en el sentimiento inversor.")</f>
        <v>Negativo ya que indica cautela en el sentimiento inversor.</v>
      </c>
      <c r="P3629" s="30">
        <v>-0.4</v>
      </c>
      <c r="Q3629" s="31" t="str">
        <f>IFERROR(__xludf.DUMMYFUNCTION("GOOGLETRANSLATE(R3629,""ES"",""EN"")"),"caution")</f>
        <v>caution</v>
      </c>
      <c r="R3629" s="28" t="s">
        <v>25498</v>
      </c>
      <c r="S3629" s="53" t="s">
        <v>25499</v>
      </c>
      <c r="T3629" s="32" t="s">
        <v>25500</v>
      </c>
    </row>
    <row r="3630">
      <c r="A3630" s="33" t="s">
        <v>25501</v>
      </c>
      <c r="B3630" s="76" t="s">
        <v>3067</v>
      </c>
      <c r="C3630" s="41">
        <v>45574.0</v>
      </c>
      <c r="D3630" s="40" t="s">
        <v>25502</v>
      </c>
      <c r="E3630" s="41" t="s">
        <v>25503</v>
      </c>
      <c r="F3630" s="43" t="s">
        <v>25504</v>
      </c>
      <c r="G3630" s="43" t="s">
        <v>25505</v>
      </c>
      <c r="H3630" s="65" t="s">
        <v>1914</v>
      </c>
      <c r="I3630" s="15" t="str">
        <f>IFERROR(__xludf.DUMMYFUNCTION("GOOGLETRANSLATE(H3630,""EN"",""ES"")"),"Política energética")</f>
        <v>Política energética</v>
      </c>
      <c r="J3630" s="16" t="s">
        <v>35</v>
      </c>
      <c r="K3630" s="48">
        <v>0.4</v>
      </c>
      <c r="L3630" s="45" t="s">
        <v>25506</v>
      </c>
      <c r="M3630" s="18" t="s">
        <v>25507</v>
      </c>
      <c r="N3630" s="91" t="s">
        <v>25508</v>
      </c>
      <c r="O3630" s="91" t="str">
        <f>IFERROR(__xludf.DUMMYFUNCTION("GOOGLETRANSLATE(N3630,""EN"",""ES"")"),"Positivo ya que indica confianza en las futuras políticas energéticas.")</f>
        <v>Positivo ya que indica confianza en las futuras políticas energéticas.</v>
      </c>
      <c r="P3630" s="30">
        <v>0.5</v>
      </c>
      <c r="Q3630" s="18" t="str">
        <f>IFERROR(__xludf.DUMMYFUNCTION("GOOGLETRANSLATE(R3630,""ES"",""EN"")"),"optimistic")</f>
        <v>optimistic</v>
      </c>
      <c r="R3630" s="34" t="s">
        <v>25509</v>
      </c>
      <c r="S3630" s="52" t="s">
        <v>25510</v>
      </c>
      <c r="T3630" s="22" t="s">
        <v>25511</v>
      </c>
    </row>
    <row r="3631">
      <c r="A3631" s="23" t="s">
        <v>25512</v>
      </c>
      <c r="B3631" s="77" t="s">
        <v>85</v>
      </c>
      <c r="C3631" s="41">
        <v>45574.0</v>
      </c>
      <c r="D3631" s="40" t="s">
        <v>25513</v>
      </c>
      <c r="E3631" s="41" t="s">
        <v>25514</v>
      </c>
      <c r="F3631" s="43" t="s">
        <v>25515</v>
      </c>
      <c r="G3631" s="43" t="s">
        <v>25516</v>
      </c>
      <c r="H3631" s="66" t="s">
        <v>24754</v>
      </c>
      <c r="I3631" s="25" t="str">
        <f>IFERROR(__xludf.DUMMYFUNCTION("GOOGLETRANSLATE(H3631,""EN"",""ES"")"),"Negocios y economía")</f>
        <v>Negocios y economía</v>
      </c>
      <c r="J3631" s="26" t="s">
        <v>35</v>
      </c>
      <c r="K3631" s="48">
        <v>0.5</v>
      </c>
      <c r="L3631" s="54" t="s">
        <v>25517</v>
      </c>
      <c r="M3631" s="31" t="s">
        <v>25518</v>
      </c>
      <c r="N3631" s="90" t="s">
        <v>25519</v>
      </c>
      <c r="O3631" s="90" t="str">
        <f>IFERROR(__xludf.DUMMYFUNCTION("GOOGLETRANSLATE(N3631,""EN"",""ES"")"),"Positivo debido a la inversión y el apoyo financiero a la industria.")</f>
        <v>Positivo debido a la inversión y el apoyo financiero a la industria.</v>
      </c>
      <c r="P3631" s="30">
        <v>0.5</v>
      </c>
      <c r="Q3631" s="31" t="str">
        <f>IFERROR(__xludf.DUMMYFUNCTION("GOOGLETRANSLATE(R3631,""ES"",""EN"")"),"investment, development")</f>
        <v>investment, development</v>
      </c>
      <c r="R3631" s="28" t="s">
        <v>25430</v>
      </c>
      <c r="S3631" s="53" t="s">
        <v>25520</v>
      </c>
      <c r="T3631" s="32" t="s">
        <v>25521</v>
      </c>
    </row>
    <row r="3632">
      <c r="A3632" s="33" t="s">
        <v>25522</v>
      </c>
      <c r="B3632" s="76" t="s">
        <v>91</v>
      </c>
      <c r="C3632" s="41">
        <v>45574.0</v>
      </c>
      <c r="D3632" s="40" t="s">
        <v>25523</v>
      </c>
      <c r="E3632" s="41" t="s">
        <v>25524</v>
      </c>
      <c r="F3632" s="43" t="s">
        <v>25525</v>
      </c>
      <c r="G3632" s="43" t="s">
        <v>25526</v>
      </c>
      <c r="H3632" s="65" t="s">
        <v>148</v>
      </c>
      <c r="I3632" s="15" t="str">
        <f>IFERROR(__xludf.DUMMYFUNCTION("GOOGLETRANSLATE(H3632,""EN"",""ES"")"),"Gastronomía")</f>
        <v>Gastronomía</v>
      </c>
      <c r="J3632" s="16" t="s">
        <v>27</v>
      </c>
      <c r="K3632" s="17">
        <v>0.0</v>
      </c>
      <c r="L3632" s="45"/>
      <c r="M3632" s="18"/>
      <c r="N3632" s="91"/>
      <c r="O3632" s="91"/>
      <c r="P3632" s="20">
        <v>0.0</v>
      </c>
      <c r="Q3632" s="18"/>
      <c r="R3632" s="18"/>
      <c r="S3632" s="52"/>
      <c r="T3632" s="22"/>
    </row>
    <row r="3633">
      <c r="A3633" s="23" t="s">
        <v>25527</v>
      </c>
      <c r="B3633" s="77" t="s">
        <v>1602</v>
      </c>
      <c r="C3633" s="41">
        <v>45574.0</v>
      </c>
      <c r="D3633" s="40" t="s">
        <v>25528</v>
      </c>
      <c r="E3633" s="41" t="s">
        <v>25529</v>
      </c>
      <c r="F3633" s="43" t="s">
        <v>25530</v>
      </c>
      <c r="G3633" s="43" t="s">
        <v>25531</v>
      </c>
      <c r="H3633" s="66" t="s">
        <v>24754</v>
      </c>
      <c r="I3633" s="25" t="str">
        <f>IFERROR(__xludf.DUMMYFUNCTION("GOOGLETRANSLATE(H3633,""EN"",""ES"")"),"Negocios y economía")</f>
        <v>Negocios y economía</v>
      </c>
      <c r="J3633" s="26" t="s">
        <v>35</v>
      </c>
      <c r="K3633" s="48">
        <v>-0.8</v>
      </c>
      <c r="L3633" s="54" t="s">
        <v>25460</v>
      </c>
      <c r="M3633" s="31" t="s">
        <v>25461</v>
      </c>
      <c r="N3633" s="90" t="s">
        <v>25532</v>
      </c>
      <c r="O3633" s="90" t="str">
        <f>IFERROR(__xludf.DUMMYFUNCTION("GOOGLETRANSLATE(N3633,""EN"",""ES"")"),"Fuertemente negativo debido al deterioro financiero y operativo.")</f>
        <v>Fuertemente negativo debido al deterioro financiero y operativo.</v>
      </c>
      <c r="P3633" s="30">
        <v>-0.8</v>
      </c>
      <c r="Q3633" s="31" t="str">
        <f>IFERROR(__xludf.DUMMYFUNCTION("GOOGLETRANSLATE(R3633,""ES"",""EN"")"),"reduces, falls")</f>
        <v>reduces, falls</v>
      </c>
      <c r="R3633" s="28" t="s">
        <v>17920</v>
      </c>
      <c r="S3633" s="53" t="s">
        <v>25533</v>
      </c>
      <c r="T3633" s="32" t="s">
        <v>25534</v>
      </c>
    </row>
    <row r="3634">
      <c r="A3634" s="33" t="s">
        <v>25535</v>
      </c>
      <c r="B3634" s="76" t="s">
        <v>21</v>
      </c>
      <c r="C3634" s="41">
        <v>45574.0</v>
      </c>
      <c r="D3634" s="40" t="s">
        <v>25536</v>
      </c>
      <c r="E3634" s="41" t="s">
        <v>25537</v>
      </c>
      <c r="F3634" s="43" t="s">
        <v>25538</v>
      </c>
      <c r="G3634" s="43" t="s">
        <v>25539</v>
      </c>
      <c r="H3634" s="65" t="s">
        <v>148</v>
      </c>
      <c r="I3634" s="15" t="str">
        <f>IFERROR(__xludf.DUMMYFUNCTION("GOOGLETRANSLATE(H3634,""EN"",""ES"")"),"Gastronomía")</f>
        <v>Gastronomía</v>
      </c>
      <c r="J3634" s="16" t="s">
        <v>27</v>
      </c>
      <c r="K3634" s="17">
        <v>0.0</v>
      </c>
      <c r="L3634" s="45"/>
      <c r="M3634" s="18"/>
      <c r="N3634" s="91"/>
      <c r="O3634" s="91"/>
      <c r="P3634" s="20">
        <v>0.0</v>
      </c>
      <c r="Q3634" s="18"/>
      <c r="R3634" s="18"/>
      <c r="S3634" s="52"/>
      <c r="T3634" s="22"/>
    </row>
    <row r="3635">
      <c r="A3635" s="23" t="s">
        <v>25540</v>
      </c>
      <c r="B3635" s="77" t="s">
        <v>499</v>
      </c>
      <c r="C3635" s="41">
        <v>45574.0</v>
      </c>
      <c r="D3635" s="40" t="s">
        <v>25541</v>
      </c>
      <c r="E3635" s="41" t="s">
        <v>25542</v>
      </c>
      <c r="F3635" s="43" t="s">
        <v>25543</v>
      </c>
      <c r="G3635" s="43" t="s">
        <v>25544</v>
      </c>
      <c r="H3635" s="66" t="s">
        <v>1914</v>
      </c>
      <c r="I3635" s="25" t="str">
        <f>IFERROR(__xludf.DUMMYFUNCTION("GOOGLETRANSLATE(H3635,""EN"",""ES"")"),"Política energética")</f>
        <v>Política energética</v>
      </c>
      <c r="J3635" s="26" t="s">
        <v>35</v>
      </c>
      <c r="K3635" s="48">
        <v>0.3</v>
      </c>
      <c r="L3635" s="54" t="s">
        <v>25545</v>
      </c>
      <c r="M3635" s="31" t="s">
        <v>25546</v>
      </c>
      <c r="N3635" s="90" t="s">
        <v>25547</v>
      </c>
      <c r="O3635" s="90" t="str">
        <f>IFERROR(__xludf.DUMMYFUNCTION("GOOGLETRANSLATE(N3635,""EN"",""ES"")"),"Positivo porque indica un liderazgo proactivo en la transición energética.")</f>
        <v>Positivo porque indica un liderazgo proactivo en la transición energética.</v>
      </c>
      <c r="P3635" s="30">
        <v>0.4</v>
      </c>
      <c r="Q3635" s="31" t="str">
        <f>IFERROR(__xludf.DUMMYFUNCTION("GOOGLETRANSLATE(R3635,""ES"",""EN"")"),"radical turn")</f>
        <v>radical turn</v>
      </c>
      <c r="R3635" s="28" t="s">
        <v>25548</v>
      </c>
      <c r="S3635" s="53" t="s">
        <v>25549</v>
      </c>
      <c r="T3635" s="32" t="s">
        <v>25550</v>
      </c>
    </row>
    <row r="3636">
      <c r="A3636" s="33" t="s">
        <v>25551</v>
      </c>
      <c r="B3636" s="76" t="s">
        <v>4559</v>
      </c>
      <c r="C3636" s="41">
        <v>45574.0</v>
      </c>
      <c r="D3636" s="40" t="s">
        <v>25552</v>
      </c>
      <c r="E3636" s="41" t="s">
        <v>25553</v>
      </c>
      <c r="F3636" s="43" t="s">
        <v>25554</v>
      </c>
      <c r="G3636" s="43" t="s">
        <v>25555</v>
      </c>
      <c r="H3636" s="65" t="s">
        <v>25201</v>
      </c>
      <c r="I3636" s="15" t="str">
        <f>IFERROR(__xludf.DUMMYFUNCTION("GOOGLETRANSLATE(H3636,""EN"",""ES"")"),"Asuntos Laborales")</f>
        <v>Asuntos Laborales</v>
      </c>
      <c r="J3636" s="16" t="s">
        <v>35</v>
      </c>
      <c r="K3636" s="48">
        <v>-0.8</v>
      </c>
      <c r="L3636" s="45" t="s">
        <v>25556</v>
      </c>
      <c r="M3636" s="18" t="s">
        <v>25557</v>
      </c>
      <c r="N3636" s="91" t="s">
        <v>25558</v>
      </c>
      <c r="O3636" s="91" t="str">
        <f>IFERROR(__xludf.DUMMYFUNCTION("GOOGLETRANSLATE(N3636,""EN"",""ES"")"),"Altamente negativo debido a los conflictos laborales en curso.")</f>
        <v>Altamente negativo debido a los conflictos laborales en curso.</v>
      </c>
      <c r="P3636" s="30">
        <v>-0.6</v>
      </c>
      <c r="Q3636" s="18" t="str">
        <f>IFERROR(__xludf.DUMMYFUNCTION("GOOGLETRANSLATE(R3636,""ES"",""EN"")"),"strike")</f>
        <v>strike</v>
      </c>
      <c r="R3636" s="34" t="s">
        <v>21133</v>
      </c>
      <c r="S3636" s="52" t="s">
        <v>25559</v>
      </c>
      <c r="T3636" s="22" t="s">
        <v>24632</v>
      </c>
    </row>
    <row r="3637">
      <c r="A3637" s="23" t="s">
        <v>25560</v>
      </c>
      <c r="B3637" s="77" t="s">
        <v>91</v>
      </c>
      <c r="C3637" s="41">
        <v>45574.0</v>
      </c>
      <c r="D3637" s="40" t="s">
        <v>25561</v>
      </c>
      <c r="E3637" s="41" t="s">
        <v>25562</v>
      </c>
      <c r="F3637" s="43" t="s">
        <v>25563</v>
      </c>
      <c r="G3637" s="43" t="s">
        <v>25564</v>
      </c>
      <c r="H3637" s="66" t="s">
        <v>1914</v>
      </c>
      <c r="I3637" s="25" t="str">
        <f>IFERROR(__xludf.DUMMYFUNCTION("GOOGLETRANSLATE(H3637,""EN"",""ES"")"),"Política energética")</f>
        <v>Política energética</v>
      </c>
      <c r="J3637" s="26" t="s">
        <v>35</v>
      </c>
      <c r="K3637" s="48">
        <v>-0.4</v>
      </c>
      <c r="L3637" s="54" t="s">
        <v>25565</v>
      </c>
      <c r="M3637" s="31" t="s">
        <v>25566</v>
      </c>
      <c r="N3637" s="90" t="s">
        <v>25567</v>
      </c>
      <c r="O3637" s="90" t="str">
        <f>IFERROR(__xludf.DUMMYFUNCTION("GOOGLETRANSLATE(N3637,""EN"",""ES"")"),"La declaración carece de impacto directo en la imagen de Repsol.")</f>
        <v>La declaración carece de impacto directo en la imagen de Repsol.</v>
      </c>
      <c r="P3637" s="30">
        <v>0.0</v>
      </c>
      <c r="Q3637" s="31"/>
      <c r="R3637" s="31"/>
      <c r="S3637" s="53" t="s">
        <v>25568</v>
      </c>
      <c r="T3637" s="32" t="s">
        <v>25569</v>
      </c>
    </row>
    <row r="3638">
      <c r="A3638" s="33" t="s">
        <v>25570</v>
      </c>
      <c r="B3638" s="76" t="s">
        <v>2442</v>
      </c>
      <c r="C3638" s="41">
        <v>45574.0</v>
      </c>
      <c r="D3638" s="40" t="s">
        <v>25571</v>
      </c>
      <c r="E3638" s="41" t="s">
        <v>25572</v>
      </c>
      <c r="F3638" s="43" t="s">
        <v>25573</v>
      </c>
      <c r="G3638" s="43" t="s">
        <v>25574</v>
      </c>
      <c r="H3638" s="65" t="s">
        <v>1914</v>
      </c>
      <c r="I3638" s="15" t="str">
        <f>IFERROR(__xludf.DUMMYFUNCTION("GOOGLETRANSLATE(H3638,""EN"",""ES"")"),"Política energética")</f>
        <v>Política energética</v>
      </c>
      <c r="J3638" s="16" t="s">
        <v>35</v>
      </c>
      <c r="K3638" s="48">
        <v>-0.3</v>
      </c>
      <c r="L3638" s="45" t="s">
        <v>25575</v>
      </c>
      <c r="M3638" s="18" t="s">
        <v>25576</v>
      </c>
      <c r="N3638" s="91" t="s">
        <v>25577</v>
      </c>
      <c r="O3638" s="91" t="str">
        <f>IFERROR(__xludf.DUMMYFUNCTION("GOOGLETRANSLATE(N3638,""EN"",""ES"")"),"Positivo ya que sugiere independencia industrial estratégica.")</f>
        <v>Positivo ya que sugiere independencia industrial estratégica.</v>
      </c>
      <c r="P3638" s="30">
        <v>0.2</v>
      </c>
      <c r="Q3638" s="18" t="str">
        <f>IFERROR(__xludf.DUMMYFUNCTION("GOOGLETRANSLATE(R3638,""ES"",""EN"")"),"-")</f>
        <v>-</v>
      </c>
      <c r="R3638" s="34" t="s">
        <v>11852</v>
      </c>
      <c r="S3638" s="52" t="s">
        <v>25578</v>
      </c>
      <c r="T3638" s="22" t="s">
        <v>25579</v>
      </c>
    </row>
    <row r="3639">
      <c r="A3639" s="23" t="s">
        <v>25580</v>
      </c>
      <c r="B3639" s="77" t="s">
        <v>163</v>
      </c>
      <c r="C3639" s="41">
        <v>45575.0</v>
      </c>
      <c r="D3639" s="40" t="s">
        <v>25581</v>
      </c>
      <c r="E3639" s="41" t="s">
        <v>25582</v>
      </c>
      <c r="F3639" s="43" t="s">
        <v>25583</v>
      </c>
      <c r="G3639" s="43" t="s">
        <v>25584</v>
      </c>
      <c r="H3639" s="66" t="s">
        <v>8369</v>
      </c>
      <c r="I3639" s="25" t="str">
        <f>IFERROR(__xludf.DUMMYFUNCTION("GOOGLETRANSLATE(H3639,""EN"",""ES"")"),"Medios de comunicación")</f>
        <v>Medios de comunicación</v>
      </c>
      <c r="J3639" s="26" t="s">
        <v>27</v>
      </c>
      <c r="K3639" s="17">
        <v>0.0</v>
      </c>
      <c r="L3639" s="54"/>
      <c r="M3639" s="31"/>
      <c r="N3639" s="90"/>
      <c r="O3639" s="90"/>
      <c r="P3639" s="20">
        <v>0.0</v>
      </c>
      <c r="Q3639" s="31"/>
      <c r="R3639" s="31"/>
      <c r="S3639" s="53"/>
      <c r="T3639" s="32"/>
    </row>
    <row r="3640">
      <c r="A3640" s="33" t="s">
        <v>25585</v>
      </c>
      <c r="B3640" s="76" t="s">
        <v>1072</v>
      </c>
      <c r="C3640" s="41">
        <v>45575.0</v>
      </c>
      <c r="D3640" s="40" t="s">
        <v>25586</v>
      </c>
      <c r="E3640" s="41" t="s">
        <v>25587</v>
      </c>
      <c r="F3640" s="43" t="s">
        <v>25588</v>
      </c>
      <c r="G3640" s="43" t="s">
        <v>25589</v>
      </c>
      <c r="H3640" s="65" t="s">
        <v>24743</v>
      </c>
      <c r="I3640" s="15" t="str">
        <f>IFERROR(__xludf.DUMMYFUNCTION("GOOGLETRANSLATE(H3640,""EN"",""ES"")"),"Mercado de Valores")</f>
        <v>Mercado de Valores</v>
      </c>
      <c r="J3640" s="16" t="s">
        <v>35</v>
      </c>
      <c r="K3640" s="48">
        <v>0.5</v>
      </c>
      <c r="L3640" s="45" t="s">
        <v>25590</v>
      </c>
      <c r="M3640" s="18" t="s">
        <v>25591</v>
      </c>
      <c r="N3640" s="91" t="s">
        <v>25592</v>
      </c>
      <c r="O3640" s="91" t="str">
        <f>IFERROR(__xludf.DUMMYFUNCTION("GOOGLETRANSLATE(N3640,""EN"",""ES"")"),"Positivo porque pone de relieve la fuerte confianza de los inversores en Repsol.")</f>
        <v>Positivo porque pone de relieve la fuerte confianza de los inversores en Repsol.</v>
      </c>
      <c r="P3640" s="30">
        <v>0.2</v>
      </c>
      <c r="Q3640" s="18" t="str">
        <f>IFERROR(__xludf.DUMMYFUNCTION("GOOGLETRANSLATE(R3640,""ES"",""EN"")"),"-")</f>
        <v>-</v>
      </c>
      <c r="R3640" s="34" t="s">
        <v>11852</v>
      </c>
      <c r="S3640" s="52" t="s">
        <v>25593</v>
      </c>
      <c r="T3640" s="22" t="s">
        <v>25594</v>
      </c>
    </row>
    <row r="3641">
      <c r="A3641" s="23" t="s">
        <v>25595</v>
      </c>
      <c r="B3641" s="77" t="s">
        <v>558</v>
      </c>
      <c r="C3641" s="41">
        <v>45575.0</v>
      </c>
      <c r="D3641" s="40" t="s">
        <v>25596</v>
      </c>
      <c r="E3641" s="41" t="s">
        <v>25597</v>
      </c>
      <c r="F3641" s="43" t="s">
        <v>25598</v>
      </c>
      <c r="G3641" s="43" t="s">
        <v>25599</v>
      </c>
      <c r="H3641" s="66" t="s">
        <v>24754</v>
      </c>
      <c r="I3641" s="25" t="str">
        <f>IFERROR(__xludf.DUMMYFUNCTION("GOOGLETRANSLATE(H3641,""EN"",""ES"")"),"Negocios y economía")</f>
        <v>Negocios y economía</v>
      </c>
      <c r="J3641" s="26" t="s">
        <v>35</v>
      </c>
      <c r="K3641" s="48">
        <v>-0.6</v>
      </c>
      <c r="L3641" s="54" t="s">
        <v>25600</v>
      </c>
      <c r="M3641" s="31" t="s">
        <v>25601</v>
      </c>
      <c r="N3641" s="90" t="s">
        <v>25532</v>
      </c>
      <c r="O3641" s="90" t="str">
        <f>IFERROR(__xludf.DUMMYFUNCTION("GOOGLETRANSLATE(N3641,""EN"",""ES"")"),"Fuertemente negativo debido al deterioro financiero y operativo.")</f>
        <v>Fuertemente negativo debido al deterioro financiero y operativo.</v>
      </c>
      <c r="P3641" s="30">
        <v>-0.4</v>
      </c>
      <c r="Q3641" s="31" t="str">
        <f>IFERROR(__xludf.DUMMYFUNCTION("GOOGLETRANSLATE(R3641,""ES"",""EN"")"),"falls")</f>
        <v>falls</v>
      </c>
      <c r="R3641" s="28" t="s">
        <v>18351</v>
      </c>
      <c r="S3641" s="53" t="s">
        <v>25453</v>
      </c>
      <c r="T3641" s="32" t="s">
        <v>25454</v>
      </c>
    </row>
    <row r="3642">
      <c r="A3642" s="33" t="s">
        <v>25602</v>
      </c>
      <c r="B3642" s="76" t="s">
        <v>50</v>
      </c>
      <c r="C3642" s="41">
        <v>45575.0</v>
      </c>
      <c r="D3642" s="40" t="s">
        <v>25603</v>
      </c>
      <c r="E3642" s="41" t="s">
        <v>25604</v>
      </c>
      <c r="F3642" s="43" t="s">
        <v>25605</v>
      </c>
      <c r="G3642" s="43" t="s">
        <v>25606</v>
      </c>
      <c r="H3642" s="65" t="s">
        <v>55</v>
      </c>
      <c r="I3642" s="15" t="str">
        <f>IFERROR(__xludf.DUMMYFUNCTION("GOOGLETRANSLATE(H3642,""EN"",""ES"")"),"deportes de motor")</f>
        <v>deportes de motor</v>
      </c>
      <c r="J3642" s="16" t="s">
        <v>27</v>
      </c>
      <c r="K3642" s="17">
        <v>0.0</v>
      </c>
      <c r="L3642" s="45"/>
      <c r="M3642" s="18"/>
      <c r="N3642" s="91"/>
      <c r="O3642" s="91"/>
      <c r="P3642" s="20">
        <v>0.0</v>
      </c>
      <c r="Q3642" s="18"/>
      <c r="R3642" s="18"/>
      <c r="S3642" s="52"/>
      <c r="T3642" s="22"/>
    </row>
    <row r="3643">
      <c r="A3643" s="23" t="s">
        <v>25607</v>
      </c>
      <c r="B3643" s="77" t="s">
        <v>25608</v>
      </c>
      <c r="C3643" s="41">
        <v>45575.0</v>
      </c>
      <c r="D3643" s="40" t="s">
        <v>25609</v>
      </c>
      <c r="E3643" s="41" t="s">
        <v>25610</v>
      </c>
      <c r="F3643" s="43" t="s">
        <v>25611</v>
      </c>
      <c r="G3643" s="43" t="s">
        <v>25612</v>
      </c>
      <c r="H3643" s="66" t="s">
        <v>55</v>
      </c>
      <c r="I3643" s="25" t="str">
        <f>IFERROR(__xludf.DUMMYFUNCTION("GOOGLETRANSLATE(H3643,""EN"",""ES"")"),"deportes de motor")</f>
        <v>deportes de motor</v>
      </c>
      <c r="J3643" s="26" t="s">
        <v>27</v>
      </c>
      <c r="K3643" s="17">
        <v>0.0</v>
      </c>
      <c r="L3643" s="54"/>
      <c r="M3643" s="31"/>
      <c r="N3643" s="90"/>
      <c r="O3643" s="90"/>
      <c r="P3643" s="20">
        <v>0.0</v>
      </c>
      <c r="Q3643" s="31"/>
      <c r="R3643" s="31"/>
      <c r="S3643" s="53"/>
      <c r="T3643" s="32"/>
    </row>
    <row r="3644">
      <c r="A3644" s="33" t="s">
        <v>25613</v>
      </c>
      <c r="B3644" s="76" t="s">
        <v>85</v>
      </c>
      <c r="C3644" s="41">
        <v>45575.0</v>
      </c>
      <c r="D3644" s="40" t="s">
        <v>25614</v>
      </c>
      <c r="E3644" s="41" t="s">
        <v>25615</v>
      </c>
      <c r="F3644" s="43" t="s">
        <v>25616</v>
      </c>
      <c r="G3644" s="43" t="s">
        <v>25617</v>
      </c>
      <c r="H3644" s="65" t="s">
        <v>25618</v>
      </c>
      <c r="I3644" s="15" t="str">
        <f>IFERROR(__xludf.DUMMYFUNCTION("GOOGLETRANSLATE(H3644,""EN"",""ES"")"),"Seguridad Pública")</f>
        <v>Seguridad Pública</v>
      </c>
      <c r="J3644" s="16" t="s">
        <v>27</v>
      </c>
      <c r="K3644" s="17">
        <v>0.0</v>
      </c>
      <c r="L3644" s="45"/>
      <c r="M3644" s="18"/>
      <c r="N3644" s="91"/>
      <c r="O3644" s="91"/>
      <c r="P3644" s="20">
        <v>0.0</v>
      </c>
      <c r="Q3644" s="18"/>
      <c r="R3644" s="18"/>
      <c r="S3644" s="52"/>
      <c r="T3644" s="22"/>
    </row>
    <row r="3645">
      <c r="A3645" s="23" t="s">
        <v>25619</v>
      </c>
      <c r="B3645" s="77" t="s">
        <v>19821</v>
      </c>
      <c r="C3645" s="41">
        <v>45575.0</v>
      </c>
      <c r="D3645" s="40" t="s">
        <v>25620</v>
      </c>
      <c r="E3645" s="41" t="s">
        <v>25621</v>
      </c>
      <c r="F3645" s="43" t="s">
        <v>25622</v>
      </c>
      <c r="G3645" s="43" t="s">
        <v>25623</v>
      </c>
      <c r="H3645" s="66" t="s">
        <v>24743</v>
      </c>
      <c r="I3645" s="25" t="str">
        <f>IFERROR(__xludf.DUMMYFUNCTION("GOOGLETRANSLATE(H3645,""EN"",""ES"")"),"Mercado de Valores")</f>
        <v>Mercado de Valores</v>
      </c>
      <c r="J3645" s="26" t="s">
        <v>35</v>
      </c>
      <c r="K3645" s="48">
        <v>-0.5</v>
      </c>
      <c r="L3645" s="54" t="s">
        <v>25624</v>
      </c>
      <c r="M3645" s="31" t="s">
        <v>25625</v>
      </c>
      <c r="N3645" s="90" t="s">
        <v>25626</v>
      </c>
      <c r="O3645" s="90" t="str">
        <f>IFERROR(__xludf.DUMMYFUNCTION("GOOGLETRANSLATE(N3645,""EN"",""ES"")"),"Negativo debido a preocupaciones financieras.")</f>
        <v>Negativo debido a preocupaciones financieras.</v>
      </c>
      <c r="P3645" s="30">
        <v>-0.7</v>
      </c>
      <c r="Q3645" s="31" t="str">
        <f>IFERROR(__xludf.DUMMYFUNCTION("GOOGLETRANSLATE(R3645,""ES"",""EN"")"),"under pressure, reduces")</f>
        <v>under pressure, reduces</v>
      </c>
      <c r="R3645" s="28" t="s">
        <v>25627</v>
      </c>
      <c r="S3645" s="53" t="s">
        <v>25628</v>
      </c>
      <c r="T3645" s="32" t="s">
        <v>25629</v>
      </c>
    </row>
    <row r="3646">
      <c r="A3646" s="33" t="s">
        <v>25630</v>
      </c>
      <c r="B3646" s="76" t="s">
        <v>1602</v>
      </c>
      <c r="C3646" s="41">
        <v>45575.0</v>
      </c>
      <c r="D3646" s="40" t="s">
        <v>25631</v>
      </c>
      <c r="E3646" s="41" t="s">
        <v>25632</v>
      </c>
      <c r="F3646" s="43" t="s">
        <v>25633</v>
      </c>
      <c r="G3646" s="43" t="s">
        <v>25634</v>
      </c>
      <c r="H3646" s="65" t="s">
        <v>24743</v>
      </c>
      <c r="I3646" s="15" t="str">
        <f>IFERROR(__xludf.DUMMYFUNCTION("GOOGLETRANSLATE(H3646,""EN"",""ES"")"),"Mercado de Valores")</f>
        <v>Mercado de Valores</v>
      </c>
      <c r="J3646" s="16" t="s">
        <v>35</v>
      </c>
      <c r="K3646" s="48">
        <v>-0.2</v>
      </c>
      <c r="L3646" s="45" t="s">
        <v>25635</v>
      </c>
      <c r="M3646" s="18" t="s">
        <v>25636</v>
      </c>
      <c r="N3646" s="91" t="s">
        <v>25637</v>
      </c>
      <c r="O3646" s="91" t="str">
        <f>IFERROR(__xludf.DUMMYFUNCTION("GOOGLETRANSLATE(N3646,""EN"",""ES"")"),"Neutral ya que analiza estrategias de inversión.")</f>
        <v>Neutral ya que analiza estrategias de inversión.</v>
      </c>
      <c r="P3646" s="30">
        <v>0.0</v>
      </c>
      <c r="Q3646" s="18"/>
      <c r="R3646" s="18"/>
      <c r="S3646" s="52" t="s">
        <v>25638</v>
      </c>
      <c r="T3646" s="22" t="s">
        <v>25639</v>
      </c>
    </row>
    <row r="3647">
      <c r="A3647" s="23" t="s">
        <v>25640</v>
      </c>
      <c r="B3647" s="77" t="s">
        <v>1005</v>
      </c>
      <c r="C3647" s="41">
        <v>45575.0</v>
      </c>
      <c r="D3647" s="40" t="s">
        <v>25641</v>
      </c>
      <c r="E3647" s="41" t="s">
        <v>25642</v>
      </c>
      <c r="F3647" s="43" t="s">
        <v>25643</v>
      </c>
      <c r="G3647" s="43" t="s">
        <v>25644</v>
      </c>
      <c r="H3647" s="66" t="s">
        <v>25201</v>
      </c>
      <c r="I3647" s="25" t="str">
        <f>IFERROR(__xludf.DUMMYFUNCTION("GOOGLETRANSLATE(H3647,""EN"",""ES"")"),"Asuntos Laborales")</f>
        <v>Asuntos Laborales</v>
      </c>
      <c r="J3647" s="26" t="s">
        <v>35</v>
      </c>
      <c r="K3647" s="48">
        <v>-0.8</v>
      </c>
      <c r="L3647" s="54" t="s">
        <v>25645</v>
      </c>
      <c r="M3647" s="31" t="s">
        <v>25645</v>
      </c>
      <c r="N3647" s="90" t="s">
        <v>25646</v>
      </c>
      <c r="O3647" s="90" t="str">
        <f>IFERROR(__xludf.DUMMYFUNCTION("GOOGLETRANSLATE(N3647,""EN"",""ES"")"),"Altamente negativo debido a la inestabilidad financiera y laboral.")</f>
        <v>Altamente negativo debido a la inestabilidad financiera y laboral.</v>
      </c>
      <c r="P3647" s="30">
        <v>-0.8</v>
      </c>
      <c r="Q3647" s="31" t="str">
        <f>IFERROR(__xludf.DUMMYFUNCTION("GOOGLETRANSLATE(R3647,""ES"",""EN"")"),"does not pay, ERE")</f>
        <v>does not pay, ERE</v>
      </c>
      <c r="R3647" s="28" t="s">
        <v>25647</v>
      </c>
      <c r="S3647" s="53" t="s">
        <v>25648</v>
      </c>
      <c r="T3647" s="32" t="s">
        <v>25649</v>
      </c>
    </row>
    <row r="3648">
      <c r="A3648" s="33" t="s">
        <v>25650</v>
      </c>
      <c r="B3648" s="76" t="s">
        <v>25651</v>
      </c>
      <c r="C3648" s="41">
        <v>45575.0</v>
      </c>
      <c r="D3648" s="40" t="s">
        <v>25652</v>
      </c>
      <c r="E3648" s="41" t="s">
        <v>25653</v>
      </c>
      <c r="F3648" s="43" t="s">
        <v>25654</v>
      </c>
      <c r="G3648" s="43" t="s">
        <v>25655</v>
      </c>
      <c r="H3648" s="65" t="s">
        <v>25618</v>
      </c>
      <c r="I3648" s="15" t="str">
        <f>IFERROR(__xludf.DUMMYFUNCTION("GOOGLETRANSLATE(H3648,""EN"",""ES"")"),"Seguridad Pública")</f>
        <v>Seguridad Pública</v>
      </c>
      <c r="J3648" s="16" t="s">
        <v>27</v>
      </c>
      <c r="K3648" s="17">
        <v>0.0</v>
      </c>
      <c r="L3648" s="45"/>
      <c r="M3648" s="18"/>
      <c r="N3648" s="91"/>
      <c r="O3648" s="91"/>
      <c r="P3648" s="20">
        <v>0.0</v>
      </c>
      <c r="Q3648" s="18"/>
      <c r="R3648" s="18"/>
      <c r="S3648" s="52"/>
      <c r="T3648" s="22"/>
    </row>
    <row r="3649">
      <c r="A3649" s="23" t="s">
        <v>25656</v>
      </c>
      <c r="B3649" s="77" t="s">
        <v>499</v>
      </c>
      <c r="C3649" s="41">
        <v>45575.0</v>
      </c>
      <c r="D3649" s="40" t="s">
        <v>25657</v>
      </c>
      <c r="E3649" s="41" t="s">
        <v>25658</v>
      </c>
      <c r="F3649" s="43" t="s">
        <v>25659</v>
      </c>
      <c r="G3649" s="43" t="s">
        <v>25660</v>
      </c>
      <c r="H3649" s="66" t="s">
        <v>25661</v>
      </c>
      <c r="I3649" s="25" t="str">
        <f>IFERROR(__xludf.DUMMYFUNCTION("GOOGLETRANSLATE(H3649,""EN"",""ES"")"),"Relaciones Internacionales")</f>
        <v>Relaciones Internacionales</v>
      </c>
      <c r="J3649" s="26" t="s">
        <v>35</v>
      </c>
      <c r="K3649" s="48">
        <v>-0.2</v>
      </c>
      <c r="L3649" s="54" t="s">
        <v>25662</v>
      </c>
      <c r="M3649" s="31" t="s">
        <v>25663</v>
      </c>
      <c r="N3649" s="90" t="s">
        <v>25664</v>
      </c>
      <c r="O3649" s="90" t="str">
        <f>IFERROR(__xludf.DUMMYFUNCTION("GOOGLETRANSLATE(N3649,""EN"",""ES"")"),"Ligeramente negativo debido a la incertidumbre en torno a los acuerdos petroleros venezolanos.")</f>
        <v>Ligeramente negativo debido a la incertidumbre en torno a los acuerdos petroleros venezolanos.</v>
      </c>
      <c r="P3649" s="30">
        <v>0.0</v>
      </c>
      <c r="Q3649" s="31"/>
      <c r="R3649" s="31"/>
      <c r="S3649" s="53" t="s">
        <v>25665</v>
      </c>
      <c r="T3649" s="32" t="s">
        <v>25666</v>
      </c>
    </row>
    <row r="3650">
      <c r="A3650" s="33" t="s">
        <v>25667</v>
      </c>
      <c r="B3650" s="76" t="s">
        <v>25668</v>
      </c>
      <c r="C3650" s="41">
        <v>45575.0</v>
      </c>
      <c r="D3650" s="40" t="s">
        <v>25669</v>
      </c>
      <c r="E3650" s="41" t="s">
        <v>25670</v>
      </c>
      <c r="F3650" s="43" t="s">
        <v>25671</v>
      </c>
      <c r="G3650" s="43" t="s">
        <v>25672</v>
      </c>
      <c r="H3650" s="65" t="s">
        <v>4581</v>
      </c>
      <c r="I3650" s="15" t="str">
        <f>IFERROR(__xludf.DUMMYFUNCTION("GOOGLETRANSLATE(H3650,""EN"",""ES"")"),"Infraestructura Energética")</f>
        <v>Infraestructura Energética</v>
      </c>
      <c r="J3650" s="16" t="s">
        <v>27</v>
      </c>
      <c r="K3650" s="17">
        <v>0.0</v>
      </c>
      <c r="L3650" s="45"/>
      <c r="M3650" s="18"/>
      <c r="N3650" s="91"/>
      <c r="O3650" s="91"/>
      <c r="P3650" s="20">
        <v>0.0</v>
      </c>
      <c r="Q3650" s="18"/>
      <c r="R3650" s="18"/>
      <c r="S3650" s="52"/>
      <c r="T3650" s="22"/>
    </row>
    <row r="3651">
      <c r="A3651" s="23" t="s">
        <v>25673</v>
      </c>
      <c r="B3651" s="77" t="s">
        <v>11295</v>
      </c>
      <c r="C3651" s="41">
        <v>45575.0</v>
      </c>
      <c r="D3651" s="40" t="s">
        <v>25674</v>
      </c>
      <c r="E3651" s="41" t="s">
        <v>25675</v>
      </c>
      <c r="F3651" s="43" t="s">
        <v>25676</v>
      </c>
      <c r="G3651" s="43" t="s">
        <v>25677</v>
      </c>
      <c r="H3651" s="66" t="s">
        <v>24754</v>
      </c>
      <c r="I3651" s="25" t="str">
        <f>IFERROR(__xludf.DUMMYFUNCTION("GOOGLETRANSLATE(H3651,""EN"",""ES"")"),"Negocios y economía")</f>
        <v>Negocios y economía</v>
      </c>
      <c r="J3651" s="26" t="s">
        <v>35</v>
      </c>
      <c r="K3651" s="48">
        <v>0.4</v>
      </c>
      <c r="L3651" s="54" t="s">
        <v>25678</v>
      </c>
      <c r="M3651" s="31" t="s">
        <v>25679</v>
      </c>
      <c r="N3651" s="90" t="s">
        <v>25680</v>
      </c>
      <c r="O3651" s="90" t="str">
        <f>IFERROR(__xludf.DUMMYFUNCTION("GOOGLETRANSLATE(N3651,""EN"",""ES"")"),"Positivo porque pone de relieve la expansión de mercado de Repsol.")</f>
        <v>Positivo porque pone de relieve la expansión de mercado de Repsol.</v>
      </c>
      <c r="P3651" s="30">
        <v>0.1</v>
      </c>
      <c r="Q3651" s="31" t="str">
        <f>IFERROR(__xludf.DUMMYFUNCTION("GOOGLETRANSLATE(R3651,""ES"",""EN"")"),"-")</f>
        <v>-</v>
      </c>
      <c r="R3651" s="28" t="s">
        <v>11852</v>
      </c>
      <c r="S3651" s="53" t="s">
        <v>25681</v>
      </c>
      <c r="T3651" s="32" t="s">
        <v>25682</v>
      </c>
    </row>
    <row r="3652">
      <c r="A3652" s="33" t="s">
        <v>25683</v>
      </c>
      <c r="B3652" s="76" t="s">
        <v>1072</v>
      </c>
      <c r="C3652" s="41">
        <v>45576.0</v>
      </c>
      <c r="D3652" s="40" t="s">
        <v>25684</v>
      </c>
      <c r="E3652" s="41" t="s">
        <v>25685</v>
      </c>
      <c r="F3652" s="43" t="s">
        <v>25686</v>
      </c>
      <c r="G3652" s="43" t="s">
        <v>25687</v>
      </c>
      <c r="H3652" s="65" t="s">
        <v>24743</v>
      </c>
      <c r="I3652" s="15" t="str">
        <f>IFERROR(__xludf.DUMMYFUNCTION("GOOGLETRANSLATE(H3652,""EN"",""ES"")"),"Mercado de Valores")</f>
        <v>Mercado de Valores</v>
      </c>
      <c r="J3652" s="16" t="s">
        <v>35</v>
      </c>
      <c r="K3652" s="48">
        <v>-0.6</v>
      </c>
      <c r="L3652" s="45" t="s">
        <v>25688</v>
      </c>
      <c r="M3652" s="18" t="s">
        <v>25689</v>
      </c>
      <c r="N3652" s="91" t="s">
        <v>25690</v>
      </c>
      <c r="O3652" s="91" t="str">
        <f>IFERROR(__xludf.DUMMYFUNCTION("GOOGLETRANSLATE(N3652,""EN"",""ES"")"),"Fuertemente negativo debido a la falta de confianza de los analistas.")</f>
        <v>Fuertemente negativo debido a la falta de confianza de los analistas.</v>
      </c>
      <c r="P3652" s="30">
        <v>-0.6</v>
      </c>
      <c r="Q3652" s="18" t="str">
        <f>IFERROR(__xludf.DUMMYFUNCTION("GOOGLETRANSLATE(R3652,""ES"",""EN"")"),"suffers, sales")</f>
        <v>suffers, sales</v>
      </c>
      <c r="R3652" s="34" t="s">
        <v>25691</v>
      </c>
      <c r="S3652" s="52" t="s">
        <v>25488</v>
      </c>
      <c r="T3652" s="22" t="s">
        <v>25489</v>
      </c>
    </row>
    <row r="3653">
      <c r="A3653" s="23" t="s">
        <v>25692</v>
      </c>
      <c r="B3653" s="77" t="s">
        <v>9506</v>
      </c>
      <c r="C3653" s="41">
        <v>45576.0</v>
      </c>
      <c r="D3653" s="40" t="s">
        <v>25693</v>
      </c>
      <c r="E3653" s="41" t="s">
        <v>25694</v>
      </c>
      <c r="F3653" s="43" t="s">
        <v>25695</v>
      </c>
      <c r="G3653" s="43" t="s">
        <v>25696</v>
      </c>
      <c r="H3653" s="66" t="s">
        <v>130</v>
      </c>
      <c r="I3653" s="25" t="str">
        <f>IFERROR(__xludf.DUMMYFUNCTION("GOOGLETRANSLATE(H3653,""EN"",""ES"")"),"Sostenibilidad")</f>
        <v>Sostenibilidad</v>
      </c>
      <c r="J3653" s="26" t="s">
        <v>35</v>
      </c>
      <c r="K3653" s="48">
        <v>0.7</v>
      </c>
      <c r="L3653" s="54" t="s">
        <v>25697</v>
      </c>
      <c r="M3653" s="31" t="s">
        <v>25697</v>
      </c>
      <c r="N3653" s="90" t="s">
        <v>25698</v>
      </c>
      <c r="O3653" s="90" t="str">
        <f>IFERROR(__xludf.DUMMYFUNCTION("GOOGLETRANSLATE(N3653,""EN"",""ES"")"),"Positivo por su fuerte capacidad de producción y liderazgo en energías renovables.")</f>
        <v>Positivo por su fuerte capacidad de producción y liderazgo en energías renovables.</v>
      </c>
      <c r="P3653" s="30">
        <v>0.7</v>
      </c>
      <c r="Q3653" s="31" t="str">
        <f>IFERROR(__xludf.DUMMYFUNCTION("GOOGLETRANSLATE(R3653,""ES"",""EN"")"),"plant, produces")</f>
        <v>plant, produces</v>
      </c>
      <c r="R3653" s="28" t="s">
        <v>25699</v>
      </c>
      <c r="S3653" s="53" t="s">
        <v>25700</v>
      </c>
      <c r="T3653" s="32" t="s">
        <v>25701</v>
      </c>
    </row>
    <row r="3654">
      <c r="A3654" s="33" t="s">
        <v>25702</v>
      </c>
      <c r="B3654" s="76" t="s">
        <v>5525</v>
      </c>
      <c r="C3654" s="41">
        <v>45576.0</v>
      </c>
      <c r="D3654" s="40" t="s">
        <v>25703</v>
      </c>
      <c r="E3654" s="41" t="s">
        <v>25704</v>
      </c>
      <c r="F3654" s="43" t="s">
        <v>25705</v>
      </c>
      <c r="G3654" s="43" t="s">
        <v>25706</v>
      </c>
      <c r="H3654" s="65" t="s">
        <v>24743</v>
      </c>
      <c r="I3654" s="15" t="str">
        <f>IFERROR(__xludf.DUMMYFUNCTION("GOOGLETRANSLATE(H3654,""EN"",""ES"")"),"Mercado de Valores")</f>
        <v>Mercado de Valores</v>
      </c>
      <c r="J3654" s="16" t="s">
        <v>35</v>
      </c>
      <c r="K3654" s="48">
        <v>-0.5</v>
      </c>
      <c r="L3654" s="45" t="s">
        <v>25707</v>
      </c>
      <c r="M3654" s="18" t="s">
        <v>25708</v>
      </c>
      <c r="N3654" s="91" t="s">
        <v>25709</v>
      </c>
      <c r="O3654" s="91" t="str">
        <f>IFERROR(__xludf.DUMMYFUNCTION("GOOGLETRANSLATE(N3654,""EN"",""ES"")"),"Fuertemente negativo debido a la desaceleración del mercado y la menor producción.")</f>
        <v>Fuertemente negativo debido a la desaceleración del mercado y la menor producción.</v>
      </c>
      <c r="P3654" s="30">
        <v>-0.5</v>
      </c>
      <c r="Q3654" s="18" t="str">
        <f>IFERROR(__xludf.DUMMYFUNCTION("GOOGLETRANSLATE(R3654,""ES"",""EN"")"),"negative")</f>
        <v>negative</v>
      </c>
      <c r="R3654" s="34" t="s">
        <v>25710</v>
      </c>
      <c r="S3654" s="52" t="s">
        <v>25711</v>
      </c>
      <c r="T3654" s="22" t="s">
        <v>25712</v>
      </c>
    </row>
    <row r="3655">
      <c r="A3655" s="23" t="s">
        <v>25713</v>
      </c>
      <c r="B3655" s="77" t="s">
        <v>23454</v>
      </c>
      <c r="C3655" s="41">
        <v>45576.0</v>
      </c>
      <c r="D3655" s="40" t="s">
        <v>25714</v>
      </c>
      <c r="E3655" s="41" t="s">
        <v>25715</v>
      </c>
      <c r="F3655" s="43" t="s">
        <v>25716</v>
      </c>
      <c r="G3655" s="43" t="s">
        <v>25717</v>
      </c>
      <c r="H3655" s="66" t="s">
        <v>130</v>
      </c>
      <c r="I3655" s="25" t="str">
        <f>IFERROR(__xludf.DUMMYFUNCTION("GOOGLETRANSLATE(H3655,""EN"",""ES"")"),"Sostenibilidad")</f>
        <v>Sostenibilidad</v>
      </c>
      <c r="J3655" s="26" t="s">
        <v>35</v>
      </c>
      <c r="K3655" s="48">
        <v>0.6</v>
      </c>
      <c r="L3655" s="54" t="s">
        <v>25718</v>
      </c>
      <c r="M3655" s="31" t="s">
        <v>25719</v>
      </c>
      <c r="N3655" s="90" t="s">
        <v>25720</v>
      </c>
      <c r="O3655" s="90" t="str">
        <f>IFERROR(__xludf.DUMMYFUNCTION("GOOGLETRANSLATE(N3655,""EN"",""ES"")"),"Positivo porque pone de relieve el esfuerzo medioambiental de Repsol.")</f>
        <v>Positivo porque pone de relieve el esfuerzo medioambiental de Repsol.</v>
      </c>
      <c r="P3655" s="30">
        <v>0.6</v>
      </c>
      <c r="Q3655" s="31" t="str">
        <f>IFERROR(__xludf.DUMMYFUNCTION("GOOGLETRANSLATE(R3655,""ES"",""EN"")"),"fix it, pay you")</f>
        <v>fix it, pay you</v>
      </c>
      <c r="R3655" s="28" t="s">
        <v>25721</v>
      </c>
      <c r="S3655" s="53" t="s">
        <v>13711</v>
      </c>
      <c r="T3655" s="32" t="s">
        <v>13712</v>
      </c>
    </row>
    <row r="3656">
      <c r="A3656" s="33" t="s">
        <v>25722</v>
      </c>
      <c r="B3656" s="76" t="s">
        <v>3067</v>
      </c>
      <c r="C3656" s="41">
        <v>45576.0</v>
      </c>
      <c r="D3656" s="40" t="s">
        <v>25723</v>
      </c>
      <c r="E3656" s="41" t="s">
        <v>25724</v>
      </c>
      <c r="F3656" s="43" t="s">
        <v>25725</v>
      </c>
      <c r="G3656" s="43" t="s">
        <v>25726</v>
      </c>
      <c r="H3656" s="65" t="s">
        <v>55</v>
      </c>
      <c r="I3656" s="15" t="str">
        <f>IFERROR(__xludf.DUMMYFUNCTION("GOOGLETRANSLATE(H3656,""EN"",""ES"")"),"deportes de motor")</f>
        <v>deportes de motor</v>
      </c>
      <c r="J3656" s="16" t="s">
        <v>27</v>
      </c>
      <c r="K3656" s="17">
        <v>0.0</v>
      </c>
      <c r="L3656" s="45"/>
      <c r="M3656" s="18"/>
      <c r="N3656" s="91"/>
      <c r="O3656" s="91"/>
      <c r="P3656" s="20">
        <v>0.0</v>
      </c>
      <c r="Q3656" s="18"/>
      <c r="R3656" s="18"/>
      <c r="S3656" s="52"/>
      <c r="T3656" s="22"/>
    </row>
    <row r="3657">
      <c r="A3657" s="23" t="s">
        <v>25727</v>
      </c>
      <c r="B3657" s="77" t="s">
        <v>3511</v>
      </c>
      <c r="C3657" s="41">
        <v>45576.0</v>
      </c>
      <c r="D3657" s="40" t="s">
        <v>25728</v>
      </c>
      <c r="E3657" s="41" t="s">
        <v>25729</v>
      </c>
      <c r="F3657" s="43" t="s">
        <v>25730</v>
      </c>
      <c r="G3657" s="43" t="s">
        <v>25731</v>
      </c>
      <c r="H3657" s="66" t="s">
        <v>3003</v>
      </c>
      <c r="I3657" s="25" t="str">
        <f>IFERROR(__xludf.DUMMYFUNCTION("GOOGLETRANSLATE(H3657,""EN"",""ES"")"),"Bienes raíces")</f>
        <v>Bienes raíces</v>
      </c>
      <c r="J3657" s="26" t="s">
        <v>27</v>
      </c>
      <c r="K3657" s="17">
        <v>0.0</v>
      </c>
      <c r="L3657" s="54"/>
      <c r="M3657" s="31"/>
      <c r="N3657" s="90"/>
      <c r="O3657" s="90"/>
      <c r="P3657" s="20">
        <v>0.0</v>
      </c>
      <c r="Q3657" s="31"/>
      <c r="R3657" s="31"/>
      <c r="S3657" s="53"/>
      <c r="T3657" s="32"/>
    </row>
    <row r="3658">
      <c r="A3658" s="33" t="s">
        <v>25732</v>
      </c>
      <c r="B3658" s="76" t="s">
        <v>1093</v>
      </c>
      <c r="C3658" s="41">
        <v>45576.0</v>
      </c>
      <c r="D3658" s="40" t="s">
        <v>25733</v>
      </c>
      <c r="E3658" s="41" t="s">
        <v>25734</v>
      </c>
      <c r="F3658" s="43" t="s">
        <v>25735</v>
      </c>
      <c r="G3658" s="43" t="s">
        <v>25736</v>
      </c>
      <c r="H3658" s="65" t="s">
        <v>4581</v>
      </c>
      <c r="I3658" s="15" t="str">
        <f>IFERROR(__xludf.DUMMYFUNCTION("GOOGLETRANSLATE(H3658,""EN"",""ES"")"),"Infraestructura Energética")</f>
        <v>Infraestructura Energética</v>
      </c>
      <c r="J3658" s="16" t="s">
        <v>35</v>
      </c>
      <c r="K3658" s="48">
        <v>-0.4</v>
      </c>
      <c r="L3658" s="45" t="s">
        <v>25737</v>
      </c>
      <c r="M3658" s="18" t="s">
        <v>25738</v>
      </c>
      <c r="N3658" s="91" t="s">
        <v>25739</v>
      </c>
      <c r="O3658" s="91" t="str">
        <f>IFERROR(__xludf.DUMMYFUNCTION("GOOGLETRANSLATE(N3658,""EN"",""ES"")"),"Negativo debido a posibles contratiempos financieros y operativos.")</f>
        <v>Negativo debido a posibles contratiempos financieros y operativos.</v>
      </c>
      <c r="P3658" s="30">
        <v>0.0</v>
      </c>
      <c r="Q3658" s="18"/>
      <c r="R3658" s="18"/>
      <c r="S3658" s="52" t="s">
        <v>469</v>
      </c>
      <c r="T3658" s="22" t="s">
        <v>470</v>
      </c>
    </row>
    <row r="3659">
      <c r="A3659" s="23" t="s">
        <v>25740</v>
      </c>
      <c r="B3659" s="77" t="s">
        <v>43</v>
      </c>
      <c r="C3659" s="41">
        <v>45576.0</v>
      </c>
      <c r="D3659" s="40" t="s">
        <v>25741</v>
      </c>
      <c r="E3659" s="41" t="s">
        <v>25742</v>
      </c>
      <c r="F3659" s="43" t="s">
        <v>25743</v>
      </c>
      <c r="G3659" s="43" t="s">
        <v>25744</v>
      </c>
      <c r="H3659" s="66" t="s">
        <v>24754</v>
      </c>
      <c r="I3659" s="25" t="str">
        <f>IFERROR(__xludf.DUMMYFUNCTION("GOOGLETRANSLATE(H3659,""EN"",""ES"")"),"Negocios y economía")</f>
        <v>Negocios y economía</v>
      </c>
      <c r="J3659" s="26" t="s">
        <v>27</v>
      </c>
      <c r="K3659" s="17">
        <v>0.0</v>
      </c>
      <c r="L3659" s="54"/>
      <c r="M3659" s="31"/>
      <c r="N3659" s="90"/>
      <c r="O3659" s="90"/>
      <c r="P3659" s="20">
        <v>0.0</v>
      </c>
      <c r="Q3659" s="31"/>
      <c r="R3659" s="31"/>
      <c r="S3659" s="53"/>
      <c r="T3659" s="32"/>
    </row>
    <row r="3660">
      <c r="A3660" s="33" t="s">
        <v>25745</v>
      </c>
      <c r="B3660" s="76" t="s">
        <v>85</v>
      </c>
      <c r="C3660" s="41">
        <v>45576.0</v>
      </c>
      <c r="D3660" s="40" t="s">
        <v>25746</v>
      </c>
      <c r="E3660" s="41" t="s">
        <v>25747</v>
      </c>
      <c r="F3660" s="43" t="s">
        <v>25748</v>
      </c>
      <c r="G3660" s="43" t="s">
        <v>25749</v>
      </c>
      <c r="H3660" s="65" t="s">
        <v>4671</v>
      </c>
      <c r="I3660" s="15" t="str">
        <f>IFERROR(__xludf.DUMMYFUNCTION("GOOGLETRANSLATE(H3660,""EN"",""ES"")"),"Delito")</f>
        <v>Delito</v>
      </c>
      <c r="J3660" s="16" t="s">
        <v>27</v>
      </c>
      <c r="K3660" s="17">
        <v>0.0</v>
      </c>
      <c r="L3660" s="45"/>
      <c r="M3660" s="18"/>
      <c r="N3660" s="91"/>
      <c r="O3660" s="91"/>
      <c r="P3660" s="20">
        <v>0.0</v>
      </c>
      <c r="Q3660" s="18"/>
      <c r="R3660" s="18"/>
      <c r="S3660" s="52"/>
      <c r="T3660" s="22"/>
    </row>
    <row r="3661">
      <c r="A3661" s="23" t="s">
        <v>25750</v>
      </c>
      <c r="B3661" s="77" t="s">
        <v>21</v>
      </c>
      <c r="C3661" s="41">
        <v>45576.0</v>
      </c>
      <c r="D3661" s="40" t="s">
        <v>25751</v>
      </c>
      <c r="E3661" s="41" t="s">
        <v>25752</v>
      </c>
      <c r="F3661" s="43" t="s">
        <v>25753</v>
      </c>
      <c r="G3661" s="43" t="s">
        <v>25754</v>
      </c>
      <c r="H3661" s="66" t="s">
        <v>8762</v>
      </c>
      <c r="I3661" s="25" t="str">
        <f>IFERROR(__xludf.DUMMYFUNCTION("GOOGLETRANSLATE(H3661,""EN"",""ES"")"),"Viajar")</f>
        <v>Viajar</v>
      </c>
      <c r="J3661" s="26" t="s">
        <v>27</v>
      </c>
      <c r="K3661" s="17">
        <v>0.0</v>
      </c>
      <c r="L3661" s="54"/>
      <c r="M3661" s="31"/>
      <c r="N3661" s="90"/>
      <c r="O3661" s="90"/>
      <c r="P3661" s="20">
        <v>0.0</v>
      </c>
      <c r="Q3661" s="31"/>
      <c r="R3661" s="31"/>
      <c r="S3661" s="53"/>
      <c r="T3661" s="32"/>
    </row>
    <row r="3662">
      <c r="A3662" s="33" t="s">
        <v>25755</v>
      </c>
      <c r="B3662" s="76" t="s">
        <v>403</v>
      </c>
      <c r="C3662" s="41">
        <v>45577.0</v>
      </c>
      <c r="D3662" s="40" t="s">
        <v>25756</v>
      </c>
      <c r="E3662" s="41" t="s">
        <v>25757</v>
      </c>
      <c r="F3662" s="43" t="s">
        <v>25758</v>
      </c>
      <c r="G3662" s="43" t="s">
        <v>25759</v>
      </c>
      <c r="H3662" s="65" t="s">
        <v>130</v>
      </c>
      <c r="I3662" s="15" t="str">
        <f>IFERROR(__xludf.DUMMYFUNCTION("GOOGLETRANSLATE(H3662,""EN"",""ES"")"),"Sostenibilidad")</f>
        <v>Sostenibilidad</v>
      </c>
      <c r="J3662" s="16" t="s">
        <v>35</v>
      </c>
      <c r="K3662" s="48">
        <v>0.7</v>
      </c>
      <c r="L3662" s="45" t="s">
        <v>25760</v>
      </c>
      <c r="M3662" s="18" t="s">
        <v>25761</v>
      </c>
      <c r="N3662" s="91" t="s">
        <v>25762</v>
      </c>
      <c r="O3662" s="91" t="str">
        <f>IFERROR(__xludf.DUMMYFUNCTION("GOOGLETRANSLATE(N3662,""EN"",""ES"")"),"Positivo por la inversión en sostenibilidad.")</f>
        <v>Positivo por la inversión en sostenibilidad.</v>
      </c>
      <c r="P3662" s="30">
        <v>0.8</v>
      </c>
      <c r="Q3662" s="18" t="str">
        <f>IFERROR(__xludf.DUMMYFUNCTION("GOOGLETRANSLATE(R3662,""ES"",""EN"")"),"accelerate, investment")</f>
        <v>accelerate, investment</v>
      </c>
      <c r="R3662" s="34" t="s">
        <v>25763</v>
      </c>
      <c r="S3662" s="52" t="s">
        <v>25764</v>
      </c>
      <c r="T3662" s="22" t="s">
        <v>25765</v>
      </c>
    </row>
    <row r="3663">
      <c r="A3663" s="23" t="s">
        <v>25766</v>
      </c>
      <c r="B3663" s="77" t="s">
        <v>16864</v>
      </c>
      <c r="C3663" s="41">
        <v>45577.0</v>
      </c>
      <c r="D3663" s="40" t="s">
        <v>25767</v>
      </c>
      <c r="E3663" s="41" t="s">
        <v>25768</v>
      </c>
      <c r="F3663" s="43" t="s">
        <v>25769</v>
      </c>
      <c r="G3663" s="43" t="s">
        <v>25770</v>
      </c>
      <c r="H3663" s="66" t="s">
        <v>782</v>
      </c>
      <c r="I3663" s="25" t="str">
        <f>IFERROR(__xludf.DUMMYFUNCTION("GOOGLETRANSLATE(H3663,""EN"",""ES"")"),"Tecnología")</f>
        <v>Tecnología</v>
      </c>
      <c r="J3663" s="26" t="s">
        <v>27</v>
      </c>
      <c r="K3663" s="17">
        <v>0.0</v>
      </c>
      <c r="L3663" s="54"/>
      <c r="M3663" s="31"/>
      <c r="N3663" s="90"/>
      <c r="O3663" s="90"/>
      <c r="P3663" s="20">
        <v>0.0</v>
      </c>
      <c r="Q3663" s="31"/>
      <c r="R3663" s="31"/>
      <c r="S3663" s="53"/>
      <c r="T3663" s="32"/>
    </row>
    <row r="3664">
      <c r="A3664" s="33" t="s">
        <v>25771</v>
      </c>
      <c r="B3664" s="76" t="s">
        <v>2696</v>
      </c>
      <c r="C3664" s="41">
        <v>45577.0</v>
      </c>
      <c r="D3664" s="40" t="s">
        <v>25772</v>
      </c>
      <c r="E3664" s="41" t="s">
        <v>25773</v>
      </c>
      <c r="F3664" s="43" t="s">
        <v>25774</v>
      </c>
      <c r="G3664" s="43" t="s">
        <v>25775</v>
      </c>
      <c r="H3664" s="65" t="s">
        <v>4581</v>
      </c>
      <c r="I3664" s="15" t="str">
        <f>IFERROR(__xludf.DUMMYFUNCTION("GOOGLETRANSLATE(H3664,""EN"",""ES"")"),"Infraestructura Energética")</f>
        <v>Infraestructura Energética</v>
      </c>
      <c r="J3664" s="16" t="s">
        <v>35</v>
      </c>
      <c r="K3664" s="48">
        <v>0.2</v>
      </c>
      <c r="L3664" s="45" t="s">
        <v>25776</v>
      </c>
      <c r="M3664" s="18" t="s">
        <v>25777</v>
      </c>
      <c r="N3664" s="91" t="s">
        <v>25778</v>
      </c>
      <c r="O3664" s="91" t="str">
        <f>IFERROR(__xludf.DUMMYFUNCTION("GOOGLETRANSLATE(N3664,""EN"",""ES"")"),"Mixto, ya que destaca los esfuerzos de sostenibilidad pero también los riesgos.")</f>
        <v>Mixto, ya que destaca los esfuerzos de sostenibilidad pero también los riesgos.</v>
      </c>
      <c r="P3664" s="30">
        <v>0.0</v>
      </c>
      <c r="Q3664" s="18"/>
      <c r="R3664" s="18"/>
      <c r="S3664" s="52" t="s">
        <v>25779</v>
      </c>
      <c r="T3664" s="22" t="s">
        <v>25780</v>
      </c>
    </row>
    <row r="3665">
      <c r="A3665" s="23" t="s">
        <v>25781</v>
      </c>
      <c r="B3665" s="77" t="s">
        <v>4673</v>
      </c>
      <c r="C3665" s="41">
        <v>45577.0</v>
      </c>
      <c r="D3665" s="40" t="s">
        <v>25782</v>
      </c>
      <c r="E3665" s="41" t="s">
        <v>25783</v>
      </c>
      <c r="F3665" s="43" t="s">
        <v>25784</v>
      </c>
      <c r="G3665" s="43" t="s">
        <v>25785</v>
      </c>
      <c r="H3665" s="66" t="s">
        <v>148</v>
      </c>
      <c r="I3665" s="25" t="str">
        <f>IFERROR(__xludf.DUMMYFUNCTION("GOOGLETRANSLATE(H3665,""EN"",""ES"")"),"Gastronomía")</f>
        <v>Gastronomía</v>
      </c>
      <c r="J3665" s="26" t="s">
        <v>27</v>
      </c>
      <c r="K3665" s="17">
        <v>0.0</v>
      </c>
      <c r="L3665" s="54"/>
      <c r="M3665" s="31"/>
      <c r="N3665" s="90"/>
      <c r="O3665" s="90"/>
      <c r="P3665" s="20">
        <v>0.0</v>
      </c>
      <c r="Q3665" s="31"/>
      <c r="R3665" s="31"/>
      <c r="S3665" s="53"/>
      <c r="T3665" s="32"/>
    </row>
    <row r="3666">
      <c r="A3666" s="33" t="s">
        <v>25786</v>
      </c>
      <c r="B3666" s="76" t="s">
        <v>1011</v>
      </c>
      <c r="C3666" s="41">
        <v>45577.0</v>
      </c>
      <c r="D3666" s="40" t="s">
        <v>25787</v>
      </c>
      <c r="E3666" s="41" t="s">
        <v>25788</v>
      </c>
      <c r="F3666" s="43" t="s">
        <v>25789</v>
      </c>
      <c r="G3666" s="43" t="s">
        <v>25790</v>
      </c>
      <c r="H3666" s="65" t="s">
        <v>130</v>
      </c>
      <c r="I3666" s="15" t="str">
        <f>IFERROR(__xludf.DUMMYFUNCTION("GOOGLETRANSLATE(H3666,""EN"",""ES"")"),"Sostenibilidad")</f>
        <v>Sostenibilidad</v>
      </c>
      <c r="J3666" s="16" t="s">
        <v>35</v>
      </c>
      <c r="K3666" s="48">
        <v>0.7</v>
      </c>
      <c r="L3666" s="45" t="s">
        <v>25791</v>
      </c>
      <c r="M3666" s="18" t="s">
        <v>25792</v>
      </c>
      <c r="N3666" s="91" t="s">
        <v>25793</v>
      </c>
      <c r="O3666" s="91" t="str">
        <f>IFERROR(__xludf.DUMMYFUNCTION("GOOGLETRANSLATE(N3666,""EN"",""ES"")"),"Positivo debido a los esfuerzos de responsabilidad social corporativa.")</f>
        <v>Positivo debido a los esfuerzos de responsabilidad social corporativa.</v>
      </c>
      <c r="P3666" s="30">
        <v>0.7</v>
      </c>
      <c r="Q3666" s="18" t="str">
        <f>IFERROR(__xludf.DUMMYFUNCTION("GOOGLETRANSLATE(R3666,""ES"",""EN"")"),"sustainable development")</f>
        <v>sustainable development</v>
      </c>
      <c r="R3666" s="34" t="s">
        <v>25794</v>
      </c>
      <c r="S3666" s="52" t="s">
        <v>10950</v>
      </c>
      <c r="T3666" s="22" t="s">
        <v>10951</v>
      </c>
    </row>
    <row r="3667">
      <c r="A3667" s="23" t="s">
        <v>25795</v>
      </c>
      <c r="B3667" s="77" t="s">
        <v>1831</v>
      </c>
      <c r="C3667" s="41">
        <v>45577.0</v>
      </c>
      <c r="D3667" s="40" t="s">
        <v>25796</v>
      </c>
      <c r="E3667" s="41" t="s">
        <v>25797</v>
      </c>
      <c r="F3667" s="43" t="s">
        <v>25798</v>
      </c>
      <c r="G3667" s="43" t="s">
        <v>25799</v>
      </c>
      <c r="H3667" s="66" t="s">
        <v>1914</v>
      </c>
      <c r="I3667" s="25" t="str">
        <f>IFERROR(__xludf.DUMMYFUNCTION("GOOGLETRANSLATE(H3667,""EN"",""ES"")"),"Política energética")</f>
        <v>Política energética</v>
      </c>
      <c r="J3667" s="26" t="s">
        <v>27</v>
      </c>
      <c r="K3667" s="17">
        <v>0.0</v>
      </c>
      <c r="L3667" s="54"/>
      <c r="M3667" s="31"/>
      <c r="N3667" s="90"/>
      <c r="O3667" s="90"/>
      <c r="P3667" s="20">
        <v>0.0</v>
      </c>
      <c r="Q3667" s="31"/>
      <c r="R3667" s="31"/>
      <c r="S3667" s="53"/>
      <c r="T3667" s="32"/>
    </row>
    <row r="3668">
      <c r="A3668" s="33" t="s">
        <v>25800</v>
      </c>
      <c r="B3668" s="76" t="s">
        <v>735</v>
      </c>
      <c r="C3668" s="41">
        <v>45577.0</v>
      </c>
      <c r="D3668" s="40" t="s">
        <v>25801</v>
      </c>
      <c r="E3668" s="41" t="s">
        <v>25802</v>
      </c>
      <c r="F3668" s="43" t="s">
        <v>25803</v>
      </c>
      <c r="G3668" s="43" t="s">
        <v>25804</v>
      </c>
      <c r="H3668" s="65" t="s">
        <v>55</v>
      </c>
      <c r="I3668" s="15" t="str">
        <f>IFERROR(__xludf.DUMMYFUNCTION("GOOGLETRANSLATE(H3668,""EN"",""ES"")"),"deportes de motor")</f>
        <v>deportes de motor</v>
      </c>
      <c r="J3668" s="16" t="s">
        <v>27</v>
      </c>
      <c r="K3668" s="17">
        <v>0.0</v>
      </c>
      <c r="L3668" s="45"/>
      <c r="M3668" s="18"/>
      <c r="N3668" s="91"/>
      <c r="O3668" s="91"/>
      <c r="P3668" s="20">
        <v>0.0</v>
      </c>
      <c r="Q3668" s="18"/>
      <c r="R3668" s="18"/>
      <c r="S3668" s="52"/>
      <c r="T3668" s="22"/>
    </row>
    <row r="3669">
      <c r="A3669" s="23" t="s">
        <v>25805</v>
      </c>
      <c r="B3669" s="77" t="s">
        <v>85</v>
      </c>
      <c r="C3669" s="41">
        <v>45577.0</v>
      </c>
      <c r="D3669" s="40" t="s">
        <v>25806</v>
      </c>
      <c r="E3669" s="41" t="s">
        <v>25807</v>
      </c>
      <c r="F3669" s="43" t="s">
        <v>25808</v>
      </c>
      <c r="G3669" s="43" t="s">
        <v>25809</v>
      </c>
      <c r="H3669" s="66" t="s">
        <v>148</v>
      </c>
      <c r="I3669" s="25" t="str">
        <f>IFERROR(__xludf.DUMMYFUNCTION("GOOGLETRANSLATE(H3669,""EN"",""ES"")"),"Gastronomía")</f>
        <v>Gastronomía</v>
      </c>
      <c r="J3669" s="26" t="s">
        <v>27</v>
      </c>
      <c r="K3669" s="17">
        <v>0.0</v>
      </c>
      <c r="L3669" s="54"/>
      <c r="M3669" s="31"/>
      <c r="N3669" s="90"/>
      <c r="O3669" s="90"/>
      <c r="P3669" s="20">
        <v>0.0</v>
      </c>
      <c r="Q3669" s="31"/>
      <c r="R3669" s="31"/>
      <c r="S3669" s="53"/>
      <c r="T3669" s="32"/>
    </row>
    <row r="3670">
      <c r="A3670" s="33" t="s">
        <v>25810</v>
      </c>
      <c r="B3670" s="76" t="s">
        <v>2952</v>
      </c>
      <c r="C3670" s="41">
        <v>45577.0</v>
      </c>
      <c r="D3670" s="40" t="s">
        <v>25811</v>
      </c>
      <c r="E3670" s="41" t="s">
        <v>25812</v>
      </c>
      <c r="F3670" s="43" t="s">
        <v>25813</v>
      </c>
      <c r="G3670" s="43" t="s">
        <v>25814</v>
      </c>
      <c r="H3670" s="65" t="s">
        <v>25661</v>
      </c>
      <c r="I3670" s="15" t="str">
        <f>IFERROR(__xludf.DUMMYFUNCTION("GOOGLETRANSLATE(H3670,""EN"",""ES"")"),"Relaciones Internacionales")</f>
        <v>Relaciones Internacionales</v>
      </c>
      <c r="J3670" s="16" t="s">
        <v>35</v>
      </c>
      <c r="K3670" s="48">
        <v>-0.3</v>
      </c>
      <c r="L3670" s="45" t="s">
        <v>25662</v>
      </c>
      <c r="M3670" s="18" t="s">
        <v>25663</v>
      </c>
      <c r="N3670" s="91" t="s">
        <v>25815</v>
      </c>
      <c r="O3670" s="91" t="str">
        <f>IFERROR(__xludf.DUMMYFUNCTION("GOOGLETRANSLATE(N3670,""EN"",""ES"")"),"Negativo por incertidumbre geopolítica en el sector petrolero.")</f>
        <v>Negativo por incertidumbre geopolítica en el sector petrolero.</v>
      </c>
      <c r="P3670" s="30">
        <v>0.0</v>
      </c>
      <c r="Q3670" s="18"/>
      <c r="R3670" s="18"/>
      <c r="S3670" s="52" t="s">
        <v>25665</v>
      </c>
      <c r="T3670" s="22" t="s">
        <v>25666</v>
      </c>
    </row>
    <row r="3671">
      <c r="A3671" s="23" t="s">
        <v>25816</v>
      </c>
      <c r="B3671" s="77" t="s">
        <v>192</v>
      </c>
      <c r="C3671" s="41">
        <v>45578.0</v>
      </c>
      <c r="D3671" s="40" t="s">
        <v>25817</v>
      </c>
      <c r="E3671" s="41" t="s">
        <v>25818</v>
      </c>
      <c r="F3671" s="43" t="s">
        <v>25819</v>
      </c>
      <c r="G3671" s="43" t="s">
        <v>25820</v>
      </c>
      <c r="H3671" s="66" t="s">
        <v>130</v>
      </c>
      <c r="I3671" s="25" t="str">
        <f>IFERROR(__xludf.DUMMYFUNCTION("GOOGLETRANSLATE(H3671,""EN"",""ES"")"),"Sostenibilidad")</f>
        <v>Sostenibilidad</v>
      </c>
      <c r="J3671" s="26" t="s">
        <v>35</v>
      </c>
      <c r="K3671" s="48">
        <v>0.7</v>
      </c>
      <c r="L3671" s="54" t="s">
        <v>25821</v>
      </c>
      <c r="M3671" s="31" t="s">
        <v>25822</v>
      </c>
      <c r="N3671" s="90" t="s">
        <v>25762</v>
      </c>
      <c r="O3671" s="90" t="str">
        <f>IFERROR(__xludf.DUMMYFUNCTION("GOOGLETRANSLATE(N3671,""EN"",""ES"")"),"Positivo por la inversión en sostenibilidad.")</f>
        <v>Positivo por la inversión en sostenibilidad.</v>
      </c>
      <c r="P3671" s="30">
        <v>0.9</v>
      </c>
      <c r="Q3671" s="31" t="str">
        <f>IFERROR(__xludf.DUMMYFUNCTION("GOOGLETRANSLATE(R3671,""ES"",""EN"")"),"invest, renewable")</f>
        <v>invest, renewable</v>
      </c>
      <c r="R3671" s="28" t="s">
        <v>25823</v>
      </c>
      <c r="S3671" s="53" t="s">
        <v>25824</v>
      </c>
      <c r="T3671" s="32" t="s">
        <v>25825</v>
      </c>
    </row>
    <row r="3672">
      <c r="A3672" s="33" t="s">
        <v>25826</v>
      </c>
      <c r="B3672" s="76" t="s">
        <v>217</v>
      </c>
      <c r="C3672" s="41">
        <v>45578.0</v>
      </c>
      <c r="D3672" s="40" t="s">
        <v>25817</v>
      </c>
      <c r="E3672" s="41" t="s">
        <v>25827</v>
      </c>
      <c r="F3672" s="43" t="s">
        <v>25819</v>
      </c>
      <c r="G3672" s="43" t="s">
        <v>25828</v>
      </c>
      <c r="H3672" s="65" t="s">
        <v>130</v>
      </c>
      <c r="I3672" s="15" t="str">
        <f>IFERROR(__xludf.DUMMYFUNCTION("GOOGLETRANSLATE(H3672,""EN"",""ES"")"),"Sostenibilidad")</f>
        <v>Sostenibilidad</v>
      </c>
      <c r="J3672" s="16" t="s">
        <v>35</v>
      </c>
      <c r="K3672" s="48">
        <v>0.8</v>
      </c>
      <c r="L3672" s="45" t="s">
        <v>25821</v>
      </c>
      <c r="M3672" s="18" t="s">
        <v>25822</v>
      </c>
      <c r="N3672" s="91" t="s">
        <v>25829</v>
      </c>
      <c r="O3672" s="91" t="str">
        <f>IFERROR(__xludf.DUMMYFUNCTION("GOOGLETRANSLATE(N3672,""EN"",""ES"")"),"Positivo por la inversión en sostenibilidad e innovación.")</f>
        <v>Positivo por la inversión en sostenibilidad e innovación.</v>
      </c>
      <c r="P3672" s="30">
        <v>0.9</v>
      </c>
      <c r="Q3672" s="18" t="str">
        <f>IFERROR(__xludf.DUMMYFUNCTION("GOOGLETRANSLATE(R3672,""ES"",""EN"")"),"invest, renewable")</f>
        <v>invest, renewable</v>
      </c>
      <c r="R3672" s="34" t="s">
        <v>25823</v>
      </c>
      <c r="S3672" s="52" t="s">
        <v>25824</v>
      </c>
      <c r="T3672" s="22" t="s">
        <v>25825</v>
      </c>
    </row>
    <row r="3673">
      <c r="A3673" s="23" t="s">
        <v>25830</v>
      </c>
      <c r="B3673" s="77" t="s">
        <v>614</v>
      </c>
      <c r="C3673" s="41">
        <v>45578.0</v>
      </c>
      <c r="D3673" s="40" t="s">
        <v>25831</v>
      </c>
      <c r="E3673" s="41" t="s">
        <v>25832</v>
      </c>
      <c r="F3673" s="43" t="s">
        <v>25833</v>
      </c>
      <c r="G3673" s="43" t="s">
        <v>25834</v>
      </c>
      <c r="H3673" s="66" t="s">
        <v>130</v>
      </c>
      <c r="I3673" s="25" t="str">
        <f>IFERROR(__xludf.DUMMYFUNCTION("GOOGLETRANSLATE(H3673,""EN"",""ES"")"),"Sostenibilidad")</f>
        <v>Sostenibilidad</v>
      </c>
      <c r="J3673" s="26" t="s">
        <v>35</v>
      </c>
      <c r="K3673" s="48">
        <v>0.6</v>
      </c>
      <c r="L3673" s="54" t="s">
        <v>25835</v>
      </c>
      <c r="M3673" s="31" t="s">
        <v>25836</v>
      </c>
      <c r="N3673" s="90" t="s">
        <v>22895</v>
      </c>
      <c r="O3673" s="90" t="str">
        <f>IFERROR(__xludf.DUMMYFUNCTION("GOOGLETRANSLATE(N3673,""EN"",""ES"")"),"Positivo para los esfuerzos de sostenibilidad.")</f>
        <v>Positivo para los esfuerzos de sostenibilidad.</v>
      </c>
      <c r="P3673" s="30">
        <v>0.0</v>
      </c>
      <c r="Q3673" s="31"/>
      <c r="R3673" s="31"/>
      <c r="S3673" s="53" t="s">
        <v>469</v>
      </c>
      <c r="T3673" s="32" t="s">
        <v>470</v>
      </c>
    </row>
    <row r="3674">
      <c r="A3674" s="33" t="s">
        <v>25837</v>
      </c>
      <c r="B3674" s="76" t="s">
        <v>5289</v>
      </c>
      <c r="C3674" s="41">
        <v>45578.0</v>
      </c>
      <c r="D3674" s="40" t="s">
        <v>25838</v>
      </c>
      <c r="E3674" s="41" t="s">
        <v>25839</v>
      </c>
      <c r="F3674" s="43" t="s">
        <v>25840</v>
      </c>
      <c r="G3674" s="43" t="s">
        <v>25841</v>
      </c>
      <c r="H3674" s="65" t="s">
        <v>130</v>
      </c>
      <c r="I3674" s="15" t="str">
        <f>IFERROR(__xludf.DUMMYFUNCTION("GOOGLETRANSLATE(H3674,""EN"",""ES"")"),"Sostenibilidad")</f>
        <v>Sostenibilidad</v>
      </c>
      <c r="J3674" s="16" t="s">
        <v>35</v>
      </c>
      <c r="K3674" s="48">
        <v>-0.2</v>
      </c>
      <c r="L3674" s="45" t="s">
        <v>25842</v>
      </c>
      <c r="M3674" s="18" t="s">
        <v>25843</v>
      </c>
      <c r="N3674" s="91" t="s">
        <v>25844</v>
      </c>
      <c r="O3674" s="91" t="str">
        <f>IFERROR(__xludf.DUMMYFUNCTION("GOOGLETRANSLATE(N3674,""EN"",""ES"")"),"Ligeramente negativo debido a la preocupación por las limitaciones del mercado.")</f>
        <v>Ligeramente negativo debido a la preocupación por las limitaciones del mercado.</v>
      </c>
      <c r="P3674" s="30">
        <v>-0.3</v>
      </c>
      <c r="Q3674" s="18" t="str">
        <f>IFERROR(__xludf.DUMMYFUNCTION("GOOGLETRANSLATE(R3674,""ES"",""EN"")"),"brakes")</f>
        <v>brakes</v>
      </c>
      <c r="R3674" s="34" t="s">
        <v>25845</v>
      </c>
      <c r="S3674" s="52" t="s">
        <v>25846</v>
      </c>
      <c r="T3674" s="22" t="s">
        <v>25847</v>
      </c>
    </row>
    <row r="3675">
      <c r="A3675" s="23" t="s">
        <v>25848</v>
      </c>
      <c r="B3675" s="77" t="s">
        <v>2442</v>
      </c>
      <c r="C3675" s="41">
        <v>45578.0</v>
      </c>
      <c r="D3675" s="40" t="s">
        <v>25849</v>
      </c>
      <c r="E3675" s="41" t="s">
        <v>25850</v>
      </c>
      <c r="F3675" s="43" t="s">
        <v>25851</v>
      </c>
      <c r="G3675" s="43" t="s">
        <v>25852</v>
      </c>
      <c r="H3675" s="66" t="s">
        <v>130</v>
      </c>
      <c r="I3675" s="25" t="str">
        <f>IFERROR(__xludf.DUMMYFUNCTION("GOOGLETRANSLATE(H3675,""EN"",""ES"")"),"Sostenibilidad")</f>
        <v>Sostenibilidad</v>
      </c>
      <c r="J3675" s="26" t="s">
        <v>35</v>
      </c>
      <c r="K3675" s="48">
        <v>0.5</v>
      </c>
      <c r="L3675" s="54" t="s">
        <v>25853</v>
      </c>
      <c r="M3675" s="31" t="s">
        <v>25854</v>
      </c>
      <c r="N3675" s="90" t="s">
        <v>25855</v>
      </c>
      <c r="O3675" s="90" t="str">
        <f>IFERROR(__xludf.DUMMYFUNCTION("GOOGLETRANSLATE(N3675,""EN"",""ES"")"),"Positivo por transición hacia la sostenibilidad.")</f>
        <v>Positivo por transición hacia la sostenibilidad.</v>
      </c>
      <c r="P3675" s="30">
        <v>0.2</v>
      </c>
      <c r="Q3675" s="31" t="str">
        <f>IFERROR(__xludf.DUMMYFUNCTION("GOOGLETRANSLATE(R3675,""ES"",""EN"")"),"-")</f>
        <v>-</v>
      </c>
      <c r="R3675" s="28" t="s">
        <v>11852</v>
      </c>
      <c r="S3675" s="53" t="s">
        <v>25856</v>
      </c>
      <c r="T3675" s="32" t="s">
        <v>25857</v>
      </c>
    </row>
    <row r="3676">
      <c r="A3676" s="33" t="s">
        <v>25858</v>
      </c>
      <c r="B3676" s="76" t="s">
        <v>3067</v>
      </c>
      <c r="C3676" s="41">
        <v>45578.0</v>
      </c>
      <c r="D3676" s="40" t="s">
        <v>25859</v>
      </c>
      <c r="E3676" s="41" t="s">
        <v>25860</v>
      </c>
      <c r="F3676" s="43" t="s">
        <v>25861</v>
      </c>
      <c r="G3676" s="43" t="s">
        <v>25862</v>
      </c>
      <c r="H3676" s="65" t="s">
        <v>130</v>
      </c>
      <c r="I3676" s="15" t="str">
        <f>IFERROR(__xludf.DUMMYFUNCTION("GOOGLETRANSLATE(H3676,""EN"",""ES"")"),"Sostenibilidad")</f>
        <v>Sostenibilidad</v>
      </c>
      <c r="J3676" s="16" t="s">
        <v>35</v>
      </c>
      <c r="K3676" s="48">
        <v>0.7</v>
      </c>
      <c r="L3676" s="45" t="s">
        <v>25863</v>
      </c>
      <c r="M3676" s="18" t="s">
        <v>25864</v>
      </c>
      <c r="N3676" s="91" t="s">
        <v>25865</v>
      </c>
      <c r="O3676" s="91" t="str">
        <f>IFERROR(__xludf.DUMMYFUNCTION("GOOGLETRANSLATE(N3676,""EN"",""ES"")"),"Positivo por la adaptación de Repsol a energías más limpias.")</f>
        <v>Positivo por la adaptación de Repsol a energías más limpias.</v>
      </c>
      <c r="P3676" s="30">
        <v>0.7</v>
      </c>
      <c r="Q3676" s="18" t="str">
        <f>IFERROR(__xludf.DUMMYFUNCTION("GOOGLETRANSLATE(R3676,""ES"",""EN"")"),"transform")</f>
        <v>transform</v>
      </c>
      <c r="R3676" s="34" t="s">
        <v>25866</v>
      </c>
      <c r="S3676" s="52" t="s">
        <v>25867</v>
      </c>
      <c r="T3676" s="22" t="s">
        <v>25868</v>
      </c>
    </row>
    <row r="3677">
      <c r="A3677" s="23" t="s">
        <v>25869</v>
      </c>
      <c r="B3677" s="77" t="s">
        <v>2696</v>
      </c>
      <c r="C3677" s="41">
        <v>45578.0</v>
      </c>
      <c r="D3677" s="40" t="s">
        <v>25870</v>
      </c>
      <c r="E3677" s="41" t="s">
        <v>25871</v>
      </c>
      <c r="F3677" s="43" t="s">
        <v>25872</v>
      </c>
      <c r="G3677" s="43" t="s">
        <v>25873</v>
      </c>
      <c r="H3677" s="66" t="s">
        <v>55</v>
      </c>
      <c r="I3677" s="25" t="str">
        <f>IFERROR(__xludf.DUMMYFUNCTION("GOOGLETRANSLATE(H3677,""EN"",""ES"")"),"deportes de motor")</f>
        <v>deportes de motor</v>
      </c>
      <c r="J3677" s="26" t="s">
        <v>27</v>
      </c>
      <c r="K3677" s="17">
        <v>0.0</v>
      </c>
      <c r="L3677" s="54"/>
      <c r="M3677" s="31"/>
      <c r="N3677" s="90"/>
      <c r="O3677" s="90"/>
      <c r="P3677" s="20">
        <v>0.0</v>
      </c>
      <c r="Q3677" s="31"/>
      <c r="R3677" s="31"/>
      <c r="S3677" s="53"/>
      <c r="T3677" s="32"/>
    </row>
    <row r="3678">
      <c r="A3678" s="33" t="s">
        <v>25874</v>
      </c>
      <c r="B3678" s="76" t="s">
        <v>85</v>
      </c>
      <c r="C3678" s="41">
        <v>45578.0</v>
      </c>
      <c r="D3678" s="40" t="s">
        <v>25875</v>
      </c>
      <c r="E3678" s="41" t="s">
        <v>25876</v>
      </c>
      <c r="F3678" s="43" t="s">
        <v>25877</v>
      </c>
      <c r="G3678" s="43" t="s">
        <v>25878</v>
      </c>
      <c r="H3678" s="65" t="s">
        <v>130</v>
      </c>
      <c r="I3678" s="15" t="str">
        <f>IFERROR(__xludf.DUMMYFUNCTION("GOOGLETRANSLATE(H3678,""EN"",""ES"")"),"Sostenibilidad")</f>
        <v>Sostenibilidad</v>
      </c>
      <c r="J3678" s="16" t="s">
        <v>35</v>
      </c>
      <c r="K3678" s="48">
        <v>-0.3</v>
      </c>
      <c r="L3678" s="45" t="s">
        <v>25879</v>
      </c>
      <c r="M3678" s="18" t="s">
        <v>25880</v>
      </c>
      <c r="N3678" s="91" t="s">
        <v>25881</v>
      </c>
      <c r="O3678" s="91" t="str">
        <f>IFERROR(__xludf.DUMMYFUNCTION("GOOGLETRANSLATE(N3678,""EN"",""ES"")"),"Destaca los retos a los que se enfrenta la adopción del diésel renovable, que pueden impactar negativamente a Repsol.")</f>
        <v>Destaca los retos a los que se enfrenta la adopción del diésel renovable, que pueden impactar negativamente a Repsol.</v>
      </c>
      <c r="P3678" s="30">
        <v>0.0</v>
      </c>
      <c r="Q3678" s="18"/>
      <c r="R3678" s="18"/>
      <c r="S3678" s="52" t="s">
        <v>25195</v>
      </c>
      <c r="T3678" s="22" t="s">
        <v>25882</v>
      </c>
    </row>
    <row r="3679">
      <c r="A3679" s="23" t="s">
        <v>25883</v>
      </c>
      <c r="B3679" s="77" t="s">
        <v>91</v>
      </c>
      <c r="C3679" s="41">
        <v>45578.0</v>
      </c>
      <c r="D3679" s="40" t="s">
        <v>25884</v>
      </c>
      <c r="E3679" s="41" t="s">
        <v>25885</v>
      </c>
      <c r="F3679" s="43" t="s">
        <v>25886</v>
      </c>
      <c r="G3679" s="43" t="s">
        <v>25887</v>
      </c>
      <c r="H3679" s="66" t="s">
        <v>148</v>
      </c>
      <c r="I3679" s="25" t="str">
        <f>IFERROR(__xludf.DUMMYFUNCTION("GOOGLETRANSLATE(H3679,""EN"",""ES"")"),"Gastronomía")</f>
        <v>Gastronomía</v>
      </c>
      <c r="J3679" s="26" t="s">
        <v>27</v>
      </c>
      <c r="K3679" s="17">
        <v>0.0</v>
      </c>
      <c r="L3679" s="54"/>
      <c r="M3679" s="31"/>
      <c r="N3679" s="90"/>
      <c r="O3679" s="90"/>
      <c r="P3679" s="20">
        <v>0.0</v>
      </c>
      <c r="Q3679" s="31"/>
      <c r="R3679" s="31"/>
      <c r="S3679" s="53"/>
      <c r="T3679" s="32"/>
    </row>
    <row r="3680">
      <c r="A3680" s="33" t="s">
        <v>25888</v>
      </c>
      <c r="B3680" s="76" t="s">
        <v>217</v>
      </c>
      <c r="C3680" s="41">
        <v>45579.0</v>
      </c>
      <c r="D3680" s="40" t="s">
        <v>25889</v>
      </c>
      <c r="E3680" s="41" t="s">
        <v>25890</v>
      </c>
      <c r="F3680" s="43" t="s">
        <v>25891</v>
      </c>
      <c r="G3680" s="43" t="s">
        <v>25892</v>
      </c>
      <c r="H3680" s="65" t="s">
        <v>130</v>
      </c>
      <c r="I3680" s="15" t="str">
        <f>IFERROR(__xludf.DUMMYFUNCTION("GOOGLETRANSLATE(H3680,""EN"",""ES"")"),"Sostenibilidad")</f>
        <v>Sostenibilidad</v>
      </c>
      <c r="J3680" s="16" t="s">
        <v>35</v>
      </c>
      <c r="K3680" s="48">
        <v>0.6</v>
      </c>
      <c r="L3680" s="45" t="s">
        <v>25893</v>
      </c>
      <c r="M3680" s="18" t="s">
        <v>25894</v>
      </c>
      <c r="N3680" s="91" t="s">
        <v>25895</v>
      </c>
      <c r="O3680" s="91" t="str">
        <f>IFERROR(__xludf.DUMMYFUNCTION("GOOGLETRANSLATE(N3680,""EN"",""ES"")"),"Positivo para la estrategia de sostenibilidad de Repsol.")</f>
        <v>Positivo para la estrategia de sostenibilidad de Repsol.</v>
      </c>
      <c r="P3680" s="30">
        <v>0.2</v>
      </c>
      <c r="Q3680" s="18" t="str">
        <f>IFERROR(__xludf.DUMMYFUNCTION("GOOGLETRANSLATE(R3680,""ES"",""EN"")"),"-")</f>
        <v>-</v>
      </c>
      <c r="R3680" s="34" t="s">
        <v>11852</v>
      </c>
      <c r="S3680" s="52" t="s">
        <v>25896</v>
      </c>
      <c r="T3680" s="22" t="s">
        <v>25897</v>
      </c>
    </row>
    <row r="3681">
      <c r="A3681" s="23" t="s">
        <v>25898</v>
      </c>
      <c r="B3681" s="77" t="s">
        <v>91</v>
      </c>
      <c r="C3681" s="41">
        <v>45579.0</v>
      </c>
      <c r="D3681" s="40" t="s">
        <v>25899</v>
      </c>
      <c r="E3681" s="41" t="s">
        <v>25900</v>
      </c>
      <c r="F3681" s="43" t="s">
        <v>25901</v>
      </c>
      <c r="G3681" s="43" t="s">
        <v>25902</v>
      </c>
      <c r="H3681" s="66" t="s">
        <v>24754</v>
      </c>
      <c r="I3681" s="25" t="str">
        <f>IFERROR(__xludf.DUMMYFUNCTION("GOOGLETRANSLATE(H3681,""EN"",""ES"")"),"Negocios y economía")</f>
        <v>Negocios y economía</v>
      </c>
      <c r="J3681" s="26" t="s">
        <v>35</v>
      </c>
      <c r="K3681" s="48">
        <v>0.0</v>
      </c>
      <c r="L3681" s="54"/>
      <c r="M3681" s="31"/>
      <c r="N3681" s="90" t="s">
        <v>25903</v>
      </c>
      <c r="O3681" s="90" t="str">
        <f>IFERROR(__xludf.DUMMYFUNCTION("GOOGLETRANSLATE(N3681,""EN"",""ES"")"),"Noticias financieras neutrales, sin implicaciones positivas o negativas claras.")</f>
        <v>Noticias financieras neutrales, sin implicaciones positivas o negativas claras.</v>
      </c>
      <c r="P3681" s="30">
        <v>0.0</v>
      </c>
      <c r="Q3681" s="31"/>
      <c r="R3681" s="31"/>
      <c r="S3681" s="53" t="s">
        <v>25904</v>
      </c>
      <c r="T3681" s="32" t="s">
        <v>25905</v>
      </c>
    </row>
    <row r="3682">
      <c r="A3682" s="33" t="s">
        <v>25906</v>
      </c>
      <c r="B3682" s="76" t="s">
        <v>1005</v>
      </c>
      <c r="C3682" s="41">
        <v>45579.0</v>
      </c>
      <c r="D3682" s="40" t="s">
        <v>25907</v>
      </c>
      <c r="E3682" s="41" t="s">
        <v>25908</v>
      </c>
      <c r="F3682" s="43" t="s">
        <v>25909</v>
      </c>
      <c r="G3682" s="43" t="s">
        <v>25910</v>
      </c>
      <c r="H3682" s="65" t="s">
        <v>25618</v>
      </c>
      <c r="I3682" s="15" t="str">
        <f>IFERROR(__xludf.DUMMYFUNCTION("GOOGLETRANSLATE(H3682,""EN"",""ES"")"),"Seguridad Pública")</f>
        <v>Seguridad Pública</v>
      </c>
      <c r="J3682" s="16" t="s">
        <v>27</v>
      </c>
      <c r="K3682" s="17">
        <v>0.0</v>
      </c>
      <c r="L3682" s="45"/>
      <c r="M3682" s="18"/>
      <c r="N3682" s="91"/>
      <c r="O3682" s="91"/>
      <c r="P3682" s="20">
        <v>0.0</v>
      </c>
      <c r="Q3682" s="18"/>
      <c r="R3682" s="18"/>
      <c r="S3682" s="52"/>
      <c r="T3682" s="22"/>
    </row>
    <row r="3683">
      <c r="A3683" s="23" t="s">
        <v>25911</v>
      </c>
      <c r="B3683" s="77" t="s">
        <v>260</v>
      </c>
      <c r="C3683" s="41">
        <v>45579.0</v>
      </c>
      <c r="D3683" s="40" t="s">
        <v>25817</v>
      </c>
      <c r="E3683" s="41" t="s">
        <v>25912</v>
      </c>
      <c r="F3683" s="43" t="s">
        <v>25819</v>
      </c>
      <c r="G3683" s="43" t="s">
        <v>25913</v>
      </c>
      <c r="H3683" s="66" t="s">
        <v>130</v>
      </c>
      <c r="I3683" s="25" t="str">
        <f>IFERROR(__xludf.DUMMYFUNCTION("GOOGLETRANSLATE(H3683,""EN"",""ES"")"),"Sostenibilidad")</f>
        <v>Sostenibilidad</v>
      </c>
      <c r="J3683" s="26" t="s">
        <v>35</v>
      </c>
      <c r="K3683" s="48">
        <v>0.8</v>
      </c>
      <c r="L3683" s="54" t="s">
        <v>25821</v>
      </c>
      <c r="M3683" s="31" t="s">
        <v>25822</v>
      </c>
      <c r="N3683" s="90" t="s">
        <v>25914</v>
      </c>
      <c r="O3683" s="90" t="str">
        <f>IFERROR(__xludf.DUMMYFUNCTION("GOOGLETRANSLATE(N3683,""EN"",""ES"")"),"Fuerte compromiso con la sostenibilidad y la inversión.")</f>
        <v>Fuerte compromiso con la sostenibilidad y la inversión.</v>
      </c>
      <c r="P3683" s="30">
        <v>0.9</v>
      </c>
      <c r="Q3683" s="31" t="str">
        <f>IFERROR(__xludf.DUMMYFUNCTION("GOOGLETRANSLATE(R3683,""ES"",""EN"")"),"invest, renewable")</f>
        <v>invest, renewable</v>
      </c>
      <c r="R3683" s="28" t="s">
        <v>25823</v>
      </c>
      <c r="S3683" s="53" t="s">
        <v>25824</v>
      </c>
      <c r="T3683" s="32" t="s">
        <v>25825</v>
      </c>
    </row>
    <row r="3684">
      <c r="A3684" s="33" t="s">
        <v>25915</v>
      </c>
      <c r="B3684" s="76" t="s">
        <v>21</v>
      </c>
      <c r="C3684" s="41">
        <v>45579.0</v>
      </c>
      <c r="D3684" s="40" t="s">
        <v>25916</v>
      </c>
      <c r="E3684" s="41" t="s">
        <v>25917</v>
      </c>
      <c r="F3684" s="43" t="s">
        <v>25918</v>
      </c>
      <c r="G3684" s="43" t="s">
        <v>25919</v>
      </c>
      <c r="H3684" s="65" t="s">
        <v>148</v>
      </c>
      <c r="I3684" s="15" t="str">
        <f>IFERROR(__xludf.DUMMYFUNCTION("GOOGLETRANSLATE(H3684,""EN"",""ES"")"),"Gastronomía")</f>
        <v>Gastronomía</v>
      </c>
      <c r="J3684" s="16" t="s">
        <v>27</v>
      </c>
      <c r="K3684" s="17">
        <v>0.0</v>
      </c>
      <c r="L3684" s="45"/>
      <c r="M3684" s="18"/>
      <c r="N3684" s="91"/>
      <c r="O3684" s="91"/>
      <c r="P3684" s="20">
        <v>0.0</v>
      </c>
      <c r="Q3684" s="18"/>
      <c r="R3684" s="18"/>
      <c r="S3684" s="52"/>
      <c r="T3684" s="22"/>
    </row>
    <row r="3685">
      <c r="A3685" s="23" t="s">
        <v>25920</v>
      </c>
      <c r="B3685" s="77" t="s">
        <v>1072</v>
      </c>
      <c r="C3685" s="41">
        <v>45579.0</v>
      </c>
      <c r="D3685" s="40" t="s">
        <v>25921</v>
      </c>
      <c r="E3685" s="41" t="s">
        <v>25922</v>
      </c>
      <c r="F3685" s="43" t="s">
        <v>25923</v>
      </c>
      <c r="G3685" s="43" t="s">
        <v>25924</v>
      </c>
      <c r="H3685" s="66" t="s">
        <v>782</v>
      </c>
      <c r="I3685" s="25" t="str">
        <f>IFERROR(__xludf.DUMMYFUNCTION("GOOGLETRANSLATE(H3685,""EN"",""ES"")"),"Tecnología")</f>
        <v>Tecnología</v>
      </c>
      <c r="J3685" s="26" t="s">
        <v>27</v>
      </c>
      <c r="K3685" s="17">
        <v>0.0</v>
      </c>
      <c r="L3685" s="54"/>
      <c r="M3685" s="31"/>
      <c r="N3685" s="90"/>
      <c r="O3685" s="90"/>
      <c r="P3685" s="20">
        <v>0.0</v>
      </c>
      <c r="Q3685" s="31"/>
      <c r="R3685" s="31"/>
      <c r="S3685" s="53"/>
      <c r="T3685" s="32"/>
    </row>
    <row r="3686">
      <c r="A3686" s="33" t="s">
        <v>25925</v>
      </c>
      <c r="B3686" s="76" t="s">
        <v>25384</v>
      </c>
      <c r="C3686" s="41">
        <v>45579.0</v>
      </c>
      <c r="D3686" s="40" t="s">
        <v>25926</v>
      </c>
      <c r="E3686" s="41" t="s">
        <v>25927</v>
      </c>
      <c r="F3686" s="43" t="s">
        <v>25928</v>
      </c>
      <c r="G3686" s="43" t="s">
        <v>25929</v>
      </c>
      <c r="H3686" s="65" t="s">
        <v>24743</v>
      </c>
      <c r="I3686" s="15" t="str">
        <f>IFERROR(__xludf.DUMMYFUNCTION("GOOGLETRANSLATE(H3686,""EN"",""ES"")"),"Mercado de Valores")</f>
        <v>Mercado de Valores</v>
      </c>
      <c r="J3686" s="16" t="s">
        <v>35</v>
      </c>
      <c r="K3686" s="48">
        <v>-0.2</v>
      </c>
      <c r="L3686" s="45" t="s">
        <v>25930</v>
      </c>
      <c r="M3686" s="18" t="s">
        <v>25931</v>
      </c>
      <c r="N3686" s="91" t="s">
        <v>25932</v>
      </c>
      <c r="O3686" s="91" t="str">
        <f>IFERROR(__xludf.DUMMYFUNCTION("GOOGLETRANSLATE(N3686,""EN"",""ES"")"),"Análisis del mercado financiero, sin impacto en el sentimiento.")</f>
        <v>Análisis del mercado financiero, sin impacto en el sentimiento.</v>
      </c>
      <c r="P3686" s="30">
        <v>0.0</v>
      </c>
      <c r="Q3686" s="18"/>
      <c r="R3686" s="18"/>
      <c r="S3686" s="52" t="s">
        <v>25933</v>
      </c>
      <c r="T3686" s="22" t="s">
        <v>25934</v>
      </c>
    </row>
    <row r="3687">
      <c r="A3687" s="23" t="s">
        <v>25935</v>
      </c>
      <c r="B3687" s="77" t="s">
        <v>499</v>
      </c>
      <c r="C3687" s="41">
        <v>45579.0</v>
      </c>
      <c r="D3687" s="40" t="s">
        <v>25936</v>
      </c>
      <c r="E3687" s="41" t="s">
        <v>25937</v>
      </c>
      <c r="F3687" s="43" t="s">
        <v>25938</v>
      </c>
      <c r="G3687" s="43" t="s">
        <v>25939</v>
      </c>
      <c r="H3687" s="66" t="s">
        <v>25661</v>
      </c>
      <c r="I3687" s="25" t="str">
        <f>IFERROR(__xludf.DUMMYFUNCTION("GOOGLETRANSLATE(H3687,""EN"",""ES"")"),"Relaciones Internacionales")</f>
        <v>Relaciones Internacionales</v>
      </c>
      <c r="J3687" s="26" t="s">
        <v>35</v>
      </c>
      <c r="K3687" s="48">
        <v>0.2</v>
      </c>
      <c r="L3687" s="54" t="s">
        <v>25940</v>
      </c>
      <c r="M3687" s="31" t="s">
        <v>25941</v>
      </c>
      <c r="N3687" s="90" t="s">
        <v>25942</v>
      </c>
      <c r="O3687" s="90" t="str">
        <f>IFERROR(__xludf.DUMMYFUNCTION("GOOGLETRANSLATE(N3687,""EN"",""ES"")"),"No es directamente relevante para Repsol.")</f>
        <v>No es directamente relevante para Repsol.</v>
      </c>
      <c r="P3687" s="30">
        <v>0.0</v>
      </c>
      <c r="Q3687" s="31"/>
      <c r="R3687" s="31"/>
      <c r="S3687" s="53" t="s">
        <v>25665</v>
      </c>
      <c r="T3687" s="32" t="s">
        <v>25666</v>
      </c>
    </row>
    <row r="3688">
      <c r="A3688" s="33" t="s">
        <v>25943</v>
      </c>
      <c r="B3688" s="76" t="s">
        <v>85</v>
      </c>
      <c r="C3688" s="41">
        <v>45579.0</v>
      </c>
      <c r="D3688" s="40" t="s">
        <v>25944</v>
      </c>
      <c r="E3688" s="41" t="s">
        <v>25945</v>
      </c>
      <c r="F3688" s="43" t="s">
        <v>25946</v>
      </c>
      <c r="G3688" s="43" t="s">
        <v>25947</v>
      </c>
      <c r="H3688" s="65" t="s">
        <v>25618</v>
      </c>
      <c r="I3688" s="15" t="str">
        <f>IFERROR(__xludf.DUMMYFUNCTION("GOOGLETRANSLATE(H3688,""EN"",""ES"")"),"Seguridad Pública")</f>
        <v>Seguridad Pública</v>
      </c>
      <c r="J3688" s="16" t="s">
        <v>27</v>
      </c>
      <c r="K3688" s="17">
        <v>0.0</v>
      </c>
      <c r="L3688" s="45"/>
      <c r="M3688" s="18"/>
      <c r="N3688" s="91"/>
      <c r="O3688" s="91"/>
      <c r="P3688" s="20">
        <v>0.0</v>
      </c>
      <c r="Q3688" s="18"/>
      <c r="R3688" s="18"/>
      <c r="S3688" s="52"/>
      <c r="T3688" s="22"/>
    </row>
    <row r="3689">
      <c r="A3689" s="23" t="s">
        <v>25948</v>
      </c>
      <c r="B3689" s="77" t="s">
        <v>1831</v>
      </c>
      <c r="C3689" s="41">
        <v>45579.0</v>
      </c>
      <c r="D3689" s="40" t="s">
        <v>25949</v>
      </c>
      <c r="E3689" s="41" t="s">
        <v>25950</v>
      </c>
      <c r="F3689" s="43" t="s">
        <v>25951</v>
      </c>
      <c r="G3689" s="43" t="s">
        <v>25952</v>
      </c>
      <c r="H3689" s="66" t="s">
        <v>148</v>
      </c>
      <c r="I3689" s="25" t="str">
        <f>IFERROR(__xludf.DUMMYFUNCTION("GOOGLETRANSLATE(H3689,""EN"",""ES"")"),"Gastronomía")</f>
        <v>Gastronomía</v>
      </c>
      <c r="J3689" s="26" t="s">
        <v>27</v>
      </c>
      <c r="K3689" s="17">
        <v>0.0</v>
      </c>
      <c r="L3689" s="54"/>
      <c r="M3689" s="31"/>
      <c r="N3689" s="90"/>
      <c r="O3689" s="90"/>
      <c r="P3689" s="20">
        <v>0.0</v>
      </c>
      <c r="Q3689" s="31"/>
      <c r="R3689" s="31"/>
      <c r="S3689" s="53"/>
      <c r="T3689" s="32"/>
    </row>
    <row r="3690">
      <c r="A3690" s="33" t="s">
        <v>25953</v>
      </c>
      <c r="B3690" s="76" t="s">
        <v>614</v>
      </c>
      <c r="C3690" s="41">
        <v>45579.0</v>
      </c>
      <c r="D3690" s="40" t="s">
        <v>25954</v>
      </c>
      <c r="E3690" s="41" t="s">
        <v>25955</v>
      </c>
      <c r="F3690" s="43" t="s">
        <v>25956</v>
      </c>
      <c r="G3690" s="43" t="s">
        <v>25957</v>
      </c>
      <c r="H3690" s="65" t="s">
        <v>130</v>
      </c>
      <c r="I3690" s="15" t="str">
        <f>IFERROR(__xludf.DUMMYFUNCTION("GOOGLETRANSLATE(H3690,""EN"",""ES"")"),"Sostenibilidad")</f>
        <v>Sostenibilidad</v>
      </c>
      <c r="J3690" s="16" t="s">
        <v>35</v>
      </c>
      <c r="K3690" s="48">
        <v>0.8</v>
      </c>
      <c r="L3690" s="45" t="s">
        <v>25958</v>
      </c>
      <c r="M3690" s="18" t="s">
        <v>25959</v>
      </c>
      <c r="N3690" s="91" t="s">
        <v>25960</v>
      </c>
      <c r="O3690" s="91" t="str">
        <f>IFERROR(__xludf.DUMMYFUNCTION("GOOGLETRANSLATE(N3690,""EN"",""ES"")"),"Inversión positiva en energías renovables.")</f>
        <v>Inversión positiva en energías renovables.</v>
      </c>
      <c r="P3690" s="30">
        <v>0.6</v>
      </c>
      <c r="Q3690" s="18" t="str">
        <f>IFERROR(__xludf.DUMMYFUNCTION("GOOGLETRANSLATE(R3690,""ES"",""EN"")"),"renewable")</f>
        <v>renewable</v>
      </c>
      <c r="R3690" s="34" t="s">
        <v>13833</v>
      </c>
      <c r="S3690" s="52" t="s">
        <v>25961</v>
      </c>
      <c r="T3690" s="22" t="s">
        <v>25962</v>
      </c>
    </row>
    <row r="3691">
      <c r="A3691" s="23" t="s">
        <v>25963</v>
      </c>
      <c r="B3691" s="77" t="s">
        <v>25964</v>
      </c>
      <c r="C3691" s="41">
        <v>45579.0</v>
      </c>
      <c r="D3691" s="40" t="s">
        <v>25965</v>
      </c>
      <c r="E3691" s="41" t="s">
        <v>25966</v>
      </c>
      <c r="F3691" s="43" t="s">
        <v>25967</v>
      </c>
      <c r="G3691" s="43" t="s">
        <v>25968</v>
      </c>
      <c r="H3691" s="66" t="s">
        <v>25661</v>
      </c>
      <c r="I3691" s="25" t="str">
        <f>IFERROR(__xludf.DUMMYFUNCTION("GOOGLETRANSLATE(H3691,""EN"",""ES"")"),"Relaciones Internacionales")</f>
        <v>Relaciones Internacionales</v>
      </c>
      <c r="J3691" s="26" t="s">
        <v>35</v>
      </c>
      <c r="K3691" s="48">
        <v>0.2</v>
      </c>
      <c r="L3691" s="54" t="s">
        <v>25940</v>
      </c>
      <c r="M3691" s="31" t="s">
        <v>25941</v>
      </c>
      <c r="N3691" s="90" t="s">
        <v>25942</v>
      </c>
      <c r="O3691" s="90" t="str">
        <f>IFERROR(__xludf.DUMMYFUNCTION("GOOGLETRANSLATE(N3691,""EN"",""ES"")"),"No es directamente relevante para Repsol.")</f>
        <v>No es directamente relevante para Repsol.</v>
      </c>
      <c r="P3691" s="30">
        <v>0.0</v>
      </c>
      <c r="Q3691" s="31"/>
      <c r="R3691" s="31"/>
      <c r="S3691" s="53" t="s">
        <v>25665</v>
      </c>
      <c r="T3691" s="32" t="s">
        <v>25666</v>
      </c>
    </row>
    <row r="3692">
      <c r="A3692" s="33" t="s">
        <v>25969</v>
      </c>
      <c r="B3692" s="76" t="s">
        <v>6011</v>
      </c>
      <c r="C3692" s="41">
        <v>45580.0</v>
      </c>
      <c r="D3692" s="40" t="s">
        <v>25970</v>
      </c>
      <c r="E3692" s="41" t="s">
        <v>25971</v>
      </c>
      <c r="F3692" s="43" t="s">
        <v>25972</v>
      </c>
      <c r="G3692" s="43" t="s">
        <v>25973</v>
      </c>
      <c r="H3692" s="65" t="s">
        <v>25618</v>
      </c>
      <c r="I3692" s="15" t="str">
        <f>IFERROR(__xludf.DUMMYFUNCTION("GOOGLETRANSLATE(H3692,""EN"",""ES"")"),"Seguridad Pública")</f>
        <v>Seguridad Pública</v>
      </c>
      <c r="J3692" s="16" t="s">
        <v>27</v>
      </c>
      <c r="K3692" s="17">
        <v>0.0</v>
      </c>
      <c r="L3692" s="45"/>
      <c r="M3692" s="18"/>
      <c r="N3692" s="91"/>
      <c r="O3692" s="91"/>
      <c r="P3692" s="20">
        <v>0.0</v>
      </c>
      <c r="Q3692" s="18"/>
      <c r="R3692" s="18"/>
      <c r="S3692" s="52"/>
      <c r="T3692" s="22"/>
    </row>
    <row r="3693">
      <c r="A3693" s="23" t="s">
        <v>25974</v>
      </c>
      <c r="B3693" s="77" t="s">
        <v>1072</v>
      </c>
      <c r="C3693" s="41">
        <v>45580.0</v>
      </c>
      <c r="D3693" s="40" t="s">
        <v>25975</v>
      </c>
      <c r="E3693" s="41" t="s">
        <v>25976</v>
      </c>
      <c r="F3693" s="43" t="s">
        <v>25977</v>
      </c>
      <c r="G3693" s="43" t="s">
        <v>25978</v>
      </c>
      <c r="H3693" s="66" t="s">
        <v>1914</v>
      </c>
      <c r="I3693" s="25" t="str">
        <f>IFERROR(__xludf.DUMMYFUNCTION("GOOGLETRANSLATE(H3693,""EN"",""ES"")"),"Política energética")</f>
        <v>Política energética</v>
      </c>
      <c r="J3693" s="26" t="s">
        <v>35</v>
      </c>
      <c r="K3693" s="48">
        <v>0.0</v>
      </c>
      <c r="L3693" s="54"/>
      <c r="M3693" s="31"/>
      <c r="N3693" s="90" t="s">
        <v>25979</v>
      </c>
      <c r="O3693" s="90" t="str">
        <f>IFERROR(__xludf.DUMMYFUNCTION("GOOGLETRANSLATE(N3693,""EN"",""ES"")"),"Comparación de la industria general, sin impacto en el sentimiento.")</f>
        <v>Comparación de la industria general, sin impacto en el sentimiento.</v>
      </c>
      <c r="P3693" s="30">
        <v>0.0</v>
      </c>
      <c r="Q3693" s="31"/>
      <c r="R3693" s="31"/>
      <c r="S3693" s="53" t="s">
        <v>25980</v>
      </c>
      <c r="T3693" s="32" t="s">
        <v>25981</v>
      </c>
    </row>
    <row r="3694">
      <c r="A3694" s="33" t="s">
        <v>25982</v>
      </c>
      <c r="B3694" s="76" t="s">
        <v>499</v>
      </c>
      <c r="C3694" s="41">
        <v>45580.0</v>
      </c>
      <c r="D3694" s="40" t="s">
        <v>25983</v>
      </c>
      <c r="E3694" s="41" t="s">
        <v>25984</v>
      </c>
      <c r="F3694" s="43" t="s">
        <v>25985</v>
      </c>
      <c r="G3694" s="43" t="s">
        <v>25986</v>
      </c>
      <c r="H3694" s="65" t="s">
        <v>130</v>
      </c>
      <c r="I3694" s="15" t="str">
        <f>IFERROR(__xludf.DUMMYFUNCTION("GOOGLETRANSLATE(H3694,""EN"",""ES"")"),"Sostenibilidad")</f>
        <v>Sostenibilidad</v>
      </c>
      <c r="J3694" s="16" t="s">
        <v>35</v>
      </c>
      <c r="K3694" s="48">
        <v>0.7</v>
      </c>
      <c r="L3694" s="45" t="s">
        <v>25987</v>
      </c>
      <c r="M3694" s="18" t="s">
        <v>25988</v>
      </c>
      <c r="N3694" s="91" t="s">
        <v>25989</v>
      </c>
      <c r="O3694" s="91" t="str">
        <f>IFERROR(__xludf.DUMMYFUNCTION("GOOGLETRANSLATE(N3694,""EN"",""ES"")"),"Fuerte compromiso con la sostenibilidad.")</f>
        <v>Fuerte compromiso con la sostenibilidad.</v>
      </c>
      <c r="P3694" s="30">
        <v>0.8</v>
      </c>
      <c r="Q3694" s="18" t="str">
        <f>IFERROR(__xludf.DUMMYFUNCTION("GOOGLETRANSLATE(R3694,""ES"",""EN"")"),"decarbonization, investment")</f>
        <v>decarbonization, investment</v>
      </c>
      <c r="R3694" s="34" t="s">
        <v>25990</v>
      </c>
      <c r="S3694" s="52" t="s">
        <v>25991</v>
      </c>
      <c r="T3694" s="22" t="s">
        <v>25992</v>
      </c>
    </row>
    <row r="3695">
      <c r="A3695" s="23" t="s">
        <v>25993</v>
      </c>
      <c r="B3695" s="77" t="s">
        <v>558</v>
      </c>
      <c r="C3695" s="41">
        <v>45580.0</v>
      </c>
      <c r="D3695" s="40" t="s">
        <v>25994</v>
      </c>
      <c r="E3695" s="41" t="s">
        <v>25995</v>
      </c>
      <c r="F3695" s="43" t="s">
        <v>25996</v>
      </c>
      <c r="G3695" s="43" t="s">
        <v>25997</v>
      </c>
      <c r="H3695" s="66" t="s">
        <v>24743</v>
      </c>
      <c r="I3695" s="25" t="str">
        <f>IFERROR(__xludf.DUMMYFUNCTION("GOOGLETRANSLATE(H3695,""EN"",""ES"")"),"Mercado de Valores")</f>
        <v>Mercado de Valores</v>
      </c>
      <c r="J3695" s="26" t="s">
        <v>35</v>
      </c>
      <c r="K3695" s="48">
        <v>-0.6</v>
      </c>
      <c r="L3695" s="54" t="s">
        <v>25930</v>
      </c>
      <c r="M3695" s="31" t="s">
        <v>25931</v>
      </c>
      <c r="N3695" s="90" t="s">
        <v>25998</v>
      </c>
      <c r="O3695" s="90" t="str">
        <f>IFERROR(__xludf.DUMMYFUNCTION("GOOGLETRANSLATE(N3695,""EN"",""ES"")"),"Negativo debido a la caída financiera.")</f>
        <v>Negativo debido a la caída financiera.</v>
      </c>
      <c r="P3695" s="30">
        <v>-0.7</v>
      </c>
      <c r="Q3695" s="31" t="str">
        <f>IFERROR(__xludf.DUMMYFUNCTION("GOOGLETRANSLATE(R3695,""ES"",""EN"")"),"annual minimums")</f>
        <v>annual minimums</v>
      </c>
      <c r="R3695" s="28" t="s">
        <v>21294</v>
      </c>
      <c r="S3695" s="53" t="s">
        <v>25999</v>
      </c>
      <c r="T3695" s="32" t="s">
        <v>26000</v>
      </c>
    </row>
    <row r="3696">
      <c r="A3696" s="33" t="s">
        <v>26001</v>
      </c>
      <c r="B3696" s="76" t="s">
        <v>368</v>
      </c>
      <c r="C3696" s="41">
        <v>45580.0</v>
      </c>
      <c r="D3696" s="40" t="s">
        <v>26002</v>
      </c>
      <c r="E3696" s="41" t="s">
        <v>26003</v>
      </c>
      <c r="F3696" s="43" t="s">
        <v>26004</v>
      </c>
      <c r="G3696" s="43" t="s">
        <v>26005</v>
      </c>
      <c r="H3696" s="65" t="s">
        <v>148</v>
      </c>
      <c r="I3696" s="15" t="str">
        <f>IFERROR(__xludf.DUMMYFUNCTION("GOOGLETRANSLATE(H3696,""EN"",""ES"")"),"Gastronomía")</f>
        <v>Gastronomía</v>
      </c>
      <c r="J3696" s="16" t="s">
        <v>27</v>
      </c>
      <c r="K3696" s="17">
        <v>0.0</v>
      </c>
      <c r="L3696" s="45"/>
      <c r="M3696" s="18"/>
      <c r="N3696" s="91"/>
      <c r="O3696" s="91"/>
      <c r="P3696" s="20">
        <v>0.0</v>
      </c>
      <c r="Q3696" s="18"/>
      <c r="R3696" s="18"/>
      <c r="S3696" s="52"/>
      <c r="T3696" s="22"/>
    </row>
    <row r="3697">
      <c r="A3697" s="23" t="s">
        <v>26006</v>
      </c>
      <c r="B3697" s="77" t="s">
        <v>1005</v>
      </c>
      <c r="C3697" s="41">
        <v>45580.0</v>
      </c>
      <c r="D3697" s="40" t="s">
        <v>26007</v>
      </c>
      <c r="E3697" s="41" t="s">
        <v>26008</v>
      </c>
      <c r="F3697" s="43" t="s">
        <v>26009</v>
      </c>
      <c r="G3697" s="43" t="s">
        <v>26010</v>
      </c>
      <c r="H3697" s="66" t="s">
        <v>25618</v>
      </c>
      <c r="I3697" s="25" t="str">
        <f>IFERROR(__xludf.DUMMYFUNCTION("GOOGLETRANSLATE(H3697,""EN"",""ES"")"),"Seguridad Pública")</f>
        <v>Seguridad Pública</v>
      </c>
      <c r="J3697" s="26" t="s">
        <v>27</v>
      </c>
      <c r="K3697" s="17">
        <v>0.0</v>
      </c>
      <c r="L3697" s="54"/>
      <c r="M3697" s="31"/>
      <c r="N3697" s="90"/>
      <c r="O3697" s="90"/>
      <c r="P3697" s="20">
        <v>0.0</v>
      </c>
      <c r="Q3697" s="31"/>
      <c r="R3697" s="31"/>
      <c r="S3697" s="53"/>
      <c r="T3697" s="32"/>
    </row>
    <row r="3698">
      <c r="A3698" s="33" t="s">
        <v>26011</v>
      </c>
      <c r="B3698" s="76" t="s">
        <v>2973</v>
      </c>
      <c r="C3698" s="41">
        <v>45580.0</v>
      </c>
      <c r="D3698" s="40" t="s">
        <v>26012</v>
      </c>
      <c r="E3698" s="41" t="s">
        <v>26013</v>
      </c>
      <c r="F3698" s="43" t="s">
        <v>26014</v>
      </c>
      <c r="G3698" s="43" t="s">
        <v>26015</v>
      </c>
      <c r="H3698" s="65" t="s">
        <v>130</v>
      </c>
      <c r="I3698" s="15" t="str">
        <f>IFERROR(__xludf.DUMMYFUNCTION("GOOGLETRANSLATE(H3698,""EN"",""ES"")"),"Sostenibilidad")</f>
        <v>Sostenibilidad</v>
      </c>
      <c r="J3698" s="16" t="s">
        <v>35</v>
      </c>
      <c r="K3698" s="48">
        <v>0.3</v>
      </c>
      <c r="L3698" s="45" t="s">
        <v>26016</v>
      </c>
      <c r="M3698" s="18" t="s">
        <v>26017</v>
      </c>
      <c r="N3698" s="91" t="s">
        <v>26018</v>
      </c>
      <c r="O3698" s="91" t="str">
        <f>IFERROR(__xludf.DUMMYFUNCTION("GOOGLETRANSLATE(N3698,""EN"",""ES"")"),"Sin impacto directo en la imagen de Repsol.")</f>
        <v>Sin impacto directo en la imagen de Repsol.</v>
      </c>
      <c r="P3698" s="30">
        <v>0.2</v>
      </c>
      <c r="Q3698" s="18" t="str">
        <f>IFERROR(__xludf.DUMMYFUNCTION("GOOGLETRANSLATE(R3698,""ES"",""EN"")"),"-")</f>
        <v>-</v>
      </c>
      <c r="R3698" s="34" t="s">
        <v>11852</v>
      </c>
      <c r="S3698" s="52" t="s">
        <v>26019</v>
      </c>
      <c r="T3698" s="22" t="s">
        <v>26020</v>
      </c>
    </row>
    <row r="3699">
      <c r="A3699" s="23" t="s">
        <v>26021</v>
      </c>
      <c r="B3699" s="77" t="s">
        <v>21</v>
      </c>
      <c r="C3699" s="57">
        <v>45580.0</v>
      </c>
      <c r="D3699" s="40" t="s">
        <v>26022</v>
      </c>
      <c r="E3699" s="41" t="s">
        <v>26023</v>
      </c>
      <c r="F3699" s="43" t="s">
        <v>26024</v>
      </c>
      <c r="G3699" s="43" t="s">
        <v>26025</v>
      </c>
      <c r="H3699" s="66" t="s">
        <v>14973</v>
      </c>
      <c r="I3699" s="25" t="str">
        <f>IFERROR(__xludf.DUMMYFUNCTION("GOOGLETRANSLATE(H3699,""EN"",""ES"")"),"Literatura")</f>
        <v>Literatura</v>
      </c>
      <c r="J3699" s="26" t="s">
        <v>27</v>
      </c>
      <c r="K3699" s="17">
        <v>0.0</v>
      </c>
      <c r="L3699" s="92"/>
      <c r="M3699" s="31"/>
      <c r="N3699" s="90"/>
      <c r="O3699" s="90"/>
      <c r="P3699" s="20">
        <v>0.0</v>
      </c>
      <c r="Q3699" s="31"/>
      <c r="R3699" s="31"/>
      <c r="S3699" s="53"/>
      <c r="T3699" s="32"/>
    </row>
    <row r="3700">
      <c r="A3700" s="33" t="s">
        <v>26026</v>
      </c>
      <c r="B3700" s="76" t="s">
        <v>16303</v>
      </c>
      <c r="C3700" s="41">
        <v>45580.0</v>
      </c>
      <c r="D3700" s="40" t="s">
        <v>26027</v>
      </c>
      <c r="E3700" s="41" t="s">
        <v>26028</v>
      </c>
      <c r="F3700" s="43" t="s">
        <v>26029</v>
      </c>
      <c r="G3700" s="43" t="s">
        <v>26030</v>
      </c>
      <c r="H3700" s="65" t="s">
        <v>25618</v>
      </c>
      <c r="I3700" s="15" t="str">
        <f>IFERROR(__xludf.DUMMYFUNCTION("GOOGLETRANSLATE(H3700,""EN"",""ES"")"),"Seguridad Pública")</f>
        <v>Seguridad Pública</v>
      </c>
      <c r="J3700" s="16" t="s">
        <v>27</v>
      </c>
      <c r="K3700" s="17">
        <v>0.0</v>
      </c>
      <c r="L3700" s="45"/>
      <c r="M3700" s="18"/>
      <c r="N3700" s="91"/>
      <c r="O3700" s="91"/>
      <c r="P3700" s="20">
        <v>0.0</v>
      </c>
      <c r="Q3700" s="18"/>
      <c r="R3700" s="18"/>
      <c r="S3700" s="52"/>
      <c r="T3700" s="22"/>
    </row>
    <row r="3701">
      <c r="A3701" s="23" t="s">
        <v>26031</v>
      </c>
      <c r="B3701" s="77" t="s">
        <v>2008</v>
      </c>
      <c r="C3701" s="41">
        <v>45580.0</v>
      </c>
      <c r="D3701" s="40" t="s">
        <v>26032</v>
      </c>
      <c r="E3701" s="41" t="s">
        <v>26033</v>
      </c>
      <c r="F3701" s="43" t="s">
        <v>26034</v>
      </c>
      <c r="G3701" s="43" t="s">
        <v>26035</v>
      </c>
      <c r="H3701" s="66" t="s">
        <v>25618</v>
      </c>
      <c r="I3701" s="25" t="str">
        <f>IFERROR(__xludf.DUMMYFUNCTION("GOOGLETRANSLATE(H3701,""EN"",""ES"")"),"Seguridad Pública")</f>
        <v>Seguridad Pública</v>
      </c>
      <c r="J3701" s="26" t="s">
        <v>27</v>
      </c>
      <c r="K3701" s="17">
        <v>0.0</v>
      </c>
      <c r="L3701" s="54"/>
      <c r="M3701" s="31"/>
      <c r="N3701" s="90"/>
      <c r="O3701" s="90"/>
      <c r="P3701" s="20">
        <v>0.0</v>
      </c>
      <c r="Q3701" s="31"/>
      <c r="R3701" s="31"/>
      <c r="S3701" s="53"/>
      <c r="T3701" s="32"/>
    </row>
    <row r="3702">
      <c r="A3702" s="33" t="s">
        <v>26036</v>
      </c>
      <c r="B3702" s="76" t="s">
        <v>1577</v>
      </c>
      <c r="C3702" s="41">
        <v>45580.0</v>
      </c>
      <c r="D3702" s="40" t="s">
        <v>26037</v>
      </c>
      <c r="E3702" s="41" t="s">
        <v>26038</v>
      </c>
      <c r="F3702" s="43" t="s">
        <v>26039</v>
      </c>
      <c r="G3702" s="43" t="s">
        <v>26040</v>
      </c>
      <c r="H3702" s="65" t="s">
        <v>148</v>
      </c>
      <c r="I3702" s="15" t="str">
        <f>IFERROR(__xludf.DUMMYFUNCTION("GOOGLETRANSLATE(H3702,""EN"",""ES"")"),"Gastronomía")</f>
        <v>Gastronomía</v>
      </c>
      <c r="J3702" s="16" t="s">
        <v>27</v>
      </c>
      <c r="K3702" s="17">
        <v>0.0</v>
      </c>
      <c r="L3702" s="45"/>
      <c r="M3702" s="18"/>
      <c r="N3702" s="91"/>
      <c r="O3702" s="91"/>
      <c r="P3702" s="20">
        <v>0.0</v>
      </c>
      <c r="Q3702" s="18"/>
      <c r="R3702" s="18"/>
      <c r="S3702" s="52"/>
      <c r="T3702" s="22"/>
    </row>
    <row r="3703">
      <c r="A3703" s="23" t="s">
        <v>26041</v>
      </c>
      <c r="B3703" s="77" t="s">
        <v>85</v>
      </c>
      <c r="C3703" s="41">
        <v>45580.0</v>
      </c>
      <c r="D3703" s="40" t="s">
        <v>26042</v>
      </c>
      <c r="E3703" s="41" t="s">
        <v>26043</v>
      </c>
      <c r="F3703" s="43" t="s">
        <v>26044</v>
      </c>
      <c r="G3703" s="43" t="s">
        <v>26045</v>
      </c>
      <c r="H3703" s="66" t="s">
        <v>25618</v>
      </c>
      <c r="I3703" s="25" t="str">
        <f>IFERROR(__xludf.DUMMYFUNCTION("GOOGLETRANSLATE(H3703,""EN"",""ES"")"),"Seguridad Pública")</f>
        <v>Seguridad Pública</v>
      </c>
      <c r="J3703" s="26" t="s">
        <v>27</v>
      </c>
      <c r="K3703" s="17">
        <v>0.0</v>
      </c>
      <c r="L3703" s="54"/>
      <c r="M3703" s="31"/>
      <c r="N3703" s="90"/>
      <c r="O3703" s="90"/>
      <c r="P3703" s="20">
        <v>0.0</v>
      </c>
      <c r="Q3703" s="31"/>
      <c r="R3703" s="31"/>
      <c r="S3703" s="53"/>
      <c r="T3703" s="32"/>
    </row>
    <row r="3704">
      <c r="A3704" s="33" t="s">
        <v>26046</v>
      </c>
      <c r="B3704" s="76" t="s">
        <v>881</v>
      </c>
      <c r="C3704" s="41">
        <v>45580.0</v>
      </c>
      <c r="D3704" s="40" t="s">
        <v>26047</v>
      </c>
      <c r="E3704" s="41" t="s">
        <v>26048</v>
      </c>
      <c r="F3704" s="43" t="s">
        <v>26049</v>
      </c>
      <c r="G3704" s="43" t="s">
        <v>26050</v>
      </c>
      <c r="H3704" s="65" t="s">
        <v>148</v>
      </c>
      <c r="I3704" s="15" t="str">
        <f>IFERROR(__xludf.DUMMYFUNCTION("GOOGLETRANSLATE(H3704,""EN"",""ES"")"),"Gastronomía")</f>
        <v>Gastronomía</v>
      </c>
      <c r="J3704" s="16" t="s">
        <v>27</v>
      </c>
      <c r="K3704" s="17">
        <v>0.0</v>
      </c>
      <c r="L3704" s="45"/>
      <c r="M3704" s="18"/>
      <c r="N3704" s="91"/>
      <c r="O3704" s="91"/>
      <c r="P3704" s="20">
        <v>0.0</v>
      </c>
      <c r="Q3704" s="18"/>
      <c r="R3704" s="18"/>
      <c r="S3704" s="52"/>
      <c r="T3704" s="22"/>
    </row>
    <row r="3705">
      <c r="A3705" s="23" t="s">
        <v>26051</v>
      </c>
      <c r="B3705" s="77" t="s">
        <v>23093</v>
      </c>
      <c r="C3705" s="41">
        <v>45580.0</v>
      </c>
      <c r="D3705" s="40" t="s">
        <v>26052</v>
      </c>
      <c r="E3705" s="41" t="s">
        <v>26053</v>
      </c>
      <c r="F3705" s="43" t="s">
        <v>26054</v>
      </c>
      <c r="G3705" s="43" t="s">
        <v>26055</v>
      </c>
      <c r="H3705" s="66" t="s">
        <v>25618</v>
      </c>
      <c r="I3705" s="25" t="str">
        <f>IFERROR(__xludf.DUMMYFUNCTION("GOOGLETRANSLATE(H3705,""EN"",""ES"")"),"Seguridad Pública")</f>
        <v>Seguridad Pública</v>
      </c>
      <c r="J3705" s="26" t="s">
        <v>27</v>
      </c>
      <c r="K3705" s="17">
        <v>0.0</v>
      </c>
      <c r="L3705" s="54"/>
      <c r="M3705" s="31"/>
      <c r="N3705" s="90"/>
      <c r="O3705" s="90"/>
      <c r="P3705" s="20">
        <v>0.0</v>
      </c>
      <c r="Q3705" s="31"/>
      <c r="R3705" s="31"/>
      <c r="S3705" s="53"/>
      <c r="T3705" s="32"/>
    </row>
    <row r="3706">
      <c r="A3706" s="33" t="s">
        <v>26056</v>
      </c>
      <c r="B3706" s="76" t="s">
        <v>6776</v>
      </c>
      <c r="C3706" s="41">
        <v>45580.0</v>
      </c>
      <c r="D3706" s="40" t="s">
        <v>26057</v>
      </c>
      <c r="E3706" s="41" t="s">
        <v>26058</v>
      </c>
      <c r="F3706" s="43" t="s">
        <v>26059</v>
      </c>
      <c r="G3706" s="43" t="s">
        <v>26060</v>
      </c>
      <c r="H3706" s="65" t="s">
        <v>148</v>
      </c>
      <c r="I3706" s="15" t="str">
        <f>IFERROR(__xludf.DUMMYFUNCTION("GOOGLETRANSLATE(H3706,""EN"",""ES"")"),"Gastronomía")</f>
        <v>Gastronomía</v>
      </c>
      <c r="J3706" s="16" t="s">
        <v>27</v>
      </c>
      <c r="K3706" s="17">
        <v>0.0</v>
      </c>
      <c r="L3706" s="45"/>
      <c r="M3706" s="18"/>
      <c r="N3706" s="91"/>
      <c r="O3706" s="91"/>
      <c r="P3706" s="20">
        <v>0.0</v>
      </c>
      <c r="Q3706" s="18"/>
      <c r="R3706" s="18"/>
      <c r="S3706" s="52"/>
      <c r="T3706" s="22"/>
    </row>
    <row r="3707">
      <c r="A3707" s="23" t="s">
        <v>26061</v>
      </c>
      <c r="B3707" s="77" t="s">
        <v>499</v>
      </c>
      <c r="C3707" s="41">
        <v>45580.0</v>
      </c>
      <c r="D3707" s="40" t="s">
        <v>26062</v>
      </c>
      <c r="E3707" s="41" t="s">
        <v>26063</v>
      </c>
      <c r="F3707" s="43" t="s">
        <v>26064</v>
      </c>
      <c r="G3707" s="43" t="s">
        <v>26065</v>
      </c>
      <c r="H3707" s="66" t="s">
        <v>25618</v>
      </c>
      <c r="I3707" s="25" t="str">
        <f>IFERROR(__xludf.DUMMYFUNCTION("GOOGLETRANSLATE(H3707,""EN"",""ES"")"),"Seguridad Pública")</f>
        <v>Seguridad Pública</v>
      </c>
      <c r="J3707" s="26" t="s">
        <v>27</v>
      </c>
      <c r="K3707" s="17">
        <v>0.0</v>
      </c>
      <c r="L3707" s="54"/>
      <c r="M3707" s="31"/>
      <c r="N3707" s="90"/>
      <c r="O3707" s="90"/>
      <c r="P3707" s="20">
        <v>0.0</v>
      </c>
      <c r="Q3707" s="31"/>
      <c r="R3707" s="31"/>
      <c r="S3707" s="53"/>
      <c r="T3707" s="32"/>
    </row>
    <row r="3708">
      <c r="A3708" s="33" t="s">
        <v>26066</v>
      </c>
      <c r="B3708" s="76" t="s">
        <v>21</v>
      </c>
      <c r="C3708" s="41">
        <v>45580.0</v>
      </c>
      <c r="D3708" s="40" t="s">
        <v>26067</v>
      </c>
      <c r="E3708" s="41" t="s">
        <v>26068</v>
      </c>
      <c r="F3708" s="43" t="s">
        <v>26069</v>
      </c>
      <c r="G3708" s="43" t="s">
        <v>26070</v>
      </c>
      <c r="H3708" s="65" t="s">
        <v>8762</v>
      </c>
      <c r="I3708" s="15" t="str">
        <f>IFERROR(__xludf.DUMMYFUNCTION("GOOGLETRANSLATE(H3708,""EN"",""ES"")"),"Viajar")</f>
        <v>Viajar</v>
      </c>
      <c r="J3708" s="16" t="s">
        <v>27</v>
      </c>
      <c r="K3708" s="17">
        <v>0.0</v>
      </c>
      <c r="L3708" s="45"/>
      <c r="M3708" s="18"/>
      <c r="N3708" s="91"/>
      <c r="O3708" s="91"/>
      <c r="P3708" s="20">
        <v>0.0</v>
      </c>
      <c r="Q3708" s="18"/>
      <c r="R3708" s="18"/>
      <c r="S3708" s="52"/>
      <c r="T3708" s="22"/>
    </row>
    <row r="3709">
      <c r="A3709" s="23" t="s">
        <v>26071</v>
      </c>
      <c r="B3709" s="77" t="s">
        <v>437</v>
      </c>
      <c r="C3709" s="41">
        <v>45580.0</v>
      </c>
      <c r="D3709" s="40" t="s">
        <v>26072</v>
      </c>
      <c r="E3709" s="41" t="s">
        <v>26073</v>
      </c>
      <c r="F3709" s="43" t="s">
        <v>26074</v>
      </c>
      <c r="G3709" s="43" t="s">
        <v>26075</v>
      </c>
      <c r="H3709" s="66" t="s">
        <v>148</v>
      </c>
      <c r="I3709" s="25" t="str">
        <f>IFERROR(__xludf.DUMMYFUNCTION("GOOGLETRANSLATE(H3709,""EN"",""ES"")"),"Gastronomía")</f>
        <v>Gastronomía</v>
      </c>
      <c r="J3709" s="26" t="s">
        <v>27</v>
      </c>
      <c r="K3709" s="17">
        <v>0.0</v>
      </c>
      <c r="L3709" s="54"/>
      <c r="M3709" s="31"/>
      <c r="N3709" s="90"/>
      <c r="O3709" s="90"/>
      <c r="P3709" s="20">
        <v>0.0</v>
      </c>
      <c r="Q3709" s="31"/>
      <c r="R3709" s="31"/>
      <c r="S3709" s="53"/>
      <c r="T3709" s="32"/>
    </row>
    <row r="3710">
      <c r="A3710" s="33" t="s">
        <v>26076</v>
      </c>
      <c r="B3710" s="76" t="s">
        <v>16303</v>
      </c>
      <c r="C3710" s="41">
        <v>45580.0</v>
      </c>
      <c r="D3710" s="40" t="s">
        <v>26077</v>
      </c>
      <c r="E3710" s="41" t="s">
        <v>26078</v>
      </c>
      <c r="F3710" s="43" t="s">
        <v>26079</v>
      </c>
      <c r="G3710" s="43" t="s">
        <v>26080</v>
      </c>
      <c r="H3710" s="65" t="s">
        <v>25618</v>
      </c>
      <c r="I3710" s="15" t="str">
        <f>IFERROR(__xludf.DUMMYFUNCTION("GOOGLETRANSLATE(H3710,""EN"",""ES"")"),"Seguridad Pública")</f>
        <v>Seguridad Pública</v>
      </c>
      <c r="J3710" s="16" t="s">
        <v>27</v>
      </c>
      <c r="K3710" s="17">
        <v>0.0</v>
      </c>
      <c r="L3710" s="45"/>
      <c r="M3710" s="18"/>
      <c r="N3710" s="91"/>
      <c r="O3710" s="91"/>
      <c r="P3710" s="20">
        <v>0.0</v>
      </c>
      <c r="Q3710" s="18"/>
      <c r="R3710" s="18"/>
      <c r="S3710" s="52"/>
      <c r="T3710" s="22"/>
    </row>
    <row r="3711">
      <c r="A3711" s="23" t="s">
        <v>26081</v>
      </c>
      <c r="B3711" s="77" t="s">
        <v>21</v>
      </c>
      <c r="C3711" s="41">
        <v>45580.0</v>
      </c>
      <c r="D3711" s="40" t="s">
        <v>26082</v>
      </c>
      <c r="E3711" s="41" t="s">
        <v>26083</v>
      </c>
      <c r="F3711" s="43" t="s">
        <v>26084</v>
      </c>
      <c r="G3711" s="43" t="s">
        <v>26085</v>
      </c>
      <c r="H3711" s="66" t="s">
        <v>8762</v>
      </c>
      <c r="I3711" s="25" t="str">
        <f>IFERROR(__xludf.DUMMYFUNCTION("GOOGLETRANSLATE(H3711,""EN"",""ES"")"),"Viajar")</f>
        <v>Viajar</v>
      </c>
      <c r="J3711" s="26" t="s">
        <v>27</v>
      </c>
      <c r="K3711" s="17">
        <v>0.0</v>
      </c>
      <c r="L3711" s="54"/>
      <c r="M3711" s="31"/>
      <c r="N3711" s="90"/>
      <c r="O3711" s="90"/>
      <c r="P3711" s="20">
        <v>0.0</v>
      </c>
      <c r="Q3711" s="31"/>
      <c r="R3711" s="31"/>
      <c r="S3711" s="53"/>
      <c r="T3711" s="32"/>
    </row>
    <row r="3712">
      <c r="A3712" s="33" t="s">
        <v>26086</v>
      </c>
      <c r="B3712" s="76" t="s">
        <v>2199</v>
      </c>
      <c r="C3712" s="41">
        <v>45580.0</v>
      </c>
      <c r="D3712" s="40" t="s">
        <v>26087</v>
      </c>
      <c r="E3712" s="41" t="s">
        <v>26088</v>
      </c>
      <c r="F3712" s="43" t="s">
        <v>26089</v>
      </c>
      <c r="G3712" s="43" t="s">
        <v>26090</v>
      </c>
      <c r="H3712" s="65" t="s">
        <v>148</v>
      </c>
      <c r="I3712" s="15" t="str">
        <f>IFERROR(__xludf.DUMMYFUNCTION("GOOGLETRANSLATE(H3712,""EN"",""ES"")"),"Gastronomía")</f>
        <v>Gastronomía</v>
      </c>
      <c r="J3712" s="16" t="s">
        <v>27</v>
      </c>
      <c r="K3712" s="17">
        <v>0.0</v>
      </c>
      <c r="L3712" s="45"/>
      <c r="M3712" s="18"/>
      <c r="N3712" s="91"/>
      <c r="O3712" s="91"/>
      <c r="P3712" s="20">
        <v>0.0</v>
      </c>
      <c r="Q3712" s="18"/>
      <c r="R3712" s="18"/>
      <c r="S3712" s="52"/>
      <c r="T3712" s="22"/>
    </row>
    <row r="3713">
      <c r="A3713" s="23" t="s">
        <v>26091</v>
      </c>
      <c r="B3713" s="77" t="s">
        <v>19543</v>
      </c>
      <c r="C3713" s="41">
        <v>45580.0</v>
      </c>
      <c r="D3713" s="40" t="s">
        <v>26092</v>
      </c>
      <c r="E3713" s="41" t="s">
        <v>26093</v>
      </c>
      <c r="F3713" s="43" t="s">
        <v>26094</v>
      </c>
      <c r="G3713" s="43" t="s">
        <v>26095</v>
      </c>
      <c r="H3713" s="66" t="s">
        <v>148</v>
      </c>
      <c r="I3713" s="25" t="str">
        <f>IFERROR(__xludf.DUMMYFUNCTION("GOOGLETRANSLATE(H3713,""EN"",""ES"")"),"Gastronomía")</f>
        <v>Gastronomía</v>
      </c>
      <c r="J3713" s="26" t="s">
        <v>27</v>
      </c>
      <c r="K3713" s="17">
        <v>0.0</v>
      </c>
      <c r="L3713" s="54"/>
      <c r="M3713" s="31"/>
      <c r="N3713" s="90"/>
      <c r="O3713" s="90"/>
      <c r="P3713" s="20">
        <v>0.0</v>
      </c>
      <c r="Q3713" s="31"/>
      <c r="R3713" s="31"/>
      <c r="S3713" s="53"/>
      <c r="T3713" s="32"/>
    </row>
    <row r="3714">
      <c r="A3714" s="33" t="s">
        <v>26096</v>
      </c>
      <c r="B3714" s="76" t="s">
        <v>85</v>
      </c>
      <c r="C3714" s="41">
        <v>45580.0</v>
      </c>
      <c r="D3714" s="40" t="s">
        <v>26097</v>
      </c>
      <c r="E3714" s="41" t="s">
        <v>26098</v>
      </c>
      <c r="F3714" s="43" t="s">
        <v>26099</v>
      </c>
      <c r="G3714" s="43" t="s">
        <v>26100</v>
      </c>
      <c r="H3714" s="65" t="s">
        <v>24743</v>
      </c>
      <c r="I3714" s="15" t="str">
        <f>IFERROR(__xludf.DUMMYFUNCTION("GOOGLETRANSLATE(H3714,""EN"",""ES"")"),"Mercado de Valores")</f>
        <v>Mercado de Valores</v>
      </c>
      <c r="J3714" s="16" t="s">
        <v>35</v>
      </c>
      <c r="K3714" s="48">
        <v>-0.4</v>
      </c>
      <c r="L3714" s="45" t="s">
        <v>26101</v>
      </c>
      <c r="M3714" s="18" t="s">
        <v>26102</v>
      </c>
      <c r="N3714" s="91" t="s">
        <v>26103</v>
      </c>
      <c r="O3714" s="91" t="str">
        <f>IFERROR(__xludf.DUMMYFUNCTION("GOOGLETRANSLATE(N3714,""EN"",""ES"")"),"Perspectivas financieras negativas para Repsol y sus pares.")</f>
        <v>Perspectivas financieras negativas para Repsol y sus pares.</v>
      </c>
      <c r="P3714" s="30">
        <v>-0.6</v>
      </c>
      <c r="Q3714" s="18" t="str">
        <f>IFERROR(__xludf.DUMMYFUNCTION("GOOGLETRANSLATE(R3714,""ES"",""EN"")"),"falls, ""hit""")</f>
        <v>falls, "hit"</v>
      </c>
      <c r="R3714" s="34" t="s">
        <v>26104</v>
      </c>
      <c r="S3714" s="52" t="s">
        <v>26105</v>
      </c>
      <c r="T3714" s="22" t="s">
        <v>26105</v>
      </c>
    </row>
    <row r="3715">
      <c r="A3715" s="23" t="s">
        <v>26106</v>
      </c>
      <c r="B3715" s="77" t="s">
        <v>50</v>
      </c>
      <c r="C3715" s="41">
        <v>45580.0</v>
      </c>
      <c r="D3715" s="40" t="s">
        <v>26107</v>
      </c>
      <c r="E3715" s="41" t="s">
        <v>26108</v>
      </c>
      <c r="F3715" s="43" t="s">
        <v>26109</v>
      </c>
      <c r="G3715" s="43" t="s">
        <v>26110</v>
      </c>
      <c r="H3715" s="66" t="s">
        <v>26111</v>
      </c>
      <c r="I3715" s="25" t="str">
        <f>IFERROR(__xludf.DUMMYFUNCTION("GOOGLETRANSLATE(H3715,""EN"",""ES"")"),"Deporte de motor y sostenibilidad")</f>
        <v>Deporte de motor y sostenibilidad</v>
      </c>
      <c r="J3715" s="26" t="s">
        <v>35</v>
      </c>
      <c r="K3715" s="48">
        <v>0.6</v>
      </c>
      <c r="L3715" s="54" t="s">
        <v>26112</v>
      </c>
      <c r="M3715" s="31" t="s">
        <v>26113</v>
      </c>
      <c r="N3715" s="90" t="s">
        <v>26114</v>
      </c>
      <c r="O3715" s="90" t="str">
        <f>IFERROR(__xludf.DUMMYFUNCTION("GOOGLETRANSLATE(N3715,""EN"",""ES"")"),"Relacionado con el deporte del motor, no es el negocio principal de Repsol.")</f>
        <v>Relacionado con el deporte del motor, no es el negocio principal de Repsol.</v>
      </c>
      <c r="P3715" s="30">
        <v>0.5</v>
      </c>
      <c r="Q3715" s="31" t="str">
        <f>IFERROR(__xludf.DUMMYFUNCTION("GOOGLETRANSLATE(R3715,""ES"",""EN"")"),"renewable fuel")</f>
        <v>renewable fuel</v>
      </c>
      <c r="R3715" s="28" t="s">
        <v>10542</v>
      </c>
      <c r="S3715" s="53" t="s">
        <v>26115</v>
      </c>
      <c r="T3715" s="32" t="s">
        <v>26115</v>
      </c>
    </row>
    <row r="3716">
      <c r="A3716" s="33" t="s">
        <v>26116</v>
      </c>
      <c r="B3716" s="76" t="s">
        <v>85</v>
      </c>
      <c r="C3716" s="41">
        <v>45580.0</v>
      </c>
      <c r="D3716" s="40" t="s">
        <v>26117</v>
      </c>
      <c r="E3716" s="41" t="s">
        <v>26118</v>
      </c>
      <c r="F3716" s="43" t="s">
        <v>26119</v>
      </c>
      <c r="G3716" s="43" t="s">
        <v>26120</v>
      </c>
      <c r="H3716" s="65" t="s">
        <v>148</v>
      </c>
      <c r="I3716" s="15" t="str">
        <f>IFERROR(__xludf.DUMMYFUNCTION("GOOGLETRANSLATE(H3716,""EN"",""ES"")"),"Gastronomía")</f>
        <v>Gastronomía</v>
      </c>
      <c r="J3716" s="16" t="s">
        <v>27</v>
      </c>
      <c r="K3716" s="17">
        <v>0.0</v>
      </c>
      <c r="L3716" s="45"/>
      <c r="M3716" s="18"/>
      <c r="N3716" s="91"/>
      <c r="O3716" s="91"/>
      <c r="P3716" s="20">
        <v>0.0</v>
      </c>
      <c r="Q3716" s="18"/>
      <c r="R3716" s="18"/>
      <c r="S3716" s="52"/>
      <c r="T3716" s="22"/>
    </row>
    <row r="3717">
      <c r="A3717" s="23" t="s">
        <v>26121</v>
      </c>
      <c r="B3717" s="77" t="s">
        <v>1602</v>
      </c>
      <c r="C3717" s="41">
        <v>45580.0</v>
      </c>
      <c r="D3717" s="40" t="s">
        <v>26122</v>
      </c>
      <c r="E3717" s="41" t="s">
        <v>26123</v>
      </c>
      <c r="F3717" s="43" t="s">
        <v>26124</v>
      </c>
      <c r="G3717" s="43" t="s">
        <v>26125</v>
      </c>
      <c r="H3717" s="66" t="s">
        <v>24743</v>
      </c>
      <c r="I3717" s="25" t="str">
        <f>IFERROR(__xludf.DUMMYFUNCTION("GOOGLETRANSLATE(H3717,""EN"",""ES"")"),"Mercado de Valores")</f>
        <v>Mercado de Valores</v>
      </c>
      <c r="J3717" s="26" t="s">
        <v>27</v>
      </c>
      <c r="K3717" s="17">
        <v>0.0</v>
      </c>
      <c r="L3717" s="54"/>
      <c r="M3717" s="31"/>
      <c r="N3717" s="90"/>
      <c r="O3717" s="90"/>
      <c r="P3717" s="20">
        <v>0.0</v>
      </c>
      <c r="Q3717" s="31"/>
      <c r="R3717" s="31"/>
      <c r="S3717" s="53"/>
      <c r="T3717" s="32"/>
    </row>
    <row r="3718">
      <c r="A3718" s="33" t="s">
        <v>26126</v>
      </c>
      <c r="B3718" s="76" t="s">
        <v>859</v>
      </c>
      <c r="C3718" s="41">
        <v>45580.0</v>
      </c>
      <c r="D3718" s="40" t="s">
        <v>26127</v>
      </c>
      <c r="E3718" s="41" t="s">
        <v>26128</v>
      </c>
      <c r="F3718" s="43" t="s">
        <v>26129</v>
      </c>
      <c r="G3718" s="43" t="s">
        <v>26130</v>
      </c>
      <c r="H3718" s="65" t="s">
        <v>148</v>
      </c>
      <c r="I3718" s="15" t="str">
        <f>IFERROR(__xludf.DUMMYFUNCTION("GOOGLETRANSLATE(H3718,""EN"",""ES"")"),"Gastronomía")</f>
        <v>Gastronomía</v>
      </c>
      <c r="J3718" s="16" t="s">
        <v>27</v>
      </c>
      <c r="K3718" s="17">
        <v>0.0</v>
      </c>
      <c r="L3718" s="45"/>
      <c r="M3718" s="18"/>
      <c r="N3718" s="91"/>
      <c r="O3718" s="91"/>
      <c r="P3718" s="20">
        <v>0.0</v>
      </c>
      <c r="Q3718" s="18"/>
      <c r="R3718" s="18"/>
      <c r="S3718" s="52"/>
      <c r="T3718" s="22"/>
    </row>
    <row r="3719">
      <c r="A3719" s="23" t="s">
        <v>26131</v>
      </c>
      <c r="B3719" s="77" t="s">
        <v>6168</v>
      </c>
      <c r="C3719" s="41">
        <v>45580.0</v>
      </c>
      <c r="D3719" s="40" t="s">
        <v>26132</v>
      </c>
      <c r="E3719" s="41" t="s">
        <v>26133</v>
      </c>
      <c r="F3719" s="43" t="s">
        <v>26134</v>
      </c>
      <c r="G3719" s="43" t="s">
        <v>26135</v>
      </c>
      <c r="H3719" s="66" t="s">
        <v>25618</v>
      </c>
      <c r="I3719" s="25" t="str">
        <f>IFERROR(__xludf.DUMMYFUNCTION("GOOGLETRANSLATE(H3719,""EN"",""ES"")"),"Seguridad Pública")</f>
        <v>Seguridad Pública</v>
      </c>
      <c r="J3719" s="26" t="s">
        <v>27</v>
      </c>
      <c r="K3719" s="17">
        <v>0.0</v>
      </c>
      <c r="L3719" s="54"/>
      <c r="M3719" s="31"/>
      <c r="N3719" s="90"/>
      <c r="O3719" s="90"/>
      <c r="P3719" s="20">
        <v>0.0</v>
      </c>
      <c r="Q3719" s="31"/>
      <c r="R3719" s="31"/>
      <c r="S3719" s="53"/>
      <c r="T3719" s="32"/>
    </row>
    <row r="3720">
      <c r="A3720" s="33" t="s">
        <v>26136</v>
      </c>
      <c r="B3720" s="76" t="s">
        <v>163</v>
      </c>
      <c r="C3720" s="41">
        <v>45580.0</v>
      </c>
      <c r="D3720" s="40" t="s">
        <v>26137</v>
      </c>
      <c r="E3720" s="41" t="s">
        <v>26138</v>
      </c>
      <c r="F3720" s="43" t="s">
        <v>26139</v>
      </c>
      <c r="G3720" s="43" t="s">
        <v>26140</v>
      </c>
      <c r="H3720" s="65" t="s">
        <v>55</v>
      </c>
      <c r="I3720" s="15" t="str">
        <f>IFERROR(__xludf.DUMMYFUNCTION("GOOGLETRANSLATE(H3720,""EN"",""ES"")"),"deportes de motor")</f>
        <v>deportes de motor</v>
      </c>
      <c r="J3720" s="16" t="s">
        <v>27</v>
      </c>
      <c r="K3720" s="17">
        <v>0.0</v>
      </c>
      <c r="L3720" s="45"/>
      <c r="M3720" s="18"/>
      <c r="N3720" s="91"/>
      <c r="O3720" s="91"/>
      <c r="P3720" s="20">
        <v>0.0</v>
      </c>
      <c r="Q3720" s="18"/>
      <c r="R3720" s="18"/>
      <c r="S3720" s="52"/>
      <c r="T3720" s="22"/>
    </row>
    <row r="3721">
      <c r="A3721" s="23" t="s">
        <v>26141</v>
      </c>
      <c r="B3721" s="77" t="s">
        <v>8861</v>
      </c>
      <c r="C3721" s="41">
        <v>45581.0</v>
      </c>
      <c r="D3721" s="40" t="s">
        <v>26142</v>
      </c>
      <c r="E3721" s="41" t="s">
        <v>26143</v>
      </c>
      <c r="F3721" s="43" t="s">
        <v>26144</v>
      </c>
      <c r="G3721" s="43" t="s">
        <v>26145</v>
      </c>
      <c r="H3721" s="66" t="s">
        <v>1914</v>
      </c>
      <c r="I3721" s="25" t="str">
        <f>IFERROR(__xludf.DUMMYFUNCTION("GOOGLETRANSLATE(H3721,""EN"",""ES"")"),"Política energética")</f>
        <v>Política energética</v>
      </c>
      <c r="J3721" s="26" t="s">
        <v>35</v>
      </c>
      <c r="K3721" s="48">
        <v>-0.3</v>
      </c>
      <c r="L3721" s="54" t="s">
        <v>26146</v>
      </c>
      <c r="M3721" s="31" t="s">
        <v>26147</v>
      </c>
      <c r="N3721" s="90" t="s">
        <v>26148</v>
      </c>
      <c r="O3721" s="90" t="str">
        <f>IFERROR(__xludf.DUMMYFUNCTION("GOOGLETRANSLATE(N3721,""EN"",""ES"")"),"Destaca la dependencia de los combustibles fósiles, que puede percibirse negativamente.")</f>
        <v>Destaca la dependencia de los combustibles fósiles, que puede percibirse negativamente.</v>
      </c>
      <c r="P3721" s="30">
        <v>0.0</v>
      </c>
      <c r="Q3721" s="31"/>
      <c r="R3721" s="31"/>
      <c r="S3721" s="53" t="s">
        <v>26149</v>
      </c>
      <c r="T3721" s="32" t="s">
        <v>26149</v>
      </c>
    </row>
    <row r="3722">
      <c r="A3722" s="33" t="s">
        <v>26150</v>
      </c>
      <c r="B3722" s="76" t="s">
        <v>26151</v>
      </c>
      <c r="C3722" s="41">
        <v>45581.0</v>
      </c>
      <c r="D3722" s="40" t="s">
        <v>26152</v>
      </c>
      <c r="E3722" s="41" t="s">
        <v>26153</v>
      </c>
      <c r="F3722" s="43" t="s">
        <v>26154</v>
      </c>
      <c r="G3722" s="43" t="s">
        <v>26155</v>
      </c>
      <c r="H3722" s="65" t="s">
        <v>155</v>
      </c>
      <c r="I3722" s="15" t="str">
        <f>IFERROR(__xludf.DUMMYFUNCTION("GOOGLETRANSLATE(H3722,""EN"",""ES"")"),"Marketing")</f>
        <v>Marketing</v>
      </c>
      <c r="J3722" s="16" t="s">
        <v>27</v>
      </c>
      <c r="K3722" s="17">
        <v>0.0</v>
      </c>
      <c r="L3722" s="45"/>
      <c r="M3722" s="18"/>
      <c r="N3722" s="91"/>
      <c r="O3722" s="91"/>
      <c r="P3722" s="20">
        <v>0.0</v>
      </c>
      <c r="Q3722" s="18"/>
      <c r="R3722" s="18"/>
      <c r="S3722" s="52"/>
      <c r="T3722" s="22"/>
    </row>
    <row r="3723">
      <c r="A3723" s="23" t="s">
        <v>26156</v>
      </c>
      <c r="B3723" s="77" t="s">
        <v>11260</v>
      </c>
      <c r="C3723" s="41">
        <v>45581.0</v>
      </c>
      <c r="D3723" s="40" t="s">
        <v>26157</v>
      </c>
      <c r="E3723" s="41" t="s">
        <v>26158</v>
      </c>
      <c r="F3723" s="43" t="s">
        <v>26159</v>
      </c>
      <c r="G3723" s="43" t="s">
        <v>26160</v>
      </c>
      <c r="H3723" s="66" t="s">
        <v>155</v>
      </c>
      <c r="I3723" s="25" t="str">
        <f>IFERROR(__xludf.DUMMYFUNCTION("GOOGLETRANSLATE(H3723,""EN"",""ES"")"),"Marketing")</f>
        <v>Marketing</v>
      </c>
      <c r="J3723" s="26" t="s">
        <v>27</v>
      </c>
      <c r="K3723" s="17">
        <v>0.0</v>
      </c>
      <c r="L3723" s="54"/>
      <c r="M3723" s="31"/>
      <c r="N3723" s="90"/>
      <c r="O3723" s="90"/>
      <c r="P3723" s="20">
        <v>0.0</v>
      </c>
      <c r="Q3723" s="31"/>
      <c r="R3723" s="31"/>
      <c r="S3723" s="53"/>
      <c r="T3723" s="32"/>
    </row>
    <row r="3724">
      <c r="A3724" s="33" t="s">
        <v>26161</v>
      </c>
      <c r="B3724" s="76" t="s">
        <v>11267</v>
      </c>
      <c r="C3724" s="41">
        <v>45581.0</v>
      </c>
      <c r="D3724" s="40" t="s">
        <v>26162</v>
      </c>
      <c r="E3724" s="41" t="s">
        <v>26163</v>
      </c>
      <c r="F3724" s="43" t="s">
        <v>26164</v>
      </c>
      <c r="G3724" s="43" t="s">
        <v>26165</v>
      </c>
      <c r="H3724" s="65" t="s">
        <v>155</v>
      </c>
      <c r="I3724" s="15" t="str">
        <f>IFERROR(__xludf.DUMMYFUNCTION("GOOGLETRANSLATE(H3724,""EN"",""ES"")"),"Marketing")</f>
        <v>Marketing</v>
      </c>
      <c r="J3724" s="16" t="s">
        <v>27</v>
      </c>
      <c r="K3724" s="17">
        <v>0.0</v>
      </c>
      <c r="L3724" s="45"/>
      <c r="M3724" s="18"/>
      <c r="N3724" s="91"/>
      <c r="O3724" s="91"/>
      <c r="P3724" s="20">
        <v>0.0</v>
      </c>
      <c r="Q3724" s="18"/>
      <c r="R3724" s="18"/>
      <c r="S3724" s="52"/>
      <c r="T3724" s="22"/>
    </row>
    <row r="3725">
      <c r="A3725" s="23" t="s">
        <v>26166</v>
      </c>
      <c r="B3725" s="77" t="s">
        <v>4538</v>
      </c>
      <c r="C3725" s="41">
        <v>45581.0</v>
      </c>
      <c r="D3725" s="40" t="s">
        <v>26167</v>
      </c>
      <c r="E3725" s="41" t="s">
        <v>26168</v>
      </c>
      <c r="F3725" s="43" t="s">
        <v>26169</v>
      </c>
      <c r="G3725" s="43" t="s">
        <v>26170</v>
      </c>
      <c r="H3725" s="66" t="s">
        <v>155</v>
      </c>
      <c r="I3725" s="25" t="str">
        <f>IFERROR(__xludf.DUMMYFUNCTION("GOOGLETRANSLATE(H3725,""EN"",""ES"")"),"Marketing")</f>
        <v>Marketing</v>
      </c>
      <c r="J3725" s="26" t="s">
        <v>27</v>
      </c>
      <c r="K3725" s="17">
        <v>0.0</v>
      </c>
      <c r="L3725" s="54"/>
      <c r="M3725" s="31"/>
      <c r="N3725" s="90"/>
      <c r="O3725" s="90"/>
      <c r="P3725" s="20">
        <v>0.0</v>
      </c>
      <c r="Q3725" s="31"/>
      <c r="R3725" s="31"/>
      <c r="S3725" s="53"/>
      <c r="T3725" s="32"/>
    </row>
    <row r="3726">
      <c r="A3726" s="33" t="s">
        <v>26171</v>
      </c>
      <c r="B3726" s="76" t="s">
        <v>4634</v>
      </c>
      <c r="C3726" s="41">
        <v>45581.0</v>
      </c>
      <c r="D3726" s="40" t="s">
        <v>26172</v>
      </c>
      <c r="E3726" s="41" t="s">
        <v>26173</v>
      </c>
      <c r="F3726" s="43" t="s">
        <v>26174</v>
      </c>
      <c r="G3726" s="43" t="s">
        <v>26175</v>
      </c>
      <c r="H3726" s="65" t="s">
        <v>148</v>
      </c>
      <c r="I3726" s="15" t="str">
        <f>IFERROR(__xludf.DUMMYFUNCTION("GOOGLETRANSLATE(H3726,""EN"",""ES"")"),"Gastronomía")</f>
        <v>Gastronomía</v>
      </c>
      <c r="J3726" s="16" t="s">
        <v>27</v>
      </c>
      <c r="K3726" s="17">
        <v>0.0</v>
      </c>
      <c r="L3726" s="45"/>
      <c r="M3726" s="18"/>
      <c r="N3726" s="91"/>
      <c r="O3726" s="91"/>
      <c r="P3726" s="20">
        <v>0.0</v>
      </c>
      <c r="Q3726" s="18"/>
      <c r="R3726" s="18"/>
      <c r="S3726" s="52"/>
      <c r="T3726" s="22"/>
    </row>
    <row r="3727">
      <c r="A3727" s="23" t="s">
        <v>26176</v>
      </c>
      <c r="B3727" s="77" t="s">
        <v>217</v>
      </c>
      <c r="C3727" s="41">
        <v>45581.0</v>
      </c>
      <c r="D3727" s="40" t="s">
        <v>26177</v>
      </c>
      <c r="E3727" s="41" t="s">
        <v>26178</v>
      </c>
      <c r="F3727" s="43" t="s">
        <v>26179</v>
      </c>
      <c r="G3727" s="43" t="s">
        <v>26180</v>
      </c>
      <c r="H3727" s="66" t="s">
        <v>24743</v>
      </c>
      <c r="I3727" s="25" t="str">
        <f>IFERROR(__xludf.DUMMYFUNCTION("GOOGLETRANSLATE(H3727,""EN"",""ES"")"),"Mercado de Valores")</f>
        <v>Mercado de Valores</v>
      </c>
      <c r="J3727" s="26" t="s">
        <v>35</v>
      </c>
      <c r="K3727" s="48">
        <v>-0.5</v>
      </c>
      <c r="L3727" s="54" t="s">
        <v>26181</v>
      </c>
      <c r="M3727" s="31" t="s">
        <v>26182</v>
      </c>
      <c r="N3727" s="90" t="s">
        <v>26183</v>
      </c>
      <c r="O3727" s="90" t="str">
        <f>IFERROR(__xludf.DUMMYFUNCTION("GOOGLETRANSLATE(N3727,""EN"",""ES"")"),"Noticias financieras negativas que afectan a la valoración de Repsol.")</f>
        <v>Noticias financieras negativas que afectan a la valoración de Repsol.</v>
      </c>
      <c r="P3727" s="30">
        <v>-0.5</v>
      </c>
      <c r="Q3727" s="31" t="str">
        <f>IFERROR(__xludf.DUMMYFUNCTION("GOOGLETRANSLATE(R3727,""ES"",""EN"")"),"loses, ""gives in""")</f>
        <v>loses, "gives in"</v>
      </c>
      <c r="R3727" s="28" t="s">
        <v>26184</v>
      </c>
      <c r="S3727" s="53" t="s">
        <v>26185</v>
      </c>
      <c r="T3727" s="32" t="s">
        <v>26185</v>
      </c>
    </row>
    <row r="3728">
      <c r="A3728" s="33" t="s">
        <v>26186</v>
      </c>
      <c r="B3728" s="76" t="s">
        <v>25384</v>
      </c>
      <c r="C3728" s="41">
        <v>45581.0</v>
      </c>
      <c r="D3728" s="40" t="s">
        <v>26187</v>
      </c>
      <c r="E3728" s="41" t="s">
        <v>26188</v>
      </c>
      <c r="F3728" s="43" t="s">
        <v>26189</v>
      </c>
      <c r="G3728" s="43" t="s">
        <v>26190</v>
      </c>
      <c r="H3728" s="65" t="s">
        <v>24743</v>
      </c>
      <c r="I3728" s="15" t="str">
        <f>IFERROR(__xludf.DUMMYFUNCTION("GOOGLETRANSLATE(H3728,""EN"",""ES"")"),"Mercado de Valores")</f>
        <v>Mercado de Valores</v>
      </c>
      <c r="J3728" s="16" t="s">
        <v>35</v>
      </c>
      <c r="K3728" s="48">
        <v>-0.2</v>
      </c>
      <c r="L3728" s="45" t="s">
        <v>26191</v>
      </c>
      <c r="M3728" s="18" t="s">
        <v>26192</v>
      </c>
      <c r="N3728" s="91" t="s">
        <v>26193</v>
      </c>
      <c r="O3728" s="91" t="str">
        <f>IFERROR(__xludf.DUMMYFUNCTION("GOOGLETRANSLATE(N3728,""EN"",""ES"")"),"Noticias del mercado financiero, sin impacto en el sentimiento.")</f>
        <v>Noticias del mercado financiero, sin impacto en el sentimiento.</v>
      </c>
      <c r="P3728" s="30">
        <v>0.0</v>
      </c>
      <c r="Q3728" s="18"/>
      <c r="R3728" s="18"/>
      <c r="S3728" s="52" t="s">
        <v>24577</v>
      </c>
      <c r="T3728" s="22" t="s">
        <v>24577</v>
      </c>
    </row>
    <row r="3729">
      <c r="A3729" s="23" t="s">
        <v>26194</v>
      </c>
      <c r="B3729" s="77" t="s">
        <v>614</v>
      </c>
      <c r="C3729" s="41">
        <v>45581.0</v>
      </c>
      <c r="D3729" s="40" t="s">
        <v>26195</v>
      </c>
      <c r="E3729" s="41" t="s">
        <v>26196</v>
      </c>
      <c r="F3729" s="43" t="s">
        <v>26197</v>
      </c>
      <c r="G3729" s="43" t="s">
        <v>26198</v>
      </c>
      <c r="H3729" s="66" t="s">
        <v>130</v>
      </c>
      <c r="I3729" s="25" t="str">
        <f>IFERROR(__xludf.DUMMYFUNCTION("GOOGLETRANSLATE(H3729,""EN"",""ES"")"),"Sostenibilidad")</f>
        <v>Sostenibilidad</v>
      </c>
      <c r="J3729" s="26" t="s">
        <v>27</v>
      </c>
      <c r="K3729" s="17">
        <v>0.0</v>
      </c>
      <c r="L3729" s="54"/>
      <c r="M3729" s="31"/>
      <c r="N3729" s="90"/>
      <c r="O3729" s="90"/>
      <c r="P3729" s="20">
        <v>0.0</v>
      </c>
      <c r="Q3729" s="31"/>
      <c r="R3729" s="31"/>
      <c r="S3729" s="53"/>
      <c r="T3729" s="32"/>
    </row>
    <row r="3730">
      <c r="A3730" s="33" t="s">
        <v>26199</v>
      </c>
      <c r="B3730" s="76" t="s">
        <v>26200</v>
      </c>
      <c r="C3730" s="41">
        <v>45581.0</v>
      </c>
      <c r="D3730" s="40" t="s">
        <v>26201</v>
      </c>
      <c r="E3730" s="41" t="s">
        <v>26202</v>
      </c>
      <c r="F3730" s="43" t="s">
        <v>26203</v>
      </c>
      <c r="G3730" s="43" t="s">
        <v>26204</v>
      </c>
      <c r="H3730" s="65" t="s">
        <v>148</v>
      </c>
      <c r="I3730" s="15" t="str">
        <f>IFERROR(__xludf.DUMMYFUNCTION("GOOGLETRANSLATE(H3730,""EN"",""ES"")"),"Gastronomía")</f>
        <v>Gastronomía</v>
      </c>
      <c r="J3730" s="16" t="s">
        <v>27</v>
      </c>
      <c r="K3730" s="17">
        <v>0.0</v>
      </c>
      <c r="L3730" s="45"/>
      <c r="M3730" s="18"/>
      <c r="N3730" s="91"/>
      <c r="O3730" s="91"/>
      <c r="P3730" s="20">
        <v>0.0</v>
      </c>
      <c r="Q3730" s="18"/>
      <c r="R3730" s="18"/>
      <c r="S3730" s="52"/>
      <c r="T3730" s="22"/>
    </row>
    <row r="3731">
      <c r="A3731" s="23" t="s">
        <v>26205</v>
      </c>
      <c r="B3731" s="77" t="s">
        <v>21</v>
      </c>
      <c r="C3731" s="41">
        <v>45581.0</v>
      </c>
      <c r="D3731" s="40" t="s">
        <v>26206</v>
      </c>
      <c r="E3731" s="41" t="s">
        <v>26207</v>
      </c>
      <c r="F3731" s="43" t="s">
        <v>26208</v>
      </c>
      <c r="G3731" s="43" t="s">
        <v>26209</v>
      </c>
      <c r="H3731" s="66" t="s">
        <v>148</v>
      </c>
      <c r="I3731" s="25" t="str">
        <f>IFERROR(__xludf.DUMMYFUNCTION("GOOGLETRANSLATE(H3731,""EN"",""ES"")"),"Gastronomía")</f>
        <v>Gastronomía</v>
      </c>
      <c r="J3731" s="26" t="s">
        <v>27</v>
      </c>
      <c r="K3731" s="17">
        <v>0.0</v>
      </c>
      <c r="L3731" s="54"/>
      <c r="M3731" s="31"/>
      <c r="N3731" s="90"/>
      <c r="O3731" s="90"/>
      <c r="P3731" s="20">
        <v>0.0</v>
      </c>
      <c r="Q3731" s="31"/>
      <c r="R3731" s="31"/>
      <c r="S3731" s="53"/>
      <c r="T3731" s="32"/>
    </row>
    <row r="3732">
      <c r="A3732" s="33" t="s">
        <v>26210</v>
      </c>
      <c r="B3732" s="76" t="s">
        <v>85</v>
      </c>
      <c r="C3732" s="41">
        <v>45581.0</v>
      </c>
      <c r="D3732" s="40" t="s">
        <v>26211</v>
      </c>
      <c r="E3732" s="41" t="s">
        <v>26212</v>
      </c>
      <c r="F3732" s="43" t="s">
        <v>26213</v>
      </c>
      <c r="G3732" s="43" t="s">
        <v>26214</v>
      </c>
      <c r="H3732" s="65" t="s">
        <v>148</v>
      </c>
      <c r="I3732" s="15" t="str">
        <f>IFERROR(__xludf.DUMMYFUNCTION("GOOGLETRANSLATE(H3732,""EN"",""ES"")"),"Gastronomía")</f>
        <v>Gastronomía</v>
      </c>
      <c r="J3732" s="16" t="s">
        <v>27</v>
      </c>
      <c r="K3732" s="17">
        <v>0.0</v>
      </c>
      <c r="L3732" s="45"/>
      <c r="M3732" s="18"/>
      <c r="N3732" s="91"/>
      <c r="O3732" s="91"/>
      <c r="P3732" s="20">
        <v>0.0</v>
      </c>
      <c r="Q3732" s="18"/>
      <c r="R3732" s="18"/>
      <c r="S3732" s="52"/>
      <c r="T3732" s="22"/>
    </row>
    <row r="3733">
      <c r="A3733" s="23" t="s">
        <v>26215</v>
      </c>
      <c r="B3733" s="77" t="s">
        <v>8029</v>
      </c>
      <c r="C3733" s="41">
        <v>45581.0</v>
      </c>
      <c r="D3733" s="40" t="s">
        <v>26216</v>
      </c>
      <c r="E3733" s="41" t="s">
        <v>26217</v>
      </c>
      <c r="F3733" s="43" t="s">
        <v>26218</v>
      </c>
      <c r="G3733" s="43" t="s">
        <v>26219</v>
      </c>
      <c r="H3733" s="66" t="s">
        <v>24743</v>
      </c>
      <c r="I3733" s="25" t="str">
        <f>IFERROR(__xludf.DUMMYFUNCTION("GOOGLETRANSLATE(H3733,""EN"",""ES"")"),"Mercado de Valores")</f>
        <v>Mercado de Valores</v>
      </c>
      <c r="J3733" s="26" t="s">
        <v>35</v>
      </c>
      <c r="K3733" s="48">
        <v>-0.1</v>
      </c>
      <c r="L3733" s="54" t="s">
        <v>26220</v>
      </c>
      <c r="M3733" s="31" t="s">
        <v>26221</v>
      </c>
      <c r="N3733" s="90" t="s">
        <v>26222</v>
      </c>
      <c r="O3733" s="90" t="str">
        <f>IFERROR(__xludf.DUMMYFUNCTION("GOOGLETRANSLATE(N3733,""EN"",""ES"")"),"Evolución negativa del mercado para Repsol.")</f>
        <v>Evolución negativa del mercado para Repsol.</v>
      </c>
      <c r="P3733" s="30">
        <v>0.0</v>
      </c>
      <c r="Q3733" s="31"/>
      <c r="R3733" s="31"/>
      <c r="S3733" s="53" t="s">
        <v>24681</v>
      </c>
      <c r="T3733" s="32" t="s">
        <v>24681</v>
      </c>
    </row>
    <row r="3734">
      <c r="A3734" s="33" t="s">
        <v>26223</v>
      </c>
      <c r="B3734" s="76" t="s">
        <v>1128</v>
      </c>
      <c r="C3734" s="41">
        <v>45581.0</v>
      </c>
      <c r="D3734" s="40" t="s">
        <v>26224</v>
      </c>
      <c r="E3734" s="41" t="s">
        <v>26225</v>
      </c>
      <c r="F3734" s="43" t="s">
        <v>26226</v>
      </c>
      <c r="G3734" s="43" t="s">
        <v>26227</v>
      </c>
      <c r="H3734" s="65" t="s">
        <v>148</v>
      </c>
      <c r="I3734" s="15" t="str">
        <f>IFERROR(__xludf.DUMMYFUNCTION("GOOGLETRANSLATE(H3734,""EN"",""ES"")"),"Gastronomía")</f>
        <v>Gastronomía</v>
      </c>
      <c r="J3734" s="16" t="s">
        <v>27</v>
      </c>
      <c r="K3734" s="17">
        <v>0.0</v>
      </c>
      <c r="L3734" s="45"/>
      <c r="M3734" s="18"/>
      <c r="N3734" s="91"/>
      <c r="O3734" s="91"/>
      <c r="P3734" s="20">
        <v>0.0</v>
      </c>
      <c r="Q3734" s="18"/>
      <c r="R3734" s="18"/>
      <c r="S3734" s="52"/>
      <c r="T3734" s="22"/>
    </row>
    <row r="3735">
      <c r="A3735" s="23" t="s">
        <v>26228</v>
      </c>
      <c r="B3735" s="77" t="s">
        <v>26229</v>
      </c>
      <c r="C3735" s="41">
        <v>45581.0</v>
      </c>
      <c r="D3735" s="40" t="s">
        <v>26230</v>
      </c>
      <c r="E3735" s="41" t="s">
        <v>26231</v>
      </c>
      <c r="F3735" s="43" t="s">
        <v>26232</v>
      </c>
      <c r="G3735" s="43" t="s">
        <v>26233</v>
      </c>
      <c r="H3735" s="66" t="s">
        <v>25201</v>
      </c>
      <c r="I3735" s="25" t="str">
        <f>IFERROR(__xludf.DUMMYFUNCTION("GOOGLETRANSLATE(H3735,""EN"",""ES"")"),"Asuntos Laborales")</f>
        <v>Asuntos Laborales</v>
      </c>
      <c r="J3735" s="26" t="s">
        <v>35</v>
      </c>
      <c r="K3735" s="48">
        <v>-0.7</v>
      </c>
      <c r="L3735" s="54" t="s">
        <v>25556</v>
      </c>
      <c r="M3735" s="31" t="s">
        <v>25557</v>
      </c>
      <c r="N3735" s="90" t="s">
        <v>26234</v>
      </c>
      <c r="O3735" s="90" t="str">
        <f>IFERROR(__xludf.DUMMYFUNCTION("GOOGLETRANSLATE(N3735,""EN"",""ES"")"),"Noticias laborales negativas para Repsol.")</f>
        <v>Noticias laborales negativas para Repsol.</v>
      </c>
      <c r="P3735" s="30">
        <v>-0.9</v>
      </c>
      <c r="Q3735" s="31" t="str">
        <f>IFERROR(__xludf.DUMMYFUNCTION("GOOGLETRANSLATE(R3735,""ES"",""EN"")"),"indefinite strike")</f>
        <v>indefinite strike</v>
      </c>
      <c r="R3735" s="28" t="s">
        <v>25205</v>
      </c>
      <c r="S3735" s="53" t="s">
        <v>25206</v>
      </c>
      <c r="T3735" s="32" t="s">
        <v>25206</v>
      </c>
    </row>
    <row r="3736">
      <c r="A3736" s="33" t="s">
        <v>26235</v>
      </c>
      <c r="B3736" s="76" t="s">
        <v>21</v>
      </c>
      <c r="C3736" s="41">
        <v>45581.0</v>
      </c>
      <c r="D3736" s="40" t="s">
        <v>26236</v>
      </c>
      <c r="E3736" s="41" t="s">
        <v>26237</v>
      </c>
      <c r="F3736" s="43" t="s">
        <v>26238</v>
      </c>
      <c r="G3736" s="43" t="s">
        <v>26239</v>
      </c>
      <c r="H3736" s="65" t="s">
        <v>148</v>
      </c>
      <c r="I3736" s="15" t="str">
        <f>IFERROR(__xludf.DUMMYFUNCTION("GOOGLETRANSLATE(H3736,""EN"",""ES"")"),"Gastronomía")</f>
        <v>Gastronomía</v>
      </c>
      <c r="J3736" s="16" t="s">
        <v>27</v>
      </c>
      <c r="K3736" s="17">
        <v>0.0</v>
      </c>
      <c r="L3736" s="45"/>
      <c r="M3736" s="18"/>
      <c r="N3736" s="91"/>
      <c r="O3736" s="91"/>
      <c r="P3736" s="20">
        <v>0.0</v>
      </c>
      <c r="Q3736" s="18"/>
      <c r="R3736" s="18"/>
      <c r="S3736" s="52"/>
      <c r="T3736" s="22"/>
    </row>
    <row r="3737">
      <c r="A3737" s="23" t="s">
        <v>26240</v>
      </c>
      <c r="B3737" s="77" t="s">
        <v>7311</v>
      </c>
      <c r="C3737" s="41">
        <v>45581.0</v>
      </c>
      <c r="D3737" s="40" t="s">
        <v>26241</v>
      </c>
      <c r="E3737" s="41" t="s">
        <v>26242</v>
      </c>
      <c r="F3737" s="43" t="s">
        <v>26243</v>
      </c>
      <c r="G3737" s="43" t="s">
        <v>26244</v>
      </c>
      <c r="H3737" s="66" t="s">
        <v>148</v>
      </c>
      <c r="I3737" s="25" t="str">
        <f>IFERROR(__xludf.DUMMYFUNCTION("GOOGLETRANSLATE(H3737,""EN"",""ES"")"),"Gastronomía")</f>
        <v>Gastronomía</v>
      </c>
      <c r="J3737" s="26" t="s">
        <v>27</v>
      </c>
      <c r="K3737" s="17">
        <v>0.0</v>
      </c>
      <c r="L3737" s="54"/>
      <c r="M3737" s="31"/>
      <c r="N3737" s="90"/>
      <c r="O3737" s="90"/>
      <c r="P3737" s="20">
        <v>0.0</v>
      </c>
      <c r="Q3737" s="31"/>
      <c r="R3737" s="31"/>
      <c r="S3737" s="53"/>
      <c r="T3737" s="32"/>
    </row>
    <row r="3738">
      <c r="A3738" s="33" t="s">
        <v>26245</v>
      </c>
      <c r="B3738" s="76" t="s">
        <v>7766</v>
      </c>
      <c r="C3738" s="41">
        <v>45581.0</v>
      </c>
      <c r="D3738" s="40" t="s">
        <v>26246</v>
      </c>
      <c r="E3738" s="41" t="s">
        <v>26247</v>
      </c>
      <c r="F3738" s="43" t="s">
        <v>26248</v>
      </c>
      <c r="G3738" s="43" t="s">
        <v>26249</v>
      </c>
      <c r="H3738" s="65" t="s">
        <v>148</v>
      </c>
      <c r="I3738" s="15" t="str">
        <f>IFERROR(__xludf.DUMMYFUNCTION("GOOGLETRANSLATE(H3738,""EN"",""ES"")"),"Gastronomía")</f>
        <v>Gastronomía</v>
      </c>
      <c r="J3738" s="16" t="s">
        <v>27</v>
      </c>
      <c r="K3738" s="17">
        <v>0.0</v>
      </c>
      <c r="L3738" s="45"/>
      <c r="M3738" s="18"/>
      <c r="N3738" s="91"/>
      <c r="O3738" s="91"/>
      <c r="P3738" s="20">
        <v>0.0</v>
      </c>
      <c r="Q3738" s="18"/>
      <c r="R3738" s="18"/>
      <c r="S3738" s="52"/>
      <c r="T3738" s="22"/>
    </row>
    <row r="3739">
      <c r="A3739" s="23" t="s">
        <v>26250</v>
      </c>
      <c r="B3739" s="77" t="s">
        <v>6381</v>
      </c>
      <c r="C3739" s="41">
        <v>45581.0</v>
      </c>
      <c r="D3739" s="40" t="s">
        <v>26251</v>
      </c>
      <c r="E3739" s="41" t="s">
        <v>26252</v>
      </c>
      <c r="F3739" s="43" t="s">
        <v>26253</v>
      </c>
      <c r="G3739" s="43" t="s">
        <v>26254</v>
      </c>
      <c r="H3739" s="66" t="s">
        <v>148</v>
      </c>
      <c r="I3739" s="25" t="str">
        <f>IFERROR(__xludf.DUMMYFUNCTION("GOOGLETRANSLATE(H3739,""EN"",""ES"")"),"Gastronomía")</f>
        <v>Gastronomía</v>
      </c>
      <c r="J3739" s="26" t="s">
        <v>27</v>
      </c>
      <c r="K3739" s="17">
        <v>0.0</v>
      </c>
      <c r="L3739" s="54"/>
      <c r="M3739" s="31"/>
      <c r="N3739" s="90"/>
      <c r="O3739" s="90"/>
      <c r="P3739" s="20">
        <v>0.0</v>
      </c>
      <c r="Q3739" s="31"/>
      <c r="R3739" s="31"/>
      <c r="S3739" s="53"/>
      <c r="T3739" s="32"/>
    </row>
    <row r="3740">
      <c r="A3740" s="33" t="s">
        <v>26255</v>
      </c>
      <c r="B3740" s="76" t="s">
        <v>4559</v>
      </c>
      <c r="C3740" s="41">
        <v>45581.0</v>
      </c>
      <c r="D3740" s="40" t="s">
        <v>26256</v>
      </c>
      <c r="E3740" s="41" t="s">
        <v>26257</v>
      </c>
      <c r="F3740" s="43" t="s">
        <v>26258</v>
      </c>
      <c r="G3740" s="43" t="s">
        <v>26259</v>
      </c>
      <c r="H3740" s="65" t="s">
        <v>25201</v>
      </c>
      <c r="I3740" s="15" t="str">
        <f>IFERROR(__xludf.DUMMYFUNCTION("GOOGLETRANSLATE(H3740,""EN"",""ES"")"),"Asuntos Laborales")</f>
        <v>Asuntos Laborales</v>
      </c>
      <c r="J3740" s="16" t="s">
        <v>35</v>
      </c>
      <c r="K3740" s="48">
        <v>-0.7</v>
      </c>
      <c r="L3740" s="45" t="s">
        <v>25556</v>
      </c>
      <c r="M3740" s="18" t="s">
        <v>25557</v>
      </c>
      <c r="N3740" s="91" t="s">
        <v>26234</v>
      </c>
      <c r="O3740" s="91" t="str">
        <f>IFERROR(__xludf.DUMMYFUNCTION("GOOGLETRANSLATE(N3740,""EN"",""ES"")"),"Noticias laborales negativas para Repsol.")</f>
        <v>Noticias laborales negativas para Repsol.</v>
      </c>
      <c r="P3740" s="30">
        <v>-0.8</v>
      </c>
      <c r="Q3740" s="18" t="str">
        <f>IFERROR(__xludf.DUMMYFUNCTION("GOOGLETRANSLATE(R3740,""ES"",""EN"")"),"indefinite strike")</f>
        <v>indefinite strike</v>
      </c>
      <c r="R3740" s="34" t="s">
        <v>25205</v>
      </c>
      <c r="S3740" s="52" t="s">
        <v>24632</v>
      </c>
      <c r="T3740" s="22" t="s">
        <v>24632</v>
      </c>
    </row>
    <row r="3741">
      <c r="A3741" s="23" t="s">
        <v>26260</v>
      </c>
      <c r="B3741" s="77" t="s">
        <v>22651</v>
      </c>
      <c r="C3741" s="41">
        <v>45581.0</v>
      </c>
      <c r="D3741" s="40" t="s">
        <v>26261</v>
      </c>
      <c r="E3741" s="41" t="s">
        <v>26262</v>
      </c>
      <c r="F3741" s="43" t="s">
        <v>26263</v>
      </c>
      <c r="G3741" s="43" t="s">
        <v>26264</v>
      </c>
      <c r="H3741" s="66" t="s">
        <v>148</v>
      </c>
      <c r="I3741" s="25" t="str">
        <f>IFERROR(__xludf.DUMMYFUNCTION("GOOGLETRANSLATE(H3741,""EN"",""ES"")"),"Gastronomía")</f>
        <v>Gastronomía</v>
      </c>
      <c r="J3741" s="26" t="s">
        <v>27</v>
      </c>
      <c r="K3741" s="17">
        <v>0.0</v>
      </c>
      <c r="L3741" s="54"/>
      <c r="M3741" s="31"/>
      <c r="N3741" s="90"/>
      <c r="O3741" s="90"/>
      <c r="P3741" s="20">
        <v>0.0</v>
      </c>
      <c r="Q3741" s="31"/>
      <c r="R3741" s="31"/>
      <c r="S3741" s="53"/>
      <c r="T3741" s="32"/>
    </row>
    <row r="3742">
      <c r="A3742" s="33" t="s">
        <v>26265</v>
      </c>
      <c r="B3742" s="76" t="s">
        <v>85</v>
      </c>
      <c r="C3742" s="41">
        <v>45581.0</v>
      </c>
      <c r="D3742" s="40" t="s">
        <v>26266</v>
      </c>
      <c r="E3742" s="41" t="s">
        <v>26267</v>
      </c>
      <c r="F3742" s="43" t="s">
        <v>26268</v>
      </c>
      <c r="G3742" s="43" t="s">
        <v>26269</v>
      </c>
      <c r="H3742" s="65" t="s">
        <v>148</v>
      </c>
      <c r="I3742" s="15" t="str">
        <f>IFERROR(__xludf.DUMMYFUNCTION("GOOGLETRANSLATE(H3742,""EN"",""ES"")"),"Gastronomía")</f>
        <v>Gastronomía</v>
      </c>
      <c r="J3742" s="16" t="s">
        <v>27</v>
      </c>
      <c r="K3742" s="17">
        <v>0.0</v>
      </c>
      <c r="L3742" s="45"/>
      <c r="M3742" s="18"/>
      <c r="N3742" s="91"/>
      <c r="O3742" s="91"/>
      <c r="P3742" s="20">
        <v>0.0</v>
      </c>
      <c r="Q3742" s="18"/>
      <c r="R3742" s="18"/>
      <c r="S3742" s="52"/>
      <c r="T3742" s="22"/>
    </row>
    <row r="3743">
      <c r="A3743" s="23" t="s">
        <v>26270</v>
      </c>
      <c r="B3743" s="77" t="s">
        <v>3511</v>
      </c>
      <c r="C3743" s="41">
        <v>45581.0</v>
      </c>
      <c r="D3743" s="40" t="s">
        <v>26271</v>
      </c>
      <c r="E3743" s="41" t="s">
        <v>26272</v>
      </c>
      <c r="F3743" s="43" t="s">
        <v>26273</v>
      </c>
      <c r="G3743" s="43" t="s">
        <v>26274</v>
      </c>
      <c r="H3743" s="66" t="s">
        <v>148</v>
      </c>
      <c r="I3743" s="25" t="str">
        <f>IFERROR(__xludf.DUMMYFUNCTION("GOOGLETRANSLATE(H3743,""EN"",""ES"")"),"Gastronomía")</f>
        <v>Gastronomía</v>
      </c>
      <c r="J3743" s="26" t="s">
        <v>27</v>
      </c>
      <c r="K3743" s="17">
        <v>0.0</v>
      </c>
      <c r="L3743" s="54"/>
      <c r="M3743" s="31"/>
      <c r="N3743" s="90"/>
      <c r="O3743" s="90"/>
      <c r="P3743" s="20">
        <v>0.0</v>
      </c>
      <c r="Q3743" s="31"/>
      <c r="R3743" s="31"/>
      <c r="S3743" s="53"/>
      <c r="T3743" s="32"/>
    </row>
    <row r="3744">
      <c r="A3744" s="33" t="s">
        <v>26275</v>
      </c>
      <c r="B3744" s="76" t="s">
        <v>12124</v>
      </c>
      <c r="C3744" s="41">
        <v>45581.0</v>
      </c>
      <c r="D3744" s="40" t="s">
        <v>26276</v>
      </c>
      <c r="E3744" s="41" t="s">
        <v>26277</v>
      </c>
      <c r="F3744" s="43" t="s">
        <v>26278</v>
      </c>
      <c r="G3744" s="43" t="s">
        <v>26279</v>
      </c>
      <c r="H3744" s="65" t="s">
        <v>26280</v>
      </c>
      <c r="I3744" s="15" t="str">
        <f>IFERROR(__xludf.DUMMYFUNCTION("GOOGLETRANSLATE(H3744,""EN"",""ES"")"),"Industria energética")</f>
        <v>Industria energética</v>
      </c>
      <c r="J3744" s="16" t="s">
        <v>35</v>
      </c>
      <c r="K3744" s="48">
        <v>0.4</v>
      </c>
      <c r="L3744" s="45" t="s">
        <v>26281</v>
      </c>
      <c r="M3744" s="18" t="s">
        <v>26282</v>
      </c>
      <c r="N3744" s="91" t="s">
        <v>26283</v>
      </c>
      <c r="O3744" s="91" t="str">
        <f>IFERROR(__xludf.DUMMYFUNCTION("GOOGLETRANSLATE(N3744,""EN"",""ES"")"),"Positiva evolución del negocio para Repsol.")</f>
        <v>Positiva evolución del negocio para Repsol.</v>
      </c>
      <c r="P3744" s="30">
        <v>0.7</v>
      </c>
      <c r="Q3744" s="18" t="str">
        <f>IFERROR(__xludf.DUMMYFUNCTION("GOOGLETRANSLATE(R3744,""ES"",""EN"")"),"inaugurates, ""expansion""")</f>
        <v>inaugurates, "expansion"</v>
      </c>
      <c r="R3744" s="34" t="s">
        <v>26284</v>
      </c>
      <c r="S3744" s="52" t="s">
        <v>26285</v>
      </c>
      <c r="T3744" s="22" t="s">
        <v>26285</v>
      </c>
    </row>
    <row r="3745">
      <c r="A3745" s="23" t="s">
        <v>26286</v>
      </c>
      <c r="B3745" s="77" t="s">
        <v>254</v>
      </c>
      <c r="C3745" s="41">
        <v>45581.0</v>
      </c>
      <c r="D3745" s="40" t="s">
        <v>26287</v>
      </c>
      <c r="E3745" s="41" t="s">
        <v>26288</v>
      </c>
      <c r="F3745" s="43" t="s">
        <v>26289</v>
      </c>
      <c r="G3745" s="43" t="s">
        <v>26290</v>
      </c>
      <c r="H3745" s="66" t="s">
        <v>26280</v>
      </c>
      <c r="I3745" s="25" t="str">
        <f>IFERROR(__xludf.DUMMYFUNCTION("GOOGLETRANSLATE(H3745,""EN"",""ES"")"),"Industria energética")</f>
        <v>Industria energética</v>
      </c>
      <c r="J3745" s="26" t="s">
        <v>35</v>
      </c>
      <c r="K3745" s="48">
        <v>0.4</v>
      </c>
      <c r="L3745" s="54" t="s">
        <v>26291</v>
      </c>
      <c r="M3745" s="31" t="s">
        <v>26292</v>
      </c>
      <c r="N3745" s="90" t="s">
        <v>26293</v>
      </c>
      <c r="O3745" s="90" t="str">
        <f>IFERROR(__xludf.DUMMYFUNCTION("GOOGLETRANSLATE(N3745,""EN"",""ES"")"),"Inversión positiva en capacidad de producción.")</f>
        <v>Inversión positiva en capacidad de producción.</v>
      </c>
      <c r="P3745" s="30">
        <v>0.6</v>
      </c>
      <c r="Q3745" s="31" t="str">
        <f>IFERROR(__xludf.DUMMYFUNCTION("GOOGLETRANSLATE(R3745,""ES"",""EN"")"),"increases production")</f>
        <v>increases production</v>
      </c>
      <c r="R3745" s="28" t="s">
        <v>26294</v>
      </c>
      <c r="S3745" s="53" t="s">
        <v>26295</v>
      </c>
      <c r="T3745" s="32" t="s">
        <v>26295</v>
      </c>
    </row>
    <row r="3746">
      <c r="A3746" s="33" t="s">
        <v>26296</v>
      </c>
      <c r="B3746" s="76" t="s">
        <v>1916</v>
      </c>
      <c r="C3746" s="41">
        <v>45581.0</v>
      </c>
      <c r="D3746" s="40" t="s">
        <v>26297</v>
      </c>
      <c r="E3746" s="41" t="s">
        <v>26298</v>
      </c>
      <c r="F3746" s="43" t="s">
        <v>26299</v>
      </c>
      <c r="G3746" s="43" t="s">
        <v>26300</v>
      </c>
      <c r="H3746" s="65" t="s">
        <v>26280</v>
      </c>
      <c r="I3746" s="15" t="str">
        <f>IFERROR(__xludf.DUMMYFUNCTION("GOOGLETRANSLATE(H3746,""EN"",""ES"")"),"Industria energética")</f>
        <v>Industria energética</v>
      </c>
      <c r="J3746" s="16" t="s">
        <v>35</v>
      </c>
      <c r="K3746" s="48">
        <v>0.4</v>
      </c>
      <c r="L3746" s="45" t="s">
        <v>26301</v>
      </c>
      <c r="M3746" s="18" t="s">
        <v>26302</v>
      </c>
      <c r="N3746" s="91" t="s">
        <v>10411</v>
      </c>
      <c r="O3746" s="91" t="str">
        <f>IFERROR(__xludf.DUMMYFUNCTION("GOOGLETRANSLATE(N3746,""EN"",""ES"")"),"Expansión empresarial positiva.")</f>
        <v>Expansión empresarial positiva.</v>
      </c>
      <c r="P3746" s="30">
        <v>0.6</v>
      </c>
      <c r="Q3746" s="18" t="str">
        <f>IFERROR(__xludf.DUMMYFUNCTION("GOOGLETRANSLATE(R3746,""ES"",""EN"")"),"increases production")</f>
        <v>increases production</v>
      </c>
      <c r="R3746" s="34" t="s">
        <v>26294</v>
      </c>
      <c r="S3746" s="52" t="s">
        <v>26303</v>
      </c>
      <c r="T3746" s="22" t="s">
        <v>26303</v>
      </c>
    </row>
    <row r="3747">
      <c r="A3747" s="23" t="s">
        <v>26304</v>
      </c>
      <c r="B3747" s="77" t="s">
        <v>14279</v>
      </c>
      <c r="C3747" s="41">
        <v>45581.0</v>
      </c>
      <c r="D3747" s="40" t="s">
        <v>26305</v>
      </c>
      <c r="E3747" s="41" t="s">
        <v>26306</v>
      </c>
      <c r="F3747" s="43" t="s">
        <v>26307</v>
      </c>
      <c r="G3747" s="43" t="s">
        <v>26308</v>
      </c>
      <c r="H3747" s="66" t="s">
        <v>148</v>
      </c>
      <c r="I3747" s="25" t="str">
        <f>IFERROR(__xludf.DUMMYFUNCTION("GOOGLETRANSLATE(H3747,""EN"",""ES"")"),"Gastronomía")</f>
        <v>Gastronomía</v>
      </c>
      <c r="J3747" s="26" t="s">
        <v>27</v>
      </c>
      <c r="K3747" s="17">
        <v>0.0</v>
      </c>
      <c r="L3747" s="54"/>
      <c r="M3747" s="31"/>
      <c r="N3747" s="90"/>
      <c r="O3747" s="90"/>
      <c r="P3747" s="20">
        <v>0.0</v>
      </c>
      <c r="Q3747" s="31"/>
      <c r="R3747" s="31"/>
      <c r="S3747" s="53"/>
      <c r="T3747" s="32"/>
    </row>
    <row r="3748">
      <c r="A3748" s="33" t="s">
        <v>26309</v>
      </c>
      <c r="B3748" s="76" t="s">
        <v>26310</v>
      </c>
      <c r="C3748" s="41">
        <v>45582.0</v>
      </c>
      <c r="D3748" s="40" t="s">
        <v>26311</v>
      </c>
      <c r="E3748" s="41" t="s">
        <v>26312</v>
      </c>
      <c r="F3748" s="43" t="s">
        <v>26313</v>
      </c>
      <c r="G3748" s="43" t="s">
        <v>26314</v>
      </c>
      <c r="H3748" s="65" t="s">
        <v>130</v>
      </c>
      <c r="I3748" s="15" t="str">
        <f>IFERROR(__xludf.DUMMYFUNCTION("GOOGLETRANSLATE(H3748,""EN"",""ES"")"),"Sostenibilidad")</f>
        <v>Sostenibilidad</v>
      </c>
      <c r="J3748" s="16" t="s">
        <v>27</v>
      </c>
      <c r="K3748" s="17">
        <v>0.0</v>
      </c>
      <c r="L3748" s="45"/>
      <c r="M3748" s="18"/>
      <c r="N3748" s="91"/>
      <c r="O3748" s="91"/>
      <c r="P3748" s="20">
        <v>0.0</v>
      </c>
      <c r="Q3748" s="18"/>
      <c r="R3748" s="18"/>
      <c r="S3748" s="52"/>
      <c r="T3748" s="22"/>
    </row>
    <row r="3749">
      <c r="A3749" s="23" t="s">
        <v>26315</v>
      </c>
      <c r="B3749" s="77" t="s">
        <v>1983</v>
      </c>
      <c r="C3749" s="41">
        <v>45582.0</v>
      </c>
      <c r="D3749" s="40" t="s">
        <v>26316</v>
      </c>
      <c r="E3749" s="41" t="s">
        <v>26317</v>
      </c>
      <c r="F3749" s="43" t="s">
        <v>26318</v>
      </c>
      <c r="G3749" s="43" t="s">
        <v>26319</v>
      </c>
      <c r="H3749" s="66" t="s">
        <v>24743</v>
      </c>
      <c r="I3749" s="25" t="str">
        <f>IFERROR(__xludf.DUMMYFUNCTION("GOOGLETRANSLATE(H3749,""EN"",""ES"")"),"Mercado de Valores")</f>
        <v>Mercado de Valores</v>
      </c>
      <c r="J3749" s="26" t="s">
        <v>35</v>
      </c>
      <c r="K3749" s="48">
        <v>-0.4</v>
      </c>
      <c r="L3749" s="54" t="s">
        <v>26320</v>
      </c>
      <c r="M3749" s="31" t="s">
        <v>26321</v>
      </c>
      <c r="N3749" s="90" t="s">
        <v>26322</v>
      </c>
      <c r="O3749" s="90" t="str">
        <f>IFERROR(__xludf.DUMMYFUNCTION("GOOGLETRANSLATE(N3749,""EN"",""ES"")"),"Análisis de mercado negativo sobre la evolución bursátil de Repsol.")</f>
        <v>Análisis de mercado negativo sobre la evolución bursátil de Repsol.</v>
      </c>
      <c r="P3749" s="30">
        <v>0.0</v>
      </c>
      <c r="Q3749" s="31"/>
      <c r="R3749" s="31"/>
      <c r="S3749" s="53" t="s">
        <v>24577</v>
      </c>
      <c r="T3749" s="32" t="s">
        <v>24577</v>
      </c>
    </row>
    <row r="3750">
      <c r="A3750" s="33" t="s">
        <v>26323</v>
      </c>
      <c r="B3750" s="76" t="s">
        <v>2719</v>
      </c>
      <c r="C3750" s="41">
        <v>45582.0</v>
      </c>
      <c r="D3750" s="40" t="s">
        <v>26324</v>
      </c>
      <c r="E3750" s="41" t="s">
        <v>26325</v>
      </c>
      <c r="F3750" s="43" t="s">
        <v>26326</v>
      </c>
      <c r="G3750" s="43" t="s">
        <v>26327</v>
      </c>
      <c r="H3750" s="65" t="s">
        <v>26328</v>
      </c>
      <c r="I3750" s="15" t="str">
        <f>IFERROR(__xludf.DUMMYFUNCTION("GOOGLETRANSLATE(H3750,""EN"",""ES"")"),"IA y ética")</f>
        <v>IA y ética</v>
      </c>
      <c r="J3750" s="16" t="s">
        <v>27</v>
      </c>
      <c r="K3750" s="17">
        <v>0.0</v>
      </c>
      <c r="L3750" s="45"/>
      <c r="M3750" s="18"/>
      <c r="N3750" s="91"/>
      <c r="O3750" s="91"/>
      <c r="P3750" s="20">
        <v>0.0</v>
      </c>
      <c r="Q3750" s="18"/>
      <c r="R3750" s="18"/>
      <c r="S3750" s="52"/>
      <c r="T3750" s="22"/>
    </row>
    <row r="3751">
      <c r="A3751" s="23" t="s">
        <v>26329</v>
      </c>
      <c r="B3751" s="77" t="s">
        <v>26330</v>
      </c>
      <c r="C3751" s="41">
        <v>45582.0</v>
      </c>
      <c r="D3751" s="40" t="s">
        <v>26331</v>
      </c>
      <c r="E3751" s="41" t="s">
        <v>26332</v>
      </c>
      <c r="F3751" s="43" t="s">
        <v>26333</v>
      </c>
      <c r="G3751" s="43" t="s">
        <v>26334</v>
      </c>
      <c r="H3751" s="66" t="s">
        <v>130</v>
      </c>
      <c r="I3751" s="25" t="str">
        <f>IFERROR(__xludf.DUMMYFUNCTION("GOOGLETRANSLATE(H3751,""EN"",""ES"")"),"Sostenibilidad")</f>
        <v>Sostenibilidad</v>
      </c>
      <c r="J3751" s="26" t="s">
        <v>27</v>
      </c>
      <c r="K3751" s="17">
        <v>0.0</v>
      </c>
      <c r="L3751" s="54"/>
      <c r="M3751" s="31"/>
      <c r="N3751" s="90"/>
      <c r="O3751" s="90"/>
      <c r="P3751" s="20">
        <v>0.0</v>
      </c>
      <c r="Q3751" s="31"/>
      <c r="R3751" s="31"/>
      <c r="S3751" s="53"/>
      <c r="T3751" s="32"/>
    </row>
    <row r="3752">
      <c r="A3752" s="33" t="s">
        <v>26335</v>
      </c>
      <c r="B3752" s="76" t="s">
        <v>23334</v>
      </c>
      <c r="C3752" s="41">
        <v>45582.0</v>
      </c>
      <c r="D3752" s="40" t="s">
        <v>26336</v>
      </c>
      <c r="E3752" s="41" t="s">
        <v>26337</v>
      </c>
      <c r="F3752" s="43" t="s">
        <v>26338</v>
      </c>
      <c r="G3752" s="43" t="s">
        <v>26339</v>
      </c>
      <c r="H3752" s="65" t="s">
        <v>24743</v>
      </c>
      <c r="I3752" s="15" t="str">
        <f>IFERROR(__xludf.DUMMYFUNCTION("GOOGLETRANSLATE(H3752,""EN"",""ES"")"),"Mercado de Valores")</f>
        <v>Mercado de Valores</v>
      </c>
      <c r="J3752" s="16" t="s">
        <v>35</v>
      </c>
      <c r="K3752" s="48">
        <v>-0.5</v>
      </c>
      <c r="L3752" s="45" t="s">
        <v>26340</v>
      </c>
      <c r="M3752" s="18" t="s">
        <v>26341</v>
      </c>
      <c r="N3752" s="91" t="s">
        <v>26342</v>
      </c>
      <c r="O3752" s="91" t="str">
        <f>IFERROR(__xludf.DUMMYFUNCTION("GOOGLETRANSLATE(N3752,""EN"",""ES"")"),"Desempeño financiero negativo debido a la caída de los precios del petróleo.")</f>
        <v>Desempeño financiero negativo debido a la caída de los precios del petróleo.</v>
      </c>
      <c r="P3752" s="30">
        <v>-0.5</v>
      </c>
      <c r="Q3752" s="18" t="str">
        <f>IFERROR(__xludf.DUMMYFUNCTION("GOOGLETRANSLATE(R3752,""ES"",""EN"")"),"minima")</f>
        <v>minima</v>
      </c>
      <c r="R3752" s="34" t="s">
        <v>26343</v>
      </c>
      <c r="S3752" s="52" t="s">
        <v>26344</v>
      </c>
      <c r="T3752" s="22" t="s">
        <v>26344</v>
      </c>
    </row>
    <row r="3753">
      <c r="A3753" s="23" t="s">
        <v>26345</v>
      </c>
      <c r="B3753" s="77" t="s">
        <v>21</v>
      </c>
      <c r="C3753" s="41">
        <v>45582.0</v>
      </c>
      <c r="D3753" s="40" t="s">
        <v>26346</v>
      </c>
      <c r="E3753" s="41" t="s">
        <v>26347</v>
      </c>
      <c r="F3753" s="43" t="s">
        <v>26348</v>
      </c>
      <c r="G3753" s="43" t="s">
        <v>26349</v>
      </c>
      <c r="H3753" s="66" t="s">
        <v>148</v>
      </c>
      <c r="I3753" s="25" t="str">
        <f>IFERROR(__xludf.DUMMYFUNCTION("GOOGLETRANSLATE(H3753,""EN"",""ES"")"),"Gastronomía")</f>
        <v>Gastronomía</v>
      </c>
      <c r="J3753" s="26" t="s">
        <v>27</v>
      </c>
      <c r="K3753" s="17">
        <v>0.0</v>
      </c>
      <c r="L3753" s="54"/>
      <c r="M3753" s="31"/>
      <c r="N3753" s="90"/>
      <c r="O3753" s="90"/>
      <c r="P3753" s="20">
        <v>0.0</v>
      </c>
      <c r="Q3753" s="31"/>
      <c r="R3753" s="31"/>
      <c r="S3753" s="53"/>
      <c r="T3753" s="32"/>
    </row>
    <row r="3754">
      <c r="A3754" s="33" t="s">
        <v>26350</v>
      </c>
      <c r="B3754" s="76" t="s">
        <v>1602</v>
      </c>
      <c r="C3754" s="41">
        <v>45582.0</v>
      </c>
      <c r="D3754" s="40" t="s">
        <v>26351</v>
      </c>
      <c r="E3754" s="41" t="s">
        <v>26352</v>
      </c>
      <c r="F3754" s="43" t="s">
        <v>26353</v>
      </c>
      <c r="G3754" s="43" t="s">
        <v>26354</v>
      </c>
      <c r="H3754" s="65" t="s">
        <v>24743</v>
      </c>
      <c r="I3754" s="15" t="str">
        <f>IFERROR(__xludf.DUMMYFUNCTION("GOOGLETRANSLATE(H3754,""EN"",""ES"")"),"Mercado de Valores")</f>
        <v>Mercado de Valores</v>
      </c>
      <c r="J3754" s="16" t="s">
        <v>35</v>
      </c>
      <c r="K3754" s="48">
        <v>-0.2</v>
      </c>
      <c r="L3754" s="45" t="s">
        <v>26355</v>
      </c>
      <c r="M3754" s="18" t="s">
        <v>26356</v>
      </c>
      <c r="N3754" s="91" t="s">
        <v>26357</v>
      </c>
      <c r="O3754" s="91" t="str">
        <f>IFERROR(__xludf.DUMMYFUNCTION("GOOGLETRANSLATE(N3754,""EN"",""ES"")"),"Sugiere inestabilidad en el desempeño de las acciones.")</f>
        <v>Sugiere inestabilidad en el desempeño de las acciones.</v>
      </c>
      <c r="P3754" s="30">
        <v>0.0</v>
      </c>
      <c r="Q3754" s="18"/>
      <c r="R3754" s="18"/>
      <c r="S3754" s="52" t="s">
        <v>26358</v>
      </c>
      <c r="T3754" s="22" t="s">
        <v>26358</v>
      </c>
    </row>
    <row r="3755">
      <c r="A3755" s="23" t="s">
        <v>26359</v>
      </c>
      <c r="B3755" s="77" t="s">
        <v>26360</v>
      </c>
      <c r="C3755" s="41">
        <v>45582.0</v>
      </c>
      <c r="D3755" s="40" t="s">
        <v>26361</v>
      </c>
      <c r="E3755" s="41" t="s">
        <v>26362</v>
      </c>
      <c r="F3755" s="43" t="s">
        <v>26363</v>
      </c>
      <c r="G3755" s="43" t="s">
        <v>26364</v>
      </c>
      <c r="H3755" s="66" t="s">
        <v>1914</v>
      </c>
      <c r="I3755" s="25" t="str">
        <f>IFERROR(__xludf.DUMMYFUNCTION("GOOGLETRANSLATE(H3755,""EN"",""ES"")"),"Política energética")</f>
        <v>Política energética</v>
      </c>
      <c r="J3755" s="26" t="s">
        <v>35</v>
      </c>
      <c r="K3755" s="48">
        <v>-0.3</v>
      </c>
      <c r="L3755" s="54" t="s">
        <v>26365</v>
      </c>
      <c r="M3755" s="31" t="s">
        <v>26366</v>
      </c>
      <c r="N3755" s="90" t="s">
        <v>26367</v>
      </c>
      <c r="O3755" s="90" t="str">
        <f>IFERROR(__xludf.DUMMYFUNCTION("GOOGLETRANSLATE(N3755,""EN"",""ES"")"),"Percepción negativa sobre el aumento de los costes energéticos.")</f>
        <v>Percepción negativa sobre el aumento de los costes energéticos.</v>
      </c>
      <c r="P3755" s="30">
        <v>-0.4</v>
      </c>
      <c r="Q3755" s="31" t="str">
        <f>IFERROR(__xludf.DUMMYFUNCTION("GOOGLETRANSLATE(R3755,""ES"",""EN"")"),"higher cost")</f>
        <v>higher cost</v>
      </c>
      <c r="R3755" s="28" t="s">
        <v>26368</v>
      </c>
      <c r="S3755" s="53" t="s">
        <v>26369</v>
      </c>
      <c r="T3755" s="32" t="s">
        <v>26370</v>
      </c>
    </row>
    <row r="3756">
      <c r="A3756" s="33" t="s">
        <v>26371</v>
      </c>
      <c r="B3756" s="76" t="s">
        <v>666</v>
      </c>
      <c r="C3756" s="41">
        <v>45582.0</v>
      </c>
      <c r="D3756" s="40" t="s">
        <v>26372</v>
      </c>
      <c r="E3756" s="41" t="s">
        <v>26373</v>
      </c>
      <c r="F3756" s="43" t="s">
        <v>26374</v>
      </c>
      <c r="G3756" s="43" t="s">
        <v>26375</v>
      </c>
      <c r="H3756" s="65" t="s">
        <v>25201</v>
      </c>
      <c r="I3756" s="15" t="str">
        <f>IFERROR(__xludf.DUMMYFUNCTION("GOOGLETRANSLATE(H3756,""EN"",""ES"")"),"Asuntos Laborales")</f>
        <v>Asuntos Laborales</v>
      </c>
      <c r="J3756" s="16" t="s">
        <v>35</v>
      </c>
      <c r="K3756" s="48">
        <v>-0.7</v>
      </c>
      <c r="L3756" s="45" t="s">
        <v>26376</v>
      </c>
      <c r="M3756" s="18" t="s">
        <v>26377</v>
      </c>
      <c r="N3756" s="91" t="s">
        <v>26378</v>
      </c>
      <c r="O3756" s="91" t="str">
        <f>IFERROR(__xludf.DUMMYFUNCTION("GOOGLETRANSLATE(N3756,""EN"",""ES"")"),"Conflicto laboral que afecta a la cadena de suministro de Repsol.")</f>
        <v>Conflicto laboral que afecta a la cadena de suministro de Repsol.</v>
      </c>
      <c r="P3756" s="30">
        <v>-0.6</v>
      </c>
      <c r="Q3756" s="18" t="str">
        <f>IFERROR(__xludf.DUMMYFUNCTION("GOOGLETRANSLATE(R3756,""ES"",""EN"")"),"strike")</f>
        <v>strike</v>
      </c>
      <c r="R3756" s="34" t="s">
        <v>21133</v>
      </c>
      <c r="S3756" s="52" t="s">
        <v>24632</v>
      </c>
      <c r="T3756" s="22" t="s">
        <v>24632</v>
      </c>
    </row>
    <row r="3757">
      <c r="A3757" s="23" t="s">
        <v>26379</v>
      </c>
      <c r="B3757" s="77" t="s">
        <v>614</v>
      </c>
      <c r="C3757" s="41">
        <v>45582.0</v>
      </c>
      <c r="D3757" s="40" t="s">
        <v>26380</v>
      </c>
      <c r="E3757" s="41" t="s">
        <v>26380</v>
      </c>
      <c r="F3757" s="43" t="s">
        <v>26381</v>
      </c>
      <c r="G3757" s="43" t="s">
        <v>26381</v>
      </c>
      <c r="H3757" s="66" t="s">
        <v>148</v>
      </c>
      <c r="I3757" s="25" t="str">
        <f>IFERROR(__xludf.DUMMYFUNCTION("GOOGLETRANSLATE(H3757,""EN"",""ES"")"),"Gastronomía")</f>
        <v>Gastronomía</v>
      </c>
      <c r="J3757" s="26" t="s">
        <v>27</v>
      </c>
      <c r="K3757" s="17">
        <v>0.0</v>
      </c>
      <c r="L3757" s="54"/>
      <c r="M3757" s="31"/>
      <c r="N3757" s="90"/>
      <c r="O3757" s="90"/>
      <c r="P3757" s="20">
        <v>0.0</v>
      </c>
      <c r="Q3757" s="31"/>
      <c r="R3757" s="31"/>
      <c r="S3757" s="53"/>
      <c r="T3757" s="32"/>
    </row>
    <row r="3758">
      <c r="A3758" s="33" t="s">
        <v>26382</v>
      </c>
      <c r="B3758" s="76" t="s">
        <v>85</v>
      </c>
      <c r="C3758" s="41">
        <v>45582.0</v>
      </c>
      <c r="D3758" s="40" t="s">
        <v>26383</v>
      </c>
      <c r="E3758" s="41" t="s">
        <v>26384</v>
      </c>
      <c r="F3758" s="43" t="s">
        <v>26385</v>
      </c>
      <c r="G3758" s="43" t="s">
        <v>26386</v>
      </c>
      <c r="H3758" s="65" t="s">
        <v>26280</v>
      </c>
      <c r="I3758" s="15" t="str">
        <f>IFERROR(__xludf.DUMMYFUNCTION("GOOGLETRANSLATE(H3758,""EN"",""ES"")"),"Industria energética")</f>
        <v>Industria energética</v>
      </c>
      <c r="J3758" s="16" t="s">
        <v>35</v>
      </c>
      <c r="K3758" s="48">
        <v>-0.6</v>
      </c>
      <c r="L3758" s="45" t="s">
        <v>26387</v>
      </c>
      <c r="M3758" s="18" t="s">
        <v>26388</v>
      </c>
      <c r="N3758" s="91" t="s">
        <v>26389</v>
      </c>
      <c r="O3758" s="91" t="str">
        <f>IFERROR(__xludf.DUMMYFUNCTION("GOOGLETRANSLATE(N3758,""EN"",""ES"")"),"Impacto negativo por acusaciones contra Repsol.")</f>
        <v>Impacto negativo por acusaciones contra Repsol.</v>
      </c>
      <c r="P3758" s="30">
        <v>-0.5</v>
      </c>
      <c r="Q3758" s="18" t="str">
        <f>IFERROR(__xludf.DUMMYFUNCTION("GOOGLETRANSLATE(R3758,""ES"",""EN"")"),"ally against him")</f>
        <v>ally against him</v>
      </c>
      <c r="R3758" s="34" t="s">
        <v>26390</v>
      </c>
      <c r="S3758" s="52" t="s">
        <v>26391</v>
      </c>
      <c r="T3758" s="22" t="s">
        <v>26392</v>
      </c>
    </row>
    <row r="3759">
      <c r="A3759" s="23" t="s">
        <v>26393</v>
      </c>
      <c r="B3759" s="77" t="s">
        <v>25384</v>
      </c>
      <c r="C3759" s="41">
        <v>45582.0</v>
      </c>
      <c r="D3759" s="40" t="s">
        <v>26394</v>
      </c>
      <c r="E3759" s="41" t="s">
        <v>26395</v>
      </c>
      <c r="F3759" s="43" t="s">
        <v>26396</v>
      </c>
      <c r="G3759" s="43" t="s">
        <v>26397</v>
      </c>
      <c r="H3759" s="66" t="s">
        <v>24743</v>
      </c>
      <c r="I3759" s="25" t="str">
        <f>IFERROR(__xludf.DUMMYFUNCTION("GOOGLETRANSLATE(H3759,""EN"",""ES"")"),"Mercado de Valores")</f>
        <v>Mercado de Valores</v>
      </c>
      <c r="J3759" s="26" t="s">
        <v>35</v>
      </c>
      <c r="K3759" s="48">
        <v>-0.1</v>
      </c>
      <c r="L3759" s="54" t="s">
        <v>26355</v>
      </c>
      <c r="M3759" s="31" t="s">
        <v>26356</v>
      </c>
      <c r="N3759" s="90" t="s">
        <v>26398</v>
      </c>
      <c r="O3759" s="90" t="str">
        <f>IFERROR(__xludf.DUMMYFUNCTION("GOOGLETRANSLATE(N3759,""EN"",""ES"")"),"Análisis de acciones neutrales.")</f>
        <v>Análisis de acciones neutrales.</v>
      </c>
      <c r="P3759" s="30">
        <v>0.0</v>
      </c>
      <c r="Q3759" s="31"/>
      <c r="R3759" s="31"/>
      <c r="S3759" s="53" t="s">
        <v>24577</v>
      </c>
      <c r="T3759" s="32" t="s">
        <v>24577</v>
      </c>
    </row>
    <row r="3760">
      <c r="A3760" s="33" t="s">
        <v>26399</v>
      </c>
      <c r="B3760" s="76" t="s">
        <v>4450</v>
      </c>
      <c r="C3760" s="41">
        <v>45582.0</v>
      </c>
      <c r="D3760" s="40" t="s">
        <v>26400</v>
      </c>
      <c r="E3760" s="41" t="s">
        <v>26401</v>
      </c>
      <c r="F3760" s="43" t="s">
        <v>26402</v>
      </c>
      <c r="G3760" s="43" t="s">
        <v>26403</v>
      </c>
      <c r="H3760" s="65" t="s">
        <v>25201</v>
      </c>
      <c r="I3760" s="15" t="str">
        <f>IFERROR(__xludf.DUMMYFUNCTION("GOOGLETRANSLATE(H3760,""EN"",""ES"")"),"Asuntos Laborales")</f>
        <v>Asuntos Laborales</v>
      </c>
      <c r="J3760" s="16" t="s">
        <v>35</v>
      </c>
      <c r="K3760" s="48">
        <v>-0.8</v>
      </c>
      <c r="L3760" s="45" t="s">
        <v>26404</v>
      </c>
      <c r="M3760" s="18" t="s">
        <v>26405</v>
      </c>
      <c r="N3760" s="91" t="s">
        <v>26406</v>
      </c>
      <c r="O3760" s="91" t="str">
        <f>IFERROR(__xludf.DUMMYFUNCTION("GOOGLETRANSLATE(N3760,""EN"",""ES"")"),"Fuerte impacto negativo por reducción de plantilla y huelgas.")</f>
        <v>Fuerte impacto negativo por reducción de plantilla y huelgas.</v>
      </c>
      <c r="P3760" s="30">
        <v>-0.8</v>
      </c>
      <c r="Q3760" s="18" t="str">
        <f>IFERROR(__xludf.DUMMYFUNCTION("GOOGLETRANSLATE(R3760,""ES"",""EN"")"),"Extinctive ERE, ""strike""")</f>
        <v>Extinctive ERE, "strike"</v>
      </c>
      <c r="R3760" s="34" t="s">
        <v>26407</v>
      </c>
      <c r="S3760" s="52" t="s">
        <v>26408</v>
      </c>
      <c r="T3760" s="22" t="s">
        <v>26408</v>
      </c>
    </row>
    <row r="3761">
      <c r="A3761" s="23" t="s">
        <v>26409</v>
      </c>
      <c r="B3761" s="77" t="s">
        <v>21</v>
      </c>
      <c r="C3761" s="41">
        <v>45582.0</v>
      </c>
      <c r="D3761" s="40" t="s">
        <v>26410</v>
      </c>
      <c r="E3761" s="41" t="s">
        <v>26411</v>
      </c>
      <c r="F3761" s="43" t="s">
        <v>26412</v>
      </c>
      <c r="G3761" s="43" t="s">
        <v>26413</v>
      </c>
      <c r="H3761" s="66" t="s">
        <v>148</v>
      </c>
      <c r="I3761" s="25" t="str">
        <f>IFERROR(__xludf.DUMMYFUNCTION("GOOGLETRANSLATE(H3761,""EN"",""ES"")"),"Gastronomía")</f>
        <v>Gastronomía</v>
      </c>
      <c r="J3761" s="26" t="s">
        <v>27</v>
      </c>
      <c r="K3761" s="17">
        <v>0.0</v>
      </c>
      <c r="L3761" s="54"/>
      <c r="M3761" s="31"/>
      <c r="N3761" s="90"/>
      <c r="O3761" s="90"/>
      <c r="P3761" s="20">
        <v>0.0</v>
      </c>
      <c r="Q3761" s="31"/>
      <c r="R3761" s="31"/>
      <c r="S3761" s="53"/>
      <c r="T3761" s="32"/>
    </row>
    <row r="3762">
      <c r="A3762" s="33" t="s">
        <v>26414</v>
      </c>
      <c r="B3762" s="76" t="s">
        <v>21</v>
      </c>
      <c r="C3762" s="41">
        <v>45582.0</v>
      </c>
      <c r="D3762" s="40" t="s">
        <v>26415</v>
      </c>
      <c r="E3762" s="41" t="s">
        <v>26416</v>
      </c>
      <c r="F3762" s="43" t="s">
        <v>26417</v>
      </c>
      <c r="G3762" s="43" t="s">
        <v>26418</v>
      </c>
      <c r="H3762" s="65" t="s">
        <v>8762</v>
      </c>
      <c r="I3762" s="15" t="str">
        <f>IFERROR(__xludf.DUMMYFUNCTION("GOOGLETRANSLATE(H3762,""EN"",""ES"")"),"Viajar")</f>
        <v>Viajar</v>
      </c>
      <c r="J3762" s="16" t="s">
        <v>27</v>
      </c>
      <c r="K3762" s="17">
        <v>0.0</v>
      </c>
      <c r="L3762" s="45"/>
      <c r="M3762" s="18"/>
      <c r="N3762" s="91"/>
      <c r="O3762" s="91"/>
      <c r="P3762" s="20">
        <v>0.0</v>
      </c>
      <c r="Q3762" s="18"/>
      <c r="R3762" s="18"/>
      <c r="S3762" s="52"/>
      <c r="T3762" s="22"/>
    </row>
    <row r="3763">
      <c r="A3763" s="23" t="s">
        <v>26419</v>
      </c>
      <c r="B3763" s="77" t="s">
        <v>21</v>
      </c>
      <c r="C3763" s="41">
        <v>45582.0</v>
      </c>
      <c r="D3763" s="40" t="s">
        <v>26420</v>
      </c>
      <c r="E3763" s="41" t="s">
        <v>26421</v>
      </c>
      <c r="F3763" s="43" t="s">
        <v>26422</v>
      </c>
      <c r="G3763" s="43" t="s">
        <v>26423</v>
      </c>
      <c r="H3763" s="66" t="s">
        <v>155</v>
      </c>
      <c r="I3763" s="25" t="str">
        <f>IFERROR(__xludf.DUMMYFUNCTION("GOOGLETRANSLATE(H3763,""EN"",""ES"")"),"Marketing")</f>
        <v>Marketing</v>
      </c>
      <c r="J3763" s="26" t="s">
        <v>27</v>
      </c>
      <c r="K3763" s="17">
        <v>0.0</v>
      </c>
      <c r="L3763" s="54"/>
      <c r="M3763" s="31"/>
      <c r="N3763" s="90"/>
      <c r="O3763" s="90"/>
      <c r="P3763" s="20">
        <v>0.0</v>
      </c>
      <c r="Q3763" s="31"/>
      <c r="R3763" s="31"/>
      <c r="S3763" s="53"/>
      <c r="T3763" s="32"/>
    </row>
    <row r="3764">
      <c r="A3764" s="33" t="s">
        <v>26424</v>
      </c>
      <c r="B3764" s="76" t="s">
        <v>26425</v>
      </c>
      <c r="C3764" s="41">
        <v>45583.0</v>
      </c>
      <c r="D3764" s="40" t="s">
        <v>26426</v>
      </c>
      <c r="E3764" s="41" t="s">
        <v>26427</v>
      </c>
      <c r="F3764" s="43" t="s">
        <v>26428</v>
      </c>
      <c r="G3764" s="43" t="s">
        <v>26429</v>
      </c>
      <c r="H3764" s="65" t="s">
        <v>26328</v>
      </c>
      <c r="I3764" s="15" t="str">
        <f>IFERROR(__xludf.DUMMYFUNCTION("GOOGLETRANSLATE(H3764,""EN"",""ES"")"),"IA y ética")</f>
        <v>IA y ética</v>
      </c>
      <c r="J3764" s="16" t="s">
        <v>27</v>
      </c>
      <c r="K3764" s="17">
        <v>0.0</v>
      </c>
      <c r="L3764" s="45"/>
      <c r="M3764" s="18"/>
      <c r="N3764" s="91"/>
      <c r="O3764" s="91"/>
      <c r="P3764" s="20">
        <v>0.0</v>
      </c>
      <c r="Q3764" s="18"/>
      <c r="R3764" s="18"/>
      <c r="S3764" s="52"/>
      <c r="T3764" s="22"/>
    </row>
    <row r="3765">
      <c r="A3765" s="23" t="s">
        <v>26430</v>
      </c>
      <c r="B3765" s="77" t="s">
        <v>163</v>
      </c>
      <c r="C3765" s="41">
        <v>45583.0</v>
      </c>
      <c r="D3765" s="40" t="s">
        <v>26431</v>
      </c>
      <c r="E3765" s="41" t="s">
        <v>26432</v>
      </c>
      <c r="F3765" s="43" t="s">
        <v>26433</v>
      </c>
      <c r="G3765" s="43" t="s">
        <v>26434</v>
      </c>
      <c r="H3765" s="66" t="s">
        <v>26435</v>
      </c>
      <c r="I3765" s="25" t="str">
        <f>IFERROR(__xludf.DUMMYFUNCTION("GOOGLETRANSLATE(H3765,""EN"",""ES"")"),"Misceláneas")</f>
        <v>Misceláneas</v>
      </c>
      <c r="J3765" s="26" t="s">
        <v>27</v>
      </c>
      <c r="K3765" s="17">
        <v>0.0</v>
      </c>
      <c r="L3765" s="54"/>
      <c r="M3765" s="31"/>
      <c r="N3765" s="90"/>
      <c r="O3765" s="90"/>
      <c r="P3765" s="20">
        <v>0.0</v>
      </c>
      <c r="Q3765" s="31"/>
      <c r="R3765" s="31"/>
      <c r="S3765" s="53"/>
      <c r="T3765" s="32"/>
    </row>
    <row r="3766">
      <c r="A3766" s="33" t="s">
        <v>26436</v>
      </c>
      <c r="B3766" s="76" t="s">
        <v>217</v>
      </c>
      <c r="C3766" s="41">
        <v>45583.0</v>
      </c>
      <c r="D3766" s="40" t="s">
        <v>26437</v>
      </c>
      <c r="E3766" s="41" t="s">
        <v>26438</v>
      </c>
      <c r="F3766" s="43" t="s">
        <v>26439</v>
      </c>
      <c r="G3766" s="43" t="s">
        <v>26440</v>
      </c>
      <c r="H3766" s="65" t="s">
        <v>130</v>
      </c>
      <c r="I3766" s="15" t="str">
        <f>IFERROR(__xludf.DUMMYFUNCTION("GOOGLETRANSLATE(H3766,""EN"",""ES"")"),"Sostenibilidad")</f>
        <v>Sostenibilidad</v>
      </c>
      <c r="J3766" s="16" t="s">
        <v>35</v>
      </c>
      <c r="K3766" s="48">
        <v>0.7</v>
      </c>
      <c r="L3766" s="45" t="s">
        <v>26441</v>
      </c>
      <c r="M3766" s="18" t="s">
        <v>26442</v>
      </c>
      <c r="N3766" s="91" t="s">
        <v>26443</v>
      </c>
      <c r="O3766" s="91" t="str">
        <f>IFERROR(__xludf.DUMMYFUNCTION("GOOGLETRANSLATE(N3766,""EN"",""ES"")"),"Impacto positivo por la inversión de Repsol en combustibles sostenibles.")</f>
        <v>Impacto positivo por la inversión de Repsol en combustibles sostenibles.</v>
      </c>
      <c r="P3766" s="30">
        <v>0.7</v>
      </c>
      <c r="Q3766" s="18" t="str">
        <f>IFERROR(__xludf.DUMMYFUNCTION("GOOGLETRANSLATE(R3766,""ES"",""EN"")"),"sustainable")</f>
        <v>sustainable</v>
      </c>
      <c r="R3766" s="34" t="s">
        <v>26444</v>
      </c>
      <c r="S3766" s="52" t="s">
        <v>26445</v>
      </c>
      <c r="T3766" s="22" t="s">
        <v>26445</v>
      </c>
    </row>
    <row r="3767">
      <c r="A3767" s="23" t="s">
        <v>26446</v>
      </c>
      <c r="B3767" s="77" t="s">
        <v>163</v>
      </c>
      <c r="C3767" s="41">
        <v>45583.0</v>
      </c>
      <c r="D3767" s="40" t="s">
        <v>26447</v>
      </c>
      <c r="E3767" s="41" t="s">
        <v>26448</v>
      </c>
      <c r="F3767" s="43" t="s">
        <v>26449</v>
      </c>
      <c r="G3767" s="43" t="s">
        <v>26450</v>
      </c>
      <c r="H3767" s="66" t="s">
        <v>155</v>
      </c>
      <c r="I3767" s="25" t="str">
        <f>IFERROR(__xludf.DUMMYFUNCTION("GOOGLETRANSLATE(H3767,""EN"",""ES"")"),"Marketing")</f>
        <v>Marketing</v>
      </c>
      <c r="J3767" s="26" t="s">
        <v>27</v>
      </c>
      <c r="K3767" s="17">
        <v>0.0</v>
      </c>
      <c r="L3767" s="54"/>
      <c r="M3767" s="31"/>
      <c r="N3767" s="90"/>
      <c r="O3767" s="90"/>
      <c r="P3767" s="20">
        <v>0.0</v>
      </c>
      <c r="Q3767" s="31"/>
      <c r="R3767" s="31"/>
      <c r="S3767" s="53"/>
      <c r="T3767" s="32"/>
    </row>
    <row r="3768">
      <c r="A3768" s="33" t="s">
        <v>26451</v>
      </c>
      <c r="B3768" s="76" t="s">
        <v>499</v>
      </c>
      <c r="C3768" s="41">
        <v>45583.0</v>
      </c>
      <c r="D3768" s="40" t="s">
        <v>26452</v>
      </c>
      <c r="E3768" s="41" t="s">
        <v>26453</v>
      </c>
      <c r="F3768" s="43" t="s">
        <v>26454</v>
      </c>
      <c r="G3768" s="43" t="s">
        <v>26455</v>
      </c>
      <c r="H3768" s="65" t="s">
        <v>26328</v>
      </c>
      <c r="I3768" s="15" t="str">
        <f>IFERROR(__xludf.DUMMYFUNCTION("GOOGLETRANSLATE(H3768,""EN"",""ES"")"),"IA y ética")</f>
        <v>IA y ética</v>
      </c>
      <c r="J3768" s="16" t="s">
        <v>27</v>
      </c>
      <c r="K3768" s="17">
        <v>0.0</v>
      </c>
      <c r="L3768" s="45"/>
      <c r="M3768" s="18"/>
      <c r="N3768" s="91"/>
      <c r="O3768" s="91"/>
      <c r="P3768" s="20">
        <v>0.0</v>
      </c>
      <c r="Q3768" s="18"/>
      <c r="R3768" s="18"/>
      <c r="S3768" s="52"/>
      <c r="T3768" s="22"/>
    </row>
    <row r="3769">
      <c r="A3769" s="23" t="s">
        <v>26456</v>
      </c>
      <c r="B3769" s="77" t="s">
        <v>448</v>
      </c>
      <c r="C3769" s="41">
        <v>45583.0</v>
      </c>
      <c r="D3769" s="40" t="s">
        <v>26457</v>
      </c>
      <c r="E3769" s="41" t="s">
        <v>26458</v>
      </c>
      <c r="F3769" s="43" t="s">
        <v>26459</v>
      </c>
      <c r="G3769" s="43" t="s">
        <v>26460</v>
      </c>
      <c r="H3769" s="66" t="s">
        <v>26280</v>
      </c>
      <c r="I3769" s="25" t="str">
        <f>IFERROR(__xludf.DUMMYFUNCTION("GOOGLETRANSLATE(H3769,""EN"",""ES"")"),"Industria energética")</f>
        <v>Industria energética</v>
      </c>
      <c r="J3769" s="26" t="s">
        <v>35</v>
      </c>
      <c r="K3769" s="48">
        <v>-0.3</v>
      </c>
      <c r="L3769" s="54" t="s">
        <v>26461</v>
      </c>
      <c r="M3769" s="31" t="s">
        <v>26462</v>
      </c>
      <c r="N3769" s="90" t="s">
        <v>26463</v>
      </c>
      <c r="O3769" s="90" t="str">
        <f>IFERROR(__xludf.DUMMYFUNCTION("GOOGLETRANSLATE(N3769,""EN"",""ES"")"),"Sentimiento negativo debido al estancamiento del proyecto de energía verde.")</f>
        <v>Sentimiento negativo debido al estancamiento del proyecto de energía verde.</v>
      </c>
      <c r="P3769" s="30">
        <v>-0.4</v>
      </c>
      <c r="Q3769" s="31" t="str">
        <f>IFERROR(__xludf.DUMMYFUNCTION("GOOGLETRANSLATE(R3769,""ES"",""EN"")"),"frozen")</f>
        <v>frozen</v>
      </c>
      <c r="R3769" s="28" t="s">
        <v>26464</v>
      </c>
      <c r="S3769" s="53" t="s">
        <v>26465</v>
      </c>
      <c r="T3769" s="32" t="s">
        <v>26465</v>
      </c>
    </row>
    <row r="3770">
      <c r="A3770" s="33" t="s">
        <v>26466</v>
      </c>
      <c r="B3770" s="76" t="s">
        <v>1072</v>
      </c>
      <c r="C3770" s="41">
        <v>45583.0</v>
      </c>
      <c r="D3770" s="40" t="s">
        <v>26467</v>
      </c>
      <c r="E3770" s="41" t="s">
        <v>26468</v>
      </c>
      <c r="F3770" s="43" t="s">
        <v>26469</v>
      </c>
      <c r="G3770" s="43" t="s">
        <v>26470</v>
      </c>
      <c r="H3770" s="65" t="s">
        <v>24743</v>
      </c>
      <c r="I3770" s="15" t="str">
        <f>IFERROR(__xludf.DUMMYFUNCTION("GOOGLETRANSLATE(H3770,""EN"",""ES"")"),"Mercado de Valores")</f>
        <v>Mercado de Valores</v>
      </c>
      <c r="J3770" s="16" t="s">
        <v>35</v>
      </c>
      <c r="K3770" s="48">
        <v>-0.2</v>
      </c>
      <c r="L3770" s="45" t="s">
        <v>26471</v>
      </c>
      <c r="M3770" s="18" t="s">
        <v>26472</v>
      </c>
      <c r="N3770" s="91" t="s">
        <v>26473</v>
      </c>
      <c r="O3770" s="91" t="str">
        <f>IFERROR(__xludf.DUMMYFUNCTION("GOOGLETRANSLATE(N3770,""EN"",""ES"")"),"Sentimiento negativo vinculado a la especulación financiera.")</f>
        <v>Sentimiento negativo vinculado a la especulación financiera.</v>
      </c>
      <c r="P3770" s="30">
        <v>-0.3</v>
      </c>
      <c r="Q3770" s="18" t="str">
        <f>IFERROR(__xludf.DUMMYFUNCTION("GOOGLETRANSLATE(R3770,""ES"",""EN"")"),"opportunistic funds")</f>
        <v>opportunistic funds</v>
      </c>
      <c r="R3770" s="34" t="s">
        <v>26474</v>
      </c>
      <c r="S3770" s="52" t="s">
        <v>26475</v>
      </c>
      <c r="T3770" s="22" t="s">
        <v>26475</v>
      </c>
    </row>
    <row r="3771">
      <c r="A3771" s="23" t="s">
        <v>26476</v>
      </c>
      <c r="B3771" s="77" t="s">
        <v>21</v>
      </c>
      <c r="C3771" s="41">
        <v>45583.0</v>
      </c>
      <c r="D3771" s="40" t="s">
        <v>26477</v>
      </c>
      <c r="E3771" s="41" t="s">
        <v>26478</v>
      </c>
      <c r="F3771" s="43" t="s">
        <v>26479</v>
      </c>
      <c r="G3771" s="43" t="s">
        <v>26480</v>
      </c>
      <c r="H3771" s="51" t="s">
        <v>148</v>
      </c>
      <c r="I3771" s="25" t="str">
        <f>IFERROR(__xludf.DUMMYFUNCTION("GOOGLETRANSLATE(H3771,""EN"",""ES"")"),"Gastronomía")</f>
        <v>Gastronomía</v>
      </c>
      <c r="J3771" s="26" t="s">
        <v>27</v>
      </c>
      <c r="K3771" s="17">
        <v>0.0</v>
      </c>
      <c r="L3771" s="54"/>
      <c r="M3771" s="31"/>
      <c r="N3771" s="90"/>
      <c r="O3771" s="90"/>
      <c r="P3771" s="20">
        <v>0.0</v>
      </c>
      <c r="Q3771" s="31"/>
      <c r="R3771" s="31"/>
      <c r="S3771" s="53"/>
      <c r="T3771" s="32"/>
    </row>
    <row r="3772">
      <c r="A3772" s="33" t="s">
        <v>26481</v>
      </c>
      <c r="B3772" s="76" t="s">
        <v>43</v>
      </c>
      <c r="C3772" s="41">
        <v>45583.0</v>
      </c>
      <c r="D3772" s="40" t="s">
        <v>26482</v>
      </c>
      <c r="E3772" s="41" t="s">
        <v>26483</v>
      </c>
      <c r="F3772" s="43" t="s">
        <v>26484</v>
      </c>
      <c r="G3772" s="43" t="s">
        <v>26485</v>
      </c>
      <c r="H3772" s="51" t="s">
        <v>148</v>
      </c>
      <c r="I3772" s="15" t="str">
        <f>IFERROR(__xludf.DUMMYFUNCTION("GOOGLETRANSLATE(H3772,""EN"",""ES"")"),"Gastronomía")</f>
        <v>Gastronomía</v>
      </c>
      <c r="J3772" s="16" t="s">
        <v>27</v>
      </c>
      <c r="K3772" s="17">
        <v>0.0</v>
      </c>
      <c r="L3772" s="45"/>
      <c r="M3772" s="18"/>
      <c r="N3772" s="91"/>
      <c r="O3772" s="91"/>
      <c r="P3772" s="20">
        <v>0.0</v>
      </c>
      <c r="Q3772" s="18"/>
      <c r="R3772" s="18"/>
      <c r="S3772" s="52"/>
      <c r="T3772" s="22"/>
    </row>
    <row r="3773">
      <c r="A3773" s="23" t="s">
        <v>26486</v>
      </c>
      <c r="B3773" s="77" t="s">
        <v>1635</v>
      </c>
      <c r="C3773" s="41">
        <v>45583.0</v>
      </c>
      <c r="D3773" s="40" t="s">
        <v>26487</v>
      </c>
      <c r="E3773" s="41" t="s">
        <v>26488</v>
      </c>
      <c r="F3773" s="43" t="s">
        <v>26489</v>
      </c>
      <c r="G3773" s="43" t="s">
        <v>26490</v>
      </c>
      <c r="H3773" s="51" t="s">
        <v>899</v>
      </c>
      <c r="I3773" s="25" t="str">
        <f>IFERROR(__xludf.DUMMYFUNCTION("GOOGLETRANSLATE(H3773,""EN"",""ES"")"),"Relaciones Laborales")</f>
        <v>Relaciones Laborales</v>
      </c>
      <c r="J3773" s="26" t="s">
        <v>35</v>
      </c>
      <c r="K3773" s="48">
        <v>-0.5</v>
      </c>
      <c r="L3773" s="49" t="s">
        <v>26491</v>
      </c>
      <c r="M3773" s="28" t="s">
        <v>26492</v>
      </c>
      <c r="N3773" s="90" t="s">
        <v>26493</v>
      </c>
      <c r="O3773" s="90" t="str">
        <f>IFERROR(__xludf.DUMMYFUNCTION("GOOGLETRANSLATE(N3773,""EN"",""ES"")"),"Negativo debido a continuos problemas laborales.")</f>
        <v>Negativo debido a continuos problemas laborales.</v>
      </c>
      <c r="P3773" s="30">
        <v>-0.7</v>
      </c>
      <c r="Q3773" s="31" t="str">
        <f>IFERROR(__xludf.DUMMYFUNCTION("GOOGLETRANSLATE(R3773,""ES"",""EN"")"),"precautionary suspension")</f>
        <v>precautionary suspension</v>
      </c>
      <c r="R3773" s="28" t="s">
        <v>26494</v>
      </c>
      <c r="S3773" s="53" t="s">
        <v>26495</v>
      </c>
      <c r="T3773" s="32" t="s">
        <v>26495</v>
      </c>
    </row>
    <row r="3774">
      <c r="A3774" s="33" t="s">
        <v>26496</v>
      </c>
      <c r="B3774" s="76" t="s">
        <v>881</v>
      </c>
      <c r="C3774" s="41">
        <v>45583.0</v>
      </c>
      <c r="D3774" s="40" t="s">
        <v>26497</v>
      </c>
      <c r="E3774" s="41" t="s">
        <v>26498</v>
      </c>
      <c r="F3774" s="43" t="s">
        <v>26499</v>
      </c>
      <c r="G3774" s="43" t="s">
        <v>26500</v>
      </c>
      <c r="H3774" s="51" t="s">
        <v>782</v>
      </c>
      <c r="I3774" s="15" t="str">
        <f>IFERROR(__xludf.DUMMYFUNCTION("GOOGLETRANSLATE(H3774,""EN"",""ES"")"),"Tecnología")</f>
        <v>Tecnología</v>
      </c>
      <c r="J3774" s="16" t="s">
        <v>35</v>
      </c>
      <c r="K3774" s="48">
        <v>0.5</v>
      </c>
      <c r="L3774" s="51" t="s">
        <v>26501</v>
      </c>
      <c r="M3774" s="34" t="s">
        <v>26502</v>
      </c>
      <c r="N3774" s="91" t="s">
        <v>26503</v>
      </c>
      <c r="O3774" s="91" t="str">
        <f>IFERROR(__xludf.DUMMYFUNCTION("GOOGLETRANSLATE(N3774,""EN"",""ES"")"),"Noticias neutrales relacionadas con la tecnología.")</f>
        <v>Noticias neutrales relacionadas con la tecnología.</v>
      </c>
      <c r="P3774" s="30">
        <v>0.0</v>
      </c>
      <c r="Q3774" s="18"/>
      <c r="R3774" s="18"/>
      <c r="S3774" s="52" t="s">
        <v>26504</v>
      </c>
      <c r="T3774" s="22" t="s">
        <v>26504</v>
      </c>
    </row>
    <row r="3775">
      <c r="A3775" s="23" t="s">
        <v>26505</v>
      </c>
      <c r="B3775" s="77" t="s">
        <v>1005</v>
      </c>
      <c r="C3775" s="41">
        <v>45583.0</v>
      </c>
      <c r="D3775" s="40" t="s">
        <v>26506</v>
      </c>
      <c r="E3775" s="41" t="s">
        <v>26507</v>
      </c>
      <c r="F3775" s="43" t="s">
        <v>26508</v>
      </c>
      <c r="G3775" s="43" t="s">
        <v>26509</v>
      </c>
      <c r="H3775" s="51" t="s">
        <v>148</v>
      </c>
      <c r="I3775" s="25" t="str">
        <f>IFERROR(__xludf.DUMMYFUNCTION("GOOGLETRANSLATE(H3775,""EN"",""ES"")"),"Gastronomía")</f>
        <v>Gastronomía</v>
      </c>
      <c r="J3775" s="26" t="s">
        <v>27</v>
      </c>
      <c r="K3775" s="17">
        <v>0.0</v>
      </c>
      <c r="L3775" s="54"/>
      <c r="M3775" s="31"/>
      <c r="N3775" s="90"/>
      <c r="O3775" s="90"/>
      <c r="P3775" s="20">
        <v>0.0</v>
      </c>
      <c r="Q3775" s="31"/>
      <c r="R3775" s="31"/>
      <c r="S3775" s="53"/>
      <c r="T3775" s="32"/>
    </row>
    <row r="3776">
      <c r="A3776" s="33" t="s">
        <v>26510</v>
      </c>
      <c r="B3776" s="76" t="s">
        <v>23299</v>
      </c>
      <c r="C3776" s="41">
        <v>45583.0</v>
      </c>
      <c r="D3776" s="40" t="s">
        <v>26511</v>
      </c>
      <c r="E3776" s="41" t="s">
        <v>26512</v>
      </c>
      <c r="F3776" s="43" t="s">
        <v>26513</v>
      </c>
      <c r="G3776" s="43" t="s">
        <v>26514</v>
      </c>
      <c r="H3776" s="51" t="s">
        <v>148</v>
      </c>
      <c r="I3776" s="15" t="str">
        <f>IFERROR(__xludf.DUMMYFUNCTION("GOOGLETRANSLATE(H3776,""EN"",""ES"")"),"Gastronomía")</f>
        <v>Gastronomía</v>
      </c>
      <c r="J3776" s="16" t="s">
        <v>27</v>
      </c>
      <c r="K3776" s="17">
        <v>0.0</v>
      </c>
      <c r="L3776" s="45"/>
      <c r="M3776" s="18"/>
      <c r="N3776" s="91"/>
      <c r="O3776" s="91"/>
      <c r="P3776" s="20">
        <v>0.0</v>
      </c>
      <c r="Q3776" s="18"/>
      <c r="R3776" s="18"/>
      <c r="S3776" s="52"/>
      <c r="T3776" s="22"/>
    </row>
    <row r="3777">
      <c r="A3777" s="23" t="s">
        <v>26515</v>
      </c>
      <c r="B3777" s="77" t="s">
        <v>254</v>
      </c>
      <c r="C3777" s="41">
        <v>45583.0</v>
      </c>
      <c r="D3777" s="40" t="s">
        <v>26516</v>
      </c>
      <c r="E3777" s="41" t="s">
        <v>26517</v>
      </c>
      <c r="F3777" s="43" t="s">
        <v>26518</v>
      </c>
      <c r="G3777" s="43" t="s">
        <v>26519</v>
      </c>
      <c r="H3777" s="51" t="s">
        <v>62</v>
      </c>
      <c r="I3777" s="25" t="str">
        <f>IFERROR(__xludf.DUMMYFUNCTION("GOOGLETRANSLATE(H3777,""EN"",""ES"")"),"Energía")</f>
        <v>Energía</v>
      </c>
      <c r="J3777" s="26" t="s">
        <v>35</v>
      </c>
      <c r="K3777" s="48">
        <v>0.5</v>
      </c>
      <c r="L3777" s="49" t="s">
        <v>26520</v>
      </c>
      <c r="M3777" s="28" t="s">
        <v>26521</v>
      </c>
      <c r="N3777" s="90" t="s">
        <v>26522</v>
      </c>
      <c r="O3777" s="90" t="str">
        <f>IFERROR(__xludf.DUMMYFUNCTION("GOOGLETRANSLATE(N3777,""EN"",""ES"")"),"Positivo por la inversión de Repsol en la producción de combustibles.")</f>
        <v>Positivo por la inversión de Repsol en la producción de combustibles.</v>
      </c>
      <c r="P3777" s="30">
        <v>0.7</v>
      </c>
      <c r="Q3777" s="31" t="str">
        <f>IFERROR(__xludf.DUMMYFUNCTION("GOOGLETRANSLATE(R3777,""ES"",""EN"")"),"inaugurates, ""expansion""")</f>
        <v>inaugurates, "expansion"</v>
      </c>
      <c r="R3777" s="28" t="s">
        <v>26284</v>
      </c>
      <c r="S3777" s="53" t="s">
        <v>26523</v>
      </c>
      <c r="T3777" s="32" t="s">
        <v>26523</v>
      </c>
    </row>
    <row r="3778">
      <c r="A3778" s="33" t="s">
        <v>26524</v>
      </c>
      <c r="B3778" s="76" t="s">
        <v>163</v>
      </c>
      <c r="C3778" s="41">
        <v>45583.0</v>
      </c>
      <c r="D3778" s="40" t="s">
        <v>26525</v>
      </c>
      <c r="E3778" s="41" t="s">
        <v>26525</v>
      </c>
      <c r="F3778" s="43" t="s">
        <v>26526</v>
      </c>
      <c r="G3778" s="43" t="s">
        <v>26526</v>
      </c>
      <c r="H3778" s="51" t="s">
        <v>55</v>
      </c>
      <c r="I3778" s="15" t="str">
        <f>IFERROR(__xludf.DUMMYFUNCTION("GOOGLETRANSLATE(H3778,""EN"",""ES"")"),"deportes de motor")</f>
        <v>deportes de motor</v>
      </c>
      <c r="J3778" s="16" t="s">
        <v>27</v>
      </c>
      <c r="K3778" s="17">
        <v>0.0</v>
      </c>
      <c r="L3778" s="45"/>
      <c r="M3778" s="18"/>
      <c r="N3778" s="91"/>
      <c r="O3778" s="91"/>
      <c r="P3778" s="20">
        <v>0.0</v>
      </c>
      <c r="Q3778" s="18"/>
      <c r="R3778" s="18"/>
      <c r="S3778" s="52"/>
      <c r="T3778" s="22"/>
    </row>
    <row r="3779">
      <c r="A3779" s="23" t="s">
        <v>26527</v>
      </c>
      <c r="B3779" s="77" t="s">
        <v>2498</v>
      </c>
      <c r="C3779" s="41">
        <v>45583.0</v>
      </c>
      <c r="D3779" s="40" t="s">
        <v>26528</v>
      </c>
      <c r="E3779" s="41" t="s">
        <v>26529</v>
      </c>
      <c r="F3779" s="43" t="s">
        <v>26530</v>
      </c>
      <c r="G3779" s="43" t="s">
        <v>26531</v>
      </c>
      <c r="H3779" s="51" t="s">
        <v>3985</v>
      </c>
      <c r="I3779" s="25" t="str">
        <f>IFERROR(__xludf.DUMMYFUNCTION("GOOGLETRANSLATE(H3779,""EN"",""ES"")"),"Deportes")</f>
        <v>Deportes</v>
      </c>
      <c r="J3779" s="26" t="s">
        <v>27</v>
      </c>
      <c r="K3779" s="17">
        <v>0.0</v>
      </c>
      <c r="L3779" s="54"/>
      <c r="M3779" s="31"/>
      <c r="N3779" s="90"/>
      <c r="O3779" s="90"/>
      <c r="P3779" s="20">
        <v>0.0</v>
      </c>
      <c r="Q3779" s="31"/>
      <c r="R3779" s="31"/>
      <c r="S3779" s="53"/>
      <c r="T3779" s="32"/>
    </row>
    <row r="3780">
      <c r="A3780" s="33" t="s">
        <v>26532</v>
      </c>
      <c r="B3780" s="76" t="s">
        <v>21</v>
      </c>
      <c r="C3780" s="41">
        <v>45583.0</v>
      </c>
      <c r="D3780" s="40" t="s">
        <v>26533</v>
      </c>
      <c r="E3780" s="41" t="s">
        <v>26534</v>
      </c>
      <c r="F3780" s="43" t="s">
        <v>26535</v>
      </c>
      <c r="G3780" s="43" t="s">
        <v>26536</v>
      </c>
      <c r="H3780" s="51" t="s">
        <v>148</v>
      </c>
      <c r="I3780" s="15" t="str">
        <f>IFERROR(__xludf.DUMMYFUNCTION("GOOGLETRANSLATE(H3780,""EN"",""ES"")"),"Gastronomía")</f>
        <v>Gastronomía</v>
      </c>
      <c r="J3780" s="16" t="s">
        <v>27</v>
      </c>
      <c r="K3780" s="17">
        <v>0.0</v>
      </c>
      <c r="L3780" s="45"/>
      <c r="M3780" s="18"/>
      <c r="N3780" s="18"/>
      <c r="O3780" s="88"/>
      <c r="P3780" s="20">
        <v>0.0</v>
      </c>
      <c r="Q3780" s="18"/>
      <c r="R3780" s="18"/>
      <c r="S3780" s="52"/>
      <c r="T3780" s="22"/>
    </row>
    <row r="3781">
      <c r="A3781" s="23" t="s">
        <v>26537</v>
      </c>
      <c r="B3781" s="77" t="s">
        <v>1916</v>
      </c>
      <c r="C3781" s="41">
        <v>45583.0</v>
      </c>
      <c r="D3781" s="40" t="s">
        <v>26538</v>
      </c>
      <c r="E3781" s="41" t="s">
        <v>26539</v>
      </c>
      <c r="F3781" s="43" t="s">
        <v>26540</v>
      </c>
      <c r="G3781" s="43" t="s">
        <v>26541</v>
      </c>
      <c r="H3781" s="51" t="s">
        <v>62</v>
      </c>
      <c r="I3781" s="25" t="str">
        <f>IFERROR(__xludf.DUMMYFUNCTION("GOOGLETRANSLATE(H3781,""EN"",""ES"")"),"Energía")</f>
        <v>Energía</v>
      </c>
      <c r="J3781" s="26" t="s">
        <v>35</v>
      </c>
      <c r="K3781" s="48">
        <v>0.7</v>
      </c>
      <c r="L3781" s="49" t="s">
        <v>26542</v>
      </c>
      <c r="M3781" s="28" t="s">
        <v>26543</v>
      </c>
      <c r="N3781" s="93" t="s">
        <v>26544</v>
      </c>
      <c r="O3781" s="93" t="str">
        <f>IFERROR(__xludf.DUMMYFUNCTION("GOOGLETRANSLATE(N3781,""EN"",""ES"")"),"Positivo debido al progreso medioambiental y al combustible más limpio.")</f>
        <v>Positivo debido al progreso medioambiental y al combustible más limpio.</v>
      </c>
      <c r="P3781" s="30">
        <v>0.6</v>
      </c>
      <c r="Q3781" s="31" t="str">
        <f>IFERROR(__xludf.DUMMYFUNCTION("GOOGLETRANSLATE(R3781,""ES"",""EN"")"),"milestone, ""low sulfur""")</f>
        <v>milestone, "low sulfur"</v>
      </c>
      <c r="R3781" s="28" t="s">
        <v>26545</v>
      </c>
      <c r="S3781" s="53" t="s">
        <v>26546</v>
      </c>
      <c r="T3781" s="32" t="s">
        <v>26546</v>
      </c>
    </row>
    <row r="3782">
      <c r="A3782" s="33" t="s">
        <v>26547</v>
      </c>
      <c r="B3782" s="76" t="s">
        <v>425</v>
      </c>
      <c r="C3782" s="41">
        <v>45583.0</v>
      </c>
      <c r="D3782" s="40" t="s">
        <v>26548</v>
      </c>
      <c r="E3782" s="41" t="s">
        <v>26549</v>
      </c>
      <c r="F3782" s="43" t="s">
        <v>26550</v>
      </c>
      <c r="G3782" s="43" t="s">
        <v>26551</v>
      </c>
      <c r="H3782" s="51" t="s">
        <v>55</v>
      </c>
      <c r="I3782" s="15" t="str">
        <f>IFERROR(__xludf.DUMMYFUNCTION("GOOGLETRANSLATE(H3782,""EN"",""ES"")"),"deportes de motor")</f>
        <v>deportes de motor</v>
      </c>
      <c r="J3782" s="16" t="s">
        <v>27</v>
      </c>
      <c r="K3782" s="17">
        <v>0.0</v>
      </c>
      <c r="L3782" s="45"/>
      <c r="M3782" s="18"/>
      <c r="N3782" s="94"/>
      <c r="O3782" s="94"/>
      <c r="P3782" s="20">
        <v>0.0</v>
      </c>
      <c r="Q3782" s="18"/>
      <c r="R3782" s="18"/>
      <c r="S3782" s="52"/>
      <c r="T3782" s="22"/>
    </row>
    <row r="3783">
      <c r="A3783" s="23" t="s">
        <v>26552</v>
      </c>
      <c r="B3783" s="77" t="s">
        <v>192</v>
      </c>
      <c r="C3783" s="41">
        <v>45584.0</v>
      </c>
      <c r="D3783" s="40" t="s">
        <v>26553</v>
      </c>
      <c r="E3783" s="41" t="s">
        <v>26554</v>
      </c>
      <c r="F3783" s="43" t="s">
        <v>26555</v>
      </c>
      <c r="G3783" s="43" t="s">
        <v>26556</v>
      </c>
      <c r="H3783" s="51" t="s">
        <v>62</v>
      </c>
      <c r="I3783" s="25" t="str">
        <f>IFERROR(__xludf.DUMMYFUNCTION("GOOGLETRANSLATE(H3783,""EN"",""ES"")"),"Energía")</f>
        <v>Energía</v>
      </c>
      <c r="J3783" s="26" t="s">
        <v>35</v>
      </c>
      <c r="K3783" s="48">
        <v>0.8</v>
      </c>
      <c r="L3783" s="49" t="s">
        <v>26557</v>
      </c>
      <c r="M3783" s="28" t="s">
        <v>26558</v>
      </c>
      <c r="N3783" s="93" t="s">
        <v>26559</v>
      </c>
      <c r="O3783" s="93" t="str">
        <f>IFERROR(__xludf.DUMMYFUNCTION("GOOGLETRANSLATE(N3783,""EN"",""ES"")"),"Fuertemente positivo ya que se alinea con las tendencias de sostenibilidad.")</f>
        <v>Fuertemente positivo ya que se alinea con las tendencias de sostenibilidad.</v>
      </c>
      <c r="P3783" s="30">
        <v>0.8</v>
      </c>
      <c r="Q3783" s="31" t="str">
        <f>IFERROR(__xludf.DUMMYFUNCTION("GOOGLETRANSLATE(R3783,""ES"",""EN"")"),"100% renewable")</f>
        <v>100% renewable</v>
      </c>
      <c r="R3783" s="28" t="s">
        <v>26560</v>
      </c>
      <c r="S3783" s="53" t="s">
        <v>26561</v>
      </c>
      <c r="T3783" s="32" t="s">
        <v>26561</v>
      </c>
    </row>
    <row r="3784">
      <c r="A3784" s="33" t="s">
        <v>26562</v>
      </c>
      <c r="B3784" s="76" t="s">
        <v>8442</v>
      </c>
      <c r="C3784" s="41">
        <v>45584.0</v>
      </c>
      <c r="D3784" s="40" t="s">
        <v>26563</v>
      </c>
      <c r="E3784" s="41" t="s">
        <v>26564</v>
      </c>
      <c r="F3784" s="43" t="s">
        <v>26565</v>
      </c>
      <c r="G3784" s="43" t="s">
        <v>26566</v>
      </c>
      <c r="H3784" s="51" t="s">
        <v>782</v>
      </c>
      <c r="I3784" s="15" t="str">
        <f>IFERROR(__xludf.DUMMYFUNCTION("GOOGLETRANSLATE(H3784,""EN"",""ES"")"),"Tecnología")</f>
        <v>Tecnología</v>
      </c>
      <c r="J3784" s="16" t="s">
        <v>35</v>
      </c>
      <c r="K3784" s="48">
        <v>0.8</v>
      </c>
      <c r="L3784" s="51" t="s">
        <v>26567</v>
      </c>
      <c r="M3784" s="34" t="s">
        <v>26568</v>
      </c>
      <c r="N3784" s="94" t="s">
        <v>26569</v>
      </c>
      <c r="O3784" s="94" t="str">
        <f>IFERROR(__xludf.DUMMYFUNCTION("GOOGLETRANSLATE(N3784,""EN"",""ES"")"),"Se valora positivamente la apuesta de Repsol por la I+D en energías sostenibles.")</f>
        <v>Se valora positivamente la apuesta de Repsol por la I+D en energías sostenibles.</v>
      </c>
      <c r="P3784" s="30">
        <v>0.7</v>
      </c>
      <c r="Q3784" s="18" t="str">
        <f>IFERROR(__xludf.DUMMYFUNCTION("GOOGLETRANSLATE(R3784,""ES"",""EN"")"),"renewable")</f>
        <v>renewable</v>
      </c>
      <c r="R3784" s="34" t="s">
        <v>13833</v>
      </c>
      <c r="S3784" s="52" t="s">
        <v>26570</v>
      </c>
      <c r="T3784" s="22" t="s">
        <v>26570</v>
      </c>
    </row>
    <row r="3785">
      <c r="A3785" s="23" t="s">
        <v>26571</v>
      </c>
      <c r="B3785" s="77" t="s">
        <v>8884</v>
      </c>
      <c r="C3785" s="41">
        <v>45584.0</v>
      </c>
      <c r="D3785" s="40" t="s">
        <v>26572</v>
      </c>
      <c r="E3785" s="41" t="s">
        <v>26573</v>
      </c>
      <c r="F3785" s="43" t="s">
        <v>26574</v>
      </c>
      <c r="G3785" s="43" t="s">
        <v>26575</v>
      </c>
      <c r="H3785" s="51" t="s">
        <v>62</v>
      </c>
      <c r="I3785" s="25" t="str">
        <f>IFERROR(__xludf.DUMMYFUNCTION("GOOGLETRANSLATE(H3785,""EN"",""ES"")"),"Energía")</f>
        <v>Energía</v>
      </c>
      <c r="J3785" s="26" t="s">
        <v>35</v>
      </c>
      <c r="K3785" s="48">
        <v>0.3</v>
      </c>
      <c r="L3785" s="49" t="s">
        <v>26576</v>
      </c>
      <c r="M3785" s="28" t="s">
        <v>26577</v>
      </c>
      <c r="N3785" s="93" t="s">
        <v>26578</v>
      </c>
      <c r="O3785" s="93" t="str">
        <f>IFERROR(__xludf.DUMMYFUNCTION("GOOGLETRANSLATE(N3785,""EN"",""ES"")"),"Mixto pero ligeramente positivo ya que indica un crecimiento estratégico.")</f>
        <v>Mixto pero ligeramente positivo ya que indica un crecimiento estratégico.</v>
      </c>
      <c r="P3785" s="30">
        <v>0.5</v>
      </c>
      <c r="Q3785" s="31" t="str">
        <f>IFERROR(__xludf.DUMMYFUNCTION("GOOGLETRANSLATE(R3785,""ES"",""EN"")"),"accelerates negotiations")</f>
        <v>accelerates negotiations</v>
      </c>
      <c r="R3785" s="28" t="s">
        <v>26579</v>
      </c>
      <c r="S3785" s="53" t="s">
        <v>24985</v>
      </c>
      <c r="T3785" s="32" t="s">
        <v>24985</v>
      </c>
    </row>
    <row r="3786">
      <c r="A3786" s="33" t="s">
        <v>26580</v>
      </c>
      <c r="B3786" s="76" t="s">
        <v>1568</v>
      </c>
      <c r="C3786" s="41">
        <v>45584.0</v>
      </c>
      <c r="D3786" s="40" t="s">
        <v>26581</v>
      </c>
      <c r="E3786" s="41" t="s">
        <v>26582</v>
      </c>
      <c r="F3786" s="43" t="s">
        <v>26583</v>
      </c>
      <c r="G3786" s="43" t="s">
        <v>26584</v>
      </c>
      <c r="H3786" s="51" t="s">
        <v>62</v>
      </c>
      <c r="I3786" s="15" t="str">
        <f>IFERROR(__xludf.DUMMYFUNCTION("GOOGLETRANSLATE(H3786,""EN"",""ES"")"),"Energía")</f>
        <v>Energía</v>
      </c>
      <c r="J3786" s="16" t="s">
        <v>35</v>
      </c>
      <c r="K3786" s="48">
        <v>0.6</v>
      </c>
      <c r="L3786" s="51" t="s">
        <v>26585</v>
      </c>
      <c r="M3786" s="34" t="s">
        <v>26586</v>
      </c>
      <c r="N3786" s="94" t="s">
        <v>26587</v>
      </c>
      <c r="O3786" s="94" t="str">
        <f>IFERROR(__xludf.DUMMYFUNCTION("GOOGLETRANSLATE(N3786,""EN"",""ES"")"),"Positivo porque los combustibles sintéticos contribuyen a las soluciones energéticas del futuro.")</f>
        <v>Positivo porque los combustibles sintéticos contribuyen a las soluciones energéticas del futuro.</v>
      </c>
      <c r="P3786" s="30">
        <v>0.6</v>
      </c>
      <c r="Q3786" s="18" t="str">
        <f>IFERROR(__xludf.DUMMYFUNCTION("GOOGLETRANSLATE(R3786,""ES"",""EN"")"),"works progress")</f>
        <v>works progress</v>
      </c>
      <c r="R3786" s="34" t="s">
        <v>26588</v>
      </c>
      <c r="S3786" s="52" t="s">
        <v>26589</v>
      </c>
      <c r="T3786" s="22" t="s">
        <v>26589</v>
      </c>
    </row>
    <row r="3787">
      <c r="A3787" s="23" t="s">
        <v>26590</v>
      </c>
      <c r="B3787" s="77" t="s">
        <v>15061</v>
      </c>
      <c r="C3787" s="41">
        <v>45584.0</v>
      </c>
      <c r="D3787" s="40" t="s">
        <v>26591</v>
      </c>
      <c r="E3787" s="41" t="s">
        <v>26592</v>
      </c>
      <c r="F3787" s="43" t="s">
        <v>26593</v>
      </c>
      <c r="G3787" s="43" t="s">
        <v>26594</v>
      </c>
      <c r="H3787" s="51" t="s">
        <v>148</v>
      </c>
      <c r="I3787" s="25" t="str">
        <f>IFERROR(__xludf.DUMMYFUNCTION("GOOGLETRANSLATE(H3787,""EN"",""ES"")"),"Gastronomía")</f>
        <v>Gastronomía</v>
      </c>
      <c r="J3787" s="26" t="s">
        <v>27</v>
      </c>
      <c r="K3787" s="17">
        <v>0.0</v>
      </c>
      <c r="L3787" s="54"/>
      <c r="M3787" s="31"/>
      <c r="N3787" s="93"/>
      <c r="O3787" s="93"/>
      <c r="P3787" s="20">
        <v>0.0</v>
      </c>
      <c r="Q3787" s="31"/>
      <c r="R3787" s="31"/>
      <c r="S3787" s="53"/>
      <c r="T3787" s="32"/>
    </row>
    <row r="3788">
      <c r="A3788" s="33" t="s">
        <v>26595</v>
      </c>
      <c r="B3788" s="76" t="s">
        <v>163</v>
      </c>
      <c r="C3788" s="41">
        <v>45584.0</v>
      </c>
      <c r="D3788" s="40" t="s">
        <v>26596</v>
      </c>
      <c r="E3788" s="41" t="s">
        <v>26597</v>
      </c>
      <c r="F3788" s="43" t="s">
        <v>26598</v>
      </c>
      <c r="G3788" s="43" t="s">
        <v>26599</v>
      </c>
      <c r="H3788" s="51" t="s">
        <v>55</v>
      </c>
      <c r="I3788" s="15" t="str">
        <f>IFERROR(__xludf.DUMMYFUNCTION("GOOGLETRANSLATE(H3788,""EN"",""ES"")"),"deportes de motor")</f>
        <v>deportes de motor</v>
      </c>
      <c r="J3788" s="16" t="s">
        <v>27</v>
      </c>
      <c r="K3788" s="17">
        <v>0.0</v>
      </c>
      <c r="L3788" s="45"/>
      <c r="M3788" s="18"/>
      <c r="N3788" s="94"/>
      <c r="O3788" s="94"/>
      <c r="P3788" s="20">
        <v>0.0</v>
      </c>
      <c r="Q3788" s="18"/>
      <c r="R3788" s="18"/>
      <c r="S3788" s="52"/>
      <c r="T3788" s="22"/>
    </row>
    <row r="3789">
      <c r="A3789" s="23" t="s">
        <v>26600</v>
      </c>
      <c r="B3789" s="77" t="s">
        <v>2442</v>
      </c>
      <c r="C3789" s="41">
        <v>45584.0</v>
      </c>
      <c r="D3789" s="40" t="s">
        <v>26601</v>
      </c>
      <c r="E3789" s="41" t="s">
        <v>26602</v>
      </c>
      <c r="F3789" s="43" t="s">
        <v>26603</v>
      </c>
      <c r="G3789" s="43" t="s">
        <v>26604</v>
      </c>
      <c r="H3789" s="51" t="s">
        <v>62</v>
      </c>
      <c r="I3789" s="25" t="str">
        <f>IFERROR(__xludf.DUMMYFUNCTION("GOOGLETRANSLATE(H3789,""EN"",""ES"")"),"Energía")</f>
        <v>Energía</v>
      </c>
      <c r="J3789" s="26" t="s">
        <v>35</v>
      </c>
      <c r="K3789" s="48">
        <v>-0.5</v>
      </c>
      <c r="L3789" s="49" t="s">
        <v>26605</v>
      </c>
      <c r="M3789" s="28" t="s">
        <v>26606</v>
      </c>
      <c r="N3789" s="93" t="s">
        <v>26607</v>
      </c>
      <c r="O3789" s="93" t="str">
        <f>IFERROR(__xludf.DUMMYFUNCTION("GOOGLETRANSLATE(N3789,""EN"",""ES"")"),"Negativo debido a conflictos con las políticas gubernamentales.")</f>
        <v>Negativo debido a conflictos con las políticas gubernamentales.</v>
      </c>
      <c r="P3789" s="30">
        <v>-0.5</v>
      </c>
      <c r="Q3789" s="31" t="str">
        <f>IFERROR(__xludf.DUMMYFUNCTION("GOOGLETRANSLATE(R3789,""ES"",""EN"")"),"tax")</f>
        <v>tax</v>
      </c>
      <c r="R3789" s="28" t="s">
        <v>12025</v>
      </c>
      <c r="S3789" s="53" t="s">
        <v>26608</v>
      </c>
      <c r="T3789" s="32" t="s">
        <v>26608</v>
      </c>
    </row>
    <row r="3790">
      <c r="A3790" s="33" t="s">
        <v>26609</v>
      </c>
      <c r="B3790" s="76" t="s">
        <v>85</v>
      </c>
      <c r="C3790" s="41">
        <v>45584.0</v>
      </c>
      <c r="D3790" s="40" t="s">
        <v>26610</v>
      </c>
      <c r="E3790" s="41" t="s">
        <v>26611</v>
      </c>
      <c r="F3790" s="43" t="s">
        <v>26612</v>
      </c>
      <c r="G3790" s="43" t="s">
        <v>26613</v>
      </c>
      <c r="H3790" s="51" t="s">
        <v>148</v>
      </c>
      <c r="I3790" s="15" t="str">
        <f>IFERROR(__xludf.DUMMYFUNCTION("GOOGLETRANSLATE(H3790,""EN"",""ES"")"),"Gastronomía")</f>
        <v>Gastronomía</v>
      </c>
      <c r="J3790" s="16" t="s">
        <v>27</v>
      </c>
      <c r="K3790" s="17">
        <v>0.0</v>
      </c>
      <c r="L3790" s="45"/>
      <c r="M3790" s="18"/>
      <c r="N3790" s="94"/>
      <c r="O3790" s="94"/>
      <c r="P3790" s="20">
        <v>0.0</v>
      </c>
      <c r="Q3790" s="18"/>
      <c r="R3790" s="18"/>
      <c r="S3790" s="52"/>
      <c r="T3790" s="22"/>
    </row>
    <row r="3791">
      <c r="A3791" s="23" t="s">
        <v>26614</v>
      </c>
      <c r="B3791" s="77" t="s">
        <v>674</v>
      </c>
      <c r="C3791" s="41">
        <v>45584.0</v>
      </c>
      <c r="D3791" s="40" t="s">
        <v>26615</v>
      </c>
      <c r="E3791" s="41" t="s">
        <v>26616</v>
      </c>
      <c r="F3791" s="43" t="s">
        <v>26617</v>
      </c>
      <c r="G3791" s="43" t="s">
        <v>26618</v>
      </c>
      <c r="H3791" s="51" t="s">
        <v>55</v>
      </c>
      <c r="I3791" s="25" t="str">
        <f>IFERROR(__xludf.DUMMYFUNCTION("GOOGLETRANSLATE(H3791,""EN"",""ES"")"),"deportes de motor")</f>
        <v>deportes de motor</v>
      </c>
      <c r="J3791" s="26" t="s">
        <v>27</v>
      </c>
      <c r="K3791" s="17">
        <v>0.0</v>
      </c>
      <c r="L3791" s="54"/>
      <c r="M3791" s="31"/>
      <c r="N3791" s="93"/>
      <c r="O3791" s="93"/>
      <c r="P3791" s="20">
        <v>0.0</v>
      </c>
      <c r="Q3791" s="31"/>
      <c r="R3791" s="31"/>
      <c r="S3791" s="53"/>
      <c r="T3791" s="32"/>
    </row>
    <row r="3792">
      <c r="A3792" s="33" t="s">
        <v>26619</v>
      </c>
      <c r="B3792" s="76" t="s">
        <v>674</v>
      </c>
      <c r="C3792" s="41">
        <v>45584.0</v>
      </c>
      <c r="D3792" s="40" t="s">
        <v>26620</v>
      </c>
      <c r="E3792" s="41" t="s">
        <v>26621</v>
      </c>
      <c r="F3792" s="43" t="s">
        <v>26622</v>
      </c>
      <c r="G3792" s="43" t="s">
        <v>26623</v>
      </c>
      <c r="H3792" s="51" t="s">
        <v>55</v>
      </c>
      <c r="I3792" s="15" t="str">
        <f>IFERROR(__xludf.DUMMYFUNCTION("GOOGLETRANSLATE(H3792,""EN"",""ES"")"),"deportes de motor")</f>
        <v>deportes de motor</v>
      </c>
      <c r="J3792" s="16" t="s">
        <v>27</v>
      </c>
      <c r="K3792" s="17">
        <v>0.0</v>
      </c>
      <c r="L3792" s="45"/>
      <c r="M3792" s="18"/>
      <c r="N3792" s="94"/>
      <c r="O3792" s="94"/>
      <c r="P3792" s="20">
        <v>0.0</v>
      </c>
      <c r="Q3792" s="18"/>
      <c r="R3792" s="18"/>
      <c r="S3792" s="52"/>
      <c r="T3792" s="22"/>
    </row>
    <row r="3793">
      <c r="A3793" s="23" t="s">
        <v>26624</v>
      </c>
      <c r="B3793" s="77" t="s">
        <v>3992</v>
      </c>
      <c r="C3793" s="41">
        <v>45585.0</v>
      </c>
      <c r="D3793" s="40" t="s">
        <v>26625</v>
      </c>
      <c r="E3793" s="41" t="s">
        <v>26626</v>
      </c>
      <c r="F3793" s="43" t="s">
        <v>26627</v>
      </c>
      <c r="G3793" s="43" t="s">
        <v>26628</v>
      </c>
      <c r="H3793" s="51" t="s">
        <v>62</v>
      </c>
      <c r="I3793" s="25" t="str">
        <f>IFERROR(__xludf.DUMMYFUNCTION("GOOGLETRANSLATE(H3793,""EN"",""ES"")"),"Energía")</f>
        <v>Energía</v>
      </c>
      <c r="J3793" s="26" t="s">
        <v>35</v>
      </c>
      <c r="K3793" s="48">
        <v>-0.6</v>
      </c>
      <c r="L3793" s="49" t="s">
        <v>26629</v>
      </c>
      <c r="M3793" s="28" t="s">
        <v>26630</v>
      </c>
      <c r="N3793" s="93" t="s">
        <v>26631</v>
      </c>
      <c r="O3793" s="93" t="str">
        <f>IFERROR(__xludf.DUMMYFUNCTION("GOOGLETRANSLATE(N3793,""EN"",""ES"")"),"Negativo ya que sugiere tensión con el gobierno y deslocalización de inversiones.")</f>
        <v>Negativo ya que sugiere tensión con el gobierno y deslocalización de inversiones.</v>
      </c>
      <c r="P3793" s="30">
        <v>-0.7</v>
      </c>
      <c r="Q3793" s="31" t="str">
        <f>IFERROR(__xludf.DUMMYFUNCTION("GOOGLETRANSLATE(R3793,""ES"",""EN"")"),"imposed, ""transfer""")</f>
        <v>imposed, "transfer"</v>
      </c>
      <c r="R3793" s="28" t="s">
        <v>26632</v>
      </c>
      <c r="S3793" s="53" t="s">
        <v>26633</v>
      </c>
      <c r="T3793" s="32" t="s">
        <v>26633</v>
      </c>
    </row>
    <row r="3794">
      <c r="A3794" s="33" t="s">
        <v>26634</v>
      </c>
      <c r="B3794" s="76" t="s">
        <v>21</v>
      </c>
      <c r="C3794" s="41">
        <v>45585.0</v>
      </c>
      <c r="D3794" s="40" t="s">
        <v>26635</v>
      </c>
      <c r="E3794" s="41" t="s">
        <v>26635</v>
      </c>
      <c r="F3794" s="43" t="s">
        <v>26636</v>
      </c>
      <c r="G3794" s="43" t="s">
        <v>26636</v>
      </c>
      <c r="H3794" s="51" t="s">
        <v>148</v>
      </c>
      <c r="I3794" s="15" t="str">
        <f>IFERROR(__xludf.DUMMYFUNCTION("GOOGLETRANSLATE(H3794,""EN"",""ES"")"),"Gastronomía")</f>
        <v>Gastronomía</v>
      </c>
      <c r="J3794" s="16" t="s">
        <v>27</v>
      </c>
      <c r="K3794" s="17">
        <v>0.0</v>
      </c>
      <c r="L3794" s="45"/>
      <c r="M3794" s="18"/>
      <c r="N3794" s="94"/>
      <c r="O3794" s="94"/>
      <c r="P3794" s="20">
        <v>0.0</v>
      </c>
      <c r="Q3794" s="18"/>
      <c r="R3794" s="18"/>
      <c r="S3794" s="52"/>
      <c r="T3794" s="22"/>
    </row>
    <row r="3795">
      <c r="A3795" s="23" t="s">
        <v>26637</v>
      </c>
      <c r="B3795" s="77" t="s">
        <v>2696</v>
      </c>
      <c r="C3795" s="41">
        <v>45585.0</v>
      </c>
      <c r="D3795" s="40" t="s">
        <v>26638</v>
      </c>
      <c r="E3795" s="41" t="s">
        <v>26639</v>
      </c>
      <c r="F3795" s="43" t="s">
        <v>26640</v>
      </c>
      <c r="G3795" s="43" t="s">
        <v>26641</v>
      </c>
      <c r="H3795" s="51" t="s">
        <v>62</v>
      </c>
      <c r="I3795" s="25" t="str">
        <f>IFERROR(__xludf.DUMMYFUNCTION("GOOGLETRANSLATE(H3795,""EN"",""ES"")"),"Energía")</f>
        <v>Energía</v>
      </c>
      <c r="J3795" s="26" t="s">
        <v>35</v>
      </c>
      <c r="K3795" s="48">
        <v>-0.5</v>
      </c>
      <c r="L3795" s="49" t="s">
        <v>26642</v>
      </c>
      <c r="M3795" s="28" t="s">
        <v>26643</v>
      </c>
      <c r="N3795" s="93" t="s">
        <v>26644</v>
      </c>
      <c r="O3795" s="93" t="str">
        <f>IFERROR(__xludf.DUMMYFUNCTION("GOOGLETRANSLATE(N3795,""EN"",""ES"")"),"Negativo debido a la inestabilidad percibida y al conflicto industrial.")</f>
        <v>Negativo debido a la inestabilidad percibida y al conflicto industrial.</v>
      </c>
      <c r="P3795" s="30">
        <v>-0.6</v>
      </c>
      <c r="Q3795" s="31" t="str">
        <f>IFERROR(__xludf.DUMMYFUNCTION("GOOGLETRANSLATE(R3795,""ES"",""EN"")"),"imposed, ""they collide""")</f>
        <v>imposed, "they collide"</v>
      </c>
      <c r="R3795" s="28" t="s">
        <v>26645</v>
      </c>
      <c r="S3795" s="53" t="s">
        <v>26646</v>
      </c>
      <c r="T3795" s="32" t="s">
        <v>26646</v>
      </c>
    </row>
    <row r="3796">
      <c r="A3796" s="33" t="s">
        <v>26647</v>
      </c>
      <c r="B3796" s="76" t="s">
        <v>6835</v>
      </c>
      <c r="C3796" s="41">
        <v>45585.0</v>
      </c>
      <c r="D3796" s="40" t="s">
        <v>26648</v>
      </c>
      <c r="E3796" s="41" t="s">
        <v>26648</v>
      </c>
      <c r="F3796" s="43" t="s">
        <v>26649</v>
      </c>
      <c r="G3796" s="43" t="s">
        <v>26649</v>
      </c>
      <c r="H3796" s="51" t="s">
        <v>26650</v>
      </c>
      <c r="I3796" s="15" t="str">
        <f>IFERROR(__xludf.DUMMYFUNCTION("GOOGLETRANSLATE(H3796,""EN"",""ES"")"),"Relacionados con la gastronomía, sin impacto en la imagen de Repsol.")</f>
        <v>Relacionados con la gastronomía, sin impacto en la imagen de Repsol.</v>
      </c>
      <c r="J3796" s="16" t="s">
        <v>27</v>
      </c>
      <c r="K3796" s="17">
        <v>0.0</v>
      </c>
      <c r="L3796" s="95"/>
      <c r="M3796" s="18"/>
      <c r="N3796" s="94"/>
      <c r="O3796" s="94"/>
      <c r="P3796" s="20">
        <v>0.0</v>
      </c>
      <c r="Q3796" s="18"/>
      <c r="R3796" s="18"/>
      <c r="S3796" s="52"/>
      <c r="T3796" s="22"/>
    </row>
    <row r="3797">
      <c r="A3797" s="23" t="s">
        <v>26651</v>
      </c>
      <c r="B3797" s="77" t="s">
        <v>163</v>
      </c>
      <c r="C3797" s="41">
        <v>45585.0</v>
      </c>
      <c r="D3797" s="40" t="s">
        <v>26652</v>
      </c>
      <c r="E3797" s="41" t="s">
        <v>26653</v>
      </c>
      <c r="F3797" s="43" t="s">
        <v>26654</v>
      </c>
      <c r="G3797" s="43" t="s">
        <v>26655</v>
      </c>
      <c r="H3797" s="51" t="s">
        <v>26656</v>
      </c>
      <c r="I3797" s="25" t="str">
        <f>IFERROR(__xludf.DUMMYFUNCTION("GOOGLETRANSLATE(H3797,""EN"",""ES"")"),"Relacionados con el deporte del motor, sin impacto en la imagen corporativa de Repsol.")</f>
        <v>Relacionados con el deporte del motor, sin impacto en la imagen corporativa de Repsol.</v>
      </c>
      <c r="J3797" s="26" t="s">
        <v>27</v>
      </c>
      <c r="K3797" s="17">
        <v>0.0</v>
      </c>
      <c r="L3797" s="54"/>
      <c r="M3797" s="31"/>
      <c r="N3797" s="93"/>
      <c r="O3797" s="93"/>
      <c r="P3797" s="20">
        <v>0.0</v>
      </c>
      <c r="Q3797" s="31"/>
      <c r="R3797" s="31"/>
      <c r="S3797" s="53"/>
      <c r="T3797" s="32"/>
    </row>
    <row r="3798">
      <c r="A3798" s="33" t="s">
        <v>26657</v>
      </c>
      <c r="B3798" s="76" t="s">
        <v>674</v>
      </c>
      <c r="C3798" s="41">
        <v>45585.0</v>
      </c>
      <c r="D3798" s="40" t="s">
        <v>26658</v>
      </c>
      <c r="E3798" s="41" t="s">
        <v>26659</v>
      </c>
      <c r="F3798" s="43" t="s">
        <v>26660</v>
      </c>
      <c r="G3798" s="43" t="s">
        <v>26661</v>
      </c>
      <c r="H3798" s="51" t="s">
        <v>26662</v>
      </c>
      <c r="I3798" s="15" t="str">
        <f>IFERROR(__xludf.DUMMYFUNCTION("GOOGLETRANSLATE(H3798,""EN"",""ES"")"),"Relacionadas con el deporte del motor, sin relevancia para Repsol.")</f>
        <v>Relacionadas con el deporte del motor, sin relevancia para Repsol.</v>
      </c>
      <c r="J3798" s="16" t="s">
        <v>27</v>
      </c>
      <c r="K3798" s="17">
        <v>0.0</v>
      </c>
      <c r="L3798" s="45"/>
      <c r="M3798" s="18"/>
      <c r="N3798" s="94"/>
      <c r="O3798" s="94"/>
      <c r="P3798" s="20">
        <v>0.0</v>
      </c>
      <c r="Q3798" s="18"/>
      <c r="R3798" s="18"/>
      <c r="S3798" s="52"/>
      <c r="T3798" s="22"/>
    </row>
    <row r="3799">
      <c r="A3799" s="23" t="s">
        <v>26663</v>
      </c>
      <c r="B3799" s="77" t="s">
        <v>43</v>
      </c>
      <c r="C3799" s="41">
        <v>45585.0</v>
      </c>
      <c r="D3799" s="40" t="s">
        <v>26664</v>
      </c>
      <c r="E3799" s="41" t="s">
        <v>26665</v>
      </c>
      <c r="F3799" s="43" t="s">
        <v>26666</v>
      </c>
      <c r="G3799" s="43" t="s">
        <v>26667</v>
      </c>
      <c r="H3799" s="51" t="s">
        <v>26668</v>
      </c>
      <c r="I3799" s="25" t="str">
        <f>IFERROR(__xludf.DUMMYFUNCTION("GOOGLETRANSLATE(H3799,""EN"",""ES"")"),"Relacionados con la gastronomía, sin impacto en la imagen corporativa de Repsol.")</f>
        <v>Relacionados con la gastronomía, sin impacto en la imagen corporativa de Repsol.</v>
      </c>
      <c r="J3799" s="26" t="s">
        <v>27</v>
      </c>
      <c r="K3799" s="17">
        <v>0.0</v>
      </c>
      <c r="L3799" s="54"/>
      <c r="M3799" s="31"/>
      <c r="N3799" s="93"/>
      <c r="O3799" s="93"/>
      <c r="P3799" s="20">
        <v>0.0</v>
      </c>
      <c r="Q3799" s="31"/>
      <c r="R3799" s="31"/>
      <c r="S3799" s="53"/>
      <c r="T3799" s="32"/>
    </row>
    <row r="3800">
      <c r="A3800" s="33" t="s">
        <v>26669</v>
      </c>
      <c r="B3800" s="76" t="s">
        <v>674</v>
      </c>
      <c r="C3800" s="41">
        <v>45585.0</v>
      </c>
      <c r="D3800" s="40" t="s">
        <v>26670</v>
      </c>
      <c r="E3800" s="41" t="s">
        <v>26671</v>
      </c>
      <c r="F3800" s="43" t="s">
        <v>26672</v>
      </c>
      <c r="G3800" s="43" t="s">
        <v>26673</v>
      </c>
      <c r="H3800" s="51" t="s">
        <v>55</v>
      </c>
      <c r="I3800" s="15" t="str">
        <f>IFERROR(__xludf.DUMMYFUNCTION("GOOGLETRANSLATE(H3800,""EN"",""ES"")"),"deportes de motor")</f>
        <v>deportes de motor</v>
      </c>
      <c r="J3800" s="16" t="s">
        <v>27</v>
      </c>
      <c r="K3800" s="17">
        <v>0.0</v>
      </c>
      <c r="L3800" s="45"/>
      <c r="M3800" s="18"/>
      <c r="N3800" s="94"/>
      <c r="O3800" s="94"/>
      <c r="P3800" s="20">
        <v>0.0</v>
      </c>
      <c r="Q3800" s="18"/>
      <c r="R3800" s="18"/>
      <c r="S3800" s="52"/>
      <c r="T3800" s="22"/>
    </row>
    <row r="3801">
      <c r="A3801" s="23" t="s">
        <v>26674</v>
      </c>
      <c r="B3801" s="77" t="s">
        <v>674</v>
      </c>
      <c r="C3801" s="41">
        <v>45585.0</v>
      </c>
      <c r="D3801" s="40" t="s">
        <v>26675</v>
      </c>
      <c r="E3801" s="41" t="s">
        <v>26676</v>
      </c>
      <c r="F3801" s="43" t="s">
        <v>26677</v>
      </c>
      <c r="G3801" s="43" t="s">
        <v>26678</v>
      </c>
      <c r="H3801" s="51" t="s">
        <v>55</v>
      </c>
      <c r="I3801" s="25" t="str">
        <f>IFERROR(__xludf.DUMMYFUNCTION("GOOGLETRANSLATE(H3801,""EN"",""ES"")"),"deportes de motor")</f>
        <v>deportes de motor</v>
      </c>
      <c r="J3801" s="26" t="s">
        <v>27</v>
      </c>
      <c r="K3801" s="17">
        <v>0.0</v>
      </c>
      <c r="L3801" s="54"/>
      <c r="M3801" s="31"/>
      <c r="N3801" s="93"/>
      <c r="O3801" s="93"/>
      <c r="P3801" s="20">
        <v>0.0</v>
      </c>
      <c r="Q3801" s="31"/>
      <c r="R3801" s="31"/>
      <c r="S3801" s="53"/>
      <c r="T3801" s="32"/>
    </row>
    <row r="3802">
      <c r="A3802" s="33" t="s">
        <v>26679</v>
      </c>
      <c r="B3802" s="76" t="s">
        <v>674</v>
      </c>
      <c r="C3802" s="41">
        <v>45585.0</v>
      </c>
      <c r="D3802" s="40" t="s">
        <v>26680</v>
      </c>
      <c r="E3802" s="41" t="s">
        <v>26681</v>
      </c>
      <c r="F3802" s="43" t="s">
        <v>26682</v>
      </c>
      <c r="G3802" s="43" t="s">
        <v>26683</v>
      </c>
      <c r="H3802" s="51" t="s">
        <v>55</v>
      </c>
      <c r="I3802" s="15" t="str">
        <f>IFERROR(__xludf.DUMMYFUNCTION("GOOGLETRANSLATE(H3802,""EN"",""ES"")"),"deportes de motor")</f>
        <v>deportes de motor</v>
      </c>
      <c r="J3802" s="16" t="s">
        <v>27</v>
      </c>
      <c r="K3802" s="17">
        <v>0.0</v>
      </c>
      <c r="L3802" s="45"/>
      <c r="M3802" s="18"/>
      <c r="N3802" s="94"/>
      <c r="O3802" s="94"/>
      <c r="P3802" s="20">
        <v>0.0</v>
      </c>
      <c r="Q3802" s="18"/>
      <c r="R3802" s="18"/>
      <c r="S3802" s="52"/>
      <c r="T3802" s="22"/>
    </row>
    <row r="3803">
      <c r="A3803" s="23" t="s">
        <v>26684</v>
      </c>
      <c r="B3803" s="77" t="s">
        <v>1072</v>
      </c>
      <c r="C3803" s="41">
        <v>45586.0</v>
      </c>
      <c r="D3803" s="40" t="s">
        <v>26685</v>
      </c>
      <c r="E3803" s="41" t="s">
        <v>26686</v>
      </c>
      <c r="F3803" s="43" t="s">
        <v>26687</v>
      </c>
      <c r="G3803" s="43" t="s">
        <v>26688</v>
      </c>
      <c r="H3803" s="51" t="s">
        <v>25072</v>
      </c>
      <c r="I3803" s="25" t="str">
        <f>IFERROR(__xludf.DUMMYFUNCTION("GOOGLETRANSLATE(H3803,""EN"",""ES"")"),"Petróleo y energía")</f>
        <v>Petróleo y energía</v>
      </c>
      <c r="J3803" s="26" t="s">
        <v>35</v>
      </c>
      <c r="K3803" s="48">
        <v>0.7</v>
      </c>
      <c r="L3803" s="49" t="s">
        <v>26689</v>
      </c>
      <c r="M3803" s="28" t="s">
        <v>26690</v>
      </c>
      <c r="N3803" s="93" t="s">
        <v>26691</v>
      </c>
      <c r="O3803" s="93" t="str">
        <f>IFERROR(__xludf.DUMMYFUNCTION("GOOGLETRANSLATE(N3803,""EN"",""ES"")"),"Positivo porque pone de relieve la apuesta de Repsol por las energías renovables.")</f>
        <v>Positivo porque pone de relieve la apuesta de Repsol por las energías renovables.</v>
      </c>
      <c r="P3803" s="30">
        <v>0.5</v>
      </c>
      <c r="Q3803" s="31" t="str">
        <f>IFERROR(__xludf.DUMMYFUNCTION("GOOGLETRANSLATE(R3803,""ES"",""EN"")"),"investment, green hydrogen")</f>
        <v>investment, green hydrogen</v>
      </c>
      <c r="R3803" s="28" t="s">
        <v>26690</v>
      </c>
      <c r="S3803" s="53" t="s">
        <v>22983</v>
      </c>
      <c r="T3803" s="32" t="s">
        <v>22984</v>
      </c>
    </row>
    <row r="3804">
      <c r="A3804" s="33" t="s">
        <v>26692</v>
      </c>
      <c r="B3804" s="76" t="s">
        <v>626</v>
      </c>
      <c r="C3804" s="41">
        <v>45586.0</v>
      </c>
      <c r="D3804" s="40" t="s">
        <v>26693</v>
      </c>
      <c r="E3804" s="41" t="s">
        <v>26694</v>
      </c>
      <c r="F3804" s="43" t="s">
        <v>26695</v>
      </c>
      <c r="G3804" s="43" t="s">
        <v>26696</v>
      </c>
      <c r="H3804" s="51" t="s">
        <v>25072</v>
      </c>
      <c r="I3804" s="15" t="str">
        <f>IFERROR(__xludf.DUMMYFUNCTION("GOOGLETRANSLATE(H3804,""EN"",""ES"")"),"Petróleo y energía")</f>
        <v>Petróleo y energía</v>
      </c>
      <c r="J3804" s="16" t="s">
        <v>35</v>
      </c>
      <c r="K3804" s="48">
        <v>-0.7</v>
      </c>
      <c r="L3804" s="51" t="s">
        <v>26697</v>
      </c>
      <c r="M3804" s="34" t="s">
        <v>26698</v>
      </c>
      <c r="N3804" s="94" t="s">
        <v>26699</v>
      </c>
      <c r="O3804" s="94" t="str">
        <f>IFERROR(__xludf.DUMMYFUNCTION("GOOGLETRANSLATE(N3804,""EN"",""ES"")"),"Negativo ya que sugiere inestabilidad y conflicto con el gobierno.")</f>
        <v>Negativo ya que sugiere inestabilidad y conflicto con el gobierno.</v>
      </c>
      <c r="P3804" s="30">
        <v>-0.7</v>
      </c>
      <c r="Q3804" s="18" t="str">
        <f>IFERROR(__xludf.DUMMYFUNCTION("GOOGLETRANSLATE(R3804,""ES"",""EN"")"),"flee, blocked")</f>
        <v>flee, blocked</v>
      </c>
      <c r="R3804" s="34" t="s">
        <v>26700</v>
      </c>
      <c r="S3804" s="52" t="s">
        <v>26701</v>
      </c>
      <c r="T3804" s="22" t="s">
        <v>26702</v>
      </c>
    </row>
    <row r="3805">
      <c r="A3805" s="23" t="s">
        <v>26703</v>
      </c>
      <c r="B3805" s="77" t="s">
        <v>499</v>
      </c>
      <c r="C3805" s="41">
        <v>45586.0</v>
      </c>
      <c r="D3805" s="40" t="s">
        <v>26704</v>
      </c>
      <c r="E3805" s="41" t="s">
        <v>26705</v>
      </c>
      <c r="F3805" s="43" t="s">
        <v>26706</v>
      </c>
      <c r="G3805" s="43" t="s">
        <v>26707</v>
      </c>
      <c r="H3805" s="51" t="s">
        <v>25072</v>
      </c>
      <c r="I3805" s="25" t="str">
        <f>IFERROR(__xludf.DUMMYFUNCTION("GOOGLETRANSLATE(H3805,""EN"",""ES"")"),"Petróleo y energía")</f>
        <v>Petróleo y energía</v>
      </c>
      <c r="J3805" s="26" t="s">
        <v>35</v>
      </c>
      <c r="K3805" s="48">
        <v>-0.6</v>
      </c>
      <c r="L3805" s="49" t="s">
        <v>26708</v>
      </c>
      <c r="M3805" s="28" t="s">
        <v>26709</v>
      </c>
      <c r="N3805" s="93" t="s">
        <v>26710</v>
      </c>
      <c r="O3805" s="93" t="str">
        <f>IFERROR(__xludf.DUMMYFUNCTION("GOOGLETRANSLATE(N3805,""EN"",""ES"")"),"Negativo porque implica un desplazamiento de la inversión fuera de España debido a la incertidumbre política.")</f>
        <v>Negativo porque implica un desplazamiento de la inversión fuera de España debido a la incertidumbre política.</v>
      </c>
      <c r="P3805" s="30">
        <v>-0.4</v>
      </c>
      <c r="Q3805" s="31" t="str">
        <f>IFERROR(__xludf.DUMMYFUNCTION("GOOGLETRANSLATE(R3805,""ES"",""EN"")"),"investment, stand by")</f>
        <v>investment, stand by</v>
      </c>
      <c r="R3805" s="28" t="s">
        <v>26711</v>
      </c>
      <c r="S3805" s="53" t="s">
        <v>26712</v>
      </c>
      <c r="T3805" s="32" t="s">
        <v>26713</v>
      </c>
    </row>
    <row r="3806">
      <c r="A3806" s="33" t="s">
        <v>26714</v>
      </c>
      <c r="B3806" s="76" t="s">
        <v>217</v>
      </c>
      <c r="C3806" s="41">
        <v>45586.0</v>
      </c>
      <c r="D3806" s="40" t="s">
        <v>26715</v>
      </c>
      <c r="E3806" s="41" t="s">
        <v>26716</v>
      </c>
      <c r="F3806" s="43" t="s">
        <v>26717</v>
      </c>
      <c r="G3806" s="43" t="s">
        <v>26718</v>
      </c>
      <c r="H3806" s="51" t="s">
        <v>25072</v>
      </c>
      <c r="I3806" s="15" t="str">
        <f>IFERROR(__xludf.DUMMYFUNCTION("GOOGLETRANSLATE(H3806,""EN"",""ES"")"),"Petróleo y energía")</f>
        <v>Petróleo y energía</v>
      </c>
      <c r="J3806" s="16" t="s">
        <v>35</v>
      </c>
      <c r="K3806" s="48">
        <v>-0.7</v>
      </c>
      <c r="L3806" s="51" t="s">
        <v>26719</v>
      </c>
      <c r="M3806" s="34" t="s">
        <v>26720</v>
      </c>
      <c r="N3806" s="94" t="s">
        <v>26721</v>
      </c>
      <c r="O3806" s="94" t="str">
        <f>IFERROR(__xludf.DUMMYFUNCTION("GOOGLETRANSLATE(N3806,""EN"",""ES"")"),"Negativo ya que refuerza la narrativa de conflicto gubernamental y pérdida de inversiones.")</f>
        <v>Negativo ya que refuerza la narrativa de conflicto gubernamental y pérdida de inversiones.</v>
      </c>
      <c r="P3806" s="30">
        <v>-0.6</v>
      </c>
      <c r="Q3806" s="18" t="str">
        <f>IFERROR(__xludf.DUMMYFUNCTION("GOOGLETRANSLATE(R3806,""ES"",""EN"")"),"move investments, tax")</f>
        <v>move investments, tax</v>
      </c>
      <c r="R3806" s="34" t="s">
        <v>26722</v>
      </c>
      <c r="S3806" s="52" t="s">
        <v>26723</v>
      </c>
      <c r="T3806" s="22" t="s">
        <v>26724</v>
      </c>
    </row>
    <row r="3807">
      <c r="A3807" s="23" t="s">
        <v>26725</v>
      </c>
      <c r="B3807" s="77" t="s">
        <v>3045</v>
      </c>
      <c r="C3807" s="41">
        <v>45586.0</v>
      </c>
      <c r="D3807" s="40" t="s">
        <v>26726</v>
      </c>
      <c r="E3807" s="41" t="s">
        <v>26727</v>
      </c>
      <c r="F3807" s="43" t="s">
        <v>26728</v>
      </c>
      <c r="G3807" s="43" t="s">
        <v>26729</v>
      </c>
      <c r="H3807" s="51" t="s">
        <v>25072</v>
      </c>
      <c r="I3807" s="25" t="str">
        <f>IFERROR(__xludf.DUMMYFUNCTION("GOOGLETRANSLATE(H3807,""EN"",""ES"")"),"Petróleo y energía")</f>
        <v>Petróleo y energía</v>
      </c>
      <c r="J3807" s="26" t="s">
        <v>35</v>
      </c>
      <c r="K3807" s="48">
        <v>-0.7</v>
      </c>
      <c r="L3807" s="49" t="s">
        <v>26730</v>
      </c>
      <c r="M3807" s="28" t="s">
        <v>26731</v>
      </c>
      <c r="N3807" s="93" t="s">
        <v>26732</v>
      </c>
      <c r="O3807" s="93" t="str">
        <f>IFERROR(__xludf.DUMMYFUNCTION("GOOGLETRANSLATE(N3807,""EN"",""ES"")"),"Negativo porque retrata incertidumbre y relaciones tensas con el gobierno.")</f>
        <v>Negativo porque retrata incertidumbre y relaciones tensas con el gobierno.</v>
      </c>
      <c r="P3807" s="30">
        <v>-0.8</v>
      </c>
      <c r="Q3807" s="31" t="str">
        <f>IFERROR(__xludf.DUMMYFUNCTION("GOOGLETRANSLATE(R3807,""ES"",""EN"")"),"transfer, rejection")</f>
        <v>transfer, rejection</v>
      </c>
      <c r="R3807" s="28" t="s">
        <v>26733</v>
      </c>
      <c r="S3807" s="53" t="s">
        <v>26734</v>
      </c>
      <c r="T3807" s="32" t="s">
        <v>26735</v>
      </c>
    </row>
    <row r="3808">
      <c r="A3808" s="33" t="s">
        <v>26736</v>
      </c>
      <c r="B3808" s="76" t="s">
        <v>403</v>
      </c>
      <c r="C3808" s="41">
        <v>45586.0</v>
      </c>
      <c r="D3808" s="40" t="s">
        <v>26737</v>
      </c>
      <c r="E3808" s="41" t="s">
        <v>26738</v>
      </c>
      <c r="F3808" s="43" t="s">
        <v>26739</v>
      </c>
      <c r="G3808" s="43" t="s">
        <v>26740</v>
      </c>
      <c r="H3808" s="51" t="s">
        <v>25072</v>
      </c>
      <c r="I3808" s="15" t="str">
        <f>IFERROR(__xludf.DUMMYFUNCTION("GOOGLETRANSLATE(H3808,""EN"",""ES"")"),"Petróleo y energía")</f>
        <v>Petróleo y energía</v>
      </c>
      <c r="J3808" s="16" t="s">
        <v>35</v>
      </c>
      <c r="K3808" s="48">
        <v>0.6</v>
      </c>
      <c r="L3808" s="51" t="s">
        <v>26741</v>
      </c>
      <c r="M3808" s="34" t="s">
        <v>26742</v>
      </c>
      <c r="N3808" s="94" t="s">
        <v>26743</v>
      </c>
      <c r="O3808" s="94" t="str">
        <f>IFERROR(__xludf.DUMMYFUNCTION("GOOGLETRANSLATE(N3808,""EN"",""ES"")"),"Positivo porque pone de relieve el papel de Repsol en proyectos energéticos innovadores y sostenibles.")</f>
        <v>Positivo porque pone de relieve el papel de Repsol en proyectos energéticos innovadores y sostenibles.</v>
      </c>
      <c r="P3808" s="30">
        <v>0.4</v>
      </c>
      <c r="Q3808" s="18" t="str">
        <f>IFERROR(__xludf.DUMMYFUNCTION("GOOGLETRANSLATE(R3808,""ES"",""EN"")"),"invest, electric chargers")</f>
        <v>invest, electric chargers</v>
      </c>
      <c r="R3808" s="34" t="s">
        <v>26744</v>
      </c>
      <c r="S3808" s="52" t="s">
        <v>26745</v>
      </c>
      <c r="T3808" s="22" t="s">
        <v>26746</v>
      </c>
    </row>
    <row r="3809">
      <c r="A3809" s="23" t="s">
        <v>26747</v>
      </c>
      <c r="B3809" s="77" t="s">
        <v>2442</v>
      </c>
      <c r="C3809" s="41">
        <v>45586.0</v>
      </c>
      <c r="D3809" s="40" t="s">
        <v>26748</v>
      </c>
      <c r="E3809" s="41" t="s">
        <v>26749</v>
      </c>
      <c r="F3809" s="43" t="s">
        <v>26750</v>
      </c>
      <c r="G3809" s="43" t="s">
        <v>26751</v>
      </c>
      <c r="H3809" s="51" t="s">
        <v>25072</v>
      </c>
      <c r="I3809" s="25" t="str">
        <f>IFERROR(__xludf.DUMMYFUNCTION("GOOGLETRANSLATE(H3809,""EN"",""ES"")"),"Petróleo y energía")</f>
        <v>Petróleo y energía</v>
      </c>
      <c r="J3809" s="26" t="s">
        <v>35</v>
      </c>
      <c r="K3809" s="48">
        <v>-0.5</v>
      </c>
      <c r="L3809" s="49" t="s">
        <v>26752</v>
      </c>
      <c r="M3809" s="28" t="s">
        <v>26753</v>
      </c>
      <c r="N3809" s="93" t="s">
        <v>26754</v>
      </c>
      <c r="O3809" s="93" t="str">
        <f>IFERROR(__xludf.DUMMYFUNCTION("GOOGLETRANSLATE(N3809,""EN"",""ES"")"),"Negativo ya que indica riesgos potenciales de inversión debido a la política gubernamental.")</f>
        <v>Negativo ya que indica riesgos potenciales de inversión debido a la política gubernamental.</v>
      </c>
      <c r="P3809" s="30">
        <v>0.3</v>
      </c>
      <c r="Q3809" s="31" t="str">
        <f>IFERROR(__xludf.DUMMYFUNCTION("GOOGLETRANSLATE(R3809,""ES"",""EN"")"),"save, investment")</f>
        <v>save, investment</v>
      </c>
      <c r="R3809" s="28" t="s">
        <v>26755</v>
      </c>
      <c r="S3809" s="53" t="s">
        <v>26756</v>
      </c>
      <c r="T3809" s="32" t="s">
        <v>26757</v>
      </c>
    </row>
    <row r="3810">
      <c r="A3810" s="33" t="s">
        <v>26758</v>
      </c>
      <c r="B3810" s="76" t="s">
        <v>1993</v>
      </c>
      <c r="C3810" s="41">
        <v>45586.0</v>
      </c>
      <c r="D3810" s="40" t="s">
        <v>26759</v>
      </c>
      <c r="E3810" s="41" t="s">
        <v>26760</v>
      </c>
      <c r="F3810" s="43" t="s">
        <v>26761</v>
      </c>
      <c r="G3810" s="43" t="s">
        <v>26762</v>
      </c>
      <c r="H3810" s="51" t="s">
        <v>25072</v>
      </c>
      <c r="I3810" s="15" t="str">
        <f>IFERROR(__xludf.DUMMYFUNCTION("GOOGLETRANSLATE(H3810,""EN"",""ES"")"),"Petróleo y energía")</f>
        <v>Petróleo y energía</v>
      </c>
      <c r="J3810" s="16" t="s">
        <v>35</v>
      </c>
      <c r="K3810" s="48">
        <v>-0.5</v>
      </c>
      <c r="L3810" s="51" t="s">
        <v>26763</v>
      </c>
      <c r="M3810" s="34" t="s">
        <v>26764</v>
      </c>
      <c r="N3810" s="94" t="s">
        <v>26765</v>
      </c>
      <c r="O3810" s="94" t="str">
        <f>IFERROR(__xludf.DUMMYFUNCTION("GOOGLETRANSLATE(N3810,""EN"",""ES"")"),"Impacto mixto; La sostenibilidad es positiva, pero la deslocalización por impuestos presenta una percepción negativa.")</f>
        <v>Impacto mixto; La sostenibilidad es positiva, pero la deslocalización por impuestos presenta una percepción negativa.</v>
      </c>
      <c r="P3810" s="30">
        <v>-0.5</v>
      </c>
      <c r="Q3810" s="18" t="str">
        <f>IFERROR(__xludf.DUMMYFUNCTION("GOOGLETRANSLATE(R3810,""ES"",""EN"")"),"threat, renewable plant")</f>
        <v>threat, renewable plant</v>
      </c>
      <c r="R3810" s="34" t="s">
        <v>26766</v>
      </c>
      <c r="S3810" s="52" t="s">
        <v>26767</v>
      </c>
      <c r="T3810" s="22" t="s">
        <v>26768</v>
      </c>
    </row>
    <row r="3811">
      <c r="A3811" s="23" t="s">
        <v>26769</v>
      </c>
      <c r="B3811" s="77" t="s">
        <v>1128</v>
      </c>
      <c r="C3811" s="41">
        <v>45586.0</v>
      </c>
      <c r="D3811" s="40" t="s">
        <v>26770</v>
      </c>
      <c r="E3811" s="41" t="s">
        <v>26771</v>
      </c>
      <c r="F3811" s="43" t="s">
        <v>26772</v>
      </c>
      <c r="G3811" s="43" t="s">
        <v>26773</v>
      </c>
      <c r="H3811" s="51" t="s">
        <v>26</v>
      </c>
      <c r="I3811" s="25" t="str">
        <f>IFERROR(__xludf.DUMMYFUNCTION("GOOGLETRANSLATE(H3811,""EN"",""ES"")"),"Otro")</f>
        <v>Otro</v>
      </c>
      <c r="J3811" s="26" t="s">
        <v>27</v>
      </c>
      <c r="K3811" s="17">
        <v>0.0</v>
      </c>
      <c r="L3811" s="54"/>
      <c r="M3811" s="31"/>
      <c r="N3811" s="93"/>
      <c r="O3811" s="93"/>
      <c r="P3811" s="20">
        <v>0.0</v>
      </c>
      <c r="Q3811" s="31"/>
      <c r="R3811" s="31"/>
      <c r="S3811" s="53"/>
      <c r="T3811" s="32"/>
    </row>
    <row r="3812">
      <c r="A3812" s="33" t="s">
        <v>26774</v>
      </c>
      <c r="B3812" s="76" t="s">
        <v>1831</v>
      </c>
      <c r="C3812" s="41">
        <v>45586.0</v>
      </c>
      <c r="D3812" s="40" t="s">
        <v>26775</v>
      </c>
      <c r="E3812" s="41" t="s">
        <v>26776</v>
      </c>
      <c r="F3812" s="43" t="s">
        <v>26777</v>
      </c>
      <c r="G3812" s="43" t="s">
        <v>26778</v>
      </c>
      <c r="H3812" s="51" t="s">
        <v>25072</v>
      </c>
      <c r="I3812" s="15" t="str">
        <f>IFERROR(__xludf.DUMMYFUNCTION("GOOGLETRANSLATE(H3812,""EN"",""ES"")"),"Petróleo y energía")</f>
        <v>Petróleo y energía</v>
      </c>
      <c r="J3812" s="16" t="s">
        <v>35</v>
      </c>
      <c r="K3812" s="48">
        <v>-0.7</v>
      </c>
      <c r="L3812" s="51" t="s">
        <v>26779</v>
      </c>
      <c r="M3812" s="34" t="s">
        <v>26780</v>
      </c>
      <c r="N3812" s="94" t="s">
        <v>26781</v>
      </c>
      <c r="O3812" s="94" t="str">
        <f>IFERROR(__xludf.DUMMYFUNCTION("GOOGLETRANSLATE(N3812,""EN"",""ES"")"),"Negativo porque indica inestabilidad y fuga de capitales impulsada por políticas.")</f>
        <v>Negativo porque indica inestabilidad y fuga de capitales impulsada por políticas.</v>
      </c>
      <c r="P3812" s="30">
        <v>-0.7</v>
      </c>
      <c r="Q3812" s="18" t="str">
        <f>IFERROR(__xludf.DUMMYFUNCTION("GOOGLETRANSLATE(R3812,""ES"",""EN"")"),"transfer, tax")</f>
        <v>transfer, tax</v>
      </c>
      <c r="R3812" s="34" t="s">
        <v>26782</v>
      </c>
      <c r="S3812" s="52" t="s">
        <v>26783</v>
      </c>
      <c r="T3812" s="22" t="s">
        <v>26784</v>
      </c>
    </row>
    <row r="3813">
      <c r="A3813" s="23" t="s">
        <v>26785</v>
      </c>
      <c r="B3813" s="77" t="s">
        <v>448</v>
      </c>
      <c r="C3813" s="41">
        <v>45586.0</v>
      </c>
      <c r="D3813" s="40" t="s">
        <v>26786</v>
      </c>
      <c r="E3813" s="41" t="s">
        <v>26787</v>
      </c>
      <c r="F3813" s="43" t="s">
        <v>26788</v>
      </c>
      <c r="G3813" s="43" t="s">
        <v>26789</v>
      </c>
      <c r="H3813" s="51" t="s">
        <v>25072</v>
      </c>
      <c r="I3813" s="25" t="str">
        <f>IFERROR(__xludf.DUMMYFUNCTION("GOOGLETRANSLATE(H3813,""EN"",""ES"")"),"Petróleo y energía")</f>
        <v>Petróleo y energía</v>
      </c>
      <c r="J3813" s="26" t="s">
        <v>35</v>
      </c>
      <c r="K3813" s="48">
        <v>-0.7</v>
      </c>
      <c r="L3813" s="49" t="s">
        <v>26790</v>
      </c>
      <c r="M3813" s="28" t="s">
        <v>26791</v>
      </c>
      <c r="N3813" s="93" t="s">
        <v>26792</v>
      </c>
      <c r="O3813" s="93" t="str">
        <f>IFERROR(__xludf.DUMMYFUNCTION("GOOGLETRANSLATE(N3813,""EN"",""ES"")"),"Negativo debido a la incertidumbre económica y la percepción de conflicto gubernamental.")</f>
        <v>Negativo debido a la incertidumbre económica y la percepción de conflicto gubernamental.</v>
      </c>
      <c r="P3813" s="30">
        <v>-0.8</v>
      </c>
      <c r="Q3813" s="31" t="str">
        <f>IFERROR(__xludf.DUMMYFUNCTION("GOOGLETRANSLATE(R3813,""ES"",""EN"")"),"threat, protest")</f>
        <v>threat, protest</v>
      </c>
      <c r="R3813" s="28" t="s">
        <v>26793</v>
      </c>
      <c r="S3813" s="53" t="s">
        <v>26794</v>
      </c>
      <c r="T3813" s="32" t="s">
        <v>26795</v>
      </c>
    </row>
    <row r="3814">
      <c r="A3814" s="33" t="s">
        <v>26796</v>
      </c>
      <c r="B3814" s="76" t="s">
        <v>26797</v>
      </c>
      <c r="C3814" s="41">
        <v>45586.0</v>
      </c>
      <c r="D3814" s="40" t="s">
        <v>26798</v>
      </c>
      <c r="E3814" s="41" t="s">
        <v>26799</v>
      </c>
      <c r="F3814" s="43" t="s">
        <v>26800</v>
      </c>
      <c r="G3814" s="43" t="s">
        <v>26801</v>
      </c>
      <c r="H3814" s="51" t="s">
        <v>25072</v>
      </c>
      <c r="I3814" s="15" t="str">
        <f>IFERROR(__xludf.DUMMYFUNCTION("GOOGLETRANSLATE(H3814,""EN"",""ES"")"),"Petróleo y energía")</f>
        <v>Petróleo y energía</v>
      </c>
      <c r="J3814" s="16" t="s">
        <v>35</v>
      </c>
      <c r="K3814" s="48">
        <v>-0.7</v>
      </c>
      <c r="L3814" s="51" t="s">
        <v>26802</v>
      </c>
      <c r="M3814" s="34" t="s">
        <v>26803</v>
      </c>
      <c r="N3814" s="94" t="s">
        <v>26804</v>
      </c>
      <c r="O3814" s="94" t="str">
        <f>IFERROR(__xludf.DUMMYFUNCTION("GOOGLETRANSLATE(N3814,""EN"",""ES"")"),"Negativo ya que indica potencial pérdida de capital y retirada de inversiones de España.")</f>
        <v>Negativo ya que indica potencial pérdida de capital y retirada de inversiones de España.</v>
      </c>
      <c r="P3814" s="30">
        <v>-0.9</v>
      </c>
      <c r="Q3814" s="18" t="str">
        <f>IFERROR(__xludf.DUMMYFUNCTION("GOOGLETRANSLATE(R3814,""ES"",""EN"")"),"move, instability")</f>
        <v>move, instability</v>
      </c>
      <c r="R3814" s="34" t="s">
        <v>26805</v>
      </c>
      <c r="S3814" s="52" t="s">
        <v>26806</v>
      </c>
      <c r="T3814" s="22" t="s">
        <v>26807</v>
      </c>
    </row>
    <row r="3815">
      <c r="A3815" s="23" t="s">
        <v>26808</v>
      </c>
      <c r="B3815" s="77" t="s">
        <v>881</v>
      </c>
      <c r="C3815" s="41">
        <v>45586.0</v>
      </c>
      <c r="D3815" s="40" t="s">
        <v>26809</v>
      </c>
      <c r="E3815" s="41" t="s">
        <v>26810</v>
      </c>
      <c r="F3815" s="43" t="s">
        <v>26811</v>
      </c>
      <c r="G3815" s="43" t="s">
        <v>26812</v>
      </c>
      <c r="H3815" s="51" t="s">
        <v>25072</v>
      </c>
      <c r="I3815" s="25" t="str">
        <f>IFERROR(__xludf.DUMMYFUNCTION("GOOGLETRANSLATE(H3815,""EN"",""ES"")"),"Petróleo y energía")</f>
        <v>Petróleo y energía</v>
      </c>
      <c r="J3815" s="26" t="s">
        <v>35</v>
      </c>
      <c r="K3815" s="48">
        <v>-0.7</v>
      </c>
      <c r="L3815" s="49" t="s">
        <v>26813</v>
      </c>
      <c r="M3815" s="28" t="s">
        <v>26814</v>
      </c>
      <c r="N3815" s="93" t="s">
        <v>26815</v>
      </c>
      <c r="O3815" s="93" t="str">
        <f>IFERROR(__xludf.DUMMYFUNCTION("GOOGLETRANSLATE(N3815,""EN"",""ES"")"),"Negativo debido a la incertidumbre en materia de inversiones y posibles repercusiones económicas.")</f>
        <v>Negativo debido a la incertidumbre en materia de inversiones y posibles repercusiones económicas.</v>
      </c>
      <c r="P3815" s="30">
        <v>-0.6</v>
      </c>
      <c r="Q3815" s="31" t="str">
        <f>IFERROR(__xludf.DUMMYFUNCTION("GOOGLETRANSLATE(R3815,""ES"",""EN"")"),"hanging by a thread")</f>
        <v>hanging by a thread</v>
      </c>
      <c r="R3815" s="28" t="s">
        <v>26816</v>
      </c>
      <c r="S3815" s="53" t="s">
        <v>26817</v>
      </c>
      <c r="T3815" s="32" t="s">
        <v>26818</v>
      </c>
    </row>
    <row r="3816">
      <c r="A3816" s="33" t="s">
        <v>26819</v>
      </c>
      <c r="B3816" s="76" t="s">
        <v>9516</v>
      </c>
      <c r="C3816" s="41">
        <v>45586.0</v>
      </c>
      <c r="D3816" s="40" t="s">
        <v>26820</v>
      </c>
      <c r="E3816" s="41" t="s">
        <v>26821</v>
      </c>
      <c r="F3816" s="43" t="s">
        <v>26822</v>
      </c>
      <c r="G3816" s="43" t="s">
        <v>26823</v>
      </c>
      <c r="H3816" s="51" t="s">
        <v>25072</v>
      </c>
      <c r="I3816" s="15" t="str">
        <f>IFERROR(__xludf.DUMMYFUNCTION("GOOGLETRANSLATE(H3816,""EN"",""ES"")"),"Petróleo y energía")</f>
        <v>Petróleo y energía</v>
      </c>
      <c r="J3816" s="16" t="s">
        <v>35</v>
      </c>
      <c r="K3816" s="48">
        <v>0.6</v>
      </c>
      <c r="L3816" s="51" t="s">
        <v>26824</v>
      </c>
      <c r="M3816" s="34" t="s">
        <v>26825</v>
      </c>
      <c r="N3816" s="94" t="s">
        <v>26826</v>
      </c>
      <c r="O3816" s="94" t="str">
        <f>IFERROR(__xludf.DUMMYFUNCTION("GOOGLETRANSLATE(N3816,""EN"",""ES"")"),"Positivo por los esfuerzos de sostenibilidad a pesar de la reubicación de inversiones.")</f>
        <v>Positivo por los esfuerzos de sostenibilidad a pesar de la reubicación de inversiones.</v>
      </c>
      <c r="P3816" s="30">
        <v>0.6</v>
      </c>
      <c r="Q3816" s="18" t="str">
        <f>IFERROR(__xludf.DUMMYFUNCTION("GOOGLETRANSLATE(R3816,""ES"",""EN"")"),"bet, renewable hydrogen")</f>
        <v>bet, renewable hydrogen</v>
      </c>
      <c r="R3816" s="34" t="s">
        <v>26827</v>
      </c>
      <c r="S3816" s="52" t="s">
        <v>26828</v>
      </c>
      <c r="T3816" s="22" t="s">
        <v>26829</v>
      </c>
    </row>
    <row r="3817">
      <c r="A3817" s="23" t="s">
        <v>26830</v>
      </c>
      <c r="B3817" s="77" t="s">
        <v>3992</v>
      </c>
      <c r="C3817" s="41">
        <v>45586.0</v>
      </c>
      <c r="D3817" s="40" t="s">
        <v>26831</v>
      </c>
      <c r="E3817" s="41" t="s">
        <v>26832</v>
      </c>
      <c r="F3817" s="43" t="s">
        <v>26833</v>
      </c>
      <c r="G3817" s="43" t="s">
        <v>26834</v>
      </c>
      <c r="H3817" s="51" t="s">
        <v>25072</v>
      </c>
      <c r="I3817" s="25" t="str">
        <f>IFERROR(__xludf.DUMMYFUNCTION("GOOGLETRANSLATE(H3817,""EN"",""ES"")"),"Petróleo y energía")</f>
        <v>Petróleo y energía</v>
      </c>
      <c r="J3817" s="26" t="s">
        <v>35</v>
      </c>
      <c r="K3817" s="48">
        <v>-0.7</v>
      </c>
      <c r="L3817" s="49" t="s">
        <v>26835</v>
      </c>
      <c r="M3817" s="28" t="s">
        <v>26836</v>
      </c>
      <c r="N3817" s="93" t="s">
        <v>26837</v>
      </c>
      <c r="O3817" s="93" t="str">
        <f>IFERROR(__xludf.DUMMYFUNCTION("GOOGLETRANSLATE(N3817,""EN"",""ES"")"),"Negativo ya que sugiere incertidumbre económica y posible perturbación de la industria.")</f>
        <v>Negativo ya que sugiere incertidumbre económica y posible perturbación de la industria.</v>
      </c>
      <c r="P3817" s="30">
        <v>-0.9</v>
      </c>
      <c r="Q3817" s="31" t="str">
        <f>IFERROR(__xludf.DUMMYFUNCTION("GOOGLETRANSLATE(R3817,""ES"",""EN"")"),"freeze, imposed")</f>
        <v>freeze, imposed</v>
      </c>
      <c r="R3817" s="28" t="s">
        <v>26838</v>
      </c>
      <c r="S3817" s="53" t="s">
        <v>9926</v>
      </c>
      <c r="T3817" s="32" t="s">
        <v>9927</v>
      </c>
    </row>
    <row r="3818">
      <c r="A3818" s="33" t="s">
        <v>26839</v>
      </c>
      <c r="B3818" s="76" t="s">
        <v>1072</v>
      </c>
      <c r="C3818" s="41">
        <v>45586.0</v>
      </c>
      <c r="D3818" s="40" t="s">
        <v>26840</v>
      </c>
      <c r="E3818" s="41" t="s">
        <v>26841</v>
      </c>
      <c r="F3818" s="43" t="s">
        <v>26842</v>
      </c>
      <c r="G3818" s="43" t="s">
        <v>26843</v>
      </c>
      <c r="H3818" s="51" t="s">
        <v>26</v>
      </c>
      <c r="I3818" s="15" t="str">
        <f>IFERROR(__xludf.DUMMYFUNCTION("GOOGLETRANSLATE(H3818,""EN"",""ES"")"),"Otro")</f>
        <v>Otro</v>
      </c>
      <c r="J3818" s="16" t="s">
        <v>35</v>
      </c>
      <c r="K3818" s="48">
        <v>0.0</v>
      </c>
      <c r="L3818" s="45"/>
      <c r="M3818" s="18"/>
      <c r="N3818" s="94" t="s">
        <v>26844</v>
      </c>
      <c r="O3818" s="94" t="str">
        <f>IFERROR(__xludf.DUMMYFUNCTION("GOOGLETRANSLATE(N3818,""EN"",""ES"")"),"Los movimientos de los mercados financieros no impactan directamente en la imagen corporativa de Repsol.")</f>
        <v>Los movimientos de los mercados financieros no impactan directamente en la imagen corporativa de Repsol.</v>
      </c>
      <c r="P3818" s="30">
        <v>0.0</v>
      </c>
      <c r="Q3818" s="18"/>
      <c r="R3818" s="18"/>
      <c r="S3818" s="52" t="s">
        <v>24576</v>
      </c>
      <c r="T3818" s="22" t="s">
        <v>26845</v>
      </c>
    </row>
    <row r="3819">
      <c r="A3819" s="23" t="s">
        <v>26846</v>
      </c>
      <c r="B3819" s="77" t="s">
        <v>1993</v>
      </c>
      <c r="C3819" s="41">
        <v>45586.0</v>
      </c>
      <c r="D3819" s="40" t="s">
        <v>26847</v>
      </c>
      <c r="E3819" s="41" t="s">
        <v>26848</v>
      </c>
      <c r="F3819" s="43" t="s">
        <v>26849</v>
      </c>
      <c r="G3819" s="43" t="s">
        <v>26850</v>
      </c>
      <c r="H3819" s="51" t="s">
        <v>25072</v>
      </c>
      <c r="I3819" s="25" t="str">
        <f>IFERROR(__xludf.DUMMYFUNCTION("GOOGLETRANSLATE(H3819,""EN"",""ES"")"),"Petróleo y energía")</f>
        <v>Petróleo y energía</v>
      </c>
      <c r="J3819" s="26" t="s">
        <v>35</v>
      </c>
      <c r="K3819" s="48">
        <v>-0.6</v>
      </c>
      <c r="L3819" s="49" t="s">
        <v>26851</v>
      </c>
      <c r="M3819" s="28" t="s">
        <v>26852</v>
      </c>
      <c r="N3819" s="93" t="s">
        <v>26853</v>
      </c>
      <c r="O3819" s="93" t="str">
        <f>IFERROR(__xludf.DUMMYFUNCTION("GOOGLETRANSLATE(N3819,""EN"",""ES"")"),"Negativo ya que refuerza la incertidumbre en torno a las políticas gubernamentales y los riesgos de inversión.")</f>
        <v>Negativo ya que refuerza la incertidumbre en torno a las políticas gubernamentales y los riesgos de inversión.</v>
      </c>
      <c r="P3819" s="30">
        <v>-0.8</v>
      </c>
      <c r="Q3819" s="31" t="str">
        <f>IFERROR(__xludf.DUMMYFUNCTION("GOOGLETRANSLATE(R3819,""ES"",""EN"")"),"danger, imposition")</f>
        <v>danger, imposition</v>
      </c>
      <c r="R3819" s="28" t="s">
        <v>26854</v>
      </c>
      <c r="S3819" s="53" t="s">
        <v>26855</v>
      </c>
      <c r="T3819" s="32" t="s">
        <v>26856</v>
      </c>
    </row>
    <row r="3820">
      <c r="A3820" s="33" t="s">
        <v>26857</v>
      </c>
      <c r="B3820" s="76" t="s">
        <v>403</v>
      </c>
      <c r="C3820" s="41">
        <v>45586.0</v>
      </c>
      <c r="D3820" s="40" t="s">
        <v>26858</v>
      </c>
      <c r="E3820" s="41" t="s">
        <v>26859</v>
      </c>
      <c r="F3820" s="43" t="s">
        <v>26860</v>
      </c>
      <c r="G3820" s="43" t="s">
        <v>26861</v>
      </c>
      <c r="H3820" s="51" t="s">
        <v>25072</v>
      </c>
      <c r="I3820" s="15" t="str">
        <f>IFERROR(__xludf.DUMMYFUNCTION("GOOGLETRANSLATE(H3820,""EN"",""ES"")"),"Petróleo y energía")</f>
        <v>Petróleo y energía</v>
      </c>
      <c r="J3820" s="16" t="s">
        <v>35</v>
      </c>
      <c r="K3820" s="48">
        <v>-0.7</v>
      </c>
      <c r="L3820" s="51" t="s">
        <v>26862</v>
      </c>
      <c r="M3820" s="34" t="s">
        <v>26863</v>
      </c>
      <c r="N3820" s="94" t="s">
        <v>26864</v>
      </c>
      <c r="O3820" s="94" t="str">
        <f>IFERROR(__xludf.DUMMYFUNCTION("GOOGLETRANSLATE(N3820,""EN"",""ES"")"),"Negativo ya que indica importantes cambios en la inversión debido a políticas desfavorables.")</f>
        <v>Negativo ya que indica importantes cambios en la inversión debido a políticas desfavorables.</v>
      </c>
      <c r="P3820" s="30">
        <v>-0.9</v>
      </c>
      <c r="Q3820" s="18" t="str">
        <f>IFERROR(__xludf.DUMMYFUNCTION("GOOGLETRANSLATE(R3820,""ES"",""EN"")"),"relocation, threat")</f>
        <v>relocation, threat</v>
      </c>
      <c r="R3820" s="34" t="s">
        <v>26865</v>
      </c>
      <c r="S3820" s="52" t="s">
        <v>26866</v>
      </c>
      <c r="T3820" s="22" t="s">
        <v>26867</v>
      </c>
    </row>
    <row r="3821">
      <c r="A3821" s="23" t="s">
        <v>26868</v>
      </c>
      <c r="B3821" s="77" t="s">
        <v>881</v>
      </c>
      <c r="C3821" s="41">
        <v>45586.0</v>
      </c>
      <c r="D3821" s="40" t="s">
        <v>26869</v>
      </c>
      <c r="E3821" s="41" t="s">
        <v>26870</v>
      </c>
      <c r="F3821" s="43" t="s">
        <v>26871</v>
      </c>
      <c r="G3821" s="43" t="s">
        <v>26872</v>
      </c>
      <c r="H3821" s="51" t="s">
        <v>25072</v>
      </c>
      <c r="I3821" s="25" t="str">
        <f>IFERROR(__xludf.DUMMYFUNCTION("GOOGLETRANSLATE(H3821,""EN"",""ES"")"),"Petróleo y energía")</f>
        <v>Petróleo y energía</v>
      </c>
      <c r="J3821" s="26" t="s">
        <v>35</v>
      </c>
      <c r="K3821" s="48">
        <v>-0.7</v>
      </c>
      <c r="L3821" s="49" t="s">
        <v>26873</v>
      </c>
      <c r="M3821" s="28" t="s">
        <v>26874</v>
      </c>
      <c r="N3821" s="93" t="s">
        <v>26875</v>
      </c>
      <c r="O3821" s="93" t="str">
        <f>IFERROR(__xludf.DUMMYFUNCTION("GOOGLETRANSLATE(N3821,""EN"",""ES"")"),"Negativo ya que indica inestabilidad económica y laboral.")</f>
        <v>Negativo ya que indica inestabilidad económica y laboral.</v>
      </c>
      <c r="P3821" s="30">
        <v>-0.7</v>
      </c>
      <c r="Q3821" s="31" t="str">
        <f>IFERROR(__xludf.DUMMYFUNCTION("GOOGLETRANSLATE(R3821,""ES"",""EN"")"),"alarm, loss")</f>
        <v>alarm, loss</v>
      </c>
      <c r="R3821" s="28" t="s">
        <v>26876</v>
      </c>
      <c r="S3821" s="53" t="s">
        <v>26877</v>
      </c>
      <c r="T3821" s="32" t="s">
        <v>26878</v>
      </c>
    </row>
    <row r="3822">
      <c r="A3822" s="33" t="s">
        <v>26879</v>
      </c>
      <c r="B3822" s="76" t="s">
        <v>21</v>
      </c>
      <c r="C3822" s="41">
        <v>45586.0</v>
      </c>
      <c r="D3822" s="40" t="s">
        <v>26880</v>
      </c>
      <c r="E3822" s="41" t="s">
        <v>26881</v>
      </c>
      <c r="F3822" s="43" t="s">
        <v>26882</v>
      </c>
      <c r="G3822" s="43" t="s">
        <v>26883</v>
      </c>
      <c r="H3822" s="51" t="s">
        <v>26</v>
      </c>
      <c r="I3822" s="15" t="str">
        <f>IFERROR(__xludf.DUMMYFUNCTION("GOOGLETRANSLATE(H3822,""EN"",""ES"")"),"Otro")</f>
        <v>Otro</v>
      </c>
      <c r="J3822" s="16" t="s">
        <v>27</v>
      </c>
      <c r="K3822" s="17">
        <v>0.0</v>
      </c>
      <c r="L3822" s="45"/>
      <c r="M3822" s="18"/>
      <c r="N3822" s="94"/>
      <c r="O3822" s="94"/>
      <c r="P3822" s="20">
        <v>0.0</v>
      </c>
      <c r="Q3822" s="18"/>
      <c r="R3822" s="18"/>
      <c r="S3822" s="52"/>
      <c r="T3822" s="22"/>
    </row>
    <row r="3823">
      <c r="A3823" s="23" t="s">
        <v>26884</v>
      </c>
      <c r="B3823" s="77" t="s">
        <v>21</v>
      </c>
      <c r="C3823" s="41">
        <v>45586.0</v>
      </c>
      <c r="D3823" s="40" t="s">
        <v>26885</v>
      </c>
      <c r="E3823" s="41" t="s">
        <v>26886</v>
      </c>
      <c r="F3823" s="43" t="s">
        <v>26887</v>
      </c>
      <c r="G3823" s="43" t="s">
        <v>26888</v>
      </c>
      <c r="H3823" s="51" t="s">
        <v>148</v>
      </c>
      <c r="I3823" s="25" t="str">
        <f>IFERROR(__xludf.DUMMYFUNCTION("GOOGLETRANSLATE(H3823,""EN"",""ES"")"),"Gastronomía")</f>
        <v>Gastronomía</v>
      </c>
      <c r="J3823" s="26" t="s">
        <v>27</v>
      </c>
      <c r="K3823" s="17">
        <v>0.0</v>
      </c>
      <c r="L3823" s="54"/>
      <c r="M3823" s="31"/>
      <c r="N3823" s="93"/>
      <c r="O3823" s="93"/>
      <c r="P3823" s="20">
        <v>0.0</v>
      </c>
      <c r="Q3823" s="31"/>
      <c r="R3823" s="31"/>
      <c r="S3823" s="53"/>
      <c r="T3823" s="32"/>
    </row>
    <row r="3824">
      <c r="A3824" s="33" t="s">
        <v>26889</v>
      </c>
      <c r="B3824" s="76" t="s">
        <v>881</v>
      </c>
      <c r="C3824" s="41">
        <v>45586.0</v>
      </c>
      <c r="D3824" s="40" t="s">
        <v>26890</v>
      </c>
      <c r="E3824" s="41" t="s">
        <v>26891</v>
      </c>
      <c r="F3824" s="43" t="s">
        <v>26892</v>
      </c>
      <c r="G3824" s="43" t="s">
        <v>26893</v>
      </c>
      <c r="H3824" s="51" t="s">
        <v>25072</v>
      </c>
      <c r="I3824" s="15" t="str">
        <f>IFERROR(__xludf.DUMMYFUNCTION("GOOGLETRANSLATE(H3824,""EN"",""ES"")"),"Petróleo y energía")</f>
        <v>Petróleo y energía</v>
      </c>
      <c r="J3824" s="16" t="s">
        <v>27</v>
      </c>
      <c r="K3824" s="17">
        <v>0.0</v>
      </c>
      <c r="L3824" s="45"/>
      <c r="M3824" s="18"/>
      <c r="N3824" s="94"/>
      <c r="O3824" s="94"/>
      <c r="P3824" s="20">
        <v>0.0</v>
      </c>
      <c r="Q3824" s="18"/>
      <c r="R3824" s="18"/>
      <c r="S3824" s="52"/>
      <c r="T3824" s="22"/>
    </row>
    <row r="3825">
      <c r="A3825" s="23" t="s">
        <v>26894</v>
      </c>
      <c r="B3825" s="77" t="s">
        <v>881</v>
      </c>
      <c r="C3825" s="41">
        <v>45586.0</v>
      </c>
      <c r="D3825" s="40" t="s">
        <v>26895</v>
      </c>
      <c r="E3825" s="41" t="s">
        <v>26896</v>
      </c>
      <c r="F3825" s="43" t="s">
        <v>26897</v>
      </c>
      <c r="G3825" s="43" t="s">
        <v>26898</v>
      </c>
      <c r="H3825" s="51" t="s">
        <v>25072</v>
      </c>
      <c r="I3825" s="25" t="str">
        <f>IFERROR(__xludf.DUMMYFUNCTION("GOOGLETRANSLATE(H3825,""EN"",""ES"")"),"Petróleo y energía")</f>
        <v>Petróleo y energía</v>
      </c>
      <c r="J3825" s="26" t="s">
        <v>35</v>
      </c>
      <c r="K3825" s="48">
        <v>-0.5</v>
      </c>
      <c r="L3825" s="49" t="s">
        <v>26899</v>
      </c>
      <c r="M3825" s="28" t="s">
        <v>26900</v>
      </c>
      <c r="N3825" s="93" t="s">
        <v>26901</v>
      </c>
      <c r="O3825" s="93" t="str">
        <f>IFERROR(__xludf.DUMMYFUNCTION("GOOGLETRANSLATE(N3825,""EN"",""ES"")"),"Negativo ya que critica las acciones gubernamentales que potencialmente bloquean la inversión.")</f>
        <v>Negativo ya que critica las acciones gubernamentales que potencialmente bloquean la inversión.</v>
      </c>
      <c r="P3825" s="30">
        <v>0.2</v>
      </c>
      <c r="Q3825" s="31" t="str">
        <f>IFERROR(__xludf.DUMMYFUNCTION("GOOGLETRANSLATE(R3825,""ES"",""EN"")"),"responsibility, save")</f>
        <v>responsibility, save</v>
      </c>
      <c r="R3825" s="28" t="s">
        <v>26902</v>
      </c>
      <c r="S3825" s="53" t="s">
        <v>26903</v>
      </c>
      <c r="T3825" s="32" t="s">
        <v>26904</v>
      </c>
    </row>
    <row r="3826">
      <c r="A3826" s="33" t="s">
        <v>26905</v>
      </c>
      <c r="B3826" s="76" t="s">
        <v>3992</v>
      </c>
      <c r="C3826" s="41">
        <v>45586.0</v>
      </c>
      <c r="D3826" s="40" t="s">
        <v>26906</v>
      </c>
      <c r="E3826" s="41" t="s">
        <v>26907</v>
      </c>
      <c r="F3826" s="43" t="s">
        <v>26908</v>
      </c>
      <c r="G3826" s="43" t="s">
        <v>26909</v>
      </c>
      <c r="H3826" s="51" t="s">
        <v>25072</v>
      </c>
      <c r="I3826" s="15" t="str">
        <f>IFERROR(__xludf.DUMMYFUNCTION("GOOGLETRANSLATE(H3826,""EN"",""ES"")"),"Petróleo y energía")</f>
        <v>Petróleo y energía</v>
      </c>
      <c r="J3826" s="16" t="s">
        <v>35</v>
      </c>
      <c r="K3826" s="48">
        <v>-0.7</v>
      </c>
      <c r="L3826" s="51" t="s">
        <v>26910</v>
      </c>
      <c r="M3826" s="34" t="s">
        <v>26911</v>
      </c>
      <c r="N3826" s="94" t="s">
        <v>26912</v>
      </c>
      <c r="O3826" s="94" t="str">
        <f>IFERROR(__xludf.DUMMYFUNCTION("GOOGLETRANSLATE(N3826,""EN"",""ES"")"),"Negativo porque enmarca la política fiscal como un elemento disuasivo para el crecimiento empresarial.")</f>
        <v>Negativo porque enmarca la política fiscal como un elemento disuasivo para el crecimiento empresarial.</v>
      </c>
      <c r="P3826" s="30">
        <v>-0.7</v>
      </c>
      <c r="Q3826" s="18" t="str">
        <f>IFERROR(__xludf.DUMMYFUNCTION("GOOGLETRANSLATE(R3826,""ES"",""EN"")"),"scare away, tax")</f>
        <v>scare away, tax</v>
      </c>
      <c r="R3826" s="34" t="s">
        <v>26913</v>
      </c>
      <c r="S3826" s="52" t="s">
        <v>26914</v>
      </c>
      <c r="T3826" s="22" t="s">
        <v>26915</v>
      </c>
    </row>
    <row r="3827">
      <c r="A3827" s="23" t="s">
        <v>26916</v>
      </c>
      <c r="B3827" s="77" t="s">
        <v>881</v>
      </c>
      <c r="C3827" s="41">
        <v>45586.0</v>
      </c>
      <c r="D3827" s="40" t="s">
        <v>26917</v>
      </c>
      <c r="E3827" s="41" t="s">
        <v>26918</v>
      </c>
      <c r="F3827" s="43" t="s">
        <v>26919</v>
      </c>
      <c r="G3827" s="43" t="s">
        <v>26920</v>
      </c>
      <c r="H3827" s="51" t="s">
        <v>25072</v>
      </c>
      <c r="I3827" s="25" t="str">
        <f>IFERROR(__xludf.DUMMYFUNCTION("GOOGLETRANSLATE(H3827,""EN"",""ES"")"),"Petróleo y energía")</f>
        <v>Petróleo y energía</v>
      </c>
      <c r="J3827" s="26" t="s">
        <v>35</v>
      </c>
      <c r="K3827" s="48">
        <v>-0.7</v>
      </c>
      <c r="L3827" s="49" t="s">
        <v>26921</v>
      </c>
      <c r="M3827" s="28" t="s">
        <v>26922</v>
      </c>
      <c r="N3827" s="93" t="s">
        <v>26923</v>
      </c>
      <c r="O3827" s="93" t="str">
        <f>IFERROR(__xludf.DUMMYFUNCTION("GOOGLETRANSLATE(N3827,""EN"",""ES"")"),"Negativo debido a la incertidumbre económica e industrial.")</f>
        <v>Negativo debido a la incertidumbre económica e industrial.</v>
      </c>
      <c r="P3827" s="30">
        <v>-0.5</v>
      </c>
      <c r="Q3827" s="31" t="str">
        <f>IFERROR(__xludf.DUMMYFUNCTION("GOOGLETRANSLATE(R3827,""ES"",""EN"")"),"-")</f>
        <v>-</v>
      </c>
      <c r="R3827" s="28" t="s">
        <v>11852</v>
      </c>
      <c r="S3827" s="53" t="s">
        <v>26924</v>
      </c>
      <c r="T3827" s="32" t="s">
        <v>26925</v>
      </c>
    </row>
    <row r="3828">
      <c r="A3828" s="33" t="s">
        <v>26926</v>
      </c>
      <c r="B3828" s="76" t="s">
        <v>1192</v>
      </c>
      <c r="C3828" s="41">
        <v>45586.0</v>
      </c>
      <c r="D3828" s="40" t="s">
        <v>26927</v>
      </c>
      <c r="E3828" s="41" t="s">
        <v>26928</v>
      </c>
      <c r="F3828" s="43" t="s">
        <v>26929</v>
      </c>
      <c r="G3828" s="43" t="s">
        <v>26930</v>
      </c>
      <c r="H3828" s="51" t="s">
        <v>25072</v>
      </c>
      <c r="I3828" s="15" t="str">
        <f>IFERROR(__xludf.DUMMYFUNCTION("GOOGLETRANSLATE(H3828,""EN"",""ES"")"),"Petróleo y energía")</f>
        <v>Petróleo y energía</v>
      </c>
      <c r="J3828" s="16" t="s">
        <v>35</v>
      </c>
      <c r="K3828" s="48">
        <v>-0.7</v>
      </c>
      <c r="L3828" s="51" t="s">
        <v>26931</v>
      </c>
      <c r="M3828" s="34" t="s">
        <v>26932</v>
      </c>
      <c r="N3828" s="94" t="s">
        <v>26933</v>
      </c>
      <c r="O3828" s="94" t="str">
        <f>IFERROR(__xludf.DUMMYFUNCTION("GOOGLETRANSLATE(N3828,""EN"",""ES"")"),"Negativo ya que enfatiza la incertidumbre económica causada por las políticas fiscales.")</f>
        <v>Negativo ya que enfatiza la incertidumbre económica causada por las políticas fiscales.</v>
      </c>
      <c r="P3828" s="30">
        <v>-0.7</v>
      </c>
      <c r="Q3828" s="18" t="str">
        <f>IFERROR(__xludf.DUMMYFUNCTION("GOOGLETRANSLATE(R3828,""ES"",""EN"")"),"tax, investment")</f>
        <v>tax, investment</v>
      </c>
      <c r="R3828" s="34" t="s">
        <v>26934</v>
      </c>
      <c r="S3828" s="52" t="s">
        <v>26935</v>
      </c>
      <c r="T3828" s="22" t="s">
        <v>26936</v>
      </c>
    </row>
    <row r="3829">
      <c r="A3829" s="23" t="s">
        <v>26937</v>
      </c>
      <c r="B3829" s="77" t="s">
        <v>217</v>
      </c>
      <c r="C3829" s="41">
        <v>45586.0</v>
      </c>
      <c r="D3829" s="40" t="s">
        <v>26938</v>
      </c>
      <c r="E3829" s="41" t="s">
        <v>26939</v>
      </c>
      <c r="F3829" s="43" t="s">
        <v>26940</v>
      </c>
      <c r="G3829" s="43" t="s">
        <v>26941</v>
      </c>
      <c r="H3829" s="51" t="s">
        <v>25072</v>
      </c>
      <c r="I3829" s="25" t="str">
        <f>IFERROR(__xludf.DUMMYFUNCTION("GOOGLETRANSLATE(H3829,""EN"",""ES"")"),"Petróleo y energía")</f>
        <v>Petróleo y energía</v>
      </c>
      <c r="J3829" s="26" t="s">
        <v>35</v>
      </c>
      <c r="K3829" s="48">
        <v>-0.7</v>
      </c>
      <c r="L3829" s="49" t="s">
        <v>26942</v>
      </c>
      <c r="M3829" s="28" t="s">
        <v>26943</v>
      </c>
      <c r="N3829" s="93" t="s">
        <v>26944</v>
      </c>
      <c r="O3829" s="93" t="str">
        <f>IFERROR(__xludf.DUMMYFUNCTION("GOOGLETRANSLATE(N3829,""EN"",""ES"")"),"Negativo ya que plantea preocupaciones sobre la viabilidad a largo plazo de la inversión industrial en la región.")</f>
        <v>Negativo ya que plantea preocupaciones sobre la viabilidad a largo plazo de la inversión industrial en la región.</v>
      </c>
      <c r="P3829" s="30">
        <v>-0.6</v>
      </c>
      <c r="Q3829" s="31" t="str">
        <f>IFERROR(__xludf.DUMMYFUNCTION("GOOGLETRANSLATE(R3829,""ES"",""EN"")"),"risk, tax")</f>
        <v>risk, tax</v>
      </c>
      <c r="R3829" s="28" t="s">
        <v>26945</v>
      </c>
      <c r="S3829" s="53" t="s">
        <v>26946</v>
      </c>
      <c r="T3829" s="32" t="s">
        <v>26947</v>
      </c>
    </row>
    <row r="3830">
      <c r="A3830" s="33" t="s">
        <v>26948</v>
      </c>
      <c r="B3830" s="76" t="s">
        <v>217</v>
      </c>
      <c r="C3830" s="41">
        <v>45586.0</v>
      </c>
      <c r="D3830" s="40" t="s">
        <v>26949</v>
      </c>
      <c r="E3830" s="41" t="s">
        <v>26950</v>
      </c>
      <c r="F3830" s="43" t="s">
        <v>26951</v>
      </c>
      <c r="G3830" s="43" t="s">
        <v>26952</v>
      </c>
      <c r="H3830" s="51" t="s">
        <v>25072</v>
      </c>
      <c r="I3830" s="15" t="str">
        <f>IFERROR(__xludf.DUMMYFUNCTION("GOOGLETRANSLATE(H3830,""EN"",""ES"")"),"Petróleo y energía")</f>
        <v>Petróleo y energía</v>
      </c>
      <c r="J3830" s="16" t="s">
        <v>35</v>
      </c>
      <c r="K3830" s="48">
        <v>-0.6</v>
      </c>
      <c r="L3830" s="51" t="s">
        <v>26953</v>
      </c>
      <c r="M3830" s="34" t="s">
        <v>26954</v>
      </c>
      <c r="N3830" s="94" t="s">
        <v>26955</v>
      </c>
      <c r="O3830" s="94" t="str">
        <f>IFERROR(__xludf.DUMMYFUNCTION("GOOGLETRANSLATE(N3830,""EN"",""ES"")"),"Negativo, ya que señala retrasos en el desarrollo del hidrógeno verde en España y oportunidades perdidas.")</f>
        <v>Negativo, ya que señala retrasos en el desarrollo del hidrógeno verde en España y oportunidades perdidas.</v>
      </c>
      <c r="P3830" s="30">
        <v>-0.8</v>
      </c>
      <c r="Q3830" s="18" t="str">
        <f>IFERROR(__xludf.DUMMYFUNCTION("GOOGLETRANSLATE(R3830,""ES"",""EN"")"),"freezes, investments")</f>
        <v>freezes, investments</v>
      </c>
      <c r="R3830" s="34" t="s">
        <v>26956</v>
      </c>
      <c r="S3830" s="52" t="s">
        <v>26957</v>
      </c>
      <c r="T3830" s="22" t="s">
        <v>26958</v>
      </c>
    </row>
    <row r="3831">
      <c r="A3831" s="23" t="s">
        <v>26959</v>
      </c>
      <c r="B3831" s="77" t="s">
        <v>5525</v>
      </c>
      <c r="C3831" s="41">
        <v>45586.0</v>
      </c>
      <c r="D3831" s="40" t="s">
        <v>26960</v>
      </c>
      <c r="E3831" s="41" t="s">
        <v>26961</v>
      </c>
      <c r="F3831" s="43" t="s">
        <v>26962</v>
      </c>
      <c r="G3831" s="43" t="s">
        <v>26963</v>
      </c>
      <c r="H3831" s="51" t="s">
        <v>26</v>
      </c>
      <c r="I3831" s="25" t="str">
        <f>IFERROR(__xludf.DUMMYFUNCTION("GOOGLETRANSLATE(H3831,""EN"",""ES"")"),"Otro")</f>
        <v>Otro</v>
      </c>
      <c r="J3831" s="26" t="s">
        <v>35</v>
      </c>
      <c r="K3831" s="48">
        <v>0.0</v>
      </c>
      <c r="L3831" s="54"/>
      <c r="M3831" s="31"/>
      <c r="N3831" s="93" t="s">
        <v>26964</v>
      </c>
      <c r="O3831" s="93" t="str">
        <f>IFERROR(__xludf.DUMMYFUNCTION("GOOGLETRANSLATE(N3831,""EN"",""ES"")"),"El análisis de valoración de las acciones no impacta directamente en la imagen corporativa de Repsol.")</f>
        <v>El análisis de valoración de las acciones no impacta directamente en la imagen corporativa de Repsol.</v>
      </c>
      <c r="P3831" s="30">
        <v>0.0</v>
      </c>
      <c r="Q3831" s="31"/>
      <c r="R3831" s="31"/>
      <c r="S3831" s="53" t="s">
        <v>20617</v>
      </c>
      <c r="T3831" s="32" t="s">
        <v>20618</v>
      </c>
    </row>
    <row r="3832">
      <c r="A3832" s="33" t="s">
        <v>26965</v>
      </c>
      <c r="B3832" s="76" t="s">
        <v>103</v>
      </c>
      <c r="C3832" s="41">
        <v>45586.0</v>
      </c>
      <c r="D3832" s="40" t="s">
        <v>26966</v>
      </c>
      <c r="E3832" s="41" t="s">
        <v>26967</v>
      </c>
      <c r="F3832" s="43" t="s">
        <v>26968</v>
      </c>
      <c r="G3832" s="43" t="s">
        <v>26969</v>
      </c>
      <c r="H3832" s="51" t="s">
        <v>26</v>
      </c>
      <c r="I3832" s="15" t="str">
        <f>IFERROR(__xludf.DUMMYFUNCTION("GOOGLETRANSLATE(H3832,""EN"",""ES"")"),"Otro")</f>
        <v>Otro</v>
      </c>
      <c r="J3832" s="16" t="s">
        <v>27</v>
      </c>
      <c r="K3832" s="17">
        <v>0.0</v>
      </c>
      <c r="L3832" s="45"/>
      <c r="M3832" s="18"/>
      <c r="N3832" s="94"/>
      <c r="O3832" s="94"/>
      <c r="P3832" s="20">
        <v>0.0</v>
      </c>
      <c r="Q3832" s="18"/>
      <c r="R3832" s="18"/>
      <c r="S3832" s="52"/>
      <c r="T3832" s="22"/>
    </row>
    <row r="3833">
      <c r="A3833" s="23" t="s">
        <v>26970</v>
      </c>
      <c r="B3833" s="77" t="s">
        <v>1602</v>
      </c>
      <c r="C3833" s="41">
        <v>45586.0</v>
      </c>
      <c r="D3833" s="40" t="s">
        <v>26971</v>
      </c>
      <c r="E3833" s="41" t="s">
        <v>26972</v>
      </c>
      <c r="F3833" s="43" t="s">
        <v>26973</v>
      </c>
      <c r="G3833" s="43" t="s">
        <v>26974</v>
      </c>
      <c r="H3833" s="51" t="s">
        <v>25072</v>
      </c>
      <c r="I3833" s="25" t="str">
        <f>IFERROR(__xludf.DUMMYFUNCTION("GOOGLETRANSLATE(H3833,""EN"",""ES"")"),"Petróleo y energía")</f>
        <v>Petróleo y energía</v>
      </c>
      <c r="J3833" s="26" t="s">
        <v>35</v>
      </c>
      <c r="K3833" s="48">
        <v>0.6</v>
      </c>
      <c r="L3833" s="49" t="s">
        <v>26975</v>
      </c>
      <c r="M3833" s="28" t="s">
        <v>26976</v>
      </c>
      <c r="N3833" s="93" t="s">
        <v>26977</v>
      </c>
      <c r="O3833" s="93" t="str">
        <f>IFERROR(__xludf.DUMMYFUNCTION("GOOGLETRANSLATE(N3833,""EN"",""ES"")"),"Positivo porque pone de relieve la expansión internacional de Repsol hacia las renovables.")</f>
        <v>Positivo porque pone de relieve la expansión internacional de Repsol hacia las renovables.</v>
      </c>
      <c r="P3833" s="30">
        <v>0.4</v>
      </c>
      <c r="Q3833" s="31" t="str">
        <f>IFERROR(__xludf.DUMMYFUNCTION("GOOGLETRANSLATE(R3833,""ES"",""EN"")"),"renewable")</f>
        <v>renewable</v>
      </c>
      <c r="R3833" s="28" t="s">
        <v>13833</v>
      </c>
      <c r="S3833" s="53" t="s">
        <v>26978</v>
      </c>
      <c r="T3833" s="32" t="s">
        <v>26979</v>
      </c>
    </row>
    <row r="3834">
      <c r="A3834" s="33" t="s">
        <v>26980</v>
      </c>
      <c r="B3834" s="76" t="s">
        <v>674</v>
      </c>
      <c r="C3834" s="41">
        <v>45586.0</v>
      </c>
      <c r="D3834" s="40" t="s">
        <v>26981</v>
      </c>
      <c r="E3834" s="41" t="s">
        <v>26982</v>
      </c>
      <c r="F3834" s="43" t="s">
        <v>26983</v>
      </c>
      <c r="G3834" s="43" t="s">
        <v>26984</v>
      </c>
      <c r="H3834" s="51" t="s">
        <v>55</v>
      </c>
      <c r="I3834" s="15" t="str">
        <f>IFERROR(__xludf.DUMMYFUNCTION("GOOGLETRANSLATE(H3834,""EN"",""ES"")"),"deportes de motor")</f>
        <v>deportes de motor</v>
      </c>
      <c r="J3834" s="16" t="s">
        <v>27</v>
      </c>
      <c r="K3834" s="17">
        <v>0.0</v>
      </c>
      <c r="L3834" s="45"/>
      <c r="M3834" s="18"/>
      <c r="N3834" s="94"/>
      <c r="O3834" s="94"/>
      <c r="P3834" s="20">
        <v>0.0</v>
      </c>
      <c r="Q3834" s="18"/>
      <c r="R3834" s="18"/>
      <c r="S3834" s="52"/>
      <c r="T3834" s="22"/>
    </row>
    <row r="3835">
      <c r="A3835" s="23" t="s">
        <v>26985</v>
      </c>
      <c r="B3835" s="77" t="s">
        <v>3992</v>
      </c>
      <c r="C3835" s="41">
        <v>45586.0</v>
      </c>
      <c r="D3835" s="40" t="s">
        <v>26986</v>
      </c>
      <c r="E3835" s="41" t="s">
        <v>26986</v>
      </c>
      <c r="F3835" s="43" t="s">
        <v>26987</v>
      </c>
      <c r="G3835" s="43" t="s">
        <v>26987</v>
      </c>
      <c r="H3835" s="51" t="s">
        <v>26</v>
      </c>
      <c r="I3835" s="25" t="str">
        <f>IFERROR(__xludf.DUMMYFUNCTION("GOOGLETRANSLATE(H3835,""EN"",""ES"")"),"Otro")</f>
        <v>Otro</v>
      </c>
      <c r="J3835" s="26" t="s">
        <v>27</v>
      </c>
      <c r="K3835" s="17">
        <v>0.0</v>
      </c>
      <c r="L3835" s="54"/>
      <c r="M3835" s="31"/>
      <c r="N3835" s="93"/>
      <c r="O3835" s="93"/>
      <c r="P3835" s="20">
        <v>0.0</v>
      </c>
      <c r="Q3835" s="31"/>
      <c r="R3835" s="31"/>
      <c r="S3835" s="53"/>
      <c r="T3835" s="32"/>
    </row>
    <row r="3836">
      <c r="A3836" s="33" t="s">
        <v>26988</v>
      </c>
      <c r="B3836" s="76" t="s">
        <v>1577</v>
      </c>
      <c r="C3836" s="41">
        <v>45586.0</v>
      </c>
      <c r="D3836" s="40" t="s">
        <v>26989</v>
      </c>
      <c r="E3836" s="41" t="s">
        <v>26990</v>
      </c>
      <c r="F3836" s="43" t="s">
        <v>26991</v>
      </c>
      <c r="G3836" s="43" t="s">
        <v>26992</v>
      </c>
      <c r="H3836" s="51" t="s">
        <v>25072</v>
      </c>
      <c r="I3836" s="15" t="str">
        <f>IFERROR(__xludf.DUMMYFUNCTION("GOOGLETRANSLATE(H3836,""EN"",""ES"")"),"Petróleo y energía")</f>
        <v>Petróleo y energía</v>
      </c>
      <c r="J3836" s="16" t="s">
        <v>35</v>
      </c>
      <c r="K3836" s="48">
        <v>-0.6</v>
      </c>
      <c r="L3836" s="51" t="s">
        <v>26993</v>
      </c>
      <c r="M3836" s="34" t="s">
        <v>26994</v>
      </c>
      <c r="N3836" s="94" t="s">
        <v>26995</v>
      </c>
      <c r="O3836" s="94" t="str">
        <f>IFERROR(__xludf.DUMMYFUNCTION("GOOGLETRANSLATE(N3836,""EN"",""ES"")"),"Negativo ya que refleja conflictos con políticas gubernamentales y riesgos regulatorios.")</f>
        <v>Negativo ya que refleja conflictos con políticas gubernamentales y riesgos regulatorios.</v>
      </c>
      <c r="P3836" s="30">
        <v>-0.3</v>
      </c>
      <c r="Q3836" s="18" t="str">
        <f>IFERROR(__xludf.DUMMYFUNCTION("GOOGLETRANSLATE(R3836,""ES"",""EN"")"),"populism")</f>
        <v>populism</v>
      </c>
      <c r="R3836" s="34" t="s">
        <v>26996</v>
      </c>
      <c r="S3836" s="52" t="s">
        <v>26997</v>
      </c>
      <c r="T3836" s="22" t="s">
        <v>26998</v>
      </c>
    </row>
    <row r="3837">
      <c r="A3837" s="23" t="s">
        <v>26999</v>
      </c>
      <c r="B3837" s="77" t="s">
        <v>207</v>
      </c>
      <c r="C3837" s="41">
        <v>45587.0</v>
      </c>
      <c r="D3837" s="40" t="s">
        <v>27000</v>
      </c>
      <c r="E3837" s="41" t="s">
        <v>27001</v>
      </c>
      <c r="F3837" s="43" t="s">
        <v>27002</v>
      </c>
      <c r="G3837" s="43" t="s">
        <v>27003</v>
      </c>
      <c r="H3837" s="51" t="s">
        <v>25072</v>
      </c>
      <c r="I3837" s="25" t="str">
        <f>IFERROR(__xludf.DUMMYFUNCTION("GOOGLETRANSLATE(H3837,""EN"",""ES"")"),"Petróleo y energía")</f>
        <v>Petróleo y energía</v>
      </c>
      <c r="J3837" s="26" t="s">
        <v>35</v>
      </c>
      <c r="K3837" s="48">
        <v>-0.7</v>
      </c>
      <c r="L3837" s="49" t="s">
        <v>27004</v>
      </c>
      <c r="M3837" s="28" t="s">
        <v>27005</v>
      </c>
      <c r="N3837" s="93" t="s">
        <v>27006</v>
      </c>
      <c r="O3837" s="93" t="str">
        <f>IFERROR(__xludf.DUMMYFUNCTION("GOOGLETRANSLATE(N3837,""EN"",""ES"")"),"Negativo porque sugiere inestabilidad y posible fuga de capitales.")</f>
        <v>Negativo porque sugiere inestabilidad y posible fuga de capitales.</v>
      </c>
      <c r="P3837" s="30">
        <v>-0.8</v>
      </c>
      <c r="Q3837" s="31" t="str">
        <f>IFERROR(__xludf.DUMMYFUNCTION("GOOGLETRANSLATE(R3837,""ES"",""EN"")"),"threat, divert")</f>
        <v>threat, divert</v>
      </c>
      <c r="R3837" s="28" t="s">
        <v>27007</v>
      </c>
      <c r="S3837" s="53" t="s">
        <v>27008</v>
      </c>
      <c r="T3837" s="32" t="s">
        <v>27009</v>
      </c>
    </row>
    <row r="3838">
      <c r="A3838" s="33" t="s">
        <v>27010</v>
      </c>
      <c r="B3838" s="76" t="s">
        <v>1142</v>
      </c>
      <c r="C3838" s="41">
        <v>45587.0</v>
      </c>
      <c r="D3838" s="40" t="s">
        <v>27011</v>
      </c>
      <c r="E3838" s="41" t="s">
        <v>27012</v>
      </c>
      <c r="F3838" s="43" t="s">
        <v>27013</v>
      </c>
      <c r="G3838" s="43" t="s">
        <v>27014</v>
      </c>
      <c r="H3838" s="51" t="s">
        <v>25072</v>
      </c>
      <c r="I3838" s="15" t="str">
        <f>IFERROR(__xludf.DUMMYFUNCTION("GOOGLETRANSLATE(H3838,""EN"",""ES"")"),"Petróleo y energía")</f>
        <v>Petróleo y energía</v>
      </c>
      <c r="J3838" s="16" t="s">
        <v>35</v>
      </c>
      <c r="K3838" s="48">
        <v>-0.6</v>
      </c>
      <c r="L3838" s="51" t="s">
        <v>27015</v>
      </c>
      <c r="M3838" s="34" t="s">
        <v>27016</v>
      </c>
      <c r="N3838" s="94" t="s">
        <v>27017</v>
      </c>
      <c r="O3838" s="94" t="str">
        <f>IFERROR(__xludf.DUMMYFUNCTION("GOOGLETRANSLATE(N3838,""EN"",""ES"")"),"Negativo ya que señala una pausa en las inversiones en energías renovables.")</f>
        <v>Negativo ya que señala una pausa en las inversiones en energías renovables.</v>
      </c>
      <c r="P3838" s="30">
        <v>-0.7</v>
      </c>
      <c r="Q3838" s="18" t="str">
        <f>IFERROR(__xludf.DUMMYFUNCTION("GOOGLETRANSLATE(R3838,""ES"",""EN"")"),"freezes, projects")</f>
        <v>freezes, projects</v>
      </c>
      <c r="R3838" s="34" t="s">
        <v>27018</v>
      </c>
      <c r="S3838" s="52" t="s">
        <v>27019</v>
      </c>
      <c r="T3838" s="22" t="s">
        <v>27020</v>
      </c>
    </row>
    <row r="3839">
      <c r="A3839" s="23" t="s">
        <v>27021</v>
      </c>
      <c r="B3839" s="77" t="s">
        <v>1970</v>
      </c>
      <c r="C3839" s="41">
        <v>45587.0</v>
      </c>
      <c r="D3839" s="40" t="s">
        <v>27022</v>
      </c>
      <c r="E3839" s="41" t="s">
        <v>27023</v>
      </c>
      <c r="F3839" s="43" t="s">
        <v>27024</v>
      </c>
      <c r="G3839" s="43" t="s">
        <v>27025</v>
      </c>
      <c r="H3839" s="51" t="s">
        <v>25072</v>
      </c>
      <c r="I3839" s="25" t="str">
        <f>IFERROR(__xludf.DUMMYFUNCTION("GOOGLETRANSLATE(H3839,""EN"",""ES"")"),"Petróleo y energía")</f>
        <v>Petróleo y energía</v>
      </c>
      <c r="J3839" s="26" t="s">
        <v>35</v>
      </c>
      <c r="K3839" s="48">
        <v>-0.7</v>
      </c>
      <c r="L3839" s="49" t="s">
        <v>27026</v>
      </c>
      <c r="M3839" s="28" t="s">
        <v>27027</v>
      </c>
      <c r="N3839" s="93" t="s">
        <v>27028</v>
      </c>
      <c r="O3839" s="93" t="str">
        <f>IFERROR(__xludf.DUMMYFUNCTION("GOOGLETRANSLATE(N3839,""EN"",""ES"")"),"Negativo ya que implica tensiones políticas e incertidumbre regulatoria.")</f>
        <v>Negativo ya que implica tensiones políticas e incertidumbre regulatoria.</v>
      </c>
      <c r="P3839" s="30">
        <v>-0.5</v>
      </c>
      <c r="Q3839" s="31" t="str">
        <f>IFERROR(__xludf.DUMMYFUNCTION("GOOGLETRANSLATE(R3839,""ES"",""EN"")"),"take control")</f>
        <v>take control</v>
      </c>
      <c r="R3839" s="28" t="s">
        <v>27029</v>
      </c>
      <c r="S3839" s="53" t="s">
        <v>27030</v>
      </c>
      <c r="T3839" s="32" t="s">
        <v>27031</v>
      </c>
    </row>
    <row r="3840">
      <c r="A3840" s="33" t="s">
        <v>27032</v>
      </c>
      <c r="B3840" s="76" t="s">
        <v>2696</v>
      </c>
      <c r="C3840" s="41">
        <v>45587.0</v>
      </c>
      <c r="D3840" s="40" t="s">
        <v>27033</v>
      </c>
      <c r="E3840" s="41" t="s">
        <v>27034</v>
      </c>
      <c r="F3840" s="43" t="s">
        <v>27035</v>
      </c>
      <c r="G3840" s="43" t="s">
        <v>27036</v>
      </c>
      <c r="H3840" s="51" t="s">
        <v>25072</v>
      </c>
      <c r="I3840" s="15" t="str">
        <f>IFERROR(__xludf.DUMMYFUNCTION("GOOGLETRANSLATE(H3840,""EN"",""ES"")"),"Petróleo y energía")</f>
        <v>Petróleo y energía</v>
      </c>
      <c r="J3840" s="16" t="s">
        <v>35</v>
      </c>
      <c r="K3840" s="48">
        <v>-0.7</v>
      </c>
      <c r="L3840" s="51" t="s">
        <v>27037</v>
      </c>
      <c r="M3840" s="34" t="s">
        <v>27038</v>
      </c>
      <c r="N3840" s="94" t="s">
        <v>27039</v>
      </c>
      <c r="O3840" s="94" t="str">
        <f>IFERROR(__xludf.DUMMYFUNCTION("GOOGLETRANSLATE(N3840,""EN"",""ES"")"),"Negativo ya que refleja tensión entre Repsol y el gobierno, señalando conflicto regulatorio.")</f>
        <v>Negativo ya que refleja tensión entre Repsol y el gobierno, señalando conflicto regulatorio.</v>
      </c>
      <c r="P3840" s="30">
        <v>-0.6</v>
      </c>
      <c r="Q3840" s="18" t="str">
        <f>IFERROR(__xludf.DUMMYFUNCTION("GOOGLETRANSLATE(R3840,""ES"",""EN"")"),"demagogy, tax")</f>
        <v>demagogy, tax</v>
      </c>
      <c r="R3840" s="34" t="s">
        <v>27040</v>
      </c>
      <c r="S3840" s="52" t="s">
        <v>26997</v>
      </c>
      <c r="T3840" s="22" t="s">
        <v>26998</v>
      </c>
    </row>
    <row r="3841">
      <c r="A3841" s="23" t="s">
        <v>27041</v>
      </c>
      <c r="B3841" s="77" t="s">
        <v>2442</v>
      </c>
      <c r="C3841" s="41">
        <v>45587.0</v>
      </c>
      <c r="D3841" s="40" t="s">
        <v>27042</v>
      </c>
      <c r="E3841" s="41" t="s">
        <v>27043</v>
      </c>
      <c r="F3841" s="43" t="s">
        <v>27044</v>
      </c>
      <c r="G3841" s="43" t="s">
        <v>27045</v>
      </c>
      <c r="H3841" s="51" t="s">
        <v>25072</v>
      </c>
      <c r="I3841" s="25" t="str">
        <f>IFERROR(__xludf.DUMMYFUNCTION("GOOGLETRANSLATE(H3841,""EN"",""ES"")"),"Petróleo y energía")</f>
        <v>Petróleo y energía</v>
      </c>
      <c r="J3841" s="26" t="s">
        <v>35</v>
      </c>
      <c r="K3841" s="48">
        <v>-0.5</v>
      </c>
      <c r="L3841" s="49" t="s">
        <v>27046</v>
      </c>
      <c r="M3841" s="28" t="s">
        <v>27047</v>
      </c>
      <c r="N3841" s="93" t="s">
        <v>27048</v>
      </c>
      <c r="O3841" s="93" t="str">
        <f>IFERROR(__xludf.DUMMYFUNCTION("GOOGLETRANSLATE(N3841,""EN"",""ES"")"),"Negativo debido a la inestabilidad de las políticas, pero con potencial de resolución.")</f>
        <v>Negativo debido a la inestabilidad de las políticas, pero con potencial de resolución.</v>
      </c>
      <c r="P3841" s="30">
        <v>0.3</v>
      </c>
      <c r="Q3841" s="31" t="str">
        <f>IFERROR(__xludf.DUMMYFUNCTION("GOOGLETRANSLATE(R3841,""ES"",""EN"")"),"remove, save")</f>
        <v>remove, save</v>
      </c>
      <c r="R3841" s="28" t="s">
        <v>27049</v>
      </c>
      <c r="S3841" s="53" t="s">
        <v>27050</v>
      </c>
      <c r="T3841" s="32" t="s">
        <v>27051</v>
      </c>
    </row>
    <row r="3842">
      <c r="A3842" s="33" t="s">
        <v>27052</v>
      </c>
      <c r="B3842" s="76" t="s">
        <v>499</v>
      </c>
      <c r="C3842" s="41">
        <v>45587.0</v>
      </c>
      <c r="D3842" s="40" t="s">
        <v>27053</v>
      </c>
      <c r="E3842" s="41" t="s">
        <v>27054</v>
      </c>
      <c r="F3842" s="43" t="s">
        <v>27055</v>
      </c>
      <c r="G3842" s="43" t="s">
        <v>27056</v>
      </c>
      <c r="H3842" s="51" t="s">
        <v>25072</v>
      </c>
      <c r="I3842" s="15" t="str">
        <f>IFERROR(__xludf.DUMMYFUNCTION("GOOGLETRANSLATE(H3842,""EN"",""ES"")"),"Petróleo y energía")</f>
        <v>Petróleo y energía</v>
      </c>
      <c r="J3842" s="16" t="s">
        <v>35</v>
      </c>
      <c r="K3842" s="48">
        <v>-0.6</v>
      </c>
      <c r="L3842" s="51" t="s">
        <v>27057</v>
      </c>
      <c r="M3842" s="34" t="s">
        <v>27058</v>
      </c>
      <c r="N3842" s="94" t="s">
        <v>27059</v>
      </c>
      <c r="O3842" s="94" t="str">
        <f>IFERROR(__xludf.DUMMYFUNCTION("GOOGLETRANSLATE(N3842,""EN"",""ES"")"),"Negativo ya que indica incertidumbre sobre los planes inversores de Repsol.")</f>
        <v>Negativo ya que indica incertidumbre sobre los planes inversores de Repsol.</v>
      </c>
      <c r="P3842" s="30">
        <v>-0.4</v>
      </c>
      <c r="Q3842" s="18" t="str">
        <f>IFERROR(__xludf.DUMMYFUNCTION("GOOGLETRANSLATE(R3842,""ES"",""EN"")"),"standby")</f>
        <v>standby</v>
      </c>
      <c r="R3842" s="34" t="s">
        <v>27060</v>
      </c>
      <c r="S3842" s="52" t="s">
        <v>27061</v>
      </c>
      <c r="T3842" s="22" t="s">
        <v>27062</v>
      </c>
    </row>
    <row r="3843">
      <c r="A3843" s="23" t="s">
        <v>27063</v>
      </c>
      <c r="B3843" s="77" t="s">
        <v>18119</v>
      </c>
      <c r="C3843" s="41">
        <v>45587.0</v>
      </c>
      <c r="D3843" s="40" t="s">
        <v>27064</v>
      </c>
      <c r="E3843" s="41" t="s">
        <v>27065</v>
      </c>
      <c r="F3843" s="43" t="s">
        <v>27066</v>
      </c>
      <c r="G3843" s="43" t="s">
        <v>27067</v>
      </c>
      <c r="H3843" s="51" t="s">
        <v>25072</v>
      </c>
      <c r="I3843" s="25" t="str">
        <f>IFERROR(__xludf.DUMMYFUNCTION("GOOGLETRANSLATE(H3843,""EN"",""ES"")"),"Petróleo y energía")</f>
        <v>Petróleo y energía</v>
      </c>
      <c r="J3843" s="26" t="s">
        <v>35</v>
      </c>
      <c r="K3843" s="48">
        <v>-0.7</v>
      </c>
      <c r="L3843" s="49" t="s">
        <v>27068</v>
      </c>
      <c r="M3843" s="28" t="s">
        <v>27069</v>
      </c>
      <c r="N3843" s="93" t="s">
        <v>27070</v>
      </c>
      <c r="O3843" s="93" t="str">
        <f>IFERROR(__xludf.DUMMYFUNCTION("GOOGLETRANSLATE(N3843,""EN"",""ES"")"),"Negativo porque sugiere un desarrollo estancado y una incertidumbre financiera.")</f>
        <v>Negativo porque sugiere un desarrollo estancado y una incertidumbre financiera.</v>
      </c>
      <c r="P3843" s="30">
        <v>-0.7</v>
      </c>
      <c r="Q3843" s="31" t="str">
        <f>IFERROR(__xludf.DUMMYFUNCTION("GOOGLETRANSLATE(R3843,""ES"",""EN"")"),"will stop, tax")</f>
        <v>will stop, tax</v>
      </c>
      <c r="R3843" s="28" t="s">
        <v>27071</v>
      </c>
      <c r="S3843" s="53" t="s">
        <v>27072</v>
      </c>
      <c r="T3843" s="32" t="s">
        <v>27073</v>
      </c>
    </row>
    <row r="3844">
      <c r="A3844" s="33" t="s">
        <v>27074</v>
      </c>
      <c r="B3844" s="76" t="s">
        <v>3067</v>
      </c>
      <c r="C3844" s="41">
        <v>45587.0</v>
      </c>
      <c r="D3844" s="40" t="s">
        <v>27075</v>
      </c>
      <c r="E3844" s="41" t="s">
        <v>27076</v>
      </c>
      <c r="F3844" s="43" t="s">
        <v>27077</v>
      </c>
      <c r="G3844" s="43" t="s">
        <v>27078</v>
      </c>
      <c r="H3844" s="51" t="s">
        <v>25072</v>
      </c>
      <c r="I3844" s="15" t="str">
        <f>IFERROR(__xludf.DUMMYFUNCTION("GOOGLETRANSLATE(H3844,""EN"",""ES"")"),"Petróleo y energía")</f>
        <v>Petróleo y energía</v>
      </c>
      <c r="J3844" s="16" t="s">
        <v>35</v>
      </c>
      <c r="K3844" s="48">
        <v>-0.7</v>
      </c>
      <c r="L3844" s="51" t="s">
        <v>27079</v>
      </c>
      <c r="M3844" s="34" t="s">
        <v>27080</v>
      </c>
      <c r="N3844" s="94" t="s">
        <v>27081</v>
      </c>
      <c r="O3844" s="94" t="str">
        <f>IFERROR(__xludf.DUMMYFUNCTION("GOOGLETRANSLATE(N3844,""EN"",""ES"")"),"Negativo por potencial impacto económico y pérdida de inversión.")</f>
        <v>Negativo por potencial impacto económico y pérdida de inversión.</v>
      </c>
      <c r="P3844" s="30">
        <v>-0.8</v>
      </c>
      <c r="Q3844" s="18" t="str">
        <f>IFERROR(__xludf.DUMMYFUNCTION("GOOGLETRANSLATE(R3844,""ES"",""EN"")"),"freeze, tax")</f>
        <v>freeze, tax</v>
      </c>
      <c r="R3844" s="34" t="s">
        <v>27082</v>
      </c>
      <c r="S3844" s="52" t="s">
        <v>9926</v>
      </c>
      <c r="T3844" s="22" t="s">
        <v>9927</v>
      </c>
    </row>
    <row r="3845">
      <c r="A3845" s="23" t="s">
        <v>27083</v>
      </c>
      <c r="B3845" s="77" t="s">
        <v>3045</v>
      </c>
      <c r="C3845" s="41">
        <v>45587.0</v>
      </c>
      <c r="D3845" s="40" t="s">
        <v>27084</v>
      </c>
      <c r="E3845" s="41" t="s">
        <v>27085</v>
      </c>
      <c r="F3845" s="43" t="s">
        <v>27086</v>
      </c>
      <c r="G3845" s="43" t="s">
        <v>27087</v>
      </c>
      <c r="H3845" s="51" t="s">
        <v>25072</v>
      </c>
      <c r="I3845" s="25" t="str">
        <f>IFERROR(__xludf.DUMMYFUNCTION("GOOGLETRANSLATE(H3845,""EN"",""ES"")"),"Petróleo y energía")</f>
        <v>Petróleo y energía</v>
      </c>
      <c r="J3845" s="26" t="s">
        <v>35</v>
      </c>
      <c r="K3845" s="48">
        <v>-0.5</v>
      </c>
      <c r="L3845" s="49" t="s">
        <v>27088</v>
      </c>
      <c r="M3845" s="28" t="s">
        <v>27089</v>
      </c>
      <c r="N3845" s="93" t="s">
        <v>27090</v>
      </c>
      <c r="O3845" s="93" t="str">
        <f>IFERROR(__xludf.DUMMYFUNCTION("GOOGLETRANSLATE(N3845,""EN"",""ES"")"),"Negativo por la inestabilidad política que afecta a las futuras inversiones de Repsol.")</f>
        <v>Negativo por la inestabilidad política que afecta a las futuras inversiones de Repsol.</v>
      </c>
      <c r="P3845" s="30">
        <v>0.4</v>
      </c>
      <c r="Q3845" s="31" t="str">
        <f>IFERROR(__xludf.DUMMYFUNCTION("GOOGLETRANSLATE(R3845,""ES"",""EN"")"),"will block, retain")</f>
        <v>will block, retain</v>
      </c>
      <c r="R3845" s="28" t="s">
        <v>27091</v>
      </c>
      <c r="S3845" s="53" t="s">
        <v>27092</v>
      </c>
      <c r="T3845" s="32" t="s">
        <v>27093</v>
      </c>
    </row>
    <row r="3846">
      <c r="A3846" s="33" t="s">
        <v>27094</v>
      </c>
      <c r="B3846" s="76" t="s">
        <v>666</v>
      </c>
      <c r="C3846" s="41">
        <v>45587.0</v>
      </c>
      <c r="D3846" s="40" t="s">
        <v>27095</v>
      </c>
      <c r="E3846" s="41" t="s">
        <v>27096</v>
      </c>
      <c r="F3846" s="43" t="s">
        <v>27097</v>
      </c>
      <c r="G3846" s="43" t="s">
        <v>27098</v>
      </c>
      <c r="H3846" s="51" t="s">
        <v>25072</v>
      </c>
      <c r="I3846" s="15" t="str">
        <f>IFERROR(__xludf.DUMMYFUNCTION("GOOGLETRANSLATE(H3846,""EN"",""ES"")"),"Petróleo y energía")</f>
        <v>Petróleo y energía</v>
      </c>
      <c r="J3846" s="16" t="s">
        <v>35</v>
      </c>
      <c r="K3846" s="48">
        <v>-0.7</v>
      </c>
      <c r="L3846" s="51" t="s">
        <v>27099</v>
      </c>
      <c r="M3846" s="34" t="s">
        <v>27100</v>
      </c>
      <c r="N3846" s="94" t="s">
        <v>27101</v>
      </c>
      <c r="O3846" s="94" t="str">
        <f>IFERROR(__xludf.DUMMYFUNCTION("GOOGLETRANSLATE(N3846,""EN"",""ES"")"),"Negativo porque refuerza la incertidumbre y las tensas relaciones gubernamentales.")</f>
        <v>Negativo porque refuerza la incertidumbre y las tensas relaciones gubernamentales.</v>
      </c>
      <c r="P3846" s="30">
        <v>-0.6</v>
      </c>
      <c r="Q3846" s="18" t="str">
        <f>IFERROR(__xludf.DUMMYFUNCTION("GOOGLETRANSLATE(R3846,""ES"",""EN"")"),"demagogy, toll")</f>
        <v>demagogy, toll</v>
      </c>
      <c r="R3846" s="34" t="s">
        <v>27102</v>
      </c>
      <c r="S3846" s="52" t="s">
        <v>26997</v>
      </c>
      <c r="T3846" s="22" t="s">
        <v>26998</v>
      </c>
    </row>
    <row r="3847">
      <c r="A3847" s="23" t="s">
        <v>27103</v>
      </c>
      <c r="B3847" s="77" t="s">
        <v>593</v>
      </c>
      <c r="C3847" s="41">
        <v>45587.0</v>
      </c>
      <c r="D3847" s="40" t="s">
        <v>27104</v>
      </c>
      <c r="E3847" s="41" t="s">
        <v>27105</v>
      </c>
      <c r="F3847" s="43" t="s">
        <v>27106</v>
      </c>
      <c r="G3847" s="43" t="s">
        <v>27107</v>
      </c>
      <c r="H3847" s="51" t="s">
        <v>25072</v>
      </c>
      <c r="I3847" s="25" t="str">
        <f>IFERROR(__xludf.DUMMYFUNCTION("GOOGLETRANSLATE(H3847,""EN"",""ES"")"),"Petróleo y energía")</f>
        <v>Petróleo y energía</v>
      </c>
      <c r="J3847" s="26" t="s">
        <v>35</v>
      </c>
      <c r="K3847" s="48">
        <v>0.6</v>
      </c>
      <c r="L3847" s="49" t="s">
        <v>27108</v>
      </c>
      <c r="M3847" s="28" t="s">
        <v>27109</v>
      </c>
      <c r="N3847" s="93" t="s">
        <v>27110</v>
      </c>
      <c r="O3847" s="93" t="str">
        <f>IFERROR(__xludf.DUMMYFUNCTION("GOOGLETRANSLATE(N3847,""EN"",""ES"")"),"Positivo ya que destaca los esfuerzos de sostenibilidad en las soluciones energéticas relacionadas con el turismo.")</f>
        <v>Positivo ya que destaca los esfuerzos de sostenibilidad en las soluciones energéticas relacionadas con el turismo.</v>
      </c>
      <c r="P3847" s="30">
        <v>0.5</v>
      </c>
      <c r="Q3847" s="31" t="str">
        <f>IFERROR(__xludf.DUMMYFUNCTION("GOOGLETRANSLATE(R3847,""ES"",""EN"")"),"biofuel, reduce emissions")</f>
        <v>biofuel, reduce emissions</v>
      </c>
      <c r="R3847" s="28" t="s">
        <v>27109</v>
      </c>
      <c r="S3847" s="53" t="s">
        <v>10595</v>
      </c>
      <c r="T3847" s="32" t="s">
        <v>10596</v>
      </c>
    </row>
    <row r="3848">
      <c r="A3848" s="33" t="s">
        <v>27111</v>
      </c>
      <c r="B3848" s="76" t="s">
        <v>26797</v>
      </c>
      <c r="C3848" s="41">
        <v>45587.0</v>
      </c>
      <c r="D3848" s="40" t="s">
        <v>27112</v>
      </c>
      <c r="E3848" s="41" t="s">
        <v>27113</v>
      </c>
      <c r="F3848" s="43" t="s">
        <v>27114</v>
      </c>
      <c r="G3848" s="43" t="s">
        <v>27115</v>
      </c>
      <c r="H3848" s="51" t="s">
        <v>25072</v>
      </c>
      <c r="I3848" s="15" t="str">
        <f>IFERROR(__xludf.DUMMYFUNCTION("GOOGLETRANSLATE(H3848,""EN"",""ES"")"),"Petróleo y energía")</f>
        <v>Petróleo y energía</v>
      </c>
      <c r="J3848" s="16" t="s">
        <v>35</v>
      </c>
      <c r="K3848" s="48">
        <v>-0.7</v>
      </c>
      <c r="L3848" s="51" t="s">
        <v>27116</v>
      </c>
      <c r="M3848" s="34" t="s">
        <v>27117</v>
      </c>
      <c r="N3848" s="94" t="s">
        <v>27118</v>
      </c>
      <c r="O3848" s="94" t="str">
        <f>IFERROR(__xludf.DUMMYFUNCTION("GOOGLETRANSLATE(N3848,""EN"",""ES"")"),"Negativo ya que indica una fuga de inversiones debido a disputas políticas.")</f>
        <v>Negativo ya que indica una fuga de inversiones debido a disputas políticas.</v>
      </c>
      <c r="P3848" s="30">
        <v>-0.7</v>
      </c>
      <c r="Q3848" s="18" t="str">
        <f>IFERROR(__xludf.DUMMYFUNCTION("GOOGLETRANSLATE(R3848,""ES"",""EN"")"),"protest, tax")</f>
        <v>protest, tax</v>
      </c>
      <c r="R3848" s="34" t="s">
        <v>27119</v>
      </c>
      <c r="S3848" s="52" t="s">
        <v>27120</v>
      </c>
      <c r="T3848" s="22" t="s">
        <v>27121</v>
      </c>
    </row>
    <row r="3849">
      <c r="A3849" s="23" t="s">
        <v>27122</v>
      </c>
      <c r="B3849" s="77" t="s">
        <v>626</v>
      </c>
      <c r="C3849" s="41">
        <v>45587.0</v>
      </c>
      <c r="D3849" s="40" t="s">
        <v>27123</v>
      </c>
      <c r="E3849" s="41" t="s">
        <v>27124</v>
      </c>
      <c r="F3849" s="43" t="s">
        <v>27125</v>
      </c>
      <c r="G3849" s="43" t="s">
        <v>27126</v>
      </c>
      <c r="H3849" s="51" t="s">
        <v>25072</v>
      </c>
      <c r="I3849" s="25" t="str">
        <f>IFERROR(__xludf.DUMMYFUNCTION("GOOGLETRANSLATE(H3849,""EN"",""ES"")"),"Petróleo y energía")</f>
        <v>Petróleo y energía</v>
      </c>
      <c r="J3849" s="26" t="s">
        <v>35</v>
      </c>
      <c r="K3849" s="48">
        <v>-0.8</v>
      </c>
      <c r="L3849" s="49" t="s">
        <v>27127</v>
      </c>
      <c r="M3849" s="28" t="s">
        <v>27128</v>
      </c>
      <c r="N3849" s="93" t="s">
        <v>27129</v>
      </c>
      <c r="O3849" s="93" t="str">
        <f>IFERROR(__xludf.DUMMYFUNCTION("GOOGLETRANSLATE(N3849,""EN"",""ES"")"),"Negativo porque sugiere graves tensiones políticas y riesgos regulatorios.")</f>
        <v>Negativo porque sugiere graves tensiones políticas y riesgos regulatorios.</v>
      </c>
      <c r="P3849" s="30">
        <v>-0.5</v>
      </c>
      <c r="Q3849" s="31" t="str">
        <f>IFERROR(__xludf.DUMMYFUNCTION("GOOGLETRANSLATE(R3849,""ES"",""EN"")"),"intervene, protest")</f>
        <v>intervene, protest</v>
      </c>
      <c r="R3849" s="28" t="s">
        <v>27130</v>
      </c>
      <c r="S3849" s="53" t="s">
        <v>27030</v>
      </c>
      <c r="T3849" s="32" t="s">
        <v>27031</v>
      </c>
    </row>
    <row r="3850">
      <c r="A3850" s="33" t="s">
        <v>27131</v>
      </c>
      <c r="B3850" s="76" t="s">
        <v>11766</v>
      </c>
      <c r="C3850" s="41">
        <v>45587.0</v>
      </c>
      <c r="D3850" s="40" t="s">
        <v>27132</v>
      </c>
      <c r="E3850" s="41" t="s">
        <v>27133</v>
      </c>
      <c r="F3850" s="43" t="s">
        <v>27134</v>
      </c>
      <c r="G3850" s="43" t="s">
        <v>27135</v>
      </c>
      <c r="H3850" s="51" t="s">
        <v>25072</v>
      </c>
      <c r="I3850" s="15" t="str">
        <f>IFERROR(__xludf.DUMMYFUNCTION("GOOGLETRANSLATE(H3850,""EN"",""ES"")"),"Petróleo y energía")</f>
        <v>Petróleo y energía</v>
      </c>
      <c r="J3850" s="16" t="s">
        <v>35</v>
      </c>
      <c r="K3850" s="48">
        <v>-0.6</v>
      </c>
      <c r="L3850" s="51" t="s">
        <v>27136</v>
      </c>
      <c r="M3850" s="34" t="s">
        <v>27137</v>
      </c>
      <c r="N3850" s="94" t="s">
        <v>27138</v>
      </c>
      <c r="O3850" s="94" t="str">
        <f>IFERROR(__xludf.DUMMYFUNCTION("GOOGLETRANSLATE(N3850,""EN"",""ES"")"),"Negativo porque pone de relieve la oposición a las políticas gubernamentales y las fricciones regulatorias.")</f>
        <v>Negativo porque pone de relieve la oposición a las políticas gubernamentales y las fricciones regulatorias.</v>
      </c>
      <c r="P3850" s="30">
        <v>-0.3</v>
      </c>
      <c r="Q3850" s="18" t="str">
        <f>IFERROR(__xludf.DUMMYFUNCTION("GOOGLETRANSLATE(R3850,""ES"",""EN"")"),"populism")</f>
        <v>populism</v>
      </c>
      <c r="R3850" s="34" t="s">
        <v>26996</v>
      </c>
      <c r="S3850" s="52" t="s">
        <v>27139</v>
      </c>
      <c r="T3850" s="22" t="s">
        <v>27140</v>
      </c>
    </row>
    <row r="3851">
      <c r="A3851" s="23" t="s">
        <v>27141</v>
      </c>
      <c r="B3851" s="77" t="s">
        <v>163</v>
      </c>
      <c r="C3851" s="41">
        <v>45587.0</v>
      </c>
      <c r="D3851" s="40" t="s">
        <v>27142</v>
      </c>
      <c r="E3851" s="41" t="s">
        <v>27143</v>
      </c>
      <c r="F3851" s="43" t="s">
        <v>27144</v>
      </c>
      <c r="G3851" s="43" t="s">
        <v>27145</v>
      </c>
      <c r="H3851" s="51" t="s">
        <v>25072</v>
      </c>
      <c r="I3851" s="25" t="str">
        <f>IFERROR(__xludf.DUMMYFUNCTION("GOOGLETRANSLATE(H3851,""EN"",""ES"")"),"Petróleo y energía")</f>
        <v>Petróleo y energía</v>
      </c>
      <c r="J3851" s="26" t="s">
        <v>35</v>
      </c>
      <c r="K3851" s="48">
        <v>-0.7</v>
      </c>
      <c r="L3851" s="49" t="s">
        <v>27146</v>
      </c>
      <c r="M3851" s="28" t="s">
        <v>27147</v>
      </c>
      <c r="N3851" s="93" t="s">
        <v>27148</v>
      </c>
      <c r="O3851" s="93" t="str">
        <f>IFERROR(__xludf.DUMMYFUNCTION("GOOGLETRANSLATE(N3851,""EN"",""ES"")"),"Negativo por paralización de inversiones e incertidumbre financiera.")</f>
        <v>Negativo por paralización de inversiones e incertidumbre financiera.</v>
      </c>
      <c r="P3851" s="30">
        <v>-0.8</v>
      </c>
      <c r="Q3851" s="31" t="str">
        <f>IFERROR(__xludf.DUMMYFUNCTION("GOOGLETRANSLATE(R3851,""ES"",""EN"")"),"paralyzes, taxes")</f>
        <v>paralyzes, taxes</v>
      </c>
      <c r="R3851" s="28" t="s">
        <v>27149</v>
      </c>
      <c r="S3851" s="53" t="s">
        <v>27150</v>
      </c>
      <c r="T3851" s="32" t="s">
        <v>27151</v>
      </c>
    </row>
    <row r="3852">
      <c r="A3852" s="33" t="s">
        <v>27152</v>
      </c>
      <c r="B3852" s="76" t="s">
        <v>374</v>
      </c>
      <c r="C3852" s="41">
        <v>45587.0</v>
      </c>
      <c r="D3852" s="40" t="s">
        <v>27153</v>
      </c>
      <c r="E3852" s="41" t="s">
        <v>27154</v>
      </c>
      <c r="F3852" s="43" t="s">
        <v>27155</v>
      </c>
      <c r="G3852" s="43" t="s">
        <v>27156</v>
      </c>
      <c r="H3852" s="51" t="s">
        <v>55</v>
      </c>
      <c r="I3852" s="15" t="str">
        <f>IFERROR(__xludf.DUMMYFUNCTION("GOOGLETRANSLATE(H3852,""EN"",""ES"")"),"deportes de motor")</f>
        <v>deportes de motor</v>
      </c>
      <c r="J3852" s="16" t="s">
        <v>27</v>
      </c>
      <c r="K3852" s="17">
        <v>0.0</v>
      </c>
      <c r="L3852" s="45"/>
      <c r="M3852" s="18"/>
      <c r="N3852" s="94"/>
      <c r="O3852" s="94"/>
      <c r="P3852" s="20">
        <v>0.0</v>
      </c>
      <c r="Q3852" s="18"/>
      <c r="R3852" s="18"/>
      <c r="S3852" s="52"/>
      <c r="T3852" s="22"/>
    </row>
    <row r="3853">
      <c r="A3853" s="23" t="s">
        <v>27157</v>
      </c>
      <c r="B3853" s="77" t="s">
        <v>1072</v>
      </c>
      <c r="C3853" s="41">
        <v>45587.0</v>
      </c>
      <c r="D3853" s="40" t="s">
        <v>27158</v>
      </c>
      <c r="E3853" s="41" t="s">
        <v>27159</v>
      </c>
      <c r="F3853" s="43" t="s">
        <v>27160</v>
      </c>
      <c r="G3853" s="43" t="s">
        <v>27161</v>
      </c>
      <c r="H3853" s="51" t="s">
        <v>25072</v>
      </c>
      <c r="I3853" s="25" t="str">
        <f>IFERROR(__xludf.DUMMYFUNCTION("GOOGLETRANSLATE(H3853,""EN"",""ES"")"),"Petróleo y energía")</f>
        <v>Petróleo y energía</v>
      </c>
      <c r="J3853" s="26" t="s">
        <v>35</v>
      </c>
      <c r="K3853" s="48">
        <v>-0.6</v>
      </c>
      <c r="L3853" s="49" t="s">
        <v>27162</v>
      </c>
      <c r="M3853" s="28" t="s">
        <v>27163</v>
      </c>
      <c r="N3853" s="93" t="s">
        <v>27164</v>
      </c>
      <c r="O3853" s="93" t="str">
        <f>IFERROR(__xludf.DUMMYFUNCTION("GOOGLETRANSLATE(N3853,""EN"",""ES"")"),"Negativo porque sugiere inestabilidad y esfuerzos urgentes de lobby contra las medidas fiscales.")</f>
        <v>Negativo porque sugiere inestabilidad y esfuerzos urgentes de lobby contra las medidas fiscales.</v>
      </c>
      <c r="P3853" s="30">
        <v>-0.5</v>
      </c>
      <c r="Q3853" s="31" t="str">
        <f>IFERROR(__xludf.DUMMYFUNCTION("GOOGLETRANSLATE(R3853,""ES"",""EN"")"),"stop, imposed")</f>
        <v>stop, imposed</v>
      </c>
      <c r="R3853" s="28" t="s">
        <v>27165</v>
      </c>
      <c r="S3853" s="53" t="s">
        <v>27166</v>
      </c>
      <c r="T3853" s="32" t="s">
        <v>27167</v>
      </c>
    </row>
    <row r="3854">
      <c r="A3854" s="33" t="s">
        <v>27168</v>
      </c>
      <c r="B3854" s="76" t="s">
        <v>207</v>
      </c>
      <c r="C3854" s="41">
        <v>45587.0</v>
      </c>
      <c r="D3854" s="40" t="s">
        <v>27169</v>
      </c>
      <c r="E3854" s="41" t="s">
        <v>27170</v>
      </c>
      <c r="F3854" s="43" t="s">
        <v>27171</v>
      </c>
      <c r="G3854" s="43" t="s">
        <v>27172</v>
      </c>
      <c r="H3854" s="51" t="s">
        <v>25072</v>
      </c>
      <c r="I3854" s="15" t="str">
        <f>IFERROR(__xludf.DUMMYFUNCTION("GOOGLETRANSLATE(H3854,""EN"",""ES"")"),"Petróleo y energía")</f>
        <v>Petróleo y energía</v>
      </c>
      <c r="J3854" s="16" t="s">
        <v>35</v>
      </c>
      <c r="K3854" s="48">
        <v>-0.7</v>
      </c>
      <c r="L3854" s="51" t="s">
        <v>27173</v>
      </c>
      <c r="M3854" s="34" t="s">
        <v>27174</v>
      </c>
      <c r="N3854" s="94" t="s">
        <v>27175</v>
      </c>
      <c r="O3854" s="94" t="str">
        <f>IFERROR(__xludf.DUMMYFUNCTION("GOOGLETRANSLATE(N3854,""EN"",""ES"")"),"Negativo ya que implica presión política y financiera sobre Repsol.")</f>
        <v>Negativo ya que implica presión política y financiera sobre Repsol.</v>
      </c>
      <c r="P3854" s="30">
        <v>-0.6</v>
      </c>
      <c r="Q3854" s="18" t="str">
        <f>IFERROR(__xludf.DUMMYFUNCTION("GOOGLETRANSLATE(R3854,""ES"",""EN"")"),"return, relocate")</f>
        <v>return, relocate</v>
      </c>
      <c r="R3854" s="34" t="s">
        <v>27176</v>
      </c>
      <c r="S3854" s="52" t="s">
        <v>27177</v>
      </c>
      <c r="T3854" s="22" t="s">
        <v>27178</v>
      </c>
    </row>
    <row r="3855">
      <c r="A3855" s="23" t="s">
        <v>27179</v>
      </c>
      <c r="B3855" s="77" t="s">
        <v>499</v>
      </c>
      <c r="C3855" s="41">
        <v>45587.0</v>
      </c>
      <c r="D3855" s="40" t="s">
        <v>27180</v>
      </c>
      <c r="E3855" s="41" t="s">
        <v>27181</v>
      </c>
      <c r="F3855" s="43" t="s">
        <v>27182</v>
      </c>
      <c r="G3855" s="43" t="s">
        <v>27183</v>
      </c>
      <c r="H3855" s="51" t="s">
        <v>25072</v>
      </c>
      <c r="I3855" s="25" t="str">
        <f>IFERROR(__xludf.DUMMYFUNCTION("GOOGLETRANSLATE(H3855,""EN"",""ES"")"),"Petróleo y energía")</f>
        <v>Petróleo y energía</v>
      </c>
      <c r="J3855" s="26" t="s">
        <v>35</v>
      </c>
      <c r="K3855" s="48">
        <v>-0.6</v>
      </c>
      <c r="L3855" s="49" t="s">
        <v>27184</v>
      </c>
      <c r="M3855" s="28" t="s">
        <v>27185</v>
      </c>
      <c r="N3855" s="93" t="s">
        <v>27186</v>
      </c>
      <c r="O3855" s="93" t="str">
        <f>IFERROR(__xludf.DUMMYFUNCTION("GOOGLETRANSLATE(N3855,""EN"",""ES"")"),"Negativo ya que sugiere retrasos en las iniciativas de energías renovables.")</f>
        <v>Negativo ya que sugiere retrasos en las iniciativas de energías renovables.</v>
      </c>
      <c r="P3855" s="30">
        <v>-0.7</v>
      </c>
      <c r="Q3855" s="31" t="str">
        <f>IFERROR(__xludf.DUMMYFUNCTION("GOOGLETRANSLATE(R3855,""ES"",""EN"")"),"paralyzed")</f>
        <v>paralyzed</v>
      </c>
      <c r="R3855" s="28" t="s">
        <v>27187</v>
      </c>
      <c r="S3855" s="53" t="s">
        <v>27019</v>
      </c>
      <c r="T3855" s="32" t="s">
        <v>27020</v>
      </c>
    </row>
    <row r="3856">
      <c r="A3856" s="33" t="s">
        <v>27188</v>
      </c>
      <c r="B3856" s="76" t="s">
        <v>2442</v>
      </c>
      <c r="C3856" s="41">
        <v>45587.0</v>
      </c>
      <c r="D3856" s="40" t="s">
        <v>27189</v>
      </c>
      <c r="E3856" s="41" t="s">
        <v>27190</v>
      </c>
      <c r="F3856" s="43" t="s">
        <v>27191</v>
      </c>
      <c r="G3856" s="43" t="s">
        <v>27192</v>
      </c>
      <c r="H3856" s="51" t="s">
        <v>25072</v>
      </c>
      <c r="I3856" s="15" t="str">
        <f>IFERROR(__xludf.DUMMYFUNCTION("GOOGLETRANSLATE(H3856,""EN"",""ES"")"),"Petróleo y energía")</f>
        <v>Petróleo y energía</v>
      </c>
      <c r="J3856" s="16" t="s">
        <v>35</v>
      </c>
      <c r="K3856" s="48">
        <v>-0.6</v>
      </c>
      <c r="L3856" s="51" t="s">
        <v>27193</v>
      </c>
      <c r="M3856" s="34" t="s">
        <v>27194</v>
      </c>
      <c r="N3856" s="94" t="s">
        <v>27195</v>
      </c>
      <c r="O3856" s="94" t="str">
        <f>IFERROR(__xludf.DUMMYFUNCTION("GOOGLETRANSLATE(N3856,""EN"",""ES"")"),"Negativo ya que señala incertidumbre económica y laboral.")</f>
        <v>Negativo ya que señala incertidumbre económica y laboral.</v>
      </c>
      <c r="P3856" s="30">
        <v>-0.6</v>
      </c>
      <c r="Q3856" s="18" t="str">
        <f>IFERROR(__xludf.DUMMYFUNCTION("GOOGLETRANSLATE(R3856,""ES"",""EN"")"),"freeze, threat")</f>
        <v>freeze, threat</v>
      </c>
      <c r="R3856" s="34" t="s">
        <v>27196</v>
      </c>
      <c r="S3856" s="52" t="s">
        <v>27061</v>
      </c>
      <c r="T3856" s="22" t="s">
        <v>27062</v>
      </c>
    </row>
    <row r="3857">
      <c r="A3857" s="23" t="s">
        <v>27197</v>
      </c>
      <c r="B3857" s="77" t="s">
        <v>513</v>
      </c>
      <c r="C3857" s="41">
        <v>45587.0</v>
      </c>
      <c r="D3857" s="40" t="s">
        <v>27198</v>
      </c>
      <c r="E3857" s="41" t="s">
        <v>27199</v>
      </c>
      <c r="F3857" s="43" t="s">
        <v>27200</v>
      </c>
      <c r="G3857" s="43" t="s">
        <v>27201</v>
      </c>
      <c r="H3857" s="51" t="s">
        <v>55</v>
      </c>
      <c r="I3857" s="25" t="str">
        <f>IFERROR(__xludf.DUMMYFUNCTION("GOOGLETRANSLATE(H3857,""EN"",""ES"")"),"deportes de motor")</f>
        <v>deportes de motor</v>
      </c>
      <c r="J3857" s="26" t="s">
        <v>27</v>
      </c>
      <c r="K3857" s="17">
        <v>0.0</v>
      </c>
      <c r="L3857" s="54"/>
      <c r="M3857" s="31"/>
      <c r="N3857" s="93"/>
      <c r="O3857" s="93"/>
      <c r="P3857" s="20">
        <v>0.0</v>
      </c>
      <c r="Q3857" s="31"/>
      <c r="R3857" s="31"/>
      <c r="S3857" s="53"/>
      <c r="T3857" s="32"/>
    </row>
    <row r="3858">
      <c r="A3858" s="33" t="s">
        <v>27202</v>
      </c>
      <c r="B3858" s="76" t="s">
        <v>1831</v>
      </c>
      <c r="C3858" s="41">
        <v>45587.0</v>
      </c>
      <c r="D3858" s="40" t="s">
        <v>27022</v>
      </c>
      <c r="E3858" s="41" t="s">
        <v>27203</v>
      </c>
      <c r="F3858" s="43" t="s">
        <v>27024</v>
      </c>
      <c r="G3858" s="43" t="s">
        <v>27204</v>
      </c>
      <c r="H3858" s="51" t="s">
        <v>25072</v>
      </c>
      <c r="I3858" s="15" t="str">
        <f>IFERROR(__xludf.DUMMYFUNCTION("GOOGLETRANSLATE(H3858,""EN"",""ES"")"),"Petróleo y energía")</f>
        <v>Petróleo y energía</v>
      </c>
      <c r="J3858" s="16" t="s">
        <v>35</v>
      </c>
      <c r="K3858" s="48">
        <v>-0.8</v>
      </c>
      <c r="L3858" s="51" t="s">
        <v>27205</v>
      </c>
      <c r="M3858" s="34" t="s">
        <v>27206</v>
      </c>
      <c r="N3858" s="94" t="s">
        <v>27207</v>
      </c>
      <c r="O3858" s="94" t="str">
        <f>IFERROR(__xludf.DUMMYFUNCTION("GOOGLETRANSLATE(N3858,""EN"",""ES"")"),"Negativo porque sugiere posibles esfuerzos de nacionalización y alta tensión política.")</f>
        <v>Negativo porque sugiere posibles esfuerzos de nacionalización y alta tensión política.</v>
      </c>
      <c r="P3858" s="30">
        <v>-0.5</v>
      </c>
      <c r="Q3858" s="18" t="str">
        <f>IFERROR(__xludf.DUMMYFUNCTION("GOOGLETRANSLATE(R3858,""ES"",""EN"")"),"take control")</f>
        <v>take control</v>
      </c>
      <c r="R3858" s="34" t="s">
        <v>27029</v>
      </c>
      <c r="S3858" s="52" t="s">
        <v>27030</v>
      </c>
      <c r="T3858" s="22" t="s">
        <v>27031</v>
      </c>
    </row>
    <row r="3859">
      <c r="A3859" s="23" t="s">
        <v>27208</v>
      </c>
      <c r="B3859" s="77" t="s">
        <v>859</v>
      </c>
      <c r="C3859" s="41">
        <v>45587.0</v>
      </c>
      <c r="D3859" s="40" t="s">
        <v>27209</v>
      </c>
      <c r="E3859" s="41" t="s">
        <v>27210</v>
      </c>
      <c r="F3859" s="43" t="s">
        <v>27211</v>
      </c>
      <c r="G3859" s="43" t="s">
        <v>27212</v>
      </c>
      <c r="H3859" s="51" t="s">
        <v>25072</v>
      </c>
      <c r="I3859" s="25" t="str">
        <f>IFERROR(__xludf.DUMMYFUNCTION("GOOGLETRANSLATE(H3859,""EN"",""ES"")"),"Petróleo y energía")</f>
        <v>Petróleo y energía</v>
      </c>
      <c r="J3859" s="26" t="s">
        <v>35</v>
      </c>
      <c r="K3859" s="48">
        <v>-0.7</v>
      </c>
      <c r="L3859" s="49" t="s">
        <v>27213</v>
      </c>
      <c r="M3859" s="28" t="s">
        <v>27214</v>
      </c>
      <c r="N3859" s="93" t="s">
        <v>27215</v>
      </c>
      <c r="O3859" s="93" t="str">
        <f>IFERROR(__xludf.DUMMYFUNCTION("GOOGLETRANSLATE(N3859,""EN"",""ES"")"),"Negativo debido a la paralización de las inversiones y al aumento de las tensiones con el gobierno.")</f>
        <v>Negativo debido a la paralización de las inversiones y al aumento de las tensiones con el gobierno.</v>
      </c>
      <c r="P3859" s="30">
        <v>-0.7</v>
      </c>
      <c r="Q3859" s="31" t="str">
        <f>IFERROR(__xludf.DUMMYFUNCTION("GOOGLETRANSLATE(R3859,""ES"",""EN"")"),"standby, tax")</f>
        <v>standby, tax</v>
      </c>
      <c r="R3859" s="28" t="s">
        <v>27216</v>
      </c>
      <c r="S3859" s="53" t="s">
        <v>27217</v>
      </c>
      <c r="T3859" s="32" t="s">
        <v>27218</v>
      </c>
    </row>
    <row r="3860">
      <c r="A3860" s="33" t="s">
        <v>27219</v>
      </c>
      <c r="B3860" s="76" t="s">
        <v>1819</v>
      </c>
      <c r="C3860" s="41">
        <v>45587.0</v>
      </c>
      <c r="D3860" s="40" t="s">
        <v>27220</v>
      </c>
      <c r="E3860" s="41" t="s">
        <v>27221</v>
      </c>
      <c r="F3860" s="43" t="s">
        <v>27222</v>
      </c>
      <c r="G3860" s="43" t="s">
        <v>27223</v>
      </c>
      <c r="H3860" s="51" t="s">
        <v>25072</v>
      </c>
      <c r="I3860" s="15" t="str">
        <f>IFERROR(__xludf.DUMMYFUNCTION("GOOGLETRANSLATE(H3860,""EN"",""ES"")"),"Petróleo y energía")</f>
        <v>Petróleo y energía</v>
      </c>
      <c r="J3860" s="16" t="s">
        <v>35</v>
      </c>
      <c r="K3860" s="48">
        <v>-0.6</v>
      </c>
      <c r="L3860" s="51" t="s">
        <v>27224</v>
      </c>
      <c r="M3860" s="34" t="s">
        <v>27225</v>
      </c>
      <c r="N3860" s="94" t="s">
        <v>27226</v>
      </c>
      <c r="O3860" s="94" t="str">
        <f>IFERROR(__xludf.DUMMYFUNCTION("GOOGLETRANSLATE(N3860,""EN"",""ES"")"),"Negativo por tratarse de conflictos laborales, que pueden dañar la imagen pública de Repsol.")</f>
        <v>Negativo por tratarse de conflictos laborales, que pueden dañar la imagen pública de Repsol.</v>
      </c>
      <c r="P3860" s="30">
        <v>-0.5</v>
      </c>
      <c r="Q3860" s="18" t="str">
        <f>IFERROR(__xludf.DUMMYFUNCTION("GOOGLETRANSLATE(R3860,""ES"",""EN"")"),"complaint, strike")</f>
        <v>complaint, strike</v>
      </c>
      <c r="R3860" s="34" t="s">
        <v>27227</v>
      </c>
      <c r="S3860" s="52" t="s">
        <v>25559</v>
      </c>
      <c r="T3860" s="22" t="s">
        <v>24632</v>
      </c>
    </row>
    <row r="3861">
      <c r="A3861" s="23" t="s">
        <v>27228</v>
      </c>
      <c r="B3861" s="77" t="s">
        <v>403</v>
      </c>
      <c r="C3861" s="41">
        <v>45587.0</v>
      </c>
      <c r="D3861" s="40" t="s">
        <v>27229</v>
      </c>
      <c r="E3861" s="41" t="s">
        <v>27230</v>
      </c>
      <c r="F3861" s="43" t="s">
        <v>27231</v>
      </c>
      <c r="G3861" s="43" t="s">
        <v>27232</v>
      </c>
      <c r="H3861" s="51" t="s">
        <v>25072</v>
      </c>
      <c r="I3861" s="25" t="str">
        <f>IFERROR(__xludf.DUMMYFUNCTION("GOOGLETRANSLATE(H3861,""EN"",""ES"")"),"Petróleo y energía")</f>
        <v>Petróleo y energía</v>
      </c>
      <c r="J3861" s="26" t="s">
        <v>35</v>
      </c>
      <c r="K3861" s="48">
        <v>-0.7</v>
      </c>
      <c r="L3861" s="49" t="s">
        <v>27233</v>
      </c>
      <c r="M3861" s="28" t="s">
        <v>27234</v>
      </c>
      <c r="N3861" s="93" t="s">
        <v>27235</v>
      </c>
      <c r="O3861" s="93" t="str">
        <f>IFERROR(__xludf.DUMMYFUNCTION("GOOGLETRANSLATE(N3861,""EN"",""ES"")"),"Negativo ya que indica iniciativas de energía renovable detenidas debido a problemas regulatorios.")</f>
        <v>Negativo ya que indica iniciativas de energía renovable detenidas debido a problemas regulatorios.</v>
      </c>
      <c r="P3861" s="30">
        <v>-0.6</v>
      </c>
      <c r="Q3861" s="31" t="str">
        <f>IFERROR(__xludf.DUMMYFUNCTION("GOOGLETRANSLATE(R3861,""ES"",""EN"")"),"paralyzes")</f>
        <v>paralyzes</v>
      </c>
      <c r="R3861" s="28" t="s">
        <v>27236</v>
      </c>
      <c r="S3861" s="53" t="s">
        <v>27237</v>
      </c>
      <c r="T3861" s="32" t="s">
        <v>27238</v>
      </c>
    </row>
    <row r="3862">
      <c r="A3862" s="33" t="s">
        <v>27239</v>
      </c>
      <c r="B3862" s="76" t="s">
        <v>448</v>
      </c>
      <c r="C3862" s="41">
        <v>45587.0</v>
      </c>
      <c r="D3862" s="40" t="s">
        <v>27240</v>
      </c>
      <c r="E3862" s="41" t="s">
        <v>27241</v>
      </c>
      <c r="F3862" s="43" t="s">
        <v>27242</v>
      </c>
      <c r="G3862" s="43" t="s">
        <v>27243</v>
      </c>
      <c r="H3862" s="51" t="s">
        <v>25072</v>
      </c>
      <c r="I3862" s="15" t="str">
        <f>IFERROR(__xludf.DUMMYFUNCTION("GOOGLETRANSLATE(H3862,""EN"",""ES"")"),"Petróleo y energía")</f>
        <v>Petróleo y energía</v>
      </c>
      <c r="J3862" s="16" t="s">
        <v>35</v>
      </c>
      <c r="K3862" s="48">
        <v>-0.5</v>
      </c>
      <c r="L3862" s="51" t="s">
        <v>27244</v>
      </c>
      <c r="M3862" s="34" t="s">
        <v>27245</v>
      </c>
      <c r="N3862" s="94" t="s">
        <v>27246</v>
      </c>
      <c r="O3862" s="94" t="str">
        <f>IFERROR(__xludf.DUMMYFUNCTION("GOOGLETRANSLATE(N3862,""EN"",""ES"")"),"Negativo ya que pone de relieve la salida de inversiones de España, pese al enfoque en sostenibilidad.")</f>
        <v>Negativo ya que pone de relieve la salida de inversiones de España, pese al enfoque en sostenibilidad.</v>
      </c>
      <c r="P3862" s="30">
        <v>0.0</v>
      </c>
      <c r="Q3862" s="18"/>
      <c r="R3862" s="18"/>
      <c r="S3862" s="52" t="s">
        <v>27247</v>
      </c>
      <c r="T3862" s="22" t="s">
        <v>27248</v>
      </c>
    </row>
    <row r="3863">
      <c r="A3863" s="23" t="s">
        <v>27249</v>
      </c>
      <c r="B3863" s="77" t="s">
        <v>21</v>
      </c>
      <c r="C3863" s="41">
        <v>45587.0</v>
      </c>
      <c r="D3863" s="40" t="s">
        <v>27250</v>
      </c>
      <c r="E3863" s="41" t="s">
        <v>27251</v>
      </c>
      <c r="F3863" s="43" t="s">
        <v>27252</v>
      </c>
      <c r="G3863" s="43" t="s">
        <v>27253</v>
      </c>
      <c r="H3863" s="51" t="s">
        <v>26</v>
      </c>
      <c r="I3863" s="25" t="str">
        <f>IFERROR(__xludf.DUMMYFUNCTION("GOOGLETRANSLATE(H3863,""EN"",""ES"")"),"Otro")</f>
        <v>Otro</v>
      </c>
      <c r="J3863" s="26" t="s">
        <v>27</v>
      </c>
      <c r="K3863" s="17">
        <v>0.0</v>
      </c>
      <c r="L3863" s="54"/>
      <c r="M3863" s="31"/>
      <c r="N3863" s="93"/>
      <c r="O3863" s="93"/>
      <c r="P3863" s="20">
        <v>0.0</v>
      </c>
      <c r="Q3863" s="31"/>
      <c r="R3863" s="31"/>
      <c r="S3863" s="53"/>
      <c r="T3863" s="32"/>
    </row>
    <row r="3864">
      <c r="A3864" s="33" t="s">
        <v>27254</v>
      </c>
      <c r="B3864" s="76" t="s">
        <v>85</v>
      </c>
      <c r="C3864" s="41">
        <v>45587.0</v>
      </c>
      <c r="D3864" s="40" t="s">
        <v>27255</v>
      </c>
      <c r="E3864" s="41" t="s">
        <v>27256</v>
      </c>
      <c r="F3864" s="43" t="s">
        <v>27257</v>
      </c>
      <c r="G3864" s="43" t="s">
        <v>27258</v>
      </c>
      <c r="H3864" s="51" t="s">
        <v>25072</v>
      </c>
      <c r="I3864" s="15" t="str">
        <f>IFERROR(__xludf.DUMMYFUNCTION("GOOGLETRANSLATE(H3864,""EN"",""ES"")"),"Petróleo y energía")</f>
        <v>Petróleo y energía</v>
      </c>
      <c r="J3864" s="16" t="s">
        <v>35</v>
      </c>
      <c r="K3864" s="48">
        <v>-0.6</v>
      </c>
      <c r="L3864" s="51" t="s">
        <v>27259</v>
      </c>
      <c r="M3864" s="34" t="s">
        <v>27260</v>
      </c>
      <c r="N3864" s="94" t="s">
        <v>27261</v>
      </c>
      <c r="O3864" s="94" t="str">
        <f>IFERROR(__xludf.DUMMYFUNCTION("GOOGLETRANSLATE(N3864,""EN"",""ES"")"),"Negativo, ya que sugiere que Repsol está desviando su atención de España debido a las políticas fiscales.")</f>
        <v>Negativo, ya que sugiere que Repsol está desviando su atención de España debido a las políticas fiscales.</v>
      </c>
      <c r="P3864" s="30">
        <v>-0.7</v>
      </c>
      <c r="Q3864" s="18" t="str">
        <f>IFERROR(__xludf.DUMMYFUNCTION("GOOGLETRANSLATE(R3864,""ES"",""EN"")"),"paralyzes, imposes")</f>
        <v>paralyzes, imposes</v>
      </c>
      <c r="R3864" s="34" t="s">
        <v>27262</v>
      </c>
      <c r="S3864" s="52" t="s">
        <v>27263</v>
      </c>
      <c r="T3864" s="22" t="s">
        <v>27264</v>
      </c>
    </row>
    <row r="3865">
      <c r="A3865" s="23" t="s">
        <v>27265</v>
      </c>
      <c r="B3865" s="77" t="s">
        <v>163</v>
      </c>
      <c r="C3865" s="41">
        <v>45587.0</v>
      </c>
      <c r="D3865" s="40" t="s">
        <v>27266</v>
      </c>
      <c r="E3865" s="41" t="s">
        <v>27267</v>
      </c>
      <c r="F3865" s="43" t="s">
        <v>27268</v>
      </c>
      <c r="G3865" s="43" t="s">
        <v>27269</v>
      </c>
      <c r="H3865" s="51" t="s">
        <v>25072</v>
      </c>
      <c r="I3865" s="25" t="str">
        <f>IFERROR(__xludf.DUMMYFUNCTION("GOOGLETRANSLATE(H3865,""EN"",""ES"")"),"Petróleo y energía")</f>
        <v>Petróleo y energía</v>
      </c>
      <c r="J3865" s="26" t="s">
        <v>27</v>
      </c>
      <c r="K3865" s="17">
        <v>0.0</v>
      </c>
      <c r="L3865" s="54"/>
      <c r="M3865" s="31"/>
      <c r="N3865" s="93"/>
      <c r="O3865" s="93"/>
      <c r="P3865" s="20">
        <v>0.0</v>
      </c>
      <c r="Q3865" s="31"/>
      <c r="R3865" s="31"/>
      <c r="S3865" s="53"/>
      <c r="T3865" s="32"/>
    </row>
    <row r="3866">
      <c r="A3866" s="33" t="s">
        <v>27270</v>
      </c>
      <c r="B3866" s="76" t="s">
        <v>881</v>
      </c>
      <c r="C3866" s="41">
        <v>45587.0</v>
      </c>
      <c r="D3866" s="40" t="s">
        <v>27271</v>
      </c>
      <c r="E3866" s="41" t="s">
        <v>27272</v>
      </c>
      <c r="F3866" s="43" t="s">
        <v>27273</v>
      </c>
      <c r="G3866" s="43" t="s">
        <v>27274</v>
      </c>
      <c r="H3866" s="51" t="s">
        <v>25072</v>
      </c>
      <c r="I3866" s="15" t="str">
        <f>IFERROR(__xludf.DUMMYFUNCTION("GOOGLETRANSLATE(H3866,""EN"",""ES"")"),"Petróleo y energía")</f>
        <v>Petróleo y energía</v>
      </c>
      <c r="J3866" s="16" t="s">
        <v>35</v>
      </c>
      <c r="K3866" s="48">
        <v>-0.7</v>
      </c>
      <c r="L3866" s="51" t="s">
        <v>27275</v>
      </c>
      <c r="M3866" s="34" t="s">
        <v>27276</v>
      </c>
      <c r="N3866" s="94" t="s">
        <v>27277</v>
      </c>
      <c r="O3866" s="94" t="str">
        <f>IFERROR(__xludf.DUMMYFUNCTION("GOOGLETRANSLATE(N3866,""EN"",""ES"")"),"Negativo por la presión política sobre Repsol y la incertidumbre inversora.")</f>
        <v>Negativo por la presión política sobre Repsol y la incertidumbre inversora.</v>
      </c>
      <c r="P3866" s="30">
        <v>-0.3</v>
      </c>
      <c r="Q3866" s="18" t="str">
        <f>IFERROR(__xludf.DUMMYFUNCTION("GOOGLETRANSLATE(R3866,""ES"",""EN"")"),"involve")</f>
        <v>involve</v>
      </c>
      <c r="R3866" s="34" t="s">
        <v>27278</v>
      </c>
      <c r="S3866" s="52" t="s">
        <v>26997</v>
      </c>
      <c r="T3866" s="22" t="s">
        <v>26998</v>
      </c>
    </row>
    <row r="3867">
      <c r="A3867" s="23" t="s">
        <v>27279</v>
      </c>
      <c r="B3867" s="77" t="s">
        <v>27280</v>
      </c>
      <c r="C3867" s="41">
        <v>45587.0</v>
      </c>
      <c r="D3867" s="40" t="s">
        <v>27281</v>
      </c>
      <c r="E3867" s="41" t="s">
        <v>27282</v>
      </c>
      <c r="F3867" s="43" t="s">
        <v>27283</v>
      </c>
      <c r="G3867" s="43" t="s">
        <v>27284</v>
      </c>
      <c r="H3867" s="51" t="s">
        <v>25072</v>
      </c>
      <c r="I3867" s="25" t="str">
        <f>IFERROR(__xludf.DUMMYFUNCTION("GOOGLETRANSLATE(H3867,""EN"",""ES"")"),"Petróleo y energía")</f>
        <v>Petróleo y energía</v>
      </c>
      <c r="J3867" s="26" t="s">
        <v>35</v>
      </c>
      <c r="K3867" s="48">
        <v>-0.8</v>
      </c>
      <c r="L3867" s="49" t="s">
        <v>27285</v>
      </c>
      <c r="M3867" s="28" t="s">
        <v>27286</v>
      </c>
      <c r="N3867" s="93" t="s">
        <v>27287</v>
      </c>
      <c r="O3867" s="93" t="str">
        <f>IFERROR(__xludf.DUMMYFUNCTION("GOOGLETRANSLATE(N3867,""EN"",""ES"")"),"Altamente negativo ya que sugiere importantes consecuencias económicas e industriales.")</f>
        <v>Altamente negativo ya que sugiere importantes consecuencias económicas e industriales.</v>
      </c>
      <c r="P3867" s="30">
        <v>-0.9</v>
      </c>
      <c r="Q3867" s="31" t="str">
        <f>IFERROR(__xludf.DUMMYFUNCTION("GOOGLETRANSLATE(R3867,""ES"",""EN"")"),"close")</f>
        <v>close</v>
      </c>
      <c r="R3867" s="28" t="s">
        <v>20201</v>
      </c>
      <c r="S3867" s="53" t="s">
        <v>27288</v>
      </c>
      <c r="T3867" s="32" t="s">
        <v>27289</v>
      </c>
    </row>
    <row r="3868">
      <c r="A3868" s="33" t="s">
        <v>27290</v>
      </c>
      <c r="B3868" s="76" t="s">
        <v>68</v>
      </c>
      <c r="C3868" s="41">
        <v>45587.0</v>
      </c>
      <c r="D3868" s="40" t="s">
        <v>27291</v>
      </c>
      <c r="E3868" s="41" t="s">
        <v>27292</v>
      </c>
      <c r="F3868" s="43" t="s">
        <v>27293</v>
      </c>
      <c r="G3868" s="43" t="s">
        <v>27294</v>
      </c>
      <c r="H3868" s="51" t="s">
        <v>55</v>
      </c>
      <c r="I3868" s="15" t="str">
        <f>IFERROR(__xludf.DUMMYFUNCTION("GOOGLETRANSLATE(H3868,""EN"",""ES"")"),"deportes de motor")</f>
        <v>deportes de motor</v>
      </c>
      <c r="J3868" s="16" t="s">
        <v>27</v>
      </c>
      <c r="K3868" s="17">
        <v>0.0</v>
      </c>
      <c r="L3868" s="45"/>
      <c r="M3868" s="18"/>
      <c r="N3868" s="94"/>
      <c r="O3868" s="94"/>
      <c r="P3868" s="20">
        <v>0.0</v>
      </c>
      <c r="Q3868" s="18"/>
      <c r="R3868" s="18"/>
      <c r="S3868" s="52"/>
      <c r="T3868" s="22"/>
    </row>
    <row r="3869">
      <c r="A3869" s="23" t="s">
        <v>27295</v>
      </c>
      <c r="B3869" s="77" t="s">
        <v>881</v>
      </c>
      <c r="C3869" s="41">
        <v>45587.0</v>
      </c>
      <c r="D3869" s="40" t="s">
        <v>27296</v>
      </c>
      <c r="E3869" s="41" t="s">
        <v>27297</v>
      </c>
      <c r="F3869" s="43" t="s">
        <v>27298</v>
      </c>
      <c r="G3869" s="43" t="s">
        <v>27299</v>
      </c>
      <c r="H3869" s="51" t="s">
        <v>25072</v>
      </c>
      <c r="I3869" s="25" t="str">
        <f>IFERROR(__xludf.DUMMYFUNCTION("GOOGLETRANSLATE(H3869,""EN"",""ES"")"),"Petróleo y energía")</f>
        <v>Petróleo y energía</v>
      </c>
      <c r="J3869" s="26" t="s">
        <v>35</v>
      </c>
      <c r="K3869" s="48">
        <v>-0.7</v>
      </c>
      <c r="L3869" s="49" t="s">
        <v>27300</v>
      </c>
      <c r="M3869" s="28" t="s">
        <v>27301</v>
      </c>
      <c r="N3869" s="93" t="s">
        <v>27302</v>
      </c>
      <c r="O3869" s="93" t="str">
        <f>IFERROR(__xludf.DUMMYFUNCTION("GOOGLETRANSLATE(N3869,""EN"",""ES"")"),"Negativo, ya que refuerza las preocupaciones sobre las políticas fiscales que desincentivan la inversión.")</f>
        <v>Negativo, ya que refuerza las preocupaciones sobre las políticas fiscales que desincentivan la inversión.</v>
      </c>
      <c r="P3869" s="30">
        <v>-0.7</v>
      </c>
      <c r="Q3869" s="31" t="str">
        <f>IFERROR(__xludf.DUMMYFUNCTION("GOOGLETRANSLATE(R3869,""ES"",""EN"")"),"imposed, cool")</f>
        <v>imposed, cool</v>
      </c>
      <c r="R3869" s="28" t="s">
        <v>27303</v>
      </c>
      <c r="S3869" s="53" t="s">
        <v>26914</v>
      </c>
      <c r="T3869" s="32" t="s">
        <v>26915</v>
      </c>
    </row>
    <row r="3870">
      <c r="A3870" s="33" t="s">
        <v>27304</v>
      </c>
      <c r="B3870" s="76" t="s">
        <v>27305</v>
      </c>
      <c r="C3870" s="41">
        <v>45587.0</v>
      </c>
      <c r="D3870" s="40" t="s">
        <v>27306</v>
      </c>
      <c r="E3870" s="41" t="s">
        <v>27307</v>
      </c>
      <c r="F3870" s="43" t="s">
        <v>27308</v>
      </c>
      <c r="G3870" s="43" t="s">
        <v>27309</v>
      </c>
      <c r="H3870" s="51" t="s">
        <v>25072</v>
      </c>
      <c r="I3870" s="15" t="str">
        <f>IFERROR(__xludf.DUMMYFUNCTION("GOOGLETRANSLATE(H3870,""EN"",""ES"")"),"Petróleo y energía")</f>
        <v>Petróleo y energía</v>
      </c>
      <c r="J3870" s="16" t="s">
        <v>35</v>
      </c>
      <c r="K3870" s="48">
        <v>-0.6</v>
      </c>
      <c r="L3870" s="51" t="s">
        <v>27310</v>
      </c>
      <c r="M3870" s="34" t="s">
        <v>27311</v>
      </c>
      <c r="N3870" s="94" t="s">
        <v>27312</v>
      </c>
      <c r="O3870" s="94" t="str">
        <f>IFERROR(__xludf.DUMMYFUNCTION("GOOGLETRANSLATE(N3870,""EN"",""ES"")"),"Negativo debido a la paralización de las inversiones en energías renovables y a la incertidumbre regulatoria.")</f>
        <v>Negativo debido a la paralización de las inversiones en energías renovables y a la incertidumbre regulatoria.</v>
      </c>
      <c r="P3870" s="30">
        <v>-0.8</v>
      </c>
      <c r="Q3870" s="18" t="str">
        <f>IFERROR(__xludf.DUMMYFUNCTION("GOOGLETRANSLATE(R3870,""ES"",""EN"")"),"paralyze, tax")</f>
        <v>paralyze, tax</v>
      </c>
      <c r="R3870" s="34" t="s">
        <v>27313</v>
      </c>
      <c r="S3870" s="52" t="s">
        <v>27314</v>
      </c>
      <c r="T3870" s="22" t="s">
        <v>27315</v>
      </c>
    </row>
    <row r="3871">
      <c r="A3871" s="23" t="s">
        <v>27316</v>
      </c>
      <c r="B3871" s="77" t="s">
        <v>16864</v>
      </c>
      <c r="C3871" s="41">
        <v>45587.0</v>
      </c>
      <c r="D3871" s="40" t="s">
        <v>27317</v>
      </c>
      <c r="E3871" s="41" t="s">
        <v>27318</v>
      </c>
      <c r="F3871" s="43" t="s">
        <v>27319</v>
      </c>
      <c r="G3871" s="43" t="s">
        <v>27320</v>
      </c>
      <c r="H3871" s="51" t="s">
        <v>25072</v>
      </c>
      <c r="I3871" s="25" t="str">
        <f>IFERROR(__xludf.DUMMYFUNCTION("GOOGLETRANSLATE(H3871,""EN"",""ES"")"),"Petróleo y energía")</f>
        <v>Petróleo y energía</v>
      </c>
      <c r="J3871" s="26" t="s">
        <v>35</v>
      </c>
      <c r="K3871" s="48">
        <v>-0.7</v>
      </c>
      <c r="L3871" s="49" t="s">
        <v>27321</v>
      </c>
      <c r="M3871" s="28" t="s">
        <v>27322</v>
      </c>
      <c r="N3871" s="93" t="s">
        <v>27323</v>
      </c>
      <c r="O3871" s="93" t="str">
        <f>IFERROR(__xludf.DUMMYFUNCTION("GOOGLETRANSLATE(N3871,""EN"",""ES"")"),"Negativo ya que resalta el conflicto entre el sector privado y el gobierno.")</f>
        <v>Negativo ya que resalta el conflicto entre el sector privado y el gobierno.</v>
      </c>
      <c r="P3871" s="30">
        <v>-0.6</v>
      </c>
      <c r="Q3871" s="31" t="str">
        <f>IFERROR(__xludf.DUMMYFUNCTION("GOOGLETRANSLATE(R3871,""ES"",""EN"")"),"tension, face")</f>
        <v>tension, face</v>
      </c>
      <c r="R3871" s="28" t="s">
        <v>27324</v>
      </c>
      <c r="S3871" s="53" t="s">
        <v>27325</v>
      </c>
      <c r="T3871" s="32" t="s">
        <v>27326</v>
      </c>
    </row>
    <row r="3872">
      <c r="A3872" s="33" t="s">
        <v>27327</v>
      </c>
      <c r="B3872" s="76" t="s">
        <v>2696</v>
      </c>
      <c r="C3872" s="41">
        <v>45587.0</v>
      </c>
      <c r="D3872" s="40" t="s">
        <v>27328</v>
      </c>
      <c r="E3872" s="41" t="s">
        <v>27329</v>
      </c>
      <c r="F3872" s="43" t="s">
        <v>27330</v>
      </c>
      <c r="G3872" s="43" t="s">
        <v>27331</v>
      </c>
      <c r="H3872" s="51" t="s">
        <v>25072</v>
      </c>
      <c r="I3872" s="15" t="str">
        <f>IFERROR(__xludf.DUMMYFUNCTION("GOOGLETRANSLATE(H3872,""EN"",""ES"")"),"Petróleo y energía")</f>
        <v>Petróleo y energía</v>
      </c>
      <c r="J3872" s="16" t="s">
        <v>35</v>
      </c>
      <c r="K3872" s="48">
        <v>-0.5</v>
      </c>
      <c r="L3872" s="51" t="s">
        <v>27332</v>
      </c>
      <c r="M3872" s="34" t="s">
        <v>27333</v>
      </c>
      <c r="N3872" s="94" t="s">
        <v>27334</v>
      </c>
      <c r="O3872" s="94" t="str">
        <f>IFERROR(__xludf.DUMMYFUNCTION("GOOGLETRANSLATE(N3872,""EN"",""ES"")"),"Negativo porque indica inestabilidad política en torno a las operaciones de Repsol.")</f>
        <v>Negativo porque indica inestabilidad política en torno a las operaciones de Repsol.</v>
      </c>
      <c r="P3872" s="30">
        <v>0.4</v>
      </c>
      <c r="Q3872" s="18" t="str">
        <f>IFERROR(__xludf.DUMMYFUNCTION("GOOGLETRANSLATE(R3872,""ES"",""EN"")"),"blocks, pressure")</f>
        <v>blocks, pressure</v>
      </c>
      <c r="R3872" s="34" t="s">
        <v>27335</v>
      </c>
      <c r="S3872" s="52" t="s">
        <v>27050</v>
      </c>
      <c r="T3872" s="22" t="s">
        <v>27051</v>
      </c>
    </row>
    <row r="3873">
      <c r="A3873" s="23" t="s">
        <v>27336</v>
      </c>
      <c r="B3873" s="77" t="s">
        <v>1081</v>
      </c>
      <c r="C3873" s="41">
        <v>45587.0</v>
      </c>
      <c r="D3873" s="40" t="s">
        <v>27337</v>
      </c>
      <c r="E3873" s="41" t="s">
        <v>27338</v>
      </c>
      <c r="F3873" s="43" t="s">
        <v>27339</v>
      </c>
      <c r="G3873" s="43" t="s">
        <v>27340</v>
      </c>
      <c r="H3873" s="51" t="s">
        <v>25072</v>
      </c>
      <c r="I3873" s="25" t="str">
        <f>IFERROR(__xludf.DUMMYFUNCTION("GOOGLETRANSLATE(H3873,""EN"",""ES"")"),"Petróleo y energía")</f>
        <v>Petróleo y energía</v>
      </c>
      <c r="J3873" s="26" t="s">
        <v>35</v>
      </c>
      <c r="K3873" s="48">
        <v>0.6</v>
      </c>
      <c r="L3873" s="49" t="s">
        <v>27341</v>
      </c>
      <c r="M3873" s="28" t="s">
        <v>27342</v>
      </c>
      <c r="N3873" s="93" t="s">
        <v>27343</v>
      </c>
      <c r="O3873" s="93" t="str">
        <f>IFERROR(__xludf.DUMMYFUNCTION("GOOGLETRANSLATE(N3873,""EN"",""ES"")"),"Positivo por el compromiso con la sostenibilidad, a pesar del desplazamiento de inversiones al exterior.")</f>
        <v>Positivo por el compromiso con la sostenibilidad, a pesar del desplazamiento de inversiones al exterior.</v>
      </c>
      <c r="P3873" s="30">
        <v>0.5</v>
      </c>
      <c r="Q3873" s="31" t="str">
        <f>IFERROR(__xludf.DUMMYFUNCTION("GOOGLETRANSLATE(R3873,""ES"",""EN"")"),"will invest, green hydrogen")</f>
        <v>will invest, green hydrogen</v>
      </c>
      <c r="R3873" s="28" t="s">
        <v>27344</v>
      </c>
      <c r="S3873" s="53" t="s">
        <v>27345</v>
      </c>
      <c r="T3873" s="32" t="s">
        <v>27346</v>
      </c>
    </row>
    <row r="3874">
      <c r="A3874" s="33" t="s">
        <v>27347</v>
      </c>
      <c r="B3874" s="76" t="s">
        <v>448</v>
      </c>
      <c r="C3874" s="41">
        <v>45587.0</v>
      </c>
      <c r="D3874" s="40" t="s">
        <v>27348</v>
      </c>
      <c r="E3874" s="41" t="s">
        <v>27349</v>
      </c>
      <c r="F3874" s="43" t="s">
        <v>27350</v>
      </c>
      <c r="G3874" s="43" t="s">
        <v>27351</v>
      </c>
      <c r="H3874" s="51" t="s">
        <v>25072</v>
      </c>
      <c r="I3874" s="15" t="str">
        <f>IFERROR(__xludf.DUMMYFUNCTION("GOOGLETRANSLATE(H3874,""EN"",""ES"")"),"Petróleo y energía")</f>
        <v>Petróleo y energía</v>
      </c>
      <c r="J3874" s="16" t="s">
        <v>35</v>
      </c>
      <c r="K3874" s="48">
        <v>-0.7</v>
      </c>
      <c r="L3874" s="51" t="s">
        <v>27352</v>
      </c>
      <c r="M3874" s="34" t="s">
        <v>27353</v>
      </c>
      <c r="N3874" s="94" t="s">
        <v>27354</v>
      </c>
      <c r="O3874" s="94" t="str">
        <f>IFERROR(__xludf.DUMMYFUNCTION("GOOGLETRANSLATE(N3874,""EN"",""ES"")"),"Negativo porque sugiere fuga de capitales y empeoramiento de las relaciones gubernamentales.")</f>
        <v>Negativo porque sugiere fuga de capitales y empeoramiento de las relaciones gubernamentales.</v>
      </c>
      <c r="P3874" s="30">
        <v>-0.8</v>
      </c>
      <c r="Q3874" s="18" t="str">
        <f>IFERROR(__xludf.DUMMYFUNCTION("GOOGLETRANSLATE(R3874,""ES"",""EN"")"),"will divert, imposed")</f>
        <v>will divert, imposed</v>
      </c>
      <c r="R3874" s="34" t="s">
        <v>27355</v>
      </c>
      <c r="S3874" s="52" t="s">
        <v>27356</v>
      </c>
      <c r="T3874" s="22" t="s">
        <v>27357</v>
      </c>
    </row>
    <row r="3875">
      <c r="A3875" s="23" t="s">
        <v>27358</v>
      </c>
      <c r="B3875" s="77" t="s">
        <v>21</v>
      </c>
      <c r="C3875" s="41">
        <v>45587.0</v>
      </c>
      <c r="D3875" s="40" t="s">
        <v>27359</v>
      </c>
      <c r="E3875" s="41" t="s">
        <v>27360</v>
      </c>
      <c r="F3875" s="43" t="s">
        <v>27361</v>
      </c>
      <c r="G3875" s="43" t="s">
        <v>27362</v>
      </c>
      <c r="H3875" s="51" t="s">
        <v>148</v>
      </c>
      <c r="I3875" s="25" t="str">
        <f>IFERROR(__xludf.DUMMYFUNCTION("GOOGLETRANSLATE(H3875,""EN"",""ES"")"),"Gastronomía")</f>
        <v>Gastronomía</v>
      </c>
      <c r="J3875" s="26" t="s">
        <v>27</v>
      </c>
      <c r="K3875" s="17">
        <v>0.0</v>
      </c>
      <c r="L3875" s="54"/>
      <c r="M3875" s="31"/>
      <c r="N3875" s="93"/>
      <c r="O3875" s="93"/>
      <c r="P3875" s="20">
        <v>0.0</v>
      </c>
      <c r="Q3875" s="31"/>
      <c r="R3875" s="31"/>
      <c r="S3875" s="53"/>
      <c r="T3875" s="32"/>
    </row>
    <row r="3876">
      <c r="A3876" s="33" t="s">
        <v>27363</v>
      </c>
      <c r="B3876" s="76" t="s">
        <v>1192</v>
      </c>
      <c r="C3876" s="41">
        <v>45587.0</v>
      </c>
      <c r="D3876" s="40" t="s">
        <v>27364</v>
      </c>
      <c r="E3876" s="41" t="s">
        <v>27365</v>
      </c>
      <c r="F3876" s="43" t="s">
        <v>27366</v>
      </c>
      <c r="G3876" s="43" t="s">
        <v>27367</v>
      </c>
      <c r="H3876" s="51" t="s">
        <v>25072</v>
      </c>
      <c r="I3876" s="15" t="str">
        <f>IFERROR(__xludf.DUMMYFUNCTION("GOOGLETRANSLATE(H3876,""EN"",""ES"")"),"Petróleo y energía")</f>
        <v>Petróleo y energía</v>
      </c>
      <c r="J3876" s="16" t="s">
        <v>35</v>
      </c>
      <c r="K3876" s="48">
        <v>-0.7</v>
      </c>
      <c r="L3876" s="51" t="s">
        <v>27368</v>
      </c>
      <c r="M3876" s="34" t="s">
        <v>27369</v>
      </c>
      <c r="N3876" s="94" t="s">
        <v>27370</v>
      </c>
      <c r="O3876" s="94" t="str">
        <f>IFERROR(__xludf.DUMMYFUNCTION("GOOGLETRANSLATE(N3876,""EN"",""ES"")"),"Negativo debido a las fuertes críticas a los impuestos gubernamentales, lo que sugiere riesgo económico.")</f>
        <v>Negativo debido a las fuertes críticas a los impuestos gubernamentales, lo que sugiere riesgo económico.</v>
      </c>
      <c r="P3876" s="30">
        <v>-0.7</v>
      </c>
      <c r="Q3876" s="18" t="str">
        <f>IFERROR(__xludf.DUMMYFUNCTION("GOOGLETRANSLATE(R3876,""ES"",""EN"")"),"tax, iran")</f>
        <v>tax, iran</v>
      </c>
      <c r="R3876" s="34" t="s">
        <v>27371</v>
      </c>
      <c r="S3876" s="52" t="s">
        <v>26914</v>
      </c>
      <c r="T3876" s="22" t="s">
        <v>26915</v>
      </c>
    </row>
    <row r="3877">
      <c r="A3877" s="23" t="s">
        <v>27372</v>
      </c>
      <c r="B3877" s="77" t="s">
        <v>2175</v>
      </c>
      <c r="C3877" s="41">
        <v>45587.0</v>
      </c>
      <c r="D3877" s="40" t="s">
        <v>27373</v>
      </c>
      <c r="E3877" s="41" t="s">
        <v>27374</v>
      </c>
      <c r="F3877" s="43" t="s">
        <v>27375</v>
      </c>
      <c r="G3877" s="43" t="s">
        <v>27376</v>
      </c>
      <c r="H3877" s="51" t="s">
        <v>25072</v>
      </c>
      <c r="I3877" s="25" t="str">
        <f>IFERROR(__xludf.DUMMYFUNCTION("GOOGLETRANSLATE(H3877,""EN"",""ES"")"),"Petróleo y energía")</f>
        <v>Petróleo y energía</v>
      </c>
      <c r="J3877" s="26" t="s">
        <v>35</v>
      </c>
      <c r="K3877" s="48">
        <v>-0.8</v>
      </c>
      <c r="L3877" s="49" t="s">
        <v>27377</v>
      </c>
      <c r="M3877" s="28" t="s">
        <v>27378</v>
      </c>
      <c r="N3877" s="93" t="s">
        <v>27379</v>
      </c>
      <c r="O3877" s="93" t="str">
        <f>IFERROR(__xludf.DUMMYFUNCTION("GOOGLETRANSLATE(N3877,""EN"",""ES"")"),"Negativo ya que genera preocupación sobre una posible intervención gubernamental en Repsol.")</f>
        <v>Negativo ya que genera preocupación sobre una posible intervención gubernamental en Repsol.</v>
      </c>
      <c r="P3877" s="30">
        <v>-0.5</v>
      </c>
      <c r="Q3877" s="31" t="str">
        <f>IFERROR(__xludf.DUMMYFUNCTION("GOOGLETRANSLATE(R3877,""ES"",""EN"")"),"embarrassing")</f>
        <v>embarrassing</v>
      </c>
      <c r="R3877" s="28" t="s">
        <v>27380</v>
      </c>
      <c r="S3877" s="53" t="s">
        <v>27139</v>
      </c>
      <c r="T3877" s="32" t="s">
        <v>27140</v>
      </c>
    </row>
    <row r="3878">
      <c r="A3878" s="33" t="s">
        <v>27381</v>
      </c>
      <c r="B3878" s="76" t="s">
        <v>8029</v>
      </c>
      <c r="C3878" s="41">
        <v>45587.0</v>
      </c>
      <c r="D3878" s="40" t="s">
        <v>27382</v>
      </c>
      <c r="E3878" s="41" t="s">
        <v>27383</v>
      </c>
      <c r="F3878" s="43" t="s">
        <v>27384</v>
      </c>
      <c r="G3878" s="43" t="s">
        <v>27385</v>
      </c>
      <c r="H3878" s="51" t="s">
        <v>26</v>
      </c>
      <c r="I3878" s="15" t="str">
        <f>IFERROR(__xludf.DUMMYFUNCTION("GOOGLETRANSLATE(H3878,""EN"",""ES"")"),"Otro")</f>
        <v>Otro</v>
      </c>
      <c r="J3878" s="16" t="s">
        <v>35</v>
      </c>
      <c r="K3878" s="48">
        <v>0.0</v>
      </c>
      <c r="L3878" s="45"/>
      <c r="M3878" s="18"/>
      <c r="N3878" s="94" t="s">
        <v>27386</v>
      </c>
      <c r="O3878" s="94" t="str">
        <f>IFERROR(__xludf.DUMMYFUNCTION("GOOGLETRANSLATE(N3878,""EN"",""ES"")"),"Las fluctuaciones de los mercados no impactan directamente en la imagen corporativa de Repsol.")</f>
        <v>Las fluctuaciones de los mercados no impactan directamente en la imagen corporativa de Repsol.</v>
      </c>
      <c r="P3878" s="30">
        <v>0.0</v>
      </c>
      <c r="Q3878" s="18"/>
      <c r="R3878" s="18"/>
      <c r="S3878" s="52" t="s">
        <v>27387</v>
      </c>
      <c r="T3878" s="22" t="s">
        <v>27388</v>
      </c>
    </row>
    <row r="3879">
      <c r="A3879" s="23" t="s">
        <v>27389</v>
      </c>
      <c r="B3879" s="77" t="s">
        <v>3045</v>
      </c>
      <c r="C3879" s="41">
        <v>45587.0</v>
      </c>
      <c r="D3879" s="40" t="s">
        <v>27390</v>
      </c>
      <c r="E3879" s="41" t="s">
        <v>27391</v>
      </c>
      <c r="F3879" s="43" t="s">
        <v>27392</v>
      </c>
      <c r="G3879" s="43" t="s">
        <v>27393</v>
      </c>
      <c r="H3879" s="51" t="s">
        <v>25072</v>
      </c>
      <c r="I3879" s="25" t="str">
        <f>IFERROR(__xludf.DUMMYFUNCTION("GOOGLETRANSLATE(H3879,""EN"",""ES"")"),"Petróleo y energía")</f>
        <v>Petróleo y energía</v>
      </c>
      <c r="J3879" s="26" t="s">
        <v>35</v>
      </c>
      <c r="K3879" s="48">
        <v>-0.7</v>
      </c>
      <c r="L3879" s="49" t="s">
        <v>27394</v>
      </c>
      <c r="M3879" s="28" t="s">
        <v>27395</v>
      </c>
      <c r="N3879" s="93" t="s">
        <v>27396</v>
      </c>
      <c r="O3879" s="93" t="str">
        <f>IFERROR(__xludf.DUMMYFUNCTION("GOOGLETRANSLATE(N3879,""EN"",""ES"")"),"Negativo ya que señala posibles consecuencias económicas y declive industrial.")</f>
        <v>Negativo ya que señala posibles consecuencias económicas y declive industrial.</v>
      </c>
      <c r="P3879" s="30">
        <v>-0.8</v>
      </c>
      <c r="Q3879" s="31" t="str">
        <f>IFERROR(__xludf.DUMMYFUNCTION("GOOGLETRANSLATE(R3879,""ES"",""EN"")"),"risk, jobs")</f>
        <v>risk, jobs</v>
      </c>
      <c r="R3879" s="28" t="s">
        <v>27397</v>
      </c>
      <c r="S3879" s="53" t="s">
        <v>27398</v>
      </c>
      <c r="T3879" s="32" t="s">
        <v>27399</v>
      </c>
    </row>
    <row r="3880">
      <c r="A3880" s="33" t="s">
        <v>27400</v>
      </c>
      <c r="B3880" s="76" t="s">
        <v>27401</v>
      </c>
      <c r="C3880" s="41">
        <v>45587.0</v>
      </c>
      <c r="D3880" s="40" t="s">
        <v>27402</v>
      </c>
      <c r="E3880" s="41" t="s">
        <v>27403</v>
      </c>
      <c r="F3880" s="43" t="s">
        <v>27404</v>
      </c>
      <c r="G3880" s="43" t="s">
        <v>27405</v>
      </c>
      <c r="H3880" s="51" t="s">
        <v>55</v>
      </c>
      <c r="I3880" s="15" t="str">
        <f>IFERROR(__xludf.DUMMYFUNCTION("GOOGLETRANSLATE(H3880,""EN"",""ES"")"),"deportes de motor")</f>
        <v>deportes de motor</v>
      </c>
      <c r="J3880" s="16" t="s">
        <v>27</v>
      </c>
      <c r="K3880" s="17">
        <v>0.0</v>
      </c>
      <c r="L3880" s="45"/>
      <c r="M3880" s="18"/>
      <c r="N3880" s="94"/>
      <c r="O3880" s="94"/>
      <c r="P3880" s="20">
        <v>0.0</v>
      </c>
      <c r="Q3880" s="18"/>
      <c r="R3880" s="18"/>
      <c r="S3880" s="52"/>
      <c r="T3880" s="22"/>
    </row>
    <row r="3881">
      <c r="A3881" s="23" t="s">
        <v>27406</v>
      </c>
      <c r="B3881" s="77" t="s">
        <v>4559</v>
      </c>
      <c r="C3881" s="41">
        <v>45587.0</v>
      </c>
      <c r="D3881" s="40" t="s">
        <v>27407</v>
      </c>
      <c r="E3881" s="41" t="s">
        <v>27408</v>
      </c>
      <c r="F3881" s="43" t="s">
        <v>27409</v>
      </c>
      <c r="G3881" s="43" t="s">
        <v>27410</v>
      </c>
      <c r="H3881" s="51" t="s">
        <v>25072</v>
      </c>
      <c r="I3881" s="25" t="str">
        <f>IFERROR(__xludf.DUMMYFUNCTION("GOOGLETRANSLATE(H3881,""EN"",""ES"")"),"Petróleo y energía")</f>
        <v>Petróleo y energía</v>
      </c>
      <c r="J3881" s="26" t="s">
        <v>35</v>
      </c>
      <c r="K3881" s="48">
        <v>-0.6</v>
      </c>
      <c r="L3881" s="49" t="s">
        <v>27411</v>
      </c>
      <c r="M3881" s="28" t="s">
        <v>27412</v>
      </c>
      <c r="N3881" s="93" t="s">
        <v>27413</v>
      </c>
      <c r="O3881" s="93" t="str">
        <f>IFERROR(__xludf.DUMMYFUNCTION("GOOGLETRANSLATE(N3881,""EN"",""ES"")"),"Negativo por tratarse de conflictividad laboral asociada a Repsol, que puede impactar en la reputación.")</f>
        <v>Negativo por tratarse de conflictividad laboral asociada a Repsol, que puede impactar en la reputación.</v>
      </c>
      <c r="P3881" s="30">
        <v>-0.5</v>
      </c>
      <c r="Q3881" s="31" t="str">
        <f>IFERROR(__xludf.DUMMYFUNCTION("GOOGLETRANSLATE(R3881,""ES"",""EN"")"),"strike")</f>
        <v>strike</v>
      </c>
      <c r="R3881" s="28" t="s">
        <v>21133</v>
      </c>
      <c r="S3881" s="53" t="s">
        <v>25559</v>
      </c>
      <c r="T3881" s="32" t="s">
        <v>24632</v>
      </c>
    </row>
    <row r="3882">
      <c r="A3882" s="33" t="s">
        <v>27414</v>
      </c>
      <c r="B3882" s="76" t="s">
        <v>881</v>
      </c>
      <c r="C3882" s="41">
        <v>45587.0</v>
      </c>
      <c r="D3882" s="40" t="s">
        <v>27415</v>
      </c>
      <c r="E3882" s="41" t="s">
        <v>27416</v>
      </c>
      <c r="F3882" s="43" t="s">
        <v>27417</v>
      </c>
      <c r="G3882" s="43" t="s">
        <v>27418</v>
      </c>
      <c r="H3882" s="51" t="s">
        <v>25072</v>
      </c>
      <c r="I3882" s="15" t="str">
        <f>IFERROR(__xludf.DUMMYFUNCTION("GOOGLETRANSLATE(H3882,""EN"",""ES"")"),"Petróleo y energía")</f>
        <v>Petróleo y energía</v>
      </c>
      <c r="J3882" s="16" t="s">
        <v>35</v>
      </c>
      <c r="K3882" s="48">
        <v>-0.6</v>
      </c>
      <c r="L3882" s="51" t="s">
        <v>27419</v>
      </c>
      <c r="M3882" s="34" t="s">
        <v>27420</v>
      </c>
      <c r="N3882" s="94" t="s">
        <v>27421</v>
      </c>
      <c r="O3882" s="94" t="str">
        <f>IFERROR(__xludf.DUMMYFUNCTION("GOOGLETRANSLATE(N3882,""EN"",""ES"")"),"Negativo porque sugiere una incertidumbre constante en materia de impuestos e inversión.")</f>
        <v>Negativo porque sugiere una incertidumbre constante en materia de impuestos e inversión.</v>
      </c>
      <c r="P3882" s="30">
        <v>-0.6</v>
      </c>
      <c r="Q3882" s="18" t="str">
        <f>IFERROR(__xludf.DUMMYFUNCTION("GOOGLETRANSLATE(R3882,""ES"",""EN"")"),"threat, imposition")</f>
        <v>threat, imposition</v>
      </c>
      <c r="R3882" s="34" t="s">
        <v>27422</v>
      </c>
      <c r="S3882" s="52" t="s">
        <v>27423</v>
      </c>
      <c r="T3882" s="22" t="s">
        <v>27424</v>
      </c>
    </row>
    <row r="3883">
      <c r="A3883" s="23" t="s">
        <v>27425</v>
      </c>
      <c r="B3883" s="77" t="s">
        <v>713</v>
      </c>
      <c r="C3883" s="41">
        <v>45587.0</v>
      </c>
      <c r="D3883" s="40" t="s">
        <v>27426</v>
      </c>
      <c r="E3883" s="41" t="s">
        <v>27427</v>
      </c>
      <c r="F3883" s="43" t="s">
        <v>27428</v>
      </c>
      <c r="G3883" s="43" t="s">
        <v>27429</v>
      </c>
      <c r="H3883" s="51" t="s">
        <v>25072</v>
      </c>
      <c r="I3883" s="25" t="str">
        <f>IFERROR(__xludf.DUMMYFUNCTION("GOOGLETRANSLATE(H3883,""EN"",""ES"")"),"Petróleo y energía")</f>
        <v>Petróleo y energía</v>
      </c>
      <c r="J3883" s="26" t="s">
        <v>35</v>
      </c>
      <c r="K3883" s="48">
        <v>-0.7</v>
      </c>
      <c r="L3883" s="49" t="s">
        <v>27430</v>
      </c>
      <c r="M3883" s="28" t="s">
        <v>27431</v>
      </c>
      <c r="N3883" s="93" t="s">
        <v>27432</v>
      </c>
      <c r="O3883" s="93" t="str">
        <f>IFERROR(__xludf.DUMMYFUNCTION("GOOGLETRANSLATE(N3883,""EN"",""ES"")"),"Negativo ya que pone de relieve la incertidumbre y los retrasos en los grandes proyectos.")</f>
        <v>Negativo ya que pone de relieve la incertidumbre y los retrasos en los grandes proyectos.</v>
      </c>
      <c r="P3883" s="30">
        <v>-0.7</v>
      </c>
      <c r="Q3883" s="31" t="str">
        <f>IFERROR(__xludf.DUMMYFUNCTION("GOOGLETRANSLATE(R3883,""ES"",""EN"")"),"leaves in the air, tax")</f>
        <v>leaves in the air, tax</v>
      </c>
      <c r="R3883" s="28" t="s">
        <v>27433</v>
      </c>
      <c r="S3883" s="53" t="s">
        <v>27217</v>
      </c>
      <c r="T3883" s="32" t="s">
        <v>27218</v>
      </c>
    </row>
    <row r="3884">
      <c r="A3884" s="33" t="s">
        <v>27434</v>
      </c>
      <c r="B3884" s="76" t="s">
        <v>8390</v>
      </c>
      <c r="C3884" s="41">
        <v>45587.0</v>
      </c>
      <c r="D3884" s="40" t="s">
        <v>27435</v>
      </c>
      <c r="E3884" s="41" t="s">
        <v>27436</v>
      </c>
      <c r="F3884" s="43" t="s">
        <v>27437</v>
      </c>
      <c r="G3884" s="43" t="s">
        <v>27438</v>
      </c>
      <c r="H3884" s="51" t="s">
        <v>25072</v>
      </c>
      <c r="I3884" s="15" t="str">
        <f>IFERROR(__xludf.DUMMYFUNCTION("GOOGLETRANSLATE(H3884,""EN"",""ES"")"),"Petróleo y energía")</f>
        <v>Petróleo y energía</v>
      </c>
      <c r="J3884" s="16" t="s">
        <v>35</v>
      </c>
      <c r="K3884" s="48">
        <v>-0.6</v>
      </c>
      <c r="L3884" s="51" t="s">
        <v>27439</v>
      </c>
      <c r="M3884" s="34" t="s">
        <v>27440</v>
      </c>
      <c r="N3884" s="94" t="s">
        <v>27441</v>
      </c>
      <c r="O3884" s="94" t="str">
        <f>IFERROR(__xludf.DUMMYFUNCTION("GOOGLETRANSLATE(N3884,""EN"",""ES"")"),"Negativo porque se suma a la oposición generalizada al impuesto, alimentando la incertidumbre.")</f>
        <v>Negativo porque se suma a la oposición generalizada al impuesto, alimentando la incertidumbre.</v>
      </c>
      <c r="P3884" s="30">
        <v>-0.5</v>
      </c>
      <c r="Q3884" s="18" t="str">
        <f>IFERROR(__xludf.DUMMYFUNCTION("GOOGLETRANSLATE(R3884,""ES"",""EN"")"),"criticism, tax")</f>
        <v>criticism, tax</v>
      </c>
      <c r="R3884" s="34" t="s">
        <v>27442</v>
      </c>
      <c r="S3884" s="52" t="s">
        <v>26997</v>
      </c>
      <c r="T3884" s="22" t="s">
        <v>26998</v>
      </c>
    </row>
    <row r="3885">
      <c r="A3885" s="23" t="s">
        <v>27443</v>
      </c>
      <c r="B3885" s="77" t="s">
        <v>27444</v>
      </c>
      <c r="C3885" s="41">
        <v>45587.0</v>
      </c>
      <c r="D3885" s="40" t="s">
        <v>27445</v>
      </c>
      <c r="E3885" s="41" t="s">
        <v>27446</v>
      </c>
      <c r="F3885" s="43" t="s">
        <v>27447</v>
      </c>
      <c r="G3885" s="43" t="s">
        <v>27448</v>
      </c>
      <c r="H3885" s="51" t="s">
        <v>26</v>
      </c>
      <c r="I3885" s="25" t="str">
        <f>IFERROR(__xludf.DUMMYFUNCTION("GOOGLETRANSLATE(H3885,""EN"",""ES"")"),"Otro")</f>
        <v>Otro</v>
      </c>
      <c r="J3885" s="26" t="s">
        <v>35</v>
      </c>
      <c r="K3885" s="48">
        <v>0.0</v>
      </c>
      <c r="L3885" s="54"/>
      <c r="M3885" s="31"/>
      <c r="N3885" s="93" t="s">
        <v>27449</v>
      </c>
      <c r="O3885" s="93" t="str">
        <f>IFERROR(__xludf.DUMMYFUNCTION("GOOGLETRANSLATE(N3885,""EN"",""ES"")"),"No directamente relacionado con la imagen corporativa de Repsol.")</f>
        <v>No directamente relacionado con la imagen corporativa de Repsol.</v>
      </c>
      <c r="P3885" s="30">
        <v>0.0</v>
      </c>
      <c r="Q3885" s="31"/>
      <c r="R3885" s="31"/>
      <c r="S3885" s="53" t="s">
        <v>469</v>
      </c>
      <c r="T3885" s="32" t="s">
        <v>470</v>
      </c>
    </row>
    <row r="3886">
      <c r="A3886" s="33" t="s">
        <v>27450</v>
      </c>
      <c r="B3886" s="76" t="s">
        <v>27451</v>
      </c>
      <c r="C3886" s="41">
        <v>45587.0</v>
      </c>
      <c r="D3886" s="40" t="s">
        <v>27452</v>
      </c>
      <c r="E3886" s="41" t="s">
        <v>27453</v>
      </c>
      <c r="F3886" s="43" t="s">
        <v>27454</v>
      </c>
      <c r="G3886" s="43" t="s">
        <v>27455</v>
      </c>
      <c r="H3886" s="51" t="s">
        <v>26</v>
      </c>
      <c r="I3886" s="15" t="str">
        <f>IFERROR(__xludf.DUMMYFUNCTION("GOOGLETRANSLATE(H3886,""EN"",""ES"")"),"Otro")</f>
        <v>Otro</v>
      </c>
      <c r="J3886" s="16" t="s">
        <v>27</v>
      </c>
      <c r="K3886" s="17">
        <v>0.0</v>
      </c>
      <c r="L3886" s="45"/>
      <c r="M3886" s="18"/>
      <c r="N3886" s="94"/>
      <c r="O3886" s="94"/>
      <c r="P3886" s="20">
        <v>0.0</v>
      </c>
      <c r="Q3886" s="18"/>
      <c r="R3886" s="18"/>
      <c r="S3886" s="52"/>
      <c r="T3886" s="22"/>
    </row>
    <row r="3887">
      <c r="A3887" s="23" t="s">
        <v>27456</v>
      </c>
      <c r="B3887" s="77" t="s">
        <v>2696</v>
      </c>
      <c r="C3887" s="41">
        <v>45587.0</v>
      </c>
      <c r="D3887" s="40" t="s">
        <v>27457</v>
      </c>
      <c r="E3887" s="41" t="s">
        <v>27458</v>
      </c>
      <c r="F3887" s="43" t="s">
        <v>27459</v>
      </c>
      <c r="G3887" s="43" t="s">
        <v>27460</v>
      </c>
      <c r="H3887" s="51" t="s">
        <v>26</v>
      </c>
      <c r="I3887" s="25" t="str">
        <f>IFERROR(__xludf.DUMMYFUNCTION("GOOGLETRANSLATE(H3887,""EN"",""ES"")"),"Otro")</f>
        <v>Otro</v>
      </c>
      <c r="J3887" s="26" t="s">
        <v>35</v>
      </c>
      <c r="K3887" s="48">
        <v>0.0</v>
      </c>
      <c r="L3887" s="54"/>
      <c r="M3887" s="31"/>
      <c r="N3887" s="93" t="s">
        <v>27449</v>
      </c>
      <c r="O3887" s="93" t="str">
        <f>IFERROR(__xludf.DUMMYFUNCTION("GOOGLETRANSLATE(N3887,""EN"",""ES"")"),"No directamente relacionado con la imagen corporativa de Repsol.")</f>
        <v>No directamente relacionado con la imagen corporativa de Repsol.</v>
      </c>
      <c r="P3887" s="30">
        <v>0.0</v>
      </c>
      <c r="Q3887" s="31"/>
      <c r="R3887" s="31"/>
      <c r="S3887" s="53" t="s">
        <v>469</v>
      </c>
      <c r="T3887" s="32" t="s">
        <v>470</v>
      </c>
    </row>
    <row r="3888">
      <c r="A3888" s="33" t="s">
        <v>27461</v>
      </c>
      <c r="B3888" s="76" t="s">
        <v>881</v>
      </c>
      <c r="C3888" s="41">
        <v>45587.0</v>
      </c>
      <c r="D3888" s="40" t="s">
        <v>27462</v>
      </c>
      <c r="E3888" s="41" t="s">
        <v>27463</v>
      </c>
      <c r="F3888" s="43" t="s">
        <v>27464</v>
      </c>
      <c r="G3888" s="43" t="s">
        <v>27465</v>
      </c>
      <c r="H3888" s="51" t="s">
        <v>25072</v>
      </c>
      <c r="I3888" s="15" t="str">
        <f>IFERROR(__xludf.DUMMYFUNCTION("GOOGLETRANSLATE(H3888,""EN"",""ES"")"),"Petróleo y energía")</f>
        <v>Petróleo y energía</v>
      </c>
      <c r="J3888" s="16" t="s">
        <v>35</v>
      </c>
      <c r="K3888" s="48">
        <v>-0.5</v>
      </c>
      <c r="L3888" s="51" t="s">
        <v>27466</v>
      </c>
      <c r="M3888" s="34" t="s">
        <v>27467</v>
      </c>
      <c r="N3888" s="94" t="s">
        <v>27468</v>
      </c>
      <c r="O3888" s="94" t="str">
        <f>IFERROR(__xludf.DUMMYFUNCTION("GOOGLETRANSLATE(N3888,""EN"",""ES"")"),"Negativo porque refleja las disputas políticas en curso que afectan el clima de inversión de Repsol.")</f>
        <v>Negativo porque refleja las disputas políticas en curso que afectan el clima de inversión de Repsol.</v>
      </c>
      <c r="P3888" s="30">
        <v>0.3</v>
      </c>
      <c r="Q3888" s="18" t="str">
        <f>IFERROR(__xludf.DUMMYFUNCTION("GOOGLETRANSLATE(R3888,""ES"",""EN"")"),"does not support, risk")</f>
        <v>does not support, risk</v>
      </c>
      <c r="R3888" s="34" t="s">
        <v>27469</v>
      </c>
      <c r="S3888" s="52" t="s">
        <v>27470</v>
      </c>
      <c r="T3888" s="22" t="s">
        <v>27471</v>
      </c>
    </row>
    <row r="3889">
      <c r="A3889" s="23" t="s">
        <v>27472</v>
      </c>
      <c r="B3889" s="77" t="s">
        <v>27473</v>
      </c>
      <c r="C3889" s="41">
        <v>45587.0</v>
      </c>
      <c r="D3889" s="40" t="s">
        <v>27474</v>
      </c>
      <c r="E3889" s="41" t="s">
        <v>27475</v>
      </c>
      <c r="F3889" s="43" t="s">
        <v>27476</v>
      </c>
      <c r="G3889" s="43" t="s">
        <v>27477</v>
      </c>
      <c r="H3889" s="51" t="s">
        <v>55</v>
      </c>
      <c r="I3889" s="25" t="str">
        <f>IFERROR(__xludf.DUMMYFUNCTION("GOOGLETRANSLATE(H3889,""EN"",""ES"")"),"deportes de motor")</f>
        <v>deportes de motor</v>
      </c>
      <c r="J3889" s="26" t="s">
        <v>27</v>
      </c>
      <c r="K3889" s="17">
        <v>0.0</v>
      </c>
      <c r="L3889" s="54"/>
      <c r="M3889" s="31"/>
      <c r="N3889" s="93"/>
      <c r="O3889" s="93"/>
      <c r="P3889" s="20">
        <v>0.0</v>
      </c>
      <c r="Q3889" s="31"/>
      <c r="R3889" s="31"/>
      <c r="S3889" s="53"/>
      <c r="T3889" s="32"/>
    </row>
    <row r="3890">
      <c r="A3890" s="33" t="s">
        <v>27478</v>
      </c>
      <c r="B3890" s="76" t="s">
        <v>499</v>
      </c>
      <c r="C3890" s="41">
        <v>45587.0</v>
      </c>
      <c r="D3890" s="40" t="s">
        <v>27479</v>
      </c>
      <c r="E3890" s="41" t="s">
        <v>27480</v>
      </c>
      <c r="F3890" s="43" t="s">
        <v>27481</v>
      </c>
      <c r="G3890" s="43" t="s">
        <v>27482</v>
      </c>
      <c r="H3890" s="51" t="s">
        <v>25072</v>
      </c>
      <c r="I3890" s="15" t="str">
        <f>IFERROR(__xludf.DUMMYFUNCTION("GOOGLETRANSLATE(H3890,""EN"",""ES"")"),"Petróleo y energía")</f>
        <v>Petróleo y energía</v>
      </c>
      <c r="J3890" s="16" t="s">
        <v>35</v>
      </c>
      <c r="K3890" s="48">
        <v>-0.6</v>
      </c>
      <c r="L3890" s="51" t="s">
        <v>27483</v>
      </c>
      <c r="M3890" s="34" t="s">
        <v>27484</v>
      </c>
      <c r="N3890" s="94" t="s">
        <v>27485</v>
      </c>
      <c r="O3890" s="94" t="str">
        <f>IFERROR(__xludf.DUMMYFUNCTION("GOOGLETRANSLATE(N3890,""EN"",""ES"")"),"Negativo ya que pone de relieve la oposición actual a las políticas fiscales que afectan las inversiones.")</f>
        <v>Negativo ya que pone de relieve la oposición actual a las políticas fiscales que afectan las inversiones.</v>
      </c>
      <c r="P3890" s="30">
        <v>-0.6</v>
      </c>
      <c r="Q3890" s="18" t="str">
        <f>IFERROR(__xludf.DUMMYFUNCTION("GOOGLETRANSLATE(R3890,""ES"",""EN"")"),"censorship, tax")</f>
        <v>censorship, tax</v>
      </c>
      <c r="R3890" s="34" t="s">
        <v>27486</v>
      </c>
      <c r="S3890" s="52" t="s">
        <v>27487</v>
      </c>
      <c r="T3890" s="22" t="s">
        <v>27488</v>
      </c>
    </row>
    <row r="3891">
      <c r="A3891" s="23" t="s">
        <v>27489</v>
      </c>
      <c r="B3891" s="77" t="s">
        <v>43</v>
      </c>
      <c r="C3891" s="41">
        <v>45587.0</v>
      </c>
      <c r="D3891" s="40" t="s">
        <v>27490</v>
      </c>
      <c r="E3891" s="41" t="s">
        <v>27491</v>
      </c>
      <c r="F3891" s="43" t="s">
        <v>27492</v>
      </c>
      <c r="G3891" s="43" t="s">
        <v>27493</v>
      </c>
      <c r="H3891" s="51" t="s">
        <v>25072</v>
      </c>
      <c r="I3891" s="25" t="str">
        <f>IFERROR(__xludf.DUMMYFUNCTION("GOOGLETRANSLATE(H3891,""EN"",""ES"")"),"Petróleo y energía")</f>
        <v>Petróleo y energía</v>
      </c>
      <c r="J3891" s="26" t="s">
        <v>35</v>
      </c>
      <c r="K3891" s="48">
        <v>-0.5</v>
      </c>
      <c r="L3891" s="49" t="s">
        <v>27494</v>
      </c>
      <c r="M3891" s="28" t="s">
        <v>27495</v>
      </c>
      <c r="N3891" s="93" t="s">
        <v>27496</v>
      </c>
      <c r="O3891" s="93" t="str">
        <f>IFERROR(__xludf.DUMMYFUNCTION("GOOGLETRANSLATE(N3891,""EN"",""ES"")"),"Negativo porque sugiere una prolongada incertidumbre sobre la situación fiscal de Repsol.")</f>
        <v>Negativo porque sugiere una prolongada incertidumbre sobre la situación fiscal de Repsol.</v>
      </c>
      <c r="P3891" s="30">
        <v>0.0</v>
      </c>
      <c r="Q3891" s="31"/>
      <c r="R3891" s="31"/>
      <c r="S3891" s="53" t="s">
        <v>27497</v>
      </c>
      <c r="T3891" s="32" t="s">
        <v>27498</v>
      </c>
    </row>
    <row r="3892">
      <c r="A3892" s="33" t="s">
        <v>27499</v>
      </c>
      <c r="B3892" s="76" t="s">
        <v>1568</v>
      </c>
      <c r="C3892" s="41">
        <v>45587.0</v>
      </c>
      <c r="D3892" s="40" t="s">
        <v>27500</v>
      </c>
      <c r="E3892" s="41" t="s">
        <v>27501</v>
      </c>
      <c r="F3892" s="43" t="s">
        <v>27502</v>
      </c>
      <c r="G3892" s="43" t="s">
        <v>27503</v>
      </c>
      <c r="H3892" s="51" t="s">
        <v>25072</v>
      </c>
      <c r="I3892" s="15" t="str">
        <f>IFERROR(__xludf.DUMMYFUNCTION("GOOGLETRANSLATE(H3892,""EN"",""ES"")"),"Petróleo y energía")</f>
        <v>Petróleo y energía</v>
      </c>
      <c r="J3892" s="16" t="s">
        <v>35</v>
      </c>
      <c r="K3892" s="48">
        <v>-0.6</v>
      </c>
      <c r="L3892" s="51" t="s">
        <v>27184</v>
      </c>
      <c r="M3892" s="34" t="s">
        <v>27185</v>
      </c>
      <c r="N3892" s="94" t="s">
        <v>27504</v>
      </c>
      <c r="O3892" s="94" t="str">
        <f>IFERROR(__xludf.DUMMYFUNCTION("GOOGLETRANSLATE(N3892,""EN"",""ES"")"),"Negativo ya que sugiere el estancamiento del desarrollo de las energías renovables en España.")</f>
        <v>Negativo ya que sugiere el estancamiento del desarrollo de las energías renovables en España.</v>
      </c>
      <c r="P3892" s="30">
        <v>-0.7</v>
      </c>
      <c r="Q3892" s="18" t="str">
        <f>IFERROR(__xludf.DUMMYFUNCTION("GOOGLETRANSLATE(R3892,""ES"",""EN"")"),"paralyzed")</f>
        <v>paralyzed</v>
      </c>
      <c r="R3892" s="34" t="s">
        <v>27187</v>
      </c>
      <c r="S3892" s="52" t="s">
        <v>27019</v>
      </c>
      <c r="T3892" s="22" t="s">
        <v>27020</v>
      </c>
    </row>
    <row r="3893">
      <c r="A3893" s="23" t="s">
        <v>27505</v>
      </c>
      <c r="B3893" s="77" t="s">
        <v>217</v>
      </c>
      <c r="C3893" s="41">
        <v>45587.0</v>
      </c>
      <c r="D3893" s="40" t="s">
        <v>27506</v>
      </c>
      <c r="E3893" s="41" t="s">
        <v>27507</v>
      </c>
      <c r="F3893" s="43" t="s">
        <v>27508</v>
      </c>
      <c r="G3893" s="43" t="s">
        <v>27509</v>
      </c>
      <c r="H3893" s="51" t="s">
        <v>25072</v>
      </c>
      <c r="I3893" s="25" t="str">
        <f>IFERROR(__xludf.DUMMYFUNCTION("GOOGLETRANSLATE(H3893,""EN"",""ES"")"),"Petróleo y energía")</f>
        <v>Petróleo y energía</v>
      </c>
      <c r="J3893" s="26" t="s">
        <v>35</v>
      </c>
      <c r="K3893" s="48">
        <v>-0.5</v>
      </c>
      <c r="L3893" s="49" t="s">
        <v>27510</v>
      </c>
      <c r="M3893" s="28" t="s">
        <v>27511</v>
      </c>
      <c r="N3893" s="93" t="s">
        <v>27512</v>
      </c>
      <c r="O3893" s="93" t="str">
        <f>IFERROR(__xludf.DUMMYFUNCTION("GOOGLETRANSLATE(N3893,""EN"",""ES"")"),"Negativo ya que refleja la inestabilidad política en torno a la inversión industrial.")</f>
        <v>Negativo ya que refleja la inestabilidad política en torno a la inversión industrial.</v>
      </c>
      <c r="P3893" s="30">
        <v>0.4</v>
      </c>
      <c r="Q3893" s="31" t="str">
        <f>IFERROR(__xludf.DUMMYFUNCTION("GOOGLETRANSLATE(R3893,""ES"",""EN"")"),"remove, avoid")</f>
        <v>remove, avoid</v>
      </c>
      <c r="R3893" s="28" t="s">
        <v>27513</v>
      </c>
      <c r="S3893" s="53" t="s">
        <v>27092</v>
      </c>
      <c r="T3893" s="32" t="s">
        <v>27093</v>
      </c>
    </row>
    <row r="3894">
      <c r="A3894" s="33" t="s">
        <v>27514</v>
      </c>
      <c r="B3894" s="76" t="s">
        <v>1192</v>
      </c>
      <c r="C3894" s="41">
        <v>45587.0</v>
      </c>
      <c r="D3894" s="40" t="s">
        <v>27515</v>
      </c>
      <c r="E3894" s="41" t="s">
        <v>27516</v>
      </c>
      <c r="F3894" s="43" t="s">
        <v>27517</v>
      </c>
      <c r="G3894" s="43" t="s">
        <v>27518</v>
      </c>
      <c r="H3894" s="51" t="s">
        <v>25072</v>
      </c>
      <c r="I3894" s="15" t="str">
        <f>IFERROR(__xludf.DUMMYFUNCTION("GOOGLETRANSLATE(H3894,""EN"",""ES"")"),"Petróleo y energía")</f>
        <v>Petróleo y energía</v>
      </c>
      <c r="J3894" s="16" t="s">
        <v>35</v>
      </c>
      <c r="K3894" s="48">
        <v>-0.5</v>
      </c>
      <c r="L3894" s="51" t="s">
        <v>27519</v>
      </c>
      <c r="M3894" s="34" t="s">
        <v>27520</v>
      </c>
      <c r="N3894" s="94" t="s">
        <v>27521</v>
      </c>
      <c r="O3894" s="94" t="str">
        <f>IFERROR(__xludf.DUMMYFUNCTION("GOOGLETRANSLATE(N3894,""EN"",""ES"")"),"Negativo debido a los debates políticos en curso que impactan en las decisiones comerciales de Repsol.")</f>
        <v>Negativo debido a los debates políticos en curso que impactan en las decisiones comerciales de Repsol.</v>
      </c>
      <c r="P3894" s="30">
        <v>0.3</v>
      </c>
      <c r="Q3894" s="18" t="str">
        <f>IFERROR(__xludf.DUMMYFUNCTION("GOOGLETRANSLATE(R3894,""ES"",""EN"")"),"save")</f>
        <v>save</v>
      </c>
      <c r="R3894" s="34" t="s">
        <v>27522</v>
      </c>
      <c r="S3894" s="52" t="s">
        <v>27523</v>
      </c>
      <c r="T3894" s="22" t="s">
        <v>27524</v>
      </c>
    </row>
    <row r="3895">
      <c r="A3895" s="23" t="s">
        <v>27525</v>
      </c>
      <c r="B3895" s="77" t="s">
        <v>1970</v>
      </c>
      <c r="C3895" s="41">
        <v>45587.0</v>
      </c>
      <c r="D3895" s="40" t="s">
        <v>27526</v>
      </c>
      <c r="E3895" s="41" t="s">
        <v>27527</v>
      </c>
      <c r="F3895" s="43" t="s">
        <v>27528</v>
      </c>
      <c r="G3895" s="43" t="s">
        <v>27529</v>
      </c>
      <c r="H3895" s="51" t="s">
        <v>25072</v>
      </c>
      <c r="I3895" s="25" t="str">
        <f>IFERROR(__xludf.DUMMYFUNCTION("GOOGLETRANSLATE(H3895,""EN"",""ES"")"),"Petróleo y energía")</f>
        <v>Petróleo y energía</v>
      </c>
      <c r="J3895" s="26" t="s">
        <v>35</v>
      </c>
      <c r="K3895" s="48">
        <v>-0.6</v>
      </c>
      <c r="L3895" s="49" t="s">
        <v>27530</v>
      </c>
      <c r="M3895" s="28" t="s">
        <v>27531</v>
      </c>
      <c r="N3895" s="93" t="s">
        <v>27532</v>
      </c>
      <c r="O3895" s="93" t="str">
        <f>IFERROR(__xludf.DUMMYFUNCTION("GOOGLETRANSLATE(N3895,""EN"",""ES"")"),"Negativo ya que implica una incertidumbre continua en el clima de inversión.")</f>
        <v>Negativo ya que implica una incertidumbre continua en el clima de inversión.</v>
      </c>
      <c r="P3895" s="30">
        <v>-0.4</v>
      </c>
      <c r="Q3895" s="31" t="str">
        <f>IFERROR(__xludf.DUMMYFUNCTION("GOOGLETRANSLATE(R3895,""ES"",""EN"")"),"delay pressure")</f>
        <v>delay pressure</v>
      </c>
      <c r="R3895" s="28" t="s">
        <v>27533</v>
      </c>
      <c r="S3895" s="53" t="s">
        <v>27423</v>
      </c>
      <c r="T3895" s="32" t="s">
        <v>27424</v>
      </c>
    </row>
    <row r="3896">
      <c r="A3896" s="33" t="s">
        <v>27534</v>
      </c>
      <c r="B3896" s="76" t="s">
        <v>239</v>
      </c>
      <c r="C3896" s="41">
        <v>45587.0</v>
      </c>
      <c r="D3896" s="40" t="s">
        <v>27535</v>
      </c>
      <c r="E3896" s="41" t="s">
        <v>27536</v>
      </c>
      <c r="F3896" s="43" t="s">
        <v>27537</v>
      </c>
      <c r="G3896" s="43" t="s">
        <v>27538</v>
      </c>
      <c r="H3896" s="51" t="s">
        <v>55</v>
      </c>
      <c r="I3896" s="15" t="str">
        <f>IFERROR(__xludf.DUMMYFUNCTION("GOOGLETRANSLATE(H3896,""EN"",""ES"")"),"deportes de motor")</f>
        <v>deportes de motor</v>
      </c>
      <c r="J3896" s="16" t="s">
        <v>27</v>
      </c>
      <c r="K3896" s="17">
        <v>0.0</v>
      </c>
      <c r="L3896" s="45"/>
      <c r="M3896" s="18"/>
      <c r="N3896" s="94"/>
      <c r="O3896" s="94"/>
      <c r="P3896" s="20">
        <v>0.0</v>
      </c>
      <c r="Q3896" s="18"/>
      <c r="R3896" s="18"/>
      <c r="S3896" s="52"/>
      <c r="T3896" s="22"/>
    </row>
    <row r="3897">
      <c r="A3897" s="23" t="s">
        <v>27539</v>
      </c>
      <c r="B3897" s="77" t="s">
        <v>881</v>
      </c>
      <c r="C3897" s="41">
        <v>45587.0</v>
      </c>
      <c r="D3897" s="40" t="s">
        <v>27540</v>
      </c>
      <c r="E3897" s="41" t="s">
        <v>27541</v>
      </c>
      <c r="F3897" s="43" t="s">
        <v>27542</v>
      </c>
      <c r="G3897" s="43" t="s">
        <v>27543</v>
      </c>
      <c r="H3897" s="51" t="s">
        <v>26</v>
      </c>
      <c r="I3897" s="25" t="str">
        <f>IFERROR(__xludf.DUMMYFUNCTION("GOOGLETRANSLATE(H3897,""EN"",""ES"")"),"Otro")</f>
        <v>Otro</v>
      </c>
      <c r="J3897" s="26" t="s">
        <v>35</v>
      </c>
      <c r="K3897" s="48">
        <v>0.0</v>
      </c>
      <c r="L3897" s="54"/>
      <c r="M3897" s="31"/>
      <c r="N3897" s="93" t="s">
        <v>27544</v>
      </c>
      <c r="O3897" s="93" t="str">
        <f>IFERROR(__xludf.DUMMYFUNCTION("GOOGLETRANSLATE(N3897,""EN"",""ES"")"),"Artículo informativo que no afecta directamente a la imagen corporativa de Repsol.")</f>
        <v>Artículo informativo que no afecta directamente a la imagen corporativa de Repsol.</v>
      </c>
      <c r="P3897" s="30">
        <v>-0.3</v>
      </c>
      <c r="Q3897" s="31" t="str">
        <f>IFERROR(__xludf.DUMMYFUNCTION("GOOGLETRANSLATE(R3897,""ES"",""EN"")"),"imposed")</f>
        <v>imposed</v>
      </c>
      <c r="R3897" s="28" t="s">
        <v>11706</v>
      </c>
      <c r="S3897" s="53" t="s">
        <v>27166</v>
      </c>
      <c r="T3897" s="32" t="s">
        <v>27167</v>
      </c>
    </row>
    <row r="3898">
      <c r="A3898" s="33" t="s">
        <v>27545</v>
      </c>
      <c r="B3898" s="76" t="s">
        <v>43</v>
      </c>
      <c r="C3898" s="41">
        <v>45587.0</v>
      </c>
      <c r="D3898" s="40" t="s">
        <v>27546</v>
      </c>
      <c r="E3898" s="41" t="s">
        <v>27547</v>
      </c>
      <c r="F3898" s="43" t="s">
        <v>27548</v>
      </c>
      <c r="G3898" s="43" t="s">
        <v>27549</v>
      </c>
      <c r="H3898" s="51" t="s">
        <v>25072</v>
      </c>
      <c r="I3898" s="15" t="str">
        <f>IFERROR(__xludf.DUMMYFUNCTION("GOOGLETRANSLATE(H3898,""EN"",""ES"")"),"Petróleo y energía")</f>
        <v>Petróleo y energía</v>
      </c>
      <c r="J3898" s="16" t="s">
        <v>35</v>
      </c>
      <c r="K3898" s="48">
        <v>-0.6</v>
      </c>
      <c r="L3898" s="51" t="s">
        <v>27550</v>
      </c>
      <c r="M3898" s="34" t="s">
        <v>27551</v>
      </c>
      <c r="N3898" s="94" t="s">
        <v>27552</v>
      </c>
      <c r="O3898" s="94" t="str">
        <f>IFERROR(__xludf.DUMMYFUNCTION("GOOGLETRANSLATE(N3898,""EN"",""ES"")"),"Negativo ya que pone de relieve la continua oposición empresarial a la política fiscal.")</f>
        <v>Negativo ya que pone de relieve la continua oposición empresarial a la política fiscal.</v>
      </c>
      <c r="P3898" s="30">
        <v>-0.6</v>
      </c>
      <c r="Q3898" s="18" t="str">
        <f>IFERROR(__xludf.DUMMYFUNCTION("GOOGLETRANSLATE(R3898,""ES"",""EN"")"),"criticize, tax")</f>
        <v>criticize, tax</v>
      </c>
      <c r="R3898" s="34" t="s">
        <v>27553</v>
      </c>
      <c r="S3898" s="52" t="s">
        <v>27487</v>
      </c>
      <c r="T3898" s="22" t="s">
        <v>27488</v>
      </c>
    </row>
    <row r="3899">
      <c r="A3899" s="23" t="s">
        <v>27554</v>
      </c>
      <c r="B3899" s="77" t="s">
        <v>3992</v>
      </c>
      <c r="C3899" s="41">
        <v>45587.0</v>
      </c>
      <c r="D3899" s="40" t="s">
        <v>27555</v>
      </c>
      <c r="E3899" s="41" t="s">
        <v>27556</v>
      </c>
      <c r="F3899" s="43" t="s">
        <v>27557</v>
      </c>
      <c r="G3899" s="43" t="s">
        <v>27558</v>
      </c>
      <c r="H3899" s="51" t="s">
        <v>25072</v>
      </c>
      <c r="I3899" s="25" t="str">
        <f>IFERROR(__xludf.DUMMYFUNCTION("GOOGLETRANSLATE(H3899,""EN"",""ES"")"),"Petróleo y energía")</f>
        <v>Petróleo y energía</v>
      </c>
      <c r="J3899" s="26" t="s">
        <v>35</v>
      </c>
      <c r="K3899" s="48">
        <v>-0.5</v>
      </c>
      <c r="L3899" s="49" t="s">
        <v>27559</v>
      </c>
      <c r="M3899" s="28" t="s">
        <v>27560</v>
      </c>
      <c r="N3899" s="93" t="s">
        <v>27561</v>
      </c>
      <c r="O3899" s="93" t="str">
        <f>IFERROR(__xludf.DUMMYFUNCTION("GOOGLETRANSLATE(N3899,""EN"",""ES"")"),"Negativo porque indica inestabilidad en las políticas que afectan a las empresas energéticas.")</f>
        <v>Negativo porque indica inestabilidad en las políticas que afectan a las empresas energéticas.</v>
      </c>
      <c r="P3899" s="30">
        <v>-0.4</v>
      </c>
      <c r="Q3899" s="31" t="str">
        <f>IFERROR(__xludf.DUMMYFUNCTION("GOOGLETRANSLATE(R3899,""ES"",""EN"")"),"lose support")</f>
        <v>lose support</v>
      </c>
      <c r="R3899" s="28" t="s">
        <v>27562</v>
      </c>
      <c r="S3899" s="53" t="s">
        <v>27325</v>
      </c>
      <c r="T3899" s="32" t="s">
        <v>27326</v>
      </c>
    </row>
    <row r="3900">
      <c r="A3900" s="33" t="s">
        <v>27563</v>
      </c>
      <c r="B3900" s="76" t="s">
        <v>85</v>
      </c>
      <c r="C3900" s="41">
        <v>45587.0</v>
      </c>
      <c r="D3900" s="40" t="s">
        <v>27564</v>
      </c>
      <c r="E3900" s="41" t="s">
        <v>27565</v>
      </c>
      <c r="F3900" s="43" t="s">
        <v>27566</v>
      </c>
      <c r="G3900" s="43" t="s">
        <v>27567</v>
      </c>
      <c r="H3900" s="51" t="s">
        <v>148</v>
      </c>
      <c r="I3900" s="15" t="str">
        <f>IFERROR(__xludf.DUMMYFUNCTION("GOOGLETRANSLATE(H3900,""EN"",""ES"")"),"Gastronomía")</f>
        <v>Gastronomía</v>
      </c>
      <c r="J3900" s="16" t="s">
        <v>27</v>
      </c>
      <c r="K3900" s="17">
        <v>0.0</v>
      </c>
      <c r="L3900" s="45"/>
      <c r="M3900" s="18"/>
      <c r="N3900" s="94"/>
      <c r="O3900" s="94"/>
      <c r="P3900" s="20">
        <v>0.0</v>
      </c>
      <c r="Q3900" s="18"/>
      <c r="R3900" s="18"/>
      <c r="S3900" s="52"/>
      <c r="T3900" s="22"/>
    </row>
    <row r="3901">
      <c r="A3901" s="23" t="s">
        <v>27568</v>
      </c>
      <c r="B3901" s="77" t="s">
        <v>6146</v>
      </c>
      <c r="C3901" s="41">
        <v>45587.0</v>
      </c>
      <c r="D3901" s="40" t="s">
        <v>27569</v>
      </c>
      <c r="E3901" s="41" t="s">
        <v>27569</v>
      </c>
      <c r="F3901" s="43" t="s">
        <v>27570</v>
      </c>
      <c r="G3901" s="43" t="s">
        <v>27570</v>
      </c>
      <c r="H3901" s="51" t="s">
        <v>55</v>
      </c>
      <c r="I3901" s="25" t="str">
        <f>IFERROR(__xludf.DUMMYFUNCTION("GOOGLETRANSLATE(H3901,""EN"",""ES"")"),"deportes de motor")</f>
        <v>deportes de motor</v>
      </c>
      <c r="J3901" s="26" t="s">
        <v>35</v>
      </c>
      <c r="K3901" s="48">
        <v>-0.5</v>
      </c>
      <c r="L3901" s="49" t="s">
        <v>27571</v>
      </c>
      <c r="M3901" s="28" t="s">
        <v>27572</v>
      </c>
      <c r="N3901" s="93" t="s">
        <v>27573</v>
      </c>
      <c r="O3901" s="93" t="str">
        <f>IFERROR(__xludf.DUMMYFUNCTION("GOOGLETRANSLATE(N3901,""EN"",""ES"")"),"Negativo ya que marca la pérdida de exposición de la marca en MotoGP.")</f>
        <v>Negativo ya que marca la pérdida de exposición de la marca en MotoGP.</v>
      </c>
      <c r="P3901" s="30">
        <v>-0.3</v>
      </c>
      <c r="Q3901" s="31" t="str">
        <f>IFERROR(__xludf.DUMMYFUNCTION("GOOGLETRANSLATE(R3901,""ES"",""EN"")"),"replace")</f>
        <v>replace</v>
      </c>
      <c r="R3901" s="28" t="s">
        <v>27574</v>
      </c>
      <c r="S3901" s="53" t="s">
        <v>27575</v>
      </c>
      <c r="T3901" s="32" t="s">
        <v>27576</v>
      </c>
    </row>
    <row r="3902">
      <c r="A3902" s="33" t="s">
        <v>27577</v>
      </c>
      <c r="B3902" s="76" t="s">
        <v>85</v>
      </c>
      <c r="C3902" s="41">
        <v>45587.0</v>
      </c>
      <c r="D3902" s="40" t="s">
        <v>27578</v>
      </c>
      <c r="E3902" s="41" t="s">
        <v>27579</v>
      </c>
      <c r="F3902" s="43" t="s">
        <v>27580</v>
      </c>
      <c r="G3902" s="43" t="s">
        <v>27581</v>
      </c>
      <c r="H3902" s="51" t="s">
        <v>148</v>
      </c>
      <c r="I3902" s="15" t="str">
        <f>IFERROR(__xludf.DUMMYFUNCTION("GOOGLETRANSLATE(H3902,""EN"",""ES"")"),"Gastronomía")</f>
        <v>Gastronomía</v>
      </c>
      <c r="J3902" s="16" t="s">
        <v>27</v>
      </c>
      <c r="K3902" s="17">
        <v>0.0</v>
      </c>
      <c r="L3902" s="45"/>
      <c r="M3902" s="18"/>
      <c r="N3902" s="94"/>
      <c r="O3902" s="94"/>
      <c r="P3902" s="20">
        <v>0.0</v>
      </c>
      <c r="Q3902" s="18"/>
      <c r="R3902" s="18"/>
      <c r="S3902" s="52"/>
      <c r="T3902" s="22"/>
    </row>
    <row r="3903">
      <c r="A3903" s="23" t="s">
        <v>27582</v>
      </c>
      <c r="B3903" s="77" t="s">
        <v>163</v>
      </c>
      <c r="C3903" s="41">
        <v>45587.0</v>
      </c>
      <c r="D3903" s="40" t="s">
        <v>27583</v>
      </c>
      <c r="E3903" s="41" t="s">
        <v>27584</v>
      </c>
      <c r="F3903" s="43" t="s">
        <v>27585</v>
      </c>
      <c r="G3903" s="43" t="s">
        <v>27586</v>
      </c>
      <c r="H3903" s="51" t="s">
        <v>26</v>
      </c>
      <c r="I3903" s="25" t="str">
        <f>IFERROR(__xludf.DUMMYFUNCTION("GOOGLETRANSLATE(H3903,""EN"",""ES"")"),"Otro")</f>
        <v>Otro</v>
      </c>
      <c r="J3903" s="26" t="s">
        <v>27</v>
      </c>
      <c r="K3903" s="17">
        <v>0.0</v>
      </c>
      <c r="L3903" s="54"/>
      <c r="M3903" s="31"/>
      <c r="N3903" s="93"/>
      <c r="O3903" s="93"/>
      <c r="P3903" s="20">
        <v>0.0</v>
      </c>
      <c r="Q3903" s="31"/>
      <c r="R3903" s="31"/>
      <c r="S3903" s="53"/>
      <c r="T3903" s="32"/>
    </row>
    <row r="3904">
      <c r="A3904" s="33" t="s">
        <v>27587</v>
      </c>
      <c r="B3904" s="76" t="s">
        <v>3045</v>
      </c>
      <c r="C3904" s="41">
        <v>45587.0</v>
      </c>
      <c r="D3904" s="40" t="s">
        <v>27588</v>
      </c>
      <c r="E3904" s="41" t="s">
        <v>27589</v>
      </c>
      <c r="F3904" s="43" t="s">
        <v>27590</v>
      </c>
      <c r="G3904" s="43" t="s">
        <v>27591</v>
      </c>
      <c r="H3904" s="51" t="s">
        <v>25072</v>
      </c>
      <c r="I3904" s="15" t="str">
        <f>IFERROR(__xludf.DUMMYFUNCTION("GOOGLETRANSLATE(H3904,""EN"",""ES"")"),"Petróleo y energía")</f>
        <v>Petróleo y energía</v>
      </c>
      <c r="J3904" s="16" t="s">
        <v>35</v>
      </c>
      <c r="K3904" s="48">
        <v>-0.5</v>
      </c>
      <c r="L3904" s="51" t="s">
        <v>27592</v>
      </c>
      <c r="M3904" s="34" t="s">
        <v>27593</v>
      </c>
      <c r="N3904" s="94" t="s">
        <v>27594</v>
      </c>
      <c r="O3904" s="94" t="str">
        <f>IFERROR(__xludf.DUMMYFUNCTION("GOOGLETRANSLATE(N3904,""EN"",""ES"")"),"Negativo porque pone de relieve la incertidumbre política que afecta a las operaciones de Repsol.")</f>
        <v>Negativo porque pone de relieve la incertidumbre política que afecta a las operaciones de Repsol.</v>
      </c>
      <c r="P3904" s="30">
        <v>0.1</v>
      </c>
      <c r="Q3904" s="18" t="str">
        <f>IFERROR(__xludf.DUMMYFUNCTION("GOOGLETRANSLATE(R3904,""ES"",""EN"")"),"-")</f>
        <v>-</v>
      </c>
      <c r="R3904" s="34" t="s">
        <v>11852</v>
      </c>
      <c r="S3904" s="52" t="s">
        <v>27595</v>
      </c>
      <c r="T3904" s="22" t="s">
        <v>27596</v>
      </c>
    </row>
    <row r="3905">
      <c r="A3905" s="23" t="s">
        <v>27597</v>
      </c>
      <c r="B3905" s="77" t="s">
        <v>254</v>
      </c>
      <c r="C3905" s="41">
        <v>45587.0</v>
      </c>
      <c r="D3905" s="40" t="s">
        <v>27598</v>
      </c>
      <c r="E3905" s="41" t="s">
        <v>27599</v>
      </c>
      <c r="F3905" s="43" t="s">
        <v>27600</v>
      </c>
      <c r="G3905" s="43" t="s">
        <v>27601</v>
      </c>
      <c r="H3905" s="51" t="s">
        <v>25072</v>
      </c>
      <c r="I3905" s="25" t="str">
        <f>IFERROR(__xludf.DUMMYFUNCTION("GOOGLETRANSLATE(H3905,""EN"",""ES"")"),"Petróleo y energía")</f>
        <v>Petróleo y energía</v>
      </c>
      <c r="J3905" s="26" t="s">
        <v>35</v>
      </c>
      <c r="K3905" s="48">
        <v>0.6</v>
      </c>
      <c r="L3905" s="49" t="s">
        <v>27602</v>
      </c>
      <c r="M3905" s="28" t="s">
        <v>27603</v>
      </c>
      <c r="N3905" s="93" t="s">
        <v>27604</v>
      </c>
      <c r="O3905" s="93" t="str">
        <f>IFERROR(__xludf.DUMMYFUNCTION("GOOGLETRANSLATE(N3905,""EN"",""ES"")"),"Positivo porque pone de relieve la inversión de Repsol en sostenibilidad.")</f>
        <v>Positivo porque pone de relieve la inversión de Repsol en sostenibilidad.</v>
      </c>
      <c r="P3905" s="30">
        <v>0.4</v>
      </c>
      <c r="Q3905" s="31" t="str">
        <f>IFERROR(__xludf.DUMMYFUNCTION("GOOGLETRANSLATE(R3905,""ES"",""EN"")"),"will invest, ""renewables""")</f>
        <v>will invest, "renewables"</v>
      </c>
      <c r="R3905" s="28" t="s">
        <v>27605</v>
      </c>
      <c r="S3905" s="53" t="s">
        <v>27606</v>
      </c>
      <c r="T3905" s="32" t="s">
        <v>27607</v>
      </c>
    </row>
    <row r="3906">
      <c r="A3906" s="33" t="s">
        <v>27608</v>
      </c>
      <c r="B3906" s="76" t="s">
        <v>9427</v>
      </c>
      <c r="C3906" s="41">
        <v>45588.0</v>
      </c>
      <c r="D3906" s="40" t="s">
        <v>27609</v>
      </c>
      <c r="E3906" s="41" t="s">
        <v>27610</v>
      </c>
      <c r="F3906" s="43" t="s">
        <v>27611</v>
      </c>
      <c r="G3906" s="43" t="s">
        <v>27612</v>
      </c>
      <c r="H3906" s="51" t="s">
        <v>25072</v>
      </c>
      <c r="I3906" s="15" t="str">
        <f>IFERROR(__xludf.DUMMYFUNCTION("GOOGLETRANSLATE(H3906,""EN"",""ES"")"),"Petróleo y energía")</f>
        <v>Petróleo y energía</v>
      </c>
      <c r="J3906" s="16" t="s">
        <v>35</v>
      </c>
      <c r="K3906" s="48">
        <v>-0.7</v>
      </c>
      <c r="L3906" s="51" t="s">
        <v>27613</v>
      </c>
      <c r="M3906" s="34" t="s">
        <v>27614</v>
      </c>
      <c r="N3906" s="94" t="s">
        <v>27615</v>
      </c>
      <c r="O3906" s="94" t="str">
        <f>IFERROR(__xludf.DUMMYFUNCTION("GOOGLETRANSLATE(N3906,""EN"",""ES"")"),"Negativo ya que refuerza las tensiones entre Repsol y las políticas gubernamentales.")</f>
        <v>Negativo ya que refuerza las tensiones entre Repsol y las políticas gubernamentales.</v>
      </c>
      <c r="P3906" s="30">
        <v>-0.2</v>
      </c>
      <c r="Q3906" s="18" t="str">
        <f>IFERROR(__xludf.DUMMYFUNCTION("GOOGLETRANSLATE(R3906,""ES"",""EN"")"),"press")</f>
        <v>press</v>
      </c>
      <c r="R3906" s="34" t="s">
        <v>27616</v>
      </c>
      <c r="S3906" s="52" t="s">
        <v>27617</v>
      </c>
      <c r="T3906" s="22" t="s">
        <v>27618</v>
      </c>
    </row>
    <row r="3907">
      <c r="A3907" s="23" t="s">
        <v>27619</v>
      </c>
      <c r="B3907" s="77" t="s">
        <v>952</v>
      </c>
      <c r="C3907" s="41">
        <v>45588.0</v>
      </c>
      <c r="D3907" s="40" t="s">
        <v>27620</v>
      </c>
      <c r="E3907" s="41" t="s">
        <v>27621</v>
      </c>
      <c r="F3907" s="43" t="s">
        <v>27622</v>
      </c>
      <c r="G3907" s="43" t="s">
        <v>27623</v>
      </c>
      <c r="H3907" s="51" t="s">
        <v>26</v>
      </c>
      <c r="I3907" s="25" t="str">
        <f>IFERROR(__xludf.DUMMYFUNCTION("GOOGLETRANSLATE(H3907,""EN"",""ES"")"),"Otro")</f>
        <v>Otro</v>
      </c>
      <c r="J3907" s="26" t="s">
        <v>35</v>
      </c>
      <c r="K3907" s="48">
        <v>0.0</v>
      </c>
      <c r="L3907" s="54"/>
      <c r="M3907" s="31"/>
      <c r="N3907" s="93" t="s">
        <v>27624</v>
      </c>
      <c r="O3907" s="93" t="str">
        <f>IFERROR(__xludf.DUMMYFUNCTION("GOOGLETRANSLATE(N3907,""EN"",""ES"")"),"Actividad operativa rutinaria sin impacto corporativo significativo.")</f>
        <v>Actividad operativa rutinaria sin impacto corporativo significativo.</v>
      </c>
      <c r="P3907" s="30">
        <v>0.0</v>
      </c>
      <c r="Q3907" s="31"/>
      <c r="R3907" s="31"/>
      <c r="S3907" s="53" t="s">
        <v>10136</v>
      </c>
      <c r="T3907" s="32" t="s">
        <v>10137</v>
      </c>
    </row>
    <row r="3908">
      <c r="A3908" s="33" t="s">
        <v>27625</v>
      </c>
      <c r="B3908" s="76" t="s">
        <v>192</v>
      </c>
      <c r="C3908" s="41">
        <v>45588.0</v>
      </c>
      <c r="D3908" s="40" t="s">
        <v>27626</v>
      </c>
      <c r="E3908" s="41" t="s">
        <v>27627</v>
      </c>
      <c r="F3908" s="43" t="s">
        <v>27628</v>
      </c>
      <c r="G3908" s="43" t="s">
        <v>27629</v>
      </c>
      <c r="H3908" s="51" t="s">
        <v>25072</v>
      </c>
      <c r="I3908" s="15" t="str">
        <f>IFERROR(__xludf.DUMMYFUNCTION("GOOGLETRANSLATE(H3908,""EN"",""ES"")"),"Petróleo y energía")</f>
        <v>Petróleo y energía</v>
      </c>
      <c r="J3908" s="16" t="s">
        <v>35</v>
      </c>
      <c r="K3908" s="48">
        <v>0.5</v>
      </c>
      <c r="L3908" s="51" t="s">
        <v>27630</v>
      </c>
      <c r="M3908" s="34" t="s">
        <v>27631</v>
      </c>
      <c r="N3908" s="94" t="s">
        <v>27632</v>
      </c>
      <c r="O3908" s="94" t="str">
        <f>IFERROR(__xludf.DUMMYFUNCTION("GOOGLETRANSLATE(N3908,""EN"",""ES"")"),"Positivo porque apoya el crecimiento de Repsol y la inversión en infraestructuras energéticas.")</f>
        <v>Positivo porque apoya el crecimiento de Repsol y la inversión en infraestructuras energéticas.</v>
      </c>
      <c r="P3908" s="30">
        <v>0.5</v>
      </c>
      <c r="Q3908" s="18" t="str">
        <f>IFERROR(__xludf.DUMMYFUNCTION("GOOGLETRANSLATE(R3908,""ES"",""EN"")"),"gets, ""help""")</f>
        <v>gets, "help"</v>
      </c>
      <c r="R3908" s="34" t="s">
        <v>27633</v>
      </c>
      <c r="S3908" s="52" t="s">
        <v>27634</v>
      </c>
      <c r="T3908" s="22" t="s">
        <v>27635</v>
      </c>
    </row>
    <row r="3909">
      <c r="A3909" s="23" t="s">
        <v>27636</v>
      </c>
      <c r="B3909" s="77" t="s">
        <v>8287</v>
      </c>
      <c r="C3909" s="41">
        <v>45588.0</v>
      </c>
      <c r="D3909" s="40" t="s">
        <v>27637</v>
      </c>
      <c r="E3909" s="41" t="s">
        <v>27638</v>
      </c>
      <c r="F3909" s="43" t="s">
        <v>27639</v>
      </c>
      <c r="G3909" s="43" t="s">
        <v>27640</v>
      </c>
      <c r="H3909" s="51" t="s">
        <v>26</v>
      </c>
      <c r="I3909" s="25" t="str">
        <f>IFERROR(__xludf.DUMMYFUNCTION("GOOGLETRANSLATE(H3909,""EN"",""ES"")"),"Otro")</f>
        <v>Otro</v>
      </c>
      <c r="J3909" s="26" t="s">
        <v>35</v>
      </c>
      <c r="K3909" s="48">
        <v>0.0</v>
      </c>
      <c r="L3909" s="54"/>
      <c r="M3909" s="31"/>
      <c r="N3909" s="93" t="s">
        <v>27641</v>
      </c>
      <c r="O3909" s="93" t="str">
        <f>IFERROR(__xludf.DUMMYFUNCTION("GOOGLETRANSLATE(N3909,""EN"",""ES"")"),"Declaración corporativa general sin impacto directo en la imagen de Repsol.")</f>
        <v>Declaración corporativa general sin impacto directo en la imagen de Repsol.</v>
      </c>
      <c r="P3909" s="30">
        <v>0.0</v>
      </c>
      <c r="Q3909" s="31"/>
      <c r="R3909" s="31"/>
      <c r="S3909" s="53" t="s">
        <v>27642</v>
      </c>
      <c r="T3909" s="32" t="s">
        <v>27643</v>
      </c>
    </row>
    <row r="3910">
      <c r="A3910" s="33" t="s">
        <v>27644</v>
      </c>
      <c r="B3910" s="76" t="s">
        <v>10673</v>
      </c>
      <c r="C3910" s="41">
        <v>45588.0</v>
      </c>
      <c r="D3910" s="40" t="s">
        <v>27645</v>
      </c>
      <c r="E3910" s="41" t="s">
        <v>27646</v>
      </c>
      <c r="F3910" s="43" t="s">
        <v>27647</v>
      </c>
      <c r="G3910" s="43" t="s">
        <v>27648</v>
      </c>
      <c r="H3910" s="51" t="s">
        <v>25072</v>
      </c>
      <c r="I3910" s="15" t="str">
        <f>IFERROR(__xludf.DUMMYFUNCTION("GOOGLETRANSLATE(H3910,""EN"",""ES"")"),"Petróleo y energía")</f>
        <v>Petróleo y energía</v>
      </c>
      <c r="J3910" s="16" t="s">
        <v>35</v>
      </c>
      <c r="K3910" s="48">
        <v>-0.6</v>
      </c>
      <c r="L3910" s="51" t="s">
        <v>27649</v>
      </c>
      <c r="M3910" s="34" t="s">
        <v>27650</v>
      </c>
      <c r="N3910" s="94" t="s">
        <v>27651</v>
      </c>
      <c r="O3910" s="94" t="str">
        <f>IFERROR(__xludf.DUMMYFUNCTION("GOOGLETRANSLATE(N3910,""EN"",""ES"")"),"Negativo porque implica maniobras políticas de Repsol para influir en las políticas fiscales.")</f>
        <v>Negativo porque implica maniobras políticas de Repsol para influir en las políticas fiscales.</v>
      </c>
      <c r="P3910" s="30">
        <v>-0.3</v>
      </c>
      <c r="Q3910" s="18" t="str">
        <f>IFERROR(__xludf.DUMMYFUNCTION("GOOGLETRANSLATE(R3910,""ES"",""EN"")"),"probe")</f>
        <v>probe</v>
      </c>
      <c r="R3910" s="34" t="s">
        <v>27652</v>
      </c>
      <c r="S3910" s="52" t="s">
        <v>27653</v>
      </c>
      <c r="T3910" s="22" t="s">
        <v>27654</v>
      </c>
    </row>
    <row r="3911">
      <c r="A3911" s="23" t="s">
        <v>27655</v>
      </c>
      <c r="B3911" s="77" t="s">
        <v>8884</v>
      </c>
      <c r="C3911" s="41">
        <v>45588.0</v>
      </c>
      <c r="D3911" s="40" t="s">
        <v>27656</v>
      </c>
      <c r="E3911" s="41" t="s">
        <v>27657</v>
      </c>
      <c r="F3911" s="43" t="s">
        <v>27658</v>
      </c>
      <c r="G3911" s="43" t="s">
        <v>27659</v>
      </c>
      <c r="H3911" s="51" t="s">
        <v>25072</v>
      </c>
      <c r="I3911" s="25" t="str">
        <f>IFERROR(__xludf.DUMMYFUNCTION("GOOGLETRANSLATE(H3911,""EN"",""ES"")"),"Petróleo y energía")</f>
        <v>Petróleo y energía</v>
      </c>
      <c r="J3911" s="26" t="s">
        <v>35</v>
      </c>
      <c r="K3911" s="48">
        <v>-0.7</v>
      </c>
      <c r="L3911" s="49" t="s">
        <v>27660</v>
      </c>
      <c r="M3911" s="28" t="s">
        <v>27661</v>
      </c>
      <c r="N3911" s="93" t="s">
        <v>27662</v>
      </c>
      <c r="O3911" s="93" t="str">
        <f>IFERROR(__xludf.DUMMYFUNCTION("GOOGLETRANSLATE(N3911,""EN"",""ES"")"),"Negativo ya que pone de relieve el conflicto actual entre Repsol y el gobierno.")</f>
        <v>Negativo ya que pone de relieve el conflicto actual entre Repsol y el gobierno.</v>
      </c>
      <c r="P3911" s="30">
        <v>-0.4</v>
      </c>
      <c r="Q3911" s="31" t="str">
        <f>IFERROR(__xludf.DUMMYFUNCTION("GOOGLETRANSLATE(R3911,""ES"",""EN"")"),"suspend")</f>
        <v>suspend</v>
      </c>
      <c r="R3911" s="28" t="s">
        <v>27663</v>
      </c>
      <c r="S3911" s="53" t="s">
        <v>27664</v>
      </c>
      <c r="T3911" s="32" t="s">
        <v>27665</v>
      </c>
    </row>
    <row r="3912">
      <c r="A3912" s="33" t="s">
        <v>27666</v>
      </c>
      <c r="B3912" s="76" t="s">
        <v>1970</v>
      </c>
      <c r="C3912" s="41">
        <v>45588.0</v>
      </c>
      <c r="D3912" s="40" t="s">
        <v>27667</v>
      </c>
      <c r="E3912" s="41" t="s">
        <v>27668</v>
      </c>
      <c r="F3912" s="43" t="s">
        <v>27669</v>
      </c>
      <c r="G3912" s="43" t="s">
        <v>27670</v>
      </c>
      <c r="H3912" s="51" t="s">
        <v>25072</v>
      </c>
      <c r="I3912" s="15" t="str">
        <f>IFERROR(__xludf.DUMMYFUNCTION("GOOGLETRANSLATE(H3912,""EN"",""ES"")"),"Petróleo y energía")</f>
        <v>Petróleo y energía</v>
      </c>
      <c r="J3912" s="16" t="s">
        <v>35</v>
      </c>
      <c r="K3912" s="48">
        <v>-0.7</v>
      </c>
      <c r="L3912" s="51" t="s">
        <v>27671</v>
      </c>
      <c r="M3912" s="34" t="s">
        <v>27672</v>
      </c>
      <c r="N3912" s="94" t="s">
        <v>27673</v>
      </c>
      <c r="O3912" s="94" t="str">
        <f>IFERROR(__xludf.DUMMYFUNCTION("GOOGLETRANSLATE(N3912,""EN"",""ES"")"),"Negativo ya que refuerza la incertidumbre sobre la inversión de Repsol en España.")</f>
        <v>Negativo ya que refuerza la incertidumbre sobre la inversión de Repsol en España.</v>
      </c>
      <c r="P3912" s="30">
        <v>-0.5</v>
      </c>
      <c r="Q3912" s="18" t="str">
        <f>IFERROR(__xludf.DUMMYFUNCTION("GOOGLETRANSLATE(R3912,""ES"",""EN"")"),"go")</f>
        <v>go</v>
      </c>
      <c r="R3912" s="34" t="s">
        <v>27674</v>
      </c>
      <c r="S3912" s="52" t="s">
        <v>27675</v>
      </c>
      <c r="T3912" s="22" t="s">
        <v>27676</v>
      </c>
    </row>
    <row r="3913">
      <c r="A3913" s="23" t="s">
        <v>27677</v>
      </c>
      <c r="B3913" s="77" t="s">
        <v>881</v>
      </c>
      <c r="C3913" s="41">
        <v>45588.0</v>
      </c>
      <c r="D3913" s="40" t="s">
        <v>27678</v>
      </c>
      <c r="E3913" s="41" t="s">
        <v>27679</v>
      </c>
      <c r="F3913" s="43" t="s">
        <v>27680</v>
      </c>
      <c r="G3913" s="43" t="s">
        <v>27681</v>
      </c>
      <c r="H3913" s="51" t="s">
        <v>25072</v>
      </c>
      <c r="I3913" s="25" t="str">
        <f>IFERROR(__xludf.DUMMYFUNCTION("GOOGLETRANSLATE(H3913,""EN"",""ES"")"),"Petróleo y energía")</f>
        <v>Petróleo y energía</v>
      </c>
      <c r="J3913" s="26" t="s">
        <v>35</v>
      </c>
      <c r="K3913" s="48">
        <v>0.6</v>
      </c>
      <c r="L3913" s="49" t="s">
        <v>27682</v>
      </c>
      <c r="M3913" s="28" t="s">
        <v>27683</v>
      </c>
      <c r="N3913" s="93" t="s">
        <v>27684</v>
      </c>
      <c r="O3913" s="93" t="str">
        <f>IFERROR(__xludf.DUMMYFUNCTION("GOOGLETRANSLATE(N3913,""EN"",""ES"")"),"Positivo porque muestra la participación de Repsol en proyectos medioambientales financiados por la UE.")</f>
        <v>Positivo porque muestra la participación de Repsol en proyectos medioambientales financiados por la UE.</v>
      </c>
      <c r="P3913" s="30">
        <v>0.6</v>
      </c>
      <c r="Q3913" s="31" t="str">
        <f>IFERROR(__xludf.DUMMYFUNCTION("GOOGLETRANSLATE(R3913,""ES"",""EN"")"),"finances")</f>
        <v>finances</v>
      </c>
      <c r="R3913" s="28" t="s">
        <v>27685</v>
      </c>
      <c r="S3913" s="53" t="s">
        <v>27686</v>
      </c>
      <c r="T3913" s="32" t="s">
        <v>27687</v>
      </c>
    </row>
    <row r="3914">
      <c r="A3914" s="33" t="s">
        <v>27688</v>
      </c>
      <c r="B3914" s="76" t="s">
        <v>626</v>
      </c>
      <c r="C3914" s="41">
        <v>45588.0</v>
      </c>
      <c r="D3914" s="40" t="s">
        <v>27689</v>
      </c>
      <c r="E3914" s="41" t="s">
        <v>27690</v>
      </c>
      <c r="F3914" s="43" t="s">
        <v>27691</v>
      </c>
      <c r="G3914" s="43" t="s">
        <v>27692</v>
      </c>
      <c r="H3914" s="51" t="s">
        <v>25072</v>
      </c>
      <c r="I3914" s="15" t="str">
        <f>IFERROR(__xludf.DUMMYFUNCTION("GOOGLETRANSLATE(H3914,""EN"",""ES"")"),"Petróleo y energía")</f>
        <v>Petróleo y energía</v>
      </c>
      <c r="J3914" s="16" t="s">
        <v>35</v>
      </c>
      <c r="K3914" s="48">
        <v>-0.7</v>
      </c>
      <c r="L3914" s="51" t="s">
        <v>27693</v>
      </c>
      <c r="M3914" s="34" t="s">
        <v>27694</v>
      </c>
      <c r="N3914" s="94" t="s">
        <v>27695</v>
      </c>
      <c r="O3914" s="94" t="str">
        <f>IFERROR(__xludf.DUMMYFUNCTION("GOOGLETRANSLATE(N3914,""EN"",""ES"")"),"Negativo ya que pone de relieve fuertes tensiones políticas entre Repsol y el Gobierno.")</f>
        <v>Negativo ya que pone de relieve fuertes tensiones políticas entre Repsol y el Gobierno.</v>
      </c>
      <c r="P3914" s="30">
        <v>-0.4</v>
      </c>
      <c r="Q3914" s="18" t="str">
        <f>IFERROR(__xludf.DUMMYFUNCTION("GOOGLETRANSLATE(R3914,""ES"",""EN"")"),"hard")</f>
        <v>hard</v>
      </c>
      <c r="R3914" s="34" t="s">
        <v>27696</v>
      </c>
      <c r="S3914" s="52" t="s">
        <v>27697</v>
      </c>
      <c r="T3914" s="22" t="s">
        <v>27698</v>
      </c>
    </row>
    <row r="3915">
      <c r="A3915" s="23" t="s">
        <v>27699</v>
      </c>
      <c r="B3915" s="77" t="s">
        <v>27700</v>
      </c>
      <c r="C3915" s="41">
        <v>45588.0</v>
      </c>
      <c r="D3915" s="40" t="s">
        <v>27701</v>
      </c>
      <c r="E3915" s="41" t="s">
        <v>27702</v>
      </c>
      <c r="F3915" s="43" t="s">
        <v>27703</v>
      </c>
      <c r="G3915" s="43" t="s">
        <v>27704</v>
      </c>
      <c r="H3915" s="51" t="s">
        <v>148</v>
      </c>
      <c r="I3915" s="25" t="str">
        <f>IFERROR(__xludf.DUMMYFUNCTION("GOOGLETRANSLATE(H3915,""EN"",""ES"")"),"Gastronomía")</f>
        <v>Gastronomía</v>
      </c>
      <c r="J3915" s="26" t="s">
        <v>27</v>
      </c>
      <c r="K3915" s="17">
        <v>0.0</v>
      </c>
      <c r="L3915" s="54"/>
      <c r="M3915" s="31"/>
      <c r="N3915" s="93"/>
      <c r="O3915" s="93"/>
      <c r="P3915" s="20">
        <v>0.0</v>
      </c>
      <c r="Q3915" s="31"/>
      <c r="R3915" s="31"/>
      <c r="S3915" s="53"/>
      <c r="T3915" s="32"/>
    </row>
    <row r="3916">
      <c r="A3916" s="33" t="s">
        <v>27705</v>
      </c>
      <c r="B3916" s="76" t="s">
        <v>499</v>
      </c>
      <c r="C3916" s="41">
        <v>45588.0</v>
      </c>
      <c r="D3916" s="40" t="s">
        <v>27706</v>
      </c>
      <c r="E3916" s="41" t="s">
        <v>27707</v>
      </c>
      <c r="F3916" s="43" t="s">
        <v>27708</v>
      </c>
      <c r="G3916" s="43" t="s">
        <v>27709</v>
      </c>
      <c r="H3916" s="51" t="s">
        <v>25072</v>
      </c>
      <c r="I3916" s="15" t="str">
        <f>IFERROR(__xludf.DUMMYFUNCTION("GOOGLETRANSLATE(H3916,""EN"",""ES"")"),"Petróleo y energía")</f>
        <v>Petróleo y energía</v>
      </c>
      <c r="J3916" s="16" t="s">
        <v>35</v>
      </c>
      <c r="K3916" s="48">
        <v>-0.7</v>
      </c>
      <c r="L3916" s="51" t="s">
        <v>27710</v>
      </c>
      <c r="M3916" s="34" t="s">
        <v>27711</v>
      </c>
      <c r="N3916" s="94" t="s">
        <v>27712</v>
      </c>
      <c r="O3916" s="94" t="str">
        <f>IFERROR(__xludf.DUMMYFUNCTION("GOOGLETRANSLATE(N3916,""EN"",""ES"")"),"Negativo porque encuadra a Repsol como un gran contaminador, justificando el impuesto.")</f>
        <v>Negativo porque encuadra a Repsol como un gran contaminador, justificando el impuesto.</v>
      </c>
      <c r="P3916" s="30">
        <v>-0.5</v>
      </c>
      <c r="Q3916" s="18" t="str">
        <f>IFERROR(__xludf.DUMMYFUNCTION("GOOGLETRANSLATE(R3916,""ES"",""EN"")"),"emits, ""CO2""")</f>
        <v>emits, "CO2"</v>
      </c>
      <c r="R3916" s="34" t="s">
        <v>27713</v>
      </c>
      <c r="S3916" s="52" t="s">
        <v>27714</v>
      </c>
      <c r="T3916" s="22" t="s">
        <v>27715</v>
      </c>
    </row>
    <row r="3917">
      <c r="A3917" s="23" t="s">
        <v>27716</v>
      </c>
      <c r="B3917" s="77" t="s">
        <v>1093</v>
      </c>
      <c r="C3917" s="41">
        <v>45588.0</v>
      </c>
      <c r="D3917" s="40" t="s">
        <v>27717</v>
      </c>
      <c r="E3917" s="41" t="s">
        <v>27718</v>
      </c>
      <c r="F3917" s="43" t="s">
        <v>27719</v>
      </c>
      <c r="G3917" s="43" t="s">
        <v>27720</v>
      </c>
      <c r="H3917" s="51" t="s">
        <v>25072</v>
      </c>
      <c r="I3917" s="25" t="str">
        <f>IFERROR(__xludf.DUMMYFUNCTION("GOOGLETRANSLATE(H3917,""EN"",""ES"")"),"Petróleo y energía")</f>
        <v>Petróleo y energía</v>
      </c>
      <c r="J3917" s="26" t="s">
        <v>35</v>
      </c>
      <c r="K3917" s="48">
        <v>0.6</v>
      </c>
      <c r="L3917" s="49" t="s">
        <v>27721</v>
      </c>
      <c r="M3917" s="28" t="s">
        <v>27722</v>
      </c>
      <c r="N3917" s="93" t="s">
        <v>27723</v>
      </c>
      <c r="O3917" s="93" t="str">
        <f>IFERROR(__xludf.DUMMYFUNCTION("GOOGLETRANSLATE(N3917,""EN"",""ES"")"),"Positivo ya que confirma el progreso de un proyecto energético clave.")</f>
        <v>Positivo ya que confirma el progreso de un proyecto energético clave.</v>
      </c>
      <c r="P3917" s="30">
        <v>0.3</v>
      </c>
      <c r="Q3917" s="31" t="str">
        <f>IFERROR(__xludf.DUMMYFUNCTION("GOOGLETRANSLATE(R3917,""ES"",""EN"")"),"certificate")</f>
        <v>certificate</v>
      </c>
      <c r="R3917" s="28" t="s">
        <v>27724</v>
      </c>
      <c r="S3917" s="53" t="s">
        <v>27725</v>
      </c>
      <c r="T3917" s="32" t="s">
        <v>27726</v>
      </c>
    </row>
    <row r="3918">
      <c r="A3918" s="33" t="s">
        <v>27727</v>
      </c>
      <c r="B3918" s="76" t="s">
        <v>26797</v>
      </c>
      <c r="C3918" s="41">
        <v>45588.0</v>
      </c>
      <c r="D3918" s="40" t="s">
        <v>27728</v>
      </c>
      <c r="E3918" s="41" t="s">
        <v>27728</v>
      </c>
      <c r="F3918" s="43" t="s">
        <v>27729</v>
      </c>
      <c r="G3918" s="43" t="s">
        <v>27729</v>
      </c>
      <c r="H3918" s="51" t="s">
        <v>25072</v>
      </c>
      <c r="I3918" s="15" t="str">
        <f>IFERROR(__xludf.DUMMYFUNCTION("GOOGLETRANSLATE(H3918,""EN"",""ES"")"),"Petróleo y energía")</f>
        <v>Petróleo y energía</v>
      </c>
      <c r="J3918" s="16" t="s">
        <v>35</v>
      </c>
      <c r="K3918" s="48">
        <v>-0.7</v>
      </c>
      <c r="L3918" s="51" t="s">
        <v>27730</v>
      </c>
      <c r="M3918" s="34" t="s">
        <v>27731</v>
      </c>
      <c r="N3918" s="94" t="s">
        <v>27732</v>
      </c>
      <c r="O3918" s="94" t="str">
        <f>IFERROR(__xludf.DUMMYFUNCTION("GOOGLETRANSLATE(N3918,""EN"",""ES"")"),"Negativo ya que refuerza los temores de fuga de capitales debido a la política gubernamental.")</f>
        <v>Negativo ya que refuerza los temores de fuga de capitales debido a la política gubernamental.</v>
      </c>
      <c r="P3918" s="30">
        <v>-0.4</v>
      </c>
      <c r="Q3918" s="18" t="str">
        <f>IFERROR(__xludf.DUMMYFUNCTION("GOOGLETRANSLATE(R3918,""ES"",""EN"")"),"warns")</f>
        <v>warns</v>
      </c>
      <c r="R3918" s="34" t="s">
        <v>27733</v>
      </c>
      <c r="S3918" s="52" t="s">
        <v>27734</v>
      </c>
      <c r="T3918" s="22" t="s">
        <v>27735</v>
      </c>
    </row>
    <row r="3919">
      <c r="A3919" s="23" t="s">
        <v>27736</v>
      </c>
      <c r="B3919" s="77" t="s">
        <v>1005</v>
      </c>
      <c r="C3919" s="41">
        <v>45588.0</v>
      </c>
      <c r="D3919" s="40" t="s">
        <v>27737</v>
      </c>
      <c r="E3919" s="41" t="s">
        <v>27738</v>
      </c>
      <c r="F3919" s="43" t="s">
        <v>27739</v>
      </c>
      <c r="G3919" s="43" t="s">
        <v>27740</v>
      </c>
      <c r="H3919" s="51" t="s">
        <v>25072</v>
      </c>
      <c r="I3919" s="25" t="str">
        <f>IFERROR(__xludf.DUMMYFUNCTION("GOOGLETRANSLATE(H3919,""EN"",""ES"")"),"Petróleo y energía")</f>
        <v>Petróleo y energía</v>
      </c>
      <c r="J3919" s="26" t="s">
        <v>35</v>
      </c>
      <c r="K3919" s="48">
        <v>-0.7</v>
      </c>
      <c r="L3919" s="49" t="s">
        <v>27741</v>
      </c>
      <c r="M3919" s="28" t="s">
        <v>27742</v>
      </c>
      <c r="N3919" s="93" t="s">
        <v>27743</v>
      </c>
      <c r="O3919" s="93" t="str">
        <f>IFERROR(__xludf.DUMMYFUNCTION("GOOGLETRANSLATE(N3919,""EN"",""ES"")"),"Negativo porque señala conflictos laborales internos que pueden dañar la reputación de Repsol.")</f>
        <v>Negativo porque señala conflictos laborales internos que pueden dañar la reputación de Repsol.</v>
      </c>
      <c r="P3919" s="30">
        <v>-0.7</v>
      </c>
      <c r="Q3919" s="31" t="str">
        <f>IFERROR(__xludf.DUMMYFUNCTION("GOOGLETRANSLATE(R3919,""ES"",""EN"")"),"strike")</f>
        <v>strike</v>
      </c>
      <c r="R3919" s="28" t="s">
        <v>21133</v>
      </c>
      <c r="S3919" s="53" t="s">
        <v>27744</v>
      </c>
      <c r="T3919" s="32" t="s">
        <v>27745</v>
      </c>
    </row>
    <row r="3920">
      <c r="A3920" s="33" t="s">
        <v>27746</v>
      </c>
      <c r="B3920" s="76" t="s">
        <v>3067</v>
      </c>
      <c r="C3920" s="41">
        <v>45588.0</v>
      </c>
      <c r="D3920" s="40" t="s">
        <v>27747</v>
      </c>
      <c r="E3920" s="41" t="s">
        <v>27748</v>
      </c>
      <c r="F3920" s="43" t="s">
        <v>27749</v>
      </c>
      <c r="G3920" s="43" t="s">
        <v>27750</v>
      </c>
      <c r="H3920" s="51" t="s">
        <v>25072</v>
      </c>
      <c r="I3920" s="15" t="str">
        <f>IFERROR(__xludf.DUMMYFUNCTION("GOOGLETRANSLATE(H3920,""EN"",""ES"")"),"Petróleo y energía")</f>
        <v>Petróleo y energía</v>
      </c>
      <c r="J3920" s="16" t="s">
        <v>35</v>
      </c>
      <c r="K3920" s="48">
        <v>-0.6</v>
      </c>
      <c r="L3920" s="51" t="s">
        <v>27751</v>
      </c>
      <c r="M3920" s="34" t="s">
        <v>27752</v>
      </c>
      <c r="N3920" s="94" t="s">
        <v>27753</v>
      </c>
      <c r="O3920" s="94" t="str">
        <f>IFERROR(__xludf.DUMMYFUNCTION("GOOGLETRANSLATE(N3920,""EN"",""ES"")"),"Negativo porque resalta que la inversión depende de las políticas gubernamentales.")</f>
        <v>Negativo porque resalta que la inversión depende de las políticas gubernamentales.</v>
      </c>
      <c r="P3920" s="30">
        <v>0.3</v>
      </c>
      <c r="Q3920" s="18" t="str">
        <f>IFERROR(__xludf.DUMMYFUNCTION("GOOGLETRANSLATE(R3920,""ES"",""EN"")"),"investment")</f>
        <v>investment</v>
      </c>
      <c r="R3920" s="34" t="s">
        <v>11615</v>
      </c>
      <c r="S3920" s="52" t="s">
        <v>27754</v>
      </c>
      <c r="T3920" s="22" t="s">
        <v>27755</v>
      </c>
    </row>
    <row r="3921">
      <c r="A3921" s="23" t="s">
        <v>27756</v>
      </c>
      <c r="B3921" s="77" t="s">
        <v>3402</v>
      </c>
      <c r="C3921" s="41">
        <v>45588.0</v>
      </c>
      <c r="D3921" s="40" t="s">
        <v>27757</v>
      </c>
      <c r="E3921" s="41" t="s">
        <v>27758</v>
      </c>
      <c r="F3921" s="43" t="s">
        <v>27759</v>
      </c>
      <c r="G3921" s="43" t="s">
        <v>27760</v>
      </c>
      <c r="H3921" s="51" t="s">
        <v>25072</v>
      </c>
      <c r="I3921" s="25" t="str">
        <f>IFERROR(__xludf.DUMMYFUNCTION("GOOGLETRANSLATE(H3921,""EN"",""ES"")"),"Petróleo y energía")</f>
        <v>Petróleo y energía</v>
      </c>
      <c r="J3921" s="26" t="s">
        <v>35</v>
      </c>
      <c r="K3921" s="48">
        <v>-0.8</v>
      </c>
      <c r="L3921" s="49" t="s">
        <v>27761</v>
      </c>
      <c r="M3921" s="28" t="s">
        <v>27762</v>
      </c>
      <c r="N3921" s="93" t="s">
        <v>27763</v>
      </c>
      <c r="O3921" s="93" t="str">
        <f>IFERROR(__xludf.DUMMYFUNCTION("GOOGLETRANSLATE(N3921,""EN"",""ES"")"),"Muy negativo, ya que tilda a Repsol de contaminador y cuestiona su uso de subvenciones.")</f>
        <v>Muy negativo, ya que tilda a Repsol de contaminador y cuestiona su uso de subvenciones.</v>
      </c>
      <c r="P3921" s="30">
        <v>-0.8</v>
      </c>
      <c r="Q3921" s="31" t="str">
        <f>IFERROR(__xludf.DUMMYFUNCTION("GOOGLETRANSLATE(R3921,""ES"",""EN"")"),"polluting, ""delocalizes""")</f>
        <v>polluting, "delocalizes"</v>
      </c>
      <c r="R3921" s="28" t="s">
        <v>27764</v>
      </c>
      <c r="S3921" s="53" t="s">
        <v>27765</v>
      </c>
      <c r="T3921" s="32" t="s">
        <v>27766</v>
      </c>
    </row>
    <row r="3922">
      <c r="A3922" s="33" t="s">
        <v>27767</v>
      </c>
      <c r="B3922" s="76" t="s">
        <v>2696</v>
      </c>
      <c r="C3922" s="41">
        <v>45588.0</v>
      </c>
      <c r="D3922" s="40" t="s">
        <v>27768</v>
      </c>
      <c r="E3922" s="41" t="s">
        <v>27769</v>
      </c>
      <c r="F3922" s="43" t="s">
        <v>27770</v>
      </c>
      <c r="G3922" s="43" t="s">
        <v>27771</v>
      </c>
      <c r="H3922" s="51" t="s">
        <v>25072</v>
      </c>
      <c r="I3922" s="15" t="str">
        <f>IFERROR(__xludf.DUMMYFUNCTION("GOOGLETRANSLATE(H3922,""EN"",""ES"")"),"Petróleo y energía")</f>
        <v>Petróleo y energía</v>
      </c>
      <c r="J3922" s="16" t="s">
        <v>35</v>
      </c>
      <c r="K3922" s="48">
        <v>-0.7</v>
      </c>
      <c r="L3922" s="51" t="s">
        <v>27772</v>
      </c>
      <c r="M3922" s="34" t="s">
        <v>27773</v>
      </c>
      <c r="N3922" s="94" t="s">
        <v>27774</v>
      </c>
      <c r="O3922" s="94" t="str">
        <f>IFERROR(__xludf.DUMMYFUNCTION("GOOGLETRANSLATE(N3922,""EN"",""ES"")"),"Negativo porque retrata a Repsol como un actor clave en las disputas políticas.")</f>
        <v>Negativo porque retrata a Repsol como un actor clave en las disputas políticas.</v>
      </c>
      <c r="P3922" s="30">
        <v>-0.3</v>
      </c>
      <c r="Q3922" s="18" t="str">
        <f>IFERROR(__xludf.DUMMYFUNCTION("GOOGLETRANSLATE(R3922,""ES"",""EN"")"),"conflicts")</f>
        <v>conflicts</v>
      </c>
      <c r="R3922" s="34" t="s">
        <v>27775</v>
      </c>
      <c r="S3922" s="52" t="s">
        <v>27776</v>
      </c>
      <c r="T3922" s="22" t="s">
        <v>27777</v>
      </c>
    </row>
    <row r="3923">
      <c r="A3923" s="23" t="s">
        <v>27778</v>
      </c>
      <c r="B3923" s="77" t="s">
        <v>1602</v>
      </c>
      <c r="C3923" s="41">
        <v>45588.0</v>
      </c>
      <c r="D3923" s="40" t="s">
        <v>27779</v>
      </c>
      <c r="E3923" s="41" t="s">
        <v>24573</v>
      </c>
      <c r="F3923" s="43" t="s">
        <v>27780</v>
      </c>
      <c r="G3923" s="43" t="s">
        <v>24575</v>
      </c>
      <c r="H3923" s="51" t="s">
        <v>26</v>
      </c>
      <c r="I3923" s="25" t="str">
        <f>IFERROR(__xludf.DUMMYFUNCTION("GOOGLETRANSLATE(H3923,""EN"",""ES"")"),"Otro")</f>
        <v>Otro</v>
      </c>
      <c r="J3923" s="26" t="s">
        <v>35</v>
      </c>
      <c r="K3923" s="48">
        <v>0.0</v>
      </c>
      <c r="L3923" s="54"/>
      <c r="M3923" s="31"/>
      <c r="N3923" s="93" t="s">
        <v>27781</v>
      </c>
      <c r="O3923" s="93" t="str">
        <f>IFERROR(__xludf.DUMMYFUNCTION("GOOGLETRANSLATE(N3923,""EN"",""ES"")"),"El análisis de mercado no impacta directamente en la imagen corporativa de Repsol.")</f>
        <v>El análisis de mercado no impacta directamente en la imagen corporativa de Repsol.</v>
      </c>
      <c r="P3923" s="30">
        <v>0.0</v>
      </c>
      <c r="Q3923" s="31"/>
      <c r="R3923" s="31"/>
      <c r="S3923" s="53" t="s">
        <v>27782</v>
      </c>
      <c r="T3923" s="32" t="s">
        <v>27783</v>
      </c>
    </row>
    <row r="3924">
      <c r="A3924" s="33" t="s">
        <v>27784</v>
      </c>
      <c r="B3924" s="76" t="s">
        <v>499</v>
      </c>
      <c r="C3924" s="41">
        <v>45588.0</v>
      </c>
      <c r="D3924" s="40" t="s">
        <v>27785</v>
      </c>
      <c r="E3924" s="41" t="s">
        <v>27786</v>
      </c>
      <c r="F3924" s="43" t="s">
        <v>27787</v>
      </c>
      <c r="G3924" s="43" t="s">
        <v>27788</v>
      </c>
      <c r="H3924" s="51" t="s">
        <v>25072</v>
      </c>
      <c r="I3924" s="15" t="str">
        <f>IFERROR(__xludf.DUMMYFUNCTION("GOOGLETRANSLATE(H3924,""EN"",""ES"")"),"Petróleo y energía")</f>
        <v>Petróleo y energía</v>
      </c>
      <c r="J3924" s="16" t="s">
        <v>35</v>
      </c>
      <c r="K3924" s="48">
        <v>0.6</v>
      </c>
      <c r="L3924" s="51" t="s">
        <v>27789</v>
      </c>
      <c r="M3924" s="34" t="s">
        <v>27790</v>
      </c>
      <c r="N3924" s="94" t="s">
        <v>27791</v>
      </c>
      <c r="O3924" s="94" t="str">
        <f>IFERROR(__xludf.DUMMYFUNCTION("GOOGLETRANSLATE(N3924,""EN"",""ES"")"),"Positivo porque confirma la elegibilidad de Repsol para recibir apoyo a la inversión de la UE.")</f>
        <v>Positivo porque confirma la elegibilidad de Repsol para recibir apoyo a la inversión de la UE.</v>
      </c>
      <c r="P3924" s="30">
        <v>0.4</v>
      </c>
      <c r="Q3924" s="18" t="str">
        <f>IFERROR(__xludf.DUMMYFUNCTION("GOOGLETRANSLATE(R3924,""ES"",""EN"")"),"certifies")</f>
        <v>certifies</v>
      </c>
      <c r="R3924" s="34" t="s">
        <v>27792</v>
      </c>
      <c r="S3924" s="52" t="s">
        <v>27793</v>
      </c>
      <c r="T3924" s="22" t="s">
        <v>27794</v>
      </c>
    </row>
    <row r="3925">
      <c r="A3925" s="23" t="s">
        <v>27795</v>
      </c>
      <c r="B3925" s="77" t="s">
        <v>43</v>
      </c>
      <c r="C3925" s="41">
        <v>45588.0</v>
      </c>
      <c r="D3925" s="40" t="s">
        <v>27796</v>
      </c>
      <c r="E3925" s="41" t="s">
        <v>27797</v>
      </c>
      <c r="F3925" s="43" t="s">
        <v>27798</v>
      </c>
      <c r="G3925" s="43" t="s">
        <v>27799</v>
      </c>
      <c r="H3925" s="51" t="s">
        <v>25072</v>
      </c>
      <c r="I3925" s="25" t="str">
        <f>IFERROR(__xludf.DUMMYFUNCTION("GOOGLETRANSLATE(H3925,""EN"",""ES"")"),"Petróleo y energía")</f>
        <v>Petróleo y energía</v>
      </c>
      <c r="J3925" s="26" t="s">
        <v>35</v>
      </c>
      <c r="K3925" s="48">
        <v>-0.6</v>
      </c>
      <c r="L3925" s="49" t="s">
        <v>27800</v>
      </c>
      <c r="M3925" s="28" t="s">
        <v>27801</v>
      </c>
      <c r="N3925" s="93" t="s">
        <v>27802</v>
      </c>
      <c r="O3925" s="93" t="str">
        <f>IFERROR(__xludf.DUMMYFUNCTION("GOOGLETRANSLATE(N3925,""EN"",""ES"")"),"Negativo porque encuadra a Repsol más en una disputa política que en el negocio.")</f>
        <v>Negativo porque encuadra a Repsol más en una disputa política que en el negocio.</v>
      </c>
      <c r="P3925" s="30">
        <v>-0.3</v>
      </c>
      <c r="Q3925" s="31" t="str">
        <f>IFERROR(__xludf.DUMMYFUNCTION("GOOGLETRANSLATE(R3925,""ES"",""EN"")"),"speculate")</f>
        <v>speculate</v>
      </c>
      <c r="R3925" s="28" t="s">
        <v>27803</v>
      </c>
      <c r="S3925" s="53" t="s">
        <v>27804</v>
      </c>
      <c r="T3925" s="32" t="s">
        <v>27805</v>
      </c>
    </row>
    <row r="3926">
      <c r="A3926" s="33" t="s">
        <v>27806</v>
      </c>
      <c r="B3926" s="76" t="s">
        <v>431</v>
      </c>
      <c r="C3926" s="41">
        <v>45588.0</v>
      </c>
      <c r="D3926" s="40" t="s">
        <v>27807</v>
      </c>
      <c r="E3926" s="41" t="s">
        <v>27808</v>
      </c>
      <c r="F3926" s="43" t="s">
        <v>27809</v>
      </c>
      <c r="G3926" s="43" t="s">
        <v>27810</v>
      </c>
      <c r="H3926" s="51" t="s">
        <v>148</v>
      </c>
      <c r="I3926" s="15" t="str">
        <f>IFERROR(__xludf.DUMMYFUNCTION("GOOGLETRANSLATE(H3926,""EN"",""ES"")"),"Gastronomía")</f>
        <v>Gastronomía</v>
      </c>
      <c r="J3926" s="16" t="s">
        <v>27</v>
      </c>
      <c r="K3926" s="17">
        <v>0.0</v>
      </c>
      <c r="L3926" s="45"/>
      <c r="M3926" s="18"/>
      <c r="N3926" s="94"/>
      <c r="O3926" s="94"/>
      <c r="P3926" s="20">
        <v>0.0</v>
      </c>
      <c r="Q3926" s="18"/>
      <c r="R3926" s="18"/>
      <c r="S3926" s="52"/>
      <c r="T3926" s="22"/>
    </row>
    <row r="3927">
      <c r="A3927" s="23" t="s">
        <v>27811</v>
      </c>
      <c r="B3927" s="77" t="s">
        <v>403</v>
      </c>
      <c r="C3927" s="41">
        <v>45588.0</v>
      </c>
      <c r="D3927" s="40" t="s">
        <v>27812</v>
      </c>
      <c r="E3927" s="41" t="s">
        <v>27813</v>
      </c>
      <c r="F3927" s="43" t="s">
        <v>27814</v>
      </c>
      <c r="G3927" s="43" t="s">
        <v>27815</v>
      </c>
      <c r="H3927" s="51" t="s">
        <v>25072</v>
      </c>
      <c r="I3927" s="25" t="str">
        <f>IFERROR(__xludf.DUMMYFUNCTION("GOOGLETRANSLATE(H3927,""EN"",""ES"")"),"Petróleo y energía")</f>
        <v>Petróleo y energía</v>
      </c>
      <c r="J3927" s="26" t="s">
        <v>35</v>
      </c>
      <c r="K3927" s="48">
        <v>0.5</v>
      </c>
      <c r="L3927" s="49" t="s">
        <v>27816</v>
      </c>
      <c r="M3927" s="28" t="s">
        <v>27817</v>
      </c>
      <c r="N3927" s="93" t="s">
        <v>27818</v>
      </c>
      <c r="O3927" s="93" t="str">
        <f>IFERROR(__xludf.DUMMYFUNCTION("GOOGLETRANSLATE(N3927,""EN"",""ES"")"),"Ligeramente positivo ya que posiciona a Repsol entre los principales beneficiarios de los incentivos estatales.")</f>
        <v>Ligeramente positivo ya que posiciona a Repsol entre los principales beneficiarios de los incentivos estatales.</v>
      </c>
      <c r="P3927" s="30">
        <v>0.2</v>
      </c>
      <c r="Q3927" s="31" t="str">
        <f>IFERROR(__xludf.DUMMYFUNCTION("GOOGLETRANSLATE(R3927,""ES"",""EN"")"),"aids")</f>
        <v>aids</v>
      </c>
      <c r="R3927" s="28" t="s">
        <v>27819</v>
      </c>
      <c r="S3927" s="53" t="s">
        <v>27820</v>
      </c>
      <c r="T3927" s="32" t="s">
        <v>27821</v>
      </c>
    </row>
    <row r="3928">
      <c r="A3928" s="33" t="s">
        <v>27822</v>
      </c>
      <c r="B3928" s="76" t="s">
        <v>103</v>
      </c>
      <c r="C3928" s="41">
        <v>45588.0</v>
      </c>
      <c r="D3928" s="40" t="s">
        <v>27823</v>
      </c>
      <c r="E3928" s="41" t="s">
        <v>27824</v>
      </c>
      <c r="F3928" s="43" t="s">
        <v>27825</v>
      </c>
      <c r="G3928" s="43" t="s">
        <v>27826</v>
      </c>
      <c r="H3928" s="51" t="s">
        <v>26</v>
      </c>
      <c r="I3928" s="15" t="str">
        <f>IFERROR(__xludf.DUMMYFUNCTION("GOOGLETRANSLATE(H3928,""EN"",""ES"")"),"Otro")</f>
        <v>Otro</v>
      </c>
      <c r="J3928" s="16" t="s">
        <v>35</v>
      </c>
      <c r="K3928" s="48">
        <v>0.0</v>
      </c>
      <c r="L3928" s="45"/>
      <c r="M3928" s="18"/>
      <c r="N3928" s="94" t="s">
        <v>27827</v>
      </c>
      <c r="O3928" s="94" t="str">
        <f>IFERROR(__xludf.DUMMYFUNCTION("GOOGLETRANSLATE(N3928,""EN"",""ES"")"),"Sin impacto directo en la imagen corporativa de Repsol.")</f>
        <v>Sin impacto directo en la imagen corporativa de Repsol.</v>
      </c>
      <c r="P3928" s="30">
        <v>0.0</v>
      </c>
      <c r="Q3928" s="18"/>
      <c r="R3928" s="18"/>
      <c r="S3928" s="52" t="s">
        <v>27828</v>
      </c>
      <c r="T3928" s="22" t="s">
        <v>27829</v>
      </c>
    </row>
    <row r="3929">
      <c r="A3929" s="23" t="s">
        <v>27830</v>
      </c>
      <c r="B3929" s="77" t="s">
        <v>881</v>
      </c>
      <c r="C3929" s="41">
        <v>45588.0</v>
      </c>
      <c r="D3929" s="40" t="s">
        <v>27831</v>
      </c>
      <c r="E3929" s="41" t="s">
        <v>27832</v>
      </c>
      <c r="F3929" s="43" t="s">
        <v>27833</v>
      </c>
      <c r="G3929" s="43" t="s">
        <v>27834</v>
      </c>
      <c r="H3929" s="51" t="s">
        <v>25072</v>
      </c>
      <c r="I3929" s="25" t="str">
        <f>IFERROR(__xludf.DUMMYFUNCTION("GOOGLETRANSLATE(H3929,""EN"",""ES"")"),"Petróleo y energía")</f>
        <v>Petróleo y energía</v>
      </c>
      <c r="J3929" s="26" t="s">
        <v>35</v>
      </c>
      <c r="K3929" s="48">
        <v>-0.5</v>
      </c>
      <c r="L3929" s="49" t="s">
        <v>27835</v>
      </c>
      <c r="M3929" s="28" t="s">
        <v>27836</v>
      </c>
      <c r="N3929" s="93" t="s">
        <v>27837</v>
      </c>
      <c r="O3929" s="93" t="str">
        <f>IFERROR(__xludf.DUMMYFUNCTION("GOOGLETRANSLATE(N3929,""EN"",""ES"")"),"Negativo por la continua incertidumbre sobre la inversión de Repsol en Tarragona.")</f>
        <v>Negativo por la continua incertidumbre sobre la inversión de Repsol en Tarragona.</v>
      </c>
      <c r="P3929" s="30">
        <v>0.2</v>
      </c>
      <c r="Q3929" s="31" t="str">
        <f>IFERROR(__xludf.DUMMYFUNCTION("GOOGLETRANSLATE(R3929,""ES"",""EN"")"),"defend")</f>
        <v>defend</v>
      </c>
      <c r="R3929" s="28" t="s">
        <v>27838</v>
      </c>
      <c r="S3929" s="53" t="s">
        <v>27839</v>
      </c>
      <c r="T3929" s="32" t="s">
        <v>27840</v>
      </c>
    </row>
    <row r="3930">
      <c r="A3930" s="33" t="s">
        <v>27841</v>
      </c>
      <c r="B3930" s="76" t="s">
        <v>499</v>
      </c>
      <c r="C3930" s="41">
        <v>45588.0</v>
      </c>
      <c r="D3930" s="40" t="s">
        <v>27842</v>
      </c>
      <c r="E3930" s="41" t="s">
        <v>27843</v>
      </c>
      <c r="F3930" s="43" t="s">
        <v>27844</v>
      </c>
      <c r="G3930" s="43" t="s">
        <v>27845</v>
      </c>
      <c r="H3930" s="51" t="s">
        <v>25072</v>
      </c>
      <c r="I3930" s="15" t="str">
        <f>IFERROR(__xludf.DUMMYFUNCTION("GOOGLETRANSLATE(H3930,""EN"",""ES"")"),"Petróleo y energía")</f>
        <v>Petróleo y energía</v>
      </c>
      <c r="J3930" s="16" t="s">
        <v>35</v>
      </c>
      <c r="K3930" s="48">
        <v>-0.6</v>
      </c>
      <c r="L3930" s="51" t="s">
        <v>27846</v>
      </c>
      <c r="M3930" s="34" t="s">
        <v>27847</v>
      </c>
      <c r="N3930" s="94" t="s">
        <v>27848</v>
      </c>
      <c r="O3930" s="94" t="str">
        <f>IFERROR(__xludf.DUMMYFUNCTION("GOOGLETRANSLATE(N3930,""EN"",""ES"")"),"Negativo ya que pone de relieve la incertidumbre y la oposición al impuesto por parte del sector energético.")</f>
        <v>Negativo ya que pone de relieve la incertidumbre y la oposición al impuesto por parte del sector energético.</v>
      </c>
      <c r="P3930" s="30">
        <v>0.0</v>
      </c>
      <c r="Q3930" s="18"/>
      <c r="R3930" s="18"/>
      <c r="S3930" s="52" t="s">
        <v>27849</v>
      </c>
      <c r="T3930" s="22" t="s">
        <v>27850</v>
      </c>
    </row>
    <row r="3931">
      <c r="A3931" s="23" t="s">
        <v>27851</v>
      </c>
      <c r="B3931" s="77" t="s">
        <v>881</v>
      </c>
      <c r="C3931" s="41">
        <v>45588.0</v>
      </c>
      <c r="D3931" s="40" t="s">
        <v>27852</v>
      </c>
      <c r="E3931" s="41" t="s">
        <v>27853</v>
      </c>
      <c r="F3931" s="43" t="s">
        <v>27854</v>
      </c>
      <c r="G3931" s="43" t="s">
        <v>27855</v>
      </c>
      <c r="H3931" s="51" t="s">
        <v>25072</v>
      </c>
      <c r="I3931" s="25" t="str">
        <f>IFERROR(__xludf.DUMMYFUNCTION("GOOGLETRANSLATE(H3931,""EN"",""ES"")"),"Petróleo y energía")</f>
        <v>Petróleo y energía</v>
      </c>
      <c r="J3931" s="26" t="s">
        <v>35</v>
      </c>
      <c r="K3931" s="48">
        <v>-0.6</v>
      </c>
      <c r="L3931" s="49" t="s">
        <v>27856</v>
      </c>
      <c r="M3931" s="28" t="s">
        <v>27857</v>
      </c>
      <c r="N3931" s="93" t="s">
        <v>27858</v>
      </c>
      <c r="O3931" s="93" t="str">
        <f>IFERROR(__xludf.DUMMYFUNCTION("GOOGLETRANSLATE(N3931,""EN"",""ES"")"),"Negativo porque implica una presión fiscal constante sobre las empresas energéticas.")</f>
        <v>Negativo porque implica una presión fiscal constante sobre las empresas energéticas.</v>
      </c>
      <c r="P3931" s="30">
        <v>0.0</v>
      </c>
      <c r="Q3931" s="31"/>
      <c r="R3931" s="31"/>
      <c r="S3931" s="53" t="s">
        <v>27859</v>
      </c>
      <c r="T3931" s="32" t="s">
        <v>27860</v>
      </c>
    </row>
    <row r="3932">
      <c r="A3932" s="33" t="s">
        <v>27861</v>
      </c>
      <c r="B3932" s="76" t="s">
        <v>1072</v>
      </c>
      <c r="C3932" s="41">
        <v>45588.0</v>
      </c>
      <c r="D3932" s="40" t="s">
        <v>27862</v>
      </c>
      <c r="E3932" s="41" t="s">
        <v>27863</v>
      </c>
      <c r="F3932" s="43" t="s">
        <v>27864</v>
      </c>
      <c r="G3932" s="43" t="s">
        <v>27865</v>
      </c>
      <c r="H3932" s="51" t="s">
        <v>25072</v>
      </c>
      <c r="I3932" s="15" t="str">
        <f>IFERROR(__xludf.DUMMYFUNCTION("GOOGLETRANSLATE(H3932,""EN"",""ES"")"),"Petróleo y energía")</f>
        <v>Petróleo y energía</v>
      </c>
      <c r="J3932" s="16" t="s">
        <v>35</v>
      </c>
      <c r="K3932" s="48">
        <v>-0.6</v>
      </c>
      <c r="L3932" s="51" t="s">
        <v>27866</v>
      </c>
      <c r="M3932" s="34" t="s">
        <v>27867</v>
      </c>
      <c r="N3932" s="94" t="s">
        <v>27868</v>
      </c>
      <c r="O3932" s="94" t="str">
        <f>IFERROR(__xludf.DUMMYFUNCTION("GOOGLETRANSLATE(N3932,""EN"",""ES"")"),"Negativo porque sugiere una fiscalidad más amplia que puede impactar a Repsol.")</f>
        <v>Negativo porque sugiere una fiscalidad más amplia que puede impactar a Repsol.</v>
      </c>
      <c r="P3932" s="30">
        <v>-0.1</v>
      </c>
      <c r="Q3932" s="18" t="str">
        <f>IFERROR(__xludf.DUMMYFUNCTION("GOOGLETRANSLATE(R3932,""ES"",""EN"")"),"-")</f>
        <v>-</v>
      </c>
      <c r="R3932" s="34" t="s">
        <v>11852</v>
      </c>
      <c r="S3932" s="52" t="s">
        <v>27869</v>
      </c>
      <c r="T3932" s="22" t="s">
        <v>27870</v>
      </c>
    </row>
    <row r="3933">
      <c r="A3933" s="23" t="s">
        <v>27871</v>
      </c>
      <c r="B3933" s="77" t="s">
        <v>3045</v>
      </c>
      <c r="C3933" s="41">
        <v>45588.0</v>
      </c>
      <c r="D3933" s="40" t="s">
        <v>27872</v>
      </c>
      <c r="E3933" s="41" t="s">
        <v>27873</v>
      </c>
      <c r="F3933" s="43" t="s">
        <v>27874</v>
      </c>
      <c r="G3933" s="43" t="s">
        <v>27875</v>
      </c>
      <c r="H3933" s="51" t="s">
        <v>25072</v>
      </c>
      <c r="I3933" s="25" t="str">
        <f>IFERROR(__xludf.DUMMYFUNCTION("GOOGLETRANSLATE(H3933,""EN"",""ES"")"),"Petróleo y energía")</f>
        <v>Petróleo y energía</v>
      </c>
      <c r="J3933" s="26" t="s">
        <v>35</v>
      </c>
      <c r="K3933" s="48">
        <v>-0.5</v>
      </c>
      <c r="L3933" s="49" t="s">
        <v>27876</v>
      </c>
      <c r="M3933" s="28" t="s">
        <v>27877</v>
      </c>
      <c r="N3933" s="93" t="s">
        <v>27878</v>
      </c>
      <c r="O3933" s="93" t="str">
        <f>IFERROR(__xludf.DUMMYFUNCTION("GOOGLETRANSLATE(N3933,""EN"",""ES"")"),"Negativo debido a la continua incertidumbre política en torno a las inversiones en energía.")</f>
        <v>Negativo debido a la continua incertidumbre política en torno a las inversiones en energía.</v>
      </c>
      <c r="P3933" s="30">
        <v>0.2</v>
      </c>
      <c r="Q3933" s="31" t="str">
        <f>IFERROR(__xludf.DUMMYFUNCTION("GOOGLETRANSLATE(R3933,""ES"",""EN"")"),"veto")</f>
        <v>veto</v>
      </c>
      <c r="R3933" s="28" t="s">
        <v>27879</v>
      </c>
      <c r="S3933" s="53" t="s">
        <v>27880</v>
      </c>
      <c r="T3933" s="32" t="s">
        <v>27881</v>
      </c>
    </row>
    <row r="3934">
      <c r="A3934" s="33" t="s">
        <v>27882</v>
      </c>
      <c r="B3934" s="76" t="s">
        <v>85</v>
      </c>
      <c r="C3934" s="41">
        <v>45588.0</v>
      </c>
      <c r="D3934" s="40" t="s">
        <v>27883</v>
      </c>
      <c r="E3934" s="41" t="s">
        <v>27884</v>
      </c>
      <c r="F3934" s="43" t="s">
        <v>27885</v>
      </c>
      <c r="G3934" s="43" t="s">
        <v>27886</v>
      </c>
      <c r="H3934" s="51" t="s">
        <v>25072</v>
      </c>
      <c r="I3934" s="15" t="str">
        <f>IFERROR(__xludf.DUMMYFUNCTION("GOOGLETRANSLATE(H3934,""EN"",""ES"")"),"Petróleo y energía")</f>
        <v>Petróleo y energía</v>
      </c>
      <c r="J3934" s="16" t="s">
        <v>35</v>
      </c>
      <c r="K3934" s="48">
        <v>-0.5</v>
      </c>
      <c r="L3934" s="51" t="s">
        <v>27887</v>
      </c>
      <c r="M3934" s="34" t="s">
        <v>27888</v>
      </c>
      <c r="N3934" s="94" t="s">
        <v>27889</v>
      </c>
      <c r="O3934" s="94" t="str">
        <f>IFERROR(__xludf.DUMMYFUNCTION("GOOGLETRANSLATE(N3934,""EN"",""ES"")"),"Negativo ya que refuerza la percepción de fuga de capitales debido a la política gubernamental.")</f>
        <v>Negativo ya que refuerza la percepción de fuga de capitales debido a la política gubernamental.</v>
      </c>
      <c r="P3934" s="30">
        <v>-0.1</v>
      </c>
      <c r="Q3934" s="18" t="str">
        <f>IFERROR(__xludf.DUMMYFUNCTION("GOOGLETRANSLATE(R3934,""ES"",""EN"")"),"-")</f>
        <v>-</v>
      </c>
      <c r="R3934" s="34" t="s">
        <v>11852</v>
      </c>
      <c r="S3934" s="52" t="s">
        <v>27890</v>
      </c>
      <c r="T3934" s="22" t="s">
        <v>27891</v>
      </c>
    </row>
    <row r="3935">
      <c r="A3935" s="23" t="s">
        <v>27892</v>
      </c>
      <c r="B3935" s="77" t="s">
        <v>614</v>
      </c>
      <c r="C3935" s="41">
        <v>45588.0</v>
      </c>
      <c r="D3935" s="40" t="s">
        <v>27893</v>
      </c>
      <c r="E3935" s="41" t="s">
        <v>27894</v>
      </c>
      <c r="F3935" s="43" t="s">
        <v>27895</v>
      </c>
      <c r="G3935" s="43" t="s">
        <v>27896</v>
      </c>
      <c r="H3935" s="51" t="s">
        <v>25072</v>
      </c>
      <c r="I3935" s="25" t="str">
        <f>IFERROR(__xludf.DUMMYFUNCTION("GOOGLETRANSLATE(H3935,""EN"",""ES"")"),"Petróleo y energía")</f>
        <v>Petróleo y energía</v>
      </c>
      <c r="J3935" s="26" t="s">
        <v>35</v>
      </c>
      <c r="K3935" s="48">
        <v>-0.6</v>
      </c>
      <c r="L3935" s="49" t="s">
        <v>27897</v>
      </c>
      <c r="M3935" s="28" t="s">
        <v>27898</v>
      </c>
      <c r="N3935" s="93" t="s">
        <v>27899</v>
      </c>
      <c r="O3935" s="93" t="str">
        <f>IFERROR(__xludf.DUMMYFUNCTION("GOOGLETRANSLATE(N3935,""EN"",""ES"")"),"Negativo, ya que indica una incertidumbre constante sobre el futuro del impuesto.")</f>
        <v>Negativo, ya que indica una incertidumbre constante sobre el futuro del impuesto.</v>
      </c>
      <c r="P3935" s="30">
        <v>0.1</v>
      </c>
      <c r="Q3935" s="31" t="str">
        <f>IFERROR(__xludf.DUMMYFUNCTION("GOOGLETRANSLATE(R3935,""ES"",""EN"")"),"-")</f>
        <v>-</v>
      </c>
      <c r="R3935" s="28" t="s">
        <v>11852</v>
      </c>
      <c r="S3935" s="53" t="s">
        <v>27900</v>
      </c>
      <c r="T3935" s="32" t="s">
        <v>27901</v>
      </c>
    </row>
    <row r="3936">
      <c r="A3936" s="71" t="s">
        <v>27902</v>
      </c>
      <c r="B3936" s="76" t="s">
        <v>1011</v>
      </c>
      <c r="C3936" s="41">
        <v>45588.0</v>
      </c>
      <c r="D3936" s="40" t="s">
        <v>27903</v>
      </c>
      <c r="E3936" s="41" t="s">
        <v>27904</v>
      </c>
      <c r="F3936" s="43" t="s">
        <v>27905</v>
      </c>
      <c r="G3936" s="43" t="s">
        <v>27906</v>
      </c>
      <c r="H3936" s="51" t="s">
        <v>26</v>
      </c>
      <c r="I3936" s="15" t="str">
        <f>IFERROR(__xludf.DUMMYFUNCTION("GOOGLETRANSLATE(H3936,""EN"",""ES"")"),"Otro")</f>
        <v>Otro</v>
      </c>
      <c r="J3936" s="16" t="s">
        <v>27</v>
      </c>
      <c r="K3936" s="17">
        <v>0.0</v>
      </c>
      <c r="L3936" s="45"/>
      <c r="M3936" s="18"/>
      <c r="N3936" s="94"/>
      <c r="O3936" s="94"/>
      <c r="P3936" s="20">
        <v>0.0</v>
      </c>
      <c r="Q3936" s="18"/>
      <c r="R3936" s="18"/>
      <c r="S3936" s="52"/>
      <c r="T3936" s="22"/>
    </row>
    <row r="3937">
      <c r="A3937" s="23" t="s">
        <v>27907</v>
      </c>
      <c r="B3937" s="77" t="s">
        <v>3067</v>
      </c>
      <c r="C3937" s="41">
        <v>45589.0</v>
      </c>
      <c r="D3937" s="40" t="s">
        <v>27908</v>
      </c>
      <c r="E3937" s="41" t="s">
        <v>27909</v>
      </c>
      <c r="F3937" s="43" t="s">
        <v>27910</v>
      </c>
      <c r="G3937" s="43" t="s">
        <v>27911</v>
      </c>
      <c r="H3937" s="51" t="s">
        <v>25072</v>
      </c>
      <c r="I3937" s="25" t="str">
        <f>IFERROR(__xludf.DUMMYFUNCTION("GOOGLETRANSLATE(H3937,""EN"",""ES"")"),"Petróleo y energía")</f>
        <v>Petróleo y energía</v>
      </c>
      <c r="J3937" s="26" t="s">
        <v>35</v>
      </c>
      <c r="K3937" s="48">
        <v>-0.7</v>
      </c>
      <c r="L3937" s="49" t="s">
        <v>27912</v>
      </c>
      <c r="M3937" s="28" t="s">
        <v>27913</v>
      </c>
      <c r="N3937" s="93" t="s">
        <v>27914</v>
      </c>
      <c r="O3937" s="93" t="str">
        <f>IFERROR(__xludf.DUMMYFUNCTION("GOOGLETRANSLATE(N3937,""EN"",""ES"")"),"Negativo porque indica una fuga de capitales a gran escala y un conflicto político.")</f>
        <v>Negativo porque indica una fuga de capitales a gran escala y un conflicto político.</v>
      </c>
      <c r="P3937" s="30">
        <v>-0.6</v>
      </c>
      <c r="Q3937" s="31" t="str">
        <f>IFERROR(__xludf.DUMMYFUNCTION("GOOGLETRANSLATE(R3937,""ES"",""EN"")"),"threaten, ""stop""")</f>
        <v>threaten, "stop"</v>
      </c>
      <c r="R3937" s="28" t="s">
        <v>27915</v>
      </c>
      <c r="S3937" s="53" t="s">
        <v>27916</v>
      </c>
      <c r="T3937" s="32" t="s">
        <v>27917</v>
      </c>
    </row>
    <row r="3938">
      <c r="A3938" s="33" t="s">
        <v>27918</v>
      </c>
      <c r="B3938" s="76" t="s">
        <v>19194</v>
      </c>
      <c r="C3938" s="41">
        <v>45589.0</v>
      </c>
      <c r="D3938" s="40" t="s">
        <v>27919</v>
      </c>
      <c r="E3938" s="41" t="s">
        <v>27920</v>
      </c>
      <c r="F3938" s="43" t="s">
        <v>27921</v>
      </c>
      <c r="G3938" s="43" t="s">
        <v>27922</v>
      </c>
      <c r="H3938" s="51" t="s">
        <v>25072</v>
      </c>
      <c r="I3938" s="15" t="str">
        <f>IFERROR(__xludf.DUMMYFUNCTION("GOOGLETRANSLATE(H3938,""EN"",""ES"")"),"Petróleo y energía")</f>
        <v>Petróleo y energía</v>
      </c>
      <c r="J3938" s="16" t="s">
        <v>35</v>
      </c>
      <c r="K3938" s="48">
        <v>-0.5</v>
      </c>
      <c r="L3938" s="51" t="s">
        <v>27923</v>
      </c>
      <c r="M3938" s="34" t="s">
        <v>27924</v>
      </c>
      <c r="N3938" s="94" t="s">
        <v>27925</v>
      </c>
      <c r="O3938" s="94" t="str">
        <f>IFERROR(__xludf.DUMMYFUNCTION("GOOGLETRANSLATE(N3938,""EN"",""ES"")"),"Negativo porque sugiere un rendimiento inferior al de sus pares del mercado.")</f>
        <v>Negativo porque sugiere un rendimiento inferior al de sus pares del mercado.</v>
      </c>
      <c r="P3938" s="30">
        <v>-0.3</v>
      </c>
      <c r="Q3938" s="18" t="str">
        <f>IFERROR(__xludf.DUMMYFUNCTION("GOOGLETRANSLATE(R3938,""ES"",""EN"")"),"behind")</f>
        <v>behind</v>
      </c>
      <c r="R3938" s="34" t="s">
        <v>27926</v>
      </c>
      <c r="S3938" s="52" t="s">
        <v>27927</v>
      </c>
      <c r="T3938" s="22" t="s">
        <v>27928</v>
      </c>
    </row>
    <row r="3939">
      <c r="A3939" s="23" t="s">
        <v>27929</v>
      </c>
      <c r="B3939" s="77" t="s">
        <v>163</v>
      </c>
      <c r="C3939" s="41">
        <v>45589.0</v>
      </c>
      <c r="D3939" s="40" t="s">
        <v>27930</v>
      </c>
      <c r="E3939" s="41" t="s">
        <v>27931</v>
      </c>
      <c r="F3939" s="43" t="s">
        <v>27932</v>
      </c>
      <c r="G3939" s="43" t="s">
        <v>27933</v>
      </c>
      <c r="H3939" s="51" t="s">
        <v>26</v>
      </c>
      <c r="I3939" s="25" t="str">
        <f>IFERROR(__xludf.DUMMYFUNCTION("GOOGLETRANSLATE(H3939,""EN"",""ES"")"),"Otro")</f>
        <v>Otro</v>
      </c>
      <c r="J3939" s="26" t="s">
        <v>35</v>
      </c>
      <c r="K3939" s="48">
        <v>0.0</v>
      </c>
      <c r="L3939" s="54"/>
      <c r="M3939" s="31"/>
      <c r="N3939" s="93" t="s">
        <v>27934</v>
      </c>
      <c r="O3939" s="93" t="str">
        <f>IFERROR(__xludf.DUMMYFUNCTION("GOOGLETRANSLATE(N3939,""EN"",""ES"")"),"No relevante para la imagen corporativa de Repsol.")</f>
        <v>No relevante para la imagen corporativa de Repsol.</v>
      </c>
      <c r="P3939" s="30">
        <v>0.0</v>
      </c>
      <c r="Q3939" s="31"/>
      <c r="R3939" s="31"/>
      <c r="S3939" s="53" t="s">
        <v>27935</v>
      </c>
      <c r="T3939" s="32" t="s">
        <v>27936</v>
      </c>
    </row>
    <row r="3940">
      <c r="A3940" s="33" t="s">
        <v>27937</v>
      </c>
      <c r="B3940" s="76" t="s">
        <v>666</v>
      </c>
      <c r="C3940" s="41">
        <v>45589.0</v>
      </c>
      <c r="D3940" s="40" t="s">
        <v>27938</v>
      </c>
      <c r="E3940" s="41" t="s">
        <v>27939</v>
      </c>
      <c r="F3940" s="43" t="s">
        <v>27940</v>
      </c>
      <c r="G3940" s="43" t="s">
        <v>27941</v>
      </c>
      <c r="H3940" s="51" t="s">
        <v>25072</v>
      </c>
      <c r="I3940" s="15" t="str">
        <f>IFERROR(__xludf.DUMMYFUNCTION("GOOGLETRANSLATE(H3940,""EN"",""ES"")"),"Petróleo y energía")</f>
        <v>Petróleo y energía</v>
      </c>
      <c r="J3940" s="16" t="s">
        <v>35</v>
      </c>
      <c r="K3940" s="48">
        <v>-0.6</v>
      </c>
      <c r="L3940" s="51" t="s">
        <v>27942</v>
      </c>
      <c r="M3940" s="34" t="s">
        <v>27943</v>
      </c>
      <c r="N3940" s="94" t="s">
        <v>27944</v>
      </c>
      <c r="O3940" s="94" t="str">
        <f>IFERROR(__xludf.DUMMYFUNCTION("GOOGLETRANSLATE(N3940,""EN"",""ES"")"),"Negativo porque subraya las preocupaciones sobre la estabilidad de la inversión.")</f>
        <v>Negativo porque subraya las preocupaciones sobre la estabilidad de la inversión.</v>
      </c>
      <c r="P3940" s="30">
        <v>-0.4</v>
      </c>
      <c r="Q3940" s="18" t="str">
        <f>IFERROR(__xludf.DUMMYFUNCTION("GOOGLETRANSLATE(R3940,""ES"",""EN"")"),"threat")</f>
        <v>threat</v>
      </c>
      <c r="R3940" s="34" t="s">
        <v>27945</v>
      </c>
      <c r="S3940" s="52" t="s">
        <v>27946</v>
      </c>
      <c r="T3940" s="22" t="s">
        <v>27947</v>
      </c>
    </row>
    <row r="3941">
      <c r="A3941" s="23" t="s">
        <v>27948</v>
      </c>
      <c r="B3941" s="77" t="s">
        <v>11260</v>
      </c>
      <c r="C3941" s="41">
        <v>45589.0</v>
      </c>
      <c r="D3941" s="40" t="s">
        <v>27949</v>
      </c>
      <c r="E3941" s="41" t="s">
        <v>27950</v>
      </c>
      <c r="F3941" s="43" t="s">
        <v>27951</v>
      </c>
      <c r="G3941" s="43" t="s">
        <v>27952</v>
      </c>
      <c r="H3941" s="51" t="s">
        <v>25072</v>
      </c>
      <c r="I3941" s="25" t="str">
        <f>IFERROR(__xludf.DUMMYFUNCTION("GOOGLETRANSLATE(H3941,""EN"",""ES"")"),"Petróleo y energía")</f>
        <v>Petróleo y energía</v>
      </c>
      <c r="J3941" s="26" t="s">
        <v>27</v>
      </c>
      <c r="K3941" s="17">
        <v>0.0</v>
      </c>
      <c r="L3941" s="54"/>
      <c r="M3941" s="31"/>
      <c r="N3941" s="93"/>
      <c r="O3941" s="93"/>
      <c r="P3941" s="20">
        <v>0.0</v>
      </c>
      <c r="Q3941" s="31"/>
      <c r="R3941" s="31"/>
      <c r="S3941" s="53"/>
      <c r="T3941" s="32"/>
    </row>
    <row r="3942">
      <c r="A3942" s="33" t="s">
        <v>27953</v>
      </c>
      <c r="B3942" s="76" t="s">
        <v>8287</v>
      </c>
      <c r="C3942" s="41">
        <v>45589.0</v>
      </c>
      <c r="D3942" s="40" t="s">
        <v>27954</v>
      </c>
      <c r="E3942" s="41" t="s">
        <v>27955</v>
      </c>
      <c r="F3942" s="43" t="s">
        <v>27956</v>
      </c>
      <c r="G3942" s="43" t="s">
        <v>27957</v>
      </c>
      <c r="H3942" s="51" t="s">
        <v>26</v>
      </c>
      <c r="I3942" s="15" t="str">
        <f>IFERROR(__xludf.DUMMYFUNCTION("GOOGLETRANSLATE(H3942,""EN"",""ES"")"),"Otro")</f>
        <v>Otro</v>
      </c>
      <c r="J3942" s="16" t="s">
        <v>27</v>
      </c>
      <c r="K3942" s="17">
        <v>0.0</v>
      </c>
      <c r="L3942" s="45"/>
      <c r="M3942" s="18"/>
      <c r="N3942" s="94"/>
      <c r="O3942" s="94"/>
      <c r="P3942" s="20">
        <v>0.0</v>
      </c>
      <c r="Q3942" s="18"/>
      <c r="R3942" s="18"/>
      <c r="S3942" s="52"/>
      <c r="T3942" s="22"/>
    </row>
    <row r="3943">
      <c r="A3943" s="23" t="s">
        <v>27958</v>
      </c>
      <c r="B3943" s="77" t="s">
        <v>23454</v>
      </c>
      <c r="C3943" s="41">
        <v>45589.0</v>
      </c>
      <c r="D3943" s="40" t="s">
        <v>27959</v>
      </c>
      <c r="E3943" s="41" t="s">
        <v>27960</v>
      </c>
      <c r="F3943" s="43" t="s">
        <v>27961</v>
      </c>
      <c r="G3943" s="43" t="s">
        <v>27962</v>
      </c>
      <c r="H3943" s="51" t="s">
        <v>25072</v>
      </c>
      <c r="I3943" s="25" t="str">
        <f>IFERROR(__xludf.DUMMYFUNCTION("GOOGLETRANSLATE(H3943,""EN"",""ES"")"),"Petróleo y energía")</f>
        <v>Petróleo y energía</v>
      </c>
      <c r="J3943" s="26" t="s">
        <v>35</v>
      </c>
      <c r="K3943" s="48">
        <v>-0.7</v>
      </c>
      <c r="L3943" s="49" t="s">
        <v>27963</v>
      </c>
      <c r="M3943" s="28" t="s">
        <v>27964</v>
      </c>
      <c r="N3943" s="93" t="s">
        <v>27965</v>
      </c>
      <c r="O3943" s="93" t="str">
        <f>IFERROR(__xludf.DUMMYFUNCTION("GOOGLETRANSLATE(N3943,""EN"",""ES"")"),"Negativo debido a proyectos paralizados y crecientes tensiones políticas.")</f>
        <v>Negativo debido a proyectos paralizados y crecientes tensiones políticas.</v>
      </c>
      <c r="P3943" s="30">
        <v>-0.7</v>
      </c>
      <c r="Q3943" s="31" t="str">
        <f>IFERROR(__xludf.DUMMYFUNCTION("GOOGLETRANSLATE(R3943,""ES"",""EN"")"),"paralyzes")</f>
        <v>paralyzes</v>
      </c>
      <c r="R3943" s="28" t="s">
        <v>27236</v>
      </c>
      <c r="S3943" s="53" t="s">
        <v>27966</v>
      </c>
      <c r="T3943" s="32" t="s">
        <v>27967</v>
      </c>
    </row>
    <row r="3944">
      <c r="A3944" s="33" t="s">
        <v>27968</v>
      </c>
      <c r="B3944" s="76" t="s">
        <v>103</v>
      </c>
      <c r="C3944" s="41">
        <v>45589.0</v>
      </c>
      <c r="D3944" s="40" t="s">
        <v>27969</v>
      </c>
      <c r="E3944" s="41" t="s">
        <v>27970</v>
      </c>
      <c r="F3944" s="43" t="s">
        <v>27971</v>
      </c>
      <c r="G3944" s="43" t="s">
        <v>27972</v>
      </c>
      <c r="H3944" s="51" t="s">
        <v>26</v>
      </c>
      <c r="I3944" s="15" t="str">
        <f>IFERROR(__xludf.DUMMYFUNCTION("GOOGLETRANSLATE(H3944,""EN"",""ES"")"),"Otro")</f>
        <v>Otro</v>
      </c>
      <c r="J3944" s="16" t="s">
        <v>27</v>
      </c>
      <c r="K3944" s="17">
        <v>0.0</v>
      </c>
      <c r="L3944" s="45"/>
      <c r="M3944" s="18"/>
      <c r="N3944" s="94"/>
      <c r="O3944" s="94"/>
      <c r="P3944" s="20">
        <v>0.0</v>
      </c>
      <c r="Q3944" s="18"/>
      <c r="R3944" s="18"/>
      <c r="S3944" s="52"/>
      <c r="T3944" s="22"/>
    </row>
    <row r="3945">
      <c r="A3945" s="23" t="s">
        <v>27973</v>
      </c>
      <c r="B3945" s="77" t="s">
        <v>403</v>
      </c>
      <c r="C3945" s="41">
        <v>45589.0</v>
      </c>
      <c r="D3945" s="40" t="s">
        <v>27974</v>
      </c>
      <c r="E3945" s="41" t="s">
        <v>27975</v>
      </c>
      <c r="F3945" s="43" t="s">
        <v>27976</v>
      </c>
      <c r="G3945" s="43" t="s">
        <v>27977</v>
      </c>
      <c r="H3945" s="51" t="s">
        <v>25072</v>
      </c>
      <c r="I3945" s="25" t="str">
        <f>IFERROR(__xludf.DUMMYFUNCTION("GOOGLETRANSLATE(H3945,""EN"",""ES"")"),"Petróleo y energía")</f>
        <v>Petróleo y energía</v>
      </c>
      <c r="J3945" s="26" t="s">
        <v>35</v>
      </c>
      <c r="K3945" s="48">
        <v>-0.5</v>
      </c>
      <c r="L3945" s="49" t="s">
        <v>27978</v>
      </c>
      <c r="M3945" s="28" t="s">
        <v>27979</v>
      </c>
      <c r="N3945" s="93" t="s">
        <v>27980</v>
      </c>
      <c r="O3945" s="93" t="str">
        <f>IFERROR(__xludf.DUMMYFUNCTION("GOOGLETRANSLATE(N3945,""EN"",""ES"")"),"Negativo porque sugiere división entre las empresas energéticas en cuanto a la oposición fiscal.")</f>
        <v>Negativo porque sugiere división entre las empresas energéticas en cuanto a la oposición fiscal.</v>
      </c>
      <c r="P3945" s="30">
        <v>-0.2</v>
      </c>
      <c r="Q3945" s="31" t="str">
        <f>IFERROR(__xludf.DUMMYFUNCTION("GOOGLETRANSLATE(R3945,""ES"",""EN"")"),"uncheck")</f>
        <v>uncheck</v>
      </c>
      <c r="R3945" s="28" t="s">
        <v>27981</v>
      </c>
      <c r="S3945" s="53" t="s">
        <v>27982</v>
      </c>
      <c r="T3945" s="32" t="s">
        <v>27983</v>
      </c>
    </row>
    <row r="3946">
      <c r="A3946" s="33" t="s">
        <v>27984</v>
      </c>
      <c r="B3946" s="76" t="s">
        <v>881</v>
      </c>
      <c r="C3946" s="41">
        <v>45589.0</v>
      </c>
      <c r="D3946" s="40" t="s">
        <v>27985</v>
      </c>
      <c r="E3946" s="41" t="s">
        <v>27986</v>
      </c>
      <c r="F3946" s="43" t="s">
        <v>27987</v>
      </c>
      <c r="G3946" s="43" t="s">
        <v>27988</v>
      </c>
      <c r="H3946" s="51" t="s">
        <v>25072</v>
      </c>
      <c r="I3946" s="15" t="str">
        <f>IFERROR(__xludf.DUMMYFUNCTION("GOOGLETRANSLATE(H3946,""EN"",""ES"")"),"Petróleo y energía")</f>
        <v>Petróleo y energía</v>
      </c>
      <c r="J3946" s="16" t="s">
        <v>35</v>
      </c>
      <c r="K3946" s="48">
        <v>-0.7</v>
      </c>
      <c r="L3946" s="51" t="s">
        <v>27989</v>
      </c>
      <c r="M3946" s="34" t="s">
        <v>27990</v>
      </c>
      <c r="N3946" s="94" t="s">
        <v>27991</v>
      </c>
      <c r="O3946" s="94" t="str">
        <f>IFERROR(__xludf.DUMMYFUNCTION("GOOGLETRANSLATE(N3946,""EN"",""ES"")"),"Negativo porque enmarca el giro inversor de Repsol como una pérdida importante para España.")</f>
        <v>Negativo porque enmarca el giro inversor de Repsol como una pérdida importante para España.</v>
      </c>
      <c r="P3946" s="30">
        <v>-0.8</v>
      </c>
      <c r="Q3946" s="18" t="str">
        <f>IFERROR(__xludf.DUMMYFUNCTION("GOOGLETRANSLATE(R3946,""ES"",""EN"")"),"checkmate")</f>
        <v>checkmate</v>
      </c>
      <c r="R3946" s="34" t="s">
        <v>27992</v>
      </c>
      <c r="S3946" s="52" t="s">
        <v>27993</v>
      </c>
      <c r="T3946" s="22" t="s">
        <v>27994</v>
      </c>
    </row>
    <row r="3947">
      <c r="A3947" s="23" t="s">
        <v>27995</v>
      </c>
      <c r="B3947" s="77" t="s">
        <v>3992</v>
      </c>
      <c r="C3947" s="41">
        <v>45589.0</v>
      </c>
      <c r="D3947" s="40" t="s">
        <v>27996</v>
      </c>
      <c r="E3947" s="41" t="s">
        <v>27997</v>
      </c>
      <c r="F3947" s="43" t="s">
        <v>27998</v>
      </c>
      <c r="G3947" s="43" t="s">
        <v>27999</v>
      </c>
      <c r="H3947" s="51" t="s">
        <v>25072</v>
      </c>
      <c r="I3947" s="25" t="str">
        <f>IFERROR(__xludf.DUMMYFUNCTION("GOOGLETRANSLATE(H3947,""EN"",""ES"")"),"Petróleo y energía")</f>
        <v>Petróleo y energía</v>
      </c>
      <c r="J3947" s="26" t="s">
        <v>35</v>
      </c>
      <c r="K3947" s="48">
        <v>-0.6</v>
      </c>
      <c r="L3947" s="49" t="s">
        <v>28000</v>
      </c>
      <c r="M3947" s="28" t="s">
        <v>28001</v>
      </c>
      <c r="N3947" s="93" t="s">
        <v>28002</v>
      </c>
      <c r="O3947" s="93" t="str">
        <f>IFERROR(__xludf.DUMMYFUNCTION("GOOGLETRANSLATE(N3947,""EN"",""ES"")"),"Negativo porque sugiere tensiones políticas que involucran al liderazgo de Repsol.")</f>
        <v>Negativo porque sugiere tensiones políticas que involucran al liderazgo de Repsol.</v>
      </c>
      <c r="P3947" s="30">
        <v>-0.3</v>
      </c>
      <c r="Q3947" s="31" t="str">
        <f>IFERROR(__xludf.DUMMYFUNCTION("GOOGLETRANSLATE(R3947,""ES"",""EN"")"),"accuse")</f>
        <v>accuse</v>
      </c>
      <c r="R3947" s="28" t="s">
        <v>28003</v>
      </c>
      <c r="S3947" s="53" t="s">
        <v>28004</v>
      </c>
      <c r="T3947" s="32" t="s">
        <v>28005</v>
      </c>
    </row>
    <row r="3948">
      <c r="A3948" s="33" t="s">
        <v>28006</v>
      </c>
      <c r="B3948" s="76" t="s">
        <v>21</v>
      </c>
      <c r="C3948" s="41">
        <v>45589.0</v>
      </c>
      <c r="D3948" s="40" t="s">
        <v>28007</v>
      </c>
      <c r="E3948" s="41" t="s">
        <v>28008</v>
      </c>
      <c r="F3948" s="43" t="s">
        <v>28009</v>
      </c>
      <c r="G3948" s="43" t="s">
        <v>28010</v>
      </c>
      <c r="H3948" s="51" t="s">
        <v>26</v>
      </c>
      <c r="I3948" s="15" t="str">
        <f>IFERROR(__xludf.DUMMYFUNCTION("GOOGLETRANSLATE(H3948,""EN"",""ES"")"),"Otro")</f>
        <v>Otro</v>
      </c>
      <c r="J3948" s="16" t="s">
        <v>27</v>
      </c>
      <c r="K3948" s="17">
        <v>0.0</v>
      </c>
      <c r="L3948" s="45"/>
      <c r="M3948" s="18"/>
      <c r="N3948" s="94"/>
      <c r="O3948" s="94"/>
      <c r="P3948" s="20">
        <v>0.0</v>
      </c>
      <c r="Q3948" s="18"/>
      <c r="R3948" s="18"/>
      <c r="S3948" s="52"/>
      <c r="T3948" s="22"/>
    </row>
    <row r="3949">
      <c r="A3949" s="23" t="s">
        <v>28011</v>
      </c>
      <c r="B3949" s="77" t="s">
        <v>16303</v>
      </c>
      <c r="C3949" s="41">
        <v>45589.0</v>
      </c>
      <c r="D3949" s="40" t="s">
        <v>28012</v>
      </c>
      <c r="E3949" s="41" t="s">
        <v>28013</v>
      </c>
      <c r="F3949" s="43" t="s">
        <v>28014</v>
      </c>
      <c r="G3949" s="43" t="s">
        <v>28015</v>
      </c>
      <c r="H3949" s="51" t="s">
        <v>25072</v>
      </c>
      <c r="I3949" s="25" t="str">
        <f>IFERROR(__xludf.DUMMYFUNCTION("GOOGLETRANSLATE(H3949,""EN"",""ES"")"),"Petróleo y energía")</f>
        <v>Petróleo y energía</v>
      </c>
      <c r="J3949" s="26" t="s">
        <v>35</v>
      </c>
      <c r="K3949" s="48">
        <v>-0.7</v>
      </c>
      <c r="L3949" s="49" t="s">
        <v>28016</v>
      </c>
      <c r="M3949" s="28" t="s">
        <v>28017</v>
      </c>
      <c r="N3949" s="93" t="s">
        <v>28018</v>
      </c>
      <c r="O3949" s="93" t="str">
        <f>IFERROR(__xludf.DUMMYFUNCTION("GOOGLETRANSLATE(N3949,""EN"",""ES"")"),"Negativo ya que pone de relieve las amenazas de retirada de capital debido a los impuestos.")</f>
        <v>Negativo ya que pone de relieve las amenazas de retirada de capital debido a los impuestos.</v>
      </c>
      <c r="P3949" s="30">
        <v>-0.6</v>
      </c>
      <c r="Q3949" s="31" t="str">
        <f>IFERROR(__xludf.DUMMYFUNCTION("GOOGLETRANSLATE(R3949,""ES"",""EN"")"),"threat, ""stop""")</f>
        <v>threat, "stop"</v>
      </c>
      <c r="R3949" s="28" t="s">
        <v>28019</v>
      </c>
      <c r="S3949" s="53" t="s">
        <v>28020</v>
      </c>
      <c r="T3949" s="32" t="s">
        <v>28021</v>
      </c>
    </row>
    <row r="3950">
      <c r="A3950" s="33" t="s">
        <v>28022</v>
      </c>
      <c r="B3950" s="76" t="s">
        <v>28023</v>
      </c>
      <c r="C3950" s="41">
        <v>45589.0</v>
      </c>
      <c r="D3950" s="40" t="s">
        <v>28024</v>
      </c>
      <c r="E3950" s="41" t="s">
        <v>28025</v>
      </c>
      <c r="F3950" s="43" t="s">
        <v>28026</v>
      </c>
      <c r="G3950" s="43" t="s">
        <v>28027</v>
      </c>
      <c r="H3950" s="51" t="s">
        <v>26</v>
      </c>
      <c r="I3950" s="15" t="str">
        <f>IFERROR(__xludf.DUMMYFUNCTION("GOOGLETRANSLATE(H3950,""EN"",""ES"")"),"Otro")</f>
        <v>Otro</v>
      </c>
      <c r="J3950" s="16" t="s">
        <v>35</v>
      </c>
      <c r="K3950" s="48">
        <v>0.0</v>
      </c>
      <c r="L3950" s="45"/>
      <c r="M3950" s="18"/>
      <c r="N3950" s="94" t="s">
        <v>27934</v>
      </c>
      <c r="O3950" s="94" t="str">
        <f>IFERROR(__xludf.DUMMYFUNCTION("GOOGLETRANSLATE(N3950,""EN"",""ES"")"),"No relevante para la imagen corporativa de Repsol.")</f>
        <v>No relevante para la imagen corporativa de Repsol.</v>
      </c>
      <c r="P3950" s="30">
        <v>0.0</v>
      </c>
      <c r="Q3950" s="18"/>
      <c r="R3950" s="18"/>
      <c r="S3950" s="52" t="s">
        <v>12622</v>
      </c>
      <c r="T3950" s="22" t="s">
        <v>12623</v>
      </c>
    </row>
    <row r="3951">
      <c r="A3951" s="23" t="s">
        <v>28028</v>
      </c>
      <c r="B3951" s="77" t="s">
        <v>125</v>
      </c>
      <c r="C3951" s="41">
        <v>45589.0</v>
      </c>
      <c r="D3951" s="40" t="s">
        <v>28029</v>
      </c>
      <c r="E3951" s="41" t="s">
        <v>28030</v>
      </c>
      <c r="F3951" s="43" t="s">
        <v>28031</v>
      </c>
      <c r="G3951" s="43" t="s">
        <v>28032</v>
      </c>
      <c r="H3951" s="51" t="s">
        <v>25072</v>
      </c>
      <c r="I3951" s="25" t="str">
        <f>IFERROR(__xludf.DUMMYFUNCTION("GOOGLETRANSLATE(H3951,""EN"",""ES"")"),"Petróleo y energía")</f>
        <v>Petróleo y energía</v>
      </c>
      <c r="J3951" s="26" t="s">
        <v>35</v>
      </c>
      <c r="K3951" s="48">
        <v>-0.6</v>
      </c>
      <c r="L3951" s="49" t="s">
        <v>28033</v>
      </c>
      <c r="M3951" s="28" t="s">
        <v>28034</v>
      </c>
      <c r="N3951" s="93" t="s">
        <v>28035</v>
      </c>
      <c r="O3951" s="93" t="str">
        <f>IFERROR(__xludf.DUMMYFUNCTION("GOOGLETRANSLATE(N3951,""EN"",""ES"")"),"Negativo ya que vincula a Repsol con disturbios laborales y posibles perturbaciones.")</f>
        <v>Negativo ya que vincula a Repsol con disturbios laborales y posibles perturbaciones.</v>
      </c>
      <c r="P3951" s="30">
        <v>-0.5</v>
      </c>
      <c r="Q3951" s="31" t="str">
        <f>IFERROR(__xludf.DUMMYFUNCTION("GOOGLETRANSLATE(R3951,""ES"",""EN"")"),"strike")</f>
        <v>strike</v>
      </c>
      <c r="R3951" s="28" t="s">
        <v>21133</v>
      </c>
      <c r="S3951" s="53" t="s">
        <v>28036</v>
      </c>
      <c r="T3951" s="32" t="s">
        <v>28037</v>
      </c>
    </row>
    <row r="3952">
      <c r="A3952" s="33" t="s">
        <v>28038</v>
      </c>
      <c r="B3952" s="76" t="s">
        <v>4948</v>
      </c>
      <c r="C3952" s="41">
        <v>45589.0</v>
      </c>
      <c r="D3952" s="40" t="s">
        <v>28039</v>
      </c>
      <c r="E3952" s="41" t="s">
        <v>28040</v>
      </c>
      <c r="F3952" s="43" t="s">
        <v>28041</v>
      </c>
      <c r="G3952" s="43" t="s">
        <v>28042</v>
      </c>
      <c r="H3952" s="51" t="s">
        <v>25072</v>
      </c>
      <c r="I3952" s="15" t="str">
        <f>IFERROR(__xludf.DUMMYFUNCTION("GOOGLETRANSLATE(H3952,""EN"",""ES"")"),"Petróleo y energía")</f>
        <v>Petróleo y energía</v>
      </c>
      <c r="J3952" s="16" t="s">
        <v>35</v>
      </c>
      <c r="K3952" s="48">
        <v>-0.7</v>
      </c>
      <c r="L3952" s="51" t="s">
        <v>28043</v>
      </c>
      <c r="M3952" s="34" t="s">
        <v>28044</v>
      </c>
      <c r="N3952" s="94" t="s">
        <v>28045</v>
      </c>
      <c r="O3952" s="94" t="str">
        <f>IFERROR(__xludf.DUMMYFUNCTION("GOOGLETRANSLATE(N3952,""EN"",""ES"")"),"Negativo porque sugiere luchas financieras y conflictos laborales que afectan la reputación de Repsol.")</f>
        <v>Negativo porque sugiere luchas financieras y conflictos laborales que afectan la reputación de Repsol.</v>
      </c>
      <c r="P3952" s="30">
        <v>-0.6</v>
      </c>
      <c r="Q3952" s="18" t="str">
        <f>IFERROR(__xludf.DUMMYFUNCTION("GOOGLETRANSLATE(R3952,""ES"",""EN"")"),"strike")</f>
        <v>strike</v>
      </c>
      <c r="R3952" s="34" t="s">
        <v>21133</v>
      </c>
      <c r="S3952" s="52" t="s">
        <v>28046</v>
      </c>
      <c r="T3952" s="22" t="s">
        <v>28047</v>
      </c>
    </row>
    <row r="3953">
      <c r="A3953" s="23" t="s">
        <v>28048</v>
      </c>
      <c r="B3953" s="77" t="s">
        <v>1005</v>
      </c>
      <c r="C3953" s="41">
        <v>45589.0</v>
      </c>
      <c r="D3953" s="40" t="s">
        <v>28049</v>
      </c>
      <c r="E3953" s="41" t="s">
        <v>28050</v>
      </c>
      <c r="F3953" s="43" t="s">
        <v>28051</v>
      </c>
      <c r="G3953" s="43" t="s">
        <v>28052</v>
      </c>
      <c r="H3953" s="51" t="s">
        <v>25072</v>
      </c>
      <c r="I3953" s="25" t="str">
        <f>IFERROR(__xludf.DUMMYFUNCTION("GOOGLETRANSLATE(H3953,""EN"",""ES"")"),"Petróleo y energía")</f>
        <v>Petróleo y energía</v>
      </c>
      <c r="J3953" s="26" t="s">
        <v>35</v>
      </c>
      <c r="K3953" s="48">
        <v>-0.6</v>
      </c>
      <c r="L3953" s="49" t="s">
        <v>28053</v>
      </c>
      <c r="M3953" s="28" t="s">
        <v>28054</v>
      </c>
      <c r="N3953" s="93" t="s">
        <v>28055</v>
      </c>
      <c r="O3953" s="93" t="str">
        <f>IFERROR(__xludf.DUMMYFUNCTION("GOOGLETRANSLATE(N3953,""EN"",""ES"")"),"Negativo porque pone de relieve las prolongadas tensiones laborales relacionadas con Repsol.")</f>
        <v>Negativo porque pone de relieve las prolongadas tensiones laborales relacionadas con Repsol.</v>
      </c>
      <c r="P3953" s="30">
        <v>-0.5</v>
      </c>
      <c r="Q3953" s="31" t="str">
        <f>IFERROR(__xludf.DUMMYFUNCTION("GOOGLETRANSLATE(R3953,""ES"",""EN"")"),"strike")</f>
        <v>strike</v>
      </c>
      <c r="R3953" s="28" t="s">
        <v>21133</v>
      </c>
      <c r="S3953" s="53" t="s">
        <v>28056</v>
      </c>
      <c r="T3953" s="32" t="s">
        <v>28057</v>
      </c>
    </row>
    <row r="3954">
      <c r="A3954" s="33" t="s">
        <v>28058</v>
      </c>
      <c r="B3954" s="76" t="s">
        <v>4559</v>
      </c>
      <c r="C3954" s="41">
        <v>45589.0</v>
      </c>
      <c r="D3954" s="40" t="s">
        <v>28059</v>
      </c>
      <c r="E3954" s="41" t="s">
        <v>28060</v>
      </c>
      <c r="F3954" s="43" t="s">
        <v>28061</v>
      </c>
      <c r="G3954" s="43" t="s">
        <v>28062</v>
      </c>
      <c r="H3954" s="51" t="s">
        <v>25072</v>
      </c>
      <c r="I3954" s="15" t="str">
        <f>IFERROR(__xludf.DUMMYFUNCTION("GOOGLETRANSLATE(H3954,""EN"",""ES"")"),"Petróleo y energía")</f>
        <v>Petróleo y energía</v>
      </c>
      <c r="J3954" s="16" t="s">
        <v>35</v>
      </c>
      <c r="K3954" s="48">
        <v>-0.7</v>
      </c>
      <c r="L3954" s="51" t="s">
        <v>28063</v>
      </c>
      <c r="M3954" s="34" t="s">
        <v>28064</v>
      </c>
      <c r="N3954" s="94" t="s">
        <v>28065</v>
      </c>
      <c r="O3954" s="94" t="str">
        <f>IFERROR(__xludf.DUMMYFUNCTION("GOOGLETRANSLATE(N3954,""EN"",""ES"")"),"Negativo ya que enfatiza el malestar laboral y el aumento de las tensiones en las instalaciones de Repsol.")</f>
        <v>Negativo ya que enfatiza el malestar laboral y el aumento de las tensiones en las instalaciones de Repsol.</v>
      </c>
      <c r="P3954" s="30">
        <v>-0.7</v>
      </c>
      <c r="Q3954" s="18" t="str">
        <f>IFERROR(__xludf.DUMMYFUNCTION("GOOGLETRANSLATE(R3954,""ES"",""EN"")"),"tension, ""strike""")</f>
        <v>tension, "strike"</v>
      </c>
      <c r="R3954" s="34" t="s">
        <v>28066</v>
      </c>
      <c r="S3954" s="52" t="s">
        <v>28067</v>
      </c>
      <c r="T3954" s="22" t="s">
        <v>28068</v>
      </c>
    </row>
    <row r="3955">
      <c r="A3955" s="23" t="s">
        <v>28069</v>
      </c>
      <c r="B3955" s="77" t="s">
        <v>3992</v>
      </c>
      <c r="C3955" s="41">
        <v>45589.0</v>
      </c>
      <c r="D3955" s="40" t="s">
        <v>28070</v>
      </c>
      <c r="E3955" s="41" t="s">
        <v>28071</v>
      </c>
      <c r="F3955" s="43" t="s">
        <v>28072</v>
      </c>
      <c r="G3955" s="43" t="s">
        <v>28073</v>
      </c>
      <c r="H3955" s="51" t="s">
        <v>25072</v>
      </c>
      <c r="I3955" s="25" t="str">
        <f>IFERROR(__xludf.DUMMYFUNCTION("GOOGLETRANSLATE(H3955,""EN"",""ES"")"),"Petróleo y energía")</f>
        <v>Petróleo y energía</v>
      </c>
      <c r="J3955" s="26" t="s">
        <v>35</v>
      </c>
      <c r="K3955" s="48">
        <v>-0.7</v>
      </c>
      <c r="L3955" s="49" t="s">
        <v>28074</v>
      </c>
      <c r="M3955" s="28" t="s">
        <v>28075</v>
      </c>
      <c r="N3955" s="93" t="s">
        <v>28076</v>
      </c>
      <c r="O3955" s="93" t="str">
        <f>IFERROR(__xludf.DUMMYFUNCTION("GOOGLETRANSLATE(N3955,""EN"",""ES"")"),"Negativo porque indica incertidumbre financiera y conflictos políticos a gran escala.")</f>
        <v>Negativo porque indica incertidumbre financiera y conflictos políticos a gran escala.</v>
      </c>
      <c r="P3955" s="30">
        <v>-0.6</v>
      </c>
      <c r="Q3955" s="31" t="str">
        <f>IFERROR(__xludf.DUMMYFUNCTION("GOOGLETRANSLATE(R3955,""ES"",""EN"")"),"risk")</f>
        <v>risk</v>
      </c>
      <c r="R3955" s="28" t="s">
        <v>23184</v>
      </c>
      <c r="S3955" s="53" t="s">
        <v>28077</v>
      </c>
      <c r="T3955" s="32" t="s">
        <v>28078</v>
      </c>
    </row>
    <row r="3956">
      <c r="A3956" s="33" t="s">
        <v>28079</v>
      </c>
      <c r="B3956" s="76" t="s">
        <v>881</v>
      </c>
      <c r="C3956" s="41">
        <v>45589.0</v>
      </c>
      <c r="D3956" s="40" t="s">
        <v>28080</v>
      </c>
      <c r="E3956" s="41" t="s">
        <v>28081</v>
      </c>
      <c r="F3956" s="43" t="s">
        <v>28082</v>
      </c>
      <c r="G3956" s="43" t="s">
        <v>28083</v>
      </c>
      <c r="H3956" s="51" t="s">
        <v>25072</v>
      </c>
      <c r="I3956" s="15" t="str">
        <f>IFERROR(__xludf.DUMMYFUNCTION("GOOGLETRANSLATE(H3956,""EN"",""ES"")"),"Petróleo y energía")</f>
        <v>Petróleo y energía</v>
      </c>
      <c r="J3956" s="16" t="s">
        <v>35</v>
      </c>
      <c r="K3956" s="48">
        <v>0.6</v>
      </c>
      <c r="L3956" s="51" t="s">
        <v>28084</v>
      </c>
      <c r="M3956" s="34" t="s">
        <v>28085</v>
      </c>
      <c r="N3956" s="94" t="s">
        <v>28086</v>
      </c>
      <c r="O3956" s="94" t="str">
        <f>IFERROR(__xludf.DUMMYFUNCTION("GOOGLETRANSLATE(N3956,""EN"",""ES"")"),"Positivo porque refuerza el esfuerzo medioambiental de Repsol con el respaldo de la UE.")</f>
        <v>Positivo porque refuerza el esfuerzo medioambiental de Repsol con el respaldo de la UE.</v>
      </c>
      <c r="P3956" s="30">
        <v>0.5</v>
      </c>
      <c r="Q3956" s="18" t="str">
        <f>IFERROR(__xludf.DUMMYFUNCTION("GOOGLETRANSLATE(R3956,""ES"",""EN"")"),"celebrate, ""support""")</f>
        <v>celebrate, "support"</v>
      </c>
      <c r="R3956" s="34" t="s">
        <v>28087</v>
      </c>
      <c r="S3956" s="52" t="s">
        <v>28088</v>
      </c>
      <c r="T3956" s="22" t="s">
        <v>28089</v>
      </c>
    </row>
    <row r="3957">
      <c r="A3957" s="23" t="s">
        <v>28090</v>
      </c>
      <c r="B3957" s="77" t="s">
        <v>558</v>
      </c>
      <c r="C3957" s="41">
        <v>45589.0</v>
      </c>
      <c r="D3957" s="40" t="s">
        <v>28091</v>
      </c>
      <c r="E3957" s="41" t="s">
        <v>28092</v>
      </c>
      <c r="F3957" s="43" t="s">
        <v>28093</v>
      </c>
      <c r="G3957" s="43" t="s">
        <v>28094</v>
      </c>
      <c r="H3957" s="51" t="s">
        <v>26</v>
      </c>
      <c r="I3957" s="25" t="str">
        <f>IFERROR(__xludf.DUMMYFUNCTION("GOOGLETRANSLATE(H3957,""EN"",""ES"")"),"Otro")</f>
        <v>Otro</v>
      </c>
      <c r="J3957" s="26" t="s">
        <v>35</v>
      </c>
      <c r="K3957" s="48">
        <v>0.0</v>
      </c>
      <c r="L3957" s="54"/>
      <c r="M3957" s="31"/>
      <c r="N3957" s="93" t="s">
        <v>28095</v>
      </c>
      <c r="O3957" s="93" t="str">
        <f>IFERROR(__xludf.DUMMYFUNCTION("GOOGLETRANSLATE(N3957,""EN"",""ES"")"),"Las fluctuaciones bursátiles no impactan directamente en la imagen corporativa de Repsol.")</f>
        <v>Las fluctuaciones bursátiles no impactan directamente en la imagen corporativa de Repsol.</v>
      </c>
      <c r="P3957" s="30">
        <v>0.0</v>
      </c>
      <c r="Q3957" s="31"/>
      <c r="R3957" s="31"/>
      <c r="S3957" s="53" t="s">
        <v>28096</v>
      </c>
      <c r="T3957" s="32" t="s">
        <v>28097</v>
      </c>
    </row>
    <row r="3958">
      <c r="A3958" s="33" t="s">
        <v>28098</v>
      </c>
      <c r="B3958" s="76" t="s">
        <v>192</v>
      </c>
      <c r="C3958" s="41">
        <v>45589.0</v>
      </c>
      <c r="D3958" s="40" t="s">
        <v>28099</v>
      </c>
      <c r="E3958" s="41" t="s">
        <v>28100</v>
      </c>
      <c r="F3958" s="43" t="s">
        <v>28101</v>
      </c>
      <c r="G3958" s="43" t="s">
        <v>28102</v>
      </c>
      <c r="H3958" s="51" t="s">
        <v>25072</v>
      </c>
      <c r="I3958" s="15" t="str">
        <f>IFERROR(__xludf.DUMMYFUNCTION("GOOGLETRANSLATE(H3958,""EN"",""ES"")"),"Petróleo y energía")</f>
        <v>Petróleo y energía</v>
      </c>
      <c r="J3958" s="16" t="s">
        <v>35</v>
      </c>
      <c r="K3958" s="48">
        <v>-0.7</v>
      </c>
      <c r="L3958" s="51" t="s">
        <v>28053</v>
      </c>
      <c r="M3958" s="34" t="s">
        <v>28054</v>
      </c>
      <c r="N3958" s="94" t="s">
        <v>28103</v>
      </c>
      <c r="O3958" s="94" t="str">
        <f>IFERROR(__xludf.DUMMYFUNCTION("GOOGLETRANSLATE(N3958,""EN"",""ES"")"),"Negativo ya que pone de relieve la inestabilidad laboral que afecta a la cadena de suministro de Repsol.")</f>
        <v>Negativo ya que pone de relieve la inestabilidad laboral que afecta a la cadena de suministro de Repsol.</v>
      </c>
      <c r="P3958" s="30">
        <v>-0.6</v>
      </c>
      <c r="Q3958" s="18" t="str">
        <f>IFERROR(__xludf.DUMMYFUNCTION("GOOGLETRANSLATE(R3958,""ES"",""EN"")"),"strike")</f>
        <v>strike</v>
      </c>
      <c r="R3958" s="34" t="s">
        <v>21133</v>
      </c>
      <c r="S3958" s="52" t="s">
        <v>28104</v>
      </c>
      <c r="T3958" s="22" t="s">
        <v>28105</v>
      </c>
    </row>
    <row r="3959">
      <c r="A3959" s="23" t="s">
        <v>28106</v>
      </c>
      <c r="B3959" s="77" t="s">
        <v>8072</v>
      </c>
      <c r="C3959" s="41">
        <v>45589.0</v>
      </c>
      <c r="D3959" s="40" t="s">
        <v>28107</v>
      </c>
      <c r="E3959" s="41" t="s">
        <v>28108</v>
      </c>
      <c r="F3959" s="43" t="s">
        <v>28109</v>
      </c>
      <c r="G3959" s="43" t="s">
        <v>28110</v>
      </c>
      <c r="H3959" s="51" t="s">
        <v>25072</v>
      </c>
      <c r="I3959" s="25" t="str">
        <f>IFERROR(__xludf.DUMMYFUNCTION("GOOGLETRANSLATE(H3959,""EN"",""ES"")"),"Petróleo y energía")</f>
        <v>Petróleo y energía</v>
      </c>
      <c r="J3959" s="26" t="s">
        <v>35</v>
      </c>
      <c r="K3959" s="48">
        <v>-0.7</v>
      </c>
      <c r="L3959" s="49" t="s">
        <v>28111</v>
      </c>
      <c r="M3959" s="28" t="s">
        <v>28112</v>
      </c>
      <c r="N3959" s="93" t="s">
        <v>28113</v>
      </c>
      <c r="O3959" s="93" t="str">
        <f>IFERROR(__xludf.DUMMYFUNCTION("GOOGLETRANSLATE(N3959,""EN"",""ES"")"),"Negativo ya que pone de relieve fuertes tensiones políticas entre Repsol y el Gobierno.")</f>
        <v>Negativo ya que pone de relieve fuertes tensiones políticas entre Repsol y el Gobierno.</v>
      </c>
      <c r="P3959" s="30">
        <v>0.0</v>
      </c>
      <c r="Q3959" s="31"/>
      <c r="R3959" s="31"/>
      <c r="S3959" s="53" t="s">
        <v>28114</v>
      </c>
      <c r="T3959" s="32" t="s">
        <v>28115</v>
      </c>
    </row>
    <row r="3960">
      <c r="A3960" s="33" t="s">
        <v>28116</v>
      </c>
      <c r="B3960" s="76" t="s">
        <v>499</v>
      </c>
      <c r="C3960" s="41">
        <v>45589.0</v>
      </c>
      <c r="D3960" s="40" t="s">
        <v>28117</v>
      </c>
      <c r="E3960" s="41" t="s">
        <v>28118</v>
      </c>
      <c r="F3960" s="43" t="s">
        <v>28119</v>
      </c>
      <c r="G3960" s="43" t="s">
        <v>28120</v>
      </c>
      <c r="H3960" s="51" t="s">
        <v>25072</v>
      </c>
      <c r="I3960" s="15" t="str">
        <f>IFERROR(__xludf.DUMMYFUNCTION("GOOGLETRANSLATE(H3960,""EN"",""ES"")"),"Petróleo y energía")</f>
        <v>Petróleo y energía</v>
      </c>
      <c r="J3960" s="16" t="s">
        <v>35</v>
      </c>
      <c r="K3960" s="48">
        <v>-0.5</v>
      </c>
      <c r="L3960" s="51" t="s">
        <v>28121</v>
      </c>
      <c r="M3960" s="34" t="s">
        <v>28122</v>
      </c>
      <c r="N3960" s="94" t="s">
        <v>28123</v>
      </c>
      <c r="O3960" s="94" t="str">
        <f>IFERROR(__xludf.DUMMYFUNCTION("GOOGLETRANSLATE(N3960,""EN"",""ES"")"),"Ligeramente negativo, ya que crea una incertidumbre continua sobre el impacto del impuesto en Repsol.")</f>
        <v>Ligeramente negativo, ya que crea una incertidumbre continua sobre el impacto del impuesto en Repsol.</v>
      </c>
      <c r="P3960" s="30">
        <v>0.2</v>
      </c>
      <c r="Q3960" s="18" t="str">
        <f>IFERROR(__xludf.DUMMYFUNCTION("GOOGLETRANSLATE(R3960,""ES"",""EN"")"),"-")</f>
        <v>-</v>
      </c>
      <c r="R3960" s="34" t="s">
        <v>11852</v>
      </c>
      <c r="S3960" s="52" t="s">
        <v>28124</v>
      </c>
      <c r="T3960" s="22" t="s">
        <v>28125</v>
      </c>
    </row>
    <row r="3961">
      <c r="A3961" s="23" t="s">
        <v>28126</v>
      </c>
      <c r="B3961" s="77" t="s">
        <v>1970</v>
      </c>
      <c r="C3961" s="41">
        <v>45589.0</v>
      </c>
      <c r="D3961" s="40" t="s">
        <v>28127</v>
      </c>
      <c r="E3961" s="41" t="s">
        <v>28128</v>
      </c>
      <c r="F3961" s="43" t="s">
        <v>28129</v>
      </c>
      <c r="G3961" s="43" t="s">
        <v>28130</v>
      </c>
      <c r="H3961" s="51" t="s">
        <v>25072</v>
      </c>
      <c r="I3961" s="25" t="str">
        <f>IFERROR(__xludf.DUMMYFUNCTION("GOOGLETRANSLATE(H3961,""EN"",""ES"")"),"Petróleo y energía")</f>
        <v>Petróleo y energía</v>
      </c>
      <c r="J3961" s="26" t="s">
        <v>35</v>
      </c>
      <c r="K3961" s="48">
        <v>-0.5</v>
      </c>
      <c r="L3961" s="49" t="s">
        <v>28131</v>
      </c>
      <c r="M3961" s="28" t="s">
        <v>28132</v>
      </c>
      <c r="N3961" s="93" t="s">
        <v>28133</v>
      </c>
      <c r="O3961" s="93" t="str">
        <f>IFERROR(__xludf.DUMMYFUNCTION("GOOGLETRANSLATE(N3961,""EN"",""ES"")"),"Ligeramente negativo ya que sugiere inseguridad jurídica en torno al impuesto que afecta a Repsol.")</f>
        <v>Ligeramente negativo ya que sugiere inseguridad jurídica en torno al impuesto que afecta a Repsol.</v>
      </c>
      <c r="P3961" s="30">
        <v>-0.1</v>
      </c>
      <c r="Q3961" s="31" t="str">
        <f>IFERROR(__xludf.DUMMYFUNCTION("GOOGLETRANSLATE(R3961,""ES"",""EN"")"),"-")</f>
        <v>-</v>
      </c>
      <c r="R3961" s="28" t="s">
        <v>11852</v>
      </c>
      <c r="S3961" s="53" t="s">
        <v>28134</v>
      </c>
      <c r="T3961" s="32" t="s">
        <v>28135</v>
      </c>
    </row>
    <row r="3962">
      <c r="A3962" s="33" t="s">
        <v>28136</v>
      </c>
      <c r="B3962" s="76" t="s">
        <v>28137</v>
      </c>
      <c r="C3962" s="41">
        <v>45589.0</v>
      </c>
      <c r="D3962" s="40" t="s">
        <v>28138</v>
      </c>
      <c r="E3962" s="41" t="s">
        <v>28139</v>
      </c>
      <c r="F3962" s="43" t="s">
        <v>28140</v>
      </c>
      <c r="G3962" s="43" t="s">
        <v>28141</v>
      </c>
      <c r="H3962" s="51" t="s">
        <v>25072</v>
      </c>
      <c r="I3962" s="15" t="str">
        <f>IFERROR(__xludf.DUMMYFUNCTION("GOOGLETRANSLATE(H3962,""EN"",""ES"")"),"Petróleo y energía")</f>
        <v>Petróleo y energía</v>
      </c>
      <c r="J3962" s="16" t="s">
        <v>35</v>
      </c>
      <c r="K3962" s="48">
        <v>-0.5</v>
      </c>
      <c r="L3962" s="51" t="s">
        <v>28142</v>
      </c>
      <c r="M3962" s="34" t="s">
        <v>28143</v>
      </c>
      <c r="N3962" s="94" t="s">
        <v>28144</v>
      </c>
      <c r="O3962" s="94" t="str">
        <f>IFERROR(__xludf.DUMMYFUNCTION("GOOGLETRANSLATE(N3962,""EN"",""ES"")"),"Negativo ya que sugiere un menor esfuerzo exploratorio por parte de Repsol.")</f>
        <v>Negativo ya que sugiere un menor esfuerzo exploratorio por parte de Repsol.</v>
      </c>
      <c r="P3962" s="30">
        <v>-0.3</v>
      </c>
      <c r="Q3962" s="18" t="str">
        <f>IFERROR(__xludf.DUMMYFUNCTION("GOOGLETRANSLATE(R3962,""ES"",""EN"")"),"resignation")</f>
        <v>resignation</v>
      </c>
      <c r="R3962" s="34" t="s">
        <v>28145</v>
      </c>
      <c r="S3962" s="52" t="s">
        <v>28146</v>
      </c>
      <c r="T3962" s="22" t="s">
        <v>28147</v>
      </c>
    </row>
    <row r="3963">
      <c r="A3963" s="23" t="s">
        <v>28148</v>
      </c>
      <c r="B3963" s="77" t="s">
        <v>217</v>
      </c>
      <c r="C3963" s="41">
        <v>45590.0</v>
      </c>
      <c r="D3963" s="40" t="s">
        <v>28149</v>
      </c>
      <c r="E3963" s="41" t="s">
        <v>28150</v>
      </c>
      <c r="F3963" s="43" t="s">
        <v>28151</v>
      </c>
      <c r="G3963" s="43" t="s">
        <v>28152</v>
      </c>
      <c r="H3963" s="51" t="s">
        <v>26</v>
      </c>
      <c r="I3963" s="25" t="str">
        <f>IFERROR(__xludf.DUMMYFUNCTION("GOOGLETRANSLATE(H3963,""EN"",""ES"")"),"Otro")</f>
        <v>Otro</v>
      </c>
      <c r="J3963" s="26" t="s">
        <v>27</v>
      </c>
      <c r="K3963" s="17">
        <v>0.0</v>
      </c>
      <c r="L3963" s="54"/>
      <c r="M3963" s="31"/>
      <c r="N3963" s="93"/>
      <c r="O3963" s="93"/>
      <c r="P3963" s="20">
        <v>0.0</v>
      </c>
      <c r="Q3963" s="31"/>
      <c r="R3963" s="31"/>
      <c r="S3963" s="53"/>
      <c r="T3963" s="32"/>
    </row>
    <row r="3964">
      <c r="A3964" s="33" t="s">
        <v>28153</v>
      </c>
      <c r="B3964" s="76" t="s">
        <v>2696</v>
      </c>
      <c r="C3964" s="41">
        <v>45590.0</v>
      </c>
      <c r="D3964" s="40" t="s">
        <v>28154</v>
      </c>
      <c r="E3964" s="41" t="s">
        <v>28155</v>
      </c>
      <c r="F3964" s="43" t="s">
        <v>28156</v>
      </c>
      <c r="G3964" s="43" t="s">
        <v>28157</v>
      </c>
      <c r="H3964" s="51" t="s">
        <v>25072</v>
      </c>
      <c r="I3964" s="15" t="str">
        <f>IFERROR(__xludf.DUMMYFUNCTION("GOOGLETRANSLATE(H3964,""EN"",""ES"")"),"Petróleo y energía")</f>
        <v>Petróleo y energía</v>
      </c>
      <c r="J3964" s="16" t="s">
        <v>35</v>
      </c>
      <c r="K3964" s="48">
        <v>-0.7</v>
      </c>
      <c r="L3964" s="51" t="s">
        <v>28158</v>
      </c>
      <c r="M3964" s="34" t="s">
        <v>28159</v>
      </c>
      <c r="N3964" s="94" t="s">
        <v>28160</v>
      </c>
      <c r="O3964" s="94" t="str">
        <f>IFERROR(__xludf.DUMMYFUNCTION("GOOGLETRANSLATE(N3964,""EN"",""ES"")"),"Negativo ya que refuerza las preocupaciones sobre la fuga de capitales de España.")</f>
        <v>Negativo ya que refuerza las preocupaciones sobre la fuga de capitales de España.</v>
      </c>
      <c r="P3964" s="30">
        <v>-0.5</v>
      </c>
      <c r="Q3964" s="18" t="str">
        <f>IFERROR(__xludf.DUMMYFUNCTION("GOOGLETRANSLATE(R3964,""ES"",""EN"")"),"standby")</f>
        <v>standby</v>
      </c>
      <c r="R3964" s="34" t="s">
        <v>27060</v>
      </c>
      <c r="S3964" s="52" t="s">
        <v>28161</v>
      </c>
      <c r="T3964" s="22" t="s">
        <v>28162</v>
      </c>
    </row>
    <row r="3965">
      <c r="A3965" s="23" t="s">
        <v>28163</v>
      </c>
      <c r="B3965" s="77" t="s">
        <v>103</v>
      </c>
      <c r="C3965" s="41">
        <v>45590.0</v>
      </c>
      <c r="D3965" s="40" t="s">
        <v>28164</v>
      </c>
      <c r="E3965" s="41" t="s">
        <v>28165</v>
      </c>
      <c r="F3965" s="43" t="s">
        <v>28166</v>
      </c>
      <c r="G3965" s="43" t="s">
        <v>28167</v>
      </c>
      <c r="H3965" s="51" t="s">
        <v>25072</v>
      </c>
      <c r="I3965" s="25" t="str">
        <f>IFERROR(__xludf.DUMMYFUNCTION("GOOGLETRANSLATE(H3965,""EN"",""ES"")"),"Petróleo y energía")</f>
        <v>Petróleo y energía</v>
      </c>
      <c r="J3965" s="26" t="s">
        <v>35</v>
      </c>
      <c r="K3965" s="48">
        <v>-0.7</v>
      </c>
      <c r="L3965" s="49" t="s">
        <v>28168</v>
      </c>
      <c r="M3965" s="28" t="s">
        <v>28169</v>
      </c>
      <c r="N3965" s="93" t="s">
        <v>28170</v>
      </c>
      <c r="O3965" s="93" t="str">
        <f>IFERROR(__xludf.DUMMYFUNCTION("GOOGLETRANSLATE(N3965,""EN"",""ES"")"),"Negativo porque cuestiona el compromiso de Repsol con proyectos verdes en medio de disputas fiscales.")</f>
        <v>Negativo porque cuestiona el compromiso de Repsol con proyectos verdes en medio de disputas fiscales.</v>
      </c>
      <c r="P3965" s="30">
        <v>-0.3</v>
      </c>
      <c r="Q3965" s="31" t="str">
        <f>IFERROR(__xludf.DUMMYFUNCTION("GOOGLETRANSLATE(R3965,""ES"",""EN"")"),"threats")</f>
        <v>threats</v>
      </c>
      <c r="R3965" s="28" t="s">
        <v>28171</v>
      </c>
      <c r="S3965" s="53" t="s">
        <v>28172</v>
      </c>
      <c r="T3965" s="32" t="s">
        <v>28173</v>
      </c>
    </row>
    <row r="3966">
      <c r="A3966" s="33" t="s">
        <v>28174</v>
      </c>
      <c r="B3966" s="76" t="s">
        <v>1993</v>
      </c>
      <c r="C3966" s="41">
        <v>45590.0</v>
      </c>
      <c r="D3966" s="40" t="s">
        <v>28175</v>
      </c>
      <c r="E3966" s="41" t="s">
        <v>28176</v>
      </c>
      <c r="F3966" s="43" t="s">
        <v>28177</v>
      </c>
      <c r="G3966" s="43" t="s">
        <v>28178</v>
      </c>
      <c r="H3966" s="51" t="s">
        <v>25072</v>
      </c>
      <c r="I3966" s="15" t="str">
        <f>IFERROR(__xludf.DUMMYFUNCTION("GOOGLETRANSLATE(H3966,""EN"",""ES"")"),"Petróleo y energía")</f>
        <v>Petróleo y energía</v>
      </c>
      <c r="J3966" s="16" t="s">
        <v>35</v>
      </c>
      <c r="K3966" s="48">
        <v>-0.7</v>
      </c>
      <c r="L3966" s="51" t="s">
        <v>28179</v>
      </c>
      <c r="M3966" s="34" t="s">
        <v>28180</v>
      </c>
      <c r="N3966" s="94" t="s">
        <v>28181</v>
      </c>
      <c r="O3966" s="94" t="str">
        <f>IFERROR(__xludf.DUMMYFUNCTION("GOOGLETRANSLATE(N3966,""EN"",""ES"")"),"Negativo porque enfatiza el riesgo de inversión a gran escala debido a los impuestos.")</f>
        <v>Negativo porque enfatiza el riesgo de inversión a gran escala debido a los impuestos.</v>
      </c>
      <c r="P3966" s="30">
        <v>-0.6</v>
      </c>
      <c r="Q3966" s="18" t="str">
        <f>IFERROR(__xludf.DUMMYFUNCTION("GOOGLETRANSLATE(R3966,""ES"",""EN"")"),"threat")</f>
        <v>threat</v>
      </c>
      <c r="R3966" s="34" t="s">
        <v>27945</v>
      </c>
      <c r="S3966" s="52" t="s">
        <v>28182</v>
      </c>
      <c r="T3966" s="22" t="s">
        <v>28183</v>
      </c>
    </row>
    <row r="3967">
      <c r="A3967" s="23" t="s">
        <v>28184</v>
      </c>
      <c r="B3967" s="77" t="s">
        <v>91</v>
      </c>
      <c r="C3967" s="41">
        <v>45590.0</v>
      </c>
      <c r="D3967" s="40" t="s">
        <v>28185</v>
      </c>
      <c r="E3967" s="41" t="s">
        <v>28186</v>
      </c>
      <c r="F3967" s="43" t="s">
        <v>28187</v>
      </c>
      <c r="G3967" s="43" t="s">
        <v>28188</v>
      </c>
      <c r="H3967" s="51" t="s">
        <v>25072</v>
      </c>
      <c r="I3967" s="25" t="str">
        <f>IFERROR(__xludf.DUMMYFUNCTION("GOOGLETRANSLATE(H3967,""EN"",""ES"")"),"Petróleo y energía")</f>
        <v>Petróleo y energía</v>
      </c>
      <c r="J3967" s="26" t="s">
        <v>35</v>
      </c>
      <c r="K3967" s="48">
        <v>-0.7</v>
      </c>
      <c r="L3967" s="49" t="s">
        <v>28189</v>
      </c>
      <c r="M3967" s="28" t="s">
        <v>28190</v>
      </c>
      <c r="N3967" s="93" t="s">
        <v>28191</v>
      </c>
      <c r="O3967" s="93" t="str">
        <f>IFERROR(__xludf.DUMMYFUNCTION("GOOGLETRANSLATE(N3967,""EN"",""ES"")"),"Negativo porque indica un mayor debilitamiento de la confianza inversora.")</f>
        <v>Negativo porque indica un mayor debilitamiento de la confianza inversora.</v>
      </c>
      <c r="P3967" s="30">
        <v>-0.6</v>
      </c>
      <c r="Q3967" s="31" t="str">
        <f>IFERROR(__xludf.DUMMYFUNCTION("GOOGLETRANSLATE(R3967,""ES"",""EN"")"),"threat")</f>
        <v>threat</v>
      </c>
      <c r="R3967" s="28" t="s">
        <v>27945</v>
      </c>
      <c r="S3967" s="53" t="s">
        <v>28192</v>
      </c>
      <c r="T3967" s="32" t="s">
        <v>28193</v>
      </c>
    </row>
    <row r="3968">
      <c r="A3968" s="33" t="s">
        <v>28194</v>
      </c>
      <c r="B3968" s="76" t="s">
        <v>5959</v>
      </c>
      <c r="C3968" s="41">
        <v>45590.0</v>
      </c>
      <c r="D3968" s="40" t="s">
        <v>28195</v>
      </c>
      <c r="E3968" s="41" t="s">
        <v>28196</v>
      </c>
      <c r="F3968" s="43" t="s">
        <v>28197</v>
      </c>
      <c r="G3968" s="43" t="s">
        <v>28198</v>
      </c>
      <c r="H3968" s="51" t="s">
        <v>25072</v>
      </c>
      <c r="I3968" s="15" t="str">
        <f>IFERROR(__xludf.DUMMYFUNCTION("GOOGLETRANSLATE(H3968,""EN"",""ES"")"),"Petróleo y energía")</f>
        <v>Petróleo y energía</v>
      </c>
      <c r="J3968" s="16" t="s">
        <v>35</v>
      </c>
      <c r="K3968" s="48">
        <v>-0.7</v>
      </c>
      <c r="L3968" s="51" t="s">
        <v>28199</v>
      </c>
      <c r="M3968" s="34" t="s">
        <v>28200</v>
      </c>
      <c r="N3968" s="94" t="s">
        <v>28201</v>
      </c>
      <c r="O3968" s="94" t="str">
        <f>IFERROR(__xludf.DUMMYFUNCTION("GOOGLETRANSLATE(N3968,""EN"",""ES"")"),"Negativo porque sugiere un posible estancamiento de los proyectos verdes debido a disputas fiscales.")</f>
        <v>Negativo porque sugiere un posible estancamiento de los proyectos verdes debido a disputas fiscales.</v>
      </c>
      <c r="P3968" s="30">
        <v>-0.5</v>
      </c>
      <c r="Q3968" s="18" t="str">
        <f>IFERROR(__xludf.DUMMYFUNCTION("GOOGLETRANSLATE(R3968,""ES"",""EN"")"),"freeze")</f>
        <v>freeze</v>
      </c>
      <c r="R3968" s="34" t="s">
        <v>28202</v>
      </c>
      <c r="S3968" s="52" t="s">
        <v>28203</v>
      </c>
      <c r="T3968" s="22" t="s">
        <v>28204</v>
      </c>
    </row>
    <row r="3969">
      <c r="A3969" s="23" t="s">
        <v>28205</v>
      </c>
      <c r="B3969" s="77" t="s">
        <v>28206</v>
      </c>
      <c r="C3969" s="41">
        <v>45590.0</v>
      </c>
      <c r="D3969" s="40" t="s">
        <v>28207</v>
      </c>
      <c r="E3969" s="41" t="s">
        <v>28208</v>
      </c>
      <c r="F3969" s="43" t="s">
        <v>28209</v>
      </c>
      <c r="G3969" s="43" t="s">
        <v>28210</v>
      </c>
      <c r="H3969" s="51" t="s">
        <v>25072</v>
      </c>
      <c r="I3969" s="25" t="str">
        <f>IFERROR(__xludf.DUMMYFUNCTION("GOOGLETRANSLATE(H3969,""EN"",""ES"")"),"Petróleo y energía")</f>
        <v>Petróleo y energía</v>
      </c>
      <c r="J3969" s="26" t="s">
        <v>35</v>
      </c>
      <c r="K3969" s="48">
        <v>-0.7</v>
      </c>
      <c r="L3969" s="49" t="s">
        <v>28211</v>
      </c>
      <c r="M3969" s="28" t="s">
        <v>28212</v>
      </c>
      <c r="N3969" s="93" t="s">
        <v>28213</v>
      </c>
      <c r="O3969" s="93" t="str">
        <f>IFERROR(__xludf.DUMMYFUNCTION("GOOGLETRANSLATE(N3969,""EN"",""ES"")"),"Negativo porque pone de relieve la resistencia de toda la industria al plan fiscal del gobierno.")</f>
        <v>Negativo porque pone de relieve la resistencia de toda la industria al plan fiscal del gobierno.</v>
      </c>
      <c r="P3969" s="30">
        <v>-0.4</v>
      </c>
      <c r="Q3969" s="31" t="str">
        <f>IFERROR(__xludf.DUMMYFUNCTION("GOOGLETRANSLATE(R3969,""ES"",""EN"")"),"against")</f>
        <v>against</v>
      </c>
      <c r="R3969" s="28" t="s">
        <v>28214</v>
      </c>
      <c r="S3969" s="53" t="s">
        <v>28215</v>
      </c>
      <c r="T3969" s="32" t="s">
        <v>28216</v>
      </c>
    </row>
    <row r="3970">
      <c r="A3970" s="33" t="s">
        <v>28217</v>
      </c>
      <c r="B3970" s="76" t="s">
        <v>4450</v>
      </c>
      <c r="C3970" s="41">
        <v>45590.0</v>
      </c>
      <c r="D3970" s="40" t="s">
        <v>28218</v>
      </c>
      <c r="E3970" s="41" t="s">
        <v>28219</v>
      </c>
      <c r="F3970" s="43" t="s">
        <v>28220</v>
      </c>
      <c r="G3970" s="43" t="s">
        <v>28221</v>
      </c>
      <c r="H3970" s="51" t="s">
        <v>25072</v>
      </c>
      <c r="I3970" s="15" t="str">
        <f>IFERROR(__xludf.DUMMYFUNCTION("GOOGLETRANSLATE(H3970,""EN"",""ES"")"),"Petróleo y energía")</f>
        <v>Petróleo y energía</v>
      </c>
      <c r="J3970" s="16" t="s">
        <v>35</v>
      </c>
      <c r="K3970" s="48">
        <v>-0.7</v>
      </c>
      <c r="L3970" s="51" t="s">
        <v>28222</v>
      </c>
      <c r="M3970" s="34" t="s">
        <v>28223</v>
      </c>
      <c r="N3970" s="94" t="s">
        <v>28224</v>
      </c>
      <c r="O3970" s="94" t="str">
        <f>IFERROR(__xludf.DUMMYFUNCTION("GOOGLETRANSLATE(N3970,""EN"",""ES"")"),"Negativo ya que pone de relieve los conflictos legales y laborales que afectan a Repsol.")</f>
        <v>Negativo ya que pone de relieve los conflictos legales y laborales que afectan a Repsol.</v>
      </c>
      <c r="P3970" s="30">
        <v>-0.5</v>
      </c>
      <c r="Q3970" s="18" t="str">
        <f>IFERROR(__xludf.DUMMYFUNCTION("GOOGLETRANSLATE(R3970,""ES"",""EN"")"),"strike")</f>
        <v>strike</v>
      </c>
      <c r="R3970" s="34" t="s">
        <v>21133</v>
      </c>
      <c r="S3970" s="52" t="s">
        <v>28225</v>
      </c>
      <c r="T3970" s="22" t="s">
        <v>28226</v>
      </c>
    </row>
    <row r="3971">
      <c r="A3971" s="23" t="s">
        <v>28227</v>
      </c>
      <c r="B3971" s="77" t="s">
        <v>1005</v>
      </c>
      <c r="C3971" s="41">
        <v>45590.0</v>
      </c>
      <c r="D3971" s="40" t="s">
        <v>28228</v>
      </c>
      <c r="E3971" s="41" t="s">
        <v>28229</v>
      </c>
      <c r="F3971" s="43" t="s">
        <v>28230</v>
      </c>
      <c r="G3971" s="43" t="s">
        <v>28231</v>
      </c>
      <c r="H3971" s="51" t="s">
        <v>25072</v>
      </c>
      <c r="I3971" s="25" t="str">
        <f>IFERROR(__xludf.DUMMYFUNCTION("GOOGLETRANSLATE(H3971,""EN"",""ES"")"),"Petróleo y energía")</f>
        <v>Petróleo y energía</v>
      </c>
      <c r="J3971" s="26" t="s">
        <v>35</v>
      </c>
      <c r="K3971" s="48">
        <v>-0.7</v>
      </c>
      <c r="L3971" s="49" t="s">
        <v>28232</v>
      </c>
      <c r="M3971" s="28" t="s">
        <v>28233</v>
      </c>
      <c r="N3971" s="93" t="s">
        <v>28234</v>
      </c>
      <c r="O3971" s="93" t="str">
        <f>IFERROR(__xludf.DUMMYFUNCTION("GOOGLETRANSLATE(N3971,""EN"",""ES"")"),"Negativo debido a los continuos disturbios laborales que afectan las operaciones de Repsol.")</f>
        <v>Negativo debido a los continuos disturbios laborales que afectan las operaciones de Repsol.</v>
      </c>
      <c r="P3971" s="30">
        <v>-0.5</v>
      </c>
      <c r="Q3971" s="31" t="str">
        <f>IFERROR(__xludf.DUMMYFUNCTION("GOOGLETRANSLATE(R3971,""ES"",""EN"")"),"strike")</f>
        <v>strike</v>
      </c>
      <c r="R3971" s="28" t="s">
        <v>21133</v>
      </c>
      <c r="S3971" s="53" t="s">
        <v>28235</v>
      </c>
      <c r="T3971" s="32" t="s">
        <v>28236</v>
      </c>
    </row>
    <row r="3972">
      <c r="A3972" s="33" t="s">
        <v>28237</v>
      </c>
      <c r="B3972" s="76" t="s">
        <v>28238</v>
      </c>
      <c r="C3972" s="41">
        <v>45590.0</v>
      </c>
      <c r="D3972" s="40" t="s">
        <v>28239</v>
      </c>
      <c r="E3972" s="41" t="s">
        <v>28240</v>
      </c>
      <c r="F3972" s="43" t="s">
        <v>28241</v>
      </c>
      <c r="G3972" s="43" t="s">
        <v>28242</v>
      </c>
      <c r="H3972" s="51" t="s">
        <v>26</v>
      </c>
      <c r="I3972" s="15" t="str">
        <f>IFERROR(__xludf.DUMMYFUNCTION("GOOGLETRANSLATE(H3972,""EN"",""ES"")"),"Otro")</f>
        <v>Otro</v>
      </c>
      <c r="J3972" s="16" t="s">
        <v>27</v>
      </c>
      <c r="K3972" s="17">
        <v>0.0</v>
      </c>
      <c r="L3972" s="45"/>
      <c r="M3972" s="18"/>
      <c r="N3972" s="94"/>
      <c r="O3972" s="94"/>
      <c r="P3972" s="20">
        <v>0.0</v>
      </c>
      <c r="Q3972" s="18"/>
      <c r="R3972" s="18"/>
      <c r="S3972" s="52"/>
      <c r="T3972" s="22"/>
    </row>
    <row r="3973">
      <c r="A3973" s="23" t="s">
        <v>28243</v>
      </c>
      <c r="B3973" s="77" t="s">
        <v>21</v>
      </c>
      <c r="C3973" s="41">
        <v>45590.0</v>
      </c>
      <c r="D3973" s="40" t="s">
        <v>28244</v>
      </c>
      <c r="E3973" s="41" t="s">
        <v>28245</v>
      </c>
      <c r="F3973" s="43" t="s">
        <v>28246</v>
      </c>
      <c r="G3973" s="43" t="s">
        <v>28247</v>
      </c>
      <c r="H3973" s="51" t="s">
        <v>26</v>
      </c>
      <c r="I3973" s="25" t="str">
        <f>IFERROR(__xludf.DUMMYFUNCTION("GOOGLETRANSLATE(H3973,""EN"",""ES"")"),"Otro")</f>
        <v>Otro</v>
      </c>
      <c r="J3973" s="26" t="s">
        <v>27</v>
      </c>
      <c r="K3973" s="17">
        <v>0.0</v>
      </c>
      <c r="L3973" s="54"/>
      <c r="M3973" s="31"/>
      <c r="N3973" s="93"/>
      <c r="O3973" s="93"/>
      <c r="P3973" s="20">
        <v>0.0</v>
      </c>
      <c r="Q3973" s="31"/>
      <c r="R3973" s="31"/>
      <c r="S3973" s="53"/>
      <c r="T3973" s="32"/>
    </row>
    <row r="3974">
      <c r="A3974" s="33" t="s">
        <v>28248</v>
      </c>
      <c r="B3974" s="76" t="s">
        <v>431</v>
      </c>
      <c r="C3974" s="41">
        <v>45590.0</v>
      </c>
      <c r="D3974" s="40" t="s">
        <v>28249</v>
      </c>
      <c r="E3974" s="41" t="s">
        <v>28250</v>
      </c>
      <c r="F3974" s="43" t="s">
        <v>28251</v>
      </c>
      <c r="G3974" s="43" t="s">
        <v>28252</v>
      </c>
      <c r="H3974" s="51" t="s">
        <v>148</v>
      </c>
      <c r="I3974" s="15" t="str">
        <f>IFERROR(__xludf.DUMMYFUNCTION("GOOGLETRANSLATE(H3974,""EN"",""ES"")"),"Gastronomía")</f>
        <v>Gastronomía</v>
      </c>
      <c r="J3974" s="16" t="s">
        <v>27</v>
      </c>
      <c r="K3974" s="17">
        <v>0.0</v>
      </c>
      <c r="L3974" s="45"/>
      <c r="M3974" s="18"/>
      <c r="N3974" s="94"/>
      <c r="O3974" s="94"/>
      <c r="P3974" s="20">
        <v>0.0</v>
      </c>
      <c r="Q3974" s="18"/>
      <c r="R3974" s="18"/>
      <c r="S3974" s="52"/>
      <c r="T3974" s="22"/>
    </row>
    <row r="3975">
      <c r="A3975" s="23" t="s">
        <v>28253</v>
      </c>
      <c r="B3975" s="77" t="s">
        <v>1602</v>
      </c>
      <c r="C3975" s="41">
        <v>45590.0</v>
      </c>
      <c r="D3975" s="40" t="s">
        <v>28254</v>
      </c>
      <c r="E3975" s="41" t="s">
        <v>28255</v>
      </c>
      <c r="F3975" s="43" t="s">
        <v>28256</v>
      </c>
      <c r="G3975" s="43" t="s">
        <v>28257</v>
      </c>
      <c r="H3975" s="51" t="s">
        <v>26</v>
      </c>
      <c r="I3975" s="25" t="str">
        <f>IFERROR(__xludf.DUMMYFUNCTION("GOOGLETRANSLATE(H3975,""EN"",""ES"")"),"Otro")</f>
        <v>Otro</v>
      </c>
      <c r="J3975" s="26" t="s">
        <v>35</v>
      </c>
      <c r="K3975" s="48">
        <v>0.0</v>
      </c>
      <c r="L3975" s="54"/>
      <c r="M3975" s="31"/>
      <c r="N3975" s="93" t="s">
        <v>28258</v>
      </c>
      <c r="O3975" s="93" t="str">
        <f>IFERROR(__xludf.DUMMYFUNCTION("GOOGLETRANSLATE(N3975,""EN"",""ES"")"),"El análisis bursátil no impacta directamente en la imagen corporativa de Repsol.")</f>
        <v>El análisis bursátil no impacta directamente en la imagen corporativa de Repsol.</v>
      </c>
      <c r="P3975" s="30">
        <v>0.0</v>
      </c>
      <c r="Q3975" s="31"/>
      <c r="R3975" s="31"/>
      <c r="S3975" s="53" t="s">
        <v>28259</v>
      </c>
      <c r="T3975" s="32" t="s">
        <v>28260</v>
      </c>
    </row>
    <row r="3976">
      <c r="A3976" s="33" t="s">
        <v>28261</v>
      </c>
      <c r="B3976" s="76" t="s">
        <v>8029</v>
      </c>
      <c r="C3976" s="41">
        <v>45590.0</v>
      </c>
      <c r="D3976" s="40" t="s">
        <v>28262</v>
      </c>
      <c r="E3976" s="41" t="s">
        <v>28263</v>
      </c>
      <c r="F3976" s="43" t="s">
        <v>28264</v>
      </c>
      <c r="G3976" s="43" t="s">
        <v>28265</v>
      </c>
      <c r="H3976" s="51" t="s">
        <v>26</v>
      </c>
      <c r="I3976" s="15" t="str">
        <f>IFERROR(__xludf.DUMMYFUNCTION("GOOGLETRANSLATE(H3976,""EN"",""ES"")"),"Otro")</f>
        <v>Otro</v>
      </c>
      <c r="J3976" s="16" t="s">
        <v>35</v>
      </c>
      <c r="K3976" s="48">
        <v>0.0</v>
      </c>
      <c r="L3976" s="45"/>
      <c r="M3976" s="18"/>
      <c r="N3976" s="94" t="s">
        <v>27386</v>
      </c>
      <c r="O3976" s="94" t="str">
        <f>IFERROR(__xludf.DUMMYFUNCTION("GOOGLETRANSLATE(N3976,""EN"",""ES"")"),"Las fluctuaciones de los mercados no impactan directamente en la imagen corporativa de Repsol.")</f>
        <v>Las fluctuaciones de los mercados no impactan directamente en la imagen corporativa de Repsol.</v>
      </c>
      <c r="P3976" s="30">
        <v>0.0</v>
      </c>
      <c r="Q3976" s="18"/>
      <c r="R3976" s="18"/>
      <c r="S3976" s="52" t="s">
        <v>28266</v>
      </c>
      <c r="T3976" s="22" t="s">
        <v>28267</v>
      </c>
    </row>
    <row r="3977">
      <c r="A3977" s="23" t="s">
        <v>28268</v>
      </c>
      <c r="B3977" s="77" t="s">
        <v>163</v>
      </c>
      <c r="C3977" s="41">
        <v>45590.0</v>
      </c>
      <c r="D3977" s="40" t="s">
        <v>28269</v>
      </c>
      <c r="E3977" s="41" t="s">
        <v>28270</v>
      </c>
      <c r="F3977" s="43" t="s">
        <v>28271</v>
      </c>
      <c r="G3977" s="43" t="s">
        <v>28272</v>
      </c>
      <c r="H3977" s="51" t="s">
        <v>55</v>
      </c>
      <c r="I3977" s="25" t="str">
        <f>IFERROR(__xludf.DUMMYFUNCTION("GOOGLETRANSLATE(H3977,""EN"",""ES"")"),"deportes de motor")</f>
        <v>deportes de motor</v>
      </c>
      <c r="J3977" s="26" t="s">
        <v>27</v>
      </c>
      <c r="K3977" s="17">
        <v>0.0</v>
      </c>
      <c r="L3977" s="54"/>
      <c r="M3977" s="31"/>
      <c r="N3977" s="93"/>
      <c r="O3977" s="93"/>
      <c r="P3977" s="20">
        <v>0.0</v>
      </c>
      <c r="Q3977" s="31"/>
      <c r="R3977" s="31"/>
      <c r="S3977" s="53"/>
      <c r="T3977" s="32"/>
    </row>
    <row r="3978">
      <c r="A3978" s="33" t="s">
        <v>28273</v>
      </c>
      <c r="B3978" s="76" t="s">
        <v>2713</v>
      </c>
      <c r="C3978" s="41">
        <v>45590.0</v>
      </c>
      <c r="D3978" s="40" t="s">
        <v>28274</v>
      </c>
      <c r="E3978" s="41" t="s">
        <v>28275</v>
      </c>
      <c r="F3978" s="43" t="s">
        <v>28276</v>
      </c>
      <c r="G3978" s="43" t="s">
        <v>28277</v>
      </c>
      <c r="H3978" s="51" t="s">
        <v>148</v>
      </c>
      <c r="I3978" s="15" t="str">
        <f>IFERROR(__xludf.DUMMYFUNCTION("GOOGLETRANSLATE(H3978,""EN"",""ES"")"),"Gastronomía")</f>
        <v>Gastronomía</v>
      </c>
      <c r="J3978" s="16" t="s">
        <v>27</v>
      </c>
      <c r="K3978" s="17">
        <v>0.0</v>
      </c>
      <c r="L3978" s="45"/>
      <c r="M3978" s="18"/>
      <c r="N3978" s="94"/>
      <c r="O3978" s="94"/>
      <c r="P3978" s="20">
        <v>0.0</v>
      </c>
      <c r="Q3978" s="18"/>
      <c r="R3978" s="18"/>
      <c r="S3978" s="52"/>
      <c r="T3978" s="22"/>
    </row>
    <row r="3979">
      <c r="A3979" s="23" t="s">
        <v>28278</v>
      </c>
      <c r="B3979" s="77" t="s">
        <v>21</v>
      </c>
      <c r="C3979" s="41">
        <v>45590.0</v>
      </c>
      <c r="D3979" s="40" t="s">
        <v>28279</v>
      </c>
      <c r="E3979" s="41" t="s">
        <v>28280</v>
      </c>
      <c r="F3979" s="43" t="s">
        <v>28281</v>
      </c>
      <c r="G3979" s="43" t="s">
        <v>28282</v>
      </c>
      <c r="H3979" s="51" t="s">
        <v>148</v>
      </c>
      <c r="I3979" s="25" t="str">
        <f>IFERROR(__xludf.DUMMYFUNCTION("GOOGLETRANSLATE(H3979,""EN"",""ES"")"),"Gastronomía")</f>
        <v>Gastronomía</v>
      </c>
      <c r="J3979" s="26" t="s">
        <v>27</v>
      </c>
      <c r="K3979" s="17">
        <v>0.0</v>
      </c>
      <c r="L3979" s="54"/>
      <c r="M3979" s="31"/>
      <c r="N3979" s="93"/>
      <c r="O3979" s="93"/>
      <c r="P3979" s="20">
        <v>0.0</v>
      </c>
      <c r="Q3979" s="31"/>
      <c r="R3979" s="31"/>
      <c r="S3979" s="53"/>
      <c r="T3979" s="32"/>
    </row>
    <row r="3980">
      <c r="A3980" s="33" t="s">
        <v>28283</v>
      </c>
      <c r="B3980" s="76" t="s">
        <v>1011</v>
      </c>
      <c r="C3980" s="41">
        <v>45590.0</v>
      </c>
      <c r="D3980" s="40" t="s">
        <v>28284</v>
      </c>
      <c r="E3980" s="41" t="s">
        <v>28285</v>
      </c>
      <c r="F3980" s="43" t="s">
        <v>28286</v>
      </c>
      <c r="G3980" s="43" t="s">
        <v>28287</v>
      </c>
      <c r="H3980" s="51" t="s">
        <v>26</v>
      </c>
      <c r="I3980" s="15" t="str">
        <f>IFERROR(__xludf.DUMMYFUNCTION("GOOGLETRANSLATE(H3980,""EN"",""ES"")"),"Otro")</f>
        <v>Otro</v>
      </c>
      <c r="J3980" s="16" t="s">
        <v>27</v>
      </c>
      <c r="K3980" s="17">
        <v>0.0</v>
      </c>
      <c r="L3980" s="45"/>
      <c r="M3980" s="18"/>
      <c r="N3980" s="94"/>
      <c r="O3980" s="94"/>
      <c r="P3980" s="20">
        <v>0.0</v>
      </c>
      <c r="Q3980" s="18"/>
      <c r="R3980" s="18"/>
      <c r="S3980" s="52"/>
      <c r="T3980" s="22"/>
    </row>
    <row r="3981">
      <c r="A3981" s="23" t="s">
        <v>28288</v>
      </c>
      <c r="B3981" s="77" t="s">
        <v>316</v>
      </c>
      <c r="C3981" s="41">
        <v>45590.0</v>
      </c>
      <c r="D3981" s="40" t="s">
        <v>28289</v>
      </c>
      <c r="E3981" s="41" t="s">
        <v>28290</v>
      </c>
      <c r="F3981" s="43" t="s">
        <v>28291</v>
      </c>
      <c r="G3981" s="43" t="s">
        <v>28292</v>
      </c>
      <c r="H3981" s="51" t="s">
        <v>25072</v>
      </c>
      <c r="I3981" s="25" t="str">
        <f>IFERROR(__xludf.DUMMYFUNCTION("GOOGLETRANSLATE(H3981,""EN"",""ES"")"),"Petróleo y energía")</f>
        <v>Petróleo y energía</v>
      </c>
      <c r="J3981" s="26" t="s">
        <v>27</v>
      </c>
      <c r="K3981" s="17">
        <v>0.0</v>
      </c>
      <c r="L3981" s="54"/>
      <c r="M3981" s="31"/>
      <c r="N3981" s="93"/>
      <c r="O3981" s="93"/>
      <c r="P3981" s="20">
        <v>0.0</v>
      </c>
      <c r="Q3981" s="31"/>
      <c r="R3981" s="31"/>
      <c r="S3981" s="53"/>
      <c r="T3981" s="32"/>
    </row>
    <row r="3982">
      <c r="A3982" s="33" t="s">
        <v>28293</v>
      </c>
      <c r="B3982" s="76" t="s">
        <v>1011</v>
      </c>
      <c r="C3982" s="41">
        <v>45590.0</v>
      </c>
      <c r="D3982" s="40" t="s">
        <v>28294</v>
      </c>
      <c r="E3982" s="41" t="s">
        <v>28295</v>
      </c>
      <c r="F3982" s="43" t="s">
        <v>28296</v>
      </c>
      <c r="G3982" s="43" t="s">
        <v>28297</v>
      </c>
      <c r="H3982" s="51" t="s">
        <v>26</v>
      </c>
      <c r="I3982" s="15" t="str">
        <f>IFERROR(__xludf.DUMMYFUNCTION("GOOGLETRANSLATE(H3982,""EN"",""ES"")"),"Otro")</f>
        <v>Otro</v>
      </c>
      <c r="J3982" s="16" t="s">
        <v>27</v>
      </c>
      <c r="K3982" s="17">
        <v>0.0</v>
      </c>
      <c r="L3982" s="45"/>
      <c r="M3982" s="18"/>
      <c r="N3982" s="94"/>
      <c r="O3982" s="94"/>
      <c r="P3982" s="20">
        <v>0.0</v>
      </c>
      <c r="Q3982" s="18"/>
      <c r="R3982" s="18"/>
      <c r="S3982" s="52"/>
      <c r="T3982" s="22"/>
    </row>
    <row r="3983">
      <c r="A3983" s="23" t="s">
        <v>28298</v>
      </c>
      <c r="B3983" s="77" t="s">
        <v>1602</v>
      </c>
      <c r="C3983" s="41">
        <v>45591.0</v>
      </c>
      <c r="D3983" s="40" t="s">
        <v>28299</v>
      </c>
      <c r="E3983" s="41" t="s">
        <v>28300</v>
      </c>
      <c r="F3983" s="43" t="s">
        <v>28301</v>
      </c>
      <c r="G3983" s="43" t="s">
        <v>28302</v>
      </c>
      <c r="H3983" s="51" t="s">
        <v>26</v>
      </c>
      <c r="I3983" s="25" t="str">
        <f>IFERROR(__xludf.DUMMYFUNCTION("GOOGLETRANSLATE(H3983,""EN"",""ES"")"),"Otro")</f>
        <v>Otro</v>
      </c>
      <c r="J3983" s="26" t="s">
        <v>35</v>
      </c>
      <c r="K3983" s="48">
        <v>0.0</v>
      </c>
      <c r="L3983" s="54"/>
      <c r="M3983" s="31"/>
      <c r="N3983" s="93" t="s">
        <v>28303</v>
      </c>
      <c r="O3983" s="93" t="str">
        <f>IFERROR(__xludf.DUMMYFUNCTION("GOOGLETRANSLATE(N3983,""EN"",""ES"")"),"Los movimientos del mercado no impactan directamente en la imagen corporativa de Repsol.")</f>
        <v>Los movimientos del mercado no impactan directamente en la imagen corporativa de Repsol.</v>
      </c>
      <c r="P3983" s="30">
        <v>0.0</v>
      </c>
      <c r="Q3983" s="31"/>
      <c r="R3983" s="31"/>
      <c r="S3983" s="53" t="s">
        <v>28266</v>
      </c>
      <c r="T3983" s="32" t="s">
        <v>28267</v>
      </c>
    </row>
    <row r="3984">
      <c r="A3984" s="33" t="s">
        <v>28304</v>
      </c>
      <c r="B3984" s="76" t="s">
        <v>4937</v>
      </c>
      <c r="C3984" s="41">
        <v>45591.0</v>
      </c>
      <c r="D3984" s="40" t="s">
        <v>28305</v>
      </c>
      <c r="E3984" s="41" t="s">
        <v>28306</v>
      </c>
      <c r="F3984" s="43" t="s">
        <v>28307</v>
      </c>
      <c r="G3984" s="43" t="s">
        <v>28308</v>
      </c>
      <c r="H3984" s="51" t="s">
        <v>148</v>
      </c>
      <c r="I3984" s="15" t="str">
        <f>IFERROR(__xludf.DUMMYFUNCTION("GOOGLETRANSLATE(H3984,""EN"",""ES"")"),"Gastronomía")</f>
        <v>Gastronomía</v>
      </c>
      <c r="J3984" s="16" t="s">
        <v>27</v>
      </c>
      <c r="K3984" s="17">
        <v>0.0</v>
      </c>
      <c r="L3984" s="45"/>
      <c r="M3984" s="18"/>
      <c r="N3984" s="94"/>
      <c r="O3984" s="94"/>
      <c r="P3984" s="20">
        <v>0.0</v>
      </c>
      <c r="Q3984" s="18"/>
      <c r="R3984" s="18"/>
      <c r="S3984" s="52"/>
      <c r="T3984" s="22"/>
    </row>
    <row r="3985">
      <c r="A3985" s="23" t="s">
        <v>28309</v>
      </c>
      <c r="B3985" s="77" t="s">
        <v>85</v>
      </c>
      <c r="C3985" s="41">
        <v>45591.0</v>
      </c>
      <c r="D3985" s="40" t="s">
        <v>28310</v>
      </c>
      <c r="E3985" s="41" t="s">
        <v>28311</v>
      </c>
      <c r="F3985" s="43" t="s">
        <v>28312</v>
      </c>
      <c r="G3985" s="43" t="s">
        <v>28313</v>
      </c>
      <c r="H3985" s="51" t="s">
        <v>25072</v>
      </c>
      <c r="I3985" s="25" t="str">
        <f>IFERROR(__xludf.DUMMYFUNCTION("GOOGLETRANSLATE(H3985,""EN"",""ES"")"),"Petróleo y energía")</f>
        <v>Petróleo y energía</v>
      </c>
      <c r="J3985" s="26" t="s">
        <v>35</v>
      </c>
      <c r="K3985" s="48">
        <v>0.6</v>
      </c>
      <c r="L3985" s="49" t="s">
        <v>28314</v>
      </c>
      <c r="M3985" s="28" t="s">
        <v>28315</v>
      </c>
      <c r="N3985" s="93" t="s">
        <v>28316</v>
      </c>
      <c r="O3985" s="93" t="str">
        <f>IFERROR(__xludf.DUMMYFUNCTION("GOOGLETRANSLATE(N3985,""EN"",""ES"")"),"Positivo porque pone de relieve la implicación de Repsol en el creciente sector del almacenamiento de energía.")</f>
        <v>Positivo porque pone de relieve la implicación de Repsol en el creciente sector del almacenamiento de energía.</v>
      </c>
      <c r="P3985" s="30">
        <v>0.3</v>
      </c>
      <c r="Q3985" s="31" t="str">
        <f>IFERROR(__xludf.DUMMYFUNCTION("GOOGLETRANSLATE(R3985,""ES"",""EN"")"),"they bet")</f>
        <v>they bet</v>
      </c>
      <c r="R3985" s="28" t="s">
        <v>28317</v>
      </c>
      <c r="S3985" s="53" t="s">
        <v>28318</v>
      </c>
      <c r="T3985" s="32" t="s">
        <v>28319</v>
      </c>
    </row>
    <row r="3986">
      <c r="A3986" s="33" t="s">
        <v>28320</v>
      </c>
      <c r="B3986" s="76" t="s">
        <v>12007</v>
      </c>
      <c r="C3986" s="41">
        <v>45591.0</v>
      </c>
      <c r="D3986" s="40" t="s">
        <v>28321</v>
      </c>
      <c r="E3986" s="41" t="s">
        <v>28322</v>
      </c>
      <c r="F3986" s="43" t="s">
        <v>28323</v>
      </c>
      <c r="G3986" s="43" t="s">
        <v>28324</v>
      </c>
      <c r="H3986" s="51" t="s">
        <v>148</v>
      </c>
      <c r="I3986" s="15" t="str">
        <f>IFERROR(__xludf.DUMMYFUNCTION("GOOGLETRANSLATE(H3986,""EN"",""ES"")"),"Gastronomía")</f>
        <v>Gastronomía</v>
      </c>
      <c r="J3986" s="16" t="s">
        <v>27</v>
      </c>
      <c r="K3986" s="17">
        <v>0.0</v>
      </c>
      <c r="L3986" s="45"/>
      <c r="M3986" s="18"/>
      <c r="N3986" s="94"/>
      <c r="O3986" s="94"/>
      <c r="P3986" s="20">
        <v>0.0</v>
      </c>
      <c r="Q3986" s="18"/>
      <c r="R3986" s="18"/>
      <c r="S3986" s="52"/>
      <c r="T3986" s="22"/>
    </row>
    <row r="3987">
      <c r="A3987" s="23" t="s">
        <v>28325</v>
      </c>
      <c r="B3987" s="77" t="s">
        <v>163</v>
      </c>
      <c r="C3987" s="41">
        <v>45591.0</v>
      </c>
      <c r="D3987" s="40" t="s">
        <v>28326</v>
      </c>
      <c r="E3987" s="41" t="s">
        <v>28327</v>
      </c>
      <c r="F3987" s="43" t="s">
        <v>28328</v>
      </c>
      <c r="G3987" s="43" t="s">
        <v>28329</v>
      </c>
      <c r="H3987" s="51" t="s">
        <v>55</v>
      </c>
      <c r="I3987" s="25" t="str">
        <f>IFERROR(__xludf.DUMMYFUNCTION("GOOGLETRANSLATE(H3987,""EN"",""ES"")"),"deportes de motor")</f>
        <v>deportes de motor</v>
      </c>
      <c r="J3987" s="26" t="s">
        <v>27</v>
      </c>
      <c r="K3987" s="17">
        <v>0.0</v>
      </c>
      <c r="L3987" s="54"/>
      <c r="M3987" s="31"/>
      <c r="N3987" s="93"/>
      <c r="O3987" s="93"/>
      <c r="P3987" s="20">
        <v>0.0</v>
      </c>
      <c r="Q3987" s="31"/>
      <c r="R3987" s="31"/>
      <c r="S3987" s="53"/>
      <c r="T3987" s="32"/>
    </row>
    <row r="3988">
      <c r="A3988" s="33" t="s">
        <v>28330</v>
      </c>
      <c r="B3988" s="76" t="s">
        <v>2498</v>
      </c>
      <c r="C3988" s="41">
        <v>45591.0</v>
      </c>
      <c r="D3988" s="40" t="s">
        <v>28331</v>
      </c>
      <c r="E3988" s="41" t="s">
        <v>28332</v>
      </c>
      <c r="F3988" s="43" t="s">
        <v>28333</v>
      </c>
      <c r="G3988" s="43" t="s">
        <v>28334</v>
      </c>
      <c r="H3988" s="51" t="s">
        <v>26</v>
      </c>
      <c r="I3988" s="15" t="str">
        <f>IFERROR(__xludf.DUMMYFUNCTION("GOOGLETRANSLATE(H3988,""EN"",""ES"")"),"Otro")</f>
        <v>Otro</v>
      </c>
      <c r="J3988" s="16" t="s">
        <v>27</v>
      </c>
      <c r="K3988" s="17">
        <v>0.0</v>
      </c>
      <c r="L3988" s="45"/>
      <c r="M3988" s="18"/>
      <c r="N3988" s="94"/>
      <c r="O3988" s="94"/>
      <c r="P3988" s="20">
        <v>0.0</v>
      </c>
      <c r="Q3988" s="18"/>
      <c r="R3988" s="18"/>
      <c r="S3988" s="52"/>
      <c r="T3988" s="22"/>
    </row>
    <row r="3989">
      <c r="A3989" s="23" t="s">
        <v>28335</v>
      </c>
      <c r="B3989" s="77" t="s">
        <v>1568</v>
      </c>
      <c r="C3989" s="41">
        <v>45591.0</v>
      </c>
      <c r="D3989" s="40" t="s">
        <v>28336</v>
      </c>
      <c r="E3989" s="41" t="s">
        <v>28337</v>
      </c>
      <c r="F3989" s="43" t="s">
        <v>28338</v>
      </c>
      <c r="G3989" s="43" t="s">
        <v>28339</v>
      </c>
      <c r="H3989" s="51" t="s">
        <v>25072</v>
      </c>
      <c r="I3989" s="25" t="str">
        <f>IFERROR(__xludf.DUMMYFUNCTION("GOOGLETRANSLATE(H3989,""EN"",""ES"")"),"Petróleo y energía")</f>
        <v>Petróleo y energía</v>
      </c>
      <c r="J3989" s="26" t="s">
        <v>35</v>
      </c>
      <c r="K3989" s="48">
        <v>-0.6</v>
      </c>
      <c r="L3989" s="49" t="s">
        <v>28340</v>
      </c>
      <c r="M3989" s="28" t="s">
        <v>28341</v>
      </c>
      <c r="N3989" s="93" t="s">
        <v>28342</v>
      </c>
      <c r="O3989" s="93" t="str">
        <f>IFERROR(__xludf.DUMMYFUNCTION("GOOGLETRANSLATE(N3989,""EN"",""ES"")"),"Negativo porque refuerza las tensiones políticas en torno a la fiscalidad y la posición de Repsol.")</f>
        <v>Negativo porque refuerza las tensiones políticas en torno a la fiscalidad y la posición de Repsol.</v>
      </c>
      <c r="P3989" s="30">
        <v>-0.2</v>
      </c>
      <c r="Q3989" s="31" t="str">
        <f>IFERROR(__xludf.DUMMYFUNCTION("GOOGLETRANSLATE(R3989,""ES"",""EN"")"),"-")</f>
        <v>-</v>
      </c>
      <c r="R3989" s="28" t="s">
        <v>11852</v>
      </c>
      <c r="S3989" s="53" t="s">
        <v>28343</v>
      </c>
      <c r="T3989" s="32" t="s">
        <v>28344</v>
      </c>
    </row>
    <row r="3990">
      <c r="A3990" s="33" t="s">
        <v>28345</v>
      </c>
      <c r="B3990" s="76" t="s">
        <v>425</v>
      </c>
      <c r="C3990" s="41">
        <v>45591.0</v>
      </c>
      <c r="D3990" s="40" t="s">
        <v>28346</v>
      </c>
      <c r="E3990" s="41" t="s">
        <v>28346</v>
      </c>
      <c r="F3990" s="43" t="s">
        <v>28347</v>
      </c>
      <c r="G3990" s="43" t="s">
        <v>28347</v>
      </c>
      <c r="H3990" s="51" t="s">
        <v>55</v>
      </c>
      <c r="I3990" s="15" t="str">
        <f>IFERROR(__xludf.DUMMYFUNCTION("GOOGLETRANSLATE(H3990,""EN"",""ES"")"),"deportes de motor")</f>
        <v>deportes de motor</v>
      </c>
      <c r="J3990" s="16" t="s">
        <v>27</v>
      </c>
      <c r="K3990" s="17">
        <v>0.0</v>
      </c>
      <c r="L3990" s="45"/>
      <c r="M3990" s="18"/>
      <c r="N3990" s="94"/>
      <c r="O3990" s="94"/>
      <c r="P3990" s="20">
        <v>0.0</v>
      </c>
      <c r="Q3990" s="18"/>
      <c r="R3990" s="18"/>
      <c r="S3990" s="52"/>
      <c r="T3990" s="22"/>
    </row>
    <row r="3991">
      <c r="A3991" s="23" t="s">
        <v>28348</v>
      </c>
      <c r="B3991" s="77" t="s">
        <v>1011</v>
      </c>
      <c r="C3991" s="41">
        <v>45591.0</v>
      </c>
      <c r="D3991" s="40" t="s">
        <v>28349</v>
      </c>
      <c r="E3991" s="41" t="s">
        <v>28350</v>
      </c>
      <c r="F3991" s="43" t="s">
        <v>28351</v>
      </c>
      <c r="G3991" s="43" t="s">
        <v>28352</v>
      </c>
      <c r="H3991" s="51" t="s">
        <v>26</v>
      </c>
      <c r="I3991" s="25" t="str">
        <f>IFERROR(__xludf.DUMMYFUNCTION("GOOGLETRANSLATE(H3991,""EN"",""ES"")"),"Otro")</f>
        <v>Otro</v>
      </c>
      <c r="J3991" s="26" t="s">
        <v>27</v>
      </c>
      <c r="K3991" s="17">
        <v>0.0</v>
      </c>
      <c r="L3991" s="54"/>
      <c r="M3991" s="31"/>
      <c r="N3991" s="93"/>
      <c r="O3991" s="93"/>
      <c r="P3991" s="20">
        <v>0.0</v>
      </c>
      <c r="Q3991" s="31"/>
      <c r="R3991" s="31"/>
      <c r="S3991" s="53"/>
      <c r="T3991" s="32"/>
    </row>
    <row r="3992">
      <c r="A3992" s="33" t="s">
        <v>28353</v>
      </c>
      <c r="B3992" s="76" t="s">
        <v>1011</v>
      </c>
      <c r="C3992" s="41">
        <v>45591.0</v>
      </c>
      <c r="D3992" s="40" t="s">
        <v>28354</v>
      </c>
      <c r="E3992" s="41" t="s">
        <v>28355</v>
      </c>
      <c r="F3992" s="43" t="s">
        <v>28356</v>
      </c>
      <c r="G3992" s="43" t="s">
        <v>28357</v>
      </c>
      <c r="H3992" s="51" t="s">
        <v>26</v>
      </c>
      <c r="I3992" s="15" t="str">
        <f>IFERROR(__xludf.DUMMYFUNCTION("GOOGLETRANSLATE(H3992,""EN"",""ES"")"),"Otro")</f>
        <v>Otro</v>
      </c>
      <c r="J3992" s="16" t="s">
        <v>27</v>
      </c>
      <c r="K3992" s="17">
        <v>0.0</v>
      </c>
      <c r="L3992" s="45"/>
      <c r="M3992" s="18"/>
      <c r="N3992" s="94"/>
      <c r="O3992" s="94"/>
      <c r="P3992" s="20">
        <v>0.0</v>
      </c>
      <c r="Q3992" s="18"/>
      <c r="R3992" s="18"/>
      <c r="S3992" s="52"/>
      <c r="T3992" s="22"/>
    </row>
    <row r="3993">
      <c r="A3993" s="23" t="s">
        <v>28358</v>
      </c>
      <c r="B3993" s="77" t="s">
        <v>626</v>
      </c>
      <c r="C3993" s="41">
        <v>45592.0</v>
      </c>
      <c r="D3993" s="40" t="s">
        <v>28359</v>
      </c>
      <c r="E3993" s="41" t="s">
        <v>28360</v>
      </c>
      <c r="F3993" s="43" t="s">
        <v>28361</v>
      </c>
      <c r="G3993" s="43" t="s">
        <v>28362</v>
      </c>
      <c r="H3993" s="51" t="s">
        <v>25072</v>
      </c>
      <c r="I3993" s="25" t="str">
        <f>IFERROR(__xludf.DUMMYFUNCTION("GOOGLETRANSLATE(H3993,""EN"",""ES"")"),"Petróleo y energía")</f>
        <v>Petróleo y energía</v>
      </c>
      <c r="J3993" s="26" t="s">
        <v>35</v>
      </c>
      <c r="K3993" s="48">
        <v>-0.7</v>
      </c>
      <c r="L3993" s="49" t="s">
        <v>28363</v>
      </c>
      <c r="M3993" s="28" t="s">
        <v>28364</v>
      </c>
      <c r="N3993" s="93" t="s">
        <v>28365</v>
      </c>
      <c r="O3993" s="93" t="str">
        <f>IFERROR(__xludf.DUMMYFUNCTION("GOOGLETRANSLATE(N3993,""EN"",""ES"")"),"Negativo ya que pone de relieve el desplazamiento de inversiones fuera de España debido a preocupaciones regulatorias.")</f>
        <v>Negativo ya que pone de relieve el desplazamiento de inversiones fuera de España debido a preocupaciones regulatorias.</v>
      </c>
      <c r="P3993" s="30">
        <v>-0.7</v>
      </c>
      <c r="Q3993" s="31" t="str">
        <f>IFERROR(__xludf.DUMMYFUNCTION("GOOGLETRANSLATE(R3993,""ES"",""EN"")"),"taking away")</f>
        <v>taking away</v>
      </c>
      <c r="R3993" s="28" t="s">
        <v>28366</v>
      </c>
      <c r="S3993" s="53" t="s">
        <v>28367</v>
      </c>
      <c r="T3993" s="32" t="s">
        <v>28368</v>
      </c>
    </row>
    <row r="3994">
      <c r="A3994" s="33" t="s">
        <v>28369</v>
      </c>
      <c r="B3994" s="76" t="s">
        <v>1768</v>
      </c>
      <c r="C3994" s="41">
        <v>45592.0</v>
      </c>
      <c r="D3994" s="40" t="s">
        <v>28370</v>
      </c>
      <c r="E3994" s="41" t="s">
        <v>28371</v>
      </c>
      <c r="F3994" s="43" t="s">
        <v>28372</v>
      </c>
      <c r="G3994" s="43" t="s">
        <v>28373</v>
      </c>
      <c r="H3994" s="51" t="s">
        <v>25072</v>
      </c>
      <c r="I3994" s="15" t="str">
        <f>IFERROR(__xludf.DUMMYFUNCTION("GOOGLETRANSLATE(H3994,""EN"",""ES"")"),"Petróleo y energía")</f>
        <v>Petróleo y energía</v>
      </c>
      <c r="J3994" s="16" t="s">
        <v>35</v>
      </c>
      <c r="K3994" s="48">
        <v>-0.5</v>
      </c>
      <c r="L3994" s="51" t="s">
        <v>28374</v>
      </c>
      <c r="M3994" s="34" t="s">
        <v>28375</v>
      </c>
      <c r="N3994" s="94" t="s">
        <v>28376</v>
      </c>
      <c r="O3994" s="94" t="str">
        <f>IFERROR(__xludf.DUMMYFUNCTION("GOOGLETRANSLATE(N3994,""EN"",""ES"")"),"Negativo ya que enfatiza la actual incertidumbre fiscal durante el hito del liderazgo de Repsol.")</f>
        <v>Negativo ya que enfatiza la actual incertidumbre fiscal durante el hito del liderazgo de Repsol.</v>
      </c>
      <c r="P3994" s="30">
        <v>0.1</v>
      </c>
      <c r="Q3994" s="18" t="str">
        <f>IFERROR(__xludf.DUMMYFUNCTION("GOOGLETRANSLATE(R3994,""ES"",""EN"")"),"celebrate")</f>
        <v>celebrate</v>
      </c>
      <c r="R3994" s="34" t="s">
        <v>28377</v>
      </c>
      <c r="S3994" s="52" t="s">
        <v>28378</v>
      </c>
      <c r="T3994" s="22" t="s">
        <v>28379</v>
      </c>
    </row>
    <row r="3995">
      <c r="A3995" s="23" t="s">
        <v>28380</v>
      </c>
      <c r="B3995" s="77" t="s">
        <v>91</v>
      </c>
      <c r="C3995" s="41">
        <v>45592.0</v>
      </c>
      <c r="D3995" s="40" t="s">
        <v>28381</v>
      </c>
      <c r="E3995" s="41" t="s">
        <v>28382</v>
      </c>
      <c r="F3995" s="43" t="s">
        <v>28383</v>
      </c>
      <c r="G3995" s="43" t="s">
        <v>28384</v>
      </c>
      <c r="H3995" s="51" t="s">
        <v>25072</v>
      </c>
      <c r="I3995" s="25" t="str">
        <f>IFERROR(__xludf.DUMMYFUNCTION("GOOGLETRANSLATE(H3995,""EN"",""ES"")"),"Petróleo y energía")</f>
        <v>Petróleo y energía</v>
      </c>
      <c r="J3995" s="26" t="s">
        <v>35</v>
      </c>
      <c r="K3995" s="48">
        <v>-0.6</v>
      </c>
      <c r="L3995" s="49" t="s">
        <v>28385</v>
      </c>
      <c r="M3995" s="28" t="s">
        <v>28386</v>
      </c>
      <c r="N3995" s="93" t="s">
        <v>28387</v>
      </c>
      <c r="O3995" s="93" t="str">
        <f>IFERROR(__xludf.DUMMYFUNCTION("GOOGLETRANSLATE(N3995,""EN"",""ES"")"),"Negativo porque retrata la incertidumbre en el negocio de Repsol con Naturgy.")</f>
        <v>Negativo porque retrata la incertidumbre en el negocio de Repsol con Naturgy.</v>
      </c>
      <c r="P3995" s="30">
        <v>-0.2</v>
      </c>
      <c r="Q3995" s="31" t="str">
        <f>IFERROR(__xludf.DUMMYFUNCTION("GOOGLETRANSLATE(R3995,""ES"",""EN"")"),"-")</f>
        <v>-</v>
      </c>
      <c r="R3995" s="28" t="s">
        <v>11852</v>
      </c>
      <c r="S3995" s="53" t="s">
        <v>28388</v>
      </c>
      <c r="T3995" s="32" t="s">
        <v>28389</v>
      </c>
    </row>
    <row r="3996">
      <c r="A3996" s="33" t="s">
        <v>28390</v>
      </c>
      <c r="B3996" s="76" t="s">
        <v>1072</v>
      </c>
      <c r="C3996" s="41">
        <v>45592.0</v>
      </c>
      <c r="D3996" s="40" t="s">
        <v>28391</v>
      </c>
      <c r="E3996" s="41" t="s">
        <v>28392</v>
      </c>
      <c r="F3996" s="43" t="s">
        <v>28393</v>
      </c>
      <c r="G3996" s="43" t="s">
        <v>28394</v>
      </c>
      <c r="H3996" s="51" t="s">
        <v>25072</v>
      </c>
      <c r="I3996" s="15" t="str">
        <f>IFERROR(__xludf.DUMMYFUNCTION("GOOGLETRANSLATE(H3996,""EN"",""ES"")"),"Petróleo y energía")</f>
        <v>Petróleo y energía</v>
      </c>
      <c r="J3996" s="16" t="s">
        <v>35</v>
      </c>
      <c r="K3996" s="48">
        <v>-0.6</v>
      </c>
      <c r="L3996" s="51" t="s">
        <v>28395</v>
      </c>
      <c r="M3996" s="34" t="s">
        <v>28396</v>
      </c>
      <c r="N3996" s="94" t="s">
        <v>28397</v>
      </c>
      <c r="O3996" s="94" t="str">
        <f>IFERROR(__xludf.DUMMYFUNCTION("GOOGLETRANSLATE(N3996,""EN"",""ES"")"),"Negativo ya que refuerza la presión regulatoria que se mantiene sobre Repsol.")</f>
        <v>Negativo ya que refuerza la presión regulatoria que se mantiene sobre Repsol.</v>
      </c>
      <c r="P3996" s="30">
        <v>0.0</v>
      </c>
      <c r="Q3996" s="18"/>
      <c r="R3996" s="18"/>
      <c r="S3996" s="52" t="s">
        <v>28398</v>
      </c>
      <c r="T3996" s="22" t="s">
        <v>28399</v>
      </c>
    </row>
    <row r="3997">
      <c r="A3997" s="23" t="s">
        <v>28400</v>
      </c>
      <c r="B3997" s="77" t="s">
        <v>1142</v>
      </c>
      <c r="C3997" s="41">
        <v>45592.0</v>
      </c>
      <c r="D3997" s="40" t="s">
        <v>28401</v>
      </c>
      <c r="E3997" s="41" t="s">
        <v>28402</v>
      </c>
      <c r="F3997" s="43" t="s">
        <v>28403</v>
      </c>
      <c r="G3997" s="43" t="s">
        <v>28404</v>
      </c>
      <c r="H3997" s="51" t="s">
        <v>25072</v>
      </c>
      <c r="I3997" s="25" t="str">
        <f>IFERROR(__xludf.DUMMYFUNCTION("GOOGLETRANSLATE(H3997,""EN"",""ES"")"),"Petróleo y energía")</f>
        <v>Petróleo y energía</v>
      </c>
      <c r="J3997" s="26" t="s">
        <v>35</v>
      </c>
      <c r="K3997" s="48">
        <v>-0.6</v>
      </c>
      <c r="L3997" s="49" t="s">
        <v>28405</v>
      </c>
      <c r="M3997" s="28" t="s">
        <v>28406</v>
      </c>
      <c r="N3997" s="93" t="s">
        <v>28407</v>
      </c>
      <c r="O3997" s="93" t="str">
        <f>IFERROR(__xludf.DUMMYFUNCTION("GOOGLETRANSLATE(N3997,""EN"",""ES"")"),"Negativo porque retrata la resistencia de Repsol a los impuestos como debate político.")</f>
        <v>Negativo porque retrata la resistencia de Repsol a los impuestos como debate político.</v>
      </c>
      <c r="P3997" s="30">
        <v>-0.3</v>
      </c>
      <c r="Q3997" s="31" t="str">
        <f>IFERROR(__xludf.DUMMYFUNCTION("GOOGLETRANSLATE(R3997,""ES"",""EN"")"),"-")</f>
        <v>-</v>
      </c>
      <c r="R3997" s="28" t="s">
        <v>11852</v>
      </c>
      <c r="S3997" s="53" t="s">
        <v>28408</v>
      </c>
      <c r="T3997" s="32" t="s">
        <v>28409</v>
      </c>
    </row>
    <row r="3998">
      <c r="A3998" s="33" t="s">
        <v>28410</v>
      </c>
      <c r="B3998" s="76" t="s">
        <v>3992</v>
      </c>
      <c r="C3998" s="41">
        <v>45592.0</v>
      </c>
      <c r="D3998" s="40" t="s">
        <v>28411</v>
      </c>
      <c r="E3998" s="41" t="s">
        <v>28412</v>
      </c>
      <c r="F3998" s="43" t="s">
        <v>28413</v>
      </c>
      <c r="G3998" s="43" t="s">
        <v>28414</v>
      </c>
      <c r="H3998" s="51" t="s">
        <v>25072</v>
      </c>
      <c r="I3998" s="15" t="str">
        <f>IFERROR(__xludf.DUMMYFUNCTION("GOOGLETRANSLATE(H3998,""EN"",""ES"")"),"Petróleo y energía")</f>
        <v>Petróleo y energía</v>
      </c>
      <c r="J3998" s="16" t="s">
        <v>35</v>
      </c>
      <c r="K3998" s="48">
        <v>-0.7</v>
      </c>
      <c r="L3998" s="51" t="s">
        <v>28415</v>
      </c>
      <c r="M3998" s="34" t="s">
        <v>28416</v>
      </c>
      <c r="N3998" s="94" t="s">
        <v>28417</v>
      </c>
      <c r="O3998" s="94" t="str">
        <f>IFERROR(__xludf.DUMMYFUNCTION("GOOGLETRANSLATE(N3998,""EN"",""ES"")"),"Negativo ya que pone de relieve que Portugal atrae inversiones fuera de España debido a sus políticas fiscales.")</f>
        <v>Negativo ya que pone de relieve que Portugal atrae inversiones fuera de España debido a sus políticas fiscales.</v>
      </c>
      <c r="P3998" s="30">
        <v>0.4</v>
      </c>
      <c r="Q3998" s="18" t="str">
        <f>IFERROR(__xludf.DUMMYFUNCTION("GOOGLETRANSLATE(R3998,""ES"",""EN"")"),"clap")</f>
        <v>clap</v>
      </c>
      <c r="R3998" s="34" t="s">
        <v>28418</v>
      </c>
      <c r="S3998" s="52" t="s">
        <v>28419</v>
      </c>
      <c r="T3998" s="22" t="s">
        <v>28420</v>
      </c>
    </row>
    <row r="3999">
      <c r="A3999" s="23" t="s">
        <v>28421</v>
      </c>
      <c r="B3999" s="77" t="s">
        <v>85</v>
      </c>
      <c r="C3999" s="41">
        <v>45592.0</v>
      </c>
      <c r="D3999" s="40" t="s">
        <v>28422</v>
      </c>
      <c r="E3999" s="41" t="s">
        <v>28423</v>
      </c>
      <c r="F3999" s="43" t="s">
        <v>28424</v>
      </c>
      <c r="G3999" s="43" t="s">
        <v>28425</v>
      </c>
      <c r="H3999" s="51" t="s">
        <v>148</v>
      </c>
      <c r="I3999" s="25" t="str">
        <f>IFERROR(__xludf.DUMMYFUNCTION("GOOGLETRANSLATE(H3999,""EN"",""ES"")"),"Gastronomía")</f>
        <v>Gastronomía</v>
      </c>
      <c r="J3999" s="26" t="s">
        <v>27</v>
      </c>
      <c r="K3999" s="17">
        <v>0.0</v>
      </c>
      <c r="L3999" s="54"/>
      <c r="M3999" s="31"/>
      <c r="N3999" s="93"/>
      <c r="O3999" s="93"/>
      <c r="P3999" s="20">
        <v>0.0</v>
      </c>
      <c r="Q3999" s="31"/>
      <c r="R3999" s="31"/>
      <c r="S3999" s="53"/>
      <c r="T3999" s="32"/>
    </row>
    <row r="4000">
      <c r="A4000" s="33" t="s">
        <v>28426</v>
      </c>
      <c r="B4000" s="76" t="s">
        <v>163</v>
      </c>
      <c r="C4000" s="41">
        <v>45592.0</v>
      </c>
      <c r="D4000" s="40" t="s">
        <v>28427</v>
      </c>
      <c r="E4000" s="41" t="s">
        <v>28428</v>
      </c>
      <c r="F4000" s="43" t="s">
        <v>28429</v>
      </c>
      <c r="G4000" s="43" t="s">
        <v>28430</v>
      </c>
      <c r="H4000" s="51" t="s">
        <v>55</v>
      </c>
      <c r="I4000" s="15" t="str">
        <f>IFERROR(__xludf.DUMMYFUNCTION("GOOGLETRANSLATE(H4000,""EN"",""ES"")"),"deportes de motor")</f>
        <v>deportes de motor</v>
      </c>
      <c r="J4000" s="16" t="s">
        <v>27</v>
      </c>
      <c r="K4000" s="17">
        <v>0.0</v>
      </c>
      <c r="L4000" s="45"/>
      <c r="M4000" s="18"/>
      <c r="N4000" s="94"/>
      <c r="O4000" s="94"/>
      <c r="P4000" s="20">
        <v>0.0</v>
      </c>
      <c r="Q4000" s="18"/>
      <c r="R4000" s="18"/>
      <c r="S4000" s="52"/>
      <c r="T4000" s="22"/>
    </row>
    <row r="4001">
      <c r="A4001" s="23" t="s">
        <v>28431</v>
      </c>
      <c r="B4001" s="77" t="s">
        <v>6793</v>
      </c>
      <c r="C4001" s="41">
        <v>45592.0</v>
      </c>
      <c r="D4001" s="40" t="s">
        <v>28432</v>
      </c>
      <c r="E4001" s="41" t="s">
        <v>28433</v>
      </c>
      <c r="F4001" s="43" t="s">
        <v>28434</v>
      </c>
      <c r="G4001" s="43" t="s">
        <v>28435</v>
      </c>
      <c r="H4001" s="51" t="s">
        <v>26</v>
      </c>
      <c r="I4001" s="25" t="str">
        <f>IFERROR(__xludf.DUMMYFUNCTION("GOOGLETRANSLATE(H4001,""EN"",""ES"")"),"Otro")</f>
        <v>Otro</v>
      </c>
      <c r="J4001" s="26" t="s">
        <v>35</v>
      </c>
      <c r="K4001" s="48">
        <v>0.0</v>
      </c>
      <c r="L4001" s="54"/>
      <c r="M4001" s="31"/>
      <c r="N4001" s="93" t="s">
        <v>28436</v>
      </c>
      <c r="O4001" s="93" t="str">
        <f>IFERROR(__xludf.DUMMYFUNCTION("GOOGLETRANSLATE(N4001,""EN"",""ES"")"),"No directamente relacionado con la imagen de Repsol.")</f>
        <v>No directamente relacionado con la imagen de Repsol.</v>
      </c>
      <c r="P4001" s="30">
        <v>0.0</v>
      </c>
      <c r="Q4001" s="31"/>
      <c r="R4001" s="31"/>
      <c r="S4001" s="53" t="s">
        <v>28437</v>
      </c>
      <c r="T4001" s="32" t="s">
        <v>28438</v>
      </c>
    </row>
    <row r="4002">
      <c r="A4002" s="33" t="s">
        <v>28439</v>
      </c>
      <c r="B4002" s="76" t="s">
        <v>28440</v>
      </c>
      <c r="C4002" s="41">
        <v>45592.0</v>
      </c>
      <c r="D4002" s="40" t="s">
        <v>28441</v>
      </c>
      <c r="E4002" s="41" t="s">
        <v>28442</v>
      </c>
      <c r="F4002" s="43" t="s">
        <v>28443</v>
      </c>
      <c r="G4002" s="43" t="s">
        <v>28444</v>
      </c>
      <c r="H4002" s="51" t="s">
        <v>26</v>
      </c>
      <c r="I4002" s="15" t="str">
        <f>IFERROR(__xludf.DUMMYFUNCTION("GOOGLETRANSLATE(H4002,""EN"",""ES"")"),"Otro")</f>
        <v>Otro</v>
      </c>
      <c r="J4002" s="16" t="s">
        <v>35</v>
      </c>
      <c r="K4002" s="48">
        <v>0.0</v>
      </c>
      <c r="L4002" s="45"/>
      <c r="M4002" s="18"/>
      <c r="N4002" s="94" t="s">
        <v>27934</v>
      </c>
      <c r="O4002" s="94" t="str">
        <f>IFERROR(__xludf.DUMMYFUNCTION("GOOGLETRANSLATE(N4002,""EN"",""ES"")"),"No relevante para la imagen corporativa de Repsol.")</f>
        <v>No relevante para la imagen corporativa de Repsol.</v>
      </c>
      <c r="P4002" s="30">
        <v>0.0</v>
      </c>
      <c r="Q4002" s="18"/>
      <c r="R4002" s="18"/>
      <c r="S4002" s="52" t="s">
        <v>28445</v>
      </c>
      <c r="T4002" s="22" t="s">
        <v>28446</v>
      </c>
    </row>
    <row r="4003">
      <c r="A4003" s="23" t="s">
        <v>28447</v>
      </c>
      <c r="B4003" s="77" t="s">
        <v>3490</v>
      </c>
      <c r="C4003" s="41">
        <v>45592.0</v>
      </c>
      <c r="D4003" s="40" t="s">
        <v>28448</v>
      </c>
      <c r="E4003" s="41" t="s">
        <v>28449</v>
      </c>
      <c r="F4003" s="43" t="s">
        <v>28450</v>
      </c>
      <c r="G4003" s="43" t="s">
        <v>28451</v>
      </c>
      <c r="H4003" s="51" t="s">
        <v>25072</v>
      </c>
      <c r="I4003" s="25" t="str">
        <f>IFERROR(__xludf.DUMMYFUNCTION("GOOGLETRANSLATE(H4003,""EN"",""ES"")"),"Petróleo y energía")</f>
        <v>Petróleo y energía</v>
      </c>
      <c r="J4003" s="26" t="s">
        <v>27</v>
      </c>
      <c r="K4003" s="17">
        <v>0.0</v>
      </c>
      <c r="L4003" s="54"/>
      <c r="M4003" s="31"/>
      <c r="N4003" s="93"/>
      <c r="O4003" s="93"/>
      <c r="P4003" s="20">
        <v>0.0</v>
      </c>
      <c r="Q4003" s="31"/>
      <c r="R4003" s="31"/>
      <c r="S4003" s="53"/>
      <c r="T4003" s="32"/>
    </row>
    <row r="4004">
      <c r="A4004" s="33" t="s">
        <v>28452</v>
      </c>
      <c r="B4004" s="76" t="s">
        <v>881</v>
      </c>
      <c r="C4004" s="41">
        <v>45592.0</v>
      </c>
      <c r="D4004" s="40" t="s">
        <v>28453</v>
      </c>
      <c r="E4004" s="41" t="s">
        <v>28454</v>
      </c>
      <c r="F4004" s="43" t="s">
        <v>28455</v>
      </c>
      <c r="G4004" s="43" t="s">
        <v>28456</v>
      </c>
      <c r="H4004" s="51" t="s">
        <v>25072</v>
      </c>
      <c r="I4004" s="15" t="str">
        <f>IFERROR(__xludf.DUMMYFUNCTION("GOOGLETRANSLATE(H4004,""EN"",""ES"")"),"Petróleo y energía")</f>
        <v>Petróleo y energía</v>
      </c>
      <c r="J4004" s="16" t="s">
        <v>27</v>
      </c>
      <c r="K4004" s="17">
        <v>0.0</v>
      </c>
      <c r="L4004" s="45"/>
      <c r="M4004" s="18"/>
      <c r="N4004" s="94"/>
      <c r="O4004" s="94"/>
      <c r="P4004" s="20">
        <v>0.0</v>
      </c>
      <c r="Q4004" s="18"/>
      <c r="R4004" s="18"/>
      <c r="S4004" s="52"/>
      <c r="T4004" s="22"/>
    </row>
    <row r="4005">
      <c r="A4005" s="23" t="s">
        <v>28457</v>
      </c>
      <c r="B4005" s="77" t="s">
        <v>28458</v>
      </c>
      <c r="C4005" s="41">
        <v>45593.0</v>
      </c>
      <c r="D4005" s="40" t="s">
        <v>28459</v>
      </c>
      <c r="E4005" s="41" t="s">
        <v>28460</v>
      </c>
      <c r="F4005" s="43" t="s">
        <v>28461</v>
      </c>
      <c r="G4005" s="43" t="s">
        <v>28462</v>
      </c>
      <c r="H4005" s="51" t="s">
        <v>148</v>
      </c>
      <c r="I4005" s="25" t="str">
        <f>IFERROR(__xludf.DUMMYFUNCTION("GOOGLETRANSLATE(H4005,""EN"",""ES"")"),"Gastronomía")</f>
        <v>Gastronomía</v>
      </c>
      <c r="J4005" s="26" t="s">
        <v>27</v>
      </c>
      <c r="K4005" s="17">
        <v>0.0</v>
      </c>
      <c r="L4005" s="54"/>
      <c r="M4005" s="31"/>
      <c r="N4005" s="93"/>
      <c r="O4005" s="93"/>
      <c r="P4005" s="20">
        <v>0.0</v>
      </c>
      <c r="Q4005" s="31"/>
      <c r="R4005" s="31"/>
      <c r="S4005" s="53"/>
      <c r="T4005" s="32"/>
    </row>
    <row r="4006">
      <c r="A4006" s="33" t="s">
        <v>28463</v>
      </c>
      <c r="B4006" s="76" t="s">
        <v>207</v>
      </c>
      <c r="C4006" s="41">
        <v>45593.0</v>
      </c>
      <c r="D4006" s="40" t="s">
        <v>28464</v>
      </c>
      <c r="E4006" s="41" t="s">
        <v>28465</v>
      </c>
      <c r="F4006" s="43" t="s">
        <v>28466</v>
      </c>
      <c r="G4006" s="43" t="s">
        <v>28467</v>
      </c>
      <c r="H4006" s="51" t="s">
        <v>25072</v>
      </c>
      <c r="I4006" s="15" t="str">
        <f>IFERROR(__xludf.DUMMYFUNCTION("GOOGLETRANSLATE(H4006,""EN"",""ES"")"),"Petróleo y energía")</f>
        <v>Petróleo y energía</v>
      </c>
      <c r="J4006" s="16" t="s">
        <v>35</v>
      </c>
      <c r="K4006" s="48">
        <v>-0.7</v>
      </c>
      <c r="L4006" s="51" t="s">
        <v>28468</v>
      </c>
      <c r="M4006" s="34" t="s">
        <v>28469</v>
      </c>
      <c r="N4006" s="94" t="s">
        <v>28470</v>
      </c>
      <c r="O4006" s="94" t="str">
        <f>IFERROR(__xludf.DUMMYFUNCTION("GOOGLETRANSLATE(N4006,""EN"",""ES"")"),"Negativo ya que enfatiza el rechazo del sector energético a los impuestos.")</f>
        <v>Negativo ya que enfatiza el rechazo del sector energético a los impuestos.</v>
      </c>
      <c r="P4006" s="30">
        <v>-0.4</v>
      </c>
      <c r="Q4006" s="18" t="str">
        <f>IFERROR(__xludf.DUMMYFUNCTION("GOOGLETRANSLATE(R4006,""ES"",""EN"")"),"opposition, ""tax""")</f>
        <v>opposition, "tax"</v>
      </c>
      <c r="R4006" s="34" t="s">
        <v>28471</v>
      </c>
      <c r="S4006" s="52" t="s">
        <v>28472</v>
      </c>
      <c r="T4006" s="22" t="s">
        <v>5459</v>
      </c>
    </row>
    <row r="4007">
      <c r="A4007" s="23" t="s">
        <v>28473</v>
      </c>
      <c r="B4007" s="77" t="s">
        <v>3543</v>
      </c>
      <c r="C4007" s="41">
        <v>45593.0</v>
      </c>
      <c r="D4007" s="40" t="s">
        <v>28474</v>
      </c>
      <c r="E4007" s="41" t="s">
        <v>28475</v>
      </c>
      <c r="F4007" s="43" t="s">
        <v>28476</v>
      </c>
      <c r="G4007" s="43" t="s">
        <v>28477</v>
      </c>
      <c r="H4007" s="51" t="s">
        <v>148</v>
      </c>
      <c r="I4007" s="25" t="str">
        <f>IFERROR(__xludf.DUMMYFUNCTION("GOOGLETRANSLATE(H4007,""EN"",""ES"")"),"Gastronomía")</f>
        <v>Gastronomía</v>
      </c>
      <c r="J4007" s="26" t="s">
        <v>27</v>
      </c>
      <c r="K4007" s="17">
        <v>0.0</v>
      </c>
      <c r="L4007" s="54"/>
      <c r="M4007" s="31"/>
      <c r="N4007" s="93"/>
      <c r="O4007" s="93"/>
      <c r="P4007" s="20">
        <v>0.0</v>
      </c>
      <c r="Q4007" s="31"/>
      <c r="R4007" s="31"/>
      <c r="S4007" s="53"/>
      <c r="T4007" s="32"/>
    </row>
    <row r="4008">
      <c r="A4008" s="33" t="s">
        <v>28478</v>
      </c>
      <c r="B4008" s="76" t="s">
        <v>403</v>
      </c>
      <c r="C4008" s="41">
        <v>45593.0</v>
      </c>
      <c r="D4008" s="40" t="s">
        <v>28479</v>
      </c>
      <c r="E4008" s="41" t="s">
        <v>28480</v>
      </c>
      <c r="F4008" s="43" t="s">
        <v>28481</v>
      </c>
      <c r="G4008" s="43" t="s">
        <v>28482</v>
      </c>
      <c r="H4008" s="51" t="s">
        <v>25072</v>
      </c>
      <c r="I4008" s="15" t="str">
        <f>IFERROR(__xludf.DUMMYFUNCTION("GOOGLETRANSLATE(H4008,""EN"",""ES"")"),"Petróleo y energía")</f>
        <v>Petróleo y energía</v>
      </c>
      <c r="J4008" s="16" t="s">
        <v>35</v>
      </c>
      <c r="K4008" s="48">
        <v>-0.7</v>
      </c>
      <c r="L4008" s="51" t="s">
        <v>28483</v>
      </c>
      <c r="M4008" s="34" t="s">
        <v>28484</v>
      </c>
      <c r="N4008" s="94" t="s">
        <v>28485</v>
      </c>
      <c r="O4008" s="94" t="str">
        <f>IFERROR(__xludf.DUMMYFUNCTION("GOOGLETRANSLATE(N4008,""EN"",""ES"")"),"Negativo ya que sugiere una desaceleración de las inversiones en transición energética debido a la fiscalidad.")</f>
        <v>Negativo ya que sugiere una desaceleración de las inversiones en transición energética debido a la fiscalidad.</v>
      </c>
      <c r="P4008" s="30">
        <v>-0.6</v>
      </c>
      <c r="Q4008" s="18" t="str">
        <f>IFERROR(__xludf.DUMMYFUNCTION("GOOGLETRANSLATE(R4008,""ES"",""EN"")"),"they freeze, ""tax""")</f>
        <v>they freeze, "tax"</v>
      </c>
      <c r="R4008" s="34" t="s">
        <v>28486</v>
      </c>
      <c r="S4008" s="52" t="s">
        <v>28487</v>
      </c>
      <c r="T4008" s="22" t="s">
        <v>28488</v>
      </c>
    </row>
    <row r="4009">
      <c r="A4009" s="23" t="s">
        <v>28489</v>
      </c>
      <c r="B4009" s="77" t="s">
        <v>626</v>
      </c>
      <c r="C4009" s="41">
        <v>45593.0</v>
      </c>
      <c r="D4009" s="40" t="s">
        <v>28490</v>
      </c>
      <c r="E4009" s="41" t="s">
        <v>28491</v>
      </c>
      <c r="F4009" s="43" t="s">
        <v>28492</v>
      </c>
      <c r="G4009" s="43" t="s">
        <v>28493</v>
      </c>
      <c r="H4009" s="51" t="s">
        <v>25072</v>
      </c>
      <c r="I4009" s="25" t="str">
        <f>IFERROR(__xludf.DUMMYFUNCTION("GOOGLETRANSLATE(H4009,""EN"",""ES"")"),"Petróleo y energía")</f>
        <v>Petróleo y energía</v>
      </c>
      <c r="J4009" s="26" t="s">
        <v>35</v>
      </c>
      <c r="K4009" s="48">
        <v>-0.7</v>
      </c>
      <c r="L4009" s="49" t="s">
        <v>28494</v>
      </c>
      <c r="M4009" s="28" t="s">
        <v>28495</v>
      </c>
      <c r="N4009" s="93" t="s">
        <v>28496</v>
      </c>
      <c r="O4009" s="93" t="str">
        <f>IFERROR(__xludf.DUMMYFUNCTION("GOOGLETRANSLATE(N4009,""EN"",""ES"")"),"Negativo porque subraya el estancamiento de las inversiones vinculadas a las políticas gubernamentales.")</f>
        <v>Negativo porque subraya el estancamiento de las inversiones vinculadas a las políticas gubernamentales.</v>
      </c>
      <c r="P4009" s="30">
        <v>-0.7</v>
      </c>
      <c r="Q4009" s="31" t="str">
        <f>IFERROR(__xludf.DUMMYFUNCTION("GOOGLETRANSLATE(R4009,""ES"",""EN"")"),"paralyzed, ""blocked""")</f>
        <v>paralyzed, "blocked"</v>
      </c>
      <c r="R4009" s="28" t="s">
        <v>28497</v>
      </c>
      <c r="S4009" s="53" t="s">
        <v>28498</v>
      </c>
      <c r="T4009" s="32" t="s">
        <v>28499</v>
      </c>
    </row>
    <row r="4010">
      <c r="A4010" s="33" t="s">
        <v>28500</v>
      </c>
      <c r="B4010" s="76" t="s">
        <v>27451</v>
      </c>
      <c r="C4010" s="41">
        <v>45593.0</v>
      </c>
      <c r="D4010" s="40" t="s">
        <v>28501</v>
      </c>
      <c r="E4010" s="41" t="s">
        <v>28502</v>
      </c>
      <c r="F4010" s="43" t="s">
        <v>28503</v>
      </c>
      <c r="G4010" s="43" t="s">
        <v>28504</v>
      </c>
      <c r="H4010" s="51" t="s">
        <v>25072</v>
      </c>
      <c r="I4010" s="15" t="str">
        <f>IFERROR(__xludf.DUMMYFUNCTION("GOOGLETRANSLATE(H4010,""EN"",""ES"")"),"Petróleo y energía")</f>
        <v>Petróleo y energía</v>
      </c>
      <c r="J4010" s="16" t="s">
        <v>35</v>
      </c>
      <c r="K4010" s="48">
        <v>-0.7</v>
      </c>
      <c r="L4010" s="51" t="s">
        <v>28505</v>
      </c>
      <c r="M4010" s="34" t="s">
        <v>28506</v>
      </c>
      <c r="N4010" s="94" t="s">
        <v>28507</v>
      </c>
      <c r="O4010" s="94" t="str">
        <f>IFERROR(__xludf.DUMMYFUNCTION("GOOGLETRANSLATE(N4010,""EN"",""ES"")"),"Negativo ya que refuerza las tensiones entre Repsol y el gobierno por la fiscalidad.")</f>
        <v>Negativo ya que refuerza las tensiones entre Repsol y el gobierno por la fiscalidad.</v>
      </c>
      <c r="P4010" s="30">
        <v>-0.5</v>
      </c>
      <c r="Q4010" s="18" t="str">
        <f>IFERROR(__xludf.DUMMYFUNCTION("GOOGLETRANSLATE(R4010,""ES"",""EN"")"),"pressure, ""threaten""")</f>
        <v>pressure, "threaten"</v>
      </c>
      <c r="R4010" s="34" t="s">
        <v>28508</v>
      </c>
      <c r="S4010" s="52" t="s">
        <v>28509</v>
      </c>
      <c r="T4010" s="22" t="s">
        <v>28510</v>
      </c>
    </row>
    <row r="4011">
      <c r="A4011" s="23" t="s">
        <v>28511</v>
      </c>
      <c r="B4011" s="77" t="s">
        <v>3320</v>
      </c>
      <c r="C4011" s="41">
        <v>45593.0</v>
      </c>
      <c r="D4011" s="40" t="s">
        <v>28512</v>
      </c>
      <c r="E4011" s="41" t="s">
        <v>28513</v>
      </c>
      <c r="F4011" s="43" t="s">
        <v>28514</v>
      </c>
      <c r="G4011" s="43" t="s">
        <v>28515</v>
      </c>
      <c r="H4011" s="51" t="s">
        <v>26</v>
      </c>
      <c r="I4011" s="25" t="str">
        <f>IFERROR(__xludf.DUMMYFUNCTION("GOOGLETRANSLATE(H4011,""EN"",""ES"")"),"Otro")</f>
        <v>Otro</v>
      </c>
      <c r="J4011" s="26" t="s">
        <v>27</v>
      </c>
      <c r="K4011" s="17">
        <v>0.0</v>
      </c>
      <c r="L4011" s="54"/>
      <c r="M4011" s="31"/>
      <c r="N4011" s="93"/>
      <c r="O4011" s="93"/>
      <c r="P4011" s="20">
        <v>0.0</v>
      </c>
      <c r="Q4011" s="31"/>
      <c r="R4011" s="31"/>
      <c r="S4011" s="53"/>
      <c r="T4011" s="32"/>
    </row>
    <row r="4012">
      <c r="A4012" s="33" t="s">
        <v>28516</v>
      </c>
      <c r="B4012" s="76" t="s">
        <v>2623</v>
      </c>
      <c r="C4012" s="41">
        <v>45593.0</v>
      </c>
      <c r="D4012" s="40" t="s">
        <v>28517</v>
      </c>
      <c r="E4012" s="41" t="s">
        <v>28518</v>
      </c>
      <c r="F4012" s="43" t="s">
        <v>28519</v>
      </c>
      <c r="G4012" s="43" t="s">
        <v>28520</v>
      </c>
      <c r="H4012" s="51" t="s">
        <v>25072</v>
      </c>
      <c r="I4012" s="15" t="str">
        <f>IFERROR(__xludf.DUMMYFUNCTION("GOOGLETRANSLATE(H4012,""EN"",""ES"")"),"Petróleo y energía")</f>
        <v>Petróleo y energía</v>
      </c>
      <c r="J4012" s="16" t="s">
        <v>35</v>
      </c>
      <c r="K4012" s="48">
        <v>0.6</v>
      </c>
      <c r="L4012" s="51" t="s">
        <v>28314</v>
      </c>
      <c r="M4012" s="34" t="s">
        <v>28315</v>
      </c>
      <c r="N4012" s="94" t="s">
        <v>28521</v>
      </c>
      <c r="O4012" s="94" t="str">
        <f>IFERROR(__xludf.DUMMYFUNCTION("GOOGLETRANSLATE(N4012,""EN"",""ES"")"),"Positivo porque pone de relieve la apuesta de Repsol por la innovación energética.")</f>
        <v>Positivo porque pone de relieve la apuesta de Repsol por la innovación energética.</v>
      </c>
      <c r="P4012" s="30">
        <v>0.4</v>
      </c>
      <c r="Q4012" s="18" t="str">
        <f>IFERROR(__xludf.DUMMYFUNCTION("GOOGLETRANSLATE(R4012,""ES"",""EN"")"),"they bet, ""it will grow""")</f>
        <v>they bet, "it will grow"</v>
      </c>
      <c r="R4012" s="34" t="s">
        <v>28522</v>
      </c>
      <c r="S4012" s="52" t="s">
        <v>28523</v>
      </c>
      <c r="T4012" s="22" t="s">
        <v>28524</v>
      </c>
    </row>
    <row r="4013">
      <c r="A4013" s="23" t="s">
        <v>28525</v>
      </c>
      <c r="B4013" s="77" t="s">
        <v>21</v>
      </c>
      <c r="C4013" s="41">
        <v>45593.0</v>
      </c>
      <c r="D4013" s="40" t="s">
        <v>28526</v>
      </c>
      <c r="E4013" s="41" t="s">
        <v>28527</v>
      </c>
      <c r="F4013" s="43" t="s">
        <v>28528</v>
      </c>
      <c r="G4013" s="43" t="s">
        <v>28529</v>
      </c>
      <c r="H4013" s="51" t="s">
        <v>26</v>
      </c>
      <c r="I4013" s="25" t="str">
        <f>IFERROR(__xludf.DUMMYFUNCTION("GOOGLETRANSLATE(H4013,""EN"",""ES"")"),"Otro")</f>
        <v>Otro</v>
      </c>
      <c r="J4013" s="26" t="s">
        <v>27</v>
      </c>
      <c r="K4013" s="17">
        <v>0.0</v>
      </c>
      <c r="L4013" s="54"/>
      <c r="M4013" s="31"/>
      <c r="N4013" s="93"/>
      <c r="O4013" s="93"/>
      <c r="P4013" s="20">
        <v>0.0</v>
      </c>
      <c r="Q4013" s="31"/>
      <c r="R4013" s="31"/>
      <c r="S4013" s="53"/>
      <c r="T4013" s="32"/>
    </row>
    <row r="4014">
      <c r="A4014" s="33" t="s">
        <v>28530</v>
      </c>
      <c r="B4014" s="76" t="s">
        <v>4559</v>
      </c>
      <c r="C4014" s="41">
        <v>45593.0</v>
      </c>
      <c r="D4014" s="40" t="s">
        <v>28531</v>
      </c>
      <c r="E4014" s="41" t="s">
        <v>28532</v>
      </c>
      <c r="F4014" s="43" t="s">
        <v>28533</v>
      </c>
      <c r="G4014" s="43" t="s">
        <v>28534</v>
      </c>
      <c r="H4014" s="51" t="s">
        <v>25072</v>
      </c>
      <c r="I4014" s="15" t="str">
        <f>IFERROR(__xludf.DUMMYFUNCTION("GOOGLETRANSLATE(H4014,""EN"",""ES"")"),"Petróleo y energía")</f>
        <v>Petróleo y energía</v>
      </c>
      <c r="J4014" s="16" t="s">
        <v>35</v>
      </c>
      <c r="K4014" s="48">
        <v>-0.7</v>
      </c>
      <c r="L4014" s="51" t="s">
        <v>28535</v>
      </c>
      <c r="M4014" s="34" t="s">
        <v>28536</v>
      </c>
      <c r="N4014" s="94" t="s">
        <v>28537</v>
      </c>
      <c r="O4014" s="94" t="str">
        <f>IFERROR(__xludf.DUMMYFUNCTION("GOOGLETRANSLATE(N4014,""EN"",""ES"")"),"Negativo ya que vincula a Repsol con conflictos laborales y denuncias de prácticas laborales desleales.")</f>
        <v>Negativo ya que vincula a Repsol con conflictos laborales y denuncias de prácticas laborales desleales.</v>
      </c>
      <c r="P4014" s="30">
        <v>-0.8</v>
      </c>
      <c r="Q4014" s="18" t="str">
        <f>IFERROR(__xludf.DUMMYFUNCTION("GOOGLETRANSLATE(R4014,""ES"",""EN"")"),"they denounce, ""strike""")</f>
        <v>they denounce, "strike"</v>
      </c>
      <c r="R4014" s="34" t="s">
        <v>28538</v>
      </c>
      <c r="S4014" s="52" t="s">
        <v>28539</v>
      </c>
      <c r="T4014" s="22" t="s">
        <v>28540</v>
      </c>
    </row>
    <row r="4015">
      <c r="A4015" s="23" t="s">
        <v>28541</v>
      </c>
      <c r="B4015" s="77" t="s">
        <v>217</v>
      </c>
      <c r="C4015" s="41">
        <v>45593.0</v>
      </c>
      <c r="D4015" s="40" t="s">
        <v>28542</v>
      </c>
      <c r="E4015" s="41" t="s">
        <v>28543</v>
      </c>
      <c r="F4015" s="43" t="s">
        <v>28544</v>
      </c>
      <c r="G4015" s="43" t="s">
        <v>28545</v>
      </c>
      <c r="H4015" s="51" t="s">
        <v>25072</v>
      </c>
      <c r="I4015" s="25" t="str">
        <f>IFERROR(__xludf.DUMMYFUNCTION("GOOGLETRANSLATE(H4015,""EN"",""ES"")"),"Petróleo y energía")</f>
        <v>Petróleo y energía</v>
      </c>
      <c r="J4015" s="26" t="s">
        <v>35</v>
      </c>
      <c r="K4015" s="48">
        <v>0.6</v>
      </c>
      <c r="L4015" s="49" t="s">
        <v>28546</v>
      </c>
      <c r="M4015" s="28" t="s">
        <v>28547</v>
      </c>
      <c r="N4015" s="93" t="s">
        <v>28548</v>
      </c>
      <c r="O4015" s="93" t="str">
        <f>IFERROR(__xludf.DUMMYFUNCTION("GOOGLETRANSLATE(N4015,""EN"",""ES"")"),"Positivo porque pone de relieve la expansión de Repsol hacia las energías renovables.")</f>
        <v>Positivo porque pone de relieve la expansión de Repsol hacia las energías renovables.</v>
      </c>
      <c r="P4015" s="30">
        <v>0.3</v>
      </c>
      <c r="Q4015" s="31" t="str">
        <f>IFERROR(__xludf.DUMMYFUNCTION("GOOGLETRANSLATE(R4015,""ES"",""EN"")"),"solar, ""self-consumption""")</f>
        <v>solar, "self-consumption"</v>
      </c>
      <c r="R4015" s="28" t="s">
        <v>28549</v>
      </c>
      <c r="S4015" s="53" t="s">
        <v>28550</v>
      </c>
      <c r="T4015" s="32" t="s">
        <v>28551</v>
      </c>
    </row>
    <row r="4016">
      <c r="A4016" s="33" t="s">
        <v>28552</v>
      </c>
      <c r="B4016" s="76" t="s">
        <v>2230</v>
      </c>
      <c r="C4016" s="41">
        <v>45593.0</v>
      </c>
      <c r="D4016" s="40" t="s">
        <v>28553</v>
      </c>
      <c r="E4016" s="41" t="s">
        <v>28554</v>
      </c>
      <c r="F4016" s="43" t="s">
        <v>28555</v>
      </c>
      <c r="G4016" s="43" t="s">
        <v>28556</v>
      </c>
      <c r="H4016" s="51" t="s">
        <v>148</v>
      </c>
      <c r="I4016" s="15" t="str">
        <f>IFERROR(__xludf.DUMMYFUNCTION("GOOGLETRANSLATE(H4016,""EN"",""ES"")"),"Gastronomía")</f>
        <v>Gastronomía</v>
      </c>
      <c r="J4016" s="16" t="s">
        <v>27</v>
      </c>
      <c r="K4016" s="17">
        <v>0.0</v>
      </c>
      <c r="L4016" s="45"/>
      <c r="M4016" s="18"/>
      <c r="N4016" s="94"/>
      <c r="O4016" s="94"/>
      <c r="P4016" s="20">
        <v>0.0</v>
      </c>
      <c r="Q4016" s="18"/>
      <c r="R4016" s="18"/>
      <c r="S4016" s="52"/>
      <c r="T4016" s="22"/>
    </row>
    <row r="4017">
      <c r="A4017" s="23" t="s">
        <v>28557</v>
      </c>
      <c r="B4017" s="77" t="s">
        <v>163</v>
      </c>
      <c r="C4017" s="41">
        <v>45593.0</v>
      </c>
      <c r="D4017" s="40" t="s">
        <v>28558</v>
      </c>
      <c r="E4017" s="41" t="s">
        <v>28559</v>
      </c>
      <c r="F4017" s="43" t="s">
        <v>28560</v>
      </c>
      <c r="G4017" s="43" t="s">
        <v>28561</v>
      </c>
      <c r="H4017" s="51" t="s">
        <v>26</v>
      </c>
      <c r="I4017" s="25" t="str">
        <f>IFERROR(__xludf.DUMMYFUNCTION("GOOGLETRANSLATE(H4017,""EN"",""ES"")"),"Otro")</f>
        <v>Otro</v>
      </c>
      <c r="J4017" s="26" t="s">
        <v>27</v>
      </c>
      <c r="K4017" s="17">
        <v>0.0</v>
      </c>
      <c r="L4017" s="54"/>
      <c r="M4017" s="31"/>
      <c r="N4017" s="93"/>
      <c r="O4017" s="93"/>
      <c r="P4017" s="20">
        <v>0.0</v>
      </c>
      <c r="Q4017" s="31"/>
      <c r="R4017" s="31"/>
      <c r="S4017" s="53"/>
      <c r="T4017" s="32"/>
    </row>
    <row r="4018">
      <c r="A4018" s="33" t="s">
        <v>28562</v>
      </c>
      <c r="B4018" s="76" t="s">
        <v>1072</v>
      </c>
      <c r="C4018" s="41">
        <v>45593.0</v>
      </c>
      <c r="D4018" s="40" t="s">
        <v>28563</v>
      </c>
      <c r="E4018" s="41" t="s">
        <v>28564</v>
      </c>
      <c r="F4018" s="43" t="s">
        <v>28565</v>
      </c>
      <c r="G4018" s="43" t="s">
        <v>28566</v>
      </c>
      <c r="H4018" s="51" t="s">
        <v>26</v>
      </c>
      <c r="I4018" s="15" t="str">
        <f>IFERROR(__xludf.DUMMYFUNCTION("GOOGLETRANSLATE(H4018,""EN"",""ES"")"),"Otro")</f>
        <v>Otro</v>
      </c>
      <c r="J4018" s="16" t="s">
        <v>35</v>
      </c>
      <c r="K4018" s="48">
        <v>0.0</v>
      </c>
      <c r="L4018" s="45"/>
      <c r="M4018" s="18"/>
      <c r="N4018" s="94" t="s">
        <v>27386</v>
      </c>
      <c r="O4018" s="94" t="str">
        <f>IFERROR(__xludf.DUMMYFUNCTION("GOOGLETRANSLATE(N4018,""EN"",""ES"")"),"Las fluctuaciones de los mercados no impactan directamente en la imagen corporativa de Repsol.")</f>
        <v>Las fluctuaciones de los mercados no impactan directamente en la imagen corporativa de Repsol.</v>
      </c>
      <c r="P4018" s="30">
        <v>0.0</v>
      </c>
      <c r="Q4018" s="18"/>
      <c r="R4018" s="18"/>
      <c r="S4018" s="52" t="s">
        <v>28567</v>
      </c>
      <c r="T4018" s="22" t="s">
        <v>28568</v>
      </c>
    </row>
    <row r="4019">
      <c r="A4019" s="23" t="s">
        <v>28569</v>
      </c>
      <c r="B4019" s="77" t="s">
        <v>11766</v>
      </c>
      <c r="C4019" s="41">
        <v>45593.0</v>
      </c>
      <c r="D4019" s="40" t="s">
        <v>28570</v>
      </c>
      <c r="E4019" s="41" t="s">
        <v>28571</v>
      </c>
      <c r="F4019" s="43" t="s">
        <v>28572</v>
      </c>
      <c r="G4019" s="43" t="s">
        <v>28573</v>
      </c>
      <c r="H4019" s="51" t="s">
        <v>25072</v>
      </c>
      <c r="I4019" s="25" t="str">
        <f>IFERROR(__xludf.DUMMYFUNCTION("GOOGLETRANSLATE(H4019,""EN"",""ES"")"),"Petróleo y energía")</f>
        <v>Petróleo y energía</v>
      </c>
      <c r="J4019" s="26" t="s">
        <v>35</v>
      </c>
      <c r="K4019" s="48">
        <v>-0.7</v>
      </c>
      <c r="L4019" s="49" t="s">
        <v>28574</v>
      </c>
      <c r="M4019" s="28" t="s">
        <v>28575</v>
      </c>
      <c r="N4019" s="93" t="s">
        <v>28576</v>
      </c>
      <c r="O4019" s="93" t="str">
        <f>IFERROR(__xludf.DUMMYFUNCTION("GOOGLETRANSLATE(N4019,""EN"",""ES"")"),"Negativo ya que sigue poniendo de relieve el malestar laboral que envuelve a Repsol.")</f>
        <v>Negativo ya que sigue poniendo de relieve el malestar laboral que envuelve a Repsol.</v>
      </c>
      <c r="P4019" s="30">
        <v>-0.6</v>
      </c>
      <c r="Q4019" s="31" t="str">
        <f>IFERROR(__xludf.DUMMYFUNCTION("GOOGLETRANSLATE(R4019,""ES"",""EN"")"),"strike, ""discontent""")</f>
        <v>strike, "discontent"</v>
      </c>
      <c r="R4019" s="28" t="s">
        <v>28577</v>
      </c>
      <c r="S4019" s="53" t="s">
        <v>25559</v>
      </c>
      <c r="T4019" s="32" t="s">
        <v>24632</v>
      </c>
    </row>
    <row r="4020">
      <c r="A4020" s="33" t="s">
        <v>28578</v>
      </c>
      <c r="B4020" s="76" t="s">
        <v>2099</v>
      </c>
      <c r="C4020" s="41">
        <v>45593.0</v>
      </c>
      <c r="D4020" s="40" t="s">
        <v>28579</v>
      </c>
      <c r="E4020" s="41" t="s">
        <v>28580</v>
      </c>
      <c r="F4020" s="43" t="s">
        <v>28581</v>
      </c>
      <c r="G4020" s="43" t="s">
        <v>28582</v>
      </c>
      <c r="H4020" s="51" t="s">
        <v>26</v>
      </c>
      <c r="I4020" s="15" t="str">
        <f>IFERROR(__xludf.DUMMYFUNCTION("GOOGLETRANSLATE(H4020,""EN"",""ES"")"),"Otro")</f>
        <v>Otro</v>
      </c>
      <c r="J4020" s="16" t="s">
        <v>27</v>
      </c>
      <c r="K4020" s="17">
        <v>0.0</v>
      </c>
      <c r="L4020" s="45"/>
      <c r="M4020" s="18"/>
      <c r="N4020" s="94"/>
      <c r="O4020" s="94"/>
      <c r="P4020" s="20">
        <v>0.0</v>
      </c>
      <c r="Q4020" s="18"/>
      <c r="R4020" s="18"/>
      <c r="S4020" s="52"/>
      <c r="T4020" s="22"/>
    </row>
    <row r="4021">
      <c r="A4021" s="23" t="s">
        <v>28583</v>
      </c>
      <c r="B4021" s="77" t="s">
        <v>674</v>
      </c>
      <c r="C4021" s="41">
        <v>45593.0</v>
      </c>
      <c r="D4021" s="40" t="s">
        <v>28584</v>
      </c>
      <c r="E4021" s="41" t="s">
        <v>28585</v>
      </c>
      <c r="F4021" s="43" t="s">
        <v>28586</v>
      </c>
      <c r="G4021" s="43" t="s">
        <v>28587</v>
      </c>
      <c r="H4021" s="51" t="s">
        <v>55</v>
      </c>
      <c r="I4021" s="25" t="str">
        <f>IFERROR(__xludf.DUMMYFUNCTION("GOOGLETRANSLATE(H4021,""EN"",""ES"")"),"deportes de motor")</f>
        <v>deportes de motor</v>
      </c>
      <c r="J4021" s="26" t="s">
        <v>27</v>
      </c>
      <c r="K4021" s="17">
        <v>0.0</v>
      </c>
      <c r="L4021" s="54"/>
      <c r="M4021" s="31"/>
      <c r="N4021" s="93"/>
      <c r="O4021" s="93"/>
      <c r="P4021" s="20">
        <v>0.0</v>
      </c>
      <c r="Q4021" s="31"/>
      <c r="R4021" s="31"/>
      <c r="S4021" s="53"/>
      <c r="T4021" s="32"/>
    </row>
    <row r="4022">
      <c r="A4022" s="33" t="s">
        <v>28588</v>
      </c>
      <c r="B4022" s="76" t="s">
        <v>2696</v>
      </c>
      <c r="C4022" s="41">
        <v>45593.0</v>
      </c>
      <c r="D4022" s="40" t="s">
        <v>28589</v>
      </c>
      <c r="E4022" s="41" t="s">
        <v>28590</v>
      </c>
      <c r="F4022" s="43" t="s">
        <v>28591</v>
      </c>
      <c r="G4022" s="43" t="s">
        <v>28592</v>
      </c>
      <c r="H4022" s="51" t="s">
        <v>25072</v>
      </c>
      <c r="I4022" s="15" t="str">
        <f>IFERROR(__xludf.DUMMYFUNCTION("GOOGLETRANSLATE(H4022,""EN"",""ES"")"),"Petróleo y energía")</f>
        <v>Petróleo y energía</v>
      </c>
      <c r="J4022" s="16" t="s">
        <v>35</v>
      </c>
      <c r="K4022" s="48">
        <v>-0.6</v>
      </c>
      <c r="L4022" s="51" t="s">
        <v>28593</v>
      </c>
      <c r="M4022" s="34" t="s">
        <v>28594</v>
      </c>
      <c r="N4022" s="94" t="s">
        <v>28595</v>
      </c>
      <c r="O4022" s="94" t="str">
        <f>IFERROR(__xludf.DUMMYFUNCTION("GOOGLETRANSLATE(N4022,""EN"",""ES"")"),"Negativo porque pone de relieve una lucha en curso entre las empresas energéticas y el gobierno.")</f>
        <v>Negativo porque pone de relieve una lucha en curso entre las empresas energéticas y el gobierno.</v>
      </c>
      <c r="P4022" s="30">
        <v>-0.3</v>
      </c>
      <c r="Q4022" s="18" t="str">
        <f>IFERROR(__xludf.DUMMYFUNCTION("GOOGLETRANSLATE(R4022,""ES"",""EN"")"),"imposed")</f>
        <v>imposed</v>
      </c>
      <c r="R4022" s="34" t="s">
        <v>11706</v>
      </c>
      <c r="S4022" s="52" t="s">
        <v>28596</v>
      </c>
      <c r="T4022" s="22" t="s">
        <v>26608</v>
      </c>
    </row>
    <row r="4023">
      <c r="A4023" s="23" t="s">
        <v>28597</v>
      </c>
      <c r="B4023" s="77" t="s">
        <v>28598</v>
      </c>
      <c r="C4023" s="41">
        <v>45593.0</v>
      </c>
      <c r="D4023" s="40" t="s">
        <v>28599</v>
      </c>
      <c r="E4023" s="41" t="s">
        <v>28600</v>
      </c>
      <c r="F4023" s="43" t="s">
        <v>28601</v>
      </c>
      <c r="G4023" s="43" t="s">
        <v>28602</v>
      </c>
      <c r="H4023" s="51" t="s">
        <v>148</v>
      </c>
      <c r="I4023" s="25" t="str">
        <f>IFERROR(__xludf.DUMMYFUNCTION("GOOGLETRANSLATE(H4023,""EN"",""ES"")"),"Gastronomía")</f>
        <v>Gastronomía</v>
      </c>
      <c r="J4023" s="26" t="s">
        <v>27</v>
      </c>
      <c r="K4023" s="17">
        <v>0.0</v>
      </c>
      <c r="L4023" s="54"/>
      <c r="M4023" s="31"/>
      <c r="N4023" s="93"/>
      <c r="O4023" s="93"/>
      <c r="P4023" s="20">
        <v>0.0</v>
      </c>
      <c r="Q4023" s="31"/>
      <c r="R4023" s="31"/>
      <c r="S4023" s="53"/>
      <c r="T4023" s="32"/>
    </row>
    <row r="4024">
      <c r="A4024" s="33" t="s">
        <v>28603</v>
      </c>
      <c r="B4024" s="76" t="s">
        <v>217</v>
      </c>
      <c r="C4024" s="41">
        <v>45593.0</v>
      </c>
      <c r="D4024" s="40" t="s">
        <v>28604</v>
      </c>
      <c r="E4024" s="41" t="s">
        <v>28605</v>
      </c>
      <c r="F4024" s="43" t="s">
        <v>28606</v>
      </c>
      <c r="G4024" s="43" t="s">
        <v>28607</v>
      </c>
      <c r="H4024" s="51" t="s">
        <v>25072</v>
      </c>
      <c r="I4024" s="15" t="str">
        <f>IFERROR(__xludf.DUMMYFUNCTION("GOOGLETRANSLATE(H4024,""EN"",""ES"")"),"Petróleo y energía")</f>
        <v>Petróleo y energía</v>
      </c>
      <c r="J4024" s="16" t="s">
        <v>35</v>
      </c>
      <c r="K4024" s="48">
        <v>-0.7</v>
      </c>
      <c r="L4024" s="51" t="s">
        <v>28608</v>
      </c>
      <c r="M4024" s="34" t="s">
        <v>28609</v>
      </c>
      <c r="N4024" s="94" t="s">
        <v>28610</v>
      </c>
      <c r="O4024" s="94" t="str">
        <f>IFERROR(__xludf.DUMMYFUNCTION("GOOGLETRANSLATE(N4024,""EN"",""ES"")"),"Negativo, ya que sugiere que la política fiscal está obstruyendo las iniciativas de energía limpia.")</f>
        <v>Negativo, ya que sugiere que la política fiscal está obstruyendo las iniciativas de energía limpia.</v>
      </c>
      <c r="P4024" s="30">
        <v>-0.5</v>
      </c>
      <c r="Q4024" s="18" t="str">
        <f>IFERROR(__xludf.DUMMYFUNCTION("GOOGLETRANSLATE(R4024,""ES"",""EN"")"),"brake, ""risk""")</f>
        <v>brake, "risk"</v>
      </c>
      <c r="R4024" s="34" t="s">
        <v>28611</v>
      </c>
      <c r="S4024" s="52" t="s">
        <v>28612</v>
      </c>
      <c r="T4024" s="22" t="s">
        <v>28613</v>
      </c>
    </row>
    <row r="4025">
      <c r="A4025" s="23" t="s">
        <v>28614</v>
      </c>
      <c r="B4025" s="77" t="s">
        <v>163</v>
      </c>
      <c r="C4025" s="41">
        <v>45593.0</v>
      </c>
      <c r="D4025" s="40" t="s">
        <v>28615</v>
      </c>
      <c r="E4025" s="41" t="s">
        <v>28616</v>
      </c>
      <c r="F4025" s="43" t="s">
        <v>28617</v>
      </c>
      <c r="G4025" s="43" t="s">
        <v>28618</v>
      </c>
      <c r="H4025" s="51" t="s">
        <v>55</v>
      </c>
      <c r="I4025" s="25" t="str">
        <f>IFERROR(__xludf.DUMMYFUNCTION("GOOGLETRANSLATE(H4025,""EN"",""ES"")"),"deportes de motor")</f>
        <v>deportes de motor</v>
      </c>
      <c r="J4025" s="26" t="s">
        <v>27</v>
      </c>
      <c r="K4025" s="17">
        <v>0.0</v>
      </c>
      <c r="L4025" s="54"/>
      <c r="M4025" s="31"/>
      <c r="N4025" s="93"/>
      <c r="O4025" s="93"/>
      <c r="P4025" s="20">
        <v>0.0</v>
      </c>
      <c r="Q4025" s="31"/>
      <c r="R4025" s="31"/>
      <c r="S4025" s="53"/>
      <c r="T4025" s="32"/>
    </row>
    <row r="4026">
      <c r="A4026" s="33" t="s">
        <v>28619</v>
      </c>
      <c r="B4026" s="76" t="s">
        <v>1384</v>
      </c>
      <c r="C4026" s="41">
        <v>45593.0</v>
      </c>
      <c r="D4026" s="40" t="s">
        <v>28620</v>
      </c>
      <c r="E4026" s="41" t="s">
        <v>28621</v>
      </c>
      <c r="F4026" s="43" t="s">
        <v>28622</v>
      </c>
      <c r="G4026" s="43" t="s">
        <v>28623</v>
      </c>
      <c r="H4026" s="51" t="s">
        <v>25072</v>
      </c>
      <c r="I4026" s="15" t="str">
        <f>IFERROR(__xludf.DUMMYFUNCTION("GOOGLETRANSLATE(H4026,""EN"",""ES"")"),"Petróleo y energía")</f>
        <v>Petróleo y energía</v>
      </c>
      <c r="J4026" s="16" t="s">
        <v>35</v>
      </c>
      <c r="K4026" s="48">
        <v>-0.8</v>
      </c>
      <c r="L4026" s="51" t="s">
        <v>28624</v>
      </c>
      <c r="M4026" s="34" t="s">
        <v>28625</v>
      </c>
      <c r="N4026" s="94" t="s">
        <v>28626</v>
      </c>
      <c r="O4026" s="94" t="str">
        <f>IFERROR(__xludf.DUMMYFUNCTION("GOOGLETRANSLATE(N4026,""EN"",""ES"")"),"Altamente negativo ya que se centra en un desastre medioambiental y posibles consecuencias legales para Repsol.")</f>
        <v>Altamente negativo ya que se centra en un desastre medioambiental y posibles consecuencias legales para Repsol.</v>
      </c>
      <c r="P4026" s="30">
        <v>-0.9</v>
      </c>
      <c r="Q4026" s="18" t="str">
        <f>IFERROR(__xludf.DUMMYFUNCTION("GOOGLETRANSLATE(R4026,""ES"",""EN"")"),"spill, ""impact""")</f>
        <v>spill, "impact"</v>
      </c>
      <c r="R4026" s="34" t="s">
        <v>28627</v>
      </c>
      <c r="S4026" s="52" t="s">
        <v>28628</v>
      </c>
      <c r="T4026" s="22" t="s">
        <v>28629</v>
      </c>
    </row>
    <row r="4027">
      <c r="A4027" s="23" t="s">
        <v>28630</v>
      </c>
      <c r="B4027" s="77" t="s">
        <v>674</v>
      </c>
      <c r="C4027" s="41">
        <v>45594.0</v>
      </c>
      <c r="D4027" s="40" t="s">
        <v>28631</v>
      </c>
      <c r="E4027" s="41" t="s">
        <v>28632</v>
      </c>
      <c r="F4027" s="43" t="s">
        <v>28633</v>
      </c>
      <c r="G4027" s="43" t="s">
        <v>28634</v>
      </c>
      <c r="H4027" s="51" t="s">
        <v>25072</v>
      </c>
      <c r="I4027" s="25" t="str">
        <f>IFERROR(__xludf.DUMMYFUNCTION("GOOGLETRANSLATE(H4027,""EN"",""ES"")"),"Petróleo y energía")</f>
        <v>Petróleo y energía</v>
      </c>
      <c r="J4027" s="26" t="s">
        <v>35</v>
      </c>
      <c r="K4027" s="48">
        <v>0.6</v>
      </c>
      <c r="L4027" s="49" t="s">
        <v>28635</v>
      </c>
      <c r="M4027" s="28" t="s">
        <v>28636</v>
      </c>
      <c r="N4027" s="93" t="s">
        <v>28637</v>
      </c>
      <c r="O4027" s="93" t="str">
        <f>IFERROR(__xludf.DUMMYFUNCTION("GOOGLETRANSLATE(N4027,""EN"",""ES"")"),"Positivo porque pone de relieve los pasos de Repsol hacia la sostenibilidad.")</f>
        <v>Positivo porque pone de relieve los pasos de Repsol hacia la sostenibilidad.</v>
      </c>
      <c r="P4027" s="30">
        <v>0.2</v>
      </c>
      <c r="Q4027" s="31" t="str">
        <f>IFERROR(__xludf.DUMMYFUNCTION("GOOGLETRANSLATE(R4027,""ES"",""EN"")"),"discount, ""renewable""")</f>
        <v>discount, "renewable"</v>
      </c>
      <c r="R4027" s="28" t="s">
        <v>28638</v>
      </c>
      <c r="S4027" s="53" t="s">
        <v>28639</v>
      </c>
      <c r="T4027" s="32" t="s">
        <v>28640</v>
      </c>
    </row>
    <row r="4028">
      <c r="A4028" s="33" t="s">
        <v>28641</v>
      </c>
      <c r="B4028" s="76" t="s">
        <v>163</v>
      </c>
      <c r="C4028" s="41">
        <v>45594.0</v>
      </c>
      <c r="D4028" s="40" t="s">
        <v>28642</v>
      </c>
      <c r="E4028" s="41" t="s">
        <v>28643</v>
      </c>
      <c r="F4028" s="43" t="s">
        <v>28644</v>
      </c>
      <c r="G4028" s="43" t="s">
        <v>28645</v>
      </c>
      <c r="H4028" s="51" t="s">
        <v>25072</v>
      </c>
      <c r="I4028" s="15" t="str">
        <f>IFERROR(__xludf.DUMMYFUNCTION("GOOGLETRANSLATE(H4028,""EN"",""ES"")"),"Petróleo y energía")</f>
        <v>Petróleo y energía</v>
      </c>
      <c r="J4028" s="16" t="s">
        <v>35</v>
      </c>
      <c r="K4028" s="48">
        <v>0.7</v>
      </c>
      <c r="L4028" s="51" t="s">
        <v>28646</v>
      </c>
      <c r="M4028" s="34" t="s">
        <v>28647</v>
      </c>
      <c r="N4028" s="94" t="s">
        <v>28648</v>
      </c>
      <c r="O4028" s="94" t="str">
        <f>IFERROR(__xludf.DUMMYFUNCTION("GOOGLETRANSLATE(N4028,""EN"",""ES"")"),"Positivo porque muestra la innovación de Repsol en combustibles sostenibles.")</f>
        <v>Positivo porque muestra la innovación de Repsol en combustibles sostenibles.</v>
      </c>
      <c r="P4028" s="30">
        <v>0.6</v>
      </c>
      <c r="Q4028" s="18" t="str">
        <f>IFERROR(__xludf.DUMMYFUNCTION("GOOGLETRANSLATE(R4028,""ES"",""EN"")"),"renewable, ""optimizes""")</f>
        <v>renewable, "optimizes"</v>
      </c>
      <c r="R4028" s="34" t="s">
        <v>28649</v>
      </c>
      <c r="S4028" s="52" t="s">
        <v>22842</v>
      </c>
      <c r="T4028" s="22" t="s">
        <v>22843</v>
      </c>
    </row>
    <row r="4029">
      <c r="A4029" s="23" t="s">
        <v>28650</v>
      </c>
      <c r="B4029" s="77" t="s">
        <v>2672</v>
      </c>
      <c r="C4029" s="41">
        <v>45594.0</v>
      </c>
      <c r="D4029" s="40" t="s">
        <v>28651</v>
      </c>
      <c r="E4029" s="41" t="s">
        <v>28652</v>
      </c>
      <c r="F4029" s="43" t="s">
        <v>28653</v>
      </c>
      <c r="G4029" s="43" t="s">
        <v>28654</v>
      </c>
      <c r="H4029" s="51" t="s">
        <v>25072</v>
      </c>
      <c r="I4029" s="25" t="str">
        <f>IFERROR(__xludf.DUMMYFUNCTION("GOOGLETRANSLATE(H4029,""EN"",""ES"")"),"Petróleo y energía")</f>
        <v>Petróleo y energía</v>
      </c>
      <c r="J4029" s="26" t="s">
        <v>27</v>
      </c>
      <c r="K4029" s="17">
        <v>0.0</v>
      </c>
      <c r="L4029" s="54"/>
      <c r="M4029" s="31"/>
      <c r="N4029" s="93"/>
      <c r="O4029" s="93"/>
      <c r="P4029" s="20">
        <v>0.0</v>
      </c>
      <c r="Q4029" s="31"/>
      <c r="R4029" s="31"/>
      <c r="S4029" s="53"/>
      <c r="T4029" s="32"/>
    </row>
    <row r="4030">
      <c r="A4030" s="33" t="s">
        <v>28655</v>
      </c>
      <c r="B4030" s="76" t="s">
        <v>5669</v>
      </c>
      <c r="C4030" s="41">
        <v>45594.0</v>
      </c>
      <c r="D4030" s="40" t="s">
        <v>28656</v>
      </c>
      <c r="E4030" s="41" t="s">
        <v>28657</v>
      </c>
      <c r="F4030" s="43" t="s">
        <v>28658</v>
      </c>
      <c r="G4030" s="43" t="s">
        <v>28659</v>
      </c>
      <c r="H4030" s="51" t="s">
        <v>25072</v>
      </c>
      <c r="I4030" s="15" t="str">
        <f>IFERROR(__xludf.DUMMYFUNCTION("GOOGLETRANSLATE(H4030,""EN"",""ES"")"),"Petróleo y energía")</f>
        <v>Petróleo y energía</v>
      </c>
      <c r="J4030" s="16" t="s">
        <v>35</v>
      </c>
      <c r="K4030" s="48">
        <v>-0.7</v>
      </c>
      <c r="L4030" s="51" t="s">
        <v>28660</v>
      </c>
      <c r="M4030" s="34" t="s">
        <v>28661</v>
      </c>
      <c r="N4030" s="94" t="s">
        <v>28662</v>
      </c>
      <c r="O4030" s="94" t="str">
        <f>IFERROR(__xludf.DUMMYFUNCTION("GOOGLETRANSLATE(N4030,""EN"",""ES"")"),"Negativo porque enfatiza las maniobras políticas de Repsol y las amenazas de deslocalización de inversiones.")</f>
        <v>Negativo porque enfatiza las maniobras políticas de Repsol y las amenazas de deslocalización de inversiones.</v>
      </c>
      <c r="P4030" s="30">
        <v>-0.4</v>
      </c>
      <c r="Q4030" s="18" t="str">
        <f>IFERROR(__xludf.DUMMYFUNCTION("GOOGLETRANSLATE(R4030,""ES"",""EN"")"),"threatened, ""investment""")</f>
        <v>threatened, "investment"</v>
      </c>
      <c r="R4030" s="34" t="s">
        <v>28663</v>
      </c>
      <c r="S4030" s="52" t="s">
        <v>28664</v>
      </c>
      <c r="T4030" s="22" t="s">
        <v>28665</v>
      </c>
    </row>
    <row r="4031">
      <c r="A4031" s="23" t="s">
        <v>28666</v>
      </c>
      <c r="B4031" s="77" t="s">
        <v>43</v>
      </c>
      <c r="C4031" s="41">
        <v>45594.0</v>
      </c>
      <c r="D4031" s="40" t="s">
        <v>28667</v>
      </c>
      <c r="E4031" s="41" t="s">
        <v>28668</v>
      </c>
      <c r="F4031" s="43" t="s">
        <v>28669</v>
      </c>
      <c r="G4031" s="43" t="s">
        <v>28670</v>
      </c>
      <c r="H4031" s="51" t="s">
        <v>25072</v>
      </c>
      <c r="I4031" s="25" t="str">
        <f>IFERROR(__xludf.DUMMYFUNCTION("GOOGLETRANSLATE(H4031,""EN"",""ES"")"),"Petróleo y energía")</f>
        <v>Petróleo y energía</v>
      </c>
      <c r="J4031" s="26" t="s">
        <v>35</v>
      </c>
      <c r="K4031" s="48">
        <v>-0.7</v>
      </c>
      <c r="L4031" s="49" t="s">
        <v>28671</v>
      </c>
      <c r="M4031" s="28" t="s">
        <v>28672</v>
      </c>
      <c r="N4031" s="93" t="s">
        <v>28673</v>
      </c>
      <c r="O4031" s="93" t="str">
        <f>IFERROR(__xludf.DUMMYFUNCTION("GOOGLETRANSLATE(N4031,""EN"",""ES"")"),"Negativo ya que refuerza las tensiones sobre la fiscalidad en el sector energético.")</f>
        <v>Negativo ya que refuerza las tensiones sobre la fiscalidad en el sector energético.</v>
      </c>
      <c r="P4031" s="30">
        <v>-0.5</v>
      </c>
      <c r="Q4031" s="31" t="str">
        <f>IFERROR(__xludf.DUMMYFUNCTION("GOOGLETRANSLATE(R4031,""ES"",""EN"")"),"offensive, ""paralyze""")</f>
        <v>offensive, "paralyze"</v>
      </c>
      <c r="R4031" s="28" t="s">
        <v>28674</v>
      </c>
      <c r="S4031" s="53" t="s">
        <v>28596</v>
      </c>
      <c r="T4031" s="32" t="s">
        <v>26608</v>
      </c>
    </row>
    <row r="4032">
      <c r="A4032" s="33" t="s">
        <v>28675</v>
      </c>
      <c r="B4032" s="76" t="s">
        <v>5289</v>
      </c>
      <c r="C4032" s="41">
        <v>45594.0</v>
      </c>
      <c r="D4032" s="40" t="s">
        <v>28676</v>
      </c>
      <c r="E4032" s="41" t="s">
        <v>28677</v>
      </c>
      <c r="F4032" s="43" t="s">
        <v>28678</v>
      </c>
      <c r="G4032" s="43" t="s">
        <v>28679</v>
      </c>
      <c r="H4032" s="51" t="s">
        <v>25072</v>
      </c>
      <c r="I4032" s="15" t="str">
        <f>IFERROR(__xludf.DUMMYFUNCTION("GOOGLETRANSLATE(H4032,""EN"",""ES"")"),"Petróleo y energía")</f>
        <v>Petróleo y energía</v>
      </c>
      <c r="J4032" s="16" t="s">
        <v>35</v>
      </c>
      <c r="K4032" s="48">
        <v>0.5</v>
      </c>
      <c r="L4032" s="51" t="s">
        <v>28680</v>
      </c>
      <c r="M4032" s="34" t="s">
        <v>28681</v>
      </c>
      <c r="N4032" s="94" t="s">
        <v>28682</v>
      </c>
      <c r="O4032" s="94" t="str">
        <f>IFERROR(__xludf.DUMMYFUNCTION("GOOGLETRANSLATE(N4032,""EN"",""ES"")"),"Positivo porque destaca el apoyo político a los proyectos de Repsol.")</f>
        <v>Positivo porque destaca el apoyo político a los proyectos de Repsol.</v>
      </c>
      <c r="P4032" s="30">
        <v>0.4</v>
      </c>
      <c r="Q4032" s="18" t="str">
        <f>IFERROR(__xludf.DUMMYFUNCTION("GOOGLETRANSLATE(R4032,""ES"",""EN"")"),"support, ""investments""")</f>
        <v>support, "investments"</v>
      </c>
      <c r="R4032" s="34" t="s">
        <v>28683</v>
      </c>
      <c r="S4032" s="52" t="s">
        <v>28684</v>
      </c>
      <c r="T4032" s="22" t="s">
        <v>28685</v>
      </c>
    </row>
    <row r="4033">
      <c r="A4033" s="23" t="s">
        <v>28686</v>
      </c>
      <c r="B4033" s="77" t="s">
        <v>614</v>
      </c>
      <c r="C4033" s="41">
        <v>45594.0</v>
      </c>
      <c r="D4033" s="40" t="s">
        <v>28687</v>
      </c>
      <c r="E4033" s="41" t="s">
        <v>28688</v>
      </c>
      <c r="F4033" s="43" t="s">
        <v>28689</v>
      </c>
      <c r="G4033" s="43" t="s">
        <v>28690</v>
      </c>
      <c r="H4033" s="51" t="s">
        <v>25072</v>
      </c>
      <c r="I4033" s="25" t="str">
        <f>IFERROR(__xludf.DUMMYFUNCTION("GOOGLETRANSLATE(H4033,""EN"",""ES"")"),"Petróleo y energía")</f>
        <v>Petróleo y energía</v>
      </c>
      <c r="J4033" s="26" t="s">
        <v>35</v>
      </c>
      <c r="K4033" s="48">
        <v>0.7</v>
      </c>
      <c r="L4033" s="49" t="s">
        <v>28691</v>
      </c>
      <c r="M4033" s="28" t="s">
        <v>28692</v>
      </c>
      <c r="N4033" s="93" t="s">
        <v>28693</v>
      </c>
      <c r="O4033" s="93" t="str">
        <f>IFERROR(__xludf.DUMMYFUNCTION("GOOGLETRANSLATE(N4033,""EN"",""ES"")"),"Positivo porque destaca las iniciativas de energía verde de Repsol.")</f>
        <v>Positivo porque destaca las iniciativas de energía verde de Repsol.</v>
      </c>
      <c r="P4033" s="30">
        <v>0.5</v>
      </c>
      <c r="Q4033" s="31" t="str">
        <f>IFERROR(__xludf.DUMMYFUNCTION("GOOGLETRANSLATE(R4033,""ES"",""EN"")"),"renewable, ""premium""")</f>
        <v>renewable, "premium"</v>
      </c>
      <c r="R4033" s="28" t="s">
        <v>28694</v>
      </c>
      <c r="S4033" s="53" t="s">
        <v>28695</v>
      </c>
      <c r="T4033" s="32" t="s">
        <v>28696</v>
      </c>
    </row>
    <row r="4034">
      <c r="A4034" s="33" t="s">
        <v>28697</v>
      </c>
      <c r="B4034" s="76" t="s">
        <v>1192</v>
      </c>
      <c r="C4034" s="41">
        <v>45594.0</v>
      </c>
      <c r="D4034" s="40" t="s">
        <v>28698</v>
      </c>
      <c r="E4034" s="41" t="s">
        <v>28699</v>
      </c>
      <c r="F4034" s="43" t="s">
        <v>28700</v>
      </c>
      <c r="G4034" s="43" t="s">
        <v>28701</v>
      </c>
      <c r="H4034" s="51" t="s">
        <v>25072</v>
      </c>
      <c r="I4034" s="15" t="str">
        <f>IFERROR(__xludf.DUMMYFUNCTION("GOOGLETRANSLATE(H4034,""EN"",""ES"")"),"Petróleo y energía")</f>
        <v>Petróleo y energía</v>
      </c>
      <c r="J4034" s="16" t="s">
        <v>35</v>
      </c>
      <c r="K4034" s="48">
        <v>0.7</v>
      </c>
      <c r="L4034" s="51" t="s">
        <v>28702</v>
      </c>
      <c r="M4034" s="34" t="s">
        <v>28703</v>
      </c>
      <c r="N4034" s="94" t="s">
        <v>28704</v>
      </c>
      <c r="O4034" s="94" t="str">
        <f>IFERROR(__xludf.DUMMYFUNCTION("GOOGLETRANSLATE(N4034,""EN"",""ES"")"),"Positivo porque refuerza la inversión de Repsol en energías renovables.")</f>
        <v>Positivo porque refuerza la inversión de Repsol en energías renovables.</v>
      </c>
      <c r="P4034" s="30">
        <v>0.5</v>
      </c>
      <c r="Q4034" s="18" t="str">
        <f>IFERROR(__xludf.DUMMYFUNCTION("GOOGLETRANSLATE(R4034,""ES"",""EN"")"),"renewable, ""waste""")</f>
        <v>renewable, "waste"</v>
      </c>
      <c r="R4034" s="34" t="s">
        <v>28705</v>
      </c>
      <c r="S4034" s="52" t="s">
        <v>28706</v>
      </c>
      <c r="T4034" s="22" t="s">
        <v>28707</v>
      </c>
    </row>
    <row r="4035">
      <c r="A4035" s="23" t="s">
        <v>28708</v>
      </c>
      <c r="B4035" s="77" t="s">
        <v>3151</v>
      </c>
      <c r="C4035" s="41">
        <v>45594.0</v>
      </c>
      <c r="D4035" s="40" t="s">
        <v>28709</v>
      </c>
      <c r="E4035" s="41" t="s">
        <v>28710</v>
      </c>
      <c r="F4035" s="43" t="s">
        <v>28711</v>
      </c>
      <c r="G4035" s="43" t="s">
        <v>28712</v>
      </c>
      <c r="H4035" s="51" t="s">
        <v>25072</v>
      </c>
      <c r="I4035" s="25" t="str">
        <f>IFERROR(__xludf.DUMMYFUNCTION("GOOGLETRANSLATE(H4035,""EN"",""ES"")"),"Petróleo y energía")</f>
        <v>Petróleo y energía</v>
      </c>
      <c r="J4035" s="26" t="s">
        <v>35</v>
      </c>
      <c r="K4035" s="48">
        <v>-0.6</v>
      </c>
      <c r="L4035" s="49" t="s">
        <v>28713</v>
      </c>
      <c r="M4035" s="28" t="s">
        <v>28714</v>
      </c>
      <c r="N4035" s="93" t="s">
        <v>28715</v>
      </c>
      <c r="O4035" s="93" t="str">
        <f>IFERROR(__xludf.DUMMYFUNCTION("GOOGLETRANSLATE(N4035,""EN"",""ES"")"),"Negativo ya que sugiere preocupaciones sobre la viabilidad de los proyectos de hidrógeno de Repsol.")</f>
        <v>Negativo ya que sugiere preocupaciones sobre la viabilidad de los proyectos de hidrógeno de Repsol.</v>
      </c>
      <c r="P4035" s="30">
        <v>-0.6</v>
      </c>
      <c r="Q4035" s="31" t="str">
        <f>IFERROR(__xludf.DUMMYFUNCTION("GOOGLETRANSLATE(R4035,""ES"",""EN"")"),"imposition, ""risk""")</f>
        <v>imposition, "risk"</v>
      </c>
      <c r="R4035" s="28" t="s">
        <v>28716</v>
      </c>
      <c r="S4035" s="53" t="s">
        <v>26817</v>
      </c>
      <c r="T4035" s="32" t="s">
        <v>26818</v>
      </c>
    </row>
    <row r="4036">
      <c r="A4036" s="33" t="s">
        <v>28717</v>
      </c>
      <c r="B4036" s="76" t="s">
        <v>21</v>
      </c>
      <c r="C4036" s="41">
        <v>45594.0</v>
      </c>
      <c r="D4036" s="40" t="s">
        <v>28718</v>
      </c>
      <c r="E4036" s="41" t="s">
        <v>28719</v>
      </c>
      <c r="F4036" s="43" t="s">
        <v>28720</v>
      </c>
      <c r="G4036" s="43" t="s">
        <v>28721</v>
      </c>
      <c r="H4036" s="51" t="s">
        <v>26</v>
      </c>
      <c r="I4036" s="15" t="str">
        <f>IFERROR(__xludf.DUMMYFUNCTION("GOOGLETRANSLATE(H4036,""EN"",""ES"")"),"Otro")</f>
        <v>Otro</v>
      </c>
      <c r="J4036" s="16" t="s">
        <v>27</v>
      </c>
      <c r="K4036" s="17">
        <v>0.0</v>
      </c>
      <c r="L4036" s="45"/>
      <c r="M4036" s="18"/>
      <c r="N4036" s="94"/>
      <c r="O4036" s="94"/>
      <c r="P4036" s="20">
        <v>0.0</v>
      </c>
      <c r="Q4036" s="18"/>
      <c r="R4036" s="18"/>
      <c r="S4036" s="52"/>
      <c r="T4036" s="22"/>
    </row>
    <row r="4037">
      <c r="A4037" s="23" t="s">
        <v>28722</v>
      </c>
      <c r="B4037" s="77" t="s">
        <v>28723</v>
      </c>
      <c r="C4037" s="41">
        <v>45594.0</v>
      </c>
      <c r="D4037" s="40" t="s">
        <v>28724</v>
      </c>
      <c r="E4037" s="41" t="s">
        <v>28725</v>
      </c>
      <c r="F4037" s="43" t="s">
        <v>28726</v>
      </c>
      <c r="G4037" s="43" t="s">
        <v>28727</v>
      </c>
      <c r="H4037" s="51" t="s">
        <v>25072</v>
      </c>
      <c r="I4037" s="25" t="str">
        <f>IFERROR(__xludf.DUMMYFUNCTION("GOOGLETRANSLATE(H4037,""EN"",""ES"")"),"Petróleo y energía")</f>
        <v>Petróleo y energía</v>
      </c>
      <c r="J4037" s="26" t="s">
        <v>35</v>
      </c>
      <c r="K4037" s="48">
        <v>0.7</v>
      </c>
      <c r="L4037" s="49" t="s">
        <v>28646</v>
      </c>
      <c r="M4037" s="28" t="s">
        <v>28647</v>
      </c>
      <c r="N4037" s="93" t="s">
        <v>28728</v>
      </c>
      <c r="O4037" s="93" t="str">
        <f>IFERROR(__xludf.DUMMYFUNCTION("GOOGLETRANSLATE(N4037,""EN"",""ES"")"),"Positivo porque potencia la línea de productos sostenibles de Repsol.")</f>
        <v>Positivo porque potencia la línea de productos sostenibles de Repsol.</v>
      </c>
      <c r="P4037" s="30">
        <v>0.5</v>
      </c>
      <c r="Q4037" s="31" t="str">
        <f>IFERROR(__xludf.DUMMYFUNCTION("GOOGLETRANSLATE(R4037,""ES"",""EN"")"),"renewable, ""premium""")</f>
        <v>renewable, "premium"</v>
      </c>
      <c r="R4037" s="28" t="s">
        <v>28694</v>
      </c>
      <c r="S4037" s="53" t="s">
        <v>28729</v>
      </c>
      <c r="T4037" s="32" t="s">
        <v>28730</v>
      </c>
    </row>
    <row r="4038">
      <c r="A4038" s="33" t="s">
        <v>28731</v>
      </c>
      <c r="B4038" s="76" t="s">
        <v>25384</v>
      </c>
      <c r="C4038" s="41">
        <v>45594.0</v>
      </c>
      <c r="D4038" s="40" t="s">
        <v>28732</v>
      </c>
      <c r="E4038" s="41" t="s">
        <v>28733</v>
      </c>
      <c r="F4038" s="43" t="s">
        <v>28734</v>
      </c>
      <c r="G4038" s="43" t="s">
        <v>28735</v>
      </c>
      <c r="H4038" s="51" t="s">
        <v>26</v>
      </c>
      <c r="I4038" s="15" t="str">
        <f>IFERROR(__xludf.DUMMYFUNCTION("GOOGLETRANSLATE(H4038,""EN"",""ES"")"),"Otro")</f>
        <v>Otro</v>
      </c>
      <c r="J4038" s="16" t="s">
        <v>35</v>
      </c>
      <c r="K4038" s="48">
        <v>0.0</v>
      </c>
      <c r="L4038" s="45"/>
      <c r="M4038" s="18"/>
      <c r="N4038" s="94" t="s">
        <v>28736</v>
      </c>
      <c r="O4038" s="94" t="str">
        <f>IFERROR(__xludf.DUMMYFUNCTION("GOOGLETRANSLATE(N4038,""EN"",""ES"")"),"El análisis bursátil no impacta directamente en la imagen corporativa de Repsol.")</f>
        <v>El análisis bursátil no impacta directamente en la imagen corporativa de Repsol.</v>
      </c>
      <c r="P4038" s="30">
        <v>0.0</v>
      </c>
      <c r="Q4038" s="18"/>
      <c r="R4038" s="18"/>
      <c r="S4038" s="52" t="s">
        <v>24576</v>
      </c>
      <c r="T4038" s="22" t="s">
        <v>26845</v>
      </c>
    </row>
    <row r="4039">
      <c r="A4039" s="23" t="s">
        <v>28737</v>
      </c>
      <c r="B4039" s="77" t="s">
        <v>85</v>
      </c>
      <c r="C4039" s="41">
        <v>45594.0</v>
      </c>
      <c r="D4039" s="40" t="s">
        <v>28738</v>
      </c>
      <c r="E4039" s="41" t="s">
        <v>28739</v>
      </c>
      <c r="F4039" s="43" t="s">
        <v>28740</v>
      </c>
      <c r="G4039" s="43" t="s">
        <v>28741</v>
      </c>
      <c r="H4039" s="51" t="s">
        <v>26</v>
      </c>
      <c r="I4039" s="25" t="str">
        <f>IFERROR(__xludf.DUMMYFUNCTION("GOOGLETRANSLATE(H4039,""EN"",""ES"")"),"Otro")</f>
        <v>Otro</v>
      </c>
      <c r="J4039" s="26" t="s">
        <v>35</v>
      </c>
      <c r="K4039" s="48">
        <v>0.0</v>
      </c>
      <c r="L4039" s="54"/>
      <c r="M4039" s="31"/>
      <c r="N4039" s="93" t="s">
        <v>28742</v>
      </c>
      <c r="O4039" s="93" t="str">
        <f>IFERROR(__xludf.DUMMYFUNCTION("GOOGLETRANSLATE(N4039,""EN"",""ES"")"),"No es directamente relevante para la imagen de Repsol ya que se centra en el éxito de Iberdrola.")</f>
        <v>No es directamente relevante para la imagen de Repsol ya que se centra en el éxito de Iberdrola.</v>
      </c>
      <c r="P4039" s="30">
        <v>0.0</v>
      </c>
      <c r="Q4039" s="31"/>
      <c r="R4039" s="31"/>
      <c r="S4039" s="53" t="s">
        <v>28743</v>
      </c>
      <c r="T4039" s="32" t="s">
        <v>28744</v>
      </c>
    </row>
    <row r="4040">
      <c r="A4040" s="33" t="s">
        <v>28745</v>
      </c>
      <c r="B4040" s="76" t="s">
        <v>125</v>
      </c>
      <c r="C4040" s="41">
        <v>45594.0</v>
      </c>
      <c r="D4040" s="40" t="s">
        <v>28746</v>
      </c>
      <c r="E4040" s="41" t="s">
        <v>28747</v>
      </c>
      <c r="F4040" s="43" t="s">
        <v>28748</v>
      </c>
      <c r="G4040" s="43" t="s">
        <v>28749</v>
      </c>
      <c r="H4040" s="51" t="s">
        <v>25072</v>
      </c>
      <c r="I4040" s="15" t="str">
        <f>IFERROR(__xludf.DUMMYFUNCTION("GOOGLETRANSLATE(H4040,""EN"",""ES"")"),"Petróleo y energía")</f>
        <v>Petróleo y energía</v>
      </c>
      <c r="J4040" s="16" t="s">
        <v>27</v>
      </c>
      <c r="K4040" s="17">
        <v>0.0</v>
      </c>
      <c r="L4040" s="45"/>
      <c r="M4040" s="18"/>
      <c r="N4040" s="94"/>
      <c r="O4040" s="94"/>
      <c r="P4040" s="20">
        <v>0.0</v>
      </c>
      <c r="Q4040" s="18"/>
      <c r="R4040" s="18"/>
      <c r="S4040" s="52"/>
      <c r="T4040" s="22"/>
    </row>
    <row r="4041">
      <c r="A4041" s="23" t="s">
        <v>28750</v>
      </c>
      <c r="B4041" s="77" t="s">
        <v>499</v>
      </c>
      <c r="C4041" s="41">
        <v>45594.0</v>
      </c>
      <c r="D4041" s="40" t="s">
        <v>28751</v>
      </c>
      <c r="E4041" s="41" t="s">
        <v>28752</v>
      </c>
      <c r="F4041" s="43" t="s">
        <v>28753</v>
      </c>
      <c r="G4041" s="43" t="s">
        <v>28754</v>
      </c>
      <c r="H4041" s="51" t="s">
        <v>25072</v>
      </c>
      <c r="I4041" s="25" t="str">
        <f>IFERROR(__xludf.DUMMYFUNCTION("GOOGLETRANSLATE(H4041,""EN"",""ES"")"),"Petróleo y energía")</f>
        <v>Petróleo y energía</v>
      </c>
      <c r="J4041" s="26" t="s">
        <v>35</v>
      </c>
      <c r="K4041" s="48">
        <v>-0.6</v>
      </c>
      <c r="L4041" s="49" t="s">
        <v>28755</v>
      </c>
      <c r="M4041" s="28" t="s">
        <v>28756</v>
      </c>
      <c r="N4041" s="93" t="s">
        <v>28757</v>
      </c>
      <c r="O4041" s="93" t="str">
        <f>IFERROR(__xludf.DUMMYFUNCTION("GOOGLETRANSLATE(N4041,""EN"",""ES"")"),"Negativo porque sugiere una incertidumbre política constante en torno a los impuestos.")</f>
        <v>Negativo porque sugiere una incertidumbre política constante en torno a los impuestos.</v>
      </c>
      <c r="P4041" s="30">
        <v>-0.4</v>
      </c>
      <c r="Q4041" s="31" t="str">
        <f>IFERROR(__xludf.DUMMYFUNCTION("GOOGLETRANSLATE(R4041,""ES"",""EN"")"),"tax, ""permanent""")</f>
        <v>tax, "permanent"</v>
      </c>
      <c r="R4041" s="28" t="s">
        <v>28758</v>
      </c>
      <c r="S4041" s="53" t="s">
        <v>28759</v>
      </c>
      <c r="T4041" s="32" t="s">
        <v>28760</v>
      </c>
    </row>
    <row r="4042">
      <c r="A4042" s="33" t="s">
        <v>28761</v>
      </c>
      <c r="B4042" s="76" t="s">
        <v>1072</v>
      </c>
      <c r="C4042" s="41">
        <v>45595.0</v>
      </c>
      <c r="D4042" s="40" t="s">
        <v>28762</v>
      </c>
      <c r="E4042" s="41" t="s">
        <v>28763</v>
      </c>
      <c r="F4042" s="43" t="s">
        <v>28764</v>
      </c>
      <c r="G4042" s="43" t="s">
        <v>28765</v>
      </c>
      <c r="H4042" s="51" t="s">
        <v>25072</v>
      </c>
      <c r="I4042" s="15" t="str">
        <f>IFERROR(__xludf.DUMMYFUNCTION("GOOGLETRANSLATE(H4042,""EN"",""ES"")"),"Petróleo y energía")</f>
        <v>Petróleo y energía</v>
      </c>
      <c r="J4042" s="16" t="s">
        <v>35</v>
      </c>
      <c r="K4042" s="48">
        <v>-0.5</v>
      </c>
      <c r="L4042" s="51" t="s">
        <v>28766</v>
      </c>
      <c r="M4042" s="34" t="s">
        <v>28767</v>
      </c>
      <c r="N4042" s="94" t="s">
        <v>28768</v>
      </c>
      <c r="O4042" s="94" t="str">
        <f>IFERROR(__xludf.DUMMYFUNCTION("GOOGLETRANSLATE(N4042,""EN"",""ES"")"),"Ligeramente negativo ya que sugiere que Repsol se enfrenta a una competencia cada vez mayor en energías verdes.")</f>
        <v>Ligeramente negativo ya que sugiere que Repsol se enfrenta a una competencia cada vez mayor en energías verdes.</v>
      </c>
      <c r="P4042" s="30">
        <v>-0.3</v>
      </c>
      <c r="Q4042" s="18" t="str">
        <f>IFERROR(__xludf.DUMMYFUNCTION("GOOGLETRANSLATE(R4042,""ES"",""EN"")"),"hits, ""competition""")</f>
        <v>hits, "competition"</v>
      </c>
      <c r="R4042" s="34" t="s">
        <v>28769</v>
      </c>
      <c r="S4042" s="52" t="s">
        <v>28770</v>
      </c>
      <c r="T4042" s="22" t="s">
        <v>28771</v>
      </c>
    </row>
    <row r="4043">
      <c r="A4043" s="23" t="s">
        <v>28772</v>
      </c>
      <c r="B4043" s="77" t="s">
        <v>28773</v>
      </c>
      <c r="C4043" s="41">
        <v>45595.0</v>
      </c>
      <c r="D4043" s="40" t="s">
        <v>28774</v>
      </c>
      <c r="E4043" s="41" t="s">
        <v>28775</v>
      </c>
      <c r="F4043" s="43" t="s">
        <v>28776</v>
      </c>
      <c r="G4043" s="43" t="s">
        <v>27988</v>
      </c>
      <c r="H4043" s="51" t="s">
        <v>25072</v>
      </c>
      <c r="I4043" s="25" t="str">
        <f>IFERROR(__xludf.DUMMYFUNCTION("GOOGLETRANSLATE(H4043,""EN"",""ES"")"),"Petróleo y energía")</f>
        <v>Petróleo y energía</v>
      </c>
      <c r="J4043" s="26" t="s">
        <v>35</v>
      </c>
      <c r="K4043" s="48">
        <v>-0.7</v>
      </c>
      <c r="L4043" s="49" t="s">
        <v>28777</v>
      </c>
      <c r="M4043" s="28" t="s">
        <v>28778</v>
      </c>
      <c r="N4043" s="93" t="s">
        <v>28779</v>
      </c>
      <c r="O4043" s="93" t="str">
        <f>IFERROR(__xludf.DUMMYFUNCTION("GOOGLETRANSLATE(N4043,""EN"",""ES"")"),"Negativo ya que destaca que Repsol desplace inversiones fuera de España.")</f>
        <v>Negativo ya que destaca que Repsol desplace inversiones fuera de España.</v>
      </c>
      <c r="P4043" s="30">
        <v>-0.5</v>
      </c>
      <c r="Q4043" s="31" t="str">
        <f>IFERROR(__xludf.DUMMYFUNCTION("GOOGLETRANSLATE(R4043,""ES"",""EN"")"),"investments, ""Portugal""")</f>
        <v>investments, "Portugal"</v>
      </c>
      <c r="R4043" s="28" t="s">
        <v>28780</v>
      </c>
      <c r="S4043" s="53" t="s">
        <v>28781</v>
      </c>
      <c r="T4043" s="32" t="s">
        <v>28782</v>
      </c>
    </row>
    <row r="4044">
      <c r="A4044" s="33" t="s">
        <v>28783</v>
      </c>
      <c r="B4044" s="76" t="s">
        <v>21</v>
      </c>
      <c r="C4044" s="41">
        <v>45595.0</v>
      </c>
      <c r="D4044" s="40" t="s">
        <v>28784</v>
      </c>
      <c r="E4044" s="41" t="s">
        <v>28785</v>
      </c>
      <c r="F4044" s="43" t="s">
        <v>28786</v>
      </c>
      <c r="G4044" s="43" t="s">
        <v>28787</v>
      </c>
      <c r="H4044" s="51" t="s">
        <v>148</v>
      </c>
      <c r="I4044" s="15" t="str">
        <f>IFERROR(__xludf.DUMMYFUNCTION("GOOGLETRANSLATE(H4044,""EN"",""ES"")"),"Gastronomía")</f>
        <v>Gastronomía</v>
      </c>
      <c r="J4044" s="16" t="s">
        <v>27</v>
      </c>
      <c r="K4044" s="17">
        <v>0.0</v>
      </c>
      <c r="L4044" s="45"/>
      <c r="M4044" s="18"/>
      <c r="N4044" s="94"/>
      <c r="O4044" s="94"/>
      <c r="P4044" s="20">
        <v>0.0</v>
      </c>
      <c r="Q4044" s="18"/>
      <c r="R4044" s="18"/>
      <c r="S4044" s="52"/>
      <c r="T4044" s="22"/>
    </row>
    <row r="4045">
      <c r="A4045" s="23" t="s">
        <v>28788</v>
      </c>
      <c r="B4045" s="77" t="s">
        <v>403</v>
      </c>
      <c r="C4045" s="41">
        <v>45595.0</v>
      </c>
      <c r="D4045" s="40" t="s">
        <v>28789</v>
      </c>
      <c r="E4045" s="41" t="s">
        <v>28790</v>
      </c>
      <c r="F4045" s="43" t="s">
        <v>28791</v>
      </c>
      <c r="G4045" s="43" t="s">
        <v>28792</v>
      </c>
      <c r="H4045" s="51" t="s">
        <v>25072</v>
      </c>
      <c r="I4045" s="25" t="str">
        <f>IFERROR(__xludf.DUMMYFUNCTION("GOOGLETRANSLATE(H4045,""EN"",""ES"")"),"Petróleo y energía")</f>
        <v>Petróleo y energía</v>
      </c>
      <c r="J4045" s="26" t="s">
        <v>35</v>
      </c>
      <c r="K4045" s="48">
        <v>-0.5</v>
      </c>
      <c r="L4045" s="49" t="s">
        <v>28793</v>
      </c>
      <c r="M4045" s="28" t="s">
        <v>28794</v>
      </c>
      <c r="N4045" s="93" t="s">
        <v>28795</v>
      </c>
      <c r="O4045" s="93" t="str">
        <f>IFERROR(__xludf.DUMMYFUNCTION("GOOGLETRANSLATE(N4045,""EN"",""ES"")"),"Ligeramente negativo ya que sugiere que Repsol va rezagada en movilidad eléctrica.")</f>
        <v>Ligeramente negativo ya que sugiere que Repsol va rezagada en movilidad eléctrica.</v>
      </c>
      <c r="P4045" s="30">
        <v>-0.2</v>
      </c>
      <c r="Q4045" s="31" t="str">
        <f>IFERROR(__xludf.DUMMYFUNCTION("GOOGLETRANSLATE(R4045,""ES"",""EN"")"),"leave behind")</f>
        <v>leave behind</v>
      </c>
      <c r="R4045" s="28" t="s">
        <v>28796</v>
      </c>
      <c r="S4045" s="53" t="s">
        <v>28797</v>
      </c>
      <c r="T4045" s="32" t="s">
        <v>28798</v>
      </c>
    </row>
    <row r="4046">
      <c r="A4046" s="33" t="s">
        <v>28799</v>
      </c>
      <c r="B4046" s="76" t="s">
        <v>558</v>
      </c>
      <c r="C4046" s="41">
        <v>45595.0</v>
      </c>
      <c r="D4046" s="68" t="s">
        <v>28800</v>
      </c>
      <c r="E4046" s="68" t="s">
        <v>28801</v>
      </c>
      <c r="F4046" s="43" t="s">
        <v>28802</v>
      </c>
      <c r="G4046" s="43" t="s">
        <v>28803</v>
      </c>
      <c r="H4046" s="51" t="s">
        <v>26</v>
      </c>
      <c r="I4046" s="15" t="str">
        <f>IFERROR(__xludf.DUMMYFUNCTION("GOOGLETRANSLATE(H4046,""EN"",""ES"")"),"Otro")</f>
        <v>Otro</v>
      </c>
      <c r="J4046" s="16" t="s">
        <v>35</v>
      </c>
      <c r="K4046" s="48">
        <v>0.0</v>
      </c>
      <c r="L4046" s="45"/>
      <c r="M4046" s="18"/>
      <c r="N4046" s="94" t="s">
        <v>28736</v>
      </c>
      <c r="O4046" s="94" t="str">
        <f>IFERROR(__xludf.DUMMYFUNCTION("GOOGLETRANSLATE(N4046,""EN"",""ES"")"),"El análisis bursátil no impacta directamente en la imagen corporativa de Repsol.")</f>
        <v>El análisis bursátil no impacta directamente en la imagen corporativa de Repsol.</v>
      </c>
      <c r="P4046" s="30">
        <v>0.0</v>
      </c>
      <c r="Q4046" s="18"/>
      <c r="R4046" s="18"/>
      <c r="S4046" s="52" t="s">
        <v>17876</v>
      </c>
      <c r="T4046" s="22" t="s">
        <v>17877</v>
      </c>
    </row>
    <row r="4047">
      <c r="A4047" s="23" t="s">
        <v>28804</v>
      </c>
      <c r="B4047" s="77" t="s">
        <v>21</v>
      </c>
      <c r="C4047" s="41">
        <v>45595.0</v>
      </c>
      <c r="D4047" s="40" t="s">
        <v>28805</v>
      </c>
      <c r="E4047" s="41" t="s">
        <v>28806</v>
      </c>
      <c r="F4047" s="43" t="s">
        <v>28807</v>
      </c>
      <c r="G4047" s="43" t="s">
        <v>28808</v>
      </c>
      <c r="H4047" s="51" t="s">
        <v>26</v>
      </c>
      <c r="I4047" s="25" t="str">
        <f>IFERROR(__xludf.DUMMYFUNCTION("GOOGLETRANSLATE(H4047,""EN"",""ES"")"),"Otro")</f>
        <v>Otro</v>
      </c>
      <c r="J4047" s="26" t="s">
        <v>27</v>
      </c>
      <c r="K4047" s="17">
        <v>0.0</v>
      </c>
      <c r="L4047" s="54"/>
      <c r="M4047" s="31"/>
      <c r="N4047" s="93"/>
      <c r="O4047" s="93"/>
      <c r="P4047" s="20">
        <v>0.0</v>
      </c>
      <c r="Q4047" s="31"/>
      <c r="R4047" s="31"/>
      <c r="S4047" s="53"/>
      <c r="T4047" s="32"/>
    </row>
    <row r="4048">
      <c r="A4048" s="33" t="s">
        <v>28809</v>
      </c>
      <c r="B4048" s="76" t="s">
        <v>28810</v>
      </c>
      <c r="C4048" s="41">
        <v>45595.0</v>
      </c>
      <c r="D4048" s="40" t="s">
        <v>28811</v>
      </c>
      <c r="E4048" s="41" t="s">
        <v>28812</v>
      </c>
      <c r="F4048" s="43" t="s">
        <v>28813</v>
      </c>
      <c r="G4048" s="43" t="s">
        <v>28814</v>
      </c>
      <c r="H4048" s="51" t="s">
        <v>26</v>
      </c>
      <c r="I4048" s="15" t="str">
        <f>IFERROR(__xludf.DUMMYFUNCTION("GOOGLETRANSLATE(H4048,""EN"",""ES"")"),"Otro")</f>
        <v>Otro</v>
      </c>
      <c r="J4048" s="16" t="s">
        <v>35</v>
      </c>
      <c r="K4048" s="48">
        <v>0.0</v>
      </c>
      <c r="L4048" s="45"/>
      <c r="M4048" s="18"/>
      <c r="N4048" s="94" t="s">
        <v>28815</v>
      </c>
      <c r="O4048" s="94" t="str">
        <f>IFERROR(__xludf.DUMMYFUNCTION("GOOGLETRANSLATE(N4048,""EN"",""ES"")"),"No tiene relevancia directa con la imagen corporativa de Repsol.")</f>
        <v>No tiene relevancia directa con la imagen corporativa de Repsol.</v>
      </c>
      <c r="P4048" s="30">
        <v>0.0</v>
      </c>
      <c r="Q4048" s="18"/>
      <c r="R4048" s="18"/>
      <c r="S4048" s="52" t="s">
        <v>28816</v>
      </c>
      <c r="T4048" s="22" t="s">
        <v>28817</v>
      </c>
    </row>
    <row r="4049">
      <c r="A4049" s="23" t="s">
        <v>28818</v>
      </c>
      <c r="B4049" s="77" t="s">
        <v>28819</v>
      </c>
      <c r="C4049" s="41">
        <v>45595.0</v>
      </c>
      <c r="D4049" s="40" t="s">
        <v>28820</v>
      </c>
      <c r="E4049" s="41" t="s">
        <v>28821</v>
      </c>
      <c r="F4049" s="43" t="s">
        <v>28822</v>
      </c>
      <c r="G4049" s="43" t="s">
        <v>28823</v>
      </c>
      <c r="H4049" s="51" t="s">
        <v>55</v>
      </c>
      <c r="I4049" s="25" t="str">
        <f>IFERROR(__xludf.DUMMYFUNCTION("GOOGLETRANSLATE(H4049,""EN"",""ES"")"),"deportes de motor")</f>
        <v>deportes de motor</v>
      </c>
      <c r="J4049" s="26" t="s">
        <v>27</v>
      </c>
      <c r="K4049" s="17">
        <v>0.0</v>
      </c>
      <c r="L4049" s="54"/>
      <c r="M4049" s="31"/>
      <c r="N4049" s="93"/>
      <c r="O4049" s="93"/>
      <c r="P4049" s="20">
        <v>0.0</v>
      </c>
      <c r="Q4049" s="31"/>
      <c r="R4049" s="31"/>
      <c r="S4049" s="53"/>
      <c r="T4049" s="32"/>
    </row>
    <row r="4050">
      <c r="A4050" s="33" t="s">
        <v>28824</v>
      </c>
      <c r="B4050" s="76" t="s">
        <v>6567</v>
      </c>
      <c r="C4050" s="41">
        <v>45595.0</v>
      </c>
      <c r="D4050" s="40" t="s">
        <v>28825</v>
      </c>
      <c r="E4050" s="41" t="s">
        <v>28826</v>
      </c>
      <c r="F4050" s="43" t="s">
        <v>28827</v>
      </c>
      <c r="G4050" s="43" t="s">
        <v>28828</v>
      </c>
      <c r="H4050" s="51" t="s">
        <v>148</v>
      </c>
      <c r="I4050" s="15" t="str">
        <f>IFERROR(__xludf.DUMMYFUNCTION("GOOGLETRANSLATE(H4050,""EN"",""ES"")"),"Gastronomía")</f>
        <v>Gastronomía</v>
      </c>
      <c r="J4050" s="16" t="s">
        <v>27</v>
      </c>
      <c r="K4050" s="17">
        <v>0.0</v>
      </c>
      <c r="L4050" s="45"/>
      <c r="M4050" s="18"/>
      <c r="N4050" s="94"/>
      <c r="O4050" s="94"/>
      <c r="P4050" s="20">
        <v>0.0</v>
      </c>
      <c r="Q4050" s="18"/>
      <c r="R4050" s="18"/>
      <c r="S4050" s="52"/>
      <c r="T4050" s="22"/>
    </row>
    <row r="4051">
      <c r="A4051" s="23" t="s">
        <v>28829</v>
      </c>
      <c r="B4051" s="77" t="s">
        <v>881</v>
      </c>
      <c r="C4051" s="41">
        <v>45595.0</v>
      </c>
      <c r="D4051" s="40" t="s">
        <v>28830</v>
      </c>
      <c r="E4051" s="41" t="s">
        <v>28831</v>
      </c>
      <c r="F4051" s="43" t="s">
        <v>28832</v>
      </c>
      <c r="G4051" s="43" t="s">
        <v>28833</v>
      </c>
      <c r="H4051" s="51" t="s">
        <v>25072</v>
      </c>
      <c r="I4051" s="25" t="str">
        <f>IFERROR(__xludf.DUMMYFUNCTION("GOOGLETRANSLATE(H4051,""EN"",""ES"")"),"Petróleo y energía")</f>
        <v>Petróleo y energía</v>
      </c>
      <c r="J4051" s="26" t="s">
        <v>35</v>
      </c>
      <c r="K4051" s="48">
        <v>0.7</v>
      </c>
      <c r="L4051" s="49" t="s">
        <v>28834</v>
      </c>
      <c r="M4051" s="28" t="s">
        <v>28835</v>
      </c>
      <c r="N4051" s="93" t="s">
        <v>28836</v>
      </c>
      <c r="O4051" s="93" t="str">
        <f>IFERROR(__xludf.DUMMYFUNCTION("GOOGLETRANSLATE(N4051,""EN"",""ES"")"),"Positivo porque elimina un importante riesgo inversor para Repsol.")</f>
        <v>Positivo porque elimina un importante riesgo inversor para Repsol.</v>
      </c>
      <c r="P4051" s="30">
        <v>0.6</v>
      </c>
      <c r="Q4051" s="31" t="str">
        <f>IFERROR(__xludf.DUMMYFUNCTION("GOOGLETRANSLATE(R4051,""ES"",""EN"")"),"End to the tax")</f>
        <v>End to the tax</v>
      </c>
      <c r="R4051" s="28" t="s">
        <v>28837</v>
      </c>
      <c r="S4051" s="53" t="s">
        <v>28838</v>
      </c>
      <c r="T4051" s="32" t="s">
        <v>28839</v>
      </c>
    </row>
    <row r="4052">
      <c r="A4052" s="33" t="s">
        <v>28840</v>
      </c>
      <c r="B4052" s="76" t="s">
        <v>4038</v>
      </c>
      <c r="C4052" s="41">
        <v>45595.0</v>
      </c>
      <c r="D4052" s="40" t="s">
        <v>28841</v>
      </c>
      <c r="E4052" s="41" t="s">
        <v>28842</v>
      </c>
      <c r="F4052" s="43" t="s">
        <v>28843</v>
      </c>
      <c r="G4052" s="43" t="s">
        <v>28844</v>
      </c>
      <c r="H4052" s="51" t="s">
        <v>148</v>
      </c>
      <c r="I4052" s="15" t="str">
        <f>IFERROR(__xludf.DUMMYFUNCTION("GOOGLETRANSLATE(H4052,""EN"",""ES"")"),"Gastronomía")</f>
        <v>Gastronomía</v>
      </c>
      <c r="J4052" s="16" t="s">
        <v>27</v>
      </c>
      <c r="K4052" s="17">
        <v>0.0</v>
      </c>
      <c r="L4052" s="45"/>
      <c r="M4052" s="18"/>
      <c r="N4052" s="94"/>
      <c r="O4052" s="94"/>
      <c r="P4052" s="20">
        <v>0.0</v>
      </c>
      <c r="Q4052" s="18"/>
      <c r="R4052" s="18"/>
      <c r="S4052" s="52"/>
      <c r="T4052" s="22"/>
    </row>
    <row r="4053">
      <c r="A4053" s="23" t="s">
        <v>28845</v>
      </c>
      <c r="B4053" s="77" t="s">
        <v>1011</v>
      </c>
      <c r="C4053" s="41">
        <v>45595.0</v>
      </c>
      <c r="D4053" s="40" t="s">
        <v>28846</v>
      </c>
      <c r="E4053" s="41" t="s">
        <v>28847</v>
      </c>
      <c r="F4053" s="43" t="s">
        <v>28848</v>
      </c>
      <c r="G4053" s="43" t="s">
        <v>28849</v>
      </c>
      <c r="H4053" s="51" t="s">
        <v>26</v>
      </c>
      <c r="I4053" s="25" t="str">
        <f>IFERROR(__xludf.DUMMYFUNCTION("GOOGLETRANSLATE(H4053,""EN"",""ES"")"),"Otro")</f>
        <v>Otro</v>
      </c>
      <c r="J4053" s="26" t="s">
        <v>27</v>
      </c>
      <c r="K4053" s="17">
        <v>0.0</v>
      </c>
      <c r="L4053" s="54"/>
      <c r="M4053" s="31"/>
      <c r="N4053" s="93"/>
      <c r="O4053" s="93"/>
      <c r="P4053" s="20">
        <v>0.0</v>
      </c>
      <c r="Q4053" s="31"/>
      <c r="R4053" s="31"/>
      <c r="S4053" s="53"/>
      <c r="T4053" s="32"/>
    </row>
    <row r="4054">
      <c r="A4054" s="33" t="s">
        <v>28850</v>
      </c>
      <c r="B4054" s="76" t="s">
        <v>18119</v>
      </c>
      <c r="C4054" s="41">
        <v>45596.0</v>
      </c>
      <c r="D4054" s="40" t="s">
        <v>28851</v>
      </c>
      <c r="E4054" s="41" t="s">
        <v>28852</v>
      </c>
      <c r="F4054" s="43" t="s">
        <v>28853</v>
      </c>
      <c r="G4054" s="43" t="s">
        <v>28854</v>
      </c>
      <c r="H4054" s="51" t="s">
        <v>25072</v>
      </c>
      <c r="I4054" s="15" t="str">
        <f>IFERROR(__xludf.DUMMYFUNCTION("GOOGLETRANSLATE(H4054,""EN"",""ES"")"),"Petróleo y energía")</f>
        <v>Petróleo y energía</v>
      </c>
      <c r="J4054" s="16" t="s">
        <v>35</v>
      </c>
      <c r="K4054" s="48">
        <v>0.7</v>
      </c>
      <c r="L4054" s="51" t="s">
        <v>28855</v>
      </c>
      <c r="M4054" s="34" t="s">
        <v>28856</v>
      </c>
      <c r="N4054" s="94" t="s">
        <v>28857</v>
      </c>
      <c r="O4054" s="94" t="str">
        <f>IFERROR(__xludf.DUMMYFUNCTION("GOOGLETRANSLATE(N4054,""EN"",""ES"")"),"Positivo porque supone una resolución de los problemas fiscales que afectan a Repsol.")</f>
        <v>Positivo porque supone una resolución de los problemas fiscales que afectan a Repsol.</v>
      </c>
      <c r="P4054" s="30">
        <v>0.5</v>
      </c>
      <c r="Q4054" s="18" t="str">
        <f>IFERROR(__xludf.DUMMYFUNCTION("GOOGLETRANSLATE(R4054,""ES"",""EN"")"),"problem is over")</f>
        <v>problem is over</v>
      </c>
      <c r="R4054" s="34" t="s">
        <v>28858</v>
      </c>
      <c r="S4054" s="52" t="s">
        <v>28859</v>
      </c>
      <c r="T4054" s="22" t="s">
        <v>28860</v>
      </c>
    </row>
    <row r="4055">
      <c r="A4055" s="23" t="s">
        <v>28861</v>
      </c>
      <c r="B4055" s="77" t="s">
        <v>499</v>
      </c>
      <c r="C4055" s="41">
        <v>45596.0</v>
      </c>
      <c r="D4055" s="40" t="s">
        <v>28862</v>
      </c>
      <c r="E4055" s="41" t="s">
        <v>28863</v>
      </c>
      <c r="F4055" s="43" t="s">
        <v>28864</v>
      </c>
      <c r="G4055" s="43" t="s">
        <v>28865</v>
      </c>
      <c r="H4055" s="51" t="s">
        <v>25072</v>
      </c>
      <c r="I4055" s="25" t="str">
        <f>IFERROR(__xludf.DUMMYFUNCTION("GOOGLETRANSLATE(H4055,""EN"",""ES"")"),"Petróleo y energía")</f>
        <v>Petróleo y energía</v>
      </c>
      <c r="J4055" s="26" t="s">
        <v>35</v>
      </c>
      <c r="K4055" s="48">
        <v>0.6</v>
      </c>
      <c r="L4055" s="49" t="s">
        <v>28866</v>
      </c>
      <c r="M4055" s="28" t="s">
        <v>28867</v>
      </c>
      <c r="N4055" s="93" t="s">
        <v>28868</v>
      </c>
      <c r="O4055" s="93" t="str">
        <f>IFERROR(__xludf.DUMMYFUNCTION("GOOGLETRANSLATE(N4055,""EN"",""ES"")"),"Positivo porque tranquiliza a los inversores sobre la estabilidad financiera de Repsol.")</f>
        <v>Positivo porque tranquiliza a los inversores sobre la estabilidad financiera de Repsol.</v>
      </c>
      <c r="P4055" s="30">
        <v>0.4</v>
      </c>
      <c r="Q4055" s="31" t="str">
        <f>IFERROR(__xludf.DUMMYFUNCTION("GOOGLETRANSLATE(R4055,""ES"",""EN"")"),"dividend, ""increase""")</f>
        <v>dividend, "increase"</v>
      </c>
      <c r="R4055" s="28" t="s">
        <v>28869</v>
      </c>
      <c r="S4055" s="53" t="s">
        <v>28870</v>
      </c>
      <c r="T4055" s="32" t="s">
        <v>28871</v>
      </c>
    </row>
    <row r="4056">
      <c r="A4056" s="33" t="s">
        <v>28872</v>
      </c>
      <c r="B4056" s="76" t="s">
        <v>163</v>
      </c>
      <c r="C4056" s="41">
        <v>45596.0</v>
      </c>
      <c r="D4056" s="40" t="s">
        <v>28873</v>
      </c>
      <c r="E4056" s="41" t="s">
        <v>28874</v>
      </c>
      <c r="F4056" s="43" t="s">
        <v>28875</v>
      </c>
      <c r="G4056" s="43" t="s">
        <v>28876</v>
      </c>
      <c r="H4056" s="51" t="s">
        <v>26</v>
      </c>
      <c r="I4056" s="15" t="str">
        <f>IFERROR(__xludf.DUMMYFUNCTION("GOOGLETRANSLATE(H4056,""EN"",""ES"")"),"Otro")</f>
        <v>Otro</v>
      </c>
      <c r="J4056" s="16" t="s">
        <v>27</v>
      </c>
      <c r="K4056" s="17">
        <v>0.0</v>
      </c>
      <c r="L4056" s="45"/>
      <c r="M4056" s="18"/>
      <c r="N4056" s="94"/>
      <c r="O4056" s="94"/>
      <c r="P4056" s="20">
        <v>0.0</v>
      </c>
      <c r="Q4056" s="18"/>
      <c r="R4056" s="18"/>
      <c r="S4056" s="52"/>
      <c r="T4056" s="22"/>
    </row>
    <row r="4057">
      <c r="A4057" s="23" t="s">
        <v>28877</v>
      </c>
      <c r="B4057" s="77" t="s">
        <v>217</v>
      </c>
      <c r="C4057" s="41">
        <v>45596.0</v>
      </c>
      <c r="D4057" s="40" t="s">
        <v>28878</v>
      </c>
      <c r="E4057" s="41" t="s">
        <v>28879</v>
      </c>
      <c r="F4057" s="43" t="s">
        <v>28880</v>
      </c>
      <c r="G4057" s="43" t="s">
        <v>28881</v>
      </c>
      <c r="H4057" s="51" t="s">
        <v>25072</v>
      </c>
      <c r="I4057" s="25" t="str">
        <f>IFERROR(__xludf.DUMMYFUNCTION("GOOGLETRANSLATE(H4057,""EN"",""ES"")"),"Petróleo y energía")</f>
        <v>Petróleo y energía</v>
      </c>
      <c r="J4057" s="26" t="s">
        <v>35</v>
      </c>
      <c r="K4057" s="48">
        <v>-0.5</v>
      </c>
      <c r="L4057" s="49" t="s">
        <v>28882</v>
      </c>
      <c r="M4057" s="28" t="s">
        <v>28883</v>
      </c>
      <c r="N4057" s="93" t="s">
        <v>28884</v>
      </c>
      <c r="O4057" s="93" t="str">
        <f>IFERROR(__xludf.DUMMYFUNCTION("GOOGLETRANSLATE(N4057,""EN"",""ES"")"),"Ligeramente negativo ya que destaca una caída importante de los beneficios.")</f>
        <v>Ligeramente negativo ya que destaca una caída importante de los beneficios.</v>
      </c>
      <c r="P4057" s="30">
        <v>-0.2</v>
      </c>
      <c r="Q4057" s="31" t="str">
        <f>IFERROR(__xludf.DUMMYFUNCTION("GOOGLETRANSLATE(R4057,""ES"",""EN"")"),"wins, ""36% less""")</f>
        <v>wins, "36% less"</v>
      </c>
      <c r="R4057" s="28" t="s">
        <v>28885</v>
      </c>
      <c r="S4057" s="53" t="s">
        <v>28886</v>
      </c>
      <c r="T4057" s="32" t="s">
        <v>28887</v>
      </c>
    </row>
    <row r="4058">
      <c r="A4058" s="33" t="s">
        <v>28888</v>
      </c>
      <c r="B4058" s="76" t="s">
        <v>28889</v>
      </c>
      <c r="C4058" s="41">
        <v>45596.0</v>
      </c>
      <c r="D4058" s="40" t="s">
        <v>28890</v>
      </c>
      <c r="E4058" s="41" t="s">
        <v>28891</v>
      </c>
      <c r="F4058" s="43" t="s">
        <v>28892</v>
      </c>
      <c r="G4058" s="43" t="s">
        <v>28893</v>
      </c>
      <c r="H4058" s="51" t="s">
        <v>25072</v>
      </c>
      <c r="I4058" s="15" t="str">
        <f>IFERROR(__xludf.DUMMYFUNCTION("GOOGLETRANSLATE(H4058,""EN"",""ES"")"),"Petróleo y energía")</f>
        <v>Petróleo y energía</v>
      </c>
      <c r="J4058" s="16" t="s">
        <v>35</v>
      </c>
      <c r="K4058" s="48">
        <v>0.7</v>
      </c>
      <c r="L4058" s="51" t="s">
        <v>28702</v>
      </c>
      <c r="M4058" s="34" t="s">
        <v>28703</v>
      </c>
      <c r="N4058" s="94" t="s">
        <v>28894</v>
      </c>
      <c r="O4058" s="94" t="str">
        <f>IFERROR(__xludf.DUMMYFUNCTION("GOOGLETRANSLATE(N4058,""EN"",""ES"")"),"Positivo porque enfatiza el impulso de Repsol hacia los combustibles sostenibles.")</f>
        <v>Positivo porque enfatiza el impulso de Repsol hacia los combustibles sostenibles.</v>
      </c>
      <c r="P4058" s="30">
        <v>0.5</v>
      </c>
      <c r="Q4058" s="18" t="str">
        <f>IFERROR(__xludf.DUMMYFUNCTION("GOOGLETRANSLATE(R4058,""ES"",""EN"")"),"renewable, ""premium""")</f>
        <v>renewable, "premium"</v>
      </c>
      <c r="R4058" s="34" t="s">
        <v>28694</v>
      </c>
      <c r="S4058" s="52" t="s">
        <v>28695</v>
      </c>
      <c r="T4058" s="22" t="s">
        <v>28696</v>
      </c>
    </row>
    <row r="4059">
      <c r="A4059" s="23" t="s">
        <v>28895</v>
      </c>
      <c r="B4059" s="77" t="s">
        <v>8390</v>
      </c>
      <c r="C4059" s="41">
        <v>45596.0</v>
      </c>
      <c r="D4059" s="40" t="s">
        <v>28896</v>
      </c>
      <c r="E4059" s="41" t="s">
        <v>28897</v>
      </c>
      <c r="F4059" s="43" t="s">
        <v>28898</v>
      </c>
      <c r="G4059" s="43" t="s">
        <v>28899</v>
      </c>
      <c r="H4059" s="51" t="s">
        <v>25072</v>
      </c>
      <c r="I4059" s="25" t="str">
        <f>IFERROR(__xludf.DUMMYFUNCTION("GOOGLETRANSLATE(H4059,""EN"",""ES"")"),"Petróleo y energía")</f>
        <v>Petróleo y energía</v>
      </c>
      <c r="J4059" s="26" t="s">
        <v>35</v>
      </c>
      <c r="K4059" s="48">
        <v>-0.5</v>
      </c>
      <c r="L4059" s="49" t="s">
        <v>28900</v>
      </c>
      <c r="M4059" s="28" t="s">
        <v>28901</v>
      </c>
      <c r="N4059" s="93" t="s">
        <v>28902</v>
      </c>
      <c r="O4059" s="93" t="str">
        <f>IFERROR(__xludf.DUMMYFUNCTION("GOOGLETRANSLATE(N4059,""EN"",""ES"")"),"Ligeramente negativo ya que pone de relieve las dificultades financieras debidas a las condiciones del mercado externo.")</f>
        <v>Ligeramente negativo ya que pone de relieve las dificultades financieras debidas a las condiciones del mercado externo.</v>
      </c>
      <c r="P4059" s="30">
        <v>-0.2</v>
      </c>
      <c r="Q4059" s="31" t="str">
        <f>IFERROR(__xludf.DUMMYFUNCTION("GOOGLETRANSLATE(R4059,""ES"",""EN"")"),"wins, ""36% less""")</f>
        <v>wins, "36% less"</v>
      </c>
      <c r="R4059" s="28" t="s">
        <v>28885</v>
      </c>
      <c r="S4059" s="53" t="s">
        <v>28903</v>
      </c>
      <c r="T4059" s="32" t="s">
        <v>28904</v>
      </c>
    </row>
    <row r="4060">
      <c r="A4060" s="33" t="s">
        <v>28905</v>
      </c>
      <c r="B4060" s="76" t="s">
        <v>1768</v>
      </c>
      <c r="C4060" s="41">
        <v>45596.0</v>
      </c>
      <c r="D4060" s="40" t="s">
        <v>28906</v>
      </c>
      <c r="E4060" s="41" t="s">
        <v>28907</v>
      </c>
      <c r="F4060" s="43" t="s">
        <v>28908</v>
      </c>
      <c r="G4060" s="43" t="s">
        <v>28909</v>
      </c>
      <c r="H4060" s="51" t="s">
        <v>25072</v>
      </c>
      <c r="I4060" s="15" t="str">
        <f>IFERROR(__xludf.DUMMYFUNCTION("GOOGLETRANSLATE(H4060,""EN"",""ES"")"),"Petróleo y energía")</f>
        <v>Petróleo y energía</v>
      </c>
      <c r="J4060" s="16" t="s">
        <v>35</v>
      </c>
      <c r="K4060" s="48">
        <v>0.7</v>
      </c>
      <c r="L4060" s="51" t="s">
        <v>28910</v>
      </c>
      <c r="M4060" s="34" t="s">
        <v>28911</v>
      </c>
      <c r="N4060" s="94" t="s">
        <v>28912</v>
      </c>
      <c r="O4060" s="94" t="str">
        <f>IFERROR(__xludf.DUMMYFUNCTION("GOOGLETRANSLATE(N4060,""EN"",""ES"")"),"Positivo ya que señala una mejora del clima inversor para Repsol.")</f>
        <v>Positivo ya que señala una mejora del clima inversor para Repsol.</v>
      </c>
      <c r="P4060" s="30">
        <v>0.7</v>
      </c>
      <c r="Q4060" s="18" t="str">
        <f>IFERROR(__xludf.DUMMYFUNCTION("GOOGLETRANSLATE(R4060,""ES"",""EN"")"),"celebrates, ""problem over""")</f>
        <v>celebrates, "problem over"</v>
      </c>
      <c r="R4060" s="34" t="s">
        <v>28913</v>
      </c>
      <c r="S4060" s="52" t="s">
        <v>28914</v>
      </c>
      <c r="T4060" s="22" t="s">
        <v>28915</v>
      </c>
    </row>
    <row r="4061">
      <c r="A4061" s="23" t="s">
        <v>28916</v>
      </c>
      <c r="B4061" s="77" t="s">
        <v>1128</v>
      </c>
      <c r="C4061" s="41">
        <v>45596.0</v>
      </c>
      <c r="D4061" s="40" t="s">
        <v>28917</v>
      </c>
      <c r="E4061" s="41" t="s">
        <v>28918</v>
      </c>
      <c r="F4061" s="43" t="s">
        <v>28919</v>
      </c>
      <c r="G4061" s="43" t="s">
        <v>28920</v>
      </c>
      <c r="H4061" s="51" t="s">
        <v>25072</v>
      </c>
      <c r="I4061" s="25" t="str">
        <f>IFERROR(__xludf.DUMMYFUNCTION("GOOGLETRANSLATE(H4061,""EN"",""ES"")"),"Petróleo y energía")</f>
        <v>Petróleo y energía</v>
      </c>
      <c r="J4061" s="26" t="s">
        <v>35</v>
      </c>
      <c r="K4061" s="48">
        <v>0.7</v>
      </c>
      <c r="L4061" s="49" t="s">
        <v>28921</v>
      </c>
      <c r="M4061" s="28" t="s">
        <v>28922</v>
      </c>
      <c r="N4061" s="93" t="s">
        <v>28923</v>
      </c>
      <c r="O4061" s="93" t="str">
        <f>IFERROR(__xludf.DUMMYFUNCTION("GOOGLETRANSLATE(N4061,""EN"",""ES"")"),"Positivo ya que destaca las inversiones renovadas tras la desgravación fiscal.")</f>
        <v>Positivo ya que destaca las inversiones renovadas tras la desgravación fiscal.</v>
      </c>
      <c r="P4061" s="30">
        <v>0.6</v>
      </c>
      <c r="Q4061" s="31" t="str">
        <f>IFERROR(__xludf.DUMMYFUNCTION("GOOGLETRANSLATE(R4061,""ES"",""EN"")"),"reactive, ""investments""")</f>
        <v>reactive, "investments"</v>
      </c>
      <c r="R4061" s="28" t="s">
        <v>28924</v>
      </c>
      <c r="S4061" s="53" t="s">
        <v>28925</v>
      </c>
      <c r="T4061" s="32" t="s">
        <v>28926</v>
      </c>
    </row>
    <row r="4062">
      <c r="A4062" s="33" t="s">
        <v>28927</v>
      </c>
      <c r="B4062" s="76" t="s">
        <v>666</v>
      </c>
      <c r="C4062" s="41">
        <v>45596.0</v>
      </c>
      <c r="D4062" s="40" t="s">
        <v>28928</v>
      </c>
      <c r="E4062" s="41" t="s">
        <v>28929</v>
      </c>
      <c r="F4062" s="43" t="s">
        <v>28930</v>
      </c>
      <c r="G4062" s="43" t="s">
        <v>28931</v>
      </c>
      <c r="H4062" s="51" t="s">
        <v>25072</v>
      </c>
      <c r="I4062" s="15" t="str">
        <f>IFERROR(__xludf.DUMMYFUNCTION("GOOGLETRANSLATE(H4062,""EN"",""ES"")"),"Petróleo y energía")</f>
        <v>Petróleo y energía</v>
      </c>
      <c r="J4062" s="16" t="s">
        <v>35</v>
      </c>
      <c r="K4062" s="48">
        <v>-0.5</v>
      </c>
      <c r="L4062" s="51" t="s">
        <v>28932</v>
      </c>
      <c r="M4062" s="34" t="s">
        <v>28933</v>
      </c>
      <c r="N4062" s="94" t="s">
        <v>28934</v>
      </c>
      <c r="O4062" s="94" t="str">
        <f>IFERROR(__xludf.DUMMYFUNCTION("GOOGLETRANSLATE(N4062,""EN"",""ES"")"),"Ligeramente negativo ya que enfatiza el bajo desempeño financiero.")</f>
        <v>Ligeramente negativo ya que enfatiza el bajo desempeño financiero.</v>
      </c>
      <c r="P4062" s="30">
        <v>-0.3</v>
      </c>
      <c r="Q4062" s="18" t="str">
        <f>IFERROR(__xludf.DUMMYFUNCTION("GOOGLETRANSLATE(R4062,""ES"",""EN"")"),"36% less")</f>
        <v>36% less</v>
      </c>
      <c r="R4062" s="34" t="s">
        <v>28935</v>
      </c>
      <c r="S4062" s="52" t="s">
        <v>28936</v>
      </c>
      <c r="T4062" s="22" t="s">
        <v>28937</v>
      </c>
    </row>
    <row r="4063">
      <c r="A4063" s="23" t="s">
        <v>28938</v>
      </c>
      <c r="B4063" s="77" t="s">
        <v>558</v>
      </c>
      <c r="C4063" s="41">
        <v>45596.0</v>
      </c>
      <c r="D4063" s="40" t="s">
        <v>28939</v>
      </c>
      <c r="E4063" s="41" t="s">
        <v>28940</v>
      </c>
      <c r="F4063" s="43" t="s">
        <v>28941</v>
      </c>
      <c r="G4063" s="43" t="s">
        <v>28942</v>
      </c>
      <c r="H4063" s="51" t="s">
        <v>25072</v>
      </c>
      <c r="I4063" s="25" t="str">
        <f>IFERROR(__xludf.DUMMYFUNCTION("GOOGLETRANSLATE(H4063,""EN"",""ES"")"),"Petróleo y energía")</f>
        <v>Petróleo y energía</v>
      </c>
      <c r="J4063" s="26" t="s">
        <v>35</v>
      </c>
      <c r="K4063" s="48">
        <v>-0.2</v>
      </c>
      <c r="L4063" s="49" t="s">
        <v>28943</v>
      </c>
      <c r="M4063" s="28" t="s">
        <v>28944</v>
      </c>
      <c r="N4063" s="93" t="s">
        <v>28945</v>
      </c>
      <c r="O4063" s="93" t="str">
        <f>IFERROR(__xludf.DUMMYFUNCTION("GOOGLETRANSLATE(N4063,""EN"",""ES"")"),"Impacto mixto, ya que las ganancias disminuyen pero los pagos de dividendos aumentan.")</f>
        <v>Impacto mixto, ya que las ganancias disminuyen pero los pagos de dividendos aumentan.</v>
      </c>
      <c r="P4063" s="30">
        <v>0.1</v>
      </c>
      <c r="Q4063" s="31" t="str">
        <f>IFERROR(__xludf.DUMMYFUNCTION("GOOGLETRANSLATE(R4063,""ES"",""EN"")"),"reduces profit, ""intensifies dividend""")</f>
        <v>reduces profit, "intensifies dividend"</v>
      </c>
      <c r="R4063" s="28" t="s">
        <v>28946</v>
      </c>
      <c r="S4063" s="53" t="s">
        <v>28947</v>
      </c>
      <c r="T4063" s="32" t="s">
        <v>28948</v>
      </c>
    </row>
    <row r="4064">
      <c r="A4064" s="33" t="s">
        <v>28949</v>
      </c>
      <c r="B4064" s="76" t="s">
        <v>85</v>
      </c>
      <c r="C4064" s="41">
        <v>45596.0</v>
      </c>
      <c r="D4064" s="40" t="s">
        <v>28950</v>
      </c>
      <c r="E4064" s="41" t="s">
        <v>28951</v>
      </c>
      <c r="F4064" s="43" t="s">
        <v>28952</v>
      </c>
      <c r="G4064" s="43" t="s">
        <v>28953</v>
      </c>
      <c r="H4064" s="51" t="s">
        <v>25072</v>
      </c>
      <c r="I4064" s="15" t="str">
        <f>IFERROR(__xludf.DUMMYFUNCTION("GOOGLETRANSLATE(H4064,""EN"",""ES"")"),"Petróleo y energía")</f>
        <v>Petróleo y energía</v>
      </c>
      <c r="J4064" s="16" t="s">
        <v>35</v>
      </c>
      <c r="K4064" s="48">
        <v>-0.5</v>
      </c>
      <c r="L4064" s="51" t="s">
        <v>28954</v>
      </c>
      <c r="M4064" s="34" t="s">
        <v>28955</v>
      </c>
      <c r="N4064" s="94" t="s">
        <v>28956</v>
      </c>
      <c r="O4064" s="94" t="str">
        <f>IFERROR(__xludf.DUMMYFUNCTION("GOOGLETRANSLATE(N4064,""EN"",""ES"")"),"Ligeramente negativo ya que enfatiza las dificultades financieras.")</f>
        <v>Ligeramente negativo ya que enfatiza las dificultades financieras.</v>
      </c>
      <c r="P4064" s="30">
        <v>-0.3</v>
      </c>
      <c r="Q4064" s="18" t="str">
        <f>IFERROR(__xludf.DUMMYFUNCTION("GOOGLETRANSLATE(R4064,""ES"",""EN"")"),"36% less")</f>
        <v>36% less</v>
      </c>
      <c r="R4064" s="34" t="s">
        <v>28935</v>
      </c>
      <c r="S4064" s="52" t="s">
        <v>28957</v>
      </c>
      <c r="T4064" s="22" t="s">
        <v>28958</v>
      </c>
    </row>
    <row r="4065">
      <c r="A4065" s="23" t="s">
        <v>28959</v>
      </c>
      <c r="B4065" s="77" t="s">
        <v>192</v>
      </c>
      <c r="C4065" s="41">
        <v>45596.0</v>
      </c>
      <c r="D4065" s="40" t="s">
        <v>28960</v>
      </c>
      <c r="E4065" s="41" t="s">
        <v>28961</v>
      </c>
      <c r="F4065" s="43" t="s">
        <v>28962</v>
      </c>
      <c r="G4065" s="43" t="s">
        <v>28963</v>
      </c>
      <c r="H4065" s="51" t="s">
        <v>25072</v>
      </c>
      <c r="I4065" s="25" t="str">
        <f>IFERROR(__xludf.DUMMYFUNCTION("GOOGLETRANSLATE(H4065,""EN"",""ES"")"),"Petróleo y energía")</f>
        <v>Petróleo y energía</v>
      </c>
      <c r="J4065" s="26" t="s">
        <v>35</v>
      </c>
      <c r="K4065" s="48">
        <v>-0.2</v>
      </c>
      <c r="L4065" s="49" t="s">
        <v>28964</v>
      </c>
      <c r="M4065" s="28" t="s">
        <v>28965</v>
      </c>
      <c r="N4065" s="93" t="s">
        <v>28966</v>
      </c>
      <c r="O4065" s="93" t="str">
        <f>IFERROR(__xludf.DUMMYFUNCTION("GOOGLETRANSLATE(N4065,""EN"",""ES"")"),"Impacto mixto, ya que los beneficios están disminuyendo pero los aumentos de dividendos podrían tranquilizar a los inversores.")</f>
        <v>Impacto mixto, ya que los beneficios están disminuyendo pero los aumentos de dividendos podrían tranquilizar a los inversores.</v>
      </c>
      <c r="P4065" s="30">
        <v>0.1</v>
      </c>
      <c r="Q4065" s="31" t="str">
        <f>IFERROR(__xludf.DUMMYFUNCTION("GOOGLETRANSLATE(R4065,""ES"",""EN"")"),"36% less, ""boosting dividend""")</f>
        <v>36% less, "boosting dividend"</v>
      </c>
      <c r="R4065" s="28" t="s">
        <v>28967</v>
      </c>
      <c r="S4065" s="53" t="s">
        <v>28968</v>
      </c>
      <c r="T4065" s="32" t="s">
        <v>28969</v>
      </c>
    </row>
    <row r="4066">
      <c r="A4066" s="33" t="s">
        <v>28970</v>
      </c>
      <c r="B4066" s="76" t="s">
        <v>103</v>
      </c>
      <c r="C4066" s="41">
        <v>45596.0</v>
      </c>
      <c r="D4066" s="40" t="s">
        <v>28971</v>
      </c>
      <c r="E4066" s="41" t="s">
        <v>28972</v>
      </c>
      <c r="F4066" s="43" t="s">
        <v>28973</v>
      </c>
      <c r="G4066" s="43" t="s">
        <v>28974</v>
      </c>
      <c r="H4066" s="51" t="s">
        <v>25072</v>
      </c>
      <c r="I4066" s="15" t="str">
        <f>IFERROR(__xludf.DUMMYFUNCTION("GOOGLETRANSLATE(H4066,""EN"",""ES"")"),"Petróleo y energía")</f>
        <v>Petróleo y energía</v>
      </c>
      <c r="J4066" s="16" t="s">
        <v>35</v>
      </c>
      <c r="K4066" s="48">
        <v>-0.3</v>
      </c>
      <c r="L4066" s="51" t="s">
        <v>28975</v>
      </c>
      <c r="M4066" s="34" t="s">
        <v>28976</v>
      </c>
      <c r="N4066" s="94" t="s">
        <v>28977</v>
      </c>
      <c r="O4066" s="94" t="str">
        <f>IFERROR(__xludf.DUMMYFUNCTION("GOOGLETRANSLATE(N4066,""EN"",""ES"")"),"Ligeramente negativo ya que pone de relieve la caída financiera, pero la resolución fiscal es un factor positivo.")</f>
        <v>Ligeramente negativo ya que pone de relieve la caída financiera, pero la resolución fiscal es un factor positivo.</v>
      </c>
      <c r="P4066" s="30">
        <v>-0.3</v>
      </c>
      <c r="Q4066" s="18" t="str">
        <f>IFERROR(__xludf.DUMMYFUNCTION("GOOGLETRANSLATE(R4066,""ES"",""EN"")"),"36% less")</f>
        <v>36% less</v>
      </c>
      <c r="R4066" s="34" t="s">
        <v>28935</v>
      </c>
      <c r="S4066" s="52" t="s">
        <v>28957</v>
      </c>
      <c r="T4066" s="22" t="s">
        <v>28958</v>
      </c>
    </row>
    <row r="4067">
      <c r="A4067" s="23" t="s">
        <v>28978</v>
      </c>
      <c r="B4067" s="77" t="s">
        <v>3067</v>
      </c>
      <c r="C4067" s="41">
        <v>45596.0</v>
      </c>
      <c r="D4067" s="40" t="s">
        <v>28979</v>
      </c>
      <c r="E4067" s="41" t="s">
        <v>28980</v>
      </c>
      <c r="F4067" s="43" t="s">
        <v>28981</v>
      </c>
      <c r="G4067" s="43" t="s">
        <v>28982</v>
      </c>
      <c r="H4067" s="51" t="s">
        <v>25072</v>
      </c>
      <c r="I4067" s="25" t="str">
        <f>IFERROR(__xludf.DUMMYFUNCTION("GOOGLETRANSLATE(H4067,""EN"",""ES"")"),"Petróleo y energía")</f>
        <v>Petróleo y energía</v>
      </c>
      <c r="J4067" s="26" t="s">
        <v>35</v>
      </c>
      <c r="K4067" s="48">
        <v>0.7</v>
      </c>
      <c r="L4067" s="49" t="s">
        <v>28921</v>
      </c>
      <c r="M4067" s="28" t="s">
        <v>28922</v>
      </c>
      <c r="N4067" s="93" t="s">
        <v>28983</v>
      </c>
      <c r="O4067" s="93" t="str">
        <f>IFERROR(__xludf.DUMMYFUNCTION("GOOGLETRANSLATE(N4067,""EN"",""ES"")"),"Positivo ya que indica una mejora de las perspectivas de inversión.")</f>
        <v>Positivo ya que indica una mejora de las perspectivas de inversión.</v>
      </c>
      <c r="P4067" s="30">
        <v>0.6</v>
      </c>
      <c r="Q4067" s="31" t="str">
        <f>IFERROR(__xludf.DUMMYFUNCTION("GOOGLETRANSLATE(R4067,""ES"",""EN"")"),"will reactivate, ""investments""")</f>
        <v>will reactivate, "investments"</v>
      </c>
      <c r="R4067" s="28" t="s">
        <v>28984</v>
      </c>
      <c r="S4067" s="53" t="s">
        <v>28985</v>
      </c>
      <c r="T4067" s="32" t="s">
        <v>28986</v>
      </c>
    </row>
    <row r="4068">
      <c r="A4068" s="33" t="s">
        <v>28987</v>
      </c>
      <c r="B4068" s="76" t="s">
        <v>8884</v>
      </c>
      <c r="C4068" s="41">
        <v>45596.0</v>
      </c>
      <c r="D4068" s="40" t="s">
        <v>28988</v>
      </c>
      <c r="E4068" s="41" t="s">
        <v>28989</v>
      </c>
      <c r="F4068" s="43" t="s">
        <v>28990</v>
      </c>
      <c r="G4068" s="43" t="s">
        <v>28991</v>
      </c>
      <c r="H4068" s="51" t="s">
        <v>25072</v>
      </c>
      <c r="I4068" s="15" t="str">
        <f>IFERROR(__xludf.DUMMYFUNCTION("GOOGLETRANSLATE(H4068,""EN"",""ES"")"),"Petróleo y energía")</f>
        <v>Petróleo y energía</v>
      </c>
      <c r="J4068" s="16" t="s">
        <v>35</v>
      </c>
      <c r="K4068" s="48">
        <v>-0.5</v>
      </c>
      <c r="L4068" s="51" t="s">
        <v>28992</v>
      </c>
      <c r="M4068" s="34" t="s">
        <v>28993</v>
      </c>
      <c r="N4068" s="94" t="s">
        <v>28994</v>
      </c>
      <c r="O4068" s="94" t="str">
        <f>IFERROR(__xludf.DUMMYFUNCTION("GOOGLETRANSLATE(N4068,""EN"",""ES"")"),"Ligeramente negativo ya que confirma un menor desempeño financiero.")</f>
        <v>Ligeramente negativo ya que confirma un menor desempeño financiero.</v>
      </c>
      <c r="P4068" s="30">
        <v>0.0</v>
      </c>
      <c r="Q4068" s="18"/>
      <c r="R4068" s="18"/>
      <c r="S4068" s="52" t="s">
        <v>17876</v>
      </c>
      <c r="T4068" s="22" t="s">
        <v>17877</v>
      </c>
    </row>
    <row r="4069">
      <c r="A4069" s="23" t="s">
        <v>28995</v>
      </c>
      <c r="B4069" s="77" t="s">
        <v>1602</v>
      </c>
      <c r="C4069" s="41">
        <v>45596.0</v>
      </c>
      <c r="D4069" s="40" t="s">
        <v>28996</v>
      </c>
      <c r="E4069" s="41" t="s">
        <v>28989</v>
      </c>
      <c r="F4069" s="43" t="s">
        <v>28997</v>
      </c>
      <c r="G4069" s="43" t="s">
        <v>28991</v>
      </c>
      <c r="H4069" s="51" t="s">
        <v>25072</v>
      </c>
      <c r="I4069" s="25" t="str">
        <f>IFERROR(__xludf.DUMMYFUNCTION("GOOGLETRANSLATE(H4069,""EN"",""ES"")"),"Petróleo y energía")</f>
        <v>Petróleo y energía</v>
      </c>
      <c r="J4069" s="26" t="s">
        <v>35</v>
      </c>
      <c r="K4069" s="48">
        <v>-0.5</v>
      </c>
      <c r="L4069" s="49" t="s">
        <v>28998</v>
      </c>
      <c r="M4069" s="28" t="s">
        <v>28999</v>
      </c>
      <c r="N4069" s="93" t="s">
        <v>29000</v>
      </c>
      <c r="O4069" s="93" t="str">
        <f>IFERROR(__xludf.DUMMYFUNCTION("GOOGLETRANSLATE(N4069,""EN"",""ES"")"),"Ligeramente negativo ya que refuerza las preocupaciones sobre el desempeño financiero.")</f>
        <v>Ligeramente negativo ya que refuerza las preocupaciones sobre el desempeño financiero.</v>
      </c>
      <c r="P4069" s="30">
        <v>-0.3</v>
      </c>
      <c r="Q4069" s="31" t="str">
        <f>IFERROR(__xludf.DUMMYFUNCTION("GOOGLETRANSLATE(R4069,""ES"",""EN"")"),"36% less")</f>
        <v>36% less</v>
      </c>
      <c r="R4069" s="28" t="s">
        <v>28935</v>
      </c>
      <c r="S4069" s="53" t="s">
        <v>28957</v>
      </c>
      <c r="T4069" s="32" t="s">
        <v>28958</v>
      </c>
    </row>
    <row r="4070">
      <c r="A4070" s="33" t="s">
        <v>29001</v>
      </c>
      <c r="B4070" s="76" t="s">
        <v>2696</v>
      </c>
      <c r="C4070" s="41">
        <v>45596.0</v>
      </c>
      <c r="D4070" s="40" t="s">
        <v>29002</v>
      </c>
      <c r="E4070" s="41" t="s">
        <v>29003</v>
      </c>
      <c r="F4070" s="43" t="s">
        <v>29004</v>
      </c>
      <c r="G4070" s="43" t="s">
        <v>29005</v>
      </c>
      <c r="H4070" s="51" t="s">
        <v>25072</v>
      </c>
      <c r="I4070" s="15" t="str">
        <f>IFERROR(__xludf.DUMMYFUNCTION("GOOGLETRANSLATE(H4070,""EN"",""ES"")"),"Petróleo y energía")</f>
        <v>Petróleo y energía</v>
      </c>
      <c r="J4070" s="16" t="s">
        <v>35</v>
      </c>
      <c r="K4070" s="48">
        <v>-0.5</v>
      </c>
      <c r="L4070" s="51" t="s">
        <v>29006</v>
      </c>
      <c r="M4070" s="34" t="s">
        <v>29007</v>
      </c>
      <c r="N4070" s="94" t="s">
        <v>29008</v>
      </c>
      <c r="O4070" s="94" t="str">
        <f>IFERROR(__xludf.DUMMYFUNCTION("GOOGLETRANSLATE(N4070,""EN"",""ES"")"),"Ligeramente negativo ya que pone de relieve una caída financiera.")</f>
        <v>Ligeramente negativo ya que pone de relieve una caída financiera.</v>
      </c>
      <c r="P4070" s="30">
        <v>-0.4</v>
      </c>
      <c r="Q4070" s="18" t="str">
        <f>IFERROR(__xludf.DUMMYFUNCTION("GOOGLETRANSLATE(R4070,""ES"",""EN"")"),"falls 36%")</f>
        <v>falls 36%</v>
      </c>
      <c r="R4070" s="34" t="s">
        <v>29009</v>
      </c>
      <c r="S4070" s="52" t="s">
        <v>28936</v>
      </c>
      <c r="T4070" s="22" t="s">
        <v>28937</v>
      </c>
    </row>
    <row r="4071">
      <c r="A4071" s="23" t="s">
        <v>29010</v>
      </c>
      <c r="B4071" s="77" t="s">
        <v>217</v>
      </c>
      <c r="C4071" s="41">
        <v>45596.0</v>
      </c>
      <c r="D4071" s="40" t="s">
        <v>29011</v>
      </c>
      <c r="E4071" s="41" t="s">
        <v>29012</v>
      </c>
      <c r="F4071" s="43" t="s">
        <v>29013</v>
      </c>
      <c r="G4071" s="43" t="s">
        <v>29014</v>
      </c>
      <c r="H4071" s="51" t="s">
        <v>25072</v>
      </c>
      <c r="I4071" s="25" t="str">
        <f>IFERROR(__xludf.DUMMYFUNCTION("GOOGLETRANSLATE(H4071,""EN"",""ES"")"),"Petróleo y energía")</f>
        <v>Petróleo y energía</v>
      </c>
      <c r="J4071" s="26" t="s">
        <v>35</v>
      </c>
      <c r="K4071" s="48">
        <v>-0.3</v>
      </c>
      <c r="L4071" s="49" t="s">
        <v>29015</v>
      </c>
      <c r="M4071" s="28" t="s">
        <v>29016</v>
      </c>
      <c r="N4071" s="93" t="s">
        <v>29017</v>
      </c>
      <c r="O4071" s="93" t="str">
        <f>IFERROR(__xludf.DUMMYFUNCTION("GOOGLETRANSLATE(N4071,""EN"",""ES"")"),"Ligeramente negativo ya que sugiere una reducción de las inversiones en energías renovables.")</f>
        <v>Ligeramente negativo ya que sugiere una reducción de las inversiones en energías renovables.</v>
      </c>
      <c r="P4071" s="30">
        <v>0.2</v>
      </c>
      <c r="Q4071" s="31" t="str">
        <f>IFERROR(__xludf.DUMMYFUNCTION("GOOGLETRANSLATE(R4071,""ES"",""EN"")"),"sales, ""renewables""")</f>
        <v>sales, "renewables"</v>
      </c>
      <c r="R4071" s="28" t="s">
        <v>29018</v>
      </c>
      <c r="S4071" s="53" t="s">
        <v>29019</v>
      </c>
      <c r="T4071" s="32" t="s">
        <v>29020</v>
      </c>
    </row>
    <row r="4072">
      <c r="A4072" s="33" t="s">
        <v>29021</v>
      </c>
      <c r="B4072" s="76" t="s">
        <v>499</v>
      </c>
      <c r="C4072" s="41">
        <v>45596.0</v>
      </c>
      <c r="D4072" s="40" t="s">
        <v>29022</v>
      </c>
      <c r="E4072" s="41" t="s">
        <v>29023</v>
      </c>
      <c r="F4072" s="43" t="s">
        <v>29024</v>
      </c>
      <c r="G4072" s="43" t="s">
        <v>29025</v>
      </c>
      <c r="H4072" s="51" t="s">
        <v>25072</v>
      </c>
      <c r="I4072" s="15" t="str">
        <f>IFERROR(__xludf.DUMMYFUNCTION("GOOGLETRANSLATE(H4072,""EN"",""ES"")"),"Petróleo y energía")</f>
        <v>Petróleo y energía</v>
      </c>
      <c r="J4072" s="16" t="s">
        <v>35</v>
      </c>
      <c r="K4072" s="48">
        <v>0.7</v>
      </c>
      <c r="L4072" s="51" t="s">
        <v>29026</v>
      </c>
      <c r="M4072" s="34" t="s">
        <v>29027</v>
      </c>
      <c r="N4072" s="94" t="s">
        <v>29028</v>
      </c>
      <c r="O4072" s="94" t="str">
        <f>IFERROR(__xludf.DUMMYFUNCTION("GOOGLETRANSLATE(N4072,""EN"",""ES"")"),"Positivo ya que indica una inversión y una estabilidad renovadas.")</f>
        <v>Positivo ya que indica una inversión y una estabilidad renovadas.</v>
      </c>
      <c r="P4072" s="30">
        <v>0.7</v>
      </c>
      <c r="Q4072" s="18" t="str">
        <f>IFERROR(__xludf.DUMMYFUNCTION("GOOGLETRANSLATE(R4072,""ES"",""EN"")"),"problem over, ""reactivate investments""")</f>
        <v>problem over, "reactivate investments"</v>
      </c>
      <c r="R4072" s="34" t="s">
        <v>29029</v>
      </c>
      <c r="S4072" s="52" t="s">
        <v>28914</v>
      </c>
      <c r="T4072" s="22" t="s">
        <v>28915</v>
      </c>
    </row>
    <row r="4073">
      <c r="A4073" s="23" t="s">
        <v>29030</v>
      </c>
      <c r="B4073" s="77" t="s">
        <v>626</v>
      </c>
      <c r="C4073" s="41">
        <v>45596.0</v>
      </c>
      <c r="D4073" s="40" t="s">
        <v>29031</v>
      </c>
      <c r="E4073" s="41" t="s">
        <v>29032</v>
      </c>
      <c r="F4073" s="43" t="s">
        <v>29033</v>
      </c>
      <c r="G4073" s="43" t="s">
        <v>29034</v>
      </c>
      <c r="H4073" s="51" t="s">
        <v>25072</v>
      </c>
      <c r="I4073" s="25" t="str">
        <f>IFERROR(__xludf.DUMMYFUNCTION("GOOGLETRANSLATE(H4073,""EN"",""ES"")"),"Petróleo y energía")</f>
        <v>Petróleo y energía</v>
      </c>
      <c r="J4073" s="26" t="s">
        <v>35</v>
      </c>
      <c r="K4073" s="48">
        <v>0.7</v>
      </c>
      <c r="L4073" s="49" t="s">
        <v>29035</v>
      </c>
      <c r="M4073" s="28" t="s">
        <v>29036</v>
      </c>
      <c r="N4073" s="93" t="s">
        <v>29037</v>
      </c>
      <c r="O4073" s="93" t="str">
        <f>IFERROR(__xludf.DUMMYFUNCTION("GOOGLETRANSLATE(N4073,""EN"",""ES"")"),"Positivo ya que refuerza un entorno de inversión favorable.")</f>
        <v>Positivo ya que refuerza un entorno de inversión favorable.</v>
      </c>
      <c r="P4073" s="30">
        <v>0.6</v>
      </c>
      <c r="Q4073" s="31" t="str">
        <f>IFERROR(__xludf.DUMMYFUNCTION("GOOGLETRANSLATE(R4073,""ES"",""EN"")"),"reactivates investments")</f>
        <v>reactivates investments</v>
      </c>
      <c r="R4073" s="28" t="s">
        <v>29038</v>
      </c>
      <c r="S4073" s="53" t="s">
        <v>29039</v>
      </c>
      <c r="T4073" s="32" t="s">
        <v>29040</v>
      </c>
    </row>
    <row r="4074">
      <c r="A4074" s="33" t="s">
        <v>29041</v>
      </c>
      <c r="B4074" s="76" t="s">
        <v>2952</v>
      </c>
      <c r="C4074" s="41">
        <v>45596.0</v>
      </c>
      <c r="D4074" s="40" t="s">
        <v>29042</v>
      </c>
      <c r="E4074" s="41" t="s">
        <v>29043</v>
      </c>
      <c r="F4074" s="43" t="s">
        <v>29044</v>
      </c>
      <c r="G4074" s="43" t="s">
        <v>29045</v>
      </c>
      <c r="H4074" s="51" t="s">
        <v>25072</v>
      </c>
      <c r="I4074" s="15" t="str">
        <f>IFERROR(__xludf.DUMMYFUNCTION("GOOGLETRANSLATE(H4074,""EN"",""ES"")"),"Petróleo y energía")</f>
        <v>Petróleo y energía</v>
      </c>
      <c r="J4074" s="16" t="s">
        <v>35</v>
      </c>
      <c r="K4074" s="48">
        <v>-0.5</v>
      </c>
      <c r="L4074" s="51" t="s">
        <v>28900</v>
      </c>
      <c r="M4074" s="34" t="s">
        <v>28901</v>
      </c>
      <c r="N4074" s="94" t="s">
        <v>29008</v>
      </c>
      <c r="O4074" s="94" t="str">
        <f>IFERROR(__xludf.DUMMYFUNCTION("GOOGLETRANSLATE(N4074,""EN"",""ES"")"),"Ligeramente negativo ya que pone de relieve una caída financiera.")</f>
        <v>Ligeramente negativo ya que pone de relieve una caída financiera.</v>
      </c>
      <c r="P4074" s="30">
        <v>-0.3</v>
      </c>
      <c r="Q4074" s="18" t="str">
        <f>IFERROR(__xludf.DUMMYFUNCTION("GOOGLETRANSLATE(R4074,""ES"",""EN"")"),"36% less")</f>
        <v>36% less</v>
      </c>
      <c r="R4074" s="34" t="s">
        <v>28935</v>
      </c>
      <c r="S4074" s="52" t="s">
        <v>28957</v>
      </c>
      <c r="T4074" s="22" t="s">
        <v>28958</v>
      </c>
    </row>
    <row r="4075">
      <c r="A4075" s="23" t="s">
        <v>29046</v>
      </c>
      <c r="B4075" s="77" t="s">
        <v>43</v>
      </c>
      <c r="C4075" s="41">
        <v>45596.0</v>
      </c>
      <c r="D4075" s="40" t="s">
        <v>29047</v>
      </c>
      <c r="E4075" s="41" t="s">
        <v>29048</v>
      </c>
      <c r="F4075" s="43" t="s">
        <v>29049</v>
      </c>
      <c r="G4075" s="43" t="s">
        <v>29050</v>
      </c>
      <c r="H4075" s="51" t="s">
        <v>25072</v>
      </c>
      <c r="I4075" s="25" t="str">
        <f>IFERROR(__xludf.DUMMYFUNCTION("GOOGLETRANSLATE(H4075,""EN"",""ES"")"),"Petróleo y energía")</f>
        <v>Petróleo y energía</v>
      </c>
      <c r="J4075" s="26" t="s">
        <v>35</v>
      </c>
      <c r="K4075" s="48">
        <v>0.7</v>
      </c>
      <c r="L4075" s="49" t="s">
        <v>29051</v>
      </c>
      <c r="M4075" s="28" t="s">
        <v>29052</v>
      </c>
      <c r="N4075" s="93" t="s">
        <v>29053</v>
      </c>
      <c r="O4075" s="93" t="str">
        <f>IFERROR(__xludf.DUMMYFUNCTION("GOOGLETRANSLATE(N4075,""EN"",""ES"")"),"Positivo ya que enfatiza el retorno de las inversiones.")</f>
        <v>Positivo ya que enfatiza el retorno de las inversiones.</v>
      </c>
      <c r="P4075" s="30">
        <v>0.7</v>
      </c>
      <c r="Q4075" s="31" t="str">
        <f>IFERROR(__xludf.DUMMYFUNCTION("GOOGLETRANSLATE(R4075,""ES"",""EN"")"),"reactive, ""problem over""")</f>
        <v>reactive, "problem over"</v>
      </c>
      <c r="R4075" s="28" t="s">
        <v>29054</v>
      </c>
      <c r="S4075" s="53" t="s">
        <v>28914</v>
      </c>
      <c r="T4075" s="32" t="s">
        <v>28915</v>
      </c>
    </row>
    <row r="4076">
      <c r="A4076" s="33" t="s">
        <v>29055</v>
      </c>
      <c r="B4076" s="76" t="s">
        <v>3992</v>
      </c>
      <c r="C4076" s="41">
        <v>45596.0</v>
      </c>
      <c r="D4076" s="40" t="s">
        <v>29056</v>
      </c>
      <c r="E4076" s="41" t="s">
        <v>29057</v>
      </c>
      <c r="F4076" s="43" t="s">
        <v>29058</v>
      </c>
      <c r="G4076" s="43" t="s">
        <v>29059</v>
      </c>
      <c r="H4076" s="51" t="s">
        <v>25072</v>
      </c>
      <c r="I4076" s="15" t="str">
        <f>IFERROR(__xludf.DUMMYFUNCTION("GOOGLETRANSLATE(H4076,""EN"",""ES"")"),"Petróleo y energía")</f>
        <v>Petróleo y energía</v>
      </c>
      <c r="J4076" s="16" t="s">
        <v>35</v>
      </c>
      <c r="K4076" s="48">
        <v>-0.2</v>
      </c>
      <c r="L4076" s="51" t="s">
        <v>29060</v>
      </c>
      <c r="M4076" s="34" t="s">
        <v>29061</v>
      </c>
      <c r="N4076" s="94" t="s">
        <v>29062</v>
      </c>
      <c r="O4076" s="94" t="str">
        <f>IFERROR(__xludf.DUMMYFUNCTION("GOOGLETRANSLATE(N4076,""EN"",""ES"")"),"Impacto mixto, ya que las ganancias caen pero los dividendos aumentan.")</f>
        <v>Impacto mixto, ya que las ganancias caen pero los dividendos aumentan.</v>
      </c>
      <c r="P4076" s="30">
        <v>0.1</v>
      </c>
      <c r="Q4076" s="18" t="str">
        <f>IFERROR(__xludf.DUMMYFUNCTION("GOOGLETRANSLATE(R4076,""ES"",""EN"")"),"sinks 36%, ""dividend shoots up""")</f>
        <v>sinks 36%, "dividend shoots up"</v>
      </c>
      <c r="R4076" s="34" t="s">
        <v>29063</v>
      </c>
      <c r="S4076" s="52" t="s">
        <v>29064</v>
      </c>
      <c r="T4076" s="22" t="s">
        <v>29065</v>
      </c>
    </row>
    <row r="4077">
      <c r="A4077" s="23" t="s">
        <v>29066</v>
      </c>
      <c r="B4077" s="77" t="s">
        <v>16864</v>
      </c>
      <c r="C4077" s="41">
        <v>45596.0</v>
      </c>
      <c r="D4077" s="40" t="s">
        <v>29067</v>
      </c>
      <c r="E4077" s="41" t="s">
        <v>29068</v>
      </c>
      <c r="F4077" s="43" t="s">
        <v>29069</v>
      </c>
      <c r="G4077" s="43" t="s">
        <v>29070</v>
      </c>
      <c r="H4077" s="51" t="s">
        <v>25072</v>
      </c>
      <c r="I4077" s="25" t="str">
        <f>IFERROR(__xludf.DUMMYFUNCTION("GOOGLETRANSLATE(H4077,""EN"",""ES"")"),"Petróleo y energía")</f>
        <v>Petróleo y energía</v>
      </c>
      <c r="J4077" s="26" t="s">
        <v>35</v>
      </c>
      <c r="K4077" s="48">
        <v>-0.5</v>
      </c>
      <c r="L4077" s="49" t="s">
        <v>29071</v>
      </c>
      <c r="M4077" s="28" t="s">
        <v>29072</v>
      </c>
      <c r="N4077" s="93" t="s">
        <v>29073</v>
      </c>
      <c r="O4077" s="93" t="str">
        <f>IFERROR(__xludf.DUMMYFUNCTION("GOOGLETRANSLATE(N4077,""EN"",""ES"")"),"Ligeramente negativo ya que pone de relieve las dificultades financieras.")</f>
        <v>Ligeramente negativo ya que pone de relieve las dificultades financieras.</v>
      </c>
      <c r="P4077" s="30">
        <v>-0.3</v>
      </c>
      <c r="Q4077" s="31" t="str">
        <f>IFERROR(__xludf.DUMMYFUNCTION("GOOGLETRANSLATE(R4077,""ES"",""EN"")"),"36% less")</f>
        <v>36% less</v>
      </c>
      <c r="R4077" s="28" t="s">
        <v>28935</v>
      </c>
      <c r="S4077" s="53" t="s">
        <v>28957</v>
      </c>
      <c r="T4077" s="32" t="s">
        <v>28958</v>
      </c>
    </row>
    <row r="4078">
      <c r="A4078" s="33" t="s">
        <v>29074</v>
      </c>
      <c r="B4078" s="76" t="s">
        <v>26797</v>
      </c>
      <c r="C4078" s="41">
        <v>45596.0</v>
      </c>
      <c r="D4078" s="40" t="s">
        <v>29075</v>
      </c>
      <c r="E4078" s="41" t="s">
        <v>29076</v>
      </c>
      <c r="F4078" s="43" t="s">
        <v>29077</v>
      </c>
      <c r="G4078" s="43" t="s">
        <v>29078</v>
      </c>
      <c r="H4078" s="51" t="s">
        <v>25072</v>
      </c>
      <c r="I4078" s="15" t="str">
        <f>IFERROR(__xludf.DUMMYFUNCTION("GOOGLETRANSLATE(H4078,""EN"",""ES"")"),"Petróleo y energía")</f>
        <v>Petróleo y energía</v>
      </c>
      <c r="J4078" s="16" t="s">
        <v>35</v>
      </c>
      <c r="K4078" s="48">
        <v>-0.7</v>
      </c>
      <c r="L4078" s="51" t="s">
        <v>29079</v>
      </c>
      <c r="M4078" s="34" t="s">
        <v>29080</v>
      </c>
      <c r="N4078" s="94" t="s">
        <v>29081</v>
      </c>
      <c r="O4078" s="94" t="str">
        <f>IFERROR(__xludf.DUMMYFUNCTION("GOOGLETRANSLATE(N4078,""EN"",""ES"")"),"Negativo ya que enfatiza las inversiones paralizadas debido a los impuestos.")</f>
        <v>Negativo ya que enfatiza las inversiones paralizadas debido a los impuestos.</v>
      </c>
      <c r="P4078" s="30">
        <v>-0.6</v>
      </c>
      <c r="Q4078" s="18" t="str">
        <f>IFERROR(__xludf.DUMMYFUNCTION("GOOGLETRANSLATE(R4078,""ES"",""EN"")"),"paralyzed, ""imposed""")</f>
        <v>paralyzed, "imposed"</v>
      </c>
      <c r="R4078" s="34" t="s">
        <v>29082</v>
      </c>
      <c r="S4078" s="52" t="s">
        <v>29083</v>
      </c>
      <c r="T4078" s="22" t="s">
        <v>29084</v>
      </c>
    </row>
    <row r="4079">
      <c r="A4079" s="23" t="s">
        <v>29085</v>
      </c>
      <c r="B4079" s="77" t="s">
        <v>8884</v>
      </c>
      <c r="C4079" s="41">
        <v>45596.0</v>
      </c>
      <c r="D4079" s="40" t="s">
        <v>29086</v>
      </c>
      <c r="E4079" s="41" t="s">
        <v>29087</v>
      </c>
      <c r="F4079" s="43" t="s">
        <v>29088</v>
      </c>
      <c r="G4079" s="43" t="s">
        <v>29089</v>
      </c>
      <c r="H4079" s="51" t="s">
        <v>25072</v>
      </c>
      <c r="I4079" s="25" t="str">
        <f>IFERROR(__xludf.DUMMYFUNCTION("GOOGLETRANSLATE(H4079,""EN"",""ES"")"),"Petróleo y energía")</f>
        <v>Petróleo y energía</v>
      </c>
      <c r="J4079" s="26" t="s">
        <v>35</v>
      </c>
      <c r="K4079" s="48">
        <v>-0.5</v>
      </c>
      <c r="L4079" s="49" t="s">
        <v>29090</v>
      </c>
      <c r="M4079" s="28" t="s">
        <v>29091</v>
      </c>
      <c r="N4079" s="93" t="s">
        <v>29092</v>
      </c>
      <c r="O4079" s="93" t="str">
        <f>IFERROR(__xludf.DUMMYFUNCTION("GOOGLETRANSLATE(N4079,""EN"",""ES"")"),"Ligeramente negativo ya que pone de relieve las luchas financieras.")</f>
        <v>Ligeramente negativo ya que pone de relieve las luchas financieras.</v>
      </c>
      <c r="P4079" s="30">
        <v>-0.4</v>
      </c>
      <c r="Q4079" s="31" t="str">
        <f>IFERROR(__xludf.DUMMYFUNCTION("GOOGLETRANSLATE(R4079,""ES"",""EN"")"),"35.7% less")</f>
        <v>35.7% less</v>
      </c>
      <c r="R4079" s="28" t="s">
        <v>29093</v>
      </c>
      <c r="S4079" s="53" t="s">
        <v>28957</v>
      </c>
      <c r="T4079" s="32" t="s">
        <v>28958</v>
      </c>
    </row>
    <row r="4080">
      <c r="A4080" s="33" t="s">
        <v>29094</v>
      </c>
      <c r="B4080" s="76" t="s">
        <v>2442</v>
      </c>
      <c r="C4080" s="41">
        <v>45596.0</v>
      </c>
      <c r="D4080" s="40" t="s">
        <v>29095</v>
      </c>
      <c r="E4080" s="41" t="s">
        <v>29096</v>
      </c>
      <c r="F4080" s="43" t="s">
        <v>29097</v>
      </c>
      <c r="G4080" s="43" t="s">
        <v>29098</v>
      </c>
      <c r="H4080" s="51" t="s">
        <v>25072</v>
      </c>
      <c r="I4080" s="15" t="str">
        <f>IFERROR(__xludf.DUMMYFUNCTION("GOOGLETRANSLATE(H4080,""EN"",""ES"")"),"Petróleo y energía")</f>
        <v>Petróleo y energía</v>
      </c>
      <c r="J4080" s="16" t="s">
        <v>35</v>
      </c>
      <c r="K4080" s="48">
        <v>0.7</v>
      </c>
      <c r="L4080" s="51" t="s">
        <v>29099</v>
      </c>
      <c r="M4080" s="34" t="s">
        <v>29100</v>
      </c>
      <c r="N4080" s="94" t="s">
        <v>29101</v>
      </c>
      <c r="O4080" s="94" t="str">
        <f>IFERROR(__xludf.DUMMYFUNCTION("GOOGLETRANSLATE(N4080,""EN"",""ES"")"),"Positivo porque indica la resolución de los problemas fiscales.")</f>
        <v>Positivo porque indica la resolución de los problemas fiscales.</v>
      </c>
      <c r="P4080" s="30">
        <v>0.6</v>
      </c>
      <c r="Q4080" s="18" t="str">
        <f>IFERROR(__xludf.DUMMYFUNCTION("GOOGLETRANSLATE(R4080,""ES"",""EN"")"),"liquidated, ""tax""")</f>
        <v>liquidated, "tax"</v>
      </c>
      <c r="R4080" s="34" t="s">
        <v>29102</v>
      </c>
      <c r="S4080" s="52" t="s">
        <v>28838</v>
      </c>
      <c r="T4080" s="22" t="s">
        <v>28839</v>
      </c>
    </row>
    <row r="4081">
      <c r="A4081" s="23" t="s">
        <v>29103</v>
      </c>
      <c r="B4081" s="77" t="s">
        <v>23589</v>
      </c>
      <c r="C4081" s="41">
        <v>45596.0</v>
      </c>
      <c r="D4081" s="40" t="s">
        <v>29104</v>
      </c>
      <c r="E4081" s="41" t="s">
        <v>29105</v>
      </c>
      <c r="F4081" s="43" t="s">
        <v>29106</v>
      </c>
      <c r="G4081" s="43" t="s">
        <v>29107</v>
      </c>
      <c r="H4081" s="51" t="s">
        <v>25072</v>
      </c>
      <c r="I4081" s="25" t="str">
        <f>IFERROR(__xludf.DUMMYFUNCTION("GOOGLETRANSLATE(H4081,""EN"",""ES"")"),"Petróleo y energía")</f>
        <v>Petróleo y energía</v>
      </c>
      <c r="J4081" s="26" t="s">
        <v>35</v>
      </c>
      <c r="K4081" s="48">
        <v>0.7</v>
      </c>
      <c r="L4081" s="49" t="s">
        <v>28646</v>
      </c>
      <c r="M4081" s="28" t="s">
        <v>28647</v>
      </c>
      <c r="N4081" s="93" t="s">
        <v>21360</v>
      </c>
      <c r="O4081" s="93" t="str">
        <f>IFERROR(__xludf.DUMMYFUNCTION("GOOGLETRANSLATE(N4081,""EN"",""ES"")"),"Positivo ya que destaca los esfuerzos de sostenibilidad.")</f>
        <v>Positivo ya que destaca los esfuerzos de sostenibilidad.</v>
      </c>
      <c r="P4081" s="30">
        <v>0.5</v>
      </c>
      <c r="Q4081" s="31" t="str">
        <f>IFERROR(__xludf.DUMMYFUNCTION("GOOGLETRANSLATE(R4081,""ES"",""EN"")"),"renewable, ""premium""")</f>
        <v>renewable, "premium"</v>
      </c>
      <c r="R4081" s="28" t="s">
        <v>28694</v>
      </c>
      <c r="S4081" s="53" t="s">
        <v>28695</v>
      </c>
      <c r="T4081" s="32" t="s">
        <v>28696</v>
      </c>
    </row>
    <row r="4082">
      <c r="A4082" s="33" t="s">
        <v>29108</v>
      </c>
      <c r="B4082" s="76" t="s">
        <v>1072</v>
      </c>
      <c r="C4082" s="41">
        <v>45596.0</v>
      </c>
      <c r="D4082" s="40" t="s">
        <v>29109</v>
      </c>
      <c r="E4082" s="41" t="s">
        <v>29110</v>
      </c>
      <c r="F4082" s="43" t="s">
        <v>29111</v>
      </c>
      <c r="G4082" s="43" t="s">
        <v>29112</v>
      </c>
      <c r="H4082" s="51" t="s">
        <v>25072</v>
      </c>
      <c r="I4082" s="15" t="str">
        <f>IFERROR(__xludf.DUMMYFUNCTION("GOOGLETRANSLATE(H4082,""EN"",""ES"")"),"Petróleo y energía")</f>
        <v>Petróleo y energía</v>
      </c>
      <c r="J4082" s="16" t="s">
        <v>35</v>
      </c>
      <c r="K4082" s="48">
        <v>-0.2</v>
      </c>
      <c r="L4082" s="51" t="s">
        <v>29113</v>
      </c>
      <c r="M4082" s="34" t="s">
        <v>29114</v>
      </c>
      <c r="N4082" s="94" t="s">
        <v>29115</v>
      </c>
      <c r="O4082" s="94" t="str">
        <f>IFERROR(__xludf.DUMMYFUNCTION("GOOGLETRANSLATE(N4082,""EN"",""ES"")"),"Impacto mixto, ya que las ganancias caen pero los aumentos de dividendos podrían tranquilizar a los inversores.")</f>
        <v>Impacto mixto, ya que las ganancias caen pero los aumentos de dividendos podrían tranquilizar a los inversores.</v>
      </c>
      <c r="P4082" s="30">
        <v>0.1</v>
      </c>
      <c r="Q4082" s="18" t="str">
        <f>IFERROR(__xludf.DUMMYFUNCTION("GOOGLETRANSLATE(R4082,""ES"",""EN"")"),"sinks 36%, ""shoots dividends""")</f>
        <v>sinks 36%, "shoots dividends"</v>
      </c>
      <c r="R4082" s="34" t="s">
        <v>29116</v>
      </c>
      <c r="S4082" s="52" t="s">
        <v>29064</v>
      </c>
      <c r="T4082" s="22" t="s">
        <v>29065</v>
      </c>
    </row>
    <row r="4083">
      <c r="A4083" s="23" t="s">
        <v>29117</v>
      </c>
      <c r="B4083" s="77" t="s">
        <v>2442</v>
      </c>
      <c r="C4083" s="41">
        <v>45596.0</v>
      </c>
      <c r="D4083" s="40" t="s">
        <v>29118</v>
      </c>
      <c r="E4083" s="41" t="s">
        <v>29119</v>
      </c>
      <c r="F4083" s="43" t="s">
        <v>29120</v>
      </c>
      <c r="G4083" s="43" t="s">
        <v>29121</v>
      </c>
      <c r="H4083" s="51" t="s">
        <v>25072</v>
      </c>
      <c r="I4083" s="25" t="str">
        <f>IFERROR(__xludf.DUMMYFUNCTION("GOOGLETRANSLATE(H4083,""EN"",""ES"")"),"Petróleo y energía")</f>
        <v>Petróleo y energía</v>
      </c>
      <c r="J4083" s="26" t="s">
        <v>35</v>
      </c>
      <c r="K4083" s="48">
        <v>-0.5</v>
      </c>
      <c r="L4083" s="49" t="s">
        <v>29122</v>
      </c>
      <c r="M4083" s="28" t="s">
        <v>29123</v>
      </c>
      <c r="N4083" s="93" t="s">
        <v>29124</v>
      </c>
      <c r="O4083" s="93" t="str">
        <f>IFERROR(__xludf.DUMMYFUNCTION("GOOGLETRANSLATE(N4083,""EN"",""ES"")"),"Ligeramente negativo ya que pone de relieve la disminución de los ingresos.")</f>
        <v>Ligeramente negativo ya que pone de relieve la disminución de los ingresos.</v>
      </c>
      <c r="P4083" s="30">
        <v>-0.3</v>
      </c>
      <c r="Q4083" s="31" t="str">
        <f>IFERROR(__xludf.DUMMYFUNCTION("GOOGLETRANSLATE(R4083,""ES"",""EN"")"),"reduces profits")</f>
        <v>reduces profits</v>
      </c>
      <c r="R4083" s="28" t="s">
        <v>29125</v>
      </c>
      <c r="S4083" s="53" t="s">
        <v>28957</v>
      </c>
      <c r="T4083" s="32" t="s">
        <v>28958</v>
      </c>
    </row>
    <row r="4084">
      <c r="A4084" s="33" t="s">
        <v>29126</v>
      </c>
      <c r="B4084" s="76" t="s">
        <v>27305</v>
      </c>
      <c r="C4084" s="41">
        <v>45596.0</v>
      </c>
      <c r="D4084" s="40" t="s">
        <v>29127</v>
      </c>
      <c r="E4084" s="41" t="s">
        <v>29128</v>
      </c>
      <c r="F4084" s="43" t="s">
        <v>29129</v>
      </c>
      <c r="G4084" s="43" t="s">
        <v>29130</v>
      </c>
      <c r="H4084" s="51" t="s">
        <v>25072</v>
      </c>
      <c r="I4084" s="15" t="str">
        <f>IFERROR(__xludf.DUMMYFUNCTION("GOOGLETRANSLATE(H4084,""EN"",""ES"")"),"Petróleo y energía")</f>
        <v>Petróleo y energía</v>
      </c>
      <c r="J4084" s="16" t="s">
        <v>35</v>
      </c>
      <c r="K4084" s="48">
        <v>-0.5</v>
      </c>
      <c r="L4084" s="51" t="s">
        <v>29131</v>
      </c>
      <c r="M4084" s="34" t="s">
        <v>29132</v>
      </c>
      <c r="N4084" s="94" t="s">
        <v>29133</v>
      </c>
      <c r="O4084" s="94" t="str">
        <f>IFERROR(__xludf.DUMMYFUNCTION("GOOGLETRANSLATE(N4084,""EN"",""ES"")"),"Ligeramente negativo ya que indica mayores presiones financieras.")</f>
        <v>Ligeramente negativo ya que indica mayores presiones financieras.</v>
      </c>
      <c r="P4084" s="30">
        <v>-0.2</v>
      </c>
      <c r="Q4084" s="18" t="str">
        <f>IFERROR(__xludf.DUMMYFUNCTION("GOOGLETRANSLATE(R4084,""ES"",""EN"")"),"below")</f>
        <v>below</v>
      </c>
      <c r="R4084" s="34" t="s">
        <v>29134</v>
      </c>
      <c r="S4084" s="52" t="s">
        <v>12525</v>
      </c>
      <c r="T4084" s="22" t="s">
        <v>9579</v>
      </c>
    </row>
    <row r="4085">
      <c r="A4085" s="23" t="s">
        <v>29135</v>
      </c>
      <c r="B4085" s="77" t="s">
        <v>448</v>
      </c>
      <c r="C4085" s="41">
        <v>45596.0</v>
      </c>
      <c r="D4085" s="40" t="s">
        <v>29136</v>
      </c>
      <c r="E4085" s="41" t="s">
        <v>29137</v>
      </c>
      <c r="F4085" s="43" t="s">
        <v>29138</v>
      </c>
      <c r="G4085" s="43" t="s">
        <v>29139</v>
      </c>
      <c r="H4085" s="51" t="s">
        <v>25072</v>
      </c>
      <c r="I4085" s="25" t="str">
        <f>IFERROR(__xludf.DUMMYFUNCTION("GOOGLETRANSLATE(H4085,""EN"",""ES"")"),"Petróleo y energía")</f>
        <v>Petróleo y energía</v>
      </c>
      <c r="J4085" s="26" t="s">
        <v>35</v>
      </c>
      <c r="K4085" s="48">
        <v>-0.5</v>
      </c>
      <c r="L4085" s="49" t="s">
        <v>29140</v>
      </c>
      <c r="M4085" s="28" t="s">
        <v>29141</v>
      </c>
      <c r="N4085" s="93" t="s">
        <v>29092</v>
      </c>
      <c r="O4085" s="93" t="str">
        <f>IFERROR(__xludf.DUMMYFUNCTION("GOOGLETRANSLATE(N4085,""EN"",""ES"")"),"Ligeramente negativo ya que pone de relieve las luchas financieras.")</f>
        <v>Ligeramente negativo ya que pone de relieve las luchas financieras.</v>
      </c>
      <c r="P4085" s="30">
        <v>-0.3</v>
      </c>
      <c r="Q4085" s="31" t="str">
        <f>IFERROR(__xludf.DUMMYFUNCTION("GOOGLETRANSLATE(R4085,""ES"",""EN"")"),"36% less")</f>
        <v>36% less</v>
      </c>
      <c r="R4085" s="28" t="s">
        <v>28935</v>
      </c>
      <c r="S4085" s="53" t="s">
        <v>28957</v>
      </c>
      <c r="T4085" s="32" t="s">
        <v>28958</v>
      </c>
    </row>
    <row r="4086">
      <c r="A4086" s="33" t="s">
        <v>29142</v>
      </c>
      <c r="B4086" s="76" t="s">
        <v>2175</v>
      </c>
      <c r="C4086" s="41">
        <v>45596.0</v>
      </c>
      <c r="D4086" s="40" t="s">
        <v>29143</v>
      </c>
      <c r="E4086" s="41" t="s">
        <v>29144</v>
      </c>
      <c r="F4086" s="43" t="s">
        <v>29145</v>
      </c>
      <c r="G4086" s="43" t="s">
        <v>29146</v>
      </c>
      <c r="H4086" s="51" t="s">
        <v>25072</v>
      </c>
      <c r="I4086" s="15" t="str">
        <f>IFERROR(__xludf.DUMMYFUNCTION("GOOGLETRANSLATE(H4086,""EN"",""ES"")"),"Petróleo y energía")</f>
        <v>Petróleo y energía</v>
      </c>
      <c r="J4086" s="16" t="s">
        <v>35</v>
      </c>
      <c r="K4086" s="48">
        <v>0.7</v>
      </c>
      <c r="L4086" s="51" t="s">
        <v>28921</v>
      </c>
      <c r="M4086" s="34" t="s">
        <v>28922</v>
      </c>
      <c r="N4086" s="94" t="s">
        <v>29147</v>
      </c>
      <c r="O4086" s="94" t="str">
        <f>IFERROR(__xludf.DUMMYFUNCTION("GOOGLETRANSLATE(N4086,""EN"",""ES"")"),"Positivo ya que enfatiza la reactivación de la inversión.")</f>
        <v>Positivo ya que enfatiza la reactivación de la inversión.</v>
      </c>
      <c r="P4086" s="30">
        <v>0.3</v>
      </c>
      <c r="Q4086" s="18" t="str">
        <f>IFERROR(__xludf.DUMMYFUNCTION("GOOGLETRANSLATE(R4086,""ES"",""EN"")"),"reactive, ""36% less""")</f>
        <v>reactive, "36% less"</v>
      </c>
      <c r="R4086" s="34" t="s">
        <v>29148</v>
      </c>
      <c r="S4086" s="52" t="s">
        <v>29149</v>
      </c>
      <c r="T4086" s="22" t="s">
        <v>29150</v>
      </c>
    </row>
    <row r="4087">
      <c r="A4087" s="23" t="s">
        <v>29151</v>
      </c>
      <c r="B4087" s="77" t="s">
        <v>1577</v>
      </c>
      <c r="C4087" s="41">
        <v>45596.0</v>
      </c>
      <c r="D4087" s="40" t="s">
        <v>29152</v>
      </c>
      <c r="E4087" s="41" t="s">
        <v>29153</v>
      </c>
      <c r="F4087" s="43" t="s">
        <v>29154</v>
      </c>
      <c r="G4087" s="43" t="s">
        <v>29155</v>
      </c>
      <c r="H4087" s="51" t="s">
        <v>25072</v>
      </c>
      <c r="I4087" s="25" t="str">
        <f>IFERROR(__xludf.DUMMYFUNCTION("GOOGLETRANSLATE(H4087,""EN"",""ES"")"),"Petróleo y energía")</f>
        <v>Petróleo y energía</v>
      </c>
      <c r="J4087" s="26" t="s">
        <v>35</v>
      </c>
      <c r="K4087" s="48">
        <v>0.7</v>
      </c>
      <c r="L4087" s="49" t="s">
        <v>29156</v>
      </c>
      <c r="M4087" s="28" t="s">
        <v>29157</v>
      </c>
      <c r="N4087" s="93" t="s">
        <v>29158</v>
      </c>
      <c r="O4087" s="93" t="str">
        <f>IFERROR(__xludf.DUMMYFUNCTION("GOOGLETRANSLATE(N4087,""EN"",""ES"")"),"Positivo ya que señala un renovado crecimiento en España.")</f>
        <v>Positivo ya que señala un renovado crecimiento en España.</v>
      </c>
      <c r="P4087" s="30">
        <v>0.6</v>
      </c>
      <c r="Q4087" s="31" t="str">
        <f>IFERROR(__xludf.DUMMYFUNCTION("GOOGLETRANSLATE(R4087,""ES"",""EN"")"),"resume investment")</f>
        <v>resume investment</v>
      </c>
      <c r="R4087" s="28" t="s">
        <v>29159</v>
      </c>
      <c r="S4087" s="53" t="s">
        <v>28985</v>
      </c>
      <c r="T4087" s="32" t="s">
        <v>28986</v>
      </c>
    </row>
    <row r="4088">
      <c r="A4088" s="33" t="s">
        <v>29160</v>
      </c>
      <c r="B4088" s="76" t="s">
        <v>558</v>
      </c>
      <c r="C4088" s="41">
        <v>45596.0</v>
      </c>
      <c r="D4088" s="40" t="s">
        <v>29161</v>
      </c>
      <c r="E4088" s="41" t="s">
        <v>29162</v>
      </c>
      <c r="F4088" s="43" t="s">
        <v>29163</v>
      </c>
      <c r="G4088" s="43" t="s">
        <v>29164</v>
      </c>
      <c r="H4088" s="51" t="s">
        <v>25072</v>
      </c>
      <c r="I4088" s="15" t="str">
        <f>IFERROR(__xludf.DUMMYFUNCTION("GOOGLETRANSLATE(H4088,""EN"",""ES"")"),"Petróleo y energía")</f>
        <v>Petróleo y energía</v>
      </c>
      <c r="J4088" s="16" t="s">
        <v>35</v>
      </c>
      <c r="K4088" s="48">
        <v>-0.5</v>
      </c>
      <c r="L4088" s="51" t="s">
        <v>29165</v>
      </c>
      <c r="M4088" s="34" t="s">
        <v>29166</v>
      </c>
      <c r="N4088" s="94" t="s">
        <v>29167</v>
      </c>
      <c r="O4088" s="94" t="str">
        <f>IFERROR(__xludf.DUMMYFUNCTION("GOOGLETRANSLATE(N4088,""EN"",""ES"")"),"Ligeramente negativo ya que pone de relieve la débil evolución bursátil de Repsol.")</f>
        <v>Ligeramente negativo ya que pone de relieve la débil evolución bursátil de Repsol.</v>
      </c>
      <c r="P4088" s="30">
        <v>-0.2</v>
      </c>
      <c r="Q4088" s="18" t="str">
        <f>IFERROR(__xludf.DUMMYFUNCTION("GOOGLETRANSLATE(R4088,""ES"",""EN"")"),"falls")</f>
        <v>falls</v>
      </c>
      <c r="R4088" s="34" t="s">
        <v>18430</v>
      </c>
      <c r="S4088" s="52" t="s">
        <v>29168</v>
      </c>
      <c r="T4088" s="22" t="s">
        <v>29169</v>
      </c>
    </row>
    <row r="4089">
      <c r="A4089" s="23" t="s">
        <v>29170</v>
      </c>
      <c r="B4089" s="77" t="s">
        <v>4559</v>
      </c>
      <c r="C4089" s="41">
        <v>45596.0</v>
      </c>
      <c r="D4089" s="40" t="s">
        <v>29171</v>
      </c>
      <c r="E4089" s="41" t="s">
        <v>29172</v>
      </c>
      <c r="F4089" s="43" t="s">
        <v>29173</v>
      </c>
      <c r="G4089" s="43" t="s">
        <v>29174</v>
      </c>
      <c r="H4089" s="51" t="s">
        <v>25072</v>
      </c>
      <c r="I4089" s="25" t="str">
        <f>IFERROR(__xludf.DUMMYFUNCTION("GOOGLETRANSLATE(H4089,""EN"",""ES"")"),"Petróleo y energía")</f>
        <v>Petróleo y energía</v>
      </c>
      <c r="J4089" s="26" t="s">
        <v>35</v>
      </c>
      <c r="K4089" s="48">
        <v>0.5</v>
      </c>
      <c r="L4089" s="49" t="s">
        <v>29175</v>
      </c>
      <c r="M4089" s="28" t="s">
        <v>29176</v>
      </c>
      <c r="N4089" s="93" t="s">
        <v>29177</v>
      </c>
      <c r="O4089" s="93" t="str">
        <f>IFERROR(__xludf.DUMMYFUNCTION("GOOGLETRANSLATE(N4089,""EN"",""ES"")"),"Positivo ya que indica resolución de conflictos laborales.")</f>
        <v>Positivo ya que indica resolución de conflictos laborales.</v>
      </c>
      <c r="P4089" s="30">
        <v>0.4</v>
      </c>
      <c r="Q4089" s="31" t="str">
        <f>IFERROR(__xludf.DUMMYFUNCTION("GOOGLETRANSLATE(R4089,""ES"",""EN"")"),"uncalled, ""agreement""")</f>
        <v>uncalled, "agreement"</v>
      </c>
      <c r="R4089" s="28" t="s">
        <v>29178</v>
      </c>
      <c r="S4089" s="53" t="s">
        <v>29179</v>
      </c>
      <c r="T4089" s="32" t="s">
        <v>29180</v>
      </c>
    </row>
    <row r="4090">
      <c r="A4090" s="33" t="s">
        <v>29181</v>
      </c>
      <c r="B4090" s="76" t="s">
        <v>29182</v>
      </c>
      <c r="C4090" s="41">
        <v>45596.0</v>
      </c>
      <c r="D4090" s="40" t="s">
        <v>29183</v>
      </c>
      <c r="E4090" s="41" t="s">
        <v>29184</v>
      </c>
      <c r="F4090" s="43" t="s">
        <v>29185</v>
      </c>
      <c r="G4090" s="43" t="s">
        <v>29186</v>
      </c>
      <c r="H4090" s="51" t="s">
        <v>25072</v>
      </c>
      <c r="I4090" s="15" t="str">
        <f>IFERROR(__xludf.DUMMYFUNCTION("GOOGLETRANSLATE(H4090,""EN"",""ES"")"),"Petróleo y energía")</f>
        <v>Petróleo y energía</v>
      </c>
      <c r="J4090" s="16" t="s">
        <v>35</v>
      </c>
      <c r="K4090" s="48">
        <v>-0.3</v>
      </c>
      <c r="L4090" s="51" t="s">
        <v>29187</v>
      </c>
      <c r="M4090" s="34" t="s">
        <v>29188</v>
      </c>
      <c r="N4090" s="94" t="s">
        <v>29189</v>
      </c>
      <c r="O4090" s="94" t="str">
        <f>IFERROR(__xludf.DUMMYFUNCTION("GOOGLETRANSLATE(N4090,""EN"",""ES"")"),"Ligeramente negativo ya que indica reducciones de activos.")</f>
        <v>Ligeramente negativo ya que indica reducciones de activos.</v>
      </c>
      <c r="P4090" s="30">
        <v>0.0</v>
      </c>
      <c r="Q4090" s="18"/>
      <c r="R4090" s="18"/>
      <c r="S4090" s="52" t="s">
        <v>29190</v>
      </c>
      <c r="T4090" s="22" t="s">
        <v>29191</v>
      </c>
    </row>
    <row r="4091">
      <c r="A4091" s="23" t="s">
        <v>29192</v>
      </c>
      <c r="B4091" s="77" t="s">
        <v>29193</v>
      </c>
      <c r="C4091" s="41">
        <v>45596.0</v>
      </c>
      <c r="D4091" s="40" t="s">
        <v>29194</v>
      </c>
      <c r="E4091" s="41" t="s">
        <v>29195</v>
      </c>
      <c r="F4091" s="43" t="s">
        <v>29196</v>
      </c>
      <c r="G4091" s="43" t="s">
        <v>29197</v>
      </c>
      <c r="H4091" s="51" t="s">
        <v>26</v>
      </c>
      <c r="I4091" s="25" t="str">
        <f>IFERROR(__xludf.DUMMYFUNCTION("GOOGLETRANSLATE(H4091,""EN"",""ES"")"),"Otro")</f>
        <v>Otro</v>
      </c>
      <c r="J4091" s="26" t="s">
        <v>27</v>
      </c>
      <c r="K4091" s="17">
        <v>0.0</v>
      </c>
      <c r="L4091" s="54"/>
      <c r="M4091" s="31"/>
      <c r="N4091" s="93"/>
      <c r="O4091" s="93"/>
      <c r="P4091" s="20">
        <v>0.0</v>
      </c>
      <c r="Q4091" s="31"/>
      <c r="R4091" s="31"/>
      <c r="S4091" s="53"/>
      <c r="T4091" s="32"/>
    </row>
    <row r="4092">
      <c r="A4092" s="33" t="s">
        <v>29198</v>
      </c>
      <c r="B4092" s="76" t="s">
        <v>881</v>
      </c>
      <c r="C4092" s="41">
        <v>45596.0</v>
      </c>
      <c r="D4092" s="40" t="s">
        <v>29199</v>
      </c>
      <c r="E4092" s="41" t="s">
        <v>29200</v>
      </c>
      <c r="F4092" s="43" t="s">
        <v>29201</v>
      </c>
      <c r="G4092" s="43" t="s">
        <v>29202</v>
      </c>
      <c r="H4092" s="51" t="s">
        <v>25072</v>
      </c>
      <c r="I4092" s="15" t="str">
        <f>IFERROR(__xludf.DUMMYFUNCTION("GOOGLETRANSLATE(H4092,""EN"",""ES"")"),"Petróleo y energía")</f>
        <v>Petróleo y energía</v>
      </c>
      <c r="J4092" s="16" t="s">
        <v>35</v>
      </c>
      <c r="K4092" s="48">
        <v>0.7</v>
      </c>
      <c r="L4092" s="51" t="s">
        <v>29203</v>
      </c>
      <c r="M4092" s="34" t="s">
        <v>29204</v>
      </c>
      <c r="N4092" s="94" t="s">
        <v>29205</v>
      </c>
      <c r="O4092" s="94" t="str">
        <f>IFERROR(__xludf.DUMMYFUNCTION("GOOGLETRANSLATE(N4092,""EN"",""ES"")"),"Positivo ya que indica expansión empresarial.")</f>
        <v>Positivo ya que indica expansión empresarial.</v>
      </c>
      <c r="P4092" s="30">
        <v>0.5</v>
      </c>
      <c r="Q4092" s="18" t="str">
        <f>IFERROR(__xludf.DUMMYFUNCTION("GOOGLETRANSLATE(R4092,""ES"",""EN"")"),"will reactivate, ""investments""")</f>
        <v>will reactivate, "investments"</v>
      </c>
      <c r="R4092" s="34" t="s">
        <v>28984</v>
      </c>
      <c r="S4092" s="52" t="s">
        <v>29206</v>
      </c>
      <c r="T4092" s="22" t="s">
        <v>29207</v>
      </c>
    </row>
    <row r="4093">
      <c r="A4093" s="23" t="s">
        <v>29208</v>
      </c>
      <c r="B4093" s="77" t="s">
        <v>1568</v>
      </c>
      <c r="C4093" s="41">
        <v>45596.0</v>
      </c>
      <c r="D4093" s="40" t="s">
        <v>29209</v>
      </c>
      <c r="E4093" s="41" t="s">
        <v>29210</v>
      </c>
      <c r="F4093" s="43" t="s">
        <v>29211</v>
      </c>
      <c r="G4093" s="43" t="s">
        <v>29212</v>
      </c>
      <c r="H4093" s="51" t="s">
        <v>25072</v>
      </c>
      <c r="I4093" s="25" t="str">
        <f>IFERROR(__xludf.DUMMYFUNCTION("GOOGLETRANSLATE(H4093,""EN"",""ES"")"),"Petróleo y energía")</f>
        <v>Petróleo y energía</v>
      </c>
      <c r="J4093" s="26" t="s">
        <v>35</v>
      </c>
      <c r="K4093" s="48">
        <v>0.7</v>
      </c>
      <c r="L4093" s="49" t="s">
        <v>29213</v>
      </c>
      <c r="M4093" s="28" t="s">
        <v>29214</v>
      </c>
      <c r="N4093" s="93" t="s">
        <v>29215</v>
      </c>
      <c r="O4093" s="93" t="str">
        <f>IFERROR(__xludf.DUMMYFUNCTION("GOOGLETRANSLATE(N4093,""EN"",""ES"")"),"Positivo ya que resalta la certeza de la inversión.")</f>
        <v>Positivo ya que resalta la certeza de la inversión.</v>
      </c>
      <c r="P4093" s="30">
        <v>0.6</v>
      </c>
      <c r="Q4093" s="31" t="str">
        <f>IFERROR(__xludf.DUMMYFUNCTION("GOOGLETRANSLATE(R4093,""ES"",""EN"")"),"invest, ""clear""")</f>
        <v>invest, "clear"</v>
      </c>
      <c r="R4093" s="28" t="s">
        <v>29216</v>
      </c>
      <c r="S4093" s="53" t="s">
        <v>29217</v>
      </c>
      <c r="T4093" s="32" t="s">
        <v>29218</v>
      </c>
    </row>
    <row r="4094">
      <c r="A4094" s="33" t="s">
        <v>29219</v>
      </c>
      <c r="B4094" s="76" t="s">
        <v>626</v>
      </c>
      <c r="C4094" s="41">
        <v>45596.0</v>
      </c>
      <c r="D4094" s="40" t="s">
        <v>29220</v>
      </c>
      <c r="E4094" s="41" t="s">
        <v>29221</v>
      </c>
      <c r="F4094" s="43" t="s">
        <v>29222</v>
      </c>
      <c r="G4094" s="43" t="s">
        <v>29223</v>
      </c>
      <c r="H4094" s="51" t="s">
        <v>25072</v>
      </c>
      <c r="I4094" s="15" t="str">
        <f>IFERROR(__xludf.DUMMYFUNCTION("GOOGLETRANSLATE(H4094,""EN"",""ES"")"),"Petróleo y energía")</f>
        <v>Petróleo y energía</v>
      </c>
      <c r="J4094" s="16" t="s">
        <v>35</v>
      </c>
      <c r="K4094" s="48">
        <v>0.5</v>
      </c>
      <c r="L4094" s="51" t="s">
        <v>29224</v>
      </c>
      <c r="M4094" s="34" t="s">
        <v>29225</v>
      </c>
      <c r="N4094" s="94" t="s">
        <v>29226</v>
      </c>
      <c r="O4094" s="94" t="str">
        <f>IFERROR(__xludf.DUMMYFUNCTION("GOOGLETRANSLATE(N4094,""EN"",""ES"")"),"Positivo ya que indica un entorno fiscal más favorable.")</f>
        <v>Positivo ya que indica un entorno fiscal más favorable.</v>
      </c>
      <c r="P4094" s="30">
        <v>0.5</v>
      </c>
      <c r="Q4094" s="18" t="str">
        <f>IFERROR(__xludf.DUMMYFUNCTION("GOOGLETRANSLATE(R4094,""ES"",""EN"")"),"waiver, ""tax""")</f>
        <v>waiver, "tax"</v>
      </c>
      <c r="R4094" s="34" t="s">
        <v>29227</v>
      </c>
      <c r="S4094" s="52" t="s">
        <v>29228</v>
      </c>
      <c r="T4094" s="22" t="s">
        <v>29229</v>
      </c>
    </row>
    <row r="4095">
      <c r="A4095" s="23" t="s">
        <v>29230</v>
      </c>
      <c r="B4095" s="77" t="s">
        <v>3067</v>
      </c>
      <c r="C4095" s="41">
        <v>45596.0</v>
      </c>
      <c r="D4095" s="40" t="s">
        <v>29231</v>
      </c>
      <c r="E4095" s="41" t="s">
        <v>29232</v>
      </c>
      <c r="F4095" s="43" t="s">
        <v>29233</v>
      </c>
      <c r="G4095" s="43" t="s">
        <v>29234</v>
      </c>
      <c r="H4095" s="51" t="s">
        <v>25072</v>
      </c>
      <c r="I4095" s="25" t="str">
        <f>IFERROR(__xludf.DUMMYFUNCTION("GOOGLETRANSLATE(H4095,""EN"",""ES"")"),"Petróleo y energía")</f>
        <v>Petróleo y energía</v>
      </c>
      <c r="J4095" s="26" t="s">
        <v>35</v>
      </c>
      <c r="K4095" s="48">
        <v>0.8</v>
      </c>
      <c r="L4095" s="49" t="s">
        <v>29235</v>
      </c>
      <c r="M4095" s="28" t="s">
        <v>29236</v>
      </c>
      <c r="N4095" s="93" t="s">
        <v>29237</v>
      </c>
      <c r="O4095" s="93" t="str">
        <f>IFERROR(__xludf.DUMMYFUNCTION("GOOGLETRANSLATE(N4095,""EN"",""ES"")"),"Muy positivo debido a la renovación de importantes inversiones.")</f>
        <v>Muy positivo debido a la renovación de importantes inversiones.</v>
      </c>
      <c r="P4095" s="30">
        <v>0.7</v>
      </c>
      <c r="Q4095" s="31" t="str">
        <f>IFERROR(__xludf.DUMMYFUNCTION("GOOGLETRANSLATE(R4095,""ES"",""EN"")"),"relief, ""reactivation""")</f>
        <v>relief, "reactivation"</v>
      </c>
      <c r="R4095" s="28" t="s">
        <v>29238</v>
      </c>
      <c r="S4095" s="53" t="s">
        <v>29239</v>
      </c>
      <c r="T4095" s="32" t="s">
        <v>29240</v>
      </c>
    </row>
    <row r="4096">
      <c r="A4096" s="33" t="s">
        <v>29241</v>
      </c>
      <c r="B4096" s="76" t="s">
        <v>8390</v>
      </c>
      <c r="C4096" s="41">
        <v>45596.0</v>
      </c>
      <c r="D4096" s="40" t="s">
        <v>29242</v>
      </c>
      <c r="E4096" s="41" t="s">
        <v>29243</v>
      </c>
      <c r="F4096" s="43" t="s">
        <v>29244</v>
      </c>
      <c r="G4096" s="43" t="s">
        <v>29245</v>
      </c>
      <c r="H4096" s="51" t="s">
        <v>25072</v>
      </c>
      <c r="I4096" s="15" t="str">
        <f>IFERROR(__xludf.DUMMYFUNCTION("GOOGLETRANSLATE(H4096,""EN"",""ES"")"),"Petróleo y energía")</f>
        <v>Petróleo y energía</v>
      </c>
      <c r="J4096" s="16" t="s">
        <v>35</v>
      </c>
      <c r="K4096" s="48">
        <v>0.7</v>
      </c>
      <c r="L4096" s="51" t="s">
        <v>29246</v>
      </c>
      <c r="M4096" s="34" t="s">
        <v>29247</v>
      </c>
      <c r="N4096" s="94" t="s">
        <v>29248</v>
      </c>
      <c r="O4096" s="94" t="str">
        <f>IFERROR(__xludf.DUMMYFUNCTION("GOOGLETRANSLATE(N4096,""EN"",""ES"")"),"Positivo ya que indica alivio para la empresa.")</f>
        <v>Positivo ya que indica alivio para la empresa.</v>
      </c>
      <c r="P4096" s="30">
        <v>0.6</v>
      </c>
      <c r="Q4096" s="18" t="str">
        <f>IFERROR(__xludf.DUMMYFUNCTION("GOOGLETRANSLATE(R4096,""ES"",""EN"")"),"satisfied, ""decay""")</f>
        <v>satisfied, "decay"</v>
      </c>
      <c r="R4096" s="34" t="s">
        <v>29249</v>
      </c>
      <c r="S4096" s="52" t="s">
        <v>28838</v>
      </c>
      <c r="T4096" s="22" t="s">
        <v>28839</v>
      </c>
    </row>
    <row r="4097">
      <c r="A4097" s="23" t="s">
        <v>29250</v>
      </c>
      <c r="B4097" s="77" t="s">
        <v>27451</v>
      </c>
      <c r="C4097" s="41">
        <v>45596.0</v>
      </c>
      <c r="D4097" s="40" t="s">
        <v>29251</v>
      </c>
      <c r="E4097" s="41" t="s">
        <v>29252</v>
      </c>
      <c r="F4097" s="43" t="s">
        <v>29253</v>
      </c>
      <c r="G4097" s="43" t="s">
        <v>29254</v>
      </c>
      <c r="H4097" s="51" t="s">
        <v>25072</v>
      </c>
      <c r="I4097" s="25" t="str">
        <f>IFERROR(__xludf.DUMMYFUNCTION("GOOGLETRANSLATE(H4097,""EN"",""ES"")"),"Petróleo y energía")</f>
        <v>Petróleo y energía</v>
      </c>
      <c r="J4097" s="26" t="s">
        <v>35</v>
      </c>
      <c r="K4097" s="48">
        <v>0.7</v>
      </c>
      <c r="L4097" s="49" t="s">
        <v>29255</v>
      </c>
      <c r="M4097" s="28" t="s">
        <v>29256</v>
      </c>
      <c r="N4097" s="93" t="s">
        <v>29257</v>
      </c>
      <c r="O4097" s="93" t="str">
        <f>IFERROR(__xludf.DUMMYFUNCTION("GOOGLETRANSLATE(N4097,""EN"",""ES"")"),"Positivo ya que confirma la desgravación fiscal.")</f>
        <v>Positivo ya que confirma la desgravación fiscal.</v>
      </c>
      <c r="P4097" s="30">
        <v>0.6</v>
      </c>
      <c r="Q4097" s="31" t="str">
        <f>IFERROR(__xludf.DUMMYFUNCTION("GOOGLETRANSLATE(R4097,""ES"",""EN"")"),"They won, ""it's over""")</f>
        <v>They won, "it's over"</v>
      </c>
      <c r="R4097" s="28" t="s">
        <v>29258</v>
      </c>
      <c r="S4097" s="53" t="s">
        <v>29259</v>
      </c>
      <c r="T4097" s="32" t="s">
        <v>29260</v>
      </c>
    </row>
    <row r="4098">
      <c r="A4098" s="33" t="s">
        <v>29261</v>
      </c>
      <c r="B4098" s="76" t="s">
        <v>163</v>
      </c>
      <c r="C4098" s="41">
        <v>45596.0</v>
      </c>
      <c r="D4098" s="40" t="s">
        <v>29262</v>
      </c>
      <c r="E4098" s="41" t="s">
        <v>29263</v>
      </c>
      <c r="F4098" s="43" t="s">
        <v>29264</v>
      </c>
      <c r="G4098" s="43" t="s">
        <v>29265</v>
      </c>
      <c r="H4098" s="51" t="s">
        <v>55</v>
      </c>
      <c r="I4098" s="15" t="str">
        <f>IFERROR(__xludf.DUMMYFUNCTION("GOOGLETRANSLATE(H4098,""EN"",""ES"")"),"deportes de motor")</f>
        <v>deportes de motor</v>
      </c>
      <c r="J4098" s="16" t="s">
        <v>27</v>
      </c>
      <c r="K4098" s="17">
        <v>0.0</v>
      </c>
      <c r="L4098" s="45"/>
      <c r="M4098" s="18"/>
      <c r="N4098" s="94"/>
      <c r="O4098" s="94"/>
      <c r="P4098" s="20">
        <v>0.0</v>
      </c>
      <c r="Q4098" s="18"/>
      <c r="R4098" s="18"/>
      <c r="S4098" s="52"/>
      <c r="T4098" s="22"/>
    </row>
    <row r="4099">
      <c r="A4099" s="23" t="s">
        <v>29266</v>
      </c>
      <c r="B4099" s="77" t="s">
        <v>43</v>
      </c>
      <c r="C4099" s="41">
        <v>45596.0</v>
      </c>
      <c r="D4099" s="40" t="s">
        <v>29267</v>
      </c>
      <c r="E4099" s="41" t="s">
        <v>29268</v>
      </c>
      <c r="F4099" s="43" t="s">
        <v>29269</v>
      </c>
      <c r="G4099" s="43" t="s">
        <v>29270</v>
      </c>
      <c r="H4099" s="51" t="s">
        <v>29271</v>
      </c>
      <c r="I4099" s="25" t="str">
        <f>IFERROR(__xludf.DUMMYFUNCTION("GOOGLETRANSLATE(H4099,""EN"",""ES"")"),"mercado de valores")</f>
        <v>mercado de valores</v>
      </c>
      <c r="J4099" s="26" t="s">
        <v>35</v>
      </c>
      <c r="K4099" s="48">
        <v>-0.5</v>
      </c>
      <c r="L4099" s="49" t="s">
        <v>29272</v>
      </c>
      <c r="M4099" s="28" t="s">
        <v>29273</v>
      </c>
      <c r="N4099" s="93" t="s">
        <v>29274</v>
      </c>
      <c r="O4099" s="93" t="str">
        <f>IFERROR(__xludf.DUMMYFUNCTION("GOOGLETRANSLATE(N4099,""EN"",""ES"")"),"Ligeramente negativo ya que pone de relieve la crisis financiera.")</f>
        <v>Ligeramente negativo ya que pone de relieve la crisis financiera.</v>
      </c>
      <c r="P4099" s="30">
        <v>0.0</v>
      </c>
      <c r="Q4099" s="31"/>
      <c r="R4099" s="31"/>
      <c r="S4099" s="53" t="s">
        <v>28567</v>
      </c>
      <c r="T4099" s="32" t="s">
        <v>28568</v>
      </c>
    </row>
    <row r="4100">
      <c r="A4100" s="33" t="s">
        <v>29275</v>
      </c>
      <c r="B4100" s="76" t="s">
        <v>13601</v>
      </c>
      <c r="C4100" s="41">
        <v>45596.0</v>
      </c>
      <c r="D4100" s="40" t="s">
        <v>29276</v>
      </c>
      <c r="E4100" s="41" t="s">
        <v>29277</v>
      </c>
      <c r="F4100" s="43" t="s">
        <v>29278</v>
      </c>
      <c r="G4100" s="43" t="s">
        <v>29279</v>
      </c>
      <c r="H4100" s="51" t="s">
        <v>148</v>
      </c>
      <c r="I4100" s="15" t="str">
        <f>IFERROR(__xludf.DUMMYFUNCTION("GOOGLETRANSLATE(H4100,""EN"",""ES"")"),"Gastronomía")</f>
        <v>Gastronomía</v>
      </c>
      <c r="J4100" s="16" t="s">
        <v>27</v>
      </c>
      <c r="K4100" s="17">
        <v>0.0</v>
      </c>
      <c r="L4100" s="45"/>
      <c r="M4100" s="18"/>
      <c r="N4100" s="94"/>
      <c r="O4100" s="94"/>
      <c r="P4100" s="20">
        <v>0.0</v>
      </c>
      <c r="Q4100" s="18"/>
      <c r="R4100" s="18"/>
      <c r="S4100" s="52"/>
      <c r="T4100" s="22"/>
    </row>
    <row r="4101">
      <c r="A4101" s="23" t="s">
        <v>29280</v>
      </c>
      <c r="B4101" s="77" t="s">
        <v>9427</v>
      </c>
      <c r="C4101" s="96">
        <v>45597.0</v>
      </c>
      <c r="D4101" s="40" t="s">
        <v>29281</v>
      </c>
      <c r="E4101" s="97" t="s">
        <v>29281</v>
      </c>
      <c r="F4101" s="98" t="s">
        <v>29282</v>
      </c>
      <c r="G4101" s="98" t="s">
        <v>29282</v>
      </c>
      <c r="H4101" s="51" t="s">
        <v>25072</v>
      </c>
      <c r="I4101" s="25" t="str">
        <f>IFERROR(__xludf.DUMMYFUNCTION("GOOGLETRANSLATE(H4101,""EN"",""ES"")"),"Petróleo y energía")</f>
        <v>Petróleo y energía</v>
      </c>
      <c r="J4101" s="26" t="s">
        <v>35</v>
      </c>
      <c r="K4101" s="48">
        <v>-0.3</v>
      </c>
      <c r="L4101" s="49" t="s">
        <v>29283</v>
      </c>
      <c r="M4101" s="28" t="s">
        <v>29284</v>
      </c>
      <c r="N4101" s="93" t="s">
        <v>29285</v>
      </c>
      <c r="O4101" s="93" t="str">
        <f>IFERROR(__xludf.DUMMYFUNCTION("GOOGLETRANSLATE(N4101,""EN"",""ES"")"),"Ligeramente negativo ya que analiza la carga financiera de las empresas energéticas.")</f>
        <v>Ligeramente negativo ya que analiza la carga financiera de las empresas energéticas.</v>
      </c>
      <c r="P4101" s="30">
        <v>-0.1</v>
      </c>
      <c r="Q4101" s="31" t="str">
        <f>IFERROR(__xludf.DUMMYFUNCTION("GOOGLETRANSLATE(R4101,""ES"",""EN"")"),"-")</f>
        <v>-</v>
      </c>
      <c r="R4101" s="28" t="s">
        <v>11852</v>
      </c>
      <c r="S4101" s="53" t="s">
        <v>29286</v>
      </c>
      <c r="T4101" s="32" t="s">
        <v>29287</v>
      </c>
    </row>
    <row r="4102">
      <c r="A4102" s="33" t="s">
        <v>29288</v>
      </c>
      <c r="B4102" s="76" t="s">
        <v>217</v>
      </c>
      <c r="C4102" s="99">
        <v>45597.0</v>
      </c>
      <c r="D4102" s="40" t="s">
        <v>29289</v>
      </c>
      <c r="E4102" s="100" t="s">
        <v>29290</v>
      </c>
      <c r="F4102" s="101" t="s">
        <v>29291</v>
      </c>
      <c r="G4102" s="101" t="s">
        <v>29292</v>
      </c>
      <c r="H4102" s="51" t="s">
        <v>25072</v>
      </c>
      <c r="I4102" s="15" t="str">
        <f>IFERROR(__xludf.DUMMYFUNCTION("GOOGLETRANSLATE(H4102,""EN"",""ES"")"),"Petróleo y energía")</f>
        <v>Petróleo y energía</v>
      </c>
      <c r="J4102" s="16" t="s">
        <v>35</v>
      </c>
      <c r="K4102" s="48">
        <v>0.7</v>
      </c>
      <c r="L4102" s="51" t="s">
        <v>29293</v>
      </c>
      <c r="M4102" s="34" t="s">
        <v>29294</v>
      </c>
      <c r="N4102" s="94" t="s">
        <v>29295</v>
      </c>
      <c r="O4102" s="94" t="str">
        <f>IFERROR(__xludf.DUMMYFUNCTION("GOOGLETRANSLATE(N4102,""EN"",""ES"")"),"Positivo porque pone de relieve el nuevo impulso inversor de Repsol.")</f>
        <v>Positivo porque pone de relieve el nuevo impulso inversor de Repsol.</v>
      </c>
      <c r="P4102" s="30">
        <v>0.6</v>
      </c>
      <c r="Q4102" s="18" t="str">
        <f>IFERROR(__xludf.DUMMYFUNCTION("GOOGLETRANSLATE(R4102,""ES"",""EN"")"),"reactive")</f>
        <v>reactive</v>
      </c>
      <c r="R4102" s="34" t="s">
        <v>29296</v>
      </c>
      <c r="S4102" s="52" t="s">
        <v>29297</v>
      </c>
      <c r="T4102" s="22" t="s">
        <v>29298</v>
      </c>
    </row>
    <row r="4103">
      <c r="A4103" s="23" t="s">
        <v>29299</v>
      </c>
      <c r="B4103" s="77" t="s">
        <v>499</v>
      </c>
      <c r="C4103" s="96">
        <v>45597.0</v>
      </c>
      <c r="D4103" s="40" t="s">
        <v>29300</v>
      </c>
      <c r="E4103" s="97" t="s">
        <v>29301</v>
      </c>
      <c r="F4103" s="98" t="s">
        <v>29302</v>
      </c>
      <c r="G4103" s="98" t="s">
        <v>29303</v>
      </c>
      <c r="H4103" s="51" t="s">
        <v>29304</v>
      </c>
      <c r="I4103" s="25" t="str">
        <f>IFERROR(__xludf.DUMMYFUNCTION("GOOGLETRANSLATE(H4103,""EN"",""ES"")"),"Responsabilidad social corporativa")</f>
        <v>Responsabilidad social corporativa</v>
      </c>
      <c r="J4103" s="26" t="s">
        <v>35</v>
      </c>
      <c r="K4103" s="48">
        <v>0.8</v>
      </c>
      <c r="L4103" s="49" t="s">
        <v>29305</v>
      </c>
      <c r="M4103" s="28" t="s">
        <v>29306</v>
      </c>
      <c r="N4103" s="93" t="s">
        <v>29307</v>
      </c>
      <c r="O4103" s="93" t="str">
        <f>IFERROR(__xludf.DUMMYFUNCTION("GOOGLETRANSLATE(N4103,""EN"",""ES"")"),"Fuertemente positivo ya que refuerza una buena imagen corporativa.")</f>
        <v>Fuertemente positivo ya que refuerza una buena imagen corporativa.</v>
      </c>
      <c r="P4103" s="30">
        <v>0.7</v>
      </c>
      <c r="Q4103" s="31" t="str">
        <f>IFERROR(__xludf.DUMMYFUNCTION("GOOGLETRANSLATE(R4103,""ES"",""EN"")"),"facilitate, ""help""")</f>
        <v>facilitate, "help"</v>
      </c>
      <c r="R4103" s="28" t="s">
        <v>29308</v>
      </c>
      <c r="S4103" s="53" t="s">
        <v>29309</v>
      </c>
      <c r="T4103" s="32" t="s">
        <v>29310</v>
      </c>
    </row>
    <row r="4104">
      <c r="A4104" s="33" t="s">
        <v>29311</v>
      </c>
      <c r="B4104" s="76" t="s">
        <v>1970</v>
      </c>
      <c r="C4104" s="99">
        <v>45597.0</v>
      </c>
      <c r="D4104" s="40" t="s">
        <v>29312</v>
      </c>
      <c r="E4104" s="100" t="s">
        <v>29312</v>
      </c>
      <c r="F4104" s="101" t="s">
        <v>29313</v>
      </c>
      <c r="G4104" s="101" t="s">
        <v>29313</v>
      </c>
      <c r="H4104" s="51" t="s">
        <v>25072</v>
      </c>
      <c r="I4104" s="15" t="str">
        <f>IFERROR(__xludf.DUMMYFUNCTION("GOOGLETRANSLATE(H4104,""EN"",""ES"")"),"Petróleo y energía")</f>
        <v>Petróleo y energía</v>
      </c>
      <c r="J4104" s="16" t="s">
        <v>35</v>
      </c>
      <c r="K4104" s="48">
        <v>0.8</v>
      </c>
      <c r="L4104" s="51" t="s">
        <v>29314</v>
      </c>
      <c r="M4104" s="34" t="s">
        <v>29315</v>
      </c>
      <c r="N4104" s="94" t="s">
        <v>29316</v>
      </c>
      <c r="O4104" s="94" t="str">
        <f>IFERROR(__xludf.DUMMYFUNCTION("GOOGLETRANSLATE(N4104,""EN"",""ES"")"),"Muy positivo ya que indica una importante aprobación de una inversión.")</f>
        <v>Muy positivo ya que indica una importante aprobación de una inversión.</v>
      </c>
      <c r="P4104" s="30">
        <v>0.8</v>
      </c>
      <c r="Q4104" s="18" t="str">
        <f>IFERROR(__xludf.DUMMYFUNCTION("GOOGLETRANSLATE(R4104,""ES"",""EN"")"),"green light, ""investment""")</f>
        <v>green light, "investment"</v>
      </c>
      <c r="R4104" s="34" t="s">
        <v>29317</v>
      </c>
      <c r="S4104" s="52" t="s">
        <v>29318</v>
      </c>
      <c r="T4104" s="22" t="s">
        <v>29319</v>
      </c>
    </row>
    <row r="4105">
      <c r="A4105" s="23" t="s">
        <v>29320</v>
      </c>
      <c r="B4105" s="77" t="s">
        <v>666</v>
      </c>
      <c r="C4105" s="96">
        <v>45597.0</v>
      </c>
      <c r="D4105" s="40" t="s">
        <v>29321</v>
      </c>
      <c r="E4105" s="97" t="s">
        <v>29322</v>
      </c>
      <c r="F4105" s="98" t="s">
        <v>29323</v>
      </c>
      <c r="G4105" s="98" t="s">
        <v>29324</v>
      </c>
      <c r="H4105" s="51" t="s">
        <v>29271</v>
      </c>
      <c r="I4105" s="25" t="str">
        <f>IFERROR(__xludf.DUMMYFUNCTION("GOOGLETRANSLATE(H4105,""EN"",""ES"")"),"mercado de valores")</f>
        <v>mercado de valores</v>
      </c>
      <c r="J4105" s="26" t="s">
        <v>35</v>
      </c>
      <c r="K4105" s="48">
        <v>-0.5</v>
      </c>
      <c r="L4105" s="49" t="s">
        <v>29325</v>
      </c>
      <c r="M4105" s="28" t="s">
        <v>29326</v>
      </c>
      <c r="N4105" s="93" t="s">
        <v>29327</v>
      </c>
      <c r="O4105" s="93" t="str">
        <f>IFERROR(__xludf.DUMMYFUNCTION("GOOGLETRANSLATE(N4105,""EN"",""ES"")"),"Ligeramente negativo ya que destaca la volatilidad de las acciones y los problemas fiscales.")</f>
        <v>Ligeramente negativo ya que destaca la volatilidad de las acciones y los problemas fiscales.</v>
      </c>
      <c r="P4105" s="30">
        <v>-0.4</v>
      </c>
      <c r="Q4105" s="31" t="str">
        <f>IFERROR(__xludf.DUMMYFUNCTION("GOOGLETRANSLATE(R4105,""ES"",""EN"")"),"keep tax")</f>
        <v>keep tax</v>
      </c>
      <c r="R4105" s="28" t="s">
        <v>29328</v>
      </c>
      <c r="S4105" s="53" t="s">
        <v>29329</v>
      </c>
      <c r="T4105" s="32" t="s">
        <v>29330</v>
      </c>
    </row>
    <row r="4106">
      <c r="A4106" s="33" t="s">
        <v>29331</v>
      </c>
      <c r="B4106" s="76" t="s">
        <v>2442</v>
      </c>
      <c r="C4106" s="99">
        <v>45597.0</v>
      </c>
      <c r="D4106" s="40" t="s">
        <v>29332</v>
      </c>
      <c r="E4106" s="100" t="s">
        <v>29333</v>
      </c>
      <c r="F4106" s="101" t="s">
        <v>29332</v>
      </c>
      <c r="G4106" s="101" t="s">
        <v>29334</v>
      </c>
      <c r="H4106" s="51" t="s">
        <v>26</v>
      </c>
      <c r="I4106" s="15" t="str">
        <f>IFERROR(__xludf.DUMMYFUNCTION("GOOGLETRANSLATE(H4106,""EN"",""ES"")"),"Otro")</f>
        <v>Otro</v>
      </c>
      <c r="J4106" s="16" t="s">
        <v>27</v>
      </c>
      <c r="K4106" s="17">
        <v>0.0</v>
      </c>
      <c r="L4106" s="45"/>
      <c r="M4106" s="18"/>
      <c r="N4106" s="94"/>
      <c r="O4106" s="94"/>
      <c r="P4106" s="20">
        <v>0.0</v>
      </c>
      <c r="Q4106" s="18"/>
      <c r="R4106" s="18"/>
      <c r="S4106" s="52"/>
      <c r="T4106" s="22"/>
    </row>
    <row r="4107">
      <c r="A4107" s="23" t="s">
        <v>29335</v>
      </c>
      <c r="B4107" s="77" t="s">
        <v>9516</v>
      </c>
      <c r="C4107" s="96">
        <v>45597.0</v>
      </c>
      <c r="D4107" s="40" t="s">
        <v>29336</v>
      </c>
      <c r="E4107" s="97" t="s">
        <v>29337</v>
      </c>
      <c r="F4107" s="98" t="s">
        <v>29338</v>
      </c>
      <c r="G4107" s="98" t="s">
        <v>29339</v>
      </c>
      <c r="H4107" s="51" t="s">
        <v>25072</v>
      </c>
      <c r="I4107" s="25" t="str">
        <f>IFERROR(__xludf.DUMMYFUNCTION("GOOGLETRANSLATE(H4107,""EN"",""ES"")"),"Petróleo y energía")</f>
        <v>Petróleo y energía</v>
      </c>
      <c r="J4107" s="26" t="s">
        <v>35</v>
      </c>
      <c r="K4107" s="48">
        <v>0.7</v>
      </c>
      <c r="L4107" s="49" t="s">
        <v>29340</v>
      </c>
      <c r="M4107" s="28" t="s">
        <v>29341</v>
      </c>
      <c r="N4107" s="93" t="s">
        <v>29205</v>
      </c>
      <c r="O4107" s="93" t="str">
        <f>IFERROR(__xludf.DUMMYFUNCTION("GOOGLETRANSLATE(N4107,""EN"",""ES"")"),"Positivo ya que indica expansión empresarial.")</f>
        <v>Positivo ya que indica expansión empresarial.</v>
      </c>
      <c r="P4107" s="30">
        <v>0.7</v>
      </c>
      <c r="Q4107" s="31" t="str">
        <f>IFERROR(__xludf.DUMMYFUNCTION("GOOGLETRANSLATE(R4107,""ES"",""EN"")"),"resume, ""investments""")</f>
        <v>resume, "investments"</v>
      </c>
      <c r="R4107" s="28" t="s">
        <v>29342</v>
      </c>
      <c r="S4107" s="53" t="s">
        <v>29343</v>
      </c>
      <c r="T4107" s="32" t="s">
        <v>29344</v>
      </c>
    </row>
    <row r="4108">
      <c r="A4108" s="33" t="s">
        <v>29345</v>
      </c>
      <c r="B4108" s="76" t="s">
        <v>1142</v>
      </c>
      <c r="C4108" s="99">
        <v>45597.0</v>
      </c>
      <c r="D4108" s="40" t="s">
        <v>29346</v>
      </c>
      <c r="E4108" s="100" t="s">
        <v>29347</v>
      </c>
      <c r="F4108" s="101" t="s">
        <v>29348</v>
      </c>
      <c r="G4108" s="101" t="s">
        <v>29349</v>
      </c>
      <c r="H4108" s="51" t="s">
        <v>25072</v>
      </c>
      <c r="I4108" s="15" t="str">
        <f>IFERROR(__xludf.DUMMYFUNCTION("GOOGLETRANSLATE(H4108,""EN"",""ES"")"),"Petróleo y energía")</f>
        <v>Petróleo y energía</v>
      </c>
      <c r="J4108" s="16" t="s">
        <v>35</v>
      </c>
      <c r="K4108" s="48">
        <v>-0.3</v>
      </c>
      <c r="L4108" s="51" t="s">
        <v>29350</v>
      </c>
      <c r="M4108" s="34" t="s">
        <v>29351</v>
      </c>
      <c r="N4108" s="94" t="s">
        <v>29352</v>
      </c>
      <c r="O4108" s="94" t="str">
        <f>IFERROR(__xludf.DUMMYFUNCTION("GOOGLETRANSLATE(N4108,""EN"",""ES"")"),"Ligeramente negativo por la caída de beneficios pero mitigado por los dividendos.")</f>
        <v>Ligeramente negativo por la caída de beneficios pero mitigado por los dividendos.</v>
      </c>
      <c r="P4108" s="30">
        <v>-0.2</v>
      </c>
      <c r="Q4108" s="18" t="str">
        <f>IFERROR(__xludf.DUMMYFUNCTION("GOOGLETRANSLATE(R4108,""ES"",""EN"")"),"wins, ""36% less""")</f>
        <v>wins, "36% less"</v>
      </c>
      <c r="R4108" s="34" t="s">
        <v>28885</v>
      </c>
      <c r="S4108" s="52" t="s">
        <v>29353</v>
      </c>
      <c r="T4108" s="22" t="s">
        <v>29354</v>
      </c>
    </row>
    <row r="4109">
      <c r="A4109" s="23" t="s">
        <v>29355</v>
      </c>
      <c r="B4109" s="77" t="s">
        <v>1602</v>
      </c>
      <c r="C4109" s="96">
        <v>45597.0</v>
      </c>
      <c r="D4109" s="40" t="s">
        <v>29356</v>
      </c>
      <c r="E4109" s="97" t="s">
        <v>29357</v>
      </c>
      <c r="F4109" s="98" t="s">
        <v>29358</v>
      </c>
      <c r="G4109" s="98" t="s">
        <v>29359</v>
      </c>
      <c r="H4109" s="51" t="s">
        <v>29271</v>
      </c>
      <c r="I4109" s="25" t="str">
        <f>IFERROR(__xludf.DUMMYFUNCTION("GOOGLETRANSLATE(H4109,""EN"",""ES"")"),"mercado de valores")</f>
        <v>mercado de valores</v>
      </c>
      <c r="J4109" s="26" t="s">
        <v>35</v>
      </c>
      <c r="K4109" s="48">
        <v>-0.5</v>
      </c>
      <c r="L4109" s="49" t="s">
        <v>29360</v>
      </c>
      <c r="M4109" s="28" t="s">
        <v>29361</v>
      </c>
      <c r="N4109" s="93" t="s">
        <v>29362</v>
      </c>
      <c r="O4109" s="93" t="str">
        <f>IFERROR(__xludf.DUMMYFUNCTION("GOOGLETRANSLATE(N4109,""EN"",""ES"")"),"Ligeramente negativo ya que refleja un sentimiento bajista del mercado hacia Repsol.")</f>
        <v>Ligeramente negativo ya que refleja un sentimiento bajista del mercado hacia Repsol.</v>
      </c>
      <c r="P4109" s="30">
        <v>-0.5</v>
      </c>
      <c r="Q4109" s="31" t="str">
        <f>IFERROR(__xludf.DUMMYFUNCTION("GOOGLETRANSLATE(R4109,""ES"",""EN"")"),"sell")</f>
        <v>sell</v>
      </c>
      <c r="R4109" s="28" t="s">
        <v>29363</v>
      </c>
      <c r="S4109" s="53" t="s">
        <v>25499</v>
      </c>
      <c r="T4109" s="32" t="s">
        <v>25500</v>
      </c>
    </row>
    <row r="4110">
      <c r="A4110" s="33" t="s">
        <v>29364</v>
      </c>
      <c r="B4110" s="76" t="s">
        <v>1192</v>
      </c>
      <c r="C4110" s="99">
        <v>45597.0</v>
      </c>
      <c r="D4110" s="40" t="s">
        <v>29365</v>
      </c>
      <c r="E4110" s="100" t="s">
        <v>29366</v>
      </c>
      <c r="F4110" s="101" t="s">
        <v>29367</v>
      </c>
      <c r="G4110" s="101" t="s">
        <v>29368</v>
      </c>
      <c r="H4110" s="51" t="s">
        <v>25072</v>
      </c>
      <c r="I4110" s="15" t="str">
        <f>IFERROR(__xludf.DUMMYFUNCTION("GOOGLETRANSLATE(H4110,""EN"",""ES"")"),"Petróleo y energía")</f>
        <v>Petróleo y energía</v>
      </c>
      <c r="J4110" s="16" t="s">
        <v>35</v>
      </c>
      <c r="K4110" s="48">
        <v>0.7</v>
      </c>
      <c r="L4110" s="51" t="s">
        <v>29369</v>
      </c>
      <c r="M4110" s="34" t="s">
        <v>29370</v>
      </c>
      <c r="N4110" s="94" t="s">
        <v>29371</v>
      </c>
      <c r="O4110" s="94" t="str">
        <f>IFERROR(__xludf.DUMMYFUNCTION("GOOGLETRANSLATE(N4110,""EN"",""ES"")"),"Positivo ya que confirma el compromiso inversor.")</f>
        <v>Positivo ya que confirma el compromiso inversor.</v>
      </c>
      <c r="P4110" s="30">
        <v>0.6</v>
      </c>
      <c r="Q4110" s="18" t="str">
        <f>IFERROR(__xludf.DUMMYFUNCTION("GOOGLETRANSLATE(R4110,""ES"",""EN"")"),"he assures, ""problem over""")</f>
        <v>he assures, "problem over"</v>
      </c>
      <c r="R4110" s="34" t="s">
        <v>29372</v>
      </c>
      <c r="S4110" s="52" t="s">
        <v>29373</v>
      </c>
      <c r="T4110" s="22" t="s">
        <v>29374</v>
      </c>
    </row>
    <row r="4111">
      <c r="A4111" s="23" t="s">
        <v>29375</v>
      </c>
      <c r="B4111" s="77" t="s">
        <v>8029</v>
      </c>
      <c r="C4111" s="96">
        <v>45597.0</v>
      </c>
      <c r="D4111" s="40" t="s">
        <v>29376</v>
      </c>
      <c r="E4111" s="97" t="s">
        <v>29377</v>
      </c>
      <c r="F4111" s="98" t="s">
        <v>29378</v>
      </c>
      <c r="G4111" s="98" t="s">
        <v>29379</v>
      </c>
      <c r="H4111" s="51" t="s">
        <v>29271</v>
      </c>
      <c r="I4111" s="25" t="str">
        <f>IFERROR(__xludf.DUMMYFUNCTION("GOOGLETRANSLATE(H4111,""EN"",""ES"")"),"mercado de valores")</f>
        <v>mercado de valores</v>
      </c>
      <c r="J4111" s="26" t="s">
        <v>35</v>
      </c>
      <c r="K4111" s="48">
        <v>0.0</v>
      </c>
      <c r="L4111" s="54"/>
      <c r="M4111" s="31"/>
      <c r="N4111" s="93" t="s">
        <v>20078</v>
      </c>
      <c r="O4111" s="93" t="str">
        <f>IFERROR(__xludf.DUMMYFUNCTION("GOOGLETRANSLATE(N4111,""EN"",""ES"")"),"Neutral ya que proporciona información financiera.")</f>
        <v>Neutral ya que proporciona información financiera.</v>
      </c>
      <c r="P4111" s="30">
        <v>0.0</v>
      </c>
      <c r="Q4111" s="31"/>
      <c r="R4111" s="31"/>
      <c r="S4111" s="53" t="s">
        <v>25933</v>
      </c>
      <c r="T4111" s="32" t="s">
        <v>25934</v>
      </c>
    </row>
    <row r="4112">
      <c r="A4112" s="33" t="s">
        <v>29380</v>
      </c>
      <c r="B4112" s="76" t="s">
        <v>977</v>
      </c>
      <c r="C4112" s="99">
        <v>45597.0</v>
      </c>
      <c r="D4112" s="40" t="s">
        <v>29381</v>
      </c>
      <c r="E4112" s="100" t="s">
        <v>29382</v>
      </c>
      <c r="F4112" s="101" t="s">
        <v>29383</v>
      </c>
      <c r="G4112" s="101" t="s">
        <v>29384</v>
      </c>
      <c r="H4112" s="51" t="s">
        <v>25072</v>
      </c>
      <c r="I4112" s="15" t="str">
        <f>IFERROR(__xludf.DUMMYFUNCTION("GOOGLETRANSLATE(H4112,""EN"",""ES"")"),"Petróleo y energía")</f>
        <v>Petróleo y energía</v>
      </c>
      <c r="J4112" s="16" t="s">
        <v>35</v>
      </c>
      <c r="K4112" s="48">
        <v>-0.4</v>
      </c>
      <c r="L4112" s="51" t="s">
        <v>29385</v>
      </c>
      <c r="M4112" s="34" t="s">
        <v>29386</v>
      </c>
      <c r="N4112" s="94" t="s">
        <v>29387</v>
      </c>
      <c r="O4112" s="94" t="str">
        <f>IFERROR(__xludf.DUMMYFUNCTION("GOOGLETRANSLATE(N4112,""EN"",""ES"")"),"Ligeramente negativo ya que destaca los riesgos de inversión.")</f>
        <v>Ligeramente negativo ya que destaca los riesgos de inversión.</v>
      </c>
      <c r="P4112" s="30">
        <v>-0.3</v>
      </c>
      <c r="Q4112" s="18" t="str">
        <f>IFERROR(__xludf.DUMMYFUNCTION("GOOGLETRANSLATE(R4112,""ES"",""EN"")"),"concerned")</f>
        <v>concerned</v>
      </c>
      <c r="R4112" s="34" t="s">
        <v>29388</v>
      </c>
      <c r="S4112" s="52" t="s">
        <v>29389</v>
      </c>
      <c r="T4112" s="22" t="s">
        <v>29390</v>
      </c>
    </row>
    <row r="4113">
      <c r="A4113" s="23" t="s">
        <v>29391</v>
      </c>
      <c r="B4113" s="77" t="s">
        <v>103</v>
      </c>
      <c r="C4113" s="96">
        <v>45597.0</v>
      </c>
      <c r="D4113" s="40" t="s">
        <v>29392</v>
      </c>
      <c r="E4113" s="97" t="s">
        <v>29393</v>
      </c>
      <c r="F4113" s="98" t="s">
        <v>29394</v>
      </c>
      <c r="G4113" s="98" t="s">
        <v>29395</v>
      </c>
      <c r="H4113" s="51" t="s">
        <v>29304</v>
      </c>
      <c r="I4113" s="25" t="str">
        <f>IFERROR(__xludf.DUMMYFUNCTION("GOOGLETRANSLATE(H4113,""EN"",""ES"")"),"Responsabilidad social corporativa")</f>
        <v>Responsabilidad social corporativa</v>
      </c>
      <c r="J4113" s="26" t="s">
        <v>27</v>
      </c>
      <c r="K4113" s="17">
        <v>0.0</v>
      </c>
      <c r="L4113" s="54"/>
      <c r="M4113" s="31"/>
      <c r="N4113" s="93"/>
      <c r="O4113" s="93"/>
      <c r="P4113" s="20">
        <v>0.0</v>
      </c>
      <c r="Q4113" s="31"/>
      <c r="R4113" s="31"/>
      <c r="S4113" s="53"/>
      <c r="T4113" s="32"/>
    </row>
    <row r="4114">
      <c r="A4114" s="33" t="s">
        <v>29396</v>
      </c>
      <c r="B4114" s="76" t="s">
        <v>2442</v>
      </c>
      <c r="C4114" s="99">
        <v>45597.0</v>
      </c>
      <c r="D4114" s="40" t="s">
        <v>29397</v>
      </c>
      <c r="E4114" s="100" t="s">
        <v>29398</v>
      </c>
      <c r="F4114" s="101" t="s">
        <v>29399</v>
      </c>
      <c r="G4114" s="101" t="s">
        <v>29400</v>
      </c>
      <c r="H4114" s="51" t="s">
        <v>25072</v>
      </c>
      <c r="I4114" s="15" t="str">
        <f>IFERROR(__xludf.DUMMYFUNCTION("GOOGLETRANSLATE(H4114,""EN"",""ES"")"),"Petróleo y energía")</f>
        <v>Petróleo y energía</v>
      </c>
      <c r="J4114" s="16" t="s">
        <v>35</v>
      </c>
      <c r="K4114" s="48">
        <v>0.6</v>
      </c>
      <c r="L4114" s="51" t="s">
        <v>29401</v>
      </c>
      <c r="M4114" s="34" t="s">
        <v>29402</v>
      </c>
      <c r="N4114" s="94" t="s">
        <v>29403</v>
      </c>
      <c r="O4114" s="94" t="str">
        <f>IFERROR(__xludf.DUMMYFUNCTION("GOOGLETRANSLATE(N4114,""EN"",""ES"")"),"Positivo ya que indica la reanudación de las inversiones.")</f>
        <v>Positivo ya que indica la reanudación de las inversiones.</v>
      </c>
      <c r="P4114" s="30">
        <v>0.4</v>
      </c>
      <c r="Q4114" s="18" t="str">
        <f>IFERROR(__xludf.DUMMYFUNCTION("GOOGLETRANSLATE(R4114,""ES"",""EN"")"),"unlock")</f>
        <v>unlock</v>
      </c>
      <c r="R4114" s="34" t="s">
        <v>29404</v>
      </c>
      <c r="S4114" s="52" t="s">
        <v>14159</v>
      </c>
      <c r="T4114" s="22" t="s">
        <v>14160</v>
      </c>
    </row>
    <row r="4115">
      <c r="A4115" s="23" t="s">
        <v>29405</v>
      </c>
      <c r="B4115" s="77" t="s">
        <v>499</v>
      </c>
      <c r="C4115" s="96">
        <v>45597.0</v>
      </c>
      <c r="D4115" s="40" t="s">
        <v>29406</v>
      </c>
      <c r="E4115" s="97" t="s">
        <v>29407</v>
      </c>
      <c r="F4115" s="98" t="s">
        <v>29408</v>
      </c>
      <c r="G4115" s="98" t="s">
        <v>29409</v>
      </c>
      <c r="H4115" s="51" t="s">
        <v>29271</v>
      </c>
      <c r="I4115" s="25" t="str">
        <f>IFERROR(__xludf.DUMMYFUNCTION("GOOGLETRANSLATE(H4115,""EN"",""ES"")"),"mercado de valores")</f>
        <v>mercado de valores</v>
      </c>
      <c r="J4115" s="26" t="s">
        <v>35</v>
      </c>
      <c r="K4115" s="48">
        <v>0.6</v>
      </c>
      <c r="L4115" s="49" t="s">
        <v>29410</v>
      </c>
      <c r="M4115" s="28" t="s">
        <v>29411</v>
      </c>
      <c r="N4115" s="93" t="s">
        <v>29412</v>
      </c>
      <c r="O4115" s="93" t="str">
        <f>IFERROR(__xludf.DUMMYFUNCTION("GOOGLETRANSLATE(N4115,""EN"",""ES"")"),"Positivo ya que indica confianza del mercado.")</f>
        <v>Positivo ya que indica confianza del mercado.</v>
      </c>
      <c r="P4115" s="30">
        <v>0.5</v>
      </c>
      <c r="Q4115" s="31" t="str">
        <f>IFERROR(__xludf.DUMMYFUNCTION("GOOGLETRANSLATE(R4115,""ES"",""EN"")"),"go up, ""invest""")</f>
        <v>go up, "invest"</v>
      </c>
      <c r="R4115" s="28" t="s">
        <v>29413</v>
      </c>
      <c r="S4115" s="53" t="s">
        <v>29414</v>
      </c>
      <c r="T4115" s="32" t="s">
        <v>29415</v>
      </c>
    </row>
    <row r="4116">
      <c r="A4116" s="33" t="s">
        <v>29416</v>
      </c>
      <c r="B4116" s="76" t="s">
        <v>1142</v>
      </c>
      <c r="C4116" s="99">
        <v>45597.0</v>
      </c>
      <c r="D4116" s="40" t="s">
        <v>29022</v>
      </c>
      <c r="E4116" s="100" t="s">
        <v>29417</v>
      </c>
      <c r="F4116" s="101" t="s">
        <v>29024</v>
      </c>
      <c r="G4116" s="101" t="s">
        <v>29418</v>
      </c>
      <c r="H4116" s="51" t="s">
        <v>25072</v>
      </c>
      <c r="I4116" s="15" t="str">
        <f>IFERROR(__xludf.DUMMYFUNCTION("GOOGLETRANSLATE(H4116,""EN"",""ES"")"),"Petróleo y energía")</f>
        <v>Petróleo y energía</v>
      </c>
      <c r="J4116" s="16" t="s">
        <v>35</v>
      </c>
      <c r="K4116" s="48">
        <v>0.7</v>
      </c>
      <c r="L4116" s="51" t="s">
        <v>29419</v>
      </c>
      <c r="M4116" s="34" t="s">
        <v>29420</v>
      </c>
      <c r="N4116" s="94" t="s">
        <v>29421</v>
      </c>
      <c r="O4116" s="94" t="str">
        <f>IFERROR(__xludf.DUMMYFUNCTION("GOOGLETRANSLATE(N4116,""EN"",""ES"")"),"Positivo ya que pone de relieve la renovada actividad empresarial.")</f>
        <v>Positivo ya que pone de relieve la renovada actividad empresarial.</v>
      </c>
      <c r="P4116" s="30">
        <v>0.7</v>
      </c>
      <c r="Q4116" s="18" t="str">
        <f>IFERROR(__xludf.DUMMYFUNCTION("GOOGLETRANSLATE(R4116,""ES"",""EN"")"),"problem over, ""reactive""")</f>
        <v>problem over, "reactive"</v>
      </c>
      <c r="R4116" s="34" t="s">
        <v>29422</v>
      </c>
      <c r="S4116" s="52" t="s">
        <v>28914</v>
      </c>
      <c r="T4116" s="22" t="s">
        <v>28915</v>
      </c>
    </row>
    <row r="4117">
      <c r="A4117" s="23" t="s">
        <v>29423</v>
      </c>
      <c r="B4117" s="77" t="s">
        <v>103</v>
      </c>
      <c r="C4117" s="96">
        <v>45597.0</v>
      </c>
      <c r="D4117" s="40" t="s">
        <v>29424</v>
      </c>
      <c r="E4117" s="97" t="s">
        <v>29425</v>
      </c>
      <c r="F4117" s="98" t="s">
        <v>29426</v>
      </c>
      <c r="G4117" s="98" t="s">
        <v>29427</v>
      </c>
      <c r="H4117" s="51" t="s">
        <v>25072</v>
      </c>
      <c r="I4117" s="25" t="str">
        <f>IFERROR(__xludf.DUMMYFUNCTION("GOOGLETRANSLATE(H4117,""EN"",""ES"")"),"Petróleo y energía")</f>
        <v>Petróleo y energía</v>
      </c>
      <c r="J4117" s="26" t="s">
        <v>35</v>
      </c>
      <c r="K4117" s="48">
        <v>-0.4</v>
      </c>
      <c r="L4117" s="49" t="s">
        <v>29428</v>
      </c>
      <c r="M4117" s="28" t="s">
        <v>29429</v>
      </c>
      <c r="N4117" s="93" t="s">
        <v>29430</v>
      </c>
      <c r="O4117" s="93" t="str">
        <f>IFERROR(__xludf.DUMMYFUNCTION("GOOGLETRANSLATE(N4117,""EN"",""ES"")"),"Ligeramente negativo ya que limita la clasificación de sostenibilidad de Repsol.")</f>
        <v>Ligeramente negativo ya que limita la clasificación de sostenibilidad de Repsol.</v>
      </c>
      <c r="P4117" s="30">
        <v>-0.2</v>
      </c>
      <c r="Q4117" s="31" t="str">
        <f>IFERROR(__xludf.DUMMYFUNCTION("GOOGLETRANSLATE(R4117,""ES"",""EN"")"),"-")</f>
        <v>-</v>
      </c>
      <c r="R4117" s="28" t="s">
        <v>11852</v>
      </c>
      <c r="S4117" s="53" t="s">
        <v>29431</v>
      </c>
      <c r="T4117" s="32" t="s">
        <v>29432</v>
      </c>
    </row>
    <row r="4118">
      <c r="A4118" s="33" t="s">
        <v>29433</v>
      </c>
      <c r="B4118" s="76" t="s">
        <v>103</v>
      </c>
      <c r="C4118" s="99">
        <v>45597.0</v>
      </c>
      <c r="D4118" s="40" t="s">
        <v>29434</v>
      </c>
      <c r="E4118" s="100" t="s">
        <v>29435</v>
      </c>
      <c r="F4118" s="101" t="s">
        <v>29436</v>
      </c>
      <c r="G4118" s="101" t="s">
        <v>29437</v>
      </c>
      <c r="H4118" s="51" t="s">
        <v>25072</v>
      </c>
      <c r="I4118" s="15" t="str">
        <f>IFERROR(__xludf.DUMMYFUNCTION("GOOGLETRANSLATE(H4118,""EN"",""ES"")"),"Petróleo y energía")</f>
        <v>Petróleo y energía</v>
      </c>
      <c r="J4118" s="16" t="s">
        <v>35</v>
      </c>
      <c r="K4118" s="48">
        <v>0.5</v>
      </c>
      <c r="L4118" s="51" t="s">
        <v>29438</v>
      </c>
      <c r="M4118" s="34" t="s">
        <v>29439</v>
      </c>
      <c r="N4118" s="94" t="s">
        <v>29440</v>
      </c>
      <c r="O4118" s="94" t="str">
        <f>IFERROR(__xludf.DUMMYFUNCTION("GOOGLETRANSLATE(N4118,""EN"",""ES"")"),"Positivo porque confirma un cambio de política favorable a las empresas.")</f>
        <v>Positivo porque confirma un cambio de política favorable a las empresas.</v>
      </c>
      <c r="P4118" s="30">
        <v>0.4</v>
      </c>
      <c r="Q4118" s="18" t="str">
        <f>IFERROR(__xludf.DUMMYFUNCTION("GOOGLETRANSLATE(R4118,""ES"",""EN"")"),"they bent, ""eliminate""")</f>
        <v>they bent, "eliminate"</v>
      </c>
      <c r="R4118" s="34" t="s">
        <v>29441</v>
      </c>
      <c r="S4118" s="52" t="s">
        <v>29442</v>
      </c>
      <c r="T4118" s="22" t="s">
        <v>29443</v>
      </c>
    </row>
    <row r="4119">
      <c r="A4119" s="23" t="s">
        <v>29444</v>
      </c>
      <c r="B4119" s="77" t="s">
        <v>7334</v>
      </c>
      <c r="C4119" s="96">
        <v>45597.0</v>
      </c>
      <c r="D4119" s="40" t="s">
        <v>29445</v>
      </c>
      <c r="E4119" s="97" t="s">
        <v>29446</v>
      </c>
      <c r="F4119" s="98" t="s">
        <v>29447</v>
      </c>
      <c r="G4119" s="98" t="s">
        <v>29448</v>
      </c>
      <c r="H4119" s="51" t="s">
        <v>26</v>
      </c>
      <c r="I4119" s="25" t="str">
        <f>IFERROR(__xludf.DUMMYFUNCTION("GOOGLETRANSLATE(H4119,""EN"",""ES"")"),"Otro")</f>
        <v>Otro</v>
      </c>
      <c r="J4119" s="26" t="s">
        <v>27</v>
      </c>
      <c r="K4119" s="17">
        <v>0.0</v>
      </c>
      <c r="L4119" s="54"/>
      <c r="M4119" s="31"/>
      <c r="N4119" s="93"/>
      <c r="O4119" s="93"/>
      <c r="P4119" s="20">
        <v>0.0</v>
      </c>
      <c r="Q4119" s="31"/>
      <c r="R4119" s="31"/>
      <c r="S4119" s="53"/>
      <c r="T4119" s="32"/>
    </row>
    <row r="4120">
      <c r="A4120" s="33" t="s">
        <v>29449</v>
      </c>
      <c r="B4120" s="76" t="s">
        <v>499</v>
      </c>
      <c r="C4120" s="99">
        <v>45292.0</v>
      </c>
      <c r="D4120" s="40" t="s">
        <v>29450</v>
      </c>
      <c r="E4120" s="100" t="s">
        <v>29451</v>
      </c>
      <c r="F4120" s="101" t="s">
        <v>29452</v>
      </c>
      <c r="G4120" s="101" t="s">
        <v>29453</v>
      </c>
      <c r="H4120" s="51" t="s">
        <v>25072</v>
      </c>
      <c r="I4120" s="15" t="str">
        <f>IFERROR(__xludf.DUMMYFUNCTION("GOOGLETRANSLATE(H4120,""EN"",""ES"")"),"Petróleo y energía")</f>
        <v>Petróleo y energía</v>
      </c>
      <c r="J4120" s="16" t="s">
        <v>35</v>
      </c>
      <c r="K4120" s="48">
        <v>0.3</v>
      </c>
      <c r="L4120" s="51" t="s">
        <v>29454</v>
      </c>
      <c r="M4120" s="34" t="s">
        <v>29455</v>
      </c>
      <c r="N4120" s="94" t="s">
        <v>29456</v>
      </c>
      <c r="O4120" s="94" t="str">
        <f>IFERROR(__xludf.DUMMYFUNCTION("GOOGLETRANSLATE(N4120,""EN"",""ES"")"),"Ligeramente positivo ya que destaca las ganancias pero dentro de un contexto controvertido.")</f>
        <v>Ligeramente positivo ya que destaca las ganancias pero dentro de un contexto controvertido.</v>
      </c>
      <c r="P4120" s="30">
        <v>0.3</v>
      </c>
      <c r="Q4120" s="18" t="str">
        <f>IFERROR(__xludf.DUMMYFUNCTION("GOOGLETRANSLATE(R4120,""ES"",""EN"")"),"they win")</f>
        <v>they win</v>
      </c>
      <c r="R4120" s="34" t="s">
        <v>29457</v>
      </c>
      <c r="S4120" s="52" t="s">
        <v>29458</v>
      </c>
      <c r="T4120" s="22" t="s">
        <v>29459</v>
      </c>
    </row>
    <row r="4121">
      <c r="A4121" s="23" t="s">
        <v>29460</v>
      </c>
      <c r="B4121" s="77" t="s">
        <v>2713</v>
      </c>
      <c r="C4121" s="96">
        <v>45597.0</v>
      </c>
      <c r="D4121" s="40" t="s">
        <v>29461</v>
      </c>
      <c r="E4121" s="97" t="s">
        <v>29462</v>
      </c>
      <c r="F4121" s="98" t="s">
        <v>29463</v>
      </c>
      <c r="G4121" s="98" t="s">
        <v>29464</v>
      </c>
      <c r="H4121" s="51" t="s">
        <v>29304</v>
      </c>
      <c r="I4121" s="25" t="str">
        <f>IFERROR(__xludf.DUMMYFUNCTION("GOOGLETRANSLATE(H4121,""EN"",""ES"")"),"Responsabilidad social corporativa")</f>
        <v>Responsabilidad social corporativa</v>
      </c>
      <c r="J4121" s="26" t="s">
        <v>27</v>
      </c>
      <c r="K4121" s="17">
        <v>0.0</v>
      </c>
      <c r="L4121" s="54"/>
      <c r="M4121" s="31"/>
      <c r="N4121" s="93"/>
      <c r="O4121" s="93"/>
      <c r="P4121" s="20">
        <v>0.0</v>
      </c>
      <c r="Q4121" s="31"/>
      <c r="R4121" s="31"/>
      <c r="S4121" s="53"/>
      <c r="T4121" s="32"/>
    </row>
    <row r="4122">
      <c r="A4122" s="33" t="s">
        <v>29465</v>
      </c>
      <c r="B4122" s="76" t="s">
        <v>3992</v>
      </c>
      <c r="C4122" s="99">
        <v>45597.0</v>
      </c>
      <c r="D4122" s="40" t="s">
        <v>29466</v>
      </c>
      <c r="E4122" s="100" t="s">
        <v>29467</v>
      </c>
      <c r="F4122" s="101" t="s">
        <v>29468</v>
      </c>
      <c r="G4122" s="101" t="s">
        <v>29469</v>
      </c>
      <c r="H4122" s="51" t="s">
        <v>25072</v>
      </c>
      <c r="I4122" s="15" t="str">
        <f>IFERROR(__xludf.DUMMYFUNCTION("GOOGLETRANSLATE(H4122,""EN"",""ES"")"),"Petróleo y energía")</f>
        <v>Petróleo y energía</v>
      </c>
      <c r="J4122" s="16" t="s">
        <v>35</v>
      </c>
      <c r="K4122" s="48">
        <v>-0.3</v>
      </c>
      <c r="L4122" s="51" t="s">
        <v>29470</v>
      </c>
      <c r="M4122" s="34" t="s">
        <v>29471</v>
      </c>
      <c r="N4122" s="94" t="s">
        <v>29472</v>
      </c>
      <c r="O4122" s="94" t="str">
        <f>IFERROR(__xludf.DUMMYFUNCTION("GOOGLETRANSLATE(N4122,""EN"",""ES"")"),"Ligeramente negativo ya que indica una incertidumbre persistente.")</f>
        <v>Ligeramente negativo ya que indica una incertidumbre persistente.</v>
      </c>
      <c r="P4122" s="30">
        <v>0.2</v>
      </c>
      <c r="Q4122" s="18" t="str">
        <f>IFERROR(__xludf.DUMMYFUNCTION("GOOGLETRANSLATE(R4122,""ES"",""EN"")"),"reservations")</f>
        <v>reservations</v>
      </c>
      <c r="R4122" s="34" t="s">
        <v>29473</v>
      </c>
      <c r="S4122" s="52" t="s">
        <v>29474</v>
      </c>
      <c r="T4122" s="22" t="s">
        <v>29475</v>
      </c>
    </row>
    <row r="4123">
      <c r="A4123" s="23" t="s">
        <v>29476</v>
      </c>
      <c r="B4123" s="77" t="s">
        <v>425</v>
      </c>
      <c r="C4123" s="96">
        <v>45597.0</v>
      </c>
      <c r="D4123" s="40" t="s">
        <v>29477</v>
      </c>
      <c r="E4123" s="97" t="s">
        <v>29478</v>
      </c>
      <c r="F4123" s="98" t="s">
        <v>29479</v>
      </c>
      <c r="G4123" s="98" t="s">
        <v>29480</v>
      </c>
      <c r="H4123" s="51" t="s">
        <v>55</v>
      </c>
      <c r="I4123" s="25" t="str">
        <f>IFERROR(__xludf.DUMMYFUNCTION("GOOGLETRANSLATE(H4123,""EN"",""ES"")"),"deportes de motor")</f>
        <v>deportes de motor</v>
      </c>
      <c r="J4123" s="26" t="s">
        <v>27</v>
      </c>
      <c r="K4123" s="17">
        <v>0.0</v>
      </c>
      <c r="L4123" s="54"/>
      <c r="M4123" s="31"/>
      <c r="N4123" s="93"/>
      <c r="O4123" s="93"/>
      <c r="P4123" s="20">
        <v>0.0</v>
      </c>
      <c r="Q4123" s="31"/>
      <c r="R4123" s="31"/>
      <c r="S4123" s="53"/>
      <c r="T4123" s="32"/>
    </row>
    <row r="4124">
      <c r="A4124" s="33" t="s">
        <v>29481</v>
      </c>
      <c r="B4124" s="76" t="s">
        <v>977</v>
      </c>
      <c r="C4124" s="99">
        <v>45597.0</v>
      </c>
      <c r="D4124" s="40" t="s">
        <v>29482</v>
      </c>
      <c r="E4124" s="100" t="s">
        <v>29483</v>
      </c>
      <c r="F4124" s="101" t="s">
        <v>29484</v>
      </c>
      <c r="G4124" s="101" t="s">
        <v>29485</v>
      </c>
      <c r="H4124" s="51" t="s">
        <v>25072</v>
      </c>
      <c r="I4124" s="15" t="str">
        <f>IFERROR(__xludf.DUMMYFUNCTION("GOOGLETRANSLATE(H4124,""EN"",""ES"")"),"Petróleo y energía")</f>
        <v>Petróleo y energía</v>
      </c>
      <c r="J4124" s="16" t="s">
        <v>35</v>
      </c>
      <c r="K4124" s="48">
        <v>0.5</v>
      </c>
      <c r="L4124" s="51" t="s">
        <v>29486</v>
      </c>
      <c r="M4124" s="34" t="s">
        <v>29487</v>
      </c>
      <c r="N4124" s="94" t="s">
        <v>29488</v>
      </c>
      <c r="O4124" s="94" t="str">
        <f>IFERROR(__xludf.DUMMYFUNCTION("GOOGLETRANSLATE(N4124,""EN"",""ES"")"),"Positivo ya que destaca el éxito financiero y el alivio regulatorio.")</f>
        <v>Positivo ya que destaca el éxito financiero y el alivio regulatorio.</v>
      </c>
      <c r="P4124" s="30">
        <v>0.4</v>
      </c>
      <c r="Q4124" s="18" t="str">
        <f>IFERROR(__xludf.DUMMYFUNCTION("GOOGLETRANSLATE(R4124,""ES"",""EN"")"),"outweigh benefits")</f>
        <v>outweigh benefits</v>
      </c>
      <c r="R4124" s="34" t="s">
        <v>29489</v>
      </c>
      <c r="S4124" s="52" t="s">
        <v>29490</v>
      </c>
      <c r="T4124" s="22" t="s">
        <v>29491</v>
      </c>
    </row>
    <row r="4125">
      <c r="A4125" s="23" t="s">
        <v>29492</v>
      </c>
      <c r="B4125" s="77" t="s">
        <v>29493</v>
      </c>
      <c r="C4125" s="96">
        <v>45597.0</v>
      </c>
      <c r="D4125" s="40" t="s">
        <v>29494</v>
      </c>
      <c r="E4125" s="97" t="s">
        <v>29495</v>
      </c>
      <c r="F4125" s="98" t="s">
        <v>29496</v>
      </c>
      <c r="G4125" s="98" t="s">
        <v>29497</v>
      </c>
      <c r="H4125" s="51" t="s">
        <v>25072</v>
      </c>
      <c r="I4125" s="25" t="str">
        <f>IFERROR(__xludf.DUMMYFUNCTION("GOOGLETRANSLATE(H4125,""EN"",""ES"")"),"Petróleo y energía")</f>
        <v>Petróleo y energía</v>
      </c>
      <c r="J4125" s="26" t="s">
        <v>35</v>
      </c>
      <c r="K4125" s="48">
        <v>-0.4</v>
      </c>
      <c r="L4125" s="49" t="s">
        <v>29498</v>
      </c>
      <c r="M4125" s="28" t="s">
        <v>29499</v>
      </c>
      <c r="N4125" s="93" t="s">
        <v>29500</v>
      </c>
      <c r="O4125" s="93" t="str">
        <f>IFERROR(__xludf.DUMMYFUNCTION("GOOGLETRANSLATE(N4125,""EN"",""ES"")"),"Ligeramente negativo ya que pone de relieve una caída de los beneficios.")</f>
        <v>Ligeramente negativo ya que pone de relieve una caída de los beneficios.</v>
      </c>
      <c r="P4125" s="30">
        <v>-0.2</v>
      </c>
      <c r="Q4125" s="31" t="str">
        <f>IFERROR(__xludf.DUMMYFUNCTION("GOOGLETRANSLATE(R4125,""ES"",""EN"")"),"wins, ""36% less""")</f>
        <v>wins, "36% less"</v>
      </c>
      <c r="R4125" s="28" t="s">
        <v>28885</v>
      </c>
      <c r="S4125" s="53" t="s">
        <v>28968</v>
      </c>
      <c r="T4125" s="32" t="s">
        <v>28969</v>
      </c>
    </row>
    <row r="4126">
      <c r="A4126" s="33" t="s">
        <v>29501</v>
      </c>
      <c r="B4126" s="76" t="s">
        <v>260</v>
      </c>
      <c r="C4126" s="99">
        <v>45598.0</v>
      </c>
      <c r="D4126" s="40" t="s">
        <v>29502</v>
      </c>
      <c r="E4126" s="100" t="s">
        <v>29503</v>
      </c>
      <c r="F4126" s="101" t="s">
        <v>29504</v>
      </c>
      <c r="G4126" s="101" t="s">
        <v>29505</v>
      </c>
      <c r="H4126" s="51" t="s">
        <v>29304</v>
      </c>
      <c r="I4126" s="15" t="str">
        <f>IFERROR(__xludf.DUMMYFUNCTION("GOOGLETRANSLATE(H4126,""EN"",""ES"")"),"Responsabilidad social corporativa")</f>
        <v>Responsabilidad social corporativa</v>
      </c>
      <c r="J4126" s="16" t="s">
        <v>27</v>
      </c>
      <c r="K4126" s="17">
        <v>0.0</v>
      </c>
      <c r="L4126" s="45"/>
      <c r="M4126" s="18"/>
      <c r="N4126" s="94"/>
      <c r="O4126" s="94"/>
      <c r="P4126" s="20">
        <v>0.0</v>
      </c>
      <c r="Q4126" s="18"/>
      <c r="R4126" s="18"/>
      <c r="S4126" s="52"/>
      <c r="T4126" s="22"/>
    </row>
    <row r="4127">
      <c r="A4127" s="23" t="s">
        <v>29506</v>
      </c>
      <c r="B4127" s="77" t="s">
        <v>3490</v>
      </c>
      <c r="C4127" s="96">
        <v>45598.0</v>
      </c>
      <c r="D4127" s="40" t="s">
        <v>29507</v>
      </c>
      <c r="E4127" s="97" t="s">
        <v>29508</v>
      </c>
      <c r="F4127" s="98" t="s">
        <v>29509</v>
      </c>
      <c r="G4127" s="98" t="s">
        <v>29510</v>
      </c>
      <c r="H4127" s="51" t="s">
        <v>25072</v>
      </c>
      <c r="I4127" s="25" t="str">
        <f>IFERROR(__xludf.DUMMYFUNCTION("GOOGLETRANSLATE(H4127,""EN"",""ES"")"),"Petróleo y energía")</f>
        <v>Petróleo y energía</v>
      </c>
      <c r="J4127" s="26" t="s">
        <v>35</v>
      </c>
      <c r="K4127" s="48">
        <v>-0.5</v>
      </c>
      <c r="L4127" s="49" t="s">
        <v>29511</v>
      </c>
      <c r="M4127" s="28" t="s">
        <v>29512</v>
      </c>
      <c r="N4127" s="93" t="s">
        <v>29513</v>
      </c>
      <c r="O4127" s="93" t="str">
        <f>IFERROR(__xludf.DUMMYFUNCTION("GOOGLETRANSLATE(N4127,""EN"",""ES"")"),"Negativo ya que indica impacto financiero a pesar de la desgravación fiscal.")</f>
        <v>Negativo ya que indica impacto financiero a pesar de la desgravación fiscal.</v>
      </c>
      <c r="P4127" s="30">
        <v>-0.6</v>
      </c>
      <c r="Q4127" s="31" t="str">
        <f>IFERROR(__xludf.DUMMYFUNCTION("GOOGLETRANSLATE(R4127,""ES"",""EN"")"),"hack")</f>
        <v>hack</v>
      </c>
      <c r="R4127" s="28" t="s">
        <v>29514</v>
      </c>
      <c r="S4127" s="53" t="s">
        <v>29515</v>
      </c>
      <c r="T4127" s="32" t="s">
        <v>26915</v>
      </c>
    </row>
    <row r="4128">
      <c r="A4128" s="33" t="s">
        <v>29516</v>
      </c>
      <c r="B4128" s="76" t="s">
        <v>2442</v>
      </c>
      <c r="C4128" s="99">
        <v>45598.0</v>
      </c>
      <c r="D4128" s="40" t="s">
        <v>29517</v>
      </c>
      <c r="E4128" s="100" t="s">
        <v>29518</v>
      </c>
      <c r="F4128" s="101" t="s">
        <v>29519</v>
      </c>
      <c r="G4128" s="101" t="s">
        <v>29520</v>
      </c>
      <c r="H4128" s="51" t="s">
        <v>25072</v>
      </c>
      <c r="I4128" s="15" t="str">
        <f>IFERROR(__xludf.DUMMYFUNCTION("GOOGLETRANSLATE(H4128,""EN"",""ES"")"),"Petróleo y energía")</f>
        <v>Petróleo y energía</v>
      </c>
      <c r="J4128" s="16" t="s">
        <v>35</v>
      </c>
      <c r="K4128" s="48">
        <v>0.5</v>
      </c>
      <c r="L4128" s="51" t="s">
        <v>29521</v>
      </c>
      <c r="M4128" s="34" t="s">
        <v>29522</v>
      </c>
      <c r="N4128" s="94" t="s">
        <v>29523</v>
      </c>
      <c r="O4128" s="94" t="str">
        <f>IFERROR(__xludf.DUMMYFUNCTION("GOOGLETRANSLATE(N4128,""EN"",""ES"")"),"Positivo ya que confirma el alivio regulatorio.")</f>
        <v>Positivo ya que confirma el alivio regulatorio.</v>
      </c>
      <c r="P4128" s="30">
        <v>0.3</v>
      </c>
      <c r="Q4128" s="18" t="str">
        <f>IFERROR(__xludf.DUMMYFUNCTION("GOOGLETRANSLATE(R4128,""ES"",""EN"")"),"better deal")</f>
        <v>better deal</v>
      </c>
      <c r="R4128" s="34" t="s">
        <v>29524</v>
      </c>
      <c r="S4128" s="52" t="s">
        <v>29525</v>
      </c>
      <c r="T4128" s="22" t="s">
        <v>29526</v>
      </c>
    </row>
    <row r="4129">
      <c r="A4129" s="23" t="s">
        <v>29527</v>
      </c>
      <c r="B4129" s="77" t="s">
        <v>1831</v>
      </c>
      <c r="C4129" s="96">
        <v>45598.0</v>
      </c>
      <c r="D4129" s="40" t="s">
        <v>29528</v>
      </c>
      <c r="E4129" s="97" t="s">
        <v>29529</v>
      </c>
      <c r="F4129" s="98" t="s">
        <v>29530</v>
      </c>
      <c r="G4129" s="98" t="s">
        <v>29531</v>
      </c>
      <c r="H4129" s="51" t="s">
        <v>29532</v>
      </c>
      <c r="I4129" s="25" t="str">
        <f>IFERROR(__xludf.DUMMYFUNCTION("GOOGLETRANSLATE(H4129,""EN"",""ES"")"),"Energía renovable")</f>
        <v>Energía renovable</v>
      </c>
      <c r="J4129" s="26" t="s">
        <v>27</v>
      </c>
      <c r="K4129" s="17">
        <v>0.0</v>
      </c>
      <c r="L4129" s="54"/>
      <c r="M4129" s="31"/>
      <c r="N4129" s="93"/>
      <c r="O4129" s="93"/>
      <c r="P4129" s="20">
        <v>0.0</v>
      </c>
      <c r="Q4129" s="31"/>
      <c r="R4129" s="31"/>
      <c r="S4129" s="53"/>
      <c r="T4129" s="32"/>
    </row>
    <row r="4130">
      <c r="A4130" s="33" t="s">
        <v>29533</v>
      </c>
      <c r="B4130" s="76" t="s">
        <v>29534</v>
      </c>
      <c r="C4130" s="99">
        <v>45598.0</v>
      </c>
      <c r="D4130" s="40" t="s">
        <v>29535</v>
      </c>
      <c r="E4130" s="100" t="s">
        <v>29536</v>
      </c>
      <c r="F4130" s="101" t="s">
        <v>29537</v>
      </c>
      <c r="G4130" s="101" t="s">
        <v>29538</v>
      </c>
      <c r="H4130" s="51" t="s">
        <v>55</v>
      </c>
      <c r="I4130" s="15" t="str">
        <f>IFERROR(__xludf.DUMMYFUNCTION("GOOGLETRANSLATE(H4130,""EN"",""ES"")"),"deportes de motor")</f>
        <v>deportes de motor</v>
      </c>
      <c r="J4130" s="16" t="s">
        <v>27</v>
      </c>
      <c r="K4130" s="17">
        <v>0.0</v>
      </c>
      <c r="L4130" s="45"/>
      <c r="M4130" s="18"/>
      <c r="N4130" s="94"/>
      <c r="O4130" s="94"/>
      <c r="P4130" s="20">
        <v>0.0</v>
      </c>
      <c r="Q4130" s="18"/>
      <c r="R4130" s="18"/>
      <c r="S4130" s="52"/>
      <c r="T4130" s="22"/>
    </row>
    <row r="4131">
      <c r="A4131" s="23" t="s">
        <v>29539</v>
      </c>
      <c r="B4131" s="77" t="s">
        <v>1011</v>
      </c>
      <c r="C4131" s="96">
        <v>45598.0</v>
      </c>
      <c r="D4131" s="40" t="s">
        <v>29540</v>
      </c>
      <c r="E4131" s="97" t="s">
        <v>29541</v>
      </c>
      <c r="F4131" s="98" t="s">
        <v>29542</v>
      </c>
      <c r="G4131" s="98" t="s">
        <v>29543</v>
      </c>
      <c r="H4131" s="51" t="s">
        <v>29544</v>
      </c>
      <c r="I4131" s="25" t="str">
        <f>IFERROR(__xludf.DUMMYFUNCTION("GOOGLETRANSLATE(H4131,""EN"",""ES"")"),"Patrocinio deportivo")</f>
        <v>Patrocinio deportivo</v>
      </c>
      <c r="J4131" s="26" t="s">
        <v>27</v>
      </c>
      <c r="K4131" s="17">
        <v>0.0</v>
      </c>
      <c r="L4131" s="54"/>
      <c r="M4131" s="31"/>
      <c r="N4131" s="93"/>
      <c r="O4131" s="93"/>
      <c r="P4131" s="20">
        <v>0.0</v>
      </c>
      <c r="Q4131" s="31"/>
      <c r="R4131" s="31"/>
      <c r="S4131" s="53"/>
      <c r="T4131" s="32"/>
    </row>
    <row r="4132">
      <c r="A4132" s="33" t="s">
        <v>29545</v>
      </c>
      <c r="B4132" s="76" t="s">
        <v>1011</v>
      </c>
      <c r="C4132" s="99">
        <v>45598.0</v>
      </c>
      <c r="D4132" s="40" t="s">
        <v>29546</v>
      </c>
      <c r="E4132" s="100" t="s">
        <v>29547</v>
      </c>
      <c r="F4132" s="101" t="s">
        <v>29548</v>
      </c>
      <c r="G4132" s="101" t="s">
        <v>29549</v>
      </c>
      <c r="H4132" s="51" t="s">
        <v>29544</v>
      </c>
      <c r="I4132" s="15" t="str">
        <f>IFERROR(__xludf.DUMMYFUNCTION("GOOGLETRANSLATE(H4132,""EN"",""ES"")"),"Patrocinio deportivo")</f>
        <v>Patrocinio deportivo</v>
      </c>
      <c r="J4132" s="16" t="s">
        <v>27</v>
      </c>
      <c r="K4132" s="17">
        <v>0.0</v>
      </c>
      <c r="L4132" s="45"/>
      <c r="M4132" s="18"/>
      <c r="N4132" s="94"/>
      <c r="O4132" s="94"/>
      <c r="P4132" s="20">
        <v>0.0</v>
      </c>
      <c r="Q4132" s="18"/>
      <c r="R4132" s="18"/>
      <c r="S4132" s="52"/>
      <c r="T4132" s="22"/>
    </row>
    <row r="4133">
      <c r="A4133" s="23" t="s">
        <v>29550</v>
      </c>
      <c r="B4133" s="77" t="s">
        <v>1011</v>
      </c>
      <c r="C4133" s="96">
        <v>45598.0</v>
      </c>
      <c r="D4133" s="40" t="s">
        <v>29551</v>
      </c>
      <c r="E4133" s="97" t="s">
        <v>29552</v>
      </c>
      <c r="F4133" s="98" t="s">
        <v>29553</v>
      </c>
      <c r="G4133" s="98" t="s">
        <v>29554</v>
      </c>
      <c r="H4133" s="51" t="s">
        <v>29544</v>
      </c>
      <c r="I4133" s="25" t="str">
        <f>IFERROR(__xludf.DUMMYFUNCTION("GOOGLETRANSLATE(H4133,""EN"",""ES"")"),"Patrocinio deportivo")</f>
        <v>Patrocinio deportivo</v>
      </c>
      <c r="J4133" s="26" t="s">
        <v>27</v>
      </c>
      <c r="K4133" s="17">
        <v>0.0</v>
      </c>
      <c r="L4133" s="54"/>
      <c r="M4133" s="31"/>
      <c r="N4133" s="93"/>
      <c r="O4133" s="93"/>
      <c r="P4133" s="20">
        <v>0.0</v>
      </c>
      <c r="Q4133" s="31"/>
      <c r="R4133" s="31"/>
      <c r="S4133" s="53"/>
      <c r="T4133" s="32"/>
    </row>
    <row r="4134">
      <c r="A4134" s="33" t="s">
        <v>29555</v>
      </c>
      <c r="B4134" s="76" t="s">
        <v>1011</v>
      </c>
      <c r="C4134" s="99">
        <v>45598.0</v>
      </c>
      <c r="D4134" s="40" t="s">
        <v>29556</v>
      </c>
      <c r="E4134" s="100" t="s">
        <v>29557</v>
      </c>
      <c r="F4134" s="101" t="s">
        <v>29558</v>
      </c>
      <c r="G4134" s="101" t="s">
        <v>29559</v>
      </c>
      <c r="H4134" s="51" t="s">
        <v>29544</v>
      </c>
      <c r="I4134" s="15" t="str">
        <f>IFERROR(__xludf.DUMMYFUNCTION("GOOGLETRANSLATE(H4134,""EN"",""ES"")"),"Patrocinio deportivo")</f>
        <v>Patrocinio deportivo</v>
      </c>
      <c r="J4134" s="16" t="s">
        <v>27</v>
      </c>
      <c r="K4134" s="17">
        <v>0.0</v>
      </c>
      <c r="L4134" s="45"/>
      <c r="M4134" s="18"/>
      <c r="N4134" s="94"/>
      <c r="O4134" s="94"/>
      <c r="P4134" s="20">
        <v>0.0</v>
      </c>
      <c r="Q4134" s="18"/>
      <c r="R4134" s="18"/>
      <c r="S4134" s="52"/>
      <c r="T4134" s="22"/>
    </row>
    <row r="4135">
      <c r="A4135" s="23" t="s">
        <v>29560</v>
      </c>
      <c r="B4135" s="77" t="s">
        <v>21</v>
      </c>
      <c r="C4135" s="96">
        <v>45599.0</v>
      </c>
      <c r="D4135" s="40" t="s">
        <v>29561</v>
      </c>
      <c r="E4135" s="97" t="s">
        <v>29562</v>
      </c>
      <c r="F4135" s="98" t="s">
        <v>29563</v>
      </c>
      <c r="G4135" s="98" t="s">
        <v>29564</v>
      </c>
      <c r="H4135" s="51" t="s">
        <v>148</v>
      </c>
      <c r="I4135" s="25" t="str">
        <f>IFERROR(__xludf.DUMMYFUNCTION("GOOGLETRANSLATE(H4135,""EN"",""ES"")"),"Gastronomía")</f>
        <v>Gastronomía</v>
      </c>
      <c r="J4135" s="26" t="s">
        <v>27</v>
      </c>
      <c r="K4135" s="17">
        <v>0.0</v>
      </c>
      <c r="L4135" s="54"/>
      <c r="M4135" s="31"/>
      <c r="N4135" s="93"/>
      <c r="O4135" s="93"/>
      <c r="P4135" s="20">
        <v>0.0</v>
      </c>
      <c r="Q4135" s="31"/>
      <c r="R4135" s="31"/>
      <c r="S4135" s="53"/>
      <c r="T4135" s="32"/>
    </row>
    <row r="4136">
      <c r="A4136" s="33" t="s">
        <v>29565</v>
      </c>
      <c r="B4136" s="76" t="s">
        <v>229</v>
      </c>
      <c r="C4136" s="99">
        <v>45599.0</v>
      </c>
      <c r="D4136" s="40" t="s">
        <v>29566</v>
      </c>
      <c r="E4136" s="100" t="s">
        <v>29567</v>
      </c>
      <c r="F4136" s="101" t="s">
        <v>29568</v>
      </c>
      <c r="G4136" s="101" t="s">
        <v>29569</v>
      </c>
      <c r="H4136" s="51" t="s">
        <v>26</v>
      </c>
      <c r="I4136" s="15" t="str">
        <f>IFERROR(__xludf.DUMMYFUNCTION("GOOGLETRANSLATE(H4136,""EN"",""ES"")"),"Otro")</f>
        <v>Otro</v>
      </c>
      <c r="J4136" s="16" t="s">
        <v>27</v>
      </c>
      <c r="K4136" s="17">
        <v>0.0</v>
      </c>
      <c r="L4136" s="45"/>
      <c r="M4136" s="18"/>
      <c r="N4136" s="94"/>
      <c r="O4136" s="94"/>
      <c r="P4136" s="20">
        <v>0.0</v>
      </c>
      <c r="Q4136" s="18"/>
      <c r="R4136" s="18"/>
      <c r="S4136" s="52"/>
      <c r="T4136" s="22"/>
    </row>
    <row r="4137">
      <c r="A4137" s="23" t="s">
        <v>29570</v>
      </c>
      <c r="B4137" s="77" t="s">
        <v>163</v>
      </c>
      <c r="C4137" s="96">
        <v>45599.0</v>
      </c>
      <c r="D4137" s="40" t="s">
        <v>29571</v>
      </c>
      <c r="E4137" s="97" t="s">
        <v>29572</v>
      </c>
      <c r="F4137" s="98" t="s">
        <v>29573</v>
      </c>
      <c r="G4137" s="98" t="s">
        <v>29574</v>
      </c>
      <c r="H4137" s="51" t="s">
        <v>55</v>
      </c>
      <c r="I4137" s="25" t="str">
        <f>IFERROR(__xludf.DUMMYFUNCTION("GOOGLETRANSLATE(H4137,""EN"",""ES"")"),"deportes de motor")</f>
        <v>deportes de motor</v>
      </c>
      <c r="J4137" s="26" t="s">
        <v>27</v>
      </c>
      <c r="K4137" s="17">
        <v>0.0</v>
      </c>
      <c r="L4137" s="54"/>
      <c r="M4137" s="31"/>
      <c r="N4137" s="93"/>
      <c r="O4137" s="93"/>
      <c r="P4137" s="20">
        <v>0.0</v>
      </c>
      <c r="Q4137" s="31"/>
      <c r="R4137" s="31"/>
      <c r="S4137" s="53"/>
      <c r="T4137" s="32"/>
    </row>
    <row r="4138">
      <c r="A4138" s="33" t="s">
        <v>29575</v>
      </c>
      <c r="B4138" s="76" t="s">
        <v>499</v>
      </c>
      <c r="C4138" s="99">
        <v>45599.0</v>
      </c>
      <c r="D4138" s="40" t="s">
        <v>29576</v>
      </c>
      <c r="E4138" s="100" t="s">
        <v>29577</v>
      </c>
      <c r="F4138" s="101" t="s">
        <v>29578</v>
      </c>
      <c r="G4138" s="101" t="s">
        <v>29579</v>
      </c>
      <c r="H4138" s="51" t="s">
        <v>25072</v>
      </c>
      <c r="I4138" s="15" t="str">
        <f>IFERROR(__xludf.DUMMYFUNCTION("GOOGLETRANSLATE(H4138,""EN"",""ES"")"),"Petróleo y energía")</f>
        <v>Petróleo y energía</v>
      </c>
      <c r="J4138" s="16" t="s">
        <v>35</v>
      </c>
      <c r="K4138" s="48">
        <v>0.0</v>
      </c>
      <c r="L4138" s="45"/>
      <c r="M4138" s="18"/>
      <c r="N4138" s="94" t="s">
        <v>29580</v>
      </c>
      <c r="O4138" s="94" t="str">
        <f>IFERROR(__xludf.DUMMYFUNCTION("GOOGLETRANSLATE(N4138,""EN"",""ES"")"),"Neutral ya que presenta puntos de vista contradictorios.")</f>
        <v>Neutral ya que presenta puntos de vista contradictorios.</v>
      </c>
      <c r="P4138" s="30">
        <v>0.0</v>
      </c>
      <c r="Q4138" s="18"/>
      <c r="R4138" s="18"/>
      <c r="S4138" s="52" t="s">
        <v>29581</v>
      </c>
      <c r="T4138" s="22" t="s">
        <v>29582</v>
      </c>
    </row>
    <row r="4139">
      <c r="A4139" s="23" t="s">
        <v>29583</v>
      </c>
      <c r="B4139" s="77" t="s">
        <v>21</v>
      </c>
      <c r="C4139" s="96">
        <v>45599.0</v>
      </c>
      <c r="D4139" s="40" t="s">
        <v>29584</v>
      </c>
      <c r="E4139" s="97" t="s">
        <v>29585</v>
      </c>
      <c r="F4139" s="98" t="s">
        <v>29586</v>
      </c>
      <c r="G4139" s="98" t="s">
        <v>29587</v>
      </c>
      <c r="H4139" s="51" t="s">
        <v>148</v>
      </c>
      <c r="I4139" s="25" t="str">
        <f>IFERROR(__xludf.DUMMYFUNCTION("GOOGLETRANSLATE(H4139,""EN"",""ES"")"),"Gastronomía")</f>
        <v>Gastronomía</v>
      </c>
      <c r="J4139" s="26" t="s">
        <v>27</v>
      </c>
      <c r="K4139" s="17">
        <v>0.0</v>
      </c>
      <c r="L4139" s="54"/>
      <c r="M4139" s="31"/>
      <c r="N4139" s="93"/>
      <c r="O4139" s="93"/>
      <c r="P4139" s="20">
        <v>0.0</v>
      </c>
      <c r="Q4139" s="31"/>
      <c r="R4139" s="31"/>
      <c r="S4139" s="53"/>
      <c r="T4139" s="32"/>
    </row>
    <row r="4140">
      <c r="A4140" s="33" t="s">
        <v>29588</v>
      </c>
      <c r="B4140" s="76" t="s">
        <v>50</v>
      </c>
      <c r="C4140" s="99">
        <v>45599.0</v>
      </c>
      <c r="D4140" s="40" t="s">
        <v>29589</v>
      </c>
      <c r="E4140" s="100" t="s">
        <v>29590</v>
      </c>
      <c r="F4140" s="101" t="s">
        <v>29591</v>
      </c>
      <c r="G4140" s="101" t="s">
        <v>29592</v>
      </c>
      <c r="H4140" s="51" t="s">
        <v>55</v>
      </c>
      <c r="I4140" s="15" t="str">
        <f>IFERROR(__xludf.DUMMYFUNCTION("GOOGLETRANSLATE(H4140,""EN"",""ES"")"),"deportes de motor")</f>
        <v>deportes de motor</v>
      </c>
      <c r="J4140" s="16" t="s">
        <v>27</v>
      </c>
      <c r="K4140" s="17">
        <v>0.0</v>
      </c>
      <c r="L4140" s="45"/>
      <c r="M4140" s="18"/>
      <c r="N4140" s="94"/>
      <c r="O4140" s="94"/>
      <c r="P4140" s="20">
        <v>0.0</v>
      </c>
      <c r="Q4140" s="18"/>
      <c r="R4140" s="18"/>
      <c r="S4140" s="52"/>
      <c r="T4140" s="22"/>
    </row>
    <row r="4141">
      <c r="A4141" s="23" t="s">
        <v>29593</v>
      </c>
      <c r="B4141" s="77" t="s">
        <v>1577</v>
      </c>
      <c r="C4141" s="96">
        <v>45599.0</v>
      </c>
      <c r="D4141" s="40" t="s">
        <v>29594</v>
      </c>
      <c r="E4141" s="97" t="s">
        <v>29594</v>
      </c>
      <c r="F4141" s="98" t="s">
        <v>29595</v>
      </c>
      <c r="G4141" s="98" t="s">
        <v>29595</v>
      </c>
      <c r="H4141" s="51" t="s">
        <v>1975</v>
      </c>
      <c r="I4141" s="25" t="str">
        <f>IFERROR(__xludf.DUMMYFUNCTION("GOOGLETRANSLATE(H4141,""EN"",""ES"")"),"Política")</f>
        <v>Política</v>
      </c>
      <c r="J4141" s="26" t="s">
        <v>27</v>
      </c>
      <c r="K4141" s="17">
        <v>0.0</v>
      </c>
      <c r="L4141" s="54"/>
      <c r="M4141" s="31"/>
      <c r="N4141" s="93"/>
      <c r="O4141" s="93"/>
      <c r="P4141" s="20">
        <v>0.0</v>
      </c>
      <c r="Q4141" s="31"/>
      <c r="R4141" s="31"/>
      <c r="S4141" s="53"/>
      <c r="T4141" s="32"/>
    </row>
    <row r="4142">
      <c r="A4142" s="33" t="s">
        <v>29596</v>
      </c>
      <c r="B4142" s="76" t="s">
        <v>103</v>
      </c>
      <c r="C4142" s="99">
        <v>45600.0</v>
      </c>
      <c r="D4142" s="40" t="s">
        <v>29597</v>
      </c>
      <c r="E4142" s="100" t="s">
        <v>29598</v>
      </c>
      <c r="F4142" s="101" t="s">
        <v>29599</v>
      </c>
      <c r="G4142" s="101" t="s">
        <v>29600</v>
      </c>
      <c r="H4142" s="51" t="s">
        <v>29271</v>
      </c>
      <c r="I4142" s="15" t="str">
        <f>IFERROR(__xludf.DUMMYFUNCTION("GOOGLETRANSLATE(H4142,""EN"",""ES"")"),"mercado de valores")</f>
        <v>mercado de valores</v>
      </c>
      <c r="J4142" s="16" t="s">
        <v>35</v>
      </c>
      <c r="K4142" s="48">
        <v>-0.4</v>
      </c>
      <c r="L4142" s="51" t="s">
        <v>29601</v>
      </c>
      <c r="M4142" s="34" t="s">
        <v>29602</v>
      </c>
      <c r="N4142" s="94" t="s">
        <v>29603</v>
      </c>
      <c r="O4142" s="94" t="str">
        <f>IFERROR(__xludf.DUMMYFUNCTION("GOOGLETRANSLATE(N4142,""EN"",""ES"")"),"Ligeramente negativo ya que sugiere cautela a los inversores.")</f>
        <v>Ligeramente negativo ya que sugiere cautela a los inversores.</v>
      </c>
      <c r="P4142" s="30">
        <v>-0.4</v>
      </c>
      <c r="Q4142" s="18" t="str">
        <f>IFERROR(__xludf.DUMMYFUNCTION("GOOGLETRANSLATE(R4142,""ES"",""EN"")"),"they cut")</f>
        <v>they cut</v>
      </c>
      <c r="R4142" s="34" t="s">
        <v>29604</v>
      </c>
      <c r="S4142" s="52" t="s">
        <v>25628</v>
      </c>
      <c r="T4142" s="22" t="s">
        <v>25629</v>
      </c>
    </row>
    <row r="4143">
      <c r="A4143" s="23" t="s">
        <v>29605</v>
      </c>
      <c r="B4143" s="77" t="s">
        <v>558</v>
      </c>
      <c r="C4143" s="96">
        <v>45600.0</v>
      </c>
      <c r="D4143" s="40" t="s">
        <v>29606</v>
      </c>
      <c r="E4143" s="97" t="s">
        <v>29607</v>
      </c>
      <c r="F4143" s="98" t="s">
        <v>29608</v>
      </c>
      <c r="G4143" s="98" t="s">
        <v>29609</v>
      </c>
      <c r="H4143" s="51" t="s">
        <v>29271</v>
      </c>
      <c r="I4143" s="25" t="str">
        <f>IFERROR(__xludf.DUMMYFUNCTION("GOOGLETRANSLATE(H4143,""EN"",""ES"")"),"mercado de valores")</f>
        <v>mercado de valores</v>
      </c>
      <c r="J4143" s="26" t="s">
        <v>35</v>
      </c>
      <c r="K4143" s="48">
        <v>-0.4</v>
      </c>
      <c r="L4143" s="49" t="s">
        <v>29610</v>
      </c>
      <c r="M4143" s="28" t="s">
        <v>29611</v>
      </c>
      <c r="N4143" s="93" t="s">
        <v>29612</v>
      </c>
      <c r="O4143" s="93" t="str">
        <f>IFERROR(__xludf.DUMMYFUNCTION("GOOGLETRANSLATE(N4143,""EN"",""ES"")"),"Ligeramente negativo ya que indica una disminución de la confianza de los inversores.")</f>
        <v>Ligeramente negativo ya que indica una disminución de la confianza de los inversores.</v>
      </c>
      <c r="P4143" s="30">
        <v>-0.5</v>
      </c>
      <c r="Q4143" s="31" t="str">
        <f>IFERROR(__xludf.DUMMYFUNCTION("GOOGLETRANSLATE(R4143,""ES"",""EN"")"),"cuts")</f>
        <v>cuts</v>
      </c>
      <c r="R4143" s="28" t="s">
        <v>29613</v>
      </c>
      <c r="S4143" s="53" t="s">
        <v>29614</v>
      </c>
      <c r="T4143" s="32" t="s">
        <v>29615</v>
      </c>
    </row>
    <row r="4144">
      <c r="A4144" s="33" t="s">
        <v>29616</v>
      </c>
      <c r="B4144" s="76" t="s">
        <v>1602</v>
      </c>
      <c r="C4144" s="99">
        <v>45600.0</v>
      </c>
      <c r="D4144" s="40" t="s">
        <v>29617</v>
      </c>
      <c r="E4144" s="100" t="s">
        <v>29618</v>
      </c>
      <c r="F4144" s="101" t="s">
        <v>29619</v>
      </c>
      <c r="G4144" s="101" t="s">
        <v>29620</v>
      </c>
      <c r="H4144" s="51" t="s">
        <v>29271</v>
      </c>
      <c r="I4144" s="15" t="str">
        <f>IFERROR(__xludf.DUMMYFUNCTION("GOOGLETRANSLATE(H4144,""EN"",""ES"")"),"mercado de valores")</f>
        <v>mercado de valores</v>
      </c>
      <c r="J4144" s="16" t="s">
        <v>35</v>
      </c>
      <c r="K4144" s="48">
        <v>-0.5</v>
      </c>
      <c r="L4144" s="51" t="s">
        <v>29621</v>
      </c>
      <c r="M4144" s="34" t="s">
        <v>29622</v>
      </c>
      <c r="N4144" s="94" t="s">
        <v>29623</v>
      </c>
      <c r="O4144" s="94" t="str">
        <f>IFERROR(__xludf.DUMMYFUNCTION("GOOGLETRANSLATE(N4144,""EN"",""ES"")"),"Negativo ya que implica inestabilidad empresarial.")</f>
        <v>Negativo ya que implica inestabilidad empresarial.</v>
      </c>
      <c r="P4144" s="30">
        <v>-0.6</v>
      </c>
      <c r="Q4144" s="18" t="str">
        <f>IFERROR(__xludf.DUMMYFUNCTION("GOOGLETRANSLATE(R4144,""ES"",""EN"")"),"reduces, ""uncertainty""")</f>
        <v>reduces, "uncertainty"</v>
      </c>
      <c r="R4144" s="34" t="s">
        <v>29624</v>
      </c>
      <c r="S4144" s="52" t="s">
        <v>29625</v>
      </c>
      <c r="T4144" s="22" t="s">
        <v>29626</v>
      </c>
    </row>
    <row r="4145">
      <c r="A4145" s="23" t="s">
        <v>29627</v>
      </c>
      <c r="B4145" s="77" t="s">
        <v>1072</v>
      </c>
      <c r="C4145" s="96">
        <v>45600.0</v>
      </c>
      <c r="D4145" s="40" t="s">
        <v>29628</v>
      </c>
      <c r="E4145" s="97" t="s">
        <v>29629</v>
      </c>
      <c r="F4145" s="98" t="s">
        <v>29630</v>
      </c>
      <c r="G4145" s="98" t="s">
        <v>29631</v>
      </c>
      <c r="H4145" s="51" t="s">
        <v>29271</v>
      </c>
      <c r="I4145" s="25" t="str">
        <f>IFERROR(__xludf.DUMMYFUNCTION("GOOGLETRANSLATE(H4145,""EN"",""ES"")"),"mercado de valores")</f>
        <v>mercado de valores</v>
      </c>
      <c r="J4145" s="26" t="s">
        <v>35</v>
      </c>
      <c r="K4145" s="48">
        <v>-0.5</v>
      </c>
      <c r="L4145" s="49" t="s">
        <v>29632</v>
      </c>
      <c r="M4145" s="28" t="s">
        <v>29633</v>
      </c>
      <c r="N4145" s="93" t="s">
        <v>29634</v>
      </c>
      <c r="O4145" s="93" t="str">
        <f>IFERROR(__xludf.DUMMYFUNCTION("GOOGLETRANSLATE(N4145,""EN"",""ES"")"),"Negativo porque indica un escepticismo persistente entre los inversores.")</f>
        <v>Negativo porque indica un escepticismo persistente entre los inversores.</v>
      </c>
      <c r="P4145" s="30">
        <v>-0.5</v>
      </c>
      <c r="Q4145" s="31" t="str">
        <f>IFERROR(__xludf.DUMMYFUNCTION("GOOGLETRANSLATE(R4145,""ES"",""EN"")"),"sales")</f>
        <v>sales</v>
      </c>
      <c r="R4145" s="28" t="s">
        <v>29635</v>
      </c>
      <c r="S4145" s="53" t="s">
        <v>29636</v>
      </c>
      <c r="T4145" s="32" t="s">
        <v>29637</v>
      </c>
    </row>
    <row r="4146">
      <c r="A4146" s="33" t="s">
        <v>29638</v>
      </c>
      <c r="B4146" s="76" t="s">
        <v>403</v>
      </c>
      <c r="C4146" s="99">
        <v>45600.0</v>
      </c>
      <c r="D4146" s="40" t="s">
        <v>29639</v>
      </c>
      <c r="E4146" s="100" t="s">
        <v>29640</v>
      </c>
      <c r="F4146" s="101" t="s">
        <v>29641</v>
      </c>
      <c r="G4146" s="101" t="s">
        <v>29642</v>
      </c>
      <c r="H4146" s="51" t="s">
        <v>29643</v>
      </c>
      <c r="I4146" s="15" t="str">
        <f>IFERROR(__xludf.DUMMYFUNCTION("GOOGLETRANSLATE(H4146,""EN"",""ES"")"),"Política y negocios")</f>
        <v>Política y negocios</v>
      </c>
      <c r="J4146" s="16" t="s">
        <v>35</v>
      </c>
      <c r="K4146" s="48">
        <v>0.0</v>
      </c>
      <c r="L4146" s="45"/>
      <c r="M4146" s="18"/>
      <c r="N4146" s="94" t="s">
        <v>29644</v>
      </c>
      <c r="O4146" s="94" t="str">
        <f>IFERROR(__xludf.DUMMYFUNCTION("GOOGLETRANSLATE(N4146,""EN"",""ES"")"),"Neutral al evaluar los posibles impactos electorales.")</f>
        <v>Neutral al evaluar los posibles impactos electorales.</v>
      </c>
      <c r="P4146" s="30">
        <v>-0.2</v>
      </c>
      <c r="Q4146" s="18" t="str">
        <f>IFERROR(__xludf.DUMMYFUNCTION("GOOGLETRANSLATE(R4146,""ES"",""EN"")"),"-")</f>
        <v>-</v>
      </c>
      <c r="R4146" s="34" t="s">
        <v>11852</v>
      </c>
      <c r="S4146" s="52" t="s">
        <v>29645</v>
      </c>
      <c r="T4146" s="22" t="s">
        <v>29646</v>
      </c>
    </row>
    <row r="4147">
      <c r="A4147" s="23" t="s">
        <v>29647</v>
      </c>
      <c r="B4147" s="77" t="s">
        <v>23656</v>
      </c>
      <c r="C4147" s="96">
        <v>45600.0</v>
      </c>
      <c r="D4147" s="40" t="s">
        <v>29648</v>
      </c>
      <c r="E4147" s="97" t="s">
        <v>29648</v>
      </c>
      <c r="F4147" s="98" t="s">
        <v>29649</v>
      </c>
      <c r="G4147" s="98" t="s">
        <v>29649</v>
      </c>
      <c r="H4147" s="51" t="s">
        <v>25072</v>
      </c>
      <c r="I4147" s="25" t="str">
        <f>IFERROR(__xludf.DUMMYFUNCTION("GOOGLETRANSLATE(H4147,""EN"",""ES"")"),"Petróleo y energía")</f>
        <v>Petróleo y energía</v>
      </c>
      <c r="J4147" s="26" t="s">
        <v>35</v>
      </c>
      <c r="K4147" s="48">
        <v>-0.3</v>
      </c>
      <c r="L4147" s="49" t="s">
        <v>29650</v>
      </c>
      <c r="M4147" s="28" t="s">
        <v>29651</v>
      </c>
      <c r="N4147" s="93" t="s">
        <v>29652</v>
      </c>
      <c r="O4147" s="93" t="str">
        <f>IFERROR(__xludf.DUMMYFUNCTION("GOOGLETRANSLATE(N4147,""EN"",""ES"")"),"Ligeramente negativo ya que sugiere vulnerabilidad operativa.")</f>
        <v>Ligeramente negativo ya que sugiere vulnerabilidad operativa.</v>
      </c>
      <c r="P4147" s="30">
        <v>-0.1</v>
      </c>
      <c r="Q4147" s="31" t="str">
        <f>IFERROR(__xludf.DUMMYFUNCTION("GOOGLETRANSLATE(R4147,""ES"",""EN"")"),"-")</f>
        <v>-</v>
      </c>
      <c r="R4147" s="28" t="s">
        <v>11852</v>
      </c>
      <c r="S4147" s="53" t="s">
        <v>29653</v>
      </c>
      <c r="T4147" s="32" t="s">
        <v>29654</v>
      </c>
    </row>
    <row r="4148">
      <c r="A4148" s="33" t="s">
        <v>29655</v>
      </c>
      <c r="B4148" s="76" t="s">
        <v>21</v>
      </c>
      <c r="C4148" s="99">
        <v>45600.0</v>
      </c>
      <c r="D4148" s="40" t="s">
        <v>29656</v>
      </c>
      <c r="E4148" s="100" t="s">
        <v>29657</v>
      </c>
      <c r="F4148" s="101" t="s">
        <v>29658</v>
      </c>
      <c r="G4148" s="101" t="s">
        <v>29659</v>
      </c>
      <c r="H4148" s="51" t="s">
        <v>26</v>
      </c>
      <c r="I4148" s="15" t="str">
        <f>IFERROR(__xludf.DUMMYFUNCTION("GOOGLETRANSLATE(H4148,""EN"",""ES"")"),"Otro")</f>
        <v>Otro</v>
      </c>
      <c r="J4148" s="16" t="s">
        <v>27</v>
      </c>
      <c r="K4148" s="17">
        <v>0.0</v>
      </c>
      <c r="L4148" s="45"/>
      <c r="M4148" s="18"/>
      <c r="N4148" s="94"/>
      <c r="O4148" s="94"/>
      <c r="P4148" s="20">
        <v>0.0</v>
      </c>
      <c r="Q4148" s="18"/>
      <c r="R4148" s="18"/>
      <c r="S4148" s="52"/>
      <c r="T4148" s="22"/>
    </row>
    <row r="4149">
      <c r="A4149" s="23" t="s">
        <v>29660</v>
      </c>
      <c r="B4149" s="77" t="s">
        <v>431</v>
      </c>
      <c r="C4149" s="96">
        <v>45600.0</v>
      </c>
      <c r="D4149" s="40" t="s">
        <v>29661</v>
      </c>
      <c r="E4149" s="97" t="s">
        <v>29662</v>
      </c>
      <c r="F4149" s="98" t="s">
        <v>29663</v>
      </c>
      <c r="G4149" s="98" t="s">
        <v>29664</v>
      </c>
      <c r="H4149" s="51" t="s">
        <v>148</v>
      </c>
      <c r="I4149" s="25" t="str">
        <f>IFERROR(__xludf.DUMMYFUNCTION("GOOGLETRANSLATE(H4149,""EN"",""ES"")"),"Gastronomía")</f>
        <v>Gastronomía</v>
      </c>
      <c r="J4149" s="26" t="s">
        <v>27</v>
      </c>
      <c r="K4149" s="17">
        <v>0.0</v>
      </c>
      <c r="L4149" s="54"/>
      <c r="M4149" s="31"/>
      <c r="N4149" s="93"/>
      <c r="O4149" s="93"/>
      <c r="P4149" s="20">
        <v>0.0</v>
      </c>
      <c r="Q4149" s="31"/>
      <c r="R4149" s="31"/>
      <c r="S4149" s="53"/>
      <c r="T4149" s="32"/>
    </row>
    <row r="4150">
      <c r="A4150" s="33" t="s">
        <v>29665</v>
      </c>
      <c r="B4150" s="76" t="s">
        <v>8029</v>
      </c>
      <c r="C4150" s="99">
        <v>45600.0</v>
      </c>
      <c r="D4150" s="40" t="s">
        <v>29666</v>
      </c>
      <c r="E4150" s="100" t="s">
        <v>29667</v>
      </c>
      <c r="F4150" s="101" t="s">
        <v>29668</v>
      </c>
      <c r="G4150" s="101" t="s">
        <v>29669</v>
      </c>
      <c r="H4150" s="51" t="s">
        <v>29271</v>
      </c>
      <c r="I4150" s="15" t="str">
        <f>IFERROR(__xludf.DUMMYFUNCTION("GOOGLETRANSLATE(H4150,""EN"",""ES"")"),"mercado de valores")</f>
        <v>mercado de valores</v>
      </c>
      <c r="J4150" s="16" t="s">
        <v>35</v>
      </c>
      <c r="K4150" s="48">
        <v>0.0</v>
      </c>
      <c r="L4150" s="45"/>
      <c r="M4150" s="18"/>
      <c r="N4150" s="94" t="s">
        <v>29670</v>
      </c>
      <c r="O4150" s="94" t="str">
        <f>IFERROR(__xludf.DUMMYFUNCTION("GOOGLETRANSLATE(N4150,""EN"",""ES"")"),"Neutral ya que informa precios de apertura del mercado.")</f>
        <v>Neutral ya que informa precios de apertura del mercado.</v>
      </c>
      <c r="P4150" s="30">
        <v>0.0</v>
      </c>
      <c r="Q4150" s="18"/>
      <c r="R4150" s="18"/>
      <c r="S4150" s="52" t="s">
        <v>25933</v>
      </c>
      <c r="T4150" s="22" t="s">
        <v>25934</v>
      </c>
    </row>
    <row r="4151">
      <c r="A4151" s="23" t="s">
        <v>29671</v>
      </c>
      <c r="B4151" s="77" t="s">
        <v>1831</v>
      </c>
      <c r="C4151" s="96">
        <v>45600.0</v>
      </c>
      <c r="D4151" s="40" t="s">
        <v>29672</v>
      </c>
      <c r="E4151" s="97" t="s">
        <v>29673</v>
      </c>
      <c r="F4151" s="98" t="s">
        <v>29674</v>
      </c>
      <c r="G4151" s="98" t="s">
        <v>29675</v>
      </c>
      <c r="H4151" s="51" t="s">
        <v>29532</v>
      </c>
      <c r="I4151" s="25" t="str">
        <f>IFERROR(__xludf.DUMMYFUNCTION("GOOGLETRANSLATE(H4151,""EN"",""ES"")"),"Energía renovable")</f>
        <v>Energía renovable</v>
      </c>
      <c r="J4151" s="26" t="s">
        <v>35</v>
      </c>
      <c r="K4151" s="48">
        <v>0.5</v>
      </c>
      <c r="L4151" s="49" t="s">
        <v>29676</v>
      </c>
      <c r="M4151" s="28" t="s">
        <v>29677</v>
      </c>
      <c r="N4151" s="93" t="s">
        <v>29678</v>
      </c>
      <c r="O4151" s="93" t="str">
        <f>IFERROR(__xludf.DUMMYFUNCTION("GOOGLETRANSLATE(N4151,""EN"",""ES"")"),"Positivo porque pone de relieve la innovación de Repsol en sostenibilidad.")</f>
        <v>Positivo porque pone de relieve la innovación de Repsol en sostenibilidad.</v>
      </c>
      <c r="P4151" s="30">
        <v>0.3</v>
      </c>
      <c r="Q4151" s="31" t="str">
        <f>IFERROR(__xludf.DUMMYFUNCTION("GOOGLETRANSLATE(R4151,""ES"",""EN"")"),"-")</f>
        <v>-</v>
      </c>
      <c r="R4151" s="28" t="s">
        <v>11852</v>
      </c>
      <c r="S4151" s="53" t="s">
        <v>29679</v>
      </c>
      <c r="T4151" s="32" t="s">
        <v>29680</v>
      </c>
    </row>
    <row r="4152">
      <c r="A4152" s="33" t="s">
        <v>29681</v>
      </c>
      <c r="B4152" s="76" t="s">
        <v>626</v>
      </c>
      <c r="C4152" s="99">
        <v>45600.0</v>
      </c>
      <c r="D4152" s="40" t="s">
        <v>29682</v>
      </c>
      <c r="E4152" s="100" t="s">
        <v>29683</v>
      </c>
      <c r="F4152" s="101" t="s">
        <v>29684</v>
      </c>
      <c r="G4152" s="101" t="s">
        <v>29685</v>
      </c>
      <c r="H4152" s="51" t="s">
        <v>29686</v>
      </c>
      <c r="I4152" s="15" t="str">
        <f>IFERROR(__xludf.DUMMYFUNCTION("GOOGLETRANSLATE(H4152,""EN"",""ES"")"),"RSE")</f>
        <v>RSE</v>
      </c>
      <c r="J4152" s="16" t="s">
        <v>27</v>
      </c>
      <c r="K4152" s="17">
        <v>0.0</v>
      </c>
      <c r="L4152" s="45"/>
      <c r="M4152" s="18"/>
      <c r="N4152" s="94"/>
      <c r="O4152" s="94"/>
      <c r="P4152" s="20">
        <v>0.0</v>
      </c>
      <c r="Q4152" s="18"/>
      <c r="R4152" s="18"/>
      <c r="S4152" s="52"/>
      <c r="T4152" s="22"/>
    </row>
    <row r="4153">
      <c r="A4153" s="23" t="s">
        <v>29687</v>
      </c>
      <c r="B4153" s="77" t="s">
        <v>85</v>
      </c>
      <c r="C4153" s="96">
        <v>45600.0</v>
      </c>
      <c r="D4153" s="40" t="s">
        <v>29688</v>
      </c>
      <c r="E4153" s="97" t="s">
        <v>29689</v>
      </c>
      <c r="F4153" s="98" t="s">
        <v>29690</v>
      </c>
      <c r="G4153" s="98" t="s">
        <v>29691</v>
      </c>
      <c r="H4153" s="51" t="s">
        <v>29692</v>
      </c>
      <c r="I4153" s="25" t="str">
        <f>IFERROR(__xludf.DUMMYFUNCTION("GOOGLETRANSLATE(H4153,""EN"",""ES"")"),"Competencia en el mercado")</f>
        <v>Competencia en el mercado</v>
      </c>
      <c r="J4153" s="26" t="s">
        <v>35</v>
      </c>
      <c r="K4153" s="48">
        <v>0.5</v>
      </c>
      <c r="L4153" s="49" t="s">
        <v>29693</v>
      </c>
      <c r="M4153" s="28" t="s">
        <v>29694</v>
      </c>
      <c r="N4153" s="93" t="s">
        <v>29695</v>
      </c>
      <c r="O4153" s="93" t="str">
        <f>IFERROR(__xludf.DUMMYFUNCTION("GOOGLETRANSLATE(N4153,""EN"",""ES"")"),"Positivo ya que refleja la expansión de mercado de Repsol.")</f>
        <v>Positivo ya que refleja la expansión de mercado de Repsol.</v>
      </c>
      <c r="P4153" s="30">
        <v>0.2</v>
      </c>
      <c r="Q4153" s="31" t="str">
        <f>IFERROR(__xludf.DUMMYFUNCTION("GOOGLETRANSLATE(R4153,""ES"",""EN"")"),"-")</f>
        <v>-</v>
      </c>
      <c r="R4153" s="28" t="s">
        <v>11852</v>
      </c>
      <c r="S4153" s="53" t="s">
        <v>29696</v>
      </c>
      <c r="T4153" s="32" t="s">
        <v>29697</v>
      </c>
    </row>
    <row r="4154">
      <c r="A4154" s="33" t="s">
        <v>29698</v>
      </c>
      <c r="B4154" s="76" t="s">
        <v>881</v>
      </c>
      <c r="C4154" s="99">
        <v>45600.0</v>
      </c>
      <c r="D4154" s="40" t="s">
        <v>29699</v>
      </c>
      <c r="E4154" s="100" t="s">
        <v>29700</v>
      </c>
      <c r="F4154" s="101" t="s">
        <v>29701</v>
      </c>
      <c r="G4154" s="101" t="s">
        <v>29702</v>
      </c>
      <c r="H4154" s="51" t="s">
        <v>2240</v>
      </c>
      <c r="I4154" s="15" t="str">
        <f>IFERROR(__xludf.DUMMYFUNCTION("GOOGLETRANSLATE(H4154,""EN"",""ES"")"),"Industria")</f>
        <v>Industria</v>
      </c>
      <c r="J4154" s="16" t="s">
        <v>35</v>
      </c>
      <c r="K4154" s="48">
        <v>0.0</v>
      </c>
      <c r="L4154" s="45"/>
      <c r="M4154" s="18"/>
      <c r="N4154" s="94" t="s">
        <v>29703</v>
      </c>
      <c r="O4154" s="94" t="str">
        <f>IFERROR(__xludf.DUMMYFUNCTION("GOOGLETRANSLATE(N4154,""EN"",""ES"")"),"Neutral ya que informa operaciones industriales.")</f>
        <v>Neutral ya que informa operaciones industriales.</v>
      </c>
      <c r="P4154" s="30">
        <v>0.0</v>
      </c>
      <c r="Q4154" s="18"/>
      <c r="R4154" s="18"/>
      <c r="S4154" s="52" t="s">
        <v>10136</v>
      </c>
      <c r="T4154" s="22" t="s">
        <v>10137</v>
      </c>
    </row>
    <row r="4155">
      <c r="A4155" s="23" t="s">
        <v>29704</v>
      </c>
      <c r="B4155" s="77" t="s">
        <v>390</v>
      </c>
      <c r="C4155" s="96">
        <v>45600.0</v>
      </c>
      <c r="D4155" s="40" t="s">
        <v>29705</v>
      </c>
      <c r="E4155" s="97" t="s">
        <v>29706</v>
      </c>
      <c r="F4155" s="98" t="s">
        <v>29707</v>
      </c>
      <c r="G4155" s="98" t="s">
        <v>29708</v>
      </c>
      <c r="H4155" s="51" t="s">
        <v>29544</v>
      </c>
      <c r="I4155" s="25" t="str">
        <f>IFERROR(__xludf.DUMMYFUNCTION("GOOGLETRANSLATE(H4155,""EN"",""ES"")"),"Patrocinio deportivo")</f>
        <v>Patrocinio deportivo</v>
      </c>
      <c r="J4155" s="26" t="s">
        <v>27</v>
      </c>
      <c r="K4155" s="17">
        <v>0.0</v>
      </c>
      <c r="L4155" s="54"/>
      <c r="M4155" s="31"/>
      <c r="N4155" s="93"/>
      <c r="O4155" s="93"/>
      <c r="P4155" s="20">
        <v>0.0</v>
      </c>
      <c r="Q4155" s="31"/>
      <c r="R4155" s="31"/>
      <c r="S4155" s="53"/>
      <c r="T4155" s="32"/>
    </row>
    <row r="4156">
      <c r="A4156" s="33" t="s">
        <v>29709</v>
      </c>
      <c r="B4156" s="76" t="s">
        <v>163</v>
      </c>
      <c r="C4156" s="99">
        <v>45601.0</v>
      </c>
      <c r="D4156" s="40" t="s">
        <v>29710</v>
      </c>
      <c r="E4156" s="100" t="s">
        <v>29711</v>
      </c>
      <c r="F4156" s="101" t="s">
        <v>29712</v>
      </c>
      <c r="G4156" s="101" t="s">
        <v>29713</v>
      </c>
      <c r="H4156" s="51" t="s">
        <v>29686</v>
      </c>
      <c r="I4156" s="15" t="str">
        <f>IFERROR(__xludf.DUMMYFUNCTION("GOOGLETRANSLATE(H4156,""EN"",""ES"")"),"RSE")</f>
        <v>RSE</v>
      </c>
      <c r="J4156" s="16" t="s">
        <v>35</v>
      </c>
      <c r="K4156" s="48">
        <v>0.5</v>
      </c>
      <c r="L4156" s="51" t="s">
        <v>29714</v>
      </c>
      <c r="M4156" s="34" t="s">
        <v>29715</v>
      </c>
      <c r="N4156" s="94" t="s">
        <v>29716</v>
      </c>
      <c r="O4156" s="94" t="str">
        <f>IFERROR(__xludf.DUMMYFUNCTION("GOOGLETRANSLATE(N4156,""EN"",""ES"")"),"Positivo porque demuestra la contribución social de Repsol.")</f>
        <v>Positivo porque demuestra la contribución social de Repsol.</v>
      </c>
      <c r="P4156" s="30">
        <v>0.7</v>
      </c>
      <c r="Q4156" s="18" t="str">
        <f>IFERROR(__xludf.DUMMYFUNCTION("GOOGLETRANSLATE(R4156,""ES"",""EN"")"),"facilitate, ""help""")</f>
        <v>facilitate, "help"</v>
      </c>
      <c r="R4156" s="34" t="s">
        <v>29308</v>
      </c>
      <c r="S4156" s="52" t="s">
        <v>29717</v>
      </c>
      <c r="T4156" s="22" t="s">
        <v>29718</v>
      </c>
    </row>
    <row r="4157">
      <c r="A4157" s="23" t="s">
        <v>29719</v>
      </c>
      <c r="B4157" s="77" t="s">
        <v>163</v>
      </c>
      <c r="C4157" s="96">
        <v>45601.0</v>
      </c>
      <c r="D4157" s="40" t="s">
        <v>29720</v>
      </c>
      <c r="E4157" s="97" t="s">
        <v>29721</v>
      </c>
      <c r="F4157" s="98" t="s">
        <v>29722</v>
      </c>
      <c r="G4157" s="98" t="s">
        <v>29723</v>
      </c>
      <c r="H4157" s="51" t="s">
        <v>29724</v>
      </c>
      <c r="I4157" s="25" t="str">
        <f>IFERROR(__xludf.DUMMYFUNCTION("GOOGLETRANSLATE(H4157,""EN"",""ES"")"),"Incentivos al cliente")</f>
        <v>Incentivos al cliente</v>
      </c>
      <c r="J4157" s="26" t="s">
        <v>35</v>
      </c>
      <c r="K4157" s="48">
        <v>0.4</v>
      </c>
      <c r="L4157" s="49" t="s">
        <v>29725</v>
      </c>
      <c r="M4157" s="28" t="s">
        <v>29726</v>
      </c>
      <c r="N4157" s="93" t="s">
        <v>29727</v>
      </c>
      <c r="O4157" s="93" t="str">
        <f>IFERROR(__xludf.DUMMYFUNCTION("GOOGLETRANSLATE(N4157,""EN"",""ES"")"),"Positivo ya que promueve beneficios para el cliente.")</f>
        <v>Positivo ya que promueve beneficios para el cliente.</v>
      </c>
      <c r="P4157" s="30">
        <v>0.3</v>
      </c>
      <c r="Q4157" s="31" t="str">
        <f>IFERROR(__xludf.DUMMYFUNCTION("GOOGLETRANSLATE(R4157,""ES"",""EN"")"),"discount")</f>
        <v>discount</v>
      </c>
      <c r="R4157" s="28" t="s">
        <v>15498</v>
      </c>
      <c r="S4157" s="53" t="s">
        <v>29728</v>
      </c>
      <c r="T4157" s="32" t="s">
        <v>29729</v>
      </c>
    </row>
    <row r="4158">
      <c r="A4158" s="33" t="s">
        <v>29730</v>
      </c>
      <c r="B4158" s="76" t="s">
        <v>3151</v>
      </c>
      <c r="C4158" s="99">
        <v>45601.0</v>
      </c>
      <c r="D4158" s="40" t="s">
        <v>29731</v>
      </c>
      <c r="E4158" s="100" t="s">
        <v>29732</v>
      </c>
      <c r="F4158" s="101" t="s">
        <v>29733</v>
      </c>
      <c r="G4158" s="101" t="s">
        <v>29734</v>
      </c>
      <c r="H4158" s="51" t="s">
        <v>148</v>
      </c>
      <c r="I4158" s="15" t="str">
        <f>IFERROR(__xludf.DUMMYFUNCTION("GOOGLETRANSLATE(H4158,""EN"",""ES"")"),"Gastronomía")</f>
        <v>Gastronomía</v>
      </c>
      <c r="J4158" s="16" t="s">
        <v>27</v>
      </c>
      <c r="K4158" s="17">
        <v>0.0</v>
      </c>
      <c r="L4158" s="45"/>
      <c r="M4158" s="18"/>
      <c r="N4158" s="94"/>
      <c r="O4158" s="94"/>
      <c r="P4158" s="20">
        <v>0.0</v>
      </c>
      <c r="Q4158" s="18"/>
      <c r="R4158" s="18"/>
      <c r="S4158" s="52"/>
      <c r="T4158" s="22"/>
    </row>
    <row r="4159">
      <c r="A4159" s="23" t="s">
        <v>29735</v>
      </c>
      <c r="B4159" s="77" t="s">
        <v>1993</v>
      </c>
      <c r="C4159" s="96">
        <v>45601.0</v>
      </c>
      <c r="D4159" s="40" t="s">
        <v>29736</v>
      </c>
      <c r="E4159" s="97" t="s">
        <v>29737</v>
      </c>
      <c r="F4159" s="98" t="s">
        <v>29738</v>
      </c>
      <c r="G4159" s="98" t="s">
        <v>29739</v>
      </c>
      <c r="H4159" s="51" t="s">
        <v>29532</v>
      </c>
      <c r="I4159" s="25" t="str">
        <f>IFERROR(__xludf.DUMMYFUNCTION("GOOGLETRANSLATE(H4159,""EN"",""ES"")"),"Energía renovable")</f>
        <v>Energía renovable</v>
      </c>
      <c r="J4159" s="26" t="s">
        <v>35</v>
      </c>
      <c r="K4159" s="48">
        <v>0.5</v>
      </c>
      <c r="L4159" s="49" t="s">
        <v>29740</v>
      </c>
      <c r="M4159" s="28" t="s">
        <v>29741</v>
      </c>
      <c r="N4159" s="93" t="s">
        <v>29742</v>
      </c>
      <c r="O4159" s="93" t="str">
        <f>IFERROR(__xludf.DUMMYFUNCTION("GOOGLETRANSLATE(N4159,""EN"",""ES"")"),"Positivo porque pone en valor la innovación de Repsol en energías verdes.")</f>
        <v>Positivo porque pone en valor la innovación de Repsol en energías verdes.</v>
      </c>
      <c r="P4159" s="30">
        <v>0.4</v>
      </c>
      <c r="Q4159" s="31" t="str">
        <f>IFERROR(__xludf.DUMMYFUNCTION("GOOGLETRANSLATE(R4159,""ES"",""EN"")"),"-")</f>
        <v>-</v>
      </c>
      <c r="R4159" s="28" t="s">
        <v>11852</v>
      </c>
      <c r="S4159" s="53" t="s">
        <v>28729</v>
      </c>
      <c r="T4159" s="32" t="s">
        <v>28730</v>
      </c>
    </row>
    <row r="4160">
      <c r="A4160" s="33" t="s">
        <v>29743</v>
      </c>
      <c r="B4160" s="76" t="s">
        <v>207</v>
      </c>
      <c r="C4160" s="99">
        <v>45601.0</v>
      </c>
      <c r="D4160" s="40" t="s">
        <v>29744</v>
      </c>
      <c r="E4160" s="100" t="s">
        <v>29745</v>
      </c>
      <c r="F4160" s="101" t="s">
        <v>29746</v>
      </c>
      <c r="G4160" s="101" t="s">
        <v>29747</v>
      </c>
      <c r="H4160" s="51" t="s">
        <v>29748</v>
      </c>
      <c r="I4160" s="15" t="str">
        <f>IFERROR(__xludf.DUMMYFUNCTION("GOOGLETRANSLATE(H4160,""EN"",""ES"")"),"Impuestos")</f>
        <v>Impuestos</v>
      </c>
      <c r="J4160" s="16" t="s">
        <v>35</v>
      </c>
      <c r="K4160" s="48">
        <v>-0.3</v>
      </c>
      <c r="L4160" s="51" t="s">
        <v>29749</v>
      </c>
      <c r="M4160" s="34" t="s">
        <v>29750</v>
      </c>
      <c r="N4160" s="94" t="s">
        <v>29751</v>
      </c>
      <c r="O4160" s="94" t="str">
        <f>IFERROR(__xludf.DUMMYFUNCTION("GOOGLETRANSLATE(N4160,""EN"",""ES"")"),"Ligeramente negativo ya que pone de relieve la controversia relacionada con los impuestos.")</f>
        <v>Ligeramente negativo ya que pone de relieve la controversia relacionada con los impuestos.</v>
      </c>
      <c r="P4160" s="30">
        <v>0.1</v>
      </c>
      <c r="Q4160" s="18" t="str">
        <f>IFERROR(__xludf.DUMMYFUNCTION("GOOGLETRANSLATE(R4160,""ES"",""EN"")"),"-")</f>
        <v>-</v>
      </c>
      <c r="R4160" s="34" t="s">
        <v>11852</v>
      </c>
      <c r="S4160" s="52" t="s">
        <v>29653</v>
      </c>
      <c r="T4160" s="22" t="s">
        <v>29654</v>
      </c>
    </row>
    <row r="4161">
      <c r="A4161" s="23" t="s">
        <v>29752</v>
      </c>
      <c r="B4161" s="77" t="s">
        <v>12564</v>
      </c>
      <c r="C4161" s="96">
        <v>45601.0</v>
      </c>
      <c r="D4161" s="40" t="s">
        <v>29753</v>
      </c>
      <c r="E4161" s="97" t="s">
        <v>29754</v>
      </c>
      <c r="F4161" s="98" t="s">
        <v>29755</v>
      </c>
      <c r="G4161" s="98" t="s">
        <v>29756</v>
      </c>
      <c r="H4161" s="51" t="s">
        <v>29757</v>
      </c>
      <c r="I4161" s="25" t="str">
        <f>IFERROR(__xludf.DUMMYFUNCTION("GOOGLETRANSLATE(H4161,""EN"",""ES"")"),"Operaciones comerciales")</f>
        <v>Operaciones comerciales</v>
      </c>
      <c r="J4161" s="26" t="s">
        <v>27</v>
      </c>
      <c r="K4161" s="17">
        <v>0.0</v>
      </c>
      <c r="L4161" s="54"/>
      <c r="M4161" s="31"/>
      <c r="N4161" s="93"/>
      <c r="O4161" s="93"/>
      <c r="P4161" s="20">
        <v>0.0</v>
      </c>
      <c r="Q4161" s="31"/>
      <c r="R4161" s="31"/>
      <c r="S4161" s="53"/>
      <c r="T4161" s="32"/>
    </row>
    <row r="4162">
      <c r="A4162" s="33" t="s">
        <v>29758</v>
      </c>
      <c r="B4162" s="76" t="s">
        <v>1768</v>
      </c>
      <c r="C4162" s="99">
        <v>45601.0</v>
      </c>
      <c r="D4162" s="40" t="s">
        <v>29759</v>
      </c>
      <c r="E4162" s="100" t="s">
        <v>29760</v>
      </c>
      <c r="F4162" s="101" t="s">
        <v>29761</v>
      </c>
      <c r="G4162" s="101" t="s">
        <v>29762</v>
      </c>
      <c r="H4162" s="51" t="s">
        <v>148</v>
      </c>
      <c r="I4162" s="15" t="str">
        <f>IFERROR(__xludf.DUMMYFUNCTION("GOOGLETRANSLATE(H4162,""EN"",""ES"")"),"Gastronomía")</f>
        <v>Gastronomía</v>
      </c>
      <c r="J4162" s="16" t="s">
        <v>27</v>
      </c>
      <c r="K4162" s="17">
        <v>0.0</v>
      </c>
      <c r="L4162" s="45"/>
      <c r="M4162" s="18"/>
      <c r="N4162" s="94"/>
      <c r="O4162" s="94"/>
      <c r="P4162" s="20">
        <v>0.0</v>
      </c>
      <c r="Q4162" s="18"/>
      <c r="R4162" s="18"/>
      <c r="S4162" s="52"/>
      <c r="T4162" s="22"/>
    </row>
    <row r="4163">
      <c r="A4163" s="23" t="s">
        <v>29763</v>
      </c>
      <c r="B4163" s="77" t="s">
        <v>43</v>
      </c>
      <c r="C4163" s="96">
        <v>45601.0</v>
      </c>
      <c r="D4163" s="40" t="s">
        <v>29764</v>
      </c>
      <c r="E4163" s="97" t="s">
        <v>29765</v>
      </c>
      <c r="F4163" s="98" t="s">
        <v>29766</v>
      </c>
      <c r="G4163" s="98" t="s">
        <v>29767</v>
      </c>
      <c r="H4163" s="51" t="s">
        <v>148</v>
      </c>
      <c r="I4163" s="25" t="str">
        <f>IFERROR(__xludf.DUMMYFUNCTION("GOOGLETRANSLATE(H4163,""EN"",""ES"")"),"Gastronomía")</f>
        <v>Gastronomía</v>
      </c>
      <c r="J4163" s="26" t="s">
        <v>27</v>
      </c>
      <c r="K4163" s="17">
        <v>0.0</v>
      </c>
      <c r="L4163" s="54"/>
      <c r="M4163" s="31"/>
      <c r="N4163" s="93"/>
      <c r="O4163" s="93"/>
      <c r="P4163" s="20">
        <v>0.0</v>
      </c>
      <c r="Q4163" s="31"/>
      <c r="R4163" s="31"/>
      <c r="S4163" s="53"/>
      <c r="T4163" s="32"/>
    </row>
    <row r="4164">
      <c r="A4164" s="33" t="s">
        <v>29768</v>
      </c>
      <c r="B4164" s="76" t="s">
        <v>9569</v>
      </c>
      <c r="C4164" s="99">
        <v>45601.0</v>
      </c>
      <c r="D4164" s="40" t="s">
        <v>29769</v>
      </c>
      <c r="E4164" s="100" t="s">
        <v>29770</v>
      </c>
      <c r="F4164" s="101" t="s">
        <v>29771</v>
      </c>
      <c r="G4164" s="101" t="s">
        <v>29772</v>
      </c>
      <c r="H4164" s="51" t="s">
        <v>29773</v>
      </c>
      <c r="I4164" s="15" t="str">
        <f>IFERROR(__xludf.DUMMYFUNCTION("GOOGLETRANSLATE(H4164,""EN"",""ES"")"),"Tecnología e Innovación")</f>
        <v>Tecnología e Innovación</v>
      </c>
      <c r="J4164" s="16" t="s">
        <v>35</v>
      </c>
      <c r="K4164" s="48">
        <v>0.5</v>
      </c>
      <c r="L4164" s="51" t="s">
        <v>29774</v>
      </c>
      <c r="M4164" s="34" t="s">
        <v>29775</v>
      </c>
      <c r="N4164" s="94" t="s">
        <v>29776</v>
      </c>
      <c r="O4164" s="94" t="str">
        <f>IFERROR(__xludf.DUMMYFUNCTION("GOOGLETRANSLATE(N4164,""EN"",""ES"")"),"Positivo ya que destaca la transformación digital.")</f>
        <v>Positivo ya que destaca la transformación digital.</v>
      </c>
      <c r="P4164" s="30">
        <v>0.4</v>
      </c>
      <c r="Q4164" s="18" t="str">
        <f>IFERROR(__xludf.DUMMYFUNCTION("GOOGLETRANSLATE(R4164,""ES"",""EN"")"),"productive")</f>
        <v>productive</v>
      </c>
      <c r="R4164" s="34" t="s">
        <v>29777</v>
      </c>
      <c r="S4164" s="52" t="s">
        <v>29778</v>
      </c>
      <c r="T4164" s="22" t="s">
        <v>29779</v>
      </c>
    </row>
    <row r="4165">
      <c r="A4165" s="23" t="s">
        <v>29780</v>
      </c>
      <c r="B4165" s="77" t="s">
        <v>614</v>
      </c>
      <c r="C4165" s="96">
        <v>45601.0</v>
      </c>
      <c r="D4165" s="40" t="s">
        <v>29781</v>
      </c>
      <c r="E4165" s="97" t="s">
        <v>29782</v>
      </c>
      <c r="F4165" s="98" t="s">
        <v>29783</v>
      </c>
      <c r="G4165" s="98" t="s">
        <v>29784</v>
      </c>
      <c r="H4165" s="51" t="s">
        <v>29532</v>
      </c>
      <c r="I4165" s="25" t="str">
        <f>IFERROR(__xludf.DUMMYFUNCTION("GOOGLETRANSLATE(H4165,""EN"",""ES"")"),"Energía renovable")</f>
        <v>Energía renovable</v>
      </c>
      <c r="J4165" s="26" t="s">
        <v>35</v>
      </c>
      <c r="K4165" s="48">
        <v>0.5</v>
      </c>
      <c r="L4165" s="49" t="s">
        <v>29785</v>
      </c>
      <c r="M4165" s="28" t="s">
        <v>29786</v>
      </c>
      <c r="N4165" s="93" t="s">
        <v>21360</v>
      </c>
      <c r="O4165" s="93" t="str">
        <f>IFERROR(__xludf.DUMMYFUNCTION("GOOGLETRANSLATE(N4165,""EN"",""ES"")"),"Positivo ya que destaca los esfuerzos de sostenibilidad.")</f>
        <v>Positivo ya que destaca los esfuerzos de sostenibilidad.</v>
      </c>
      <c r="P4165" s="30">
        <v>0.3</v>
      </c>
      <c r="Q4165" s="31" t="str">
        <f>IFERROR(__xludf.DUMMYFUNCTION("GOOGLETRANSLATE(R4165,""ES"",""EN"")"),"-")</f>
        <v>-</v>
      </c>
      <c r="R4165" s="28" t="s">
        <v>11852</v>
      </c>
      <c r="S4165" s="53" t="s">
        <v>28729</v>
      </c>
      <c r="T4165" s="32" t="s">
        <v>28730</v>
      </c>
    </row>
    <row r="4166">
      <c r="A4166" s="33" t="s">
        <v>29787</v>
      </c>
      <c r="B4166" s="76" t="s">
        <v>558</v>
      </c>
      <c r="C4166" s="99">
        <v>45601.0</v>
      </c>
      <c r="D4166" s="40" t="s">
        <v>29788</v>
      </c>
      <c r="E4166" s="100" t="s">
        <v>29789</v>
      </c>
      <c r="F4166" s="101" t="s">
        <v>29790</v>
      </c>
      <c r="G4166" s="101" t="s">
        <v>29791</v>
      </c>
      <c r="H4166" s="51" t="s">
        <v>29271</v>
      </c>
      <c r="I4166" s="15" t="str">
        <f>IFERROR(__xludf.DUMMYFUNCTION("GOOGLETRANSLATE(H4166,""EN"",""ES"")"),"mercado de valores")</f>
        <v>mercado de valores</v>
      </c>
      <c r="J4166" s="16" t="s">
        <v>35</v>
      </c>
      <c r="K4166" s="48">
        <v>0.4</v>
      </c>
      <c r="L4166" s="51" t="s">
        <v>29792</v>
      </c>
      <c r="M4166" s="34" t="s">
        <v>29793</v>
      </c>
      <c r="N4166" s="94" t="s">
        <v>29794</v>
      </c>
      <c r="O4166" s="94" t="str">
        <f>IFERROR(__xludf.DUMMYFUNCTION("GOOGLETRANSLATE(N4166,""EN"",""ES"")"),"Positivo ya que indica una mejora en el desempeño de las acciones.")</f>
        <v>Positivo ya que indica una mejora en el desempeño de las acciones.</v>
      </c>
      <c r="P4166" s="30">
        <v>0.2</v>
      </c>
      <c r="Q4166" s="18" t="str">
        <f>IFERROR(__xludf.DUMMYFUNCTION("GOOGLETRANSLATE(R4166,""ES"",""EN"")"),"go up")</f>
        <v>go up</v>
      </c>
      <c r="R4166" s="34" t="s">
        <v>29795</v>
      </c>
      <c r="S4166" s="52" t="s">
        <v>10240</v>
      </c>
      <c r="T4166" s="22" t="s">
        <v>10241</v>
      </c>
    </row>
    <row r="4167">
      <c r="A4167" s="23" t="s">
        <v>29796</v>
      </c>
      <c r="B4167" s="77" t="s">
        <v>8029</v>
      </c>
      <c r="C4167" s="96">
        <v>45601.0</v>
      </c>
      <c r="D4167" s="40" t="s">
        <v>29797</v>
      </c>
      <c r="E4167" s="97" t="s">
        <v>29798</v>
      </c>
      <c r="F4167" s="98" t="s">
        <v>29799</v>
      </c>
      <c r="G4167" s="98" t="s">
        <v>29800</v>
      </c>
      <c r="H4167" s="51" t="s">
        <v>148</v>
      </c>
      <c r="I4167" s="25" t="str">
        <f>IFERROR(__xludf.DUMMYFUNCTION("GOOGLETRANSLATE(H4167,""EN"",""ES"")"),"Gastronomía")</f>
        <v>Gastronomía</v>
      </c>
      <c r="J4167" s="26" t="s">
        <v>27</v>
      </c>
      <c r="K4167" s="17">
        <v>0.0</v>
      </c>
      <c r="L4167" s="54"/>
      <c r="M4167" s="31"/>
      <c r="N4167" s="93"/>
      <c r="O4167" s="93"/>
      <c r="P4167" s="20">
        <v>0.0</v>
      </c>
      <c r="Q4167" s="31"/>
      <c r="R4167" s="31"/>
      <c r="S4167" s="53"/>
      <c r="T4167" s="32"/>
    </row>
    <row r="4168">
      <c r="A4168" s="33" t="s">
        <v>29801</v>
      </c>
      <c r="B4168" s="76" t="s">
        <v>6539</v>
      </c>
      <c r="C4168" s="99">
        <v>45601.0</v>
      </c>
      <c r="D4168" s="40" t="s">
        <v>29802</v>
      </c>
      <c r="E4168" s="100" t="s">
        <v>29803</v>
      </c>
      <c r="F4168" s="101" t="s">
        <v>29804</v>
      </c>
      <c r="G4168" s="101" t="s">
        <v>29805</v>
      </c>
      <c r="H4168" s="51" t="s">
        <v>148</v>
      </c>
      <c r="I4168" s="15" t="str">
        <f>IFERROR(__xludf.DUMMYFUNCTION("GOOGLETRANSLATE(H4168,""EN"",""ES"")"),"Gastronomía")</f>
        <v>Gastronomía</v>
      </c>
      <c r="J4168" s="16" t="s">
        <v>27</v>
      </c>
      <c r="K4168" s="17">
        <v>0.0</v>
      </c>
      <c r="L4168" s="45"/>
      <c r="M4168" s="18"/>
      <c r="N4168" s="94"/>
      <c r="O4168" s="94"/>
      <c r="P4168" s="20">
        <v>0.0</v>
      </c>
      <c r="Q4168" s="18"/>
      <c r="R4168" s="18"/>
      <c r="S4168" s="52"/>
      <c r="T4168" s="22"/>
    </row>
    <row r="4169">
      <c r="A4169" s="23" t="s">
        <v>29806</v>
      </c>
      <c r="B4169" s="77" t="s">
        <v>3151</v>
      </c>
      <c r="C4169" s="96">
        <v>45601.0</v>
      </c>
      <c r="D4169" s="40" t="s">
        <v>29807</v>
      </c>
      <c r="E4169" s="97" t="s">
        <v>29808</v>
      </c>
      <c r="F4169" s="98" t="s">
        <v>29809</v>
      </c>
      <c r="G4169" s="98" t="s">
        <v>29810</v>
      </c>
      <c r="H4169" s="51" t="s">
        <v>148</v>
      </c>
      <c r="I4169" s="25" t="str">
        <f>IFERROR(__xludf.DUMMYFUNCTION("GOOGLETRANSLATE(H4169,""EN"",""ES"")"),"Gastronomía")</f>
        <v>Gastronomía</v>
      </c>
      <c r="J4169" s="26" t="s">
        <v>27</v>
      </c>
      <c r="K4169" s="17">
        <v>0.0</v>
      </c>
      <c r="L4169" s="54"/>
      <c r="M4169" s="31"/>
      <c r="N4169" s="93"/>
      <c r="O4169" s="93"/>
      <c r="P4169" s="20">
        <v>0.0</v>
      </c>
      <c r="Q4169" s="31"/>
      <c r="R4169" s="31"/>
      <c r="S4169" s="53"/>
      <c r="T4169" s="32"/>
    </row>
    <row r="4170">
      <c r="A4170" s="33" t="s">
        <v>29811</v>
      </c>
      <c r="B4170" s="76" t="s">
        <v>43</v>
      </c>
      <c r="C4170" s="99">
        <v>45601.0</v>
      </c>
      <c r="D4170" s="40" t="s">
        <v>29812</v>
      </c>
      <c r="E4170" s="100" t="s">
        <v>29813</v>
      </c>
      <c r="F4170" s="101" t="s">
        <v>29814</v>
      </c>
      <c r="G4170" s="101" t="s">
        <v>29815</v>
      </c>
      <c r="H4170" s="51" t="s">
        <v>29816</v>
      </c>
      <c r="I4170" s="15" t="str">
        <f>IFERROR(__xludf.DUMMYFUNCTION("GOOGLETRANSLATE(H4170,""EN"",""ES"")"),"Disputas laborales")</f>
        <v>Disputas laborales</v>
      </c>
      <c r="J4170" s="16" t="s">
        <v>35</v>
      </c>
      <c r="K4170" s="48">
        <v>-0.4</v>
      </c>
      <c r="L4170" s="51" t="s">
        <v>29817</v>
      </c>
      <c r="M4170" s="34" t="s">
        <v>29818</v>
      </c>
      <c r="N4170" s="94" t="s">
        <v>29819</v>
      </c>
      <c r="O4170" s="94" t="str">
        <f>IFERROR(__xludf.DUMMYFUNCTION("GOOGLETRANSLATE(N4170,""EN"",""ES"")"),"Negativo ya que refleja tensiones entre trabajadores y compañías petroleras.")</f>
        <v>Negativo ya que refleja tensiones entre trabajadores y compañías petroleras.</v>
      </c>
      <c r="P4170" s="30">
        <v>-0.4</v>
      </c>
      <c r="Q4170" s="18" t="str">
        <f>IFERROR(__xludf.DUMMYFUNCTION("GOOGLETRANSLATE(R4170,""ES"",""EN"")"),"strike")</f>
        <v>strike</v>
      </c>
      <c r="R4170" s="34" t="s">
        <v>21133</v>
      </c>
      <c r="S4170" s="52" t="s">
        <v>29820</v>
      </c>
      <c r="T4170" s="22" t="s">
        <v>29821</v>
      </c>
    </row>
    <row r="4171">
      <c r="A4171" s="23" t="s">
        <v>29822</v>
      </c>
      <c r="B4171" s="77" t="s">
        <v>6642</v>
      </c>
      <c r="C4171" s="96">
        <v>45602.0</v>
      </c>
      <c r="D4171" s="40" t="s">
        <v>29823</v>
      </c>
      <c r="E4171" s="97" t="s">
        <v>29824</v>
      </c>
      <c r="F4171" s="98" t="s">
        <v>29825</v>
      </c>
      <c r="G4171" s="98" t="s">
        <v>29826</v>
      </c>
      <c r="H4171" s="51" t="s">
        <v>148</v>
      </c>
      <c r="I4171" s="25" t="str">
        <f>IFERROR(__xludf.DUMMYFUNCTION("GOOGLETRANSLATE(H4171,""EN"",""ES"")"),"Gastronomía")</f>
        <v>Gastronomía</v>
      </c>
      <c r="J4171" s="26" t="s">
        <v>27</v>
      </c>
      <c r="K4171" s="17">
        <v>0.0</v>
      </c>
      <c r="L4171" s="54"/>
      <c r="M4171" s="31"/>
      <c r="N4171" s="93"/>
      <c r="O4171" s="93"/>
      <c r="P4171" s="20">
        <v>0.0</v>
      </c>
      <c r="Q4171" s="31"/>
      <c r="R4171" s="31"/>
      <c r="S4171" s="53"/>
      <c r="T4171" s="32"/>
    </row>
    <row r="4172">
      <c r="A4172" s="33" t="s">
        <v>29827</v>
      </c>
      <c r="B4172" s="76" t="s">
        <v>125</v>
      </c>
      <c r="C4172" s="99">
        <v>45602.0</v>
      </c>
      <c r="D4172" s="40" t="s">
        <v>29828</v>
      </c>
      <c r="E4172" s="100" t="s">
        <v>29829</v>
      </c>
      <c r="F4172" s="101" t="s">
        <v>29830</v>
      </c>
      <c r="G4172" s="101" t="s">
        <v>29831</v>
      </c>
      <c r="H4172" s="51" t="s">
        <v>29816</v>
      </c>
      <c r="I4172" s="15" t="str">
        <f>IFERROR(__xludf.DUMMYFUNCTION("GOOGLETRANSLATE(H4172,""EN"",""ES"")"),"Disputas laborales")</f>
        <v>Disputas laborales</v>
      </c>
      <c r="J4172" s="16" t="s">
        <v>35</v>
      </c>
      <c r="K4172" s="48">
        <v>-0.5</v>
      </c>
      <c r="L4172" s="51" t="s">
        <v>29832</v>
      </c>
      <c r="M4172" s="34" t="s">
        <v>29833</v>
      </c>
      <c r="N4172" s="94" t="s">
        <v>29834</v>
      </c>
      <c r="O4172" s="94" t="str">
        <f>IFERROR(__xludf.DUMMYFUNCTION("GOOGLETRANSLATE(N4172,""EN"",""ES"")"),"Negativo ya que informa conflictos laborales en curso.")</f>
        <v>Negativo ya que informa conflictos laborales en curso.</v>
      </c>
      <c r="P4172" s="30">
        <v>-0.6</v>
      </c>
      <c r="Q4172" s="18" t="str">
        <f>IFERROR(__xludf.DUMMYFUNCTION("GOOGLETRANSLATE(R4172,""ES"",""EN"")"),"strike")</f>
        <v>strike</v>
      </c>
      <c r="R4172" s="34" t="s">
        <v>21133</v>
      </c>
      <c r="S4172" s="52" t="s">
        <v>29835</v>
      </c>
      <c r="T4172" s="22" t="s">
        <v>29836</v>
      </c>
    </row>
    <row r="4173">
      <c r="A4173" s="23" t="s">
        <v>29837</v>
      </c>
      <c r="B4173" s="77" t="s">
        <v>29838</v>
      </c>
      <c r="C4173" s="96">
        <v>45602.0</v>
      </c>
      <c r="D4173" s="40" t="s">
        <v>29839</v>
      </c>
      <c r="E4173" s="97" t="s">
        <v>29840</v>
      </c>
      <c r="F4173" s="98" t="s">
        <v>29841</v>
      </c>
      <c r="G4173" s="98" t="s">
        <v>29842</v>
      </c>
      <c r="H4173" s="51" t="s">
        <v>29532</v>
      </c>
      <c r="I4173" s="25" t="str">
        <f>IFERROR(__xludf.DUMMYFUNCTION("GOOGLETRANSLATE(H4173,""EN"",""ES"")"),"Energía renovable")</f>
        <v>Energía renovable</v>
      </c>
      <c r="J4173" s="26" t="s">
        <v>35</v>
      </c>
      <c r="K4173" s="48">
        <v>0.5</v>
      </c>
      <c r="L4173" s="49" t="s">
        <v>29843</v>
      </c>
      <c r="M4173" s="28" t="s">
        <v>29844</v>
      </c>
      <c r="N4173" s="93" t="s">
        <v>29678</v>
      </c>
      <c r="O4173" s="93" t="str">
        <f>IFERROR(__xludf.DUMMYFUNCTION("GOOGLETRANSLATE(N4173,""EN"",""ES"")"),"Positivo porque pone de relieve la innovación de Repsol en sostenibilidad.")</f>
        <v>Positivo porque pone de relieve la innovación de Repsol en sostenibilidad.</v>
      </c>
      <c r="P4173" s="30">
        <v>0.7</v>
      </c>
      <c r="Q4173" s="31" t="str">
        <f>IFERROR(__xludf.DUMMYFUNCTION("GOOGLETRANSLATE(R4173,""ES"",""EN"")"),"new, ""renewable""")</f>
        <v>new, "renewable"</v>
      </c>
      <c r="R4173" s="28" t="s">
        <v>29845</v>
      </c>
      <c r="S4173" s="53" t="s">
        <v>29846</v>
      </c>
      <c r="T4173" s="32" t="s">
        <v>29847</v>
      </c>
    </row>
    <row r="4174">
      <c r="A4174" s="33" t="s">
        <v>29848</v>
      </c>
      <c r="B4174" s="76" t="s">
        <v>43</v>
      </c>
      <c r="C4174" s="99">
        <v>45602.0</v>
      </c>
      <c r="D4174" s="40" t="s">
        <v>29849</v>
      </c>
      <c r="E4174" s="100" t="s">
        <v>29850</v>
      </c>
      <c r="F4174" s="101" t="s">
        <v>29851</v>
      </c>
      <c r="G4174" s="101" t="s">
        <v>29852</v>
      </c>
      <c r="H4174" s="51" t="s">
        <v>29532</v>
      </c>
      <c r="I4174" s="15" t="str">
        <f>IFERROR(__xludf.DUMMYFUNCTION("GOOGLETRANSLATE(H4174,""EN"",""ES"")"),"Energía renovable")</f>
        <v>Energía renovable</v>
      </c>
      <c r="J4174" s="16" t="s">
        <v>35</v>
      </c>
      <c r="K4174" s="48">
        <v>0.5</v>
      </c>
      <c r="L4174" s="51" t="s">
        <v>29740</v>
      </c>
      <c r="M4174" s="34" t="s">
        <v>29741</v>
      </c>
      <c r="N4174" s="94" t="s">
        <v>29853</v>
      </c>
      <c r="O4174" s="94" t="str">
        <f>IFERROR(__xludf.DUMMYFUNCTION("GOOGLETRANSLATE(N4174,""EN"",""ES"")"),"Positivo ya que promueve la tecnología de combustibles verdes.")</f>
        <v>Positivo ya que promueve la tecnología de combustibles verdes.</v>
      </c>
      <c r="P4174" s="30">
        <v>0.6</v>
      </c>
      <c r="Q4174" s="18" t="str">
        <f>IFERROR(__xludf.DUMMYFUNCTION("GOOGLETRANSLATE(R4174,""ES"",""EN"")"),"revolutionary")</f>
        <v>revolutionary</v>
      </c>
      <c r="R4174" s="34" t="s">
        <v>29854</v>
      </c>
      <c r="S4174" s="52" t="s">
        <v>28695</v>
      </c>
      <c r="T4174" s="22" t="s">
        <v>28696</v>
      </c>
    </row>
    <row r="4175">
      <c r="A4175" s="23" t="s">
        <v>29855</v>
      </c>
      <c r="B4175" s="77" t="s">
        <v>1635</v>
      </c>
      <c r="C4175" s="96">
        <v>45602.0</v>
      </c>
      <c r="D4175" s="40" t="s">
        <v>29856</v>
      </c>
      <c r="E4175" s="97" t="s">
        <v>29857</v>
      </c>
      <c r="F4175" s="98" t="s">
        <v>29858</v>
      </c>
      <c r="G4175" s="98" t="s">
        <v>29859</v>
      </c>
      <c r="H4175" s="51" t="s">
        <v>29686</v>
      </c>
      <c r="I4175" s="25" t="str">
        <f>IFERROR(__xludf.DUMMYFUNCTION("GOOGLETRANSLATE(H4175,""EN"",""ES"")"),"RSE")</f>
        <v>RSE</v>
      </c>
      <c r="J4175" s="26" t="s">
        <v>35</v>
      </c>
      <c r="K4175" s="48">
        <v>0.5</v>
      </c>
      <c r="L4175" s="49" t="s">
        <v>29860</v>
      </c>
      <c r="M4175" s="28" t="s">
        <v>29861</v>
      </c>
      <c r="N4175" s="93" t="s">
        <v>29862</v>
      </c>
      <c r="O4175" s="93" t="str">
        <f>IFERROR(__xludf.DUMMYFUNCTION("GOOGLETRANSLATE(N4175,""EN"",""ES"")"),"Positivo porque muestra el esfuerzo de responsabilidad social corporativa de Repsol.")</f>
        <v>Positivo porque muestra el esfuerzo de responsabilidad social corporativa de Repsol.</v>
      </c>
      <c r="P4175" s="30">
        <v>0.5</v>
      </c>
      <c r="Q4175" s="31" t="str">
        <f>IFERROR(__xludf.DUMMYFUNCTION("GOOGLETRANSLATE(R4175,""ES"",""EN"")"),"they work, ""help""")</f>
        <v>they work, "help"</v>
      </c>
      <c r="R4175" s="28" t="s">
        <v>29863</v>
      </c>
      <c r="S4175" s="53" t="s">
        <v>29864</v>
      </c>
      <c r="T4175" s="32" t="s">
        <v>29865</v>
      </c>
    </row>
    <row r="4176">
      <c r="A4176" s="33" t="s">
        <v>29866</v>
      </c>
      <c r="B4176" s="76" t="s">
        <v>2606</v>
      </c>
      <c r="C4176" s="99">
        <v>45602.0</v>
      </c>
      <c r="D4176" s="40" t="s">
        <v>29867</v>
      </c>
      <c r="E4176" s="100" t="s">
        <v>29868</v>
      </c>
      <c r="F4176" s="101" t="s">
        <v>29869</v>
      </c>
      <c r="G4176" s="101" t="s">
        <v>29870</v>
      </c>
      <c r="H4176" s="51" t="s">
        <v>29532</v>
      </c>
      <c r="I4176" s="15" t="str">
        <f>IFERROR(__xludf.DUMMYFUNCTION("GOOGLETRANSLATE(H4176,""EN"",""ES"")"),"Energía renovable")</f>
        <v>Energía renovable</v>
      </c>
      <c r="J4176" s="16" t="s">
        <v>35</v>
      </c>
      <c r="K4176" s="48">
        <v>0.5</v>
      </c>
      <c r="L4176" s="51" t="s">
        <v>29871</v>
      </c>
      <c r="M4176" s="34" t="s">
        <v>29872</v>
      </c>
      <c r="N4176" s="94" t="s">
        <v>21360</v>
      </c>
      <c r="O4176" s="94" t="str">
        <f>IFERROR(__xludf.DUMMYFUNCTION("GOOGLETRANSLATE(N4176,""EN"",""ES"")"),"Positivo ya que destaca los esfuerzos de sostenibilidad.")</f>
        <v>Positivo ya que destaca los esfuerzos de sostenibilidad.</v>
      </c>
      <c r="P4176" s="30">
        <v>0.8</v>
      </c>
      <c r="Q4176" s="18" t="str">
        <f>IFERROR(__xludf.DUMMYFUNCTION("GOOGLETRANSLATE(R4176,""ES"",""EN"")"),"revolutionize")</f>
        <v>revolutionize</v>
      </c>
      <c r="R4176" s="34" t="s">
        <v>29873</v>
      </c>
      <c r="S4176" s="52" t="s">
        <v>29874</v>
      </c>
      <c r="T4176" s="22" t="s">
        <v>29875</v>
      </c>
    </row>
    <row r="4177">
      <c r="A4177" s="23" t="s">
        <v>29876</v>
      </c>
      <c r="B4177" s="77" t="s">
        <v>29877</v>
      </c>
      <c r="C4177" s="96">
        <v>45602.0</v>
      </c>
      <c r="D4177" s="40" t="s">
        <v>29878</v>
      </c>
      <c r="E4177" s="97" t="s">
        <v>29879</v>
      </c>
      <c r="F4177" s="98" t="s">
        <v>29880</v>
      </c>
      <c r="G4177" s="98" t="s">
        <v>29881</v>
      </c>
      <c r="H4177" s="51" t="s">
        <v>29532</v>
      </c>
      <c r="I4177" s="25" t="str">
        <f>IFERROR(__xludf.DUMMYFUNCTION("GOOGLETRANSLATE(H4177,""EN"",""ES"")"),"Energía renovable")</f>
        <v>Energía renovable</v>
      </c>
      <c r="J4177" s="26" t="s">
        <v>35</v>
      </c>
      <c r="K4177" s="48">
        <v>0.5</v>
      </c>
      <c r="L4177" s="49" t="s">
        <v>29882</v>
      </c>
      <c r="M4177" s="28" t="s">
        <v>29883</v>
      </c>
      <c r="N4177" s="93" t="s">
        <v>29884</v>
      </c>
      <c r="O4177" s="93" t="str">
        <f>IFERROR(__xludf.DUMMYFUNCTION("GOOGLETRANSLATE(N4177,""EN"",""ES"")"),"Positivo ya que apoya la energía sostenible.")</f>
        <v>Positivo ya que apoya la energía sostenible.</v>
      </c>
      <c r="P4177" s="30">
        <v>0.6</v>
      </c>
      <c r="Q4177" s="31" t="str">
        <f>IFERROR(__xludf.DUMMYFUNCTION("GOOGLETRANSLATE(R4177,""ES"",""EN"")"),"new, ""save""")</f>
        <v>new, "save"</v>
      </c>
      <c r="R4177" s="28" t="s">
        <v>29885</v>
      </c>
      <c r="S4177" s="53" t="s">
        <v>29886</v>
      </c>
      <c r="T4177" s="32" t="s">
        <v>29887</v>
      </c>
    </row>
    <row r="4178">
      <c r="A4178" s="33" t="s">
        <v>29888</v>
      </c>
      <c r="B4178" s="76" t="s">
        <v>229</v>
      </c>
      <c r="C4178" s="99">
        <v>45602.0</v>
      </c>
      <c r="D4178" s="40" t="s">
        <v>29889</v>
      </c>
      <c r="E4178" s="100" t="s">
        <v>29890</v>
      </c>
      <c r="F4178" s="101" t="s">
        <v>29891</v>
      </c>
      <c r="G4178" s="101" t="s">
        <v>29892</v>
      </c>
      <c r="H4178" s="51" t="s">
        <v>29532</v>
      </c>
      <c r="I4178" s="15" t="str">
        <f>IFERROR(__xludf.DUMMYFUNCTION("GOOGLETRANSLATE(H4178,""EN"",""ES"")"),"Energía renovable")</f>
        <v>Energía renovable</v>
      </c>
      <c r="J4178" s="16" t="s">
        <v>35</v>
      </c>
      <c r="K4178" s="48">
        <v>0.5</v>
      </c>
      <c r="L4178" s="51" t="s">
        <v>29785</v>
      </c>
      <c r="M4178" s="34" t="s">
        <v>29786</v>
      </c>
      <c r="N4178" s="94" t="s">
        <v>29893</v>
      </c>
      <c r="O4178" s="94" t="str">
        <f>IFERROR(__xludf.DUMMYFUNCTION("GOOGLETRANSLATE(N4178,""EN"",""ES"")"),"Positivo ya que promueve la innovación en energías limpias.")</f>
        <v>Positivo ya que promueve la innovación en energías limpias.</v>
      </c>
      <c r="P4178" s="30">
        <v>0.8</v>
      </c>
      <c r="Q4178" s="18" t="str">
        <f>IFERROR(__xludf.DUMMYFUNCTION("GOOGLETRANSLATE(R4178,""ES"",""EN"")"),"reduce, ""discount""")</f>
        <v>reduce, "discount"</v>
      </c>
      <c r="R4178" s="34" t="s">
        <v>29894</v>
      </c>
      <c r="S4178" s="52" t="s">
        <v>29895</v>
      </c>
      <c r="T4178" s="22" t="s">
        <v>29896</v>
      </c>
    </row>
    <row r="4179">
      <c r="A4179" s="23" t="s">
        <v>29897</v>
      </c>
      <c r="B4179" s="77" t="s">
        <v>6297</v>
      </c>
      <c r="C4179" s="96">
        <v>45602.0</v>
      </c>
      <c r="D4179" s="40" t="s">
        <v>29898</v>
      </c>
      <c r="E4179" s="97" t="s">
        <v>29899</v>
      </c>
      <c r="F4179" s="98" t="s">
        <v>29900</v>
      </c>
      <c r="G4179" s="98" t="s">
        <v>29901</v>
      </c>
      <c r="H4179" s="51" t="s">
        <v>148</v>
      </c>
      <c r="I4179" s="25" t="str">
        <f>IFERROR(__xludf.DUMMYFUNCTION("GOOGLETRANSLATE(H4179,""EN"",""ES"")"),"Gastronomía")</f>
        <v>Gastronomía</v>
      </c>
      <c r="J4179" s="26" t="s">
        <v>27</v>
      </c>
      <c r="K4179" s="17">
        <v>0.0</v>
      </c>
      <c r="L4179" s="54"/>
      <c r="M4179" s="31"/>
      <c r="N4179" s="93"/>
      <c r="O4179" s="93"/>
      <c r="P4179" s="20">
        <v>0.0</v>
      </c>
      <c r="Q4179" s="31"/>
      <c r="R4179" s="31"/>
      <c r="S4179" s="53"/>
      <c r="T4179" s="32"/>
    </row>
    <row r="4180">
      <c r="A4180" s="33" t="s">
        <v>29902</v>
      </c>
      <c r="B4180" s="76" t="s">
        <v>5971</v>
      </c>
      <c r="C4180" s="99">
        <v>45602.0</v>
      </c>
      <c r="D4180" s="40" t="s">
        <v>29903</v>
      </c>
      <c r="E4180" s="100" t="s">
        <v>29904</v>
      </c>
      <c r="F4180" s="101" t="s">
        <v>29905</v>
      </c>
      <c r="G4180" s="101" t="s">
        <v>29906</v>
      </c>
      <c r="H4180" s="51" t="s">
        <v>148</v>
      </c>
      <c r="I4180" s="15" t="str">
        <f>IFERROR(__xludf.DUMMYFUNCTION("GOOGLETRANSLATE(H4180,""EN"",""ES"")"),"Gastronomía")</f>
        <v>Gastronomía</v>
      </c>
      <c r="J4180" s="16" t="s">
        <v>27</v>
      </c>
      <c r="K4180" s="17">
        <v>0.0</v>
      </c>
      <c r="L4180" s="45"/>
      <c r="M4180" s="18"/>
      <c r="N4180" s="94"/>
      <c r="O4180" s="94"/>
      <c r="P4180" s="20">
        <v>0.0</v>
      </c>
      <c r="Q4180" s="18"/>
      <c r="R4180" s="18"/>
      <c r="S4180" s="52"/>
      <c r="T4180" s="22"/>
    </row>
    <row r="4181">
      <c r="A4181" s="23" t="s">
        <v>29907</v>
      </c>
      <c r="B4181" s="77" t="s">
        <v>1072</v>
      </c>
      <c r="C4181" s="96">
        <v>45603.0</v>
      </c>
      <c r="D4181" s="40" t="s">
        <v>29908</v>
      </c>
      <c r="E4181" s="97" t="s">
        <v>29909</v>
      </c>
      <c r="F4181" s="98" t="s">
        <v>29910</v>
      </c>
      <c r="G4181" s="98" t="s">
        <v>29911</v>
      </c>
      <c r="H4181" s="51" t="s">
        <v>29271</v>
      </c>
      <c r="I4181" s="25" t="str">
        <f>IFERROR(__xludf.DUMMYFUNCTION("GOOGLETRANSLATE(H4181,""EN"",""ES"")"),"mercado de valores")</f>
        <v>mercado de valores</v>
      </c>
      <c r="J4181" s="26" t="s">
        <v>35</v>
      </c>
      <c r="K4181" s="48">
        <v>-0.3</v>
      </c>
      <c r="L4181" s="49" t="s">
        <v>29912</v>
      </c>
      <c r="M4181" s="28" t="s">
        <v>29913</v>
      </c>
      <c r="N4181" s="93" t="s">
        <v>29914</v>
      </c>
      <c r="O4181" s="93" t="str">
        <f>IFERROR(__xludf.DUMMYFUNCTION("GOOGLETRANSLATE(N4181,""EN"",""ES"")"),"Ligeramente negativo ya que refleja una mayor actividad de ventas en corto.")</f>
        <v>Ligeramente negativo ya que refleja una mayor actividad de ventas en corto.</v>
      </c>
      <c r="P4181" s="30">
        <v>-0.5</v>
      </c>
      <c r="Q4181" s="31" t="str">
        <f>IFERROR(__xludf.DUMMYFUNCTION("GOOGLETRANSLATE(R4181,""ES"",""EN"")"),"bassists")</f>
        <v>bassists</v>
      </c>
      <c r="R4181" s="28" t="s">
        <v>29915</v>
      </c>
      <c r="S4181" s="53" t="s">
        <v>29916</v>
      </c>
      <c r="T4181" s="32" t="s">
        <v>29917</v>
      </c>
    </row>
    <row r="4182">
      <c r="A4182" s="33" t="s">
        <v>29918</v>
      </c>
      <c r="B4182" s="76" t="s">
        <v>4450</v>
      </c>
      <c r="C4182" s="99">
        <v>45603.0</v>
      </c>
      <c r="D4182" s="40" t="s">
        <v>29919</v>
      </c>
      <c r="E4182" s="100" t="s">
        <v>29920</v>
      </c>
      <c r="F4182" s="101" t="s">
        <v>29921</v>
      </c>
      <c r="G4182" s="101" t="s">
        <v>29922</v>
      </c>
      <c r="H4182" s="51" t="s">
        <v>29686</v>
      </c>
      <c r="I4182" s="15" t="str">
        <f>IFERROR(__xludf.DUMMYFUNCTION("GOOGLETRANSLATE(H4182,""EN"",""ES"")"),"RSE")</f>
        <v>RSE</v>
      </c>
      <c r="J4182" s="16" t="s">
        <v>35</v>
      </c>
      <c r="K4182" s="48">
        <v>0.5</v>
      </c>
      <c r="L4182" s="51" t="s">
        <v>29923</v>
      </c>
      <c r="M4182" s="34" t="s">
        <v>29924</v>
      </c>
      <c r="N4182" s="94" t="s">
        <v>29925</v>
      </c>
      <c r="O4182" s="94" t="str">
        <f>IFERROR(__xludf.DUMMYFUNCTION("GOOGLETRANSLATE(N4182,""EN"",""ES"")"),"Positivo porque pone de relieve la labor de respuesta a emergencias de Repsol.")</f>
        <v>Positivo porque pone de relieve la labor de respuesta a emergencias de Repsol.</v>
      </c>
      <c r="P4182" s="30">
        <v>0.7</v>
      </c>
      <c r="Q4182" s="18" t="str">
        <f>IFERROR(__xludf.DUMMYFUNCTION("GOOGLETRANSLATE(R4182,""ES"",""EN"")"),"shrink, ""gratitude""")</f>
        <v>shrink, "gratitude"</v>
      </c>
      <c r="R4182" s="34" t="s">
        <v>29926</v>
      </c>
      <c r="S4182" s="52" t="s">
        <v>29717</v>
      </c>
      <c r="T4182" s="22" t="s">
        <v>29718</v>
      </c>
    </row>
    <row r="4183">
      <c r="A4183" s="23" t="s">
        <v>29927</v>
      </c>
      <c r="B4183" s="77" t="s">
        <v>1854</v>
      </c>
      <c r="C4183" s="96">
        <v>45603.0</v>
      </c>
      <c r="D4183" s="40" t="s">
        <v>29928</v>
      </c>
      <c r="E4183" s="97" t="s">
        <v>29929</v>
      </c>
      <c r="F4183" s="98" t="s">
        <v>29930</v>
      </c>
      <c r="G4183" s="98" t="s">
        <v>29931</v>
      </c>
      <c r="H4183" s="51" t="s">
        <v>29532</v>
      </c>
      <c r="I4183" s="25" t="str">
        <f>IFERROR(__xludf.DUMMYFUNCTION("GOOGLETRANSLATE(H4183,""EN"",""ES"")"),"Energía renovable")</f>
        <v>Energía renovable</v>
      </c>
      <c r="J4183" s="26" t="s">
        <v>35</v>
      </c>
      <c r="K4183" s="48">
        <v>0.5</v>
      </c>
      <c r="L4183" s="49" t="s">
        <v>29882</v>
      </c>
      <c r="M4183" s="28" t="s">
        <v>29883</v>
      </c>
      <c r="N4183" s="93" t="s">
        <v>29932</v>
      </c>
      <c r="O4183" s="93" t="str">
        <f>IFERROR(__xludf.DUMMYFUNCTION("GOOGLETRANSLATE(N4183,""EN"",""ES"")"),"Positivo ya que promueve la sostenibilidad.")</f>
        <v>Positivo ya que promueve la sostenibilidad.</v>
      </c>
      <c r="P4183" s="30">
        <v>0.6</v>
      </c>
      <c r="Q4183" s="31" t="str">
        <f>IFERROR(__xludf.DUMMYFUNCTION("GOOGLETRANSLATE(R4183,""ES"",""EN"")"),"new, ""save""")</f>
        <v>new, "save"</v>
      </c>
      <c r="R4183" s="28" t="s">
        <v>29933</v>
      </c>
      <c r="S4183" s="53" t="s">
        <v>28729</v>
      </c>
      <c r="T4183" s="32" t="s">
        <v>28730</v>
      </c>
    </row>
    <row r="4184">
      <c r="A4184" s="33" t="s">
        <v>29934</v>
      </c>
      <c r="B4184" s="76" t="s">
        <v>2696</v>
      </c>
      <c r="C4184" s="99">
        <v>45603.0</v>
      </c>
      <c r="D4184" s="40" t="s">
        <v>29935</v>
      </c>
      <c r="E4184" s="100" t="s">
        <v>29936</v>
      </c>
      <c r="F4184" s="101" t="s">
        <v>29937</v>
      </c>
      <c r="G4184" s="101" t="s">
        <v>29938</v>
      </c>
      <c r="H4184" s="51" t="s">
        <v>29939</v>
      </c>
      <c r="I4184" s="15" t="str">
        <f>IFERROR(__xludf.DUMMYFUNCTION("GOOGLETRANSLATE(H4184,""EN"",""ES"")"),"Política y energía")</f>
        <v>Política y energía</v>
      </c>
      <c r="J4184" s="16" t="s">
        <v>35</v>
      </c>
      <c r="K4184" s="48">
        <v>-0.5</v>
      </c>
      <c r="L4184" s="51" t="s">
        <v>29940</v>
      </c>
      <c r="M4184" s="34" t="s">
        <v>29941</v>
      </c>
      <c r="N4184" s="94" t="s">
        <v>29942</v>
      </c>
      <c r="O4184" s="94" t="str">
        <f>IFERROR(__xludf.DUMMYFUNCTION("GOOGLETRANSLATE(N4184,""EN"",""ES"")"),"Negativo porque pone de relieve riesgos regulatorios para Repsol.")</f>
        <v>Negativo porque pone de relieve riesgos regulatorios para Repsol.</v>
      </c>
      <c r="P4184" s="30">
        <v>-0.7</v>
      </c>
      <c r="Q4184" s="18" t="str">
        <f>IFERROR(__xludf.DUMMYFUNCTION("GOOGLETRANSLATE(R4184,""ES"",""EN"")"),"threat")</f>
        <v>threat</v>
      </c>
      <c r="R4184" s="34" t="s">
        <v>27945</v>
      </c>
      <c r="S4184" s="52" t="s">
        <v>29943</v>
      </c>
      <c r="T4184" s="22" t="s">
        <v>29944</v>
      </c>
    </row>
    <row r="4185">
      <c r="A4185" s="23" t="s">
        <v>29945</v>
      </c>
      <c r="B4185" s="77" t="s">
        <v>1005</v>
      </c>
      <c r="C4185" s="96">
        <v>45603.0</v>
      </c>
      <c r="D4185" s="40" t="s">
        <v>29946</v>
      </c>
      <c r="E4185" s="97" t="s">
        <v>29947</v>
      </c>
      <c r="F4185" s="98" t="s">
        <v>29948</v>
      </c>
      <c r="G4185" s="98" t="s">
        <v>29949</v>
      </c>
      <c r="H4185" s="51" t="s">
        <v>29816</v>
      </c>
      <c r="I4185" s="25" t="str">
        <f>IFERROR(__xludf.DUMMYFUNCTION("GOOGLETRANSLATE(H4185,""EN"",""ES"")"),"Disputas laborales")</f>
        <v>Disputas laborales</v>
      </c>
      <c r="J4185" s="26" t="s">
        <v>35</v>
      </c>
      <c r="K4185" s="48">
        <v>-0.5</v>
      </c>
      <c r="L4185" s="49" t="s">
        <v>29832</v>
      </c>
      <c r="M4185" s="28" t="s">
        <v>29833</v>
      </c>
      <c r="N4185" s="93" t="s">
        <v>29950</v>
      </c>
      <c r="O4185" s="93" t="str">
        <f>IFERROR(__xludf.DUMMYFUNCTION("GOOGLETRANSLATE(N4185,""EN"",""ES"")"),"Negativo, ya que muestra que las tensiones laborales siguen sin resolverse.")</f>
        <v>Negativo, ya que muestra que las tensiones laborales siguen sin resolverse.</v>
      </c>
      <c r="P4185" s="30">
        <v>-0.6</v>
      </c>
      <c r="Q4185" s="31" t="str">
        <f>IFERROR(__xludf.DUMMYFUNCTION("GOOGLETRANSLATE(R4185,""ES"",""EN"")"),"strike")</f>
        <v>strike</v>
      </c>
      <c r="R4185" s="28" t="s">
        <v>21133</v>
      </c>
      <c r="S4185" s="53" t="s">
        <v>29951</v>
      </c>
      <c r="T4185" s="32" t="s">
        <v>26495</v>
      </c>
    </row>
    <row r="4186">
      <c r="A4186" s="33" t="s">
        <v>29952</v>
      </c>
      <c r="B4186" s="76" t="s">
        <v>558</v>
      </c>
      <c r="C4186" s="99">
        <v>45603.0</v>
      </c>
      <c r="D4186" s="40" t="s">
        <v>29953</v>
      </c>
      <c r="E4186" s="100" t="s">
        <v>29954</v>
      </c>
      <c r="F4186" s="101" t="s">
        <v>29955</v>
      </c>
      <c r="G4186" s="101" t="s">
        <v>29956</v>
      </c>
      <c r="H4186" s="51" t="s">
        <v>29271</v>
      </c>
      <c r="I4186" s="15" t="str">
        <f>IFERROR(__xludf.DUMMYFUNCTION("GOOGLETRANSLATE(H4186,""EN"",""ES"")"),"mercado de valores")</f>
        <v>mercado de valores</v>
      </c>
      <c r="J4186" s="16" t="s">
        <v>35</v>
      </c>
      <c r="K4186" s="48">
        <v>-0.3</v>
      </c>
      <c r="L4186" s="51" t="s">
        <v>29957</v>
      </c>
      <c r="M4186" s="34" t="s">
        <v>29958</v>
      </c>
      <c r="N4186" s="94" t="s">
        <v>29959</v>
      </c>
      <c r="O4186" s="94" t="str">
        <f>IFERROR(__xludf.DUMMYFUNCTION("GOOGLETRANSLATE(N4186,""EN"",""ES"")"),"Ligeramente negativo ya que indica preocupaciones de los inversores.")</f>
        <v>Ligeramente negativo ya que indica preocupaciones de los inversores.</v>
      </c>
      <c r="P4186" s="30">
        <v>-0.4</v>
      </c>
      <c r="Q4186" s="18" t="str">
        <f>IFERROR(__xludf.DUMMYFUNCTION("GOOGLETRANSLATE(R4186,""ES"",""EN"")"),"bassists")</f>
        <v>bassists</v>
      </c>
      <c r="R4186" s="34" t="s">
        <v>29915</v>
      </c>
      <c r="S4186" s="52" t="s">
        <v>29960</v>
      </c>
      <c r="T4186" s="22" t="s">
        <v>29961</v>
      </c>
    </row>
    <row r="4187">
      <c r="A4187" s="23" t="s">
        <v>29962</v>
      </c>
      <c r="B4187" s="77" t="s">
        <v>1831</v>
      </c>
      <c r="C4187" s="96">
        <v>45603.0</v>
      </c>
      <c r="D4187" s="40" t="s">
        <v>29963</v>
      </c>
      <c r="E4187" s="97" t="s">
        <v>29964</v>
      </c>
      <c r="F4187" s="98" t="s">
        <v>29965</v>
      </c>
      <c r="G4187" s="98" t="s">
        <v>29966</v>
      </c>
      <c r="H4187" s="51" t="s">
        <v>1975</v>
      </c>
      <c r="I4187" s="25" t="str">
        <f>IFERROR(__xludf.DUMMYFUNCTION("GOOGLETRANSLATE(H4187,""EN"",""ES"")"),"Política")</f>
        <v>Política</v>
      </c>
      <c r="J4187" s="26" t="s">
        <v>27</v>
      </c>
      <c r="K4187" s="17">
        <v>0.0</v>
      </c>
      <c r="L4187" s="54"/>
      <c r="M4187" s="31"/>
      <c r="N4187" s="93"/>
      <c r="O4187" s="93"/>
      <c r="P4187" s="20">
        <v>0.0</v>
      </c>
      <c r="Q4187" s="31"/>
      <c r="R4187" s="31"/>
      <c r="S4187" s="53"/>
      <c r="T4187" s="32"/>
    </row>
    <row r="4188">
      <c r="A4188" s="33" t="s">
        <v>29967</v>
      </c>
      <c r="B4188" s="76" t="s">
        <v>4849</v>
      </c>
      <c r="C4188" s="99">
        <v>45603.0</v>
      </c>
      <c r="D4188" s="40" t="s">
        <v>29968</v>
      </c>
      <c r="E4188" s="100" t="s">
        <v>29969</v>
      </c>
      <c r="F4188" s="101" t="s">
        <v>29970</v>
      </c>
      <c r="G4188" s="101" t="s">
        <v>29971</v>
      </c>
      <c r="H4188" s="51" t="s">
        <v>148</v>
      </c>
      <c r="I4188" s="15" t="str">
        <f>IFERROR(__xludf.DUMMYFUNCTION("GOOGLETRANSLATE(H4188,""EN"",""ES"")"),"Gastronomía")</f>
        <v>Gastronomía</v>
      </c>
      <c r="J4188" s="16" t="s">
        <v>27</v>
      </c>
      <c r="K4188" s="17">
        <v>0.0</v>
      </c>
      <c r="L4188" s="45"/>
      <c r="M4188" s="18"/>
      <c r="N4188" s="94"/>
      <c r="O4188" s="94"/>
      <c r="P4188" s="20">
        <v>0.0</v>
      </c>
      <c r="Q4188" s="18"/>
      <c r="R4188" s="18"/>
      <c r="S4188" s="52"/>
      <c r="T4188" s="22"/>
    </row>
    <row r="4189">
      <c r="A4189" s="23" t="s">
        <v>29972</v>
      </c>
      <c r="B4189" s="77" t="s">
        <v>85</v>
      </c>
      <c r="C4189" s="96">
        <v>45603.0</v>
      </c>
      <c r="D4189" s="40" t="s">
        <v>29973</v>
      </c>
      <c r="E4189" s="97" t="s">
        <v>29974</v>
      </c>
      <c r="F4189" s="98" t="s">
        <v>29975</v>
      </c>
      <c r="G4189" s="98" t="s">
        <v>29976</v>
      </c>
      <c r="H4189" s="51" t="s">
        <v>29939</v>
      </c>
      <c r="I4189" s="25" t="str">
        <f>IFERROR(__xludf.DUMMYFUNCTION("GOOGLETRANSLATE(H4189,""EN"",""ES"")"),"Política y energía")</f>
        <v>Política y energía</v>
      </c>
      <c r="J4189" s="26" t="s">
        <v>35</v>
      </c>
      <c r="K4189" s="48">
        <v>-0.5</v>
      </c>
      <c r="L4189" s="49" t="s">
        <v>29977</v>
      </c>
      <c r="M4189" s="28" t="s">
        <v>29978</v>
      </c>
      <c r="N4189" s="93" t="s">
        <v>29979</v>
      </c>
      <c r="O4189" s="93" t="str">
        <f>IFERROR(__xludf.DUMMYFUNCTION("GOOGLETRANSLATE(N4189,""EN"",""ES"")"),"Negativo porque sugiere riesgos políticos para Repsol.")</f>
        <v>Negativo porque sugiere riesgos políticos para Repsol.</v>
      </c>
      <c r="P4189" s="30">
        <v>-0.6</v>
      </c>
      <c r="Q4189" s="31" t="str">
        <f>IFERROR(__xludf.DUMMYFUNCTION("GOOGLETRANSLATE(R4189,""ES"",""EN"")"),"threaten")</f>
        <v>threaten</v>
      </c>
      <c r="R4189" s="28" t="s">
        <v>29980</v>
      </c>
      <c r="S4189" s="53" t="s">
        <v>29981</v>
      </c>
      <c r="T4189" s="32" t="s">
        <v>29982</v>
      </c>
    </row>
    <row r="4190">
      <c r="A4190" s="33" t="s">
        <v>29983</v>
      </c>
      <c r="B4190" s="76" t="s">
        <v>1005</v>
      </c>
      <c r="C4190" s="99">
        <v>45603.0</v>
      </c>
      <c r="D4190" s="40" t="s">
        <v>29984</v>
      </c>
      <c r="E4190" s="100" t="s">
        <v>29985</v>
      </c>
      <c r="F4190" s="101" t="s">
        <v>29986</v>
      </c>
      <c r="G4190" s="101" t="s">
        <v>29987</v>
      </c>
      <c r="H4190" s="51" t="s">
        <v>148</v>
      </c>
      <c r="I4190" s="15" t="str">
        <f>IFERROR(__xludf.DUMMYFUNCTION("GOOGLETRANSLATE(H4190,""EN"",""ES"")"),"Gastronomía")</f>
        <v>Gastronomía</v>
      </c>
      <c r="J4190" s="16" t="s">
        <v>27</v>
      </c>
      <c r="K4190" s="17">
        <v>0.0</v>
      </c>
      <c r="L4190" s="45"/>
      <c r="M4190" s="18"/>
      <c r="N4190" s="94"/>
      <c r="O4190" s="94"/>
      <c r="P4190" s="20">
        <v>0.0</v>
      </c>
      <c r="Q4190" s="18"/>
      <c r="R4190" s="18"/>
      <c r="S4190" s="52"/>
      <c r="T4190" s="22"/>
    </row>
    <row r="4191">
      <c r="A4191" s="23" t="s">
        <v>29988</v>
      </c>
      <c r="B4191" s="77" t="s">
        <v>5525</v>
      </c>
      <c r="C4191" s="96">
        <v>45604.0</v>
      </c>
      <c r="D4191" s="40" t="s">
        <v>29989</v>
      </c>
      <c r="E4191" s="97" t="s">
        <v>29990</v>
      </c>
      <c r="F4191" s="98" t="s">
        <v>29991</v>
      </c>
      <c r="G4191" s="98" t="s">
        <v>29992</v>
      </c>
      <c r="H4191" s="51" t="s">
        <v>29271</v>
      </c>
      <c r="I4191" s="25" t="str">
        <f>IFERROR(__xludf.DUMMYFUNCTION("GOOGLETRANSLATE(H4191,""EN"",""ES"")"),"mercado de valores")</f>
        <v>mercado de valores</v>
      </c>
      <c r="J4191" s="26" t="s">
        <v>35</v>
      </c>
      <c r="K4191" s="48">
        <v>-0.3</v>
      </c>
      <c r="L4191" s="49" t="s">
        <v>29912</v>
      </c>
      <c r="M4191" s="28" t="s">
        <v>29913</v>
      </c>
      <c r="N4191" s="93" t="s">
        <v>29993</v>
      </c>
      <c r="O4191" s="93" t="str">
        <f>IFERROR(__xludf.DUMMYFUNCTION("GOOGLETRANSLATE(N4191,""EN"",""ES"")"),"Ligeramente negativo ya que indica escepticismo del mercado.")</f>
        <v>Ligeramente negativo ya que indica escepticismo del mercado.</v>
      </c>
      <c r="P4191" s="30">
        <v>-0.5</v>
      </c>
      <c r="Q4191" s="31" t="str">
        <f>IFERROR(__xludf.DUMMYFUNCTION("GOOGLETRANSLATE(R4191,""ES"",""EN"")"),"bassists")</f>
        <v>bassists</v>
      </c>
      <c r="R4191" s="28" t="s">
        <v>29915</v>
      </c>
      <c r="S4191" s="53" t="s">
        <v>29994</v>
      </c>
      <c r="T4191" s="32" t="s">
        <v>29995</v>
      </c>
    </row>
    <row r="4192">
      <c r="A4192" s="33" t="s">
        <v>29996</v>
      </c>
      <c r="B4192" s="76" t="s">
        <v>3320</v>
      </c>
      <c r="C4192" s="99">
        <v>45604.0</v>
      </c>
      <c r="D4192" s="40" t="s">
        <v>29997</v>
      </c>
      <c r="E4192" s="100" t="s">
        <v>29998</v>
      </c>
      <c r="F4192" s="101" t="s">
        <v>29999</v>
      </c>
      <c r="G4192" s="101" t="s">
        <v>30000</v>
      </c>
      <c r="H4192" s="51" t="s">
        <v>1975</v>
      </c>
      <c r="I4192" s="15" t="str">
        <f>IFERROR(__xludf.DUMMYFUNCTION("GOOGLETRANSLATE(H4192,""EN"",""ES"")"),"Política")</f>
        <v>Política</v>
      </c>
      <c r="J4192" s="16" t="s">
        <v>27</v>
      </c>
      <c r="K4192" s="17">
        <v>0.0</v>
      </c>
      <c r="L4192" s="45"/>
      <c r="M4192" s="18"/>
      <c r="N4192" s="94"/>
      <c r="O4192" s="94"/>
      <c r="P4192" s="20">
        <v>0.0</v>
      </c>
      <c r="Q4192" s="18"/>
      <c r="R4192" s="18"/>
      <c r="S4192" s="52"/>
      <c r="T4192" s="22"/>
    </row>
    <row r="4193">
      <c r="A4193" s="23" t="s">
        <v>30001</v>
      </c>
      <c r="B4193" s="77" t="s">
        <v>6759</v>
      </c>
      <c r="C4193" s="96">
        <v>45604.0</v>
      </c>
      <c r="D4193" s="40" t="s">
        <v>30002</v>
      </c>
      <c r="E4193" s="97" t="s">
        <v>30003</v>
      </c>
      <c r="F4193" s="98" t="s">
        <v>30004</v>
      </c>
      <c r="G4193" s="98" t="s">
        <v>30005</v>
      </c>
      <c r="H4193" s="51" t="s">
        <v>29686</v>
      </c>
      <c r="I4193" s="25" t="str">
        <f>IFERROR(__xludf.DUMMYFUNCTION("GOOGLETRANSLATE(H4193,""EN"",""ES"")"),"RSE")</f>
        <v>RSE</v>
      </c>
      <c r="J4193" s="26" t="s">
        <v>35</v>
      </c>
      <c r="K4193" s="48">
        <v>0.5</v>
      </c>
      <c r="L4193" s="49" t="s">
        <v>30006</v>
      </c>
      <c r="M4193" s="28" t="s">
        <v>30007</v>
      </c>
      <c r="N4193" s="93" t="s">
        <v>30008</v>
      </c>
      <c r="O4193" s="93" t="str">
        <f>IFERROR(__xludf.DUMMYFUNCTION("GOOGLETRANSLATE(N4193,""EN"",""ES"")"),"Positivo porque pone de relieve la responsabilidad social de Repsol.")</f>
        <v>Positivo porque pone de relieve la responsabilidad social de Repsol.</v>
      </c>
      <c r="P4193" s="30">
        <v>0.6</v>
      </c>
      <c r="Q4193" s="31" t="str">
        <f>IFERROR(__xludf.DUMMYFUNCTION("GOOGLETRANSLATE(R4193,""ES"",""EN"")"),"at the foot of the canyon")</f>
        <v>at the foot of the canyon</v>
      </c>
      <c r="R4193" s="28" t="s">
        <v>30009</v>
      </c>
      <c r="S4193" s="53" t="s">
        <v>30010</v>
      </c>
      <c r="T4193" s="32" t="s">
        <v>30011</v>
      </c>
    </row>
    <row r="4194">
      <c r="A4194" s="33" t="s">
        <v>30012</v>
      </c>
      <c r="B4194" s="76" t="s">
        <v>1602</v>
      </c>
      <c r="C4194" s="99">
        <v>45604.0</v>
      </c>
      <c r="D4194" s="40" t="s">
        <v>30013</v>
      </c>
      <c r="E4194" s="100" t="s">
        <v>30014</v>
      </c>
      <c r="F4194" s="101" t="s">
        <v>30015</v>
      </c>
      <c r="G4194" s="101" t="s">
        <v>30016</v>
      </c>
      <c r="H4194" s="51" t="s">
        <v>29271</v>
      </c>
      <c r="I4194" s="15" t="str">
        <f>IFERROR(__xludf.DUMMYFUNCTION("GOOGLETRANSLATE(H4194,""EN"",""ES"")"),"mercado de valores")</f>
        <v>mercado de valores</v>
      </c>
      <c r="J4194" s="16" t="s">
        <v>35</v>
      </c>
      <c r="K4194" s="48">
        <v>-0.4</v>
      </c>
      <c r="L4194" s="51" t="s">
        <v>30017</v>
      </c>
      <c r="M4194" s="34" t="s">
        <v>30018</v>
      </c>
      <c r="N4194" s="94" t="s">
        <v>30019</v>
      </c>
      <c r="O4194" s="94" t="str">
        <f>IFERROR(__xludf.DUMMYFUNCTION("GOOGLETRANSLATE(N4194,""EN"",""ES"")"),"Negativo ya que refleja inestabilidad financiera.")</f>
        <v>Negativo ya que refleja inestabilidad financiera.</v>
      </c>
      <c r="P4194" s="30">
        <v>-0.5</v>
      </c>
      <c r="Q4194" s="18" t="str">
        <f>IFERROR(__xludf.DUMMYFUNCTION("GOOGLETRANSLATE(R4194,""ES"",""EN"")"),"falls")</f>
        <v>falls</v>
      </c>
      <c r="R4194" s="34" t="s">
        <v>18351</v>
      </c>
      <c r="S4194" s="52" t="s">
        <v>29329</v>
      </c>
      <c r="T4194" s="22" t="s">
        <v>29330</v>
      </c>
    </row>
    <row r="4195">
      <c r="A4195" s="23" t="s">
        <v>30020</v>
      </c>
      <c r="B4195" s="77" t="s">
        <v>8884</v>
      </c>
      <c r="C4195" s="96">
        <v>45604.0</v>
      </c>
      <c r="D4195" s="40" t="s">
        <v>30021</v>
      </c>
      <c r="E4195" s="97" t="s">
        <v>30022</v>
      </c>
      <c r="F4195" s="98" t="s">
        <v>30023</v>
      </c>
      <c r="G4195" s="98" t="s">
        <v>30024</v>
      </c>
      <c r="H4195" s="51" t="s">
        <v>29271</v>
      </c>
      <c r="I4195" s="25" t="str">
        <f>IFERROR(__xludf.DUMMYFUNCTION("GOOGLETRANSLATE(H4195,""EN"",""ES"")"),"mercado de valores")</f>
        <v>mercado de valores</v>
      </c>
      <c r="J4195" s="26" t="s">
        <v>35</v>
      </c>
      <c r="K4195" s="48">
        <v>-0.4</v>
      </c>
      <c r="L4195" s="49" t="s">
        <v>29912</v>
      </c>
      <c r="M4195" s="28" t="s">
        <v>29913</v>
      </c>
      <c r="N4195" s="93" t="s">
        <v>30025</v>
      </c>
      <c r="O4195" s="93" t="str">
        <f>IFERROR(__xludf.DUMMYFUNCTION("GOOGLETRANSLATE(N4195,""EN"",""ES"")"),"Negativo ya que indica preocupaciones de los inversores.")</f>
        <v>Negativo ya que indica preocupaciones de los inversores.</v>
      </c>
      <c r="P4195" s="30">
        <v>-0.6</v>
      </c>
      <c r="Q4195" s="31" t="str">
        <f>IFERROR(__xludf.DUMMYFUNCTION("GOOGLETRANSLATE(R4195,""ES"",""EN"")"),"bassists, ""shorts""")</f>
        <v>bassists, "shorts"</v>
      </c>
      <c r="R4195" s="28" t="s">
        <v>30026</v>
      </c>
      <c r="S4195" s="53" t="s">
        <v>29916</v>
      </c>
      <c r="T4195" s="32" t="s">
        <v>29917</v>
      </c>
    </row>
    <row r="4196">
      <c r="A4196" s="33" t="s">
        <v>30027</v>
      </c>
      <c r="B4196" s="76" t="s">
        <v>30028</v>
      </c>
      <c r="C4196" s="99">
        <v>45604.0</v>
      </c>
      <c r="D4196" s="40" t="s">
        <v>30029</v>
      </c>
      <c r="E4196" s="100" t="s">
        <v>30030</v>
      </c>
      <c r="F4196" s="101" t="s">
        <v>30031</v>
      </c>
      <c r="G4196" s="101" t="s">
        <v>30032</v>
      </c>
      <c r="H4196" s="51" t="s">
        <v>9676</v>
      </c>
      <c r="I4196" s="15" t="str">
        <f>IFERROR(__xludf.DUMMYFUNCTION("GOOGLETRANSLATE(H4196,""EN"",""ES"")"),"Infraestructura")</f>
        <v>Infraestructura</v>
      </c>
      <c r="J4196" s="16" t="s">
        <v>35</v>
      </c>
      <c r="K4196" s="48">
        <v>0.2</v>
      </c>
      <c r="L4196" s="51" t="s">
        <v>30033</v>
      </c>
      <c r="M4196" s="34" t="s">
        <v>30034</v>
      </c>
      <c r="N4196" s="94" t="s">
        <v>30035</v>
      </c>
      <c r="O4196" s="94" t="str">
        <f>IFERROR(__xludf.DUMMYFUNCTION("GOOGLETRANSLATE(N4196,""EN"",""ES"")"),"Ligeramente positivo ya que muestra la coordinación industrial.")</f>
        <v>Ligeramente positivo ya que muestra la coordinación industrial.</v>
      </c>
      <c r="P4196" s="30">
        <v>0.0</v>
      </c>
      <c r="Q4196" s="18"/>
      <c r="R4196" s="18"/>
      <c r="S4196" s="52" t="s">
        <v>12622</v>
      </c>
      <c r="T4196" s="22" t="s">
        <v>12623</v>
      </c>
    </row>
    <row r="4197">
      <c r="A4197" s="23" t="s">
        <v>30036</v>
      </c>
      <c r="B4197" s="77" t="s">
        <v>8029</v>
      </c>
      <c r="C4197" s="96">
        <v>45604.0</v>
      </c>
      <c r="D4197" s="40" t="s">
        <v>30037</v>
      </c>
      <c r="E4197" s="97" t="s">
        <v>30038</v>
      </c>
      <c r="F4197" s="98" t="s">
        <v>30039</v>
      </c>
      <c r="G4197" s="98" t="s">
        <v>30040</v>
      </c>
      <c r="H4197" s="51" t="s">
        <v>29271</v>
      </c>
      <c r="I4197" s="25" t="str">
        <f>IFERROR(__xludf.DUMMYFUNCTION("GOOGLETRANSLATE(H4197,""EN"",""ES"")"),"mercado de valores")</f>
        <v>mercado de valores</v>
      </c>
      <c r="J4197" s="26" t="s">
        <v>35</v>
      </c>
      <c r="K4197" s="48">
        <v>0.0</v>
      </c>
      <c r="L4197" s="54"/>
      <c r="M4197" s="31"/>
      <c r="N4197" s="93" t="s">
        <v>30041</v>
      </c>
      <c r="O4197" s="93" t="str">
        <f>IFERROR(__xludf.DUMMYFUNCTION("GOOGLETRANSLATE(N4197,""EN"",""ES"")"),"Neutral ya que simplemente informa datos del mercado.")</f>
        <v>Neutral ya que simplemente informa datos del mercado.</v>
      </c>
      <c r="P4197" s="30">
        <v>0.0</v>
      </c>
      <c r="Q4197" s="31"/>
      <c r="R4197" s="31"/>
      <c r="S4197" s="53" t="s">
        <v>25933</v>
      </c>
      <c r="T4197" s="32" t="s">
        <v>25934</v>
      </c>
    </row>
    <row r="4198">
      <c r="A4198" s="33" t="s">
        <v>30042</v>
      </c>
      <c r="B4198" s="76" t="s">
        <v>85</v>
      </c>
      <c r="C4198" s="99">
        <v>45604.0</v>
      </c>
      <c r="D4198" s="40" t="s">
        <v>30043</v>
      </c>
      <c r="E4198" s="100" t="s">
        <v>30044</v>
      </c>
      <c r="F4198" s="101" t="s">
        <v>30045</v>
      </c>
      <c r="G4198" s="101" t="s">
        <v>30046</v>
      </c>
      <c r="H4198" s="51" t="s">
        <v>29532</v>
      </c>
      <c r="I4198" s="15" t="str">
        <f>IFERROR(__xludf.DUMMYFUNCTION("GOOGLETRANSLATE(H4198,""EN"",""ES"")"),"Energía renovable")</f>
        <v>Energía renovable</v>
      </c>
      <c r="J4198" s="16" t="s">
        <v>35</v>
      </c>
      <c r="K4198" s="48">
        <v>0.5</v>
      </c>
      <c r="L4198" s="51" t="s">
        <v>29882</v>
      </c>
      <c r="M4198" s="34" t="s">
        <v>29883</v>
      </c>
      <c r="N4198" s="94" t="s">
        <v>30047</v>
      </c>
      <c r="O4198" s="94" t="str">
        <f>IFERROR(__xludf.DUMMYFUNCTION("GOOGLETRANSLATE(N4198,""EN"",""ES"")"),"Positivo ya que promueve la sostenibilidad y el ahorro.")</f>
        <v>Positivo ya que promueve la sostenibilidad y el ahorro.</v>
      </c>
      <c r="P4198" s="30">
        <v>0.7</v>
      </c>
      <c r="Q4198" s="18" t="str">
        <f>IFERROR(__xludf.DUMMYFUNCTION("GOOGLETRANSLATE(R4198,""ES"",""EN"")"),"you will save, ""you will pollute less""")</f>
        <v>you will save, "you will pollute less"</v>
      </c>
      <c r="R4198" s="34" t="s">
        <v>30048</v>
      </c>
      <c r="S4198" s="52" t="s">
        <v>30049</v>
      </c>
      <c r="T4198" s="22" t="s">
        <v>30050</v>
      </c>
    </row>
    <row r="4199">
      <c r="A4199" s="23" t="s">
        <v>30051</v>
      </c>
      <c r="B4199" s="77" t="s">
        <v>6940</v>
      </c>
      <c r="C4199" s="96">
        <v>45604.0</v>
      </c>
      <c r="D4199" s="40" t="s">
        <v>30052</v>
      </c>
      <c r="E4199" s="97" t="s">
        <v>30053</v>
      </c>
      <c r="F4199" s="98" t="s">
        <v>30054</v>
      </c>
      <c r="G4199" s="98" t="s">
        <v>30055</v>
      </c>
      <c r="H4199" s="51" t="s">
        <v>30056</v>
      </c>
      <c r="I4199" s="25" t="str">
        <f>IFERROR(__xludf.DUMMYFUNCTION("GOOGLETRANSLATE(H4199,""EN"",""ES"")"),"Controversia")</f>
        <v>Controversia</v>
      </c>
      <c r="J4199" s="26" t="s">
        <v>27</v>
      </c>
      <c r="K4199" s="17">
        <v>0.0</v>
      </c>
      <c r="L4199" s="54"/>
      <c r="M4199" s="31"/>
      <c r="N4199" s="93"/>
      <c r="O4199" s="93"/>
      <c r="P4199" s="20">
        <v>0.0</v>
      </c>
      <c r="Q4199" s="31"/>
      <c r="R4199" s="31"/>
      <c r="S4199" s="53"/>
      <c r="T4199" s="32"/>
    </row>
    <row r="4200">
      <c r="A4200" s="33" t="s">
        <v>30057</v>
      </c>
      <c r="B4200" s="76" t="s">
        <v>499</v>
      </c>
      <c r="C4200" s="99">
        <v>45604.0</v>
      </c>
      <c r="D4200" s="40" t="s">
        <v>30058</v>
      </c>
      <c r="E4200" s="100" t="s">
        <v>30059</v>
      </c>
      <c r="F4200" s="101" t="s">
        <v>30060</v>
      </c>
      <c r="G4200" s="101" t="s">
        <v>30061</v>
      </c>
      <c r="H4200" s="51" t="s">
        <v>29532</v>
      </c>
      <c r="I4200" s="15" t="str">
        <f>IFERROR(__xludf.DUMMYFUNCTION("GOOGLETRANSLATE(H4200,""EN"",""ES"")"),"Energía renovable")</f>
        <v>Energía renovable</v>
      </c>
      <c r="J4200" s="16" t="s">
        <v>35</v>
      </c>
      <c r="K4200" s="48">
        <v>0.3</v>
      </c>
      <c r="L4200" s="51" t="s">
        <v>30062</v>
      </c>
      <c r="M4200" s="34" t="s">
        <v>30063</v>
      </c>
      <c r="N4200" s="94" t="s">
        <v>30064</v>
      </c>
      <c r="O4200" s="94" t="str">
        <f>IFERROR(__xludf.DUMMYFUNCTION("GOOGLETRANSLATE(N4200,""EN"",""ES"")"),"Ligeramente positivo ya que promueve la energía limpia.")</f>
        <v>Ligeramente positivo ya que promueve la energía limpia.</v>
      </c>
      <c r="P4200" s="30">
        <v>0.0</v>
      </c>
      <c r="Q4200" s="18"/>
      <c r="R4200" s="18"/>
      <c r="S4200" s="52" t="s">
        <v>30065</v>
      </c>
      <c r="T4200" s="22" t="s">
        <v>30066</v>
      </c>
    </row>
    <row r="4201">
      <c r="A4201" s="23" t="s">
        <v>30067</v>
      </c>
      <c r="B4201" s="77" t="s">
        <v>1192</v>
      </c>
      <c r="C4201" s="96">
        <v>45604.0</v>
      </c>
      <c r="D4201" s="40" t="s">
        <v>30068</v>
      </c>
      <c r="E4201" s="97" t="s">
        <v>30069</v>
      </c>
      <c r="F4201" s="98" t="s">
        <v>30070</v>
      </c>
      <c r="G4201" s="98" t="s">
        <v>30071</v>
      </c>
      <c r="H4201" s="51" t="s">
        <v>30072</v>
      </c>
      <c r="I4201" s="25" t="str">
        <f>IFERROR(__xludf.DUMMYFUNCTION("GOOGLETRANSLATE(H4201,""EN"",""ES"")"),"Política energética")</f>
        <v>Política energética</v>
      </c>
      <c r="J4201" s="26" t="s">
        <v>35</v>
      </c>
      <c r="K4201" s="48">
        <v>-0.2</v>
      </c>
      <c r="L4201" s="49" t="s">
        <v>30073</v>
      </c>
      <c r="M4201" s="28" t="s">
        <v>30074</v>
      </c>
      <c r="N4201" s="93" t="s">
        <v>30075</v>
      </c>
      <c r="O4201" s="93" t="str">
        <f>IFERROR(__xludf.DUMMYFUNCTION("GOOGLETRANSLATE(N4201,""EN"",""ES"")"),"Ligeramente negativo ya que muestra fricciones con los responsables políticos.")</f>
        <v>Ligeramente negativo ya que muestra fricciones con los responsables políticos.</v>
      </c>
      <c r="P4201" s="30">
        <v>-0.4</v>
      </c>
      <c r="Q4201" s="31" t="str">
        <f>IFERROR(__xludf.DUMMYFUNCTION("GOOGLETRANSLATE(R4201,""ES"",""EN"")"),"charge against")</f>
        <v>charge against</v>
      </c>
      <c r="R4201" s="28" t="s">
        <v>30076</v>
      </c>
      <c r="S4201" s="53" t="s">
        <v>30077</v>
      </c>
      <c r="T4201" s="32" t="s">
        <v>30078</v>
      </c>
    </row>
    <row r="4202">
      <c r="A4202" s="33" t="s">
        <v>30079</v>
      </c>
      <c r="B4202" s="76" t="s">
        <v>1011</v>
      </c>
      <c r="C4202" s="99">
        <v>45604.0</v>
      </c>
      <c r="D4202" s="40" t="s">
        <v>30080</v>
      </c>
      <c r="E4202" s="100" t="s">
        <v>30081</v>
      </c>
      <c r="F4202" s="101" t="s">
        <v>30082</v>
      </c>
      <c r="G4202" s="101" t="s">
        <v>30083</v>
      </c>
      <c r="H4202" s="51" t="s">
        <v>30084</v>
      </c>
      <c r="I4202" s="15" t="str">
        <f>IFERROR(__xludf.DUMMYFUNCTION("GOOGLETRANSLATE(H4202,""EN"",""ES"")"),"RSC y deportes")</f>
        <v>RSC y deportes</v>
      </c>
      <c r="J4202" s="16" t="s">
        <v>27</v>
      </c>
      <c r="K4202" s="17">
        <v>0.0</v>
      </c>
      <c r="L4202" s="45"/>
      <c r="M4202" s="18"/>
      <c r="N4202" s="94"/>
      <c r="O4202" s="94"/>
      <c r="P4202" s="20">
        <v>0.0</v>
      </c>
      <c r="Q4202" s="18"/>
      <c r="R4202" s="18"/>
      <c r="S4202" s="52"/>
      <c r="T4202" s="22"/>
    </row>
    <row r="4203">
      <c r="A4203" s="23" t="s">
        <v>30085</v>
      </c>
      <c r="B4203" s="77" t="s">
        <v>2384</v>
      </c>
      <c r="C4203" s="96">
        <v>45605.0</v>
      </c>
      <c r="D4203" s="40" t="s">
        <v>30086</v>
      </c>
      <c r="E4203" s="97" t="s">
        <v>30087</v>
      </c>
      <c r="F4203" s="98" t="s">
        <v>30088</v>
      </c>
      <c r="G4203" s="98" t="s">
        <v>30089</v>
      </c>
      <c r="H4203" s="51" t="s">
        <v>130</v>
      </c>
      <c r="I4203" s="25" t="str">
        <f>IFERROR(__xludf.DUMMYFUNCTION("GOOGLETRANSLATE(H4203,""EN"",""ES"")"),"Sostenibilidad")</f>
        <v>Sostenibilidad</v>
      </c>
      <c r="J4203" s="26" t="s">
        <v>35</v>
      </c>
      <c r="K4203" s="48">
        <v>0.5</v>
      </c>
      <c r="L4203" s="49" t="s">
        <v>30090</v>
      </c>
      <c r="M4203" s="28" t="s">
        <v>30091</v>
      </c>
      <c r="N4203" s="93" t="s">
        <v>30092</v>
      </c>
      <c r="O4203" s="93" t="str">
        <f>IFERROR(__xludf.DUMMYFUNCTION("GOOGLETRANSLATE(N4203,""EN"",""ES"")"),"Positivo ya que promueve la reducción de residuos.")</f>
        <v>Positivo ya que promueve la reducción de residuos.</v>
      </c>
      <c r="P4203" s="30">
        <v>0.4</v>
      </c>
      <c r="Q4203" s="31" t="str">
        <f>IFERROR(__xludf.DUMMYFUNCTION("GOOGLETRANSLATE(R4203,""ES"",""EN"")"),"circular economy")</f>
        <v>circular economy</v>
      </c>
      <c r="R4203" s="28" t="s">
        <v>30093</v>
      </c>
      <c r="S4203" s="53" t="s">
        <v>30094</v>
      </c>
      <c r="T4203" s="32" t="s">
        <v>30095</v>
      </c>
    </row>
    <row r="4204">
      <c r="A4204" s="33" t="s">
        <v>30096</v>
      </c>
      <c r="B4204" s="76" t="s">
        <v>881</v>
      </c>
      <c r="C4204" s="99">
        <v>45605.0</v>
      </c>
      <c r="D4204" s="40" t="s">
        <v>30097</v>
      </c>
      <c r="E4204" s="100" t="s">
        <v>30098</v>
      </c>
      <c r="F4204" s="101" t="s">
        <v>30099</v>
      </c>
      <c r="G4204" s="101" t="s">
        <v>30100</v>
      </c>
      <c r="H4204" s="51" t="s">
        <v>30101</v>
      </c>
      <c r="I4204" s="15" t="str">
        <f>IFERROR(__xludf.DUMMYFUNCTION("GOOGLETRANSLATE(H4204,""EN"",""ES"")"),"interés humano")</f>
        <v>interés humano</v>
      </c>
      <c r="J4204" s="16" t="s">
        <v>27</v>
      </c>
      <c r="K4204" s="17">
        <v>0.0</v>
      </c>
      <c r="L4204" s="45"/>
      <c r="M4204" s="18"/>
      <c r="N4204" s="94"/>
      <c r="O4204" s="94"/>
      <c r="P4204" s="20">
        <v>0.0</v>
      </c>
      <c r="Q4204" s="18"/>
      <c r="R4204" s="18"/>
      <c r="S4204" s="52"/>
      <c r="T4204" s="22"/>
    </row>
    <row r="4205">
      <c r="A4205" s="23" t="s">
        <v>30102</v>
      </c>
      <c r="B4205" s="77" t="s">
        <v>4634</v>
      </c>
      <c r="C4205" s="96">
        <v>45605.0</v>
      </c>
      <c r="D4205" s="40" t="s">
        <v>30103</v>
      </c>
      <c r="E4205" s="97" t="s">
        <v>30104</v>
      </c>
      <c r="F4205" s="98" t="s">
        <v>30105</v>
      </c>
      <c r="G4205" s="98" t="s">
        <v>30106</v>
      </c>
      <c r="H4205" s="51" t="s">
        <v>9676</v>
      </c>
      <c r="I4205" s="25" t="str">
        <f>IFERROR(__xludf.DUMMYFUNCTION("GOOGLETRANSLATE(H4205,""EN"",""ES"")"),"Infraestructura")</f>
        <v>Infraestructura</v>
      </c>
      <c r="J4205" s="26" t="s">
        <v>27</v>
      </c>
      <c r="K4205" s="17">
        <v>0.0</v>
      </c>
      <c r="L4205" s="54"/>
      <c r="M4205" s="31"/>
      <c r="N4205" s="93"/>
      <c r="O4205" s="93"/>
      <c r="P4205" s="20">
        <v>0.0</v>
      </c>
      <c r="Q4205" s="31"/>
      <c r="R4205" s="31"/>
      <c r="S4205" s="53"/>
      <c r="T4205" s="32"/>
    </row>
    <row r="4206">
      <c r="A4206" s="33" t="s">
        <v>30107</v>
      </c>
      <c r="B4206" s="76" t="s">
        <v>9217</v>
      </c>
      <c r="C4206" s="99">
        <v>45605.0</v>
      </c>
      <c r="D4206" s="40" t="s">
        <v>30108</v>
      </c>
      <c r="E4206" s="100" t="s">
        <v>30109</v>
      </c>
      <c r="F4206" s="101" t="s">
        <v>30110</v>
      </c>
      <c r="G4206" s="101" t="s">
        <v>30111</v>
      </c>
      <c r="H4206" s="51" t="s">
        <v>5878</v>
      </c>
      <c r="I4206" s="15" t="str">
        <f>IFERROR(__xludf.DUMMYFUNCTION("GOOGLETRANSLATE(H4206,""EN"",""ES"")"),"Entretenimiento")</f>
        <v>Entretenimiento</v>
      </c>
      <c r="J4206" s="16" t="s">
        <v>27</v>
      </c>
      <c r="K4206" s="17">
        <v>0.0</v>
      </c>
      <c r="L4206" s="45"/>
      <c r="M4206" s="18"/>
      <c r="N4206" s="94"/>
      <c r="O4206" s="94"/>
      <c r="P4206" s="20">
        <v>0.0</v>
      </c>
      <c r="Q4206" s="18"/>
      <c r="R4206" s="18"/>
      <c r="S4206" s="52"/>
      <c r="T4206" s="22"/>
    </row>
    <row r="4207">
      <c r="A4207" s="23" t="s">
        <v>30112</v>
      </c>
      <c r="B4207" s="77" t="s">
        <v>403</v>
      </c>
      <c r="C4207" s="96">
        <v>45606.0</v>
      </c>
      <c r="D4207" s="40" t="s">
        <v>30113</v>
      </c>
      <c r="E4207" s="97" t="s">
        <v>30114</v>
      </c>
      <c r="F4207" s="98" t="s">
        <v>30115</v>
      </c>
      <c r="G4207" s="98" t="s">
        <v>30116</v>
      </c>
      <c r="H4207" s="51" t="s">
        <v>29271</v>
      </c>
      <c r="I4207" s="25" t="str">
        <f>IFERROR(__xludf.DUMMYFUNCTION("GOOGLETRANSLATE(H4207,""EN"",""ES"")"),"mercado de valores")</f>
        <v>mercado de valores</v>
      </c>
      <c r="J4207" s="26" t="s">
        <v>35</v>
      </c>
      <c r="K4207" s="48">
        <v>-0.5</v>
      </c>
      <c r="L4207" s="49" t="s">
        <v>30117</v>
      </c>
      <c r="M4207" s="28" t="s">
        <v>30118</v>
      </c>
      <c r="N4207" s="93" t="s">
        <v>30119</v>
      </c>
      <c r="O4207" s="93" t="str">
        <f>IFERROR(__xludf.DUMMYFUNCTION("GOOGLETRANSLATE(N4207,""EN"",""ES"")"),"Negativo ya que muestra impacto financiero debido a eventos políticos.")</f>
        <v>Negativo ya que muestra impacto financiero debido a eventos políticos.</v>
      </c>
      <c r="P4207" s="30">
        <v>-0.3</v>
      </c>
      <c r="Q4207" s="31" t="str">
        <f>IFERROR(__xludf.DUMMYFUNCTION("GOOGLETRANSLATE(R4207,""ES"",""EN"")"),"lose")</f>
        <v>lose</v>
      </c>
      <c r="R4207" s="28" t="s">
        <v>30120</v>
      </c>
      <c r="S4207" s="53" t="s">
        <v>20794</v>
      </c>
      <c r="T4207" s="32" t="s">
        <v>20795</v>
      </c>
    </row>
    <row r="4208">
      <c r="A4208" s="33" t="s">
        <v>30121</v>
      </c>
      <c r="B4208" s="76" t="s">
        <v>5971</v>
      </c>
      <c r="C4208" s="99">
        <v>45606.0</v>
      </c>
      <c r="D4208" s="40" t="s">
        <v>30122</v>
      </c>
      <c r="E4208" s="100" t="s">
        <v>30123</v>
      </c>
      <c r="F4208" s="101" t="s">
        <v>30124</v>
      </c>
      <c r="G4208" s="101" t="s">
        <v>30125</v>
      </c>
      <c r="H4208" s="51" t="s">
        <v>148</v>
      </c>
      <c r="I4208" s="15" t="str">
        <f>IFERROR(__xludf.DUMMYFUNCTION("GOOGLETRANSLATE(H4208,""EN"",""ES"")"),"Gastronomía")</f>
        <v>Gastronomía</v>
      </c>
      <c r="J4208" s="16" t="s">
        <v>27</v>
      </c>
      <c r="K4208" s="17">
        <v>0.0</v>
      </c>
      <c r="L4208" s="45"/>
      <c r="M4208" s="18"/>
      <c r="N4208" s="94"/>
      <c r="O4208" s="94"/>
      <c r="P4208" s="20">
        <v>0.0</v>
      </c>
      <c r="Q4208" s="18"/>
      <c r="R4208" s="18"/>
      <c r="S4208" s="52"/>
      <c r="T4208" s="22"/>
    </row>
    <row r="4209">
      <c r="A4209" s="23" t="s">
        <v>30126</v>
      </c>
      <c r="B4209" s="77" t="s">
        <v>4849</v>
      </c>
      <c r="C4209" s="96">
        <v>45606.0</v>
      </c>
      <c r="D4209" s="40" t="s">
        <v>30127</v>
      </c>
      <c r="E4209" s="97" t="s">
        <v>30128</v>
      </c>
      <c r="F4209" s="98" t="s">
        <v>30129</v>
      </c>
      <c r="G4209" s="98" t="s">
        <v>30130</v>
      </c>
      <c r="H4209" s="51" t="s">
        <v>2240</v>
      </c>
      <c r="I4209" s="25" t="str">
        <f>IFERROR(__xludf.DUMMYFUNCTION("GOOGLETRANSLATE(H4209,""EN"",""ES"")"),"Industria")</f>
        <v>Industria</v>
      </c>
      <c r="J4209" s="26" t="s">
        <v>27</v>
      </c>
      <c r="K4209" s="17">
        <v>0.0</v>
      </c>
      <c r="L4209" s="54"/>
      <c r="M4209" s="31"/>
      <c r="N4209" s="93"/>
      <c r="O4209" s="93"/>
      <c r="P4209" s="20">
        <v>0.0</v>
      </c>
      <c r="Q4209" s="31"/>
      <c r="R4209" s="31"/>
      <c r="S4209" s="53"/>
      <c r="T4209" s="32"/>
    </row>
    <row r="4210">
      <c r="A4210" s="33" t="s">
        <v>30131</v>
      </c>
      <c r="B4210" s="76" t="s">
        <v>2696</v>
      </c>
      <c r="C4210" s="99">
        <v>45606.0</v>
      </c>
      <c r="D4210" s="40" t="s">
        <v>30132</v>
      </c>
      <c r="E4210" s="100" t="s">
        <v>30133</v>
      </c>
      <c r="F4210" s="101" t="s">
        <v>30134</v>
      </c>
      <c r="G4210" s="101" t="s">
        <v>30135</v>
      </c>
      <c r="H4210" s="51" t="s">
        <v>1914</v>
      </c>
      <c r="I4210" s="15" t="str">
        <f>IFERROR(__xludf.DUMMYFUNCTION("GOOGLETRANSLATE(H4210,""EN"",""ES"")"),"Política energética")</f>
        <v>Política energética</v>
      </c>
      <c r="J4210" s="16" t="s">
        <v>27</v>
      </c>
      <c r="K4210" s="17">
        <v>0.0</v>
      </c>
      <c r="L4210" s="45"/>
      <c r="M4210" s="18"/>
      <c r="N4210" s="94"/>
      <c r="O4210" s="94"/>
      <c r="P4210" s="20">
        <v>0.0</v>
      </c>
      <c r="Q4210" s="18"/>
      <c r="R4210" s="18"/>
      <c r="S4210" s="52"/>
      <c r="T4210" s="22"/>
    </row>
    <row r="4211">
      <c r="A4211" s="23" t="s">
        <v>30136</v>
      </c>
      <c r="B4211" s="77" t="s">
        <v>21</v>
      </c>
      <c r="C4211" s="96">
        <v>45607.0</v>
      </c>
      <c r="D4211" s="40" t="s">
        <v>30137</v>
      </c>
      <c r="E4211" s="97" t="s">
        <v>30138</v>
      </c>
      <c r="F4211" s="98" t="s">
        <v>30139</v>
      </c>
      <c r="G4211" s="98" t="s">
        <v>30140</v>
      </c>
      <c r="H4211" s="51" t="s">
        <v>148</v>
      </c>
      <c r="I4211" s="25" t="str">
        <f>IFERROR(__xludf.DUMMYFUNCTION("GOOGLETRANSLATE(H4211,""EN"",""ES"")"),"Gastronomía")</f>
        <v>Gastronomía</v>
      </c>
      <c r="J4211" s="26" t="s">
        <v>27</v>
      </c>
      <c r="K4211" s="17">
        <v>0.0</v>
      </c>
      <c r="L4211" s="54"/>
      <c r="M4211" s="31"/>
      <c r="N4211" s="93"/>
      <c r="O4211" s="93"/>
      <c r="P4211" s="20">
        <v>0.0</v>
      </c>
      <c r="Q4211" s="31"/>
      <c r="R4211" s="31"/>
      <c r="S4211" s="53"/>
      <c r="T4211" s="32"/>
    </row>
    <row r="4212">
      <c r="A4212" s="33" t="s">
        <v>30141</v>
      </c>
      <c r="B4212" s="76" t="s">
        <v>2498</v>
      </c>
      <c r="C4212" s="99">
        <v>45607.0</v>
      </c>
      <c r="D4212" s="40" t="s">
        <v>30142</v>
      </c>
      <c r="E4212" s="100" t="s">
        <v>30143</v>
      </c>
      <c r="F4212" s="101" t="s">
        <v>30144</v>
      </c>
      <c r="G4212" s="101" t="s">
        <v>30145</v>
      </c>
      <c r="H4212" s="51" t="s">
        <v>148</v>
      </c>
      <c r="I4212" s="15" t="str">
        <f>IFERROR(__xludf.DUMMYFUNCTION("GOOGLETRANSLATE(H4212,""EN"",""ES"")"),"Gastronomía")</f>
        <v>Gastronomía</v>
      </c>
      <c r="J4212" s="16" t="s">
        <v>27</v>
      </c>
      <c r="K4212" s="17">
        <v>0.0</v>
      </c>
      <c r="L4212" s="45"/>
      <c r="M4212" s="18"/>
      <c r="N4212" s="94"/>
      <c r="O4212" s="94"/>
      <c r="P4212" s="20">
        <v>0.0</v>
      </c>
      <c r="Q4212" s="18"/>
      <c r="R4212" s="18"/>
      <c r="S4212" s="52"/>
      <c r="T4212" s="22"/>
    </row>
    <row r="4213">
      <c r="A4213" s="23" t="s">
        <v>30146</v>
      </c>
      <c r="B4213" s="77" t="s">
        <v>30147</v>
      </c>
      <c r="C4213" s="96">
        <v>45607.0</v>
      </c>
      <c r="D4213" s="40" t="s">
        <v>30148</v>
      </c>
      <c r="E4213" s="97" t="s">
        <v>30149</v>
      </c>
      <c r="F4213" s="98" t="s">
        <v>30150</v>
      </c>
      <c r="G4213" s="98" t="s">
        <v>30151</v>
      </c>
      <c r="H4213" s="51" t="s">
        <v>148</v>
      </c>
      <c r="I4213" s="25" t="str">
        <f>IFERROR(__xludf.DUMMYFUNCTION("GOOGLETRANSLATE(H4213,""EN"",""ES"")"),"Gastronomía")</f>
        <v>Gastronomía</v>
      </c>
      <c r="J4213" s="26" t="s">
        <v>27</v>
      </c>
      <c r="K4213" s="17">
        <v>0.0</v>
      </c>
      <c r="L4213" s="54"/>
      <c r="M4213" s="31"/>
      <c r="N4213" s="93"/>
      <c r="O4213" s="93"/>
      <c r="P4213" s="20">
        <v>0.0</v>
      </c>
      <c r="Q4213" s="31"/>
      <c r="R4213" s="31"/>
      <c r="S4213" s="53"/>
      <c r="T4213" s="32"/>
    </row>
    <row r="4214">
      <c r="A4214" s="33" t="s">
        <v>30152</v>
      </c>
      <c r="B4214" s="76" t="s">
        <v>1081</v>
      </c>
      <c r="C4214" s="99">
        <v>45607.0</v>
      </c>
      <c r="D4214" s="40" t="s">
        <v>30153</v>
      </c>
      <c r="E4214" s="100" t="s">
        <v>30154</v>
      </c>
      <c r="F4214" s="101" t="s">
        <v>30155</v>
      </c>
      <c r="G4214" s="101" t="s">
        <v>30156</v>
      </c>
      <c r="H4214" s="51" t="s">
        <v>148</v>
      </c>
      <c r="I4214" s="15" t="str">
        <f>IFERROR(__xludf.DUMMYFUNCTION("GOOGLETRANSLATE(H4214,""EN"",""ES"")"),"Gastronomía")</f>
        <v>Gastronomía</v>
      </c>
      <c r="J4214" s="16" t="s">
        <v>27</v>
      </c>
      <c r="K4214" s="17">
        <v>0.0</v>
      </c>
      <c r="L4214" s="45"/>
      <c r="M4214" s="18"/>
      <c r="N4214" s="94"/>
      <c r="O4214" s="94"/>
      <c r="P4214" s="20">
        <v>0.0</v>
      </c>
      <c r="Q4214" s="18"/>
      <c r="R4214" s="18"/>
      <c r="S4214" s="52"/>
      <c r="T4214" s="22"/>
    </row>
    <row r="4215">
      <c r="A4215" s="23" t="s">
        <v>30157</v>
      </c>
      <c r="B4215" s="77" t="s">
        <v>1970</v>
      </c>
      <c r="C4215" s="96">
        <v>45607.0</v>
      </c>
      <c r="D4215" s="40" t="s">
        <v>30158</v>
      </c>
      <c r="E4215" s="97" t="s">
        <v>30159</v>
      </c>
      <c r="F4215" s="98" t="s">
        <v>30160</v>
      </c>
      <c r="G4215" s="98" t="s">
        <v>30161</v>
      </c>
      <c r="H4215" s="51" t="s">
        <v>148</v>
      </c>
      <c r="I4215" s="25" t="str">
        <f>IFERROR(__xludf.DUMMYFUNCTION("GOOGLETRANSLATE(H4215,""EN"",""ES"")"),"Gastronomía")</f>
        <v>Gastronomía</v>
      </c>
      <c r="J4215" s="26" t="s">
        <v>27</v>
      </c>
      <c r="K4215" s="17">
        <v>0.0</v>
      </c>
      <c r="L4215" s="54"/>
      <c r="M4215" s="31"/>
      <c r="N4215" s="93"/>
      <c r="O4215" s="93"/>
      <c r="P4215" s="20">
        <v>0.0</v>
      </c>
      <c r="Q4215" s="31"/>
      <c r="R4215" s="31"/>
      <c r="S4215" s="53"/>
      <c r="T4215" s="32"/>
    </row>
    <row r="4216">
      <c r="A4216" s="33" t="s">
        <v>30162</v>
      </c>
      <c r="B4216" s="76" t="s">
        <v>2230</v>
      </c>
      <c r="C4216" s="99">
        <v>45607.0</v>
      </c>
      <c r="D4216" s="40" t="s">
        <v>30163</v>
      </c>
      <c r="E4216" s="100" t="s">
        <v>30164</v>
      </c>
      <c r="F4216" s="101" t="s">
        <v>30165</v>
      </c>
      <c r="G4216" s="101" t="s">
        <v>30166</v>
      </c>
      <c r="H4216" s="51" t="s">
        <v>2591</v>
      </c>
      <c r="I4216" s="15" t="str">
        <f>IFERROR(__xludf.DUMMYFUNCTION("GOOGLETRANSLATE(H4216,""EN"",""ES"")"),"Negocio")</f>
        <v>Negocio</v>
      </c>
      <c r="J4216" s="16" t="s">
        <v>35</v>
      </c>
      <c r="K4216" s="48">
        <v>0.0</v>
      </c>
      <c r="L4216" s="45"/>
      <c r="M4216" s="18"/>
      <c r="N4216" s="94" t="s">
        <v>30167</v>
      </c>
      <c r="O4216" s="94" t="str">
        <f>IFERROR(__xludf.DUMMYFUNCTION("GOOGLETRANSLATE(N4216,""EN"",""ES"")"),"Neutral al ser una petición corporativa.")</f>
        <v>Neutral al ser una petición corporativa.</v>
      </c>
      <c r="P4216" s="30">
        <v>0.1</v>
      </c>
      <c r="Q4216" s="18" t="str">
        <f>IFERROR(__xludf.DUMMYFUNCTION("GOOGLETRANSLATE(R4216,""ES"",""EN"")"),"renew")</f>
        <v>renew</v>
      </c>
      <c r="R4216" s="34" t="s">
        <v>30168</v>
      </c>
      <c r="S4216" s="52" t="s">
        <v>30169</v>
      </c>
      <c r="T4216" s="22" t="s">
        <v>30170</v>
      </c>
    </row>
    <row r="4217">
      <c r="A4217" s="23" t="s">
        <v>30171</v>
      </c>
      <c r="B4217" s="77" t="s">
        <v>2696</v>
      </c>
      <c r="C4217" s="96">
        <v>45607.0</v>
      </c>
      <c r="D4217" s="40" t="s">
        <v>30172</v>
      </c>
      <c r="E4217" s="97" t="s">
        <v>30173</v>
      </c>
      <c r="F4217" s="98" t="s">
        <v>30174</v>
      </c>
      <c r="G4217" s="98" t="s">
        <v>30175</v>
      </c>
      <c r="H4217" s="51" t="s">
        <v>148</v>
      </c>
      <c r="I4217" s="25" t="str">
        <f>IFERROR(__xludf.DUMMYFUNCTION("GOOGLETRANSLATE(H4217,""EN"",""ES"")"),"Gastronomía")</f>
        <v>Gastronomía</v>
      </c>
      <c r="J4217" s="26" t="s">
        <v>27</v>
      </c>
      <c r="K4217" s="17">
        <v>0.0</v>
      </c>
      <c r="L4217" s="54"/>
      <c r="M4217" s="31"/>
      <c r="N4217" s="93"/>
      <c r="O4217" s="93"/>
      <c r="P4217" s="20">
        <v>0.0</v>
      </c>
      <c r="Q4217" s="31"/>
      <c r="R4217" s="31"/>
      <c r="S4217" s="53"/>
      <c r="T4217" s="32"/>
    </row>
    <row r="4218">
      <c r="A4218" s="33" t="s">
        <v>30176</v>
      </c>
      <c r="B4218" s="76" t="s">
        <v>6567</v>
      </c>
      <c r="C4218" s="99">
        <v>45607.0</v>
      </c>
      <c r="D4218" s="40" t="s">
        <v>30177</v>
      </c>
      <c r="E4218" s="100" t="s">
        <v>30178</v>
      </c>
      <c r="F4218" s="101" t="s">
        <v>30179</v>
      </c>
      <c r="G4218" s="101" t="s">
        <v>30180</v>
      </c>
      <c r="H4218" s="51" t="s">
        <v>148</v>
      </c>
      <c r="I4218" s="15" t="str">
        <f>IFERROR(__xludf.DUMMYFUNCTION("GOOGLETRANSLATE(H4218,""EN"",""ES"")"),"Gastronomía")</f>
        <v>Gastronomía</v>
      </c>
      <c r="J4218" s="16" t="s">
        <v>27</v>
      </c>
      <c r="K4218" s="17">
        <v>0.0</v>
      </c>
      <c r="L4218" s="45"/>
      <c r="M4218" s="18"/>
      <c r="N4218" s="94"/>
      <c r="O4218" s="94"/>
      <c r="P4218" s="20">
        <v>0.0</v>
      </c>
      <c r="Q4218" s="18"/>
      <c r="R4218" s="18"/>
      <c r="S4218" s="52"/>
      <c r="T4218" s="22"/>
    </row>
    <row r="4219">
      <c r="A4219" s="23" t="s">
        <v>30181</v>
      </c>
      <c r="B4219" s="77" t="s">
        <v>6136</v>
      </c>
      <c r="C4219" s="96">
        <v>45607.0</v>
      </c>
      <c r="D4219" s="40" t="s">
        <v>30182</v>
      </c>
      <c r="E4219" s="97" t="s">
        <v>30183</v>
      </c>
      <c r="F4219" s="98" t="s">
        <v>30184</v>
      </c>
      <c r="G4219" s="98" t="s">
        <v>30185</v>
      </c>
      <c r="H4219" s="51" t="s">
        <v>148</v>
      </c>
      <c r="I4219" s="25" t="str">
        <f>IFERROR(__xludf.DUMMYFUNCTION("GOOGLETRANSLATE(H4219,""EN"",""ES"")"),"Gastronomía")</f>
        <v>Gastronomía</v>
      </c>
      <c r="J4219" s="26" t="s">
        <v>27</v>
      </c>
      <c r="K4219" s="17">
        <v>0.0</v>
      </c>
      <c r="L4219" s="54"/>
      <c r="M4219" s="31"/>
      <c r="N4219" s="93"/>
      <c r="O4219" s="93"/>
      <c r="P4219" s="20">
        <v>0.0</v>
      </c>
      <c r="Q4219" s="31"/>
      <c r="R4219" s="31"/>
      <c r="S4219" s="53"/>
      <c r="T4219" s="32"/>
    </row>
    <row r="4220">
      <c r="A4220" s="33" t="s">
        <v>30186</v>
      </c>
      <c r="B4220" s="76" t="s">
        <v>85</v>
      </c>
      <c r="C4220" s="99">
        <v>45607.0</v>
      </c>
      <c r="D4220" s="40" t="s">
        <v>30187</v>
      </c>
      <c r="E4220" s="100" t="s">
        <v>30188</v>
      </c>
      <c r="F4220" s="101" t="s">
        <v>30189</v>
      </c>
      <c r="G4220" s="101" t="s">
        <v>30190</v>
      </c>
      <c r="H4220" s="51" t="s">
        <v>148</v>
      </c>
      <c r="I4220" s="15" t="str">
        <f>IFERROR(__xludf.DUMMYFUNCTION("GOOGLETRANSLATE(H4220,""EN"",""ES"")"),"Gastronomía")</f>
        <v>Gastronomía</v>
      </c>
      <c r="J4220" s="16" t="s">
        <v>27</v>
      </c>
      <c r="K4220" s="17">
        <v>0.0</v>
      </c>
      <c r="L4220" s="45"/>
      <c r="M4220" s="18"/>
      <c r="N4220" s="94"/>
      <c r="O4220" s="94"/>
      <c r="P4220" s="20">
        <v>0.0</v>
      </c>
      <c r="Q4220" s="18"/>
      <c r="R4220" s="18"/>
      <c r="S4220" s="52"/>
      <c r="T4220" s="22"/>
    </row>
    <row r="4221">
      <c r="A4221" s="23" t="s">
        <v>30191</v>
      </c>
      <c r="B4221" s="77" t="s">
        <v>1093</v>
      </c>
      <c r="C4221" s="96">
        <v>45607.0</v>
      </c>
      <c r="D4221" s="40" t="s">
        <v>30192</v>
      </c>
      <c r="E4221" s="97" t="s">
        <v>30193</v>
      </c>
      <c r="F4221" s="98" t="s">
        <v>30194</v>
      </c>
      <c r="G4221" s="98" t="s">
        <v>30195</v>
      </c>
      <c r="H4221" s="51" t="s">
        <v>148</v>
      </c>
      <c r="I4221" s="25" t="str">
        <f>IFERROR(__xludf.DUMMYFUNCTION("GOOGLETRANSLATE(H4221,""EN"",""ES"")"),"Gastronomía")</f>
        <v>Gastronomía</v>
      </c>
      <c r="J4221" s="26" t="s">
        <v>27</v>
      </c>
      <c r="K4221" s="17">
        <v>0.0</v>
      </c>
      <c r="L4221" s="54"/>
      <c r="M4221" s="31"/>
      <c r="N4221" s="93"/>
      <c r="O4221" s="93"/>
      <c r="P4221" s="20">
        <v>0.0</v>
      </c>
      <c r="Q4221" s="31"/>
      <c r="R4221" s="31"/>
      <c r="S4221" s="53"/>
      <c r="T4221" s="32"/>
    </row>
    <row r="4222">
      <c r="A4222" s="33" t="s">
        <v>30196</v>
      </c>
      <c r="B4222" s="76" t="s">
        <v>6642</v>
      </c>
      <c r="C4222" s="99">
        <v>45607.0</v>
      </c>
      <c r="D4222" s="40" t="s">
        <v>30197</v>
      </c>
      <c r="E4222" s="100" t="s">
        <v>30198</v>
      </c>
      <c r="F4222" s="101" t="s">
        <v>30199</v>
      </c>
      <c r="G4222" s="101" t="s">
        <v>30200</v>
      </c>
      <c r="H4222" s="51" t="s">
        <v>148</v>
      </c>
      <c r="I4222" s="15" t="str">
        <f>IFERROR(__xludf.DUMMYFUNCTION("GOOGLETRANSLATE(H4222,""EN"",""ES"")"),"Gastronomía")</f>
        <v>Gastronomía</v>
      </c>
      <c r="J4222" s="16" t="s">
        <v>27</v>
      </c>
      <c r="K4222" s="17">
        <v>0.0</v>
      </c>
      <c r="L4222" s="45"/>
      <c r="M4222" s="18"/>
      <c r="N4222" s="94"/>
      <c r="O4222" s="94"/>
      <c r="P4222" s="20">
        <v>0.0</v>
      </c>
      <c r="Q4222" s="18"/>
      <c r="R4222" s="18"/>
      <c r="S4222" s="52"/>
      <c r="T4222" s="22"/>
    </row>
    <row r="4223">
      <c r="A4223" s="23" t="s">
        <v>30201</v>
      </c>
      <c r="B4223" s="77" t="s">
        <v>21</v>
      </c>
      <c r="C4223" s="96">
        <v>45607.0</v>
      </c>
      <c r="D4223" s="40" t="s">
        <v>30202</v>
      </c>
      <c r="E4223" s="97" t="s">
        <v>30203</v>
      </c>
      <c r="F4223" s="98" t="s">
        <v>30204</v>
      </c>
      <c r="G4223" s="98" t="s">
        <v>30205</v>
      </c>
      <c r="H4223" s="51" t="s">
        <v>148</v>
      </c>
      <c r="I4223" s="25" t="str">
        <f>IFERROR(__xludf.DUMMYFUNCTION("GOOGLETRANSLATE(H4223,""EN"",""ES"")"),"Gastronomía")</f>
        <v>Gastronomía</v>
      </c>
      <c r="J4223" s="26" t="s">
        <v>27</v>
      </c>
      <c r="K4223" s="17">
        <v>0.0</v>
      </c>
      <c r="L4223" s="54"/>
      <c r="M4223" s="31"/>
      <c r="N4223" s="93"/>
      <c r="O4223" s="93"/>
      <c r="P4223" s="20">
        <v>0.0</v>
      </c>
      <c r="Q4223" s="31"/>
      <c r="R4223" s="31"/>
      <c r="S4223" s="53"/>
      <c r="T4223" s="32"/>
    </row>
    <row r="4224">
      <c r="A4224" s="33" t="s">
        <v>30206</v>
      </c>
      <c r="B4224" s="76" t="s">
        <v>6614</v>
      </c>
      <c r="C4224" s="99">
        <v>45607.0</v>
      </c>
      <c r="D4224" s="40" t="s">
        <v>30207</v>
      </c>
      <c r="E4224" s="100" t="s">
        <v>30208</v>
      </c>
      <c r="F4224" s="101" t="s">
        <v>30209</v>
      </c>
      <c r="G4224" s="101" t="s">
        <v>30210</v>
      </c>
      <c r="H4224" s="51" t="s">
        <v>148</v>
      </c>
      <c r="I4224" s="15" t="str">
        <f>IFERROR(__xludf.DUMMYFUNCTION("GOOGLETRANSLATE(H4224,""EN"",""ES"")"),"Gastronomía")</f>
        <v>Gastronomía</v>
      </c>
      <c r="J4224" s="16" t="s">
        <v>27</v>
      </c>
      <c r="K4224" s="17">
        <v>0.0</v>
      </c>
      <c r="L4224" s="45"/>
      <c r="M4224" s="18"/>
      <c r="N4224" s="94"/>
      <c r="O4224" s="94"/>
      <c r="P4224" s="20">
        <v>0.0</v>
      </c>
      <c r="Q4224" s="18"/>
      <c r="R4224" s="18"/>
      <c r="S4224" s="52"/>
      <c r="T4224" s="22"/>
    </row>
    <row r="4225">
      <c r="A4225" s="23" t="s">
        <v>30211</v>
      </c>
      <c r="B4225" s="77" t="s">
        <v>6620</v>
      </c>
      <c r="C4225" s="96">
        <v>45607.0</v>
      </c>
      <c r="D4225" s="40" t="s">
        <v>30212</v>
      </c>
      <c r="E4225" s="97" t="s">
        <v>30213</v>
      </c>
      <c r="F4225" s="98" t="s">
        <v>30214</v>
      </c>
      <c r="G4225" s="98" t="s">
        <v>30215</v>
      </c>
      <c r="H4225" s="51" t="s">
        <v>148</v>
      </c>
      <c r="I4225" s="25" t="str">
        <f>IFERROR(__xludf.DUMMYFUNCTION("GOOGLETRANSLATE(H4225,""EN"",""ES"")"),"Gastronomía")</f>
        <v>Gastronomía</v>
      </c>
      <c r="J4225" s="26" t="s">
        <v>27</v>
      </c>
      <c r="K4225" s="17">
        <v>0.0</v>
      </c>
      <c r="L4225" s="54"/>
      <c r="M4225" s="31"/>
      <c r="N4225" s="93"/>
      <c r="O4225" s="93"/>
      <c r="P4225" s="20">
        <v>0.0</v>
      </c>
      <c r="Q4225" s="31"/>
      <c r="R4225" s="31"/>
      <c r="S4225" s="53"/>
      <c r="T4225" s="32"/>
    </row>
    <row r="4226">
      <c r="A4226" s="33" t="s">
        <v>30216</v>
      </c>
      <c r="B4226" s="76" t="s">
        <v>2442</v>
      </c>
      <c r="C4226" s="99">
        <v>45607.0</v>
      </c>
      <c r="D4226" s="40" t="s">
        <v>30217</v>
      </c>
      <c r="E4226" s="100" t="s">
        <v>30218</v>
      </c>
      <c r="F4226" s="101" t="s">
        <v>30219</v>
      </c>
      <c r="G4226" s="101" t="s">
        <v>30220</v>
      </c>
      <c r="H4226" s="51" t="s">
        <v>148</v>
      </c>
      <c r="I4226" s="15" t="str">
        <f>IFERROR(__xludf.DUMMYFUNCTION("GOOGLETRANSLATE(H4226,""EN"",""ES"")"),"Gastronomía")</f>
        <v>Gastronomía</v>
      </c>
      <c r="J4226" s="16" t="s">
        <v>27</v>
      </c>
      <c r="K4226" s="17">
        <v>0.0</v>
      </c>
      <c r="L4226" s="45"/>
      <c r="M4226" s="18"/>
      <c r="N4226" s="94"/>
      <c r="O4226" s="94"/>
      <c r="P4226" s="20">
        <v>0.0</v>
      </c>
      <c r="Q4226" s="18"/>
      <c r="R4226" s="18"/>
      <c r="S4226" s="52"/>
      <c r="T4226" s="22"/>
    </row>
    <row r="4227">
      <c r="A4227" s="23" t="s">
        <v>30221</v>
      </c>
      <c r="B4227" s="77" t="s">
        <v>1072</v>
      </c>
      <c r="C4227" s="96">
        <v>45607.0</v>
      </c>
      <c r="D4227" s="40" t="s">
        <v>30222</v>
      </c>
      <c r="E4227" s="97" t="s">
        <v>30223</v>
      </c>
      <c r="F4227" s="98" t="s">
        <v>30224</v>
      </c>
      <c r="G4227" s="98" t="s">
        <v>30225</v>
      </c>
      <c r="H4227" s="51" t="s">
        <v>29271</v>
      </c>
      <c r="I4227" s="25" t="str">
        <f>IFERROR(__xludf.DUMMYFUNCTION("GOOGLETRANSLATE(H4227,""EN"",""ES"")"),"mercado de valores")</f>
        <v>mercado de valores</v>
      </c>
      <c r="J4227" s="26" t="s">
        <v>35</v>
      </c>
      <c r="K4227" s="48">
        <v>-0.3</v>
      </c>
      <c r="L4227" s="49" t="s">
        <v>29912</v>
      </c>
      <c r="M4227" s="28" t="s">
        <v>29913</v>
      </c>
      <c r="N4227" s="93" t="s">
        <v>30226</v>
      </c>
      <c r="O4227" s="93" t="str">
        <f>IFERROR(__xludf.DUMMYFUNCTION("GOOGLETRANSLATE(N4227,""EN"",""ES"")"),"Ligeramente negativo ya que sugiere riesgos financieros.")</f>
        <v>Ligeramente negativo ya que sugiere riesgos financieros.</v>
      </c>
      <c r="P4227" s="30">
        <v>-0.3</v>
      </c>
      <c r="Q4227" s="31" t="str">
        <f>IFERROR(__xludf.DUMMYFUNCTION("GOOGLETRANSLATE(R4227,""ES"",""EN"")"),"playing with fire")</f>
        <v>playing with fire</v>
      </c>
      <c r="R4227" s="28" t="s">
        <v>30227</v>
      </c>
      <c r="S4227" s="53" t="s">
        <v>30228</v>
      </c>
      <c r="T4227" s="32" t="s">
        <v>30229</v>
      </c>
    </row>
    <row r="4228">
      <c r="A4228" s="33" t="s">
        <v>30230</v>
      </c>
      <c r="B4228" s="76" t="s">
        <v>6804</v>
      </c>
      <c r="C4228" s="99">
        <v>45607.0</v>
      </c>
      <c r="D4228" s="40" t="s">
        <v>30231</v>
      </c>
      <c r="E4228" s="100" t="s">
        <v>30232</v>
      </c>
      <c r="F4228" s="101" t="s">
        <v>30233</v>
      </c>
      <c r="G4228" s="101" t="s">
        <v>30234</v>
      </c>
      <c r="H4228" s="51" t="s">
        <v>148</v>
      </c>
      <c r="I4228" s="15" t="str">
        <f>IFERROR(__xludf.DUMMYFUNCTION("GOOGLETRANSLATE(H4228,""EN"",""ES"")"),"Gastronomía")</f>
        <v>Gastronomía</v>
      </c>
      <c r="J4228" s="16" t="s">
        <v>27</v>
      </c>
      <c r="K4228" s="17">
        <v>0.0</v>
      </c>
      <c r="L4228" s="45"/>
      <c r="M4228" s="18"/>
      <c r="N4228" s="94"/>
      <c r="O4228" s="94"/>
      <c r="P4228" s="20">
        <v>0.0</v>
      </c>
      <c r="Q4228" s="18"/>
      <c r="R4228" s="18"/>
      <c r="S4228" s="52"/>
      <c r="T4228" s="22"/>
    </row>
    <row r="4229">
      <c r="A4229" s="23" t="s">
        <v>30235</v>
      </c>
      <c r="B4229" s="77" t="s">
        <v>85</v>
      </c>
      <c r="C4229" s="96">
        <v>45607.0</v>
      </c>
      <c r="D4229" s="40" t="s">
        <v>30236</v>
      </c>
      <c r="E4229" s="97" t="s">
        <v>30237</v>
      </c>
      <c r="F4229" s="98" t="s">
        <v>30238</v>
      </c>
      <c r="G4229" s="98" t="s">
        <v>30239</v>
      </c>
      <c r="H4229" s="51" t="s">
        <v>148</v>
      </c>
      <c r="I4229" s="25" t="str">
        <f>IFERROR(__xludf.DUMMYFUNCTION("GOOGLETRANSLATE(H4229,""EN"",""ES"")"),"Gastronomía")</f>
        <v>Gastronomía</v>
      </c>
      <c r="J4229" s="26" t="s">
        <v>27</v>
      </c>
      <c r="K4229" s="17">
        <v>0.0</v>
      </c>
      <c r="L4229" s="54"/>
      <c r="M4229" s="31"/>
      <c r="N4229" s="93"/>
      <c r="O4229" s="93"/>
      <c r="P4229" s="20">
        <v>0.0</v>
      </c>
      <c r="Q4229" s="31"/>
      <c r="R4229" s="31"/>
      <c r="S4229" s="53"/>
      <c r="T4229" s="32"/>
    </row>
    <row r="4230">
      <c r="A4230" s="33" t="s">
        <v>30240</v>
      </c>
      <c r="B4230" s="76" t="s">
        <v>3151</v>
      </c>
      <c r="C4230" s="99">
        <v>45607.0</v>
      </c>
      <c r="D4230" s="40" t="s">
        <v>30241</v>
      </c>
      <c r="E4230" s="100" t="s">
        <v>30242</v>
      </c>
      <c r="F4230" s="101" t="s">
        <v>30243</v>
      </c>
      <c r="G4230" s="101" t="s">
        <v>30244</v>
      </c>
      <c r="H4230" s="51" t="s">
        <v>148</v>
      </c>
      <c r="I4230" s="15" t="str">
        <f>IFERROR(__xludf.DUMMYFUNCTION("GOOGLETRANSLATE(H4230,""EN"",""ES"")"),"Gastronomía")</f>
        <v>Gastronomía</v>
      </c>
      <c r="J4230" s="16" t="s">
        <v>27</v>
      </c>
      <c r="K4230" s="17">
        <v>0.0</v>
      </c>
      <c r="L4230" s="45"/>
      <c r="M4230" s="18"/>
      <c r="N4230" s="94"/>
      <c r="O4230" s="94"/>
      <c r="P4230" s="20">
        <v>0.0</v>
      </c>
      <c r="Q4230" s="18"/>
      <c r="R4230" s="18"/>
      <c r="S4230" s="52"/>
      <c r="T4230" s="22"/>
    </row>
    <row r="4231">
      <c r="A4231" s="23" t="s">
        <v>30245</v>
      </c>
      <c r="B4231" s="77" t="s">
        <v>6642</v>
      </c>
      <c r="C4231" s="96">
        <v>45607.0</v>
      </c>
      <c r="D4231" s="40" t="s">
        <v>30246</v>
      </c>
      <c r="E4231" s="97" t="s">
        <v>30247</v>
      </c>
      <c r="F4231" s="98" t="s">
        <v>30248</v>
      </c>
      <c r="G4231" s="98" t="s">
        <v>30249</v>
      </c>
      <c r="H4231" s="51" t="s">
        <v>148</v>
      </c>
      <c r="I4231" s="25" t="str">
        <f>IFERROR(__xludf.DUMMYFUNCTION("GOOGLETRANSLATE(H4231,""EN"",""ES"")"),"Gastronomía")</f>
        <v>Gastronomía</v>
      </c>
      <c r="J4231" s="26" t="s">
        <v>27</v>
      </c>
      <c r="K4231" s="17">
        <v>0.0</v>
      </c>
      <c r="L4231" s="54"/>
      <c r="M4231" s="31"/>
      <c r="N4231" s="93"/>
      <c r="O4231" s="93"/>
      <c r="P4231" s="20">
        <v>0.0</v>
      </c>
      <c r="Q4231" s="31"/>
      <c r="R4231" s="31"/>
      <c r="S4231" s="53"/>
      <c r="T4231" s="32"/>
    </row>
    <row r="4232">
      <c r="A4232" s="33" t="s">
        <v>30250</v>
      </c>
      <c r="B4232" s="76" t="s">
        <v>5508</v>
      </c>
      <c r="C4232" s="99">
        <v>45607.0</v>
      </c>
      <c r="D4232" s="40" t="s">
        <v>30251</v>
      </c>
      <c r="E4232" s="100" t="s">
        <v>30252</v>
      </c>
      <c r="F4232" s="101" t="s">
        <v>30253</v>
      </c>
      <c r="G4232" s="101" t="s">
        <v>30254</v>
      </c>
      <c r="H4232" s="51" t="s">
        <v>148</v>
      </c>
      <c r="I4232" s="15" t="str">
        <f>IFERROR(__xludf.DUMMYFUNCTION("GOOGLETRANSLATE(H4232,""EN"",""ES"")"),"Gastronomía")</f>
        <v>Gastronomía</v>
      </c>
      <c r="J4232" s="16" t="s">
        <v>27</v>
      </c>
      <c r="K4232" s="17">
        <v>0.0</v>
      </c>
      <c r="L4232" s="45"/>
      <c r="M4232" s="18"/>
      <c r="N4232" s="94"/>
      <c r="O4232" s="94"/>
      <c r="P4232" s="20">
        <v>0.0</v>
      </c>
      <c r="Q4232" s="18"/>
      <c r="R4232" s="18"/>
      <c r="S4232" s="52"/>
      <c r="T4232" s="22"/>
    </row>
    <row r="4233">
      <c r="A4233" s="23" t="s">
        <v>30255</v>
      </c>
      <c r="B4233" s="77" t="s">
        <v>6906</v>
      </c>
      <c r="C4233" s="96">
        <v>45607.0</v>
      </c>
      <c r="D4233" s="40" t="s">
        <v>30256</v>
      </c>
      <c r="E4233" s="97" t="s">
        <v>30257</v>
      </c>
      <c r="F4233" s="98" t="s">
        <v>30258</v>
      </c>
      <c r="G4233" s="98" t="s">
        <v>30259</v>
      </c>
      <c r="H4233" s="51" t="s">
        <v>148</v>
      </c>
      <c r="I4233" s="25" t="str">
        <f>IFERROR(__xludf.DUMMYFUNCTION("GOOGLETRANSLATE(H4233,""EN"",""ES"")"),"Gastronomía")</f>
        <v>Gastronomía</v>
      </c>
      <c r="J4233" s="26" t="s">
        <v>27</v>
      </c>
      <c r="K4233" s="17">
        <v>0.0</v>
      </c>
      <c r="L4233" s="54"/>
      <c r="M4233" s="31"/>
      <c r="N4233" s="93"/>
      <c r="O4233" s="93"/>
      <c r="P4233" s="20">
        <v>0.0</v>
      </c>
      <c r="Q4233" s="31"/>
      <c r="R4233" s="31"/>
      <c r="S4233" s="53"/>
      <c r="T4233" s="32"/>
    </row>
    <row r="4234">
      <c r="A4234" s="33" t="s">
        <v>30260</v>
      </c>
      <c r="B4234" s="76" t="s">
        <v>6776</v>
      </c>
      <c r="C4234" s="99">
        <v>45607.0</v>
      </c>
      <c r="D4234" s="40" t="s">
        <v>30261</v>
      </c>
      <c r="E4234" s="100" t="s">
        <v>30262</v>
      </c>
      <c r="F4234" s="101" t="s">
        <v>30263</v>
      </c>
      <c r="G4234" s="101" t="s">
        <v>30264</v>
      </c>
      <c r="H4234" s="51" t="s">
        <v>148</v>
      </c>
      <c r="I4234" s="15" t="str">
        <f>IFERROR(__xludf.DUMMYFUNCTION("GOOGLETRANSLATE(H4234,""EN"",""ES"")"),"Gastronomía")</f>
        <v>Gastronomía</v>
      </c>
      <c r="J4234" s="16" t="s">
        <v>27</v>
      </c>
      <c r="K4234" s="17">
        <v>0.0</v>
      </c>
      <c r="L4234" s="45"/>
      <c r="M4234" s="18"/>
      <c r="N4234" s="94"/>
      <c r="O4234" s="94"/>
      <c r="P4234" s="20">
        <v>0.0</v>
      </c>
      <c r="Q4234" s="18"/>
      <c r="R4234" s="18"/>
      <c r="S4234" s="52"/>
      <c r="T4234" s="22"/>
    </row>
    <row r="4235">
      <c r="A4235" s="23" t="s">
        <v>30265</v>
      </c>
      <c r="B4235" s="77" t="s">
        <v>3992</v>
      </c>
      <c r="C4235" s="96">
        <v>45607.0</v>
      </c>
      <c r="D4235" s="40" t="s">
        <v>30266</v>
      </c>
      <c r="E4235" s="97" t="s">
        <v>30267</v>
      </c>
      <c r="F4235" s="98" t="s">
        <v>30268</v>
      </c>
      <c r="G4235" s="98" t="s">
        <v>30269</v>
      </c>
      <c r="H4235" s="51" t="s">
        <v>148</v>
      </c>
      <c r="I4235" s="25" t="str">
        <f>IFERROR(__xludf.DUMMYFUNCTION("GOOGLETRANSLATE(H4235,""EN"",""ES"")"),"Gastronomía")</f>
        <v>Gastronomía</v>
      </c>
      <c r="J4235" s="26" t="s">
        <v>27</v>
      </c>
      <c r="K4235" s="17">
        <v>0.0</v>
      </c>
      <c r="L4235" s="54"/>
      <c r="M4235" s="31"/>
      <c r="N4235" s="93"/>
      <c r="O4235" s="93"/>
      <c r="P4235" s="20">
        <v>0.0</v>
      </c>
      <c r="Q4235" s="31"/>
      <c r="R4235" s="31"/>
      <c r="S4235" s="53"/>
      <c r="T4235" s="32"/>
    </row>
    <row r="4236">
      <c r="A4236" s="33" t="s">
        <v>30270</v>
      </c>
      <c r="B4236" s="76" t="s">
        <v>1577</v>
      </c>
      <c r="C4236" s="99">
        <v>45607.0</v>
      </c>
      <c r="D4236" s="40" t="s">
        <v>30271</v>
      </c>
      <c r="E4236" s="100" t="s">
        <v>30272</v>
      </c>
      <c r="F4236" s="101" t="s">
        <v>30273</v>
      </c>
      <c r="G4236" s="101" t="s">
        <v>30274</v>
      </c>
      <c r="H4236" s="51" t="s">
        <v>148</v>
      </c>
      <c r="I4236" s="15" t="str">
        <f>IFERROR(__xludf.DUMMYFUNCTION("GOOGLETRANSLATE(H4236,""EN"",""ES"")"),"Gastronomía")</f>
        <v>Gastronomía</v>
      </c>
      <c r="J4236" s="16" t="s">
        <v>27</v>
      </c>
      <c r="K4236" s="17">
        <v>0.0</v>
      </c>
      <c r="L4236" s="45"/>
      <c r="M4236" s="18"/>
      <c r="N4236" s="94"/>
      <c r="O4236" s="94"/>
      <c r="P4236" s="20">
        <v>0.0</v>
      </c>
      <c r="Q4236" s="18"/>
      <c r="R4236" s="18"/>
      <c r="S4236" s="52"/>
      <c r="T4236" s="22"/>
    </row>
    <row r="4237">
      <c r="A4237" s="23" t="s">
        <v>30275</v>
      </c>
      <c r="B4237" s="77" t="s">
        <v>6407</v>
      </c>
      <c r="C4237" s="96">
        <v>45607.0</v>
      </c>
      <c r="D4237" s="40" t="s">
        <v>30276</v>
      </c>
      <c r="E4237" s="97" t="s">
        <v>30277</v>
      </c>
      <c r="F4237" s="98" t="s">
        <v>30278</v>
      </c>
      <c r="G4237" s="98" t="s">
        <v>30279</v>
      </c>
      <c r="H4237" s="51" t="s">
        <v>148</v>
      </c>
      <c r="I4237" s="25" t="str">
        <f>IFERROR(__xludf.DUMMYFUNCTION("GOOGLETRANSLATE(H4237,""EN"",""ES"")"),"Gastronomía")</f>
        <v>Gastronomía</v>
      </c>
      <c r="J4237" s="26" t="s">
        <v>27</v>
      </c>
      <c r="K4237" s="17">
        <v>0.0</v>
      </c>
      <c r="L4237" s="54"/>
      <c r="M4237" s="31"/>
      <c r="N4237" s="93"/>
      <c r="O4237" s="93"/>
      <c r="P4237" s="20">
        <v>0.0</v>
      </c>
      <c r="Q4237" s="31"/>
      <c r="R4237" s="31"/>
      <c r="S4237" s="53"/>
      <c r="T4237" s="32"/>
    </row>
    <row r="4238">
      <c r="A4238" s="33" t="s">
        <v>30280</v>
      </c>
      <c r="B4238" s="76" t="s">
        <v>21</v>
      </c>
      <c r="C4238" s="99">
        <v>45607.0</v>
      </c>
      <c r="D4238" s="40" t="s">
        <v>30281</v>
      </c>
      <c r="E4238" s="76" t="s">
        <v>30282</v>
      </c>
      <c r="F4238" s="101" t="s">
        <v>30283</v>
      </c>
      <c r="G4238" s="101" t="s">
        <v>30284</v>
      </c>
      <c r="H4238" s="51" t="s">
        <v>148</v>
      </c>
      <c r="I4238" s="15" t="str">
        <f>IFERROR(__xludf.DUMMYFUNCTION("GOOGLETRANSLATE(H4238,""EN"",""ES"")"),"Gastronomía")</f>
        <v>Gastronomía</v>
      </c>
      <c r="J4238" s="16" t="s">
        <v>27</v>
      </c>
      <c r="K4238" s="17">
        <v>0.0</v>
      </c>
      <c r="L4238" s="45"/>
      <c r="M4238" s="18"/>
      <c r="N4238" s="94"/>
      <c r="O4238" s="94"/>
      <c r="P4238" s="20">
        <v>0.0</v>
      </c>
      <c r="Q4238" s="18"/>
      <c r="R4238" s="18"/>
      <c r="S4238" s="52"/>
      <c r="T4238" s="22"/>
    </row>
    <row r="4239">
      <c r="A4239" s="23" t="s">
        <v>30285</v>
      </c>
      <c r="B4239" s="77" t="s">
        <v>15104</v>
      </c>
      <c r="C4239" s="96">
        <v>45607.0</v>
      </c>
      <c r="D4239" s="40" t="s">
        <v>30286</v>
      </c>
      <c r="E4239" s="97" t="s">
        <v>30287</v>
      </c>
      <c r="F4239" s="98" t="s">
        <v>30288</v>
      </c>
      <c r="G4239" s="98" t="s">
        <v>30289</v>
      </c>
      <c r="H4239" s="51" t="s">
        <v>148</v>
      </c>
      <c r="I4239" s="25" t="str">
        <f>IFERROR(__xludf.DUMMYFUNCTION("GOOGLETRANSLATE(H4239,""EN"",""ES"")"),"Gastronomía")</f>
        <v>Gastronomía</v>
      </c>
      <c r="J4239" s="26" t="s">
        <v>27</v>
      </c>
      <c r="K4239" s="17">
        <v>0.0</v>
      </c>
      <c r="L4239" s="54"/>
      <c r="M4239" s="31"/>
      <c r="N4239" s="93"/>
      <c r="O4239" s="93"/>
      <c r="P4239" s="20">
        <v>0.0</v>
      </c>
      <c r="Q4239" s="31"/>
      <c r="R4239" s="31"/>
      <c r="S4239" s="53"/>
      <c r="T4239" s="32"/>
    </row>
    <row r="4240">
      <c r="A4240" s="33" t="s">
        <v>30290</v>
      </c>
      <c r="B4240" s="76" t="s">
        <v>85</v>
      </c>
      <c r="C4240" s="99">
        <v>45607.0</v>
      </c>
      <c r="D4240" s="40" t="s">
        <v>30291</v>
      </c>
      <c r="E4240" s="100" t="s">
        <v>30292</v>
      </c>
      <c r="F4240" s="101" t="s">
        <v>30293</v>
      </c>
      <c r="G4240" s="101" t="s">
        <v>30294</v>
      </c>
      <c r="H4240" s="51" t="s">
        <v>148</v>
      </c>
      <c r="I4240" s="15" t="str">
        <f>IFERROR(__xludf.DUMMYFUNCTION("GOOGLETRANSLATE(H4240,""EN"",""ES"")"),"Gastronomía")</f>
        <v>Gastronomía</v>
      </c>
      <c r="J4240" s="16" t="s">
        <v>27</v>
      </c>
      <c r="K4240" s="17">
        <v>0.0</v>
      </c>
      <c r="L4240" s="45"/>
      <c r="M4240" s="18"/>
      <c r="N4240" s="94"/>
      <c r="O4240" s="94"/>
      <c r="P4240" s="20">
        <v>0.0</v>
      </c>
      <c r="Q4240" s="18"/>
      <c r="R4240" s="18"/>
      <c r="S4240" s="52"/>
      <c r="T4240" s="22"/>
    </row>
    <row r="4241">
      <c r="A4241" s="23" t="s">
        <v>30295</v>
      </c>
      <c r="B4241" s="77" t="s">
        <v>85</v>
      </c>
      <c r="C4241" s="96">
        <v>45607.0</v>
      </c>
      <c r="D4241" s="40" t="s">
        <v>30296</v>
      </c>
      <c r="E4241" s="97" t="s">
        <v>30297</v>
      </c>
      <c r="F4241" s="98" t="s">
        <v>30298</v>
      </c>
      <c r="G4241" s="98" t="s">
        <v>30299</v>
      </c>
      <c r="H4241" s="51" t="s">
        <v>148</v>
      </c>
      <c r="I4241" s="25" t="str">
        <f>IFERROR(__xludf.DUMMYFUNCTION("GOOGLETRANSLATE(H4241,""EN"",""ES"")"),"Gastronomía")</f>
        <v>Gastronomía</v>
      </c>
      <c r="J4241" s="26" t="s">
        <v>27</v>
      </c>
      <c r="K4241" s="17">
        <v>0.0</v>
      </c>
      <c r="L4241" s="54"/>
      <c r="M4241" s="31"/>
      <c r="N4241" s="93"/>
      <c r="O4241" s="93"/>
      <c r="P4241" s="20">
        <v>0.0</v>
      </c>
      <c r="Q4241" s="31"/>
      <c r="R4241" s="31"/>
      <c r="S4241" s="53"/>
      <c r="T4241" s="32"/>
    </row>
    <row r="4242">
      <c r="A4242" s="33" t="s">
        <v>30300</v>
      </c>
      <c r="B4242" s="76" t="s">
        <v>7165</v>
      </c>
      <c r="C4242" s="99">
        <v>45607.0</v>
      </c>
      <c r="D4242" s="40" t="s">
        <v>30301</v>
      </c>
      <c r="E4242" s="100" t="s">
        <v>30302</v>
      </c>
      <c r="F4242" s="101" t="s">
        <v>30303</v>
      </c>
      <c r="G4242" s="101" t="s">
        <v>30304</v>
      </c>
      <c r="H4242" s="51" t="s">
        <v>148</v>
      </c>
      <c r="I4242" s="15" t="str">
        <f>IFERROR(__xludf.DUMMYFUNCTION("GOOGLETRANSLATE(H4242,""EN"",""ES"")"),"Gastronomía")</f>
        <v>Gastronomía</v>
      </c>
      <c r="J4242" s="16" t="s">
        <v>27</v>
      </c>
      <c r="K4242" s="17">
        <v>0.0</v>
      </c>
      <c r="L4242" s="45"/>
      <c r="M4242" s="18"/>
      <c r="N4242" s="94"/>
      <c r="O4242" s="94"/>
      <c r="P4242" s="20">
        <v>0.0</v>
      </c>
      <c r="Q4242" s="18"/>
      <c r="R4242" s="18"/>
      <c r="S4242" s="52"/>
      <c r="T4242" s="22"/>
    </row>
    <row r="4243">
      <c r="A4243" s="23" t="s">
        <v>30305</v>
      </c>
      <c r="B4243" s="77" t="s">
        <v>26200</v>
      </c>
      <c r="C4243" s="96">
        <v>45607.0</v>
      </c>
      <c r="D4243" s="40" t="s">
        <v>30306</v>
      </c>
      <c r="E4243" s="97" t="s">
        <v>30307</v>
      </c>
      <c r="F4243" s="98" t="s">
        <v>30308</v>
      </c>
      <c r="G4243" s="98" t="s">
        <v>30309</v>
      </c>
      <c r="H4243" s="51" t="s">
        <v>148</v>
      </c>
      <c r="I4243" s="25" t="str">
        <f>IFERROR(__xludf.DUMMYFUNCTION("GOOGLETRANSLATE(H4243,""EN"",""ES"")"),"Gastronomía")</f>
        <v>Gastronomía</v>
      </c>
      <c r="J4243" s="26" t="s">
        <v>27</v>
      </c>
      <c r="K4243" s="17">
        <v>0.0</v>
      </c>
      <c r="L4243" s="54"/>
      <c r="M4243" s="31"/>
      <c r="N4243" s="93"/>
      <c r="O4243" s="93"/>
      <c r="P4243" s="20">
        <v>0.0</v>
      </c>
      <c r="Q4243" s="31"/>
      <c r="R4243" s="31"/>
      <c r="S4243" s="53"/>
      <c r="T4243" s="32"/>
    </row>
    <row r="4244">
      <c r="A4244" s="33" t="s">
        <v>30310</v>
      </c>
      <c r="B4244" s="76" t="s">
        <v>9223</v>
      </c>
      <c r="C4244" s="99">
        <v>45607.0</v>
      </c>
      <c r="D4244" s="40" t="s">
        <v>30311</v>
      </c>
      <c r="E4244" s="100" t="s">
        <v>30312</v>
      </c>
      <c r="F4244" s="101" t="s">
        <v>30313</v>
      </c>
      <c r="G4244" s="101" t="s">
        <v>30314</v>
      </c>
      <c r="H4244" s="51" t="s">
        <v>148</v>
      </c>
      <c r="I4244" s="15" t="str">
        <f>IFERROR(__xludf.DUMMYFUNCTION("GOOGLETRANSLATE(H4244,""EN"",""ES"")"),"Gastronomía")</f>
        <v>Gastronomía</v>
      </c>
      <c r="J4244" s="16" t="s">
        <v>27</v>
      </c>
      <c r="K4244" s="17">
        <v>0.0</v>
      </c>
      <c r="L4244" s="45"/>
      <c r="M4244" s="18"/>
      <c r="N4244" s="94"/>
      <c r="O4244" s="94"/>
      <c r="P4244" s="20">
        <v>0.0</v>
      </c>
      <c r="Q4244" s="18"/>
      <c r="R4244" s="18"/>
      <c r="S4244" s="52"/>
      <c r="T4244" s="22"/>
    </row>
    <row r="4245">
      <c r="A4245" s="23" t="s">
        <v>30315</v>
      </c>
      <c r="B4245" s="77" t="s">
        <v>30316</v>
      </c>
      <c r="C4245" s="96">
        <v>45607.0</v>
      </c>
      <c r="D4245" s="40" t="s">
        <v>30317</v>
      </c>
      <c r="E4245" s="97" t="s">
        <v>30318</v>
      </c>
      <c r="F4245" s="98" t="s">
        <v>30319</v>
      </c>
      <c r="G4245" s="98" t="s">
        <v>30320</v>
      </c>
      <c r="H4245" s="51" t="s">
        <v>148</v>
      </c>
      <c r="I4245" s="25" t="str">
        <f>IFERROR(__xludf.DUMMYFUNCTION("GOOGLETRANSLATE(H4245,""EN"",""ES"")"),"Gastronomía")</f>
        <v>Gastronomía</v>
      </c>
      <c r="J4245" s="26" t="s">
        <v>27</v>
      </c>
      <c r="K4245" s="17">
        <v>0.0</v>
      </c>
      <c r="L4245" s="54"/>
      <c r="M4245" s="31"/>
      <c r="N4245" s="93"/>
      <c r="O4245" s="93"/>
      <c r="P4245" s="20">
        <v>0.0</v>
      </c>
      <c r="Q4245" s="31"/>
      <c r="R4245" s="31"/>
      <c r="S4245" s="53"/>
      <c r="T4245" s="32"/>
    </row>
    <row r="4246">
      <c r="A4246" s="33" t="s">
        <v>30321</v>
      </c>
      <c r="B4246" s="76" t="s">
        <v>125</v>
      </c>
      <c r="C4246" s="99">
        <v>45607.0</v>
      </c>
      <c r="D4246" s="40" t="s">
        <v>30322</v>
      </c>
      <c r="E4246" s="100" t="s">
        <v>30323</v>
      </c>
      <c r="F4246" s="101" t="s">
        <v>30324</v>
      </c>
      <c r="G4246" s="101" t="s">
        <v>30325</v>
      </c>
      <c r="H4246" s="51" t="s">
        <v>148</v>
      </c>
      <c r="I4246" s="15" t="str">
        <f>IFERROR(__xludf.DUMMYFUNCTION("GOOGLETRANSLATE(H4246,""EN"",""ES"")"),"Gastronomía")</f>
        <v>Gastronomía</v>
      </c>
      <c r="J4246" s="16" t="s">
        <v>27</v>
      </c>
      <c r="K4246" s="17">
        <v>0.0</v>
      </c>
      <c r="L4246" s="45"/>
      <c r="M4246" s="18"/>
      <c r="N4246" s="94"/>
      <c r="O4246" s="94"/>
      <c r="P4246" s="20">
        <v>0.0</v>
      </c>
      <c r="Q4246" s="18"/>
      <c r="R4246" s="18"/>
      <c r="S4246" s="52"/>
      <c r="T4246" s="22"/>
    </row>
    <row r="4247">
      <c r="A4247" s="23" t="s">
        <v>30326</v>
      </c>
      <c r="B4247" s="77" t="s">
        <v>4038</v>
      </c>
      <c r="C4247" s="96">
        <v>45607.0</v>
      </c>
      <c r="D4247" s="40" t="s">
        <v>30327</v>
      </c>
      <c r="E4247" s="97" t="s">
        <v>30328</v>
      </c>
      <c r="F4247" s="98" t="s">
        <v>30329</v>
      </c>
      <c r="G4247" s="98" t="s">
        <v>30330</v>
      </c>
      <c r="H4247" s="51" t="s">
        <v>148</v>
      </c>
      <c r="I4247" s="25" t="str">
        <f>IFERROR(__xludf.DUMMYFUNCTION("GOOGLETRANSLATE(H4247,""EN"",""ES"")"),"Gastronomía")</f>
        <v>Gastronomía</v>
      </c>
      <c r="J4247" s="26" t="s">
        <v>27</v>
      </c>
      <c r="K4247" s="17">
        <v>0.0</v>
      </c>
      <c r="L4247" s="54"/>
      <c r="M4247" s="31"/>
      <c r="N4247" s="93"/>
      <c r="O4247" s="93"/>
      <c r="P4247" s="20">
        <v>0.0</v>
      </c>
      <c r="Q4247" s="31"/>
      <c r="R4247" s="31"/>
      <c r="S4247" s="53"/>
      <c r="T4247" s="32"/>
    </row>
    <row r="4248">
      <c r="A4248" s="33" t="s">
        <v>30331</v>
      </c>
      <c r="B4248" s="76" t="s">
        <v>6648</v>
      </c>
      <c r="C4248" s="99">
        <v>45607.0</v>
      </c>
      <c r="D4248" s="40" t="s">
        <v>30332</v>
      </c>
      <c r="E4248" s="100" t="s">
        <v>30333</v>
      </c>
      <c r="F4248" s="101" t="s">
        <v>30334</v>
      </c>
      <c r="G4248" s="101" t="s">
        <v>30335</v>
      </c>
      <c r="H4248" s="51" t="s">
        <v>148</v>
      </c>
      <c r="I4248" s="15" t="str">
        <f>IFERROR(__xludf.DUMMYFUNCTION("GOOGLETRANSLATE(H4248,""EN"",""ES"")"),"Gastronomía")</f>
        <v>Gastronomía</v>
      </c>
      <c r="J4248" s="16" t="s">
        <v>27</v>
      </c>
      <c r="K4248" s="17">
        <v>0.0</v>
      </c>
      <c r="L4248" s="45"/>
      <c r="M4248" s="18"/>
      <c r="N4248" s="94"/>
      <c r="O4248" s="94"/>
      <c r="P4248" s="20">
        <v>0.0</v>
      </c>
      <c r="Q4248" s="18"/>
      <c r="R4248" s="18"/>
      <c r="S4248" s="52"/>
      <c r="T4248" s="22"/>
    </row>
    <row r="4249">
      <c r="A4249" s="23" t="s">
        <v>30336</v>
      </c>
      <c r="B4249" s="77" t="s">
        <v>85</v>
      </c>
      <c r="C4249" s="96">
        <v>45607.0</v>
      </c>
      <c r="D4249" s="40" t="s">
        <v>30337</v>
      </c>
      <c r="E4249" s="97" t="s">
        <v>30338</v>
      </c>
      <c r="F4249" s="98" t="s">
        <v>30339</v>
      </c>
      <c r="G4249" s="98" t="s">
        <v>30340</v>
      </c>
      <c r="H4249" s="51" t="s">
        <v>148</v>
      </c>
      <c r="I4249" s="25" t="str">
        <f>IFERROR(__xludf.DUMMYFUNCTION("GOOGLETRANSLATE(H4249,""EN"",""ES"")"),"Gastronomía")</f>
        <v>Gastronomía</v>
      </c>
      <c r="J4249" s="26" t="s">
        <v>27</v>
      </c>
      <c r="K4249" s="17">
        <v>0.0</v>
      </c>
      <c r="L4249" s="54"/>
      <c r="M4249" s="31"/>
      <c r="N4249" s="93"/>
      <c r="O4249" s="93"/>
      <c r="P4249" s="20">
        <v>0.0</v>
      </c>
      <c r="Q4249" s="31"/>
      <c r="R4249" s="31"/>
      <c r="S4249" s="53"/>
      <c r="T4249" s="32"/>
    </row>
    <row r="4250">
      <c r="A4250" s="33" t="s">
        <v>30341</v>
      </c>
      <c r="B4250" s="76" t="s">
        <v>21</v>
      </c>
      <c r="C4250" s="99">
        <v>45607.0</v>
      </c>
      <c r="D4250" s="40" t="s">
        <v>30342</v>
      </c>
      <c r="E4250" s="100" t="s">
        <v>30343</v>
      </c>
      <c r="F4250" s="101" t="s">
        <v>30344</v>
      </c>
      <c r="G4250" s="101" t="s">
        <v>30345</v>
      </c>
      <c r="H4250" s="51" t="s">
        <v>148</v>
      </c>
      <c r="I4250" s="15" t="str">
        <f>IFERROR(__xludf.DUMMYFUNCTION("GOOGLETRANSLATE(H4250,""EN"",""ES"")"),"Gastronomía")</f>
        <v>Gastronomía</v>
      </c>
      <c r="J4250" s="16" t="s">
        <v>27</v>
      </c>
      <c r="K4250" s="17">
        <v>0.0</v>
      </c>
      <c r="L4250" s="45"/>
      <c r="M4250" s="18"/>
      <c r="N4250" s="94"/>
      <c r="O4250" s="94"/>
      <c r="P4250" s="20">
        <v>0.0</v>
      </c>
      <c r="Q4250" s="18"/>
      <c r="R4250" s="18"/>
      <c r="S4250" s="52"/>
      <c r="T4250" s="22"/>
    </row>
    <row r="4251">
      <c r="A4251" s="23" t="s">
        <v>30346</v>
      </c>
      <c r="B4251" s="77" t="s">
        <v>21</v>
      </c>
      <c r="C4251" s="96">
        <v>45607.0</v>
      </c>
      <c r="D4251" s="40" t="s">
        <v>30342</v>
      </c>
      <c r="E4251" s="97" t="s">
        <v>30343</v>
      </c>
      <c r="F4251" s="98" t="s">
        <v>30344</v>
      </c>
      <c r="G4251" s="98" t="s">
        <v>30345</v>
      </c>
      <c r="H4251" s="51" t="s">
        <v>148</v>
      </c>
      <c r="I4251" s="25" t="str">
        <f>IFERROR(__xludf.DUMMYFUNCTION("GOOGLETRANSLATE(H4251,""EN"",""ES"")"),"Gastronomía")</f>
        <v>Gastronomía</v>
      </c>
      <c r="J4251" s="26" t="s">
        <v>27</v>
      </c>
      <c r="K4251" s="17">
        <v>0.0</v>
      </c>
      <c r="L4251" s="54"/>
      <c r="M4251" s="31"/>
      <c r="N4251" s="93"/>
      <c r="O4251" s="93"/>
      <c r="P4251" s="20">
        <v>0.0</v>
      </c>
      <c r="Q4251" s="31"/>
      <c r="R4251" s="31"/>
      <c r="S4251" s="53"/>
      <c r="T4251" s="32"/>
    </row>
    <row r="4252">
      <c r="A4252" s="33" t="s">
        <v>30347</v>
      </c>
      <c r="B4252" s="76" t="s">
        <v>43</v>
      </c>
      <c r="C4252" s="99">
        <v>45607.0</v>
      </c>
      <c r="D4252" s="40" t="s">
        <v>30348</v>
      </c>
      <c r="E4252" s="100" t="s">
        <v>30349</v>
      </c>
      <c r="F4252" s="101" t="s">
        <v>30350</v>
      </c>
      <c r="G4252" s="101" t="s">
        <v>30351</v>
      </c>
      <c r="H4252" s="51" t="s">
        <v>148</v>
      </c>
      <c r="I4252" s="15" t="str">
        <f>IFERROR(__xludf.DUMMYFUNCTION("GOOGLETRANSLATE(H4252,""EN"",""ES"")"),"Gastronomía")</f>
        <v>Gastronomía</v>
      </c>
      <c r="J4252" s="16" t="s">
        <v>27</v>
      </c>
      <c r="K4252" s="17">
        <v>0.0</v>
      </c>
      <c r="L4252" s="45"/>
      <c r="M4252" s="18"/>
      <c r="N4252" s="94"/>
      <c r="O4252" s="94"/>
      <c r="P4252" s="20">
        <v>0.0</v>
      </c>
      <c r="Q4252" s="18"/>
      <c r="R4252" s="18"/>
      <c r="S4252" s="52"/>
      <c r="T4252" s="22"/>
    </row>
    <row r="4253">
      <c r="A4253" s="23" t="s">
        <v>30352</v>
      </c>
      <c r="B4253" s="77" t="s">
        <v>1081</v>
      </c>
      <c r="C4253" s="96">
        <v>45607.0</v>
      </c>
      <c r="D4253" s="40" t="s">
        <v>30353</v>
      </c>
      <c r="E4253" s="97" t="s">
        <v>30354</v>
      </c>
      <c r="F4253" s="98" t="s">
        <v>30355</v>
      </c>
      <c r="G4253" s="98" t="s">
        <v>30356</v>
      </c>
      <c r="H4253" s="51" t="s">
        <v>148</v>
      </c>
      <c r="I4253" s="25" t="str">
        <f>IFERROR(__xludf.DUMMYFUNCTION("GOOGLETRANSLATE(H4253,""EN"",""ES"")"),"Gastronomía")</f>
        <v>Gastronomía</v>
      </c>
      <c r="J4253" s="26" t="s">
        <v>27</v>
      </c>
      <c r="K4253" s="17">
        <v>0.0</v>
      </c>
      <c r="L4253" s="54"/>
      <c r="M4253" s="31"/>
      <c r="N4253" s="93"/>
      <c r="O4253" s="93"/>
      <c r="P4253" s="20">
        <v>0.0</v>
      </c>
      <c r="Q4253" s="31"/>
      <c r="R4253" s="31"/>
      <c r="S4253" s="53"/>
      <c r="T4253" s="32"/>
    </row>
    <row r="4254">
      <c r="A4254" s="33" t="s">
        <v>30357</v>
      </c>
      <c r="B4254" s="76" t="s">
        <v>6608</v>
      </c>
      <c r="C4254" s="99">
        <v>45607.0</v>
      </c>
      <c r="D4254" s="40" t="s">
        <v>30358</v>
      </c>
      <c r="E4254" s="100" t="s">
        <v>30359</v>
      </c>
      <c r="F4254" s="101" t="s">
        <v>30360</v>
      </c>
      <c r="G4254" s="101" t="s">
        <v>30361</v>
      </c>
      <c r="H4254" s="51" t="s">
        <v>148</v>
      </c>
      <c r="I4254" s="15" t="str">
        <f>IFERROR(__xludf.DUMMYFUNCTION("GOOGLETRANSLATE(H4254,""EN"",""ES"")"),"Gastronomía")</f>
        <v>Gastronomía</v>
      </c>
      <c r="J4254" s="16" t="s">
        <v>27</v>
      </c>
      <c r="K4254" s="17">
        <v>0.0</v>
      </c>
      <c r="L4254" s="45"/>
      <c r="M4254" s="18"/>
      <c r="N4254" s="94"/>
      <c r="O4254" s="94"/>
      <c r="P4254" s="20">
        <v>0.0</v>
      </c>
      <c r="Q4254" s="18"/>
      <c r="R4254" s="18"/>
      <c r="S4254" s="52"/>
      <c r="T4254" s="22"/>
    </row>
    <row r="4255">
      <c r="A4255" s="23" t="s">
        <v>30362</v>
      </c>
      <c r="B4255" s="77" t="s">
        <v>6716</v>
      </c>
      <c r="C4255" s="96">
        <v>45607.0</v>
      </c>
      <c r="D4255" s="40" t="s">
        <v>30363</v>
      </c>
      <c r="E4255" s="97" t="s">
        <v>30364</v>
      </c>
      <c r="F4255" s="98" t="s">
        <v>30365</v>
      </c>
      <c r="G4255" s="98" t="s">
        <v>30366</v>
      </c>
      <c r="H4255" s="51" t="s">
        <v>148</v>
      </c>
      <c r="I4255" s="25" t="str">
        <f>IFERROR(__xludf.DUMMYFUNCTION("GOOGLETRANSLATE(H4255,""EN"",""ES"")"),"Gastronomía")</f>
        <v>Gastronomía</v>
      </c>
      <c r="J4255" s="26" t="s">
        <v>27</v>
      </c>
      <c r="K4255" s="17">
        <v>0.0</v>
      </c>
      <c r="L4255" s="54"/>
      <c r="M4255" s="31"/>
      <c r="N4255" s="93"/>
      <c r="O4255" s="93"/>
      <c r="P4255" s="20">
        <v>0.0</v>
      </c>
      <c r="Q4255" s="31"/>
      <c r="R4255" s="31"/>
      <c r="S4255" s="53"/>
      <c r="T4255" s="32"/>
    </row>
    <row r="4256">
      <c r="A4256" s="33" t="s">
        <v>30367</v>
      </c>
      <c r="B4256" s="76" t="s">
        <v>7295</v>
      </c>
      <c r="C4256" s="99">
        <v>45607.0</v>
      </c>
      <c r="D4256" s="40" t="s">
        <v>30368</v>
      </c>
      <c r="E4256" s="100" t="s">
        <v>30369</v>
      </c>
      <c r="F4256" s="101" t="s">
        <v>30370</v>
      </c>
      <c r="G4256" s="101" t="s">
        <v>30371</v>
      </c>
      <c r="H4256" s="51" t="s">
        <v>148</v>
      </c>
      <c r="I4256" s="15" t="str">
        <f>IFERROR(__xludf.DUMMYFUNCTION("GOOGLETRANSLATE(H4256,""EN"",""ES"")"),"Gastronomía")</f>
        <v>Gastronomía</v>
      </c>
      <c r="J4256" s="16" t="s">
        <v>27</v>
      </c>
      <c r="K4256" s="17">
        <v>0.0</v>
      </c>
      <c r="L4256" s="45"/>
      <c r="M4256" s="18"/>
      <c r="N4256" s="94"/>
      <c r="O4256" s="94"/>
      <c r="P4256" s="20">
        <v>0.0</v>
      </c>
      <c r="Q4256" s="18"/>
      <c r="R4256" s="18"/>
      <c r="S4256" s="52"/>
      <c r="T4256" s="22"/>
    </row>
    <row r="4257">
      <c r="A4257" s="23" t="s">
        <v>30372</v>
      </c>
      <c r="B4257" s="77" t="s">
        <v>21</v>
      </c>
      <c r="C4257" s="96">
        <v>45607.0</v>
      </c>
      <c r="D4257" s="40" t="s">
        <v>30373</v>
      </c>
      <c r="E4257" s="97" t="s">
        <v>30374</v>
      </c>
      <c r="F4257" s="98" t="s">
        <v>30375</v>
      </c>
      <c r="G4257" s="98" t="s">
        <v>30376</v>
      </c>
      <c r="H4257" s="51" t="s">
        <v>148</v>
      </c>
      <c r="I4257" s="25" t="str">
        <f>IFERROR(__xludf.DUMMYFUNCTION("GOOGLETRANSLATE(H4257,""EN"",""ES"")"),"Gastronomía")</f>
        <v>Gastronomía</v>
      </c>
      <c r="J4257" s="26" t="s">
        <v>27</v>
      </c>
      <c r="K4257" s="17">
        <v>0.0</v>
      </c>
      <c r="L4257" s="54"/>
      <c r="M4257" s="31"/>
      <c r="N4257" s="93"/>
      <c r="O4257" s="93"/>
      <c r="P4257" s="20">
        <v>0.0</v>
      </c>
      <c r="Q4257" s="31"/>
      <c r="R4257" s="31"/>
      <c r="S4257" s="53"/>
      <c r="T4257" s="32"/>
    </row>
    <row r="4258">
      <c r="A4258" s="33" t="s">
        <v>30377</v>
      </c>
      <c r="B4258" s="76" t="s">
        <v>16403</v>
      </c>
      <c r="C4258" s="99">
        <v>45607.0</v>
      </c>
      <c r="D4258" s="40" t="s">
        <v>30378</v>
      </c>
      <c r="E4258" s="100" t="s">
        <v>30379</v>
      </c>
      <c r="F4258" s="101" t="s">
        <v>30380</v>
      </c>
      <c r="G4258" s="101" t="s">
        <v>30381</v>
      </c>
      <c r="H4258" s="51" t="s">
        <v>148</v>
      </c>
      <c r="I4258" s="15" t="str">
        <f>IFERROR(__xludf.DUMMYFUNCTION("GOOGLETRANSLATE(H4258,""EN"",""ES"")"),"Gastronomía")</f>
        <v>Gastronomía</v>
      </c>
      <c r="J4258" s="16" t="s">
        <v>27</v>
      </c>
      <c r="K4258" s="17">
        <v>0.0</v>
      </c>
      <c r="L4258" s="45"/>
      <c r="M4258" s="18"/>
      <c r="N4258" s="94"/>
      <c r="O4258" s="94"/>
      <c r="P4258" s="20">
        <v>0.0</v>
      </c>
      <c r="Q4258" s="18"/>
      <c r="R4258" s="18"/>
      <c r="S4258" s="52"/>
      <c r="T4258" s="22"/>
    </row>
    <row r="4259">
      <c r="A4259" s="23" t="s">
        <v>30382</v>
      </c>
      <c r="B4259" s="77" t="s">
        <v>2944</v>
      </c>
      <c r="C4259" s="96">
        <v>45607.0</v>
      </c>
      <c r="D4259" s="40" t="s">
        <v>30383</v>
      </c>
      <c r="E4259" s="97" t="s">
        <v>30384</v>
      </c>
      <c r="F4259" s="98" t="s">
        <v>30385</v>
      </c>
      <c r="G4259" s="98" t="s">
        <v>30386</v>
      </c>
      <c r="H4259" s="51" t="s">
        <v>148</v>
      </c>
      <c r="I4259" s="25" t="str">
        <f>IFERROR(__xludf.DUMMYFUNCTION("GOOGLETRANSLATE(H4259,""EN"",""ES"")"),"Gastronomía")</f>
        <v>Gastronomía</v>
      </c>
      <c r="J4259" s="26" t="s">
        <v>27</v>
      </c>
      <c r="K4259" s="17">
        <v>0.0</v>
      </c>
      <c r="L4259" s="54"/>
      <c r="M4259" s="31"/>
      <c r="N4259" s="93"/>
      <c r="O4259" s="93"/>
      <c r="P4259" s="20">
        <v>0.0</v>
      </c>
      <c r="Q4259" s="31"/>
      <c r="R4259" s="31"/>
      <c r="S4259" s="53"/>
      <c r="T4259" s="32"/>
    </row>
    <row r="4260">
      <c r="A4260" s="33" t="s">
        <v>30387</v>
      </c>
      <c r="B4260" s="76" t="s">
        <v>6753</v>
      </c>
      <c r="C4260" s="99">
        <v>45607.0</v>
      </c>
      <c r="D4260" s="40" t="s">
        <v>30388</v>
      </c>
      <c r="E4260" s="100" t="s">
        <v>30388</v>
      </c>
      <c r="F4260" s="101" t="s">
        <v>30389</v>
      </c>
      <c r="G4260" s="101" t="s">
        <v>30389</v>
      </c>
      <c r="H4260" s="51" t="s">
        <v>148</v>
      </c>
      <c r="I4260" s="15" t="str">
        <f>IFERROR(__xludf.DUMMYFUNCTION("GOOGLETRANSLATE(H4260,""EN"",""ES"")"),"Gastronomía")</f>
        <v>Gastronomía</v>
      </c>
      <c r="J4260" s="16" t="s">
        <v>27</v>
      </c>
      <c r="K4260" s="17">
        <v>0.0</v>
      </c>
      <c r="L4260" s="45"/>
      <c r="M4260" s="18"/>
      <c r="N4260" s="94"/>
      <c r="O4260" s="94"/>
      <c r="P4260" s="20">
        <v>0.0</v>
      </c>
      <c r="Q4260" s="18"/>
      <c r="R4260" s="18"/>
      <c r="S4260" s="52"/>
      <c r="T4260" s="22"/>
    </row>
    <row r="4261">
      <c r="A4261" s="23" t="s">
        <v>30390</v>
      </c>
      <c r="B4261" s="77" t="s">
        <v>6940</v>
      </c>
      <c r="C4261" s="96">
        <v>45607.0</v>
      </c>
      <c r="D4261" s="40" t="s">
        <v>30391</v>
      </c>
      <c r="E4261" s="97" t="s">
        <v>30392</v>
      </c>
      <c r="F4261" s="98" t="s">
        <v>30393</v>
      </c>
      <c r="G4261" s="98" t="s">
        <v>30394</v>
      </c>
      <c r="H4261" s="51" t="s">
        <v>148</v>
      </c>
      <c r="I4261" s="25" t="str">
        <f>IFERROR(__xludf.DUMMYFUNCTION("GOOGLETRANSLATE(H4261,""EN"",""ES"")"),"Gastronomía")</f>
        <v>Gastronomía</v>
      </c>
      <c r="J4261" s="26" t="s">
        <v>27</v>
      </c>
      <c r="K4261" s="17">
        <v>0.0</v>
      </c>
      <c r="L4261" s="54"/>
      <c r="M4261" s="31"/>
      <c r="N4261" s="93"/>
      <c r="O4261" s="93"/>
      <c r="P4261" s="20">
        <v>0.0</v>
      </c>
      <c r="Q4261" s="31"/>
      <c r="R4261" s="31"/>
      <c r="S4261" s="53"/>
      <c r="T4261" s="32"/>
    </row>
    <row r="4262">
      <c r="A4262" s="33" t="s">
        <v>30395</v>
      </c>
      <c r="B4262" s="76" t="s">
        <v>431</v>
      </c>
      <c r="C4262" s="99">
        <v>45607.0</v>
      </c>
      <c r="D4262" s="40" t="s">
        <v>30396</v>
      </c>
      <c r="E4262" s="100" t="s">
        <v>30397</v>
      </c>
      <c r="F4262" s="101" t="s">
        <v>30398</v>
      </c>
      <c r="G4262" s="101" t="s">
        <v>30399</v>
      </c>
      <c r="H4262" s="51" t="s">
        <v>148</v>
      </c>
      <c r="I4262" s="15" t="str">
        <f>IFERROR(__xludf.DUMMYFUNCTION("GOOGLETRANSLATE(H4262,""EN"",""ES"")"),"Gastronomía")</f>
        <v>Gastronomía</v>
      </c>
      <c r="J4262" s="16" t="s">
        <v>27</v>
      </c>
      <c r="K4262" s="17">
        <v>0.0</v>
      </c>
      <c r="L4262" s="45"/>
      <c r="M4262" s="18"/>
      <c r="N4262" s="94"/>
      <c r="O4262" s="94"/>
      <c r="P4262" s="20">
        <v>0.0</v>
      </c>
      <c r="Q4262" s="18"/>
      <c r="R4262" s="18"/>
      <c r="S4262" s="52"/>
      <c r="T4262" s="22"/>
    </row>
    <row r="4263">
      <c r="A4263" s="23" t="s">
        <v>30400</v>
      </c>
      <c r="B4263" s="77" t="s">
        <v>1081</v>
      </c>
      <c r="C4263" s="96">
        <v>45607.0</v>
      </c>
      <c r="D4263" s="40" t="s">
        <v>30401</v>
      </c>
      <c r="E4263" s="97" t="s">
        <v>30402</v>
      </c>
      <c r="F4263" s="98" t="s">
        <v>30403</v>
      </c>
      <c r="G4263" s="98" t="s">
        <v>30404</v>
      </c>
      <c r="H4263" s="51" t="s">
        <v>148</v>
      </c>
      <c r="I4263" s="25" t="str">
        <f>IFERROR(__xludf.DUMMYFUNCTION("GOOGLETRANSLATE(H4263,""EN"",""ES"")"),"Gastronomía")</f>
        <v>Gastronomía</v>
      </c>
      <c r="J4263" s="26" t="s">
        <v>27</v>
      </c>
      <c r="K4263" s="17">
        <v>0.0</v>
      </c>
      <c r="L4263" s="54"/>
      <c r="M4263" s="31"/>
      <c r="N4263" s="93"/>
      <c r="O4263" s="93"/>
      <c r="P4263" s="20">
        <v>0.0</v>
      </c>
      <c r="Q4263" s="31"/>
      <c r="R4263" s="31"/>
      <c r="S4263" s="53"/>
      <c r="T4263" s="32"/>
    </row>
    <row r="4264">
      <c r="A4264" s="33" t="s">
        <v>30405</v>
      </c>
      <c r="B4264" s="76" t="s">
        <v>30406</v>
      </c>
      <c r="C4264" s="99">
        <v>45607.0</v>
      </c>
      <c r="D4264" s="40" t="s">
        <v>30407</v>
      </c>
      <c r="E4264" s="100" t="s">
        <v>30408</v>
      </c>
      <c r="F4264" s="101" t="s">
        <v>30409</v>
      </c>
      <c r="G4264" s="101" t="s">
        <v>30410</v>
      </c>
      <c r="H4264" s="51" t="s">
        <v>148</v>
      </c>
      <c r="I4264" s="15" t="str">
        <f>IFERROR(__xludf.DUMMYFUNCTION("GOOGLETRANSLATE(H4264,""EN"",""ES"")"),"Gastronomía")</f>
        <v>Gastronomía</v>
      </c>
      <c r="J4264" s="16" t="s">
        <v>27</v>
      </c>
      <c r="K4264" s="17">
        <v>0.0</v>
      </c>
      <c r="L4264" s="45"/>
      <c r="M4264" s="18"/>
      <c r="N4264" s="94"/>
      <c r="O4264" s="94"/>
      <c r="P4264" s="20">
        <v>0.0</v>
      </c>
      <c r="Q4264" s="18"/>
      <c r="R4264" s="18"/>
      <c r="S4264" s="52"/>
      <c r="T4264" s="22"/>
    </row>
    <row r="4265">
      <c r="A4265" s="23" t="s">
        <v>30411</v>
      </c>
      <c r="B4265" s="77" t="s">
        <v>4673</v>
      </c>
      <c r="C4265" s="96">
        <v>45607.0</v>
      </c>
      <c r="D4265" s="40" t="s">
        <v>30412</v>
      </c>
      <c r="E4265" s="97" t="s">
        <v>30413</v>
      </c>
      <c r="F4265" s="98" t="s">
        <v>30414</v>
      </c>
      <c r="G4265" s="98" t="s">
        <v>30415</v>
      </c>
      <c r="H4265" s="51" t="s">
        <v>148</v>
      </c>
      <c r="I4265" s="25" t="str">
        <f>IFERROR(__xludf.DUMMYFUNCTION("GOOGLETRANSLATE(H4265,""EN"",""ES"")"),"Gastronomía")</f>
        <v>Gastronomía</v>
      </c>
      <c r="J4265" s="26" t="s">
        <v>27</v>
      </c>
      <c r="K4265" s="17">
        <v>0.0</v>
      </c>
      <c r="L4265" s="54"/>
      <c r="M4265" s="31"/>
      <c r="N4265" s="93"/>
      <c r="O4265" s="93"/>
      <c r="P4265" s="20">
        <v>0.0</v>
      </c>
      <c r="Q4265" s="31"/>
      <c r="R4265" s="31"/>
      <c r="S4265" s="53"/>
      <c r="T4265" s="32"/>
    </row>
    <row r="4266">
      <c r="A4266" s="33" t="s">
        <v>30416</v>
      </c>
      <c r="B4266" s="76" t="s">
        <v>1168</v>
      </c>
      <c r="C4266" s="99">
        <v>45607.0</v>
      </c>
      <c r="D4266" s="40" t="s">
        <v>30417</v>
      </c>
      <c r="E4266" s="100" t="s">
        <v>30418</v>
      </c>
      <c r="F4266" s="101" t="s">
        <v>30419</v>
      </c>
      <c r="G4266" s="101" t="s">
        <v>30420</v>
      </c>
      <c r="H4266" s="51" t="s">
        <v>148</v>
      </c>
      <c r="I4266" s="15" t="str">
        <f>IFERROR(__xludf.DUMMYFUNCTION("GOOGLETRANSLATE(H4266,""EN"",""ES"")"),"Gastronomía")</f>
        <v>Gastronomía</v>
      </c>
      <c r="J4266" s="16" t="s">
        <v>27</v>
      </c>
      <c r="K4266" s="17">
        <v>0.0</v>
      </c>
      <c r="L4266" s="45"/>
      <c r="M4266" s="18"/>
      <c r="N4266" s="94"/>
      <c r="O4266" s="94"/>
      <c r="P4266" s="20">
        <v>0.0</v>
      </c>
      <c r="Q4266" s="18"/>
      <c r="R4266" s="18"/>
      <c r="S4266" s="52"/>
      <c r="T4266" s="22"/>
    </row>
    <row r="4267">
      <c r="A4267" s="23" t="s">
        <v>30421</v>
      </c>
      <c r="B4267" s="77" t="s">
        <v>85</v>
      </c>
      <c r="C4267" s="96">
        <v>45607.0</v>
      </c>
      <c r="D4267" s="40" t="s">
        <v>30422</v>
      </c>
      <c r="E4267" s="97" t="s">
        <v>30423</v>
      </c>
      <c r="F4267" s="98" t="s">
        <v>30424</v>
      </c>
      <c r="G4267" s="98" t="s">
        <v>30425</v>
      </c>
      <c r="H4267" s="51" t="s">
        <v>148</v>
      </c>
      <c r="I4267" s="25" t="str">
        <f>IFERROR(__xludf.DUMMYFUNCTION("GOOGLETRANSLATE(H4267,""EN"",""ES"")"),"Gastronomía")</f>
        <v>Gastronomía</v>
      </c>
      <c r="J4267" s="26" t="s">
        <v>27</v>
      </c>
      <c r="K4267" s="17">
        <v>0.0</v>
      </c>
      <c r="L4267" s="54"/>
      <c r="M4267" s="31"/>
      <c r="N4267" s="93"/>
      <c r="O4267" s="93"/>
      <c r="P4267" s="20">
        <v>0.0</v>
      </c>
      <c r="Q4267" s="31"/>
      <c r="R4267" s="31"/>
      <c r="S4267" s="53"/>
      <c r="T4267" s="32"/>
    </row>
    <row r="4268">
      <c r="A4268" s="33" t="s">
        <v>30426</v>
      </c>
      <c r="B4268" s="76" t="s">
        <v>7469</v>
      </c>
      <c r="C4268" s="99">
        <v>45607.0</v>
      </c>
      <c r="D4268" s="40" t="s">
        <v>30427</v>
      </c>
      <c r="E4268" s="100" t="s">
        <v>30428</v>
      </c>
      <c r="F4268" s="101" t="s">
        <v>30429</v>
      </c>
      <c r="G4268" s="101" t="s">
        <v>30430</v>
      </c>
      <c r="H4268" s="51" t="s">
        <v>148</v>
      </c>
      <c r="I4268" s="15" t="str">
        <f>IFERROR(__xludf.DUMMYFUNCTION("GOOGLETRANSLATE(H4268,""EN"",""ES"")"),"Gastronomía")</f>
        <v>Gastronomía</v>
      </c>
      <c r="J4268" s="16" t="s">
        <v>27</v>
      </c>
      <c r="K4268" s="17">
        <v>0.0</v>
      </c>
      <c r="L4268" s="45"/>
      <c r="M4268" s="18"/>
      <c r="N4268" s="94"/>
      <c r="O4268" s="94"/>
      <c r="P4268" s="20">
        <v>0.0</v>
      </c>
      <c r="Q4268" s="18"/>
      <c r="R4268" s="18"/>
      <c r="S4268" s="52"/>
      <c r="T4268" s="22"/>
    </row>
    <row r="4269">
      <c r="A4269" s="23" t="s">
        <v>30431</v>
      </c>
      <c r="B4269" s="77" t="s">
        <v>21</v>
      </c>
      <c r="C4269" s="96">
        <v>45607.0</v>
      </c>
      <c r="D4269" s="40" t="s">
        <v>30432</v>
      </c>
      <c r="E4269" s="97" t="s">
        <v>30433</v>
      </c>
      <c r="F4269" s="98" t="s">
        <v>30434</v>
      </c>
      <c r="G4269" s="98" t="s">
        <v>30435</v>
      </c>
      <c r="H4269" s="51" t="s">
        <v>148</v>
      </c>
      <c r="I4269" s="25" t="str">
        <f>IFERROR(__xludf.DUMMYFUNCTION("GOOGLETRANSLATE(H4269,""EN"",""ES"")"),"Gastronomía")</f>
        <v>Gastronomía</v>
      </c>
      <c r="J4269" s="26" t="s">
        <v>27</v>
      </c>
      <c r="K4269" s="17">
        <v>0.0</v>
      </c>
      <c r="L4269" s="54"/>
      <c r="M4269" s="31"/>
      <c r="N4269" s="93"/>
      <c r="O4269" s="93"/>
      <c r="P4269" s="20">
        <v>0.0</v>
      </c>
      <c r="Q4269" s="31"/>
      <c r="R4269" s="31"/>
      <c r="S4269" s="53"/>
      <c r="T4269" s="32"/>
    </row>
    <row r="4270">
      <c r="A4270" s="33" t="s">
        <v>30436</v>
      </c>
      <c r="B4270" s="76" t="s">
        <v>3974</v>
      </c>
      <c r="C4270" s="99">
        <v>45607.0</v>
      </c>
      <c r="D4270" s="40" t="s">
        <v>30437</v>
      </c>
      <c r="E4270" s="100" t="s">
        <v>30438</v>
      </c>
      <c r="F4270" s="101" t="s">
        <v>30439</v>
      </c>
      <c r="G4270" s="101" t="s">
        <v>30440</v>
      </c>
      <c r="H4270" s="51" t="s">
        <v>148</v>
      </c>
      <c r="I4270" s="15" t="str">
        <f>IFERROR(__xludf.DUMMYFUNCTION("GOOGLETRANSLATE(H4270,""EN"",""ES"")"),"Gastronomía")</f>
        <v>Gastronomía</v>
      </c>
      <c r="J4270" s="16" t="s">
        <v>27</v>
      </c>
      <c r="K4270" s="17">
        <v>0.0</v>
      </c>
      <c r="L4270" s="45"/>
      <c r="M4270" s="18"/>
      <c r="N4270" s="94"/>
      <c r="O4270" s="94"/>
      <c r="P4270" s="20">
        <v>0.0</v>
      </c>
      <c r="Q4270" s="18"/>
      <c r="R4270" s="18"/>
      <c r="S4270" s="52"/>
      <c r="T4270" s="22"/>
    </row>
    <row r="4271">
      <c r="A4271" s="23" t="s">
        <v>30441</v>
      </c>
      <c r="B4271" s="77" t="s">
        <v>2230</v>
      </c>
      <c r="C4271" s="96">
        <v>45607.0</v>
      </c>
      <c r="D4271" s="40" t="s">
        <v>30442</v>
      </c>
      <c r="E4271" s="97" t="s">
        <v>30443</v>
      </c>
      <c r="F4271" s="98" t="s">
        <v>30444</v>
      </c>
      <c r="G4271" s="98" t="s">
        <v>30445</v>
      </c>
      <c r="H4271" s="51" t="s">
        <v>148</v>
      </c>
      <c r="I4271" s="25" t="str">
        <f>IFERROR(__xludf.DUMMYFUNCTION("GOOGLETRANSLATE(H4271,""EN"",""ES"")"),"Gastronomía")</f>
        <v>Gastronomía</v>
      </c>
      <c r="J4271" s="26" t="s">
        <v>27</v>
      </c>
      <c r="K4271" s="17">
        <v>0.0</v>
      </c>
      <c r="L4271" s="54"/>
      <c r="M4271" s="31"/>
      <c r="N4271" s="93"/>
      <c r="O4271" s="93"/>
      <c r="P4271" s="20">
        <v>0.0</v>
      </c>
      <c r="Q4271" s="31"/>
      <c r="R4271" s="31"/>
      <c r="S4271" s="53"/>
      <c r="T4271" s="32"/>
    </row>
    <row r="4272">
      <c r="A4272" s="33" t="s">
        <v>30446</v>
      </c>
      <c r="B4272" s="76" t="s">
        <v>5971</v>
      </c>
      <c r="C4272" s="99">
        <v>45607.0</v>
      </c>
      <c r="D4272" s="40" t="s">
        <v>30447</v>
      </c>
      <c r="E4272" s="100" t="s">
        <v>30448</v>
      </c>
      <c r="F4272" s="101" t="s">
        <v>30449</v>
      </c>
      <c r="G4272" s="101" t="s">
        <v>30450</v>
      </c>
      <c r="H4272" s="51" t="s">
        <v>148</v>
      </c>
      <c r="I4272" s="15" t="str">
        <f>IFERROR(__xludf.DUMMYFUNCTION("GOOGLETRANSLATE(H4272,""EN"",""ES"")"),"Gastronomía")</f>
        <v>Gastronomía</v>
      </c>
      <c r="J4272" s="16" t="s">
        <v>27</v>
      </c>
      <c r="K4272" s="17">
        <v>0.0</v>
      </c>
      <c r="L4272" s="45"/>
      <c r="M4272" s="18"/>
      <c r="N4272" s="94"/>
      <c r="O4272" s="94"/>
      <c r="P4272" s="20">
        <v>0.0</v>
      </c>
      <c r="Q4272" s="18"/>
      <c r="R4272" s="18"/>
      <c r="S4272" s="52"/>
      <c r="T4272" s="22"/>
    </row>
    <row r="4273">
      <c r="A4273" s="23" t="s">
        <v>30451</v>
      </c>
      <c r="B4273" s="77" t="s">
        <v>1081</v>
      </c>
      <c r="C4273" s="96">
        <v>45607.0</v>
      </c>
      <c r="D4273" s="40" t="s">
        <v>30452</v>
      </c>
      <c r="E4273" s="97" t="s">
        <v>30453</v>
      </c>
      <c r="F4273" s="98" t="s">
        <v>30454</v>
      </c>
      <c r="G4273" s="98" t="s">
        <v>30455</v>
      </c>
      <c r="H4273" s="51" t="s">
        <v>148</v>
      </c>
      <c r="I4273" s="25" t="str">
        <f>IFERROR(__xludf.DUMMYFUNCTION("GOOGLETRANSLATE(H4273,""EN"",""ES"")"),"Gastronomía")</f>
        <v>Gastronomía</v>
      </c>
      <c r="J4273" s="26" t="s">
        <v>27</v>
      </c>
      <c r="K4273" s="17">
        <v>0.0</v>
      </c>
      <c r="L4273" s="54"/>
      <c r="M4273" s="31"/>
      <c r="N4273" s="93"/>
      <c r="O4273" s="93"/>
      <c r="P4273" s="20">
        <v>0.0</v>
      </c>
      <c r="Q4273" s="31"/>
      <c r="R4273" s="31"/>
      <c r="S4273" s="53"/>
      <c r="T4273" s="32"/>
    </row>
    <row r="4274">
      <c r="A4274" s="33" t="s">
        <v>30456</v>
      </c>
      <c r="B4274" s="76" t="s">
        <v>30457</v>
      </c>
      <c r="C4274" s="99">
        <v>45607.0</v>
      </c>
      <c r="D4274" s="40" t="s">
        <v>30458</v>
      </c>
      <c r="E4274" s="100" t="s">
        <v>30459</v>
      </c>
      <c r="F4274" s="101" t="s">
        <v>30460</v>
      </c>
      <c r="G4274" s="101" t="s">
        <v>30461</v>
      </c>
      <c r="H4274" s="51" t="s">
        <v>148</v>
      </c>
      <c r="I4274" s="15" t="str">
        <f>IFERROR(__xludf.DUMMYFUNCTION("GOOGLETRANSLATE(H4274,""EN"",""ES"")"),"Gastronomía")</f>
        <v>Gastronomía</v>
      </c>
      <c r="J4274" s="16" t="s">
        <v>27</v>
      </c>
      <c r="K4274" s="17">
        <v>0.0</v>
      </c>
      <c r="L4274" s="45"/>
      <c r="M4274" s="18"/>
      <c r="N4274" s="94"/>
      <c r="O4274" s="94"/>
      <c r="P4274" s="20">
        <v>0.0</v>
      </c>
      <c r="Q4274" s="18"/>
      <c r="R4274" s="18"/>
      <c r="S4274" s="52"/>
      <c r="T4274" s="22"/>
    </row>
    <row r="4275">
      <c r="A4275" s="23" t="s">
        <v>30462</v>
      </c>
      <c r="B4275" s="77" t="s">
        <v>6539</v>
      </c>
      <c r="C4275" s="96">
        <v>45607.0</v>
      </c>
      <c r="D4275" s="40" t="s">
        <v>30463</v>
      </c>
      <c r="E4275" s="97" t="s">
        <v>30464</v>
      </c>
      <c r="F4275" s="98" t="s">
        <v>30465</v>
      </c>
      <c r="G4275" s="98" t="s">
        <v>30466</v>
      </c>
      <c r="H4275" s="51" t="s">
        <v>148</v>
      </c>
      <c r="I4275" s="25" t="str">
        <f>IFERROR(__xludf.DUMMYFUNCTION("GOOGLETRANSLATE(H4275,""EN"",""ES"")"),"Gastronomía")</f>
        <v>Gastronomía</v>
      </c>
      <c r="J4275" s="26" t="s">
        <v>27</v>
      </c>
      <c r="K4275" s="17">
        <v>0.0</v>
      </c>
      <c r="L4275" s="54"/>
      <c r="M4275" s="31"/>
      <c r="N4275" s="93"/>
      <c r="O4275" s="93"/>
      <c r="P4275" s="20">
        <v>0.0</v>
      </c>
      <c r="Q4275" s="31"/>
      <c r="R4275" s="31"/>
      <c r="S4275" s="53"/>
      <c r="T4275" s="32"/>
    </row>
    <row r="4276">
      <c r="A4276" s="33" t="s">
        <v>30467</v>
      </c>
      <c r="B4276" s="76" t="s">
        <v>5848</v>
      </c>
      <c r="C4276" s="99">
        <v>45607.0</v>
      </c>
      <c r="D4276" s="40" t="s">
        <v>30468</v>
      </c>
      <c r="E4276" s="100" t="s">
        <v>30469</v>
      </c>
      <c r="F4276" s="101" t="s">
        <v>30470</v>
      </c>
      <c r="G4276" s="101" t="s">
        <v>30471</v>
      </c>
      <c r="H4276" s="51" t="s">
        <v>148</v>
      </c>
      <c r="I4276" s="15" t="str">
        <f>IFERROR(__xludf.DUMMYFUNCTION("GOOGLETRANSLATE(H4276,""EN"",""ES"")"),"Gastronomía")</f>
        <v>Gastronomía</v>
      </c>
      <c r="J4276" s="16" t="s">
        <v>27</v>
      </c>
      <c r="K4276" s="17">
        <v>0.0</v>
      </c>
      <c r="L4276" s="45"/>
      <c r="M4276" s="18"/>
      <c r="N4276" s="94"/>
      <c r="O4276" s="94"/>
      <c r="P4276" s="20">
        <v>0.0</v>
      </c>
      <c r="Q4276" s="18"/>
      <c r="R4276" s="18"/>
      <c r="S4276" s="52"/>
      <c r="T4276" s="22"/>
    </row>
    <row r="4277">
      <c r="A4277" s="23" t="s">
        <v>30472</v>
      </c>
      <c r="B4277" s="77" t="s">
        <v>21</v>
      </c>
      <c r="C4277" s="96">
        <v>45607.0</v>
      </c>
      <c r="D4277" s="40" t="s">
        <v>30473</v>
      </c>
      <c r="E4277" s="97" t="s">
        <v>30474</v>
      </c>
      <c r="F4277" s="98" t="s">
        <v>30475</v>
      </c>
      <c r="G4277" s="98" t="s">
        <v>30476</v>
      </c>
      <c r="H4277" s="51" t="s">
        <v>148</v>
      </c>
      <c r="I4277" s="25" t="str">
        <f>IFERROR(__xludf.DUMMYFUNCTION("GOOGLETRANSLATE(H4277,""EN"",""ES"")"),"Gastronomía")</f>
        <v>Gastronomía</v>
      </c>
      <c r="J4277" s="26" t="s">
        <v>27</v>
      </c>
      <c r="K4277" s="17">
        <v>0.0</v>
      </c>
      <c r="L4277" s="54"/>
      <c r="M4277" s="31"/>
      <c r="N4277" s="93"/>
      <c r="O4277" s="93"/>
      <c r="P4277" s="20">
        <v>0.0</v>
      </c>
      <c r="Q4277" s="31"/>
      <c r="R4277" s="31"/>
      <c r="S4277" s="53"/>
      <c r="T4277" s="32"/>
    </row>
    <row r="4278">
      <c r="A4278" s="33" t="s">
        <v>30477</v>
      </c>
      <c r="B4278" s="76" t="s">
        <v>1005</v>
      </c>
      <c r="C4278" s="99">
        <v>45607.0</v>
      </c>
      <c r="D4278" s="40" t="s">
        <v>30478</v>
      </c>
      <c r="E4278" s="100" t="s">
        <v>30479</v>
      </c>
      <c r="F4278" s="101" t="s">
        <v>30480</v>
      </c>
      <c r="G4278" s="101" t="s">
        <v>30481</v>
      </c>
      <c r="H4278" s="51" t="s">
        <v>148</v>
      </c>
      <c r="I4278" s="15" t="str">
        <f>IFERROR(__xludf.DUMMYFUNCTION("GOOGLETRANSLATE(H4278,""EN"",""ES"")"),"Gastronomía")</f>
        <v>Gastronomía</v>
      </c>
      <c r="J4278" s="16" t="s">
        <v>27</v>
      </c>
      <c r="K4278" s="17">
        <v>0.0</v>
      </c>
      <c r="L4278" s="45"/>
      <c r="M4278" s="18"/>
      <c r="N4278" s="94"/>
      <c r="O4278" s="94"/>
      <c r="P4278" s="20">
        <v>0.0</v>
      </c>
      <c r="Q4278" s="18"/>
      <c r="R4278" s="18"/>
      <c r="S4278" s="52"/>
      <c r="T4278" s="22"/>
    </row>
    <row r="4279">
      <c r="A4279" s="23" t="s">
        <v>30482</v>
      </c>
      <c r="B4279" s="77" t="s">
        <v>30483</v>
      </c>
      <c r="C4279" s="96">
        <v>45607.0</v>
      </c>
      <c r="D4279" s="40" t="s">
        <v>30484</v>
      </c>
      <c r="E4279" s="97" t="s">
        <v>30485</v>
      </c>
      <c r="F4279" s="98" t="s">
        <v>30486</v>
      </c>
      <c r="G4279" s="98" t="s">
        <v>30487</v>
      </c>
      <c r="H4279" s="51" t="s">
        <v>148</v>
      </c>
      <c r="I4279" s="25" t="str">
        <f>IFERROR(__xludf.DUMMYFUNCTION("GOOGLETRANSLATE(H4279,""EN"",""ES"")"),"Gastronomía")</f>
        <v>Gastronomía</v>
      </c>
      <c r="J4279" s="26" t="s">
        <v>27</v>
      </c>
      <c r="K4279" s="17">
        <v>0.0</v>
      </c>
      <c r="L4279" s="54"/>
      <c r="M4279" s="31"/>
      <c r="N4279" s="93"/>
      <c r="O4279" s="93"/>
      <c r="P4279" s="20">
        <v>0.0</v>
      </c>
      <c r="Q4279" s="31"/>
      <c r="R4279" s="31"/>
      <c r="S4279" s="53"/>
      <c r="T4279" s="32"/>
    </row>
    <row r="4280">
      <c r="A4280" s="33" t="s">
        <v>30488</v>
      </c>
      <c r="B4280" s="76" t="s">
        <v>2242</v>
      </c>
      <c r="C4280" s="99">
        <v>45607.0</v>
      </c>
      <c r="D4280" s="40" t="s">
        <v>30489</v>
      </c>
      <c r="E4280" s="100" t="s">
        <v>30490</v>
      </c>
      <c r="F4280" s="101" t="s">
        <v>30491</v>
      </c>
      <c r="G4280" s="101" t="s">
        <v>30492</v>
      </c>
      <c r="H4280" s="51" t="s">
        <v>148</v>
      </c>
      <c r="I4280" s="15" t="str">
        <f>IFERROR(__xludf.DUMMYFUNCTION("GOOGLETRANSLATE(H4280,""EN"",""ES"")"),"Gastronomía")</f>
        <v>Gastronomía</v>
      </c>
      <c r="J4280" s="16" t="s">
        <v>27</v>
      </c>
      <c r="K4280" s="17">
        <v>0.0</v>
      </c>
      <c r="L4280" s="45"/>
      <c r="M4280" s="18"/>
      <c r="N4280" s="94"/>
      <c r="O4280" s="94"/>
      <c r="P4280" s="20">
        <v>0.0</v>
      </c>
      <c r="Q4280" s="18"/>
      <c r="R4280" s="18"/>
      <c r="S4280" s="52"/>
      <c r="T4280" s="22"/>
    </row>
    <row r="4281">
      <c r="A4281" s="23" t="s">
        <v>30493</v>
      </c>
      <c r="B4281" s="77" t="s">
        <v>22651</v>
      </c>
      <c r="C4281" s="96">
        <v>45607.0</v>
      </c>
      <c r="D4281" s="40" t="s">
        <v>30494</v>
      </c>
      <c r="E4281" s="97" t="s">
        <v>30495</v>
      </c>
      <c r="F4281" s="98" t="s">
        <v>30496</v>
      </c>
      <c r="G4281" s="98" t="s">
        <v>30497</v>
      </c>
      <c r="H4281" s="51" t="s">
        <v>148</v>
      </c>
      <c r="I4281" s="25" t="str">
        <f>IFERROR(__xludf.DUMMYFUNCTION("GOOGLETRANSLATE(H4281,""EN"",""ES"")"),"Gastronomía")</f>
        <v>Gastronomía</v>
      </c>
      <c r="J4281" s="26" t="s">
        <v>27</v>
      </c>
      <c r="K4281" s="17">
        <v>0.0</v>
      </c>
      <c r="L4281" s="54"/>
      <c r="M4281" s="31"/>
      <c r="N4281" s="93"/>
      <c r="O4281" s="93"/>
      <c r="P4281" s="20">
        <v>0.0</v>
      </c>
      <c r="Q4281" s="31"/>
      <c r="R4281" s="31"/>
      <c r="S4281" s="53"/>
      <c r="T4281" s="32"/>
    </row>
    <row r="4282">
      <c r="A4282" s="33" t="s">
        <v>30498</v>
      </c>
      <c r="B4282" s="76" t="s">
        <v>21</v>
      </c>
      <c r="C4282" s="99">
        <v>45607.0</v>
      </c>
      <c r="D4282" s="40" t="s">
        <v>30499</v>
      </c>
      <c r="E4282" s="100" t="s">
        <v>30500</v>
      </c>
      <c r="F4282" s="101" t="s">
        <v>30501</v>
      </c>
      <c r="G4282" s="101" t="s">
        <v>30502</v>
      </c>
      <c r="H4282" s="51" t="s">
        <v>148</v>
      </c>
      <c r="I4282" s="15" t="str">
        <f>IFERROR(__xludf.DUMMYFUNCTION("GOOGLETRANSLATE(H4282,""EN"",""ES"")"),"Gastronomía")</f>
        <v>Gastronomía</v>
      </c>
      <c r="J4282" s="16" t="s">
        <v>27</v>
      </c>
      <c r="K4282" s="17">
        <v>0.0</v>
      </c>
      <c r="L4282" s="45"/>
      <c r="M4282" s="18"/>
      <c r="N4282" s="94"/>
      <c r="O4282" s="94"/>
      <c r="P4282" s="20">
        <v>0.0</v>
      </c>
      <c r="Q4282" s="18"/>
      <c r="R4282" s="18"/>
      <c r="S4282" s="52"/>
      <c r="T4282" s="22"/>
    </row>
    <row r="4283">
      <c r="A4283" s="23" t="s">
        <v>30503</v>
      </c>
      <c r="B4283" s="77" t="s">
        <v>859</v>
      </c>
      <c r="C4283" s="96">
        <v>45607.0</v>
      </c>
      <c r="D4283" s="40" t="s">
        <v>30504</v>
      </c>
      <c r="E4283" s="97" t="s">
        <v>30505</v>
      </c>
      <c r="F4283" s="98" t="s">
        <v>30506</v>
      </c>
      <c r="G4283" s="98" t="s">
        <v>30507</v>
      </c>
      <c r="H4283" s="51" t="s">
        <v>148</v>
      </c>
      <c r="I4283" s="25" t="str">
        <f>IFERROR(__xludf.DUMMYFUNCTION("GOOGLETRANSLATE(H4283,""EN"",""ES"")"),"Gastronomía")</f>
        <v>Gastronomía</v>
      </c>
      <c r="J4283" s="26" t="s">
        <v>27</v>
      </c>
      <c r="K4283" s="17">
        <v>0.0</v>
      </c>
      <c r="L4283" s="54"/>
      <c r="M4283" s="31"/>
      <c r="N4283" s="93"/>
      <c r="O4283" s="93"/>
      <c r="P4283" s="20">
        <v>0.0</v>
      </c>
      <c r="Q4283" s="31"/>
      <c r="R4283" s="31"/>
      <c r="S4283" s="53"/>
      <c r="T4283" s="32"/>
    </row>
    <row r="4284">
      <c r="A4284" s="33" t="s">
        <v>30508</v>
      </c>
      <c r="B4284" s="76" t="s">
        <v>614</v>
      </c>
      <c r="C4284" s="99">
        <v>45607.0</v>
      </c>
      <c r="D4284" s="40" t="s">
        <v>30509</v>
      </c>
      <c r="E4284" s="100" t="s">
        <v>30510</v>
      </c>
      <c r="F4284" s="101" t="s">
        <v>30511</v>
      </c>
      <c r="G4284" s="101" t="s">
        <v>30512</v>
      </c>
      <c r="H4284" s="51" t="s">
        <v>148</v>
      </c>
      <c r="I4284" s="15" t="str">
        <f>IFERROR(__xludf.DUMMYFUNCTION("GOOGLETRANSLATE(H4284,""EN"",""ES"")"),"Gastronomía")</f>
        <v>Gastronomía</v>
      </c>
      <c r="J4284" s="16" t="s">
        <v>27</v>
      </c>
      <c r="K4284" s="17">
        <v>0.0</v>
      </c>
      <c r="L4284" s="45"/>
      <c r="M4284" s="18"/>
      <c r="N4284" s="94"/>
      <c r="O4284" s="94"/>
      <c r="P4284" s="20">
        <v>0.0</v>
      </c>
      <c r="Q4284" s="18"/>
      <c r="R4284" s="18"/>
      <c r="S4284" s="52"/>
      <c r="T4284" s="22"/>
    </row>
    <row r="4285">
      <c r="A4285" s="23" t="s">
        <v>30513</v>
      </c>
      <c r="B4285" s="77" t="s">
        <v>1128</v>
      </c>
      <c r="C4285" s="96">
        <v>45607.0</v>
      </c>
      <c r="D4285" s="40" t="s">
        <v>30514</v>
      </c>
      <c r="E4285" s="97" t="s">
        <v>30515</v>
      </c>
      <c r="F4285" s="98" t="s">
        <v>30516</v>
      </c>
      <c r="G4285" s="98" t="s">
        <v>30517</v>
      </c>
      <c r="H4285" s="51" t="s">
        <v>148</v>
      </c>
      <c r="I4285" s="25" t="str">
        <f>IFERROR(__xludf.DUMMYFUNCTION("GOOGLETRANSLATE(H4285,""EN"",""ES"")"),"Gastronomía")</f>
        <v>Gastronomía</v>
      </c>
      <c r="J4285" s="26" t="s">
        <v>27</v>
      </c>
      <c r="K4285" s="17">
        <v>0.0</v>
      </c>
      <c r="L4285" s="54"/>
      <c r="M4285" s="31"/>
      <c r="N4285" s="93"/>
      <c r="O4285" s="93"/>
      <c r="P4285" s="20">
        <v>0.0</v>
      </c>
      <c r="Q4285" s="31"/>
      <c r="R4285" s="31"/>
      <c r="S4285" s="53"/>
      <c r="T4285" s="32"/>
    </row>
    <row r="4286">
      <c r="A4286" s="33" t="s">
        <v>30518</v>
      </c>
      <c r="B4286" s="76" t="s">
        <v>217</v>
      </c>
      <c r="C4286" s="99">
        <v>45607.0</v>
      </c>
      <c r="D4286" s="40" t="s">
        <v>30519</v>
      </c>
      <c r="E4286" s="100" t="s">
        <v>30520</v>
      </c>
      <c r="F4286" s="101" t="s">
        <v>30521</v>
      </c>
      <c r="G4286" s="101" t="s">
        <v>30522</v>
      </c>
      <c r="H4286" s="51" t="s">
        <v>148</v>
      </c>
      <c r="I4286" s="15" t="str">
        <f>IFERROR(__xludf.DUMMYFUNCTION("GOOGLETRANSLATE(H4286,""EN"",""ES"")"),"Gastronomía")</f>
        <v>Gastronomía</v>
      </c>
      <c r="J4286" s="16" t="s">
        <v>27</v>
      </c>
      <c r="K4286" s="17">
        <v>0.0</v>
      </c>
      <c r="L4286" s="45"/>
      <c r="M4286" s="18"/>
      <c r="N4286" s="94"/>
      <c r="O4286" s="94"/>
      <c r="P4286" s="20">
        <v>0.0</v>
      </c>
      <c r="Q4286" s="18"/>
      <c r="R4286" s="18"/>
      <c r="S4286" s="52"/>
      <c r="T4286" s="22"/>
    </row>
    <row r="4287">
      <c r="A4287" s="23" t="s">
        <v>30523</v>
      </c>
      <c r="B4287" s="77" t="s">
        <v>12007</v>
      </c>
      <c r="C4287" s="96">
        <v>45607.0</v>
      </c>
      <c r="D4287" s="40" t="s">
        <v>30524</v>
      </c>
      <c r="E4287" s="97" t="s">
        <v>30525</v>
      </c>
      <c r="F4287" s="98" t="s">
        <v>30526</v>
      </c>
      <c r="G4287" s="98" t="s">
        <v>30527</v>
      </c>
      <c r="H4287" s="51" t="s">
        <v>148</v>
      </c>
      <c r="I4287" s="25" t="str">
        <f>IFERROR(__xludf.DUMMYFUNCTION("GOOGLETRANSLATE(H4287,""EN"",""ES"")"),"Gastronomía")</f>
        <v>Gastronomía</v>
      </c>
      <c r="J4287" s="26" t="s">
        <v>27</v>
      </c>
      <c r="K4287" s="17">
        <v>0.0</v>
      </c>
      <c r="L4287" s="54"/>
      <c r="M4287" s="31"/>
      <c r="N4287" s="93"/>
      <c r="O4287" s="93"/>
      <c r="P4287" s="20">
        <v>0.0</v>
      </c>
      <c r="Q4287" s="31"/>
      <c r="R4287" s="31"/>
      <c r="S4287" s="53"/>
      <c r="T4287" s="32"/>
    </row>
    <row r="4288">
      <c r="A4288" s="33" t="s">
        <v>30528</v>
      </c>
      <c r="B4288" s="76" t="s">
        <v>30529</v>
      </c>
      <c r="C4288" s="99">
        <v>45607.0</v>
      </c>
      <c r="D4288" s="40" t="s">
        <v>30530</v>
      </c>
      <c r="E4288" s="100" t="s">
        <v>30531</v>
      </c>
      <c r="F4288" s="101" t="s">
        <v>30532</v>
      </c>
      <c r="G4288" s="101" t="s">
        <v>30533</v>
      </c>
      <c r="H4288" s="51" t="s">
        <v>148</v>
      </c>
      <c r="I4288" s="15" t="str">
        <f>IFERROR(__xludf.DUMMYFUNCTION("GOOGLETRANSLATE(H4288,""EN"",""ES"")"),"Gastronomía")</f>
        <v>Gastronomía</v>
      </c>
      <c r="J4288" s="16" t="s">
        <v>27</v>
      </c>
      <c r="K4288" s="17">
        <v>0.0</v>
      </c>
      <c r="L4288" s="45"/>
      <c r="M4288" s="18"/>
      <c r="N4288" s="94"/>
      <c r="O4288" s="94"/>
      <c r="P4288" s="20">
        <v>0.0</v>
      </c>
      <c r="Q4288" s="18"/>
      <c r="R4288" s="18"/>
      <c r="S4288" s="52"/>
      <c r="T4288" s="22"/>
    </row>
    <row r="4289">
      <c r="A4289" s="23" t="s">
        <v>30534</v>
      </c>
      <c r="B4289" s="77" t="s">
        <v>6856</v>
      </c>
      <c r="C4289" s="96">
        <v>45607.0</v>
      </c>
      <c r="D4289" s="40" t="s">
        <v>30535</v>
      </c>
      <c r="E4289" s="97" t="s">
        <v>30536</v>
      </c>
      <c r="F4289" s="98" t="s">
        <v>30537</v>
      </c>
      <c r="G4289" s="98" t="s">
        <v>30538</v>
      </c>
      <c r="H4289" s="51" t="s">
        <v>148</v>
      </c>
      <c r="I4289" s="25" t="str">
        <f>IFERROR(__xludf.DUMMYFUNCTION("GOOGLETRANSLATE(H4289,""EN"",""ES"")"),"Gastronomía")</f>
        <v>Gastronomía</v>
      </c>
      <c r="J4289" s="26" t="s">
        <v>27</v>
      </c>
      <c r="K4289" s="17">
        <v>0.0</v>
      </c>
      <c r="L4289" s="54"/>
      <c r="M4289" s="31"/>
      <c r="N4289" s="93"/>
      <c r="O4289" s="93"/>
      <c r="P4289" s="20">
        <v>0.0</v>
      </c>
      <c r="Q4289" s="31"/>
      <c r="R4289" s="31"/>
      <c r="S4289" s="53"/>
      <c r="T4289" s="32"/>
    </row>
    <row r="4290">
      <c r="A4290" s="33" t="s">
        <v>30539</v>
      </c>
      <c r="B4290" s="76" t="s">
        <v>1005</v>
      </c>
      <c r="C4290" s="99">
        <v>45607.0</v>
      </c>
      <c r="D4290" s="40" t="s">
        <v>30540</v>
      </c>
      <c r="E4290" s="100" t="s">
        <v>30541</v>
      </c>
      <c r="F4290" s="101" t="s">
        <v>30542</v>
      </c>
      <c r="G4290" s="101" t="s">
        <v>30543</v>
      </c>
      <c r="H4290" s="51" t="s">
        <v>148</v>
      </c>
      <c r="I4290" s="15" t="str">
        <f>IFERROR(__xludf.DUMMYFUNCTION("GOOGLETRANSLATE(H4290,""EN"",""ES"")"),"Gastronomía")</f>
        <v>Gastronomía</v>
      </c>
      <c r="J4290" s="16" t="s">
        <v>27</v>
      </c>
      <c r="K4290" s="17">
        <v>0.0</v>
      </c>
      <c r="L4290" s="45"/>
      <c r="M4290" s="18"/>
      <c r="N4290" s="94"/>
      <c r="O4290" s="94"/>
      <c r="P4290" s="20">
        <v>0.0</v>
      </c>
      <c r="Q4290" s="18"/>
      <c r="R4290" s="18"/>
      <c r="S4290" s="52"/>
      <c r="T4290" s="22"/>
    </row>
    <row r="4291">
      <c r="A4291" s="23" t="s">
        <v>30544</v>
      </c>
      <c r="B4291" s="77" t="s">
        <v>1005</v>
      </c>
      <c r="C4291" s="96">
        <v>45607.0</v>
      </c>
      <c r="D4291" s="40" t="s">
        <v>30545</v>
      </c>
      <c r="E4291" s="97" t="s">
        <v>30546</v>
      </c>
      <c r="F4291" s="98" t="s">
        <v>30547</v>
      </c>
      <c r="G4291" s="98" t="s">
        <v>30548</v>
      </c>
      <c r="H4291" s="51" t="s">
        <v>148</v>
      </c>
      <c r="I4291" s="25" t="str">
        <f>IFERROR(__xludf.DUMMYFUNCTION("GOOGLETRANSLATE(H4291,""EN"",""ES"")"),"Gastronomía")</f>
        <v>Gastronomía</v>
      </c>
      <c r="J4291" s="26" t="s">
        <v>27</v>
      </c>
      <c r="K4291" s="17">
        <v>0.0</v>
      </c>
      <c r="L4291" s="54"/>
      <c r="M4291" s="31"/>
      <c r="N4291" s="93"/>
      <c r="O4291" s="93"/>
      <c r="P4291" s="20">
        <v>0.0</v>
      </c>
      <c r="Q4291" s="31"/>
      <c r="R4291" s="31"/>
      <c r="S4291" s="53"/>
      <c r="T4291" s="32"/>
    </row>
    <row r="4292">
      <c r="A4292" s="33" t="s">
        <v>30549</v>
      </c>
      <c r="B4292" s="76" t="s">
        <v>16248</v>
      </c>
      <c r="C4292" s="99">
        <v>45607.0</v>
      </c>
      <c r="D4292" s="40" t="s">
        <v>30550</v>
      </c>
      <c r="E4292" s="100" t="s">
        <v>30551</v>
      </c>
      <c r="F4292" s="101" t="s">
        <v>30552</v>
      </c>
      <c r="G4292" s="101" t="s">
        <v>30553</v>
      </c>
      <c r="H4292" s="51" t="s">
        <v>148</v>
      </c>
      <c r="I4292" s="15" t="str">
        <f>IFERROR(__xludf.DUMMYFUNCTION("GOOGLETRANSLATE(H4292,""EN"",""ES"")"),"Gastronomía")</f>
        <v>Gastronomía</v>
      </c>
      <c r="J4292" s="16" t="s">
        <v>27</v>
      </c>
      <c r="K4292" s="17">
        <v>0.0</v>
      </c>
      <c r="L4292" s="45"/>
      <c r="M4292" s="18"/>
      <c r="N4292" s="94"/>
      <c r="O4292" s="94"/>
      <c r="P4292" s="20">
        <v>0.0</v>
      </c>
      <c r="Q4292" s="18"/>
      <c r="R4292" s="18"/>
      <c r="S4292" s="52"/>
      <c r="T4292" s="22"/>
    </row>
    <row r="4293">
      <c r="A4293" s="23" t="s">
        <v>30554</v>
      </c>
      <c r="B4293" s="77" t="s">
        <v>4673</v>
      </c>
      <c r="C4293" s="96">
        <v>45607.0</v>
      </c>
      <c r="D4293" s="40" t="s">
        <v>30555</v>
      </c>
      <c r="E4293" s="97" t="s">
        <v>30556</v>
      </c>
      <c r="F4293" s="98" t="s">
        <v>30557</v>
      </c>
      <c r="G4293" s="98" t="s">
        <v>30558</v>
      </c>
      <c r="H4293" s="51" t="s">
        <v>148</v>
      </c>
      <c r="I4293" s="25" t="str">
        <f>IFERROR(__xludf.DUMMYFUNCTION("GOOGLETRANSLATE(H4293,""EN"",""ES"")"),"Gastronomía")</f>
        <v>Gastronomía</v>
      </c>
      <c r="J4293" s="26" t="s">
        <v>27</v>
      </c>
      <c r="K4293" s="17">
        <v>0.0</v>
      </c>
      <c r="L4293" s="54"/>
      <c r="M4293" s="31"/>
      <c r="N4293" s="93"/>
      <c r="O4293" s="93"/>
      <c r="P4293" s="20">
        <v>0.0</v>
      </c>
      <c r="Q4293" s="31"/>
      <c r="R4293" s="31"/>
      <c r="S4293" s="53"/>
      <c r="T4293" s="32"/>
    </row>
    <row r="4294">
      <c r="A4294" s="33" t="s">
        <v>30559</v>
      </c>
      <c r="B4294" s="76" t="s">
        <v>614</v>
      </c>
      <c r="C4294" s="99">
        <v>45607.0</v>
      </c>
      <c r="D4294" s="40" t="s">
        <v>30560</v>
      </c>
      <c r="E4294" s="100" t="s">
        <v>30561</v>
      </c>
      <c r="F4294" s="101" t="s">
        <v>30562</v>
      </c>
      <c r="G4294" s="101" t="s">
        <v>30563</v>
      </c>
      <c r="H4294" s="51" t="s">
        <v>148</v>
      </c>
      <c r="I4294" s="15" t="str">
        <f>IFERROR(__xludf.DUMMYFUNCTION("GOOGLETRANSLATE(H4294,""EN"",""ES"")"),"Gastronomía")</f>
        <v>Gastronomía</v>
      </c>
      <c r="J4294" s="16" t="s">
        <v>27</v>
      </c>
      <c r="K4294" s="17">
        <v>0.0</v>
      </c>
      <c r="L4294" s="45"/>
      <c r="M4294" s="18"/>
      <c r="N4294" s="94"/>
      <c r="O4294" s="94"/>
      <c r="P4294" s="20">
        <v>0.0</v>
      </c>
      <c r="Q4294" s="18"/>
      <c r="R4294" s="18"/>
      <c r="S4294" s="52"/>
      <c r="T4294" s="22"/>
    </row>
    <row r="4295">
      <c r="A4295" s="23" t="s">
        <v>30564</v>
      </c>
      <c r="B4295" s="77" t="s">
        <v>6522</v>
      </c>
      <c r="C4295" s="96">
        <v>45607.0</v>
      </c>
      <c r="D4295" s="40" t="s">
        <v>30565</v>
      </c>
      <c r="E4295" s="97" t="s">
        <v>30566</v>
      </c>
      <c r="F4295" s="98" t="s">
        <v>30567</v>
      </c>
      <c r="G4295" s="98" t="s">
        <v>30568</v>
      </c>
      <c r="H4295" s="51" t="s">
        <v>148</v>
      </c>
      <c r="I4295" s="25" t="str">
        <f>IFERROR(__xludf.DUMMYFUNCTION("GOOGLETRANSLATE(H4295,""EN"",""ES"")"),"Gastronomía")</f>
        <v>Gastronomía</v>
      </c>
      <c r="J4295" s="26" t="s">
        <v>27</v>
      </c>
      <c r="K4295" s="17">
        <v>0.0</v>
      </c>
      <c r="L4295" s="54"/>
      <c r="M4295" s="31"/>
      <c r="N4295" s="93"/>
      <c r="O4295" s="93"/>
      <c r="P4295" s="20">
        <v>0.0</v>
      </c>
      <c r="Q4295" s="31"/>
      <c r="R4295" s="31"/>
      <c r="S4295" s="53"/>
      <c r="T4295" s="32"/>
    </row>
    <row r="4296">
      <c r="A4296" s="33" t="s">
        <v>30569</v>
      </c>
      <c r="B4296" s="76" t="s">
        <v>7766</v>
      </c>
      <c r="C4296" s="99">
        <v>45607.0</v>
      </c>
      <c r="D4296" s="40" t="s">
        <v>30570</v>
      </c>
      <c r="E4296" s="100" t="s">
        <v>30571</v>
      </c>
      <c r="F4296" s="101" t="s">
        <v>30572</v>
      </c>
      <c r="G4296" s="101" t="s">
        <v>30573</v>
      </c>
      <c r="H4296" s="51" t="s">
        <v>148</v>
      </c>
      <c r="I4296" s="15" t="str">
        <f>IFERROR(__xludf.DUMMYFUNCTION("GOOGLETRANSLATE(H4296,""EN"",""ES"")"),"Gastronomía")</f>
        <v>Gastronomía</v>
      </c>
      <c r="J4296" s="16" t="s">
        <v>27</v>
      </c>
      <c r="K4296" s="17">
        <v>0.0</v>
      </c>
      <c r="L4296" s="45"/>
      <c r="M4296" s="18"/>
      <c r="N4296" s="94"/>
      <c r="O4296" s="94"/>
      <c r="P4296" s="20">
        <v>0.0</v>
      </c>
      <c r="Q4296" s="18"/>
      <c r="R4296" s="18"/>
      <c r="S4296" s="52"/>
      <c r="T4296" s="22"/>
    </row>
    <row r="4297">
      <c r="A4297" s="23" t="s">
        <v>30574</v>
      </c>
      <c r="B4297" s="77" t="s">
        <v>1005</v>
      </c>
      <c r="C4297" s="96">
        <v>45607.0</v>
      </c>
      <c r="D4297" s="40" t="s">
        <v>30575</v>
      </c>
      <c r="E4297" s="97" t="s">
        <v>30459</v>
      </c>
      <c r="F4297" s="98" t="s">
        <v>30576</v>
      </c>
      <c r="G4297" s="98" t="s">
        <v>30461</v>
      </c>
      <c r="H4297" s="51" t="s">
        <v>148</v>
      </c>
      <c r="I4297" s="25" t="str">
        <f>IFERROR(__xludf.DUMMYFUNCTION("GOOGLETRANSLATE(H4297,""EN"",""ES"")"),"Gastronomía")</f>
        <v>Gastronomía</v>
      </c>
      <c r="J4297" s="26" t="s">
        <v>27</v>
      </c>
      <c r="K4297" s="17">
        <v>0.0</v>
      </c>
      <c r="L4297" s="54"/>
      <c r="M4297" s="31"/>
      <c r="N4297" s="93"/>
      <c r="O4297" s="93"/>
      <c r="P4297" s="20">
        <v>0.0</v>
      </c>
      <c r="Q4297" s="31"/>
      <c r="R4297" s="31"/>
      <c r="S4297" s="53"/>
      <c r="T4297" s="32"/>
    </row>
    <row r="4298">
      <c r="A4298" s="33" t="s">
        <v>30577</v>
      </c>
      <c r="B4298" s="76" t="s">
        <v>1081</v>
      </c>
      <c r="C4298" s="99">
        <v>45607.0</v>
      </c>
      <c r="D4298" s="40" t="s">
        <v>30578</v>
      </c>
      <c r="E4298" s="100" t="s">
        <v>30579</v>
      </c>
      <c r="F4298" s="101" t="s">
        <v>30580</v>
      </c>
      <c r="G4298" s="101" t="s">
        <v>30581</v>
      </c>
      <c r="H4298" s="51" t="s">
        <v>148</v>
      </c>
      <c r="I4298" s="15" t="str">
        <f>IFERROR(__xludf.DUMMYFUNCTION("GOOGLETRANSLATE(H4298,""EN"",""ES"")"),"Gastronomía")</f>
        <v>Gastronomía</v>
      </c>
      <c r="J4298" s="16" t="s">
        <v>27</v>
      </c>
      <c r="K4298" s="17">
        <v>0.0</v>
      </c>
      <c r="L4298" s="45"/>
      <c r="M4298" s="18"/>
      <c r="N4298" s="94"/>
      <c r="O4298" s="94"/>
      <c r="P4298" s="20">
        <v>0.0</v>
      </c>
      <c r="Q4298" s="18"/>
      <c r="R4298" s="18"/>
      <c r="S4298" s="52"/>
      <c r="T4298" s="22"/>
    </row>
    <row r="4299">
      <c r="A4299" s="23" t="s">
        <v>30582</v>
      </c>
      <c r="B4299" s="77" t="s">
        <v>437</v>
      </c>
      <c r="C4299" s="96">
        <v>45607.0</v>
      </c>
      <c r="D4299" s="40" t="s">
        <v>30583</v>
      </c>
      <c r="E4299" s="97" t="s">
        <v>30584</v>
      </c>
      <c r="F4299" s="98" t="s">
        <v>30585</v>
      </c>
      <c r="G4299" s="98" t="s">
        <v>30586</v>
      </c>
      <c r="H4299" s="51" t="s">
        <v>148</v>
      </c>
      <c r="I4299" s="25" t="str">
        <f>IFERROR(__xludf.DUMMYFUNCTION("GOOGLETRANSLATE(H4299,""EN"",""ES"")"),"Gastronomía")</f>
        <v>Gastronomía</v>
      </c>
      <c r="J4299" s="26" t="s">
        <v>27</v>
      </c>
      <c r="K4299" s="17">
        <v>0.0</v>
      </c>
      <c r="L4299" s="54"/>
      <c r="M4299" s="31"/>
      <c r="N4299" s="93"/>
      <c r="O4299" s="93"/>
      <c r="P4299" s="20">
        <v>0.0</v>
      </c>
      <c r="Q4299" s="31"/>
      <c r="R4299" s="31"/>
      <c r="S4299" s="53"/>
      <c r="T4299" s="32"/>
    </row>
    <row r="4300">
      <c r="A4300" s="33" t="s">
        <v>30587</v>
      </c>
      <c r="B4300" s="76" t="s">
        <v>977</v>
      </c>
      <c r="C4300" s="99">
        <v>45607.0</v>
      </c>
      <c r="D4300" s="40" t="s">
        <v>30588</v>
      </c>
      <c r="E4300" s="100" t="s">
        <v>30589</v>
      </c>
      <c r="F4300" s="101" t="s">
        <v>30590</v>
      </c>
      <c r="G4300" s="101" t="s">
        <v>30591</v>
      </c>
      <c r="H4300" s="51" t="s">
        <v>148</v>
      </c>
      <c r="I4300" s="15" t="str">
        <f>IFERROR(__xludf.DUMMYFUNCTION("GOOGLETRANSLATE(H4300,""EN"",""ES"")"),"Gastronomía")</f>
        <v>Gastronomía</v>
      </c>
      <c r="J4300" s="16" t="s">
        <v>27</v>
      </c>
      <c r="K4300" s="17">
        <v>0.0</v>
      </c>
      <c r="L4300" s="45"/>
      <c r="M4300" s="18"/>
      <c r="N4300" s="94"/>
      <c r="O4300" s="94"/>
      <c r="P4300" s="20">
        <v>0.0</v>
      </c>
      <c r="Q4300" s="18"/>
      <c r="R4300" s="18"/>
      <c r="S4300" s="52"/>
      <c r="T4300" s="22"/>
    </row>
    <row r="4301">
      <c r="A4301" s="23" t="s">
        <v>30592</v>
      </c>
      <c r="B4301" s="77" t="s">
        <v>30593</v>
      </c>
      <c r="C4301" s="96">
        <v>45607.0</v>
      </c>
      <c r="D4301" s="40" t="s">
        <v>30594</v>
      </c>
      <c r="E4301" s="97" t="s">
        <v>30595</v>
      </c>
      <c r="F4301" s="98" t="s">
        <v>30596</v>
      </c>
      <c r="G4301" s="98" t="s">
        <v>30597</v>
      </c>
      <c r="H4301" s="51" t="s">
        <v>148</v>
      </c>
      <c r="I4301" s="25" t="str">
        <f>IFERROR(__xludf.DUMMYFUNCTION("GOOGLETRANSLATE(H4301,""EN"",""ES"")"),"Gastronomía")</f>
        <v>Gastronomía</v>
      </c>
      <c r="J4301" s="26" t="s">
        <v>27</v>
      </c>
      <c r="K4301" s="17">
        <v>0.0</v>
      </c>
      <c r="L4301" s="54"/>
      <c r="M4301" s="31"/>
      <c r="N4301" s="93"/>
      <c r="O4301" s="93"/>
      <c r="P4301" s="20">
        <v>0.0</v>
      </c>
      <c r="Q4301" s="31"/>
      <c r="R4301" s="31"/>
      <c r="S4301" s="53"/>
      <c r="T4301" s="32"/>
    </row>
    <row r="4302">
      <c r="A4302" s="33" t="s">
        <v>30598</v>
      </c>
      <c r="B4302" s="76" t="s">
        <v>3045</v>
      </c>
      <c r="C4302" s="99">
        <v>45607.0</v>
      </c>
      <c r="D4302" s="40" t="s">
        <v>30599</v>
      </c>
      <c r="E4302" s="100" t="s">
        <v>30600</v>
      </c>
      <c r="F4302" s="101" t="s">
        <v>30601</v>
      </c>
      <c r="G4302" s="101" t="s">
        <v>30602</v>
      </c>
      <c r="H4302" s="51" t="s">
        <v>148</v>
      </c>
      <c r="I4302" s="15" t="str">
        <f>IFERROR(__xludf.DUMMYFUNCTION("GOOGLETRANSLATE(H4302,""EN"",""ES"")"),"Gastronomía")</f>
        <v>Gastronomía</v>
      </c>
      <c r="J4302" s="16" t="s">
        <v>27</v>
      </c>
      <c r="K4302" s="17">
        <v>0.0</v>
      </c>
      <c r="L4302" s="45"/>
      <c r="M4302" s="18"/>
      <c r="N4302" s="94"/>
      <c r="O4302" s="94"/>
      <c r="P4302" s="20">
        <v>0.0</v>
      </c>
      <c r="Q4302" s="18"/>
      <c r="R4302" s="18"/>
      <c r="S4302" s="52"/>
      <c r="T4302" s="22"/>
    </row>
    <row r="4303">
      <c r="A4303" s="23" t="s">
        <v>30603</v>
      </c>
      <c r="B4303" s="77" t="s">
        <v>4559</v>
      </c>
      <c r="C4303" s="96">
        <v>45607.0</v>
      </c>
      <c r="D4303" s="40" t="s">
        <v>30604</v>
      </c>
      <c r="E4303" s="97" t="s">
        <v>30605</v>
      </c>
      <c r="F4303" s="98" t="s">
        <v>30606</v>
      </c>
      <c r="G4303" s="98" t="s">
        <v>30607</v>
      </c>
      <c r="H4303" s="51" t="s">
        <v>3985</v>
      </c>
      <c r="I4303" s="25" t="str">
        <f>IFERROR(__xludf.DUMMYFUNCTION("GOOGLETRANSLATE(H4303,""EN"",""ES"")"),"Deportes")</f>
        <v>Deportes</v>
      </c>
      <c r="J4303" s="26" t="s">
        <v>27</v>
      </c>
      <c r="K4303" s="17">
        <v>0.0</v>
      </c>
      <c r="L4303" s="54"/>
      <c r="M4303" s="31"/>
      <c r="N4303" s="93"/>
      <c r="O4303" s="93"/>
      <c r="P4303" s="20">
        <v>0.0</v>
      </c>
      <c r="Q4303" s="31"/>
      <c r="R4303" s="31"/>
      <c r="S4303" s="53"/>
      <c r="T4303" s="32"/>
    </row>
    <row r="4304">
      <c r="A4304" s="33" t="s">
        <v>30608</v>
      </c>
      <c r="B4304" s="76" t="s">
        <v>13601</v>
      </c>
      <c r="C4304" s="99">
        <v>45607.0</v>
      </c>
      <c r="D4304" s="40" t="s">
        <v>30609</v>
      </c>
      <c r="E4304" s="100" t="s">
        <v>30610</v>
      </c>
      <c r="F4304" s="101" t="s">
        <v>30611</v>
      </c>
      <c r="G4304" s="101" t="s">
        <v>30612</v>
      </c>
      <c r="H4304" s="51" t="s">
        <v>148</v>
      </c>
      <c r="I4304" s="15" t="str">
        <f>IFERROR(__xludf.DUMMYFUNCTION("GOOGLETRANSLATE(H4304,""EN"",""ES"")"),"Gastronomía")</f>
        <v>Gastronomía</v>
      </c>
      <c r="J4304" s="16" t="s">
        <v>27</v>
      </c>
      <c r="K4304" s="17">
        <v>0.0</v>
      </c>
      <c r="L4304" s="45"/>
      <c r="M4304" s="18"/>
      <c r="N4304" s="94"/>
      <c r="O4304" s="94"/>
      <c r="P4304" s="20">
        <v>0.0</v>
      </c>
      <c r="Q4304" s="18"/>
      <c r="R4304" s="18"/>
      <c r="S4304" s="52"/>
      <c r="T4304" s="22"/>
    </row>
    <row r="4305">
      <c r="A4305" s="23" t="s">
        <v>30613</v>
      </c>
      <c r="B4305" s="77" t="s">
        <v>4849</v>
      </c>
      <c r="C4305" s="96">
        <v>45607.0</v>
      </c>
      <c r="D4305" s="40" t="s">
        <v>30614</v>
      </c>
      <c r="E4305" s="97" t="s">
        <v>30615</v>
      </c>
      <c r="F4305" s="98" t="s">
        <v>30616</v>
      </c>
      <c r="G4305" s="98" t="s">
        <v>30617</v>
      </c>
      <c r="H4305" s="51" t="s">
        <v>148</v>
      </c>
      <c r="I4305" s="25" t="str">
        <f>IFERROR(__xludf.DUMMYFUNCTION("GOOGLETRANSLATE(H4305,""EN"",""ES"")"),"Gastronomía")</f>
        <v>Gastronomía</v>
      </c>
      <c r="J4305" s="26" t="s">
        <v>27</v>
      </c>
      <c r="K4305" s="17">
        <v>0.0</v>
      </c>
      <c r="L4305" s="54"/>
      <c r="M4305" s="31"/>
      <c r="N4305" s="93"/>
      <c r="O4305" s="93"/>
      <c r="P4305" s="20">
        <v>0.0</v>
      </c>
      <c r="Q4305" s="31"/>
      <c r="R4305" s="31"/>
      <c r="S4305" s="53"/>
      <c r="T4305" s="32"/>
    </row>
    <row r="4306">
      <c r="A4306" s="33" t="s">
        <v>30618</v>
      </c>
      <c r="B4306" s="76" t="s">
        <v>14911</v>
      </c>
      <c r="C4306" s="99">
        <v>45607.0</v>
      </c>
      <c r="D4306" s="40" t="s">
        <v>30619</v>
      </c>
      <c r="E4306" s="100" t="s">
        <v>30620</v>
      </c>
      <c r="F4306" s="101" t="s">
        <v>30621</v>
      </c>
      <c r="G4306" s="101" t="s">
        <v>30622</v>
      </c>
      <c r="H4306" s="51" t="s">
        <v>148</v>
      </c>
      <c r="I4306" s="15" t="str">
        <f>IFERROR(__xludf.DUMMYFUNCTION("GOOGLETRANSLATE(H4306,""EN"",""ES"")"),"Gastronomía")</f>
        <v>Gastronomía</v>
      </c>
      <c r="J4306" s="16" t="s">
        <v>27</v>
      </c>
      <c r="K4306" s="17">
        <v>0.0</v>
      </c>
      <c r="L4306" s="45"/>
      <c r="M4306" s="18"/>
      <c r="N4306" s="94"/>
      <c r="O4306" s="94"/>
      <c r="P4306" s="20">
        <v>0.0</v>
      </c>
      <c r="Q4306" s="18"/>
      <c r="R4306" s="18"/>
      <c r="S4306" s="52"/>
      <c r="T4306" s="22"/>
    </row>
    <row r="4307">
      <c r="A4307" s="23" t="s">
        <v>30623</v>
      </c>
      <c r="B4307" s="77" t="s">
        <v>614</v>
      </c>
      <c r="C4307" s="96">
        <v>45607.0</v>
      </c>
      <c r="D4307" s="40" t="s">
        <v>30624</v>
      </c>
      <c r="E4307" s="97" t="s">
        <v>30625</v>
      </c>
      <c r="F4307" s="98" t="s">
        <v>30626</v>
      </c>
      <c r="G4307" s="98" t="s">
        <v>30627</v>
      </c>
      <c r="H4307" s="51" t="s">
        <v>148</v>
      </c>
      <c r="I4307" s="25" t="str">
        <f>IFERROR(__xludf.DUMMYFUNCTION("GOOGLETRANSLATE(H4307,""EN"",""ES"")"),"Gastronomía")</f>
        <v>Gastronomía</v>
      </c>
      <c r="J4307" s="26" t="s">
        <v>27</v>
      </c>
      <c r="K4307" s="17">
        <v>0.0</v>
      </c>
      <c r="L4307" s="54"/>
      <c r="M4307" s="31"/>
      <c r="N4307" s="93"/>
      <c r="O4307" s="93"/>
      <c r="P4307" s="20">
        <v>0.0</v>
      </c>
      <c r="Q4307" s="31"/>
      <c r="R4307" s="31"/>
      <c r="S4307" s="53"/>
      <c r="T4307" s="32"/>
    </row>
    <row r="4308">
      <c r="A4308" s="33" t="s">
        <v>30628</v>
      </c>
      <c r="B4308" s="76" t="s">
        <v>16303</v>
      </c>
      <c r="C4308" s="99">
        <v>45607.0</v>
      </c>
      <c r="D4308" s="40" t="s">
        <v>30629</v>
      </c>
      <c r="E4308" s="100" t="s">
        <v>30630</v>
      </c>
      <c r="F4308" s="101" t="s">
        <v>30631</v>
      </c>
      <c r="G4308" s="101" t="s">
        <v>30632</v>
      </c>
      <c r="H4308" s="51" t="s">
        <v>148</v>
      </c>
      <c r="I4308" s="15" t="str">
        <f>IFERROR(__xludf.DUMMYFUNCTION("GOOGLETRANSLATE(H4308,""EN"",""ES"")"),"Gastronomía")</f>
        <v>Gastronomía</v>
      </c>
      <c r="J4308" s="16" t="s">
        <v>27</v>
      </c>
      <c r="K4308" s="17">
        <v>0.0</v>
      </c>
      <c r="L4308" s="45"/>
      <c r="M4308" s="18"/>
      <c r="N4308" s="94"/>
      <c r="O4308" s="94"/>
      <c r="P4308" s="20">
        <v>0.0</v>
      </c>
      <c r="Q4308" s="18"/>
      <c r="R4308" s="18"/>
      <c r="S4308" s="52"/>
      <c r="T4308" s="22"/>
    </row>
    <row r="4309">
      <c r="A4309" s="23" t="s">
        <v>30633</v>
      </c>
      <c r="B4309" s="77" t="s">
        <v>7695</v>
      </c>
      <c r="C4309" s="96">
        <v>45607.0</v>
      </c>
      <c r="D4309" s="40" t="s">
        <v>30634</v>
      </c>
      <c r="E4309" s="97" t="s">
        <v>30635</v>
      </c>
      <c r="F4309" s="98" t="s">
        <v>30636</v>
      </c>
      <c r="G4309" s="98" t="s">
        <v>30637</v>
      </c>
      <c r="H4309" s="51" t="s">
        <v>148</v>
      </c>
      <c r="I4309" s="25" t="str">
        <f>IFERROR(__xludf.DUMMYFUNCTION("GOOGLETRANSLATE(H4309,""EN"",""ES"")"),"Gastronomía")</f>
        <v>Gastronomía</v>
      </c>
      <c r="J4309" s="26" t="s">
        <v>27</v>
      </c>
      <c r="K4309" s="17">
        <v>0.0</v>
      </c>
      <c r="L4309" s="54"/>
      <c r="M4309" s="31"/>
      <c r="N4309" s="93"/>
      <c r="O4309" s="93"/>
      <c r="P4309" s="20">
        <v>0.0</v>
      </c>
      <c r="Q4309" s="31"/>
      <c r="R4309" s="31"/>
      <c r="S4309" s="53"/>
      <c r="T4309" s="32"/>
    </row>
    <row r="4310">
      <c r="A4310" s="33" t="s">
        <v>30638</v>
      </c>
      <c r="B4310" s="76" t="s">
        <v>7452</v>
      </c>
      <c r="C4310" s="99">
        <v>45607.0</v>
      </c>
      <c r="D4310" s="40" t="s">
        <v>30639</v>
      </c>
      <c r="E4310" s="100" t="s">
        <v>30640</v>
      </c>
      <c r="F4310" s="101" t="s">
        <v>30641</v>
      </c>
      <c r="G4310" s="101" t="s">
        <v>30642</v>
      </c>
      <c r="H4310" s="51" t="s">
        <v>148</v>
      </c>
      <c r="I4310" s="15" t="str">
        <f>IFERROR(__xludf.DUMMYFUNCTION("GOOGLETRANSLATE(H4310,""EN"",""ES"")"),"Gastronomía")</f>
        <v>Gastronomía</v>
      </c>
      <c r="J4310" s="16" t="s">
        <v>27</v>
      </c>
      <c r="K4310" s="17">
        <v>0.0</v>
      </c>
      <c r="L4310" s="45"/>
      <c r="M4310" s="18"/>
      <c r="N4310" s="94"/>
      <c r="O4310" s="94"/>
      <c r="P4310" s="20">
        <v>0.0</v>
      </c>
      <c r="Q4310" s="18"/>
      <c r="R4310" s="18"/>
      <c r="S4310" s="52"/>
      <c r="T4310" s="22"/>
    </row>
    <row r="4311">
      <c r="A4311" s="23" t="s">
        <v>30643</v>
      </c>
      <c r="B4311" s="77" t="s">
        <v>8029</v>
      </c>
      <c r="C4311" s="96">
        <v>45607.0</v>
      </c>
      <c r="D4311" s="40" t="s">
        <v>30644</v>
      </c>
      <c r="E4311" s="97" t="s">
        <v>30645</v>
      </c>
      <c r="F4311" s="98" t="s">
        <v>30646</v>
      </c>
      <c r="G4311" s="98" t="s">
        <v>30647</v>
      </c>
      <c r="H4311" s="51" t="s">
        <v>48</v>
      </c>
      <c r="I4311" s="25" t="str">
        <f>IFERROR(__xludf.DUMMYFUNCTION("GOOGLETRANSLATE(H4311,""EN"",""ES"")"),"Finanzas")</f>
        <v>Finanzas</v>
      </c>
      <c r="J4311" s="26" t="s">
        <v>35</v>
      </c>
      <c r="K4311" s="48">
        <v>0.0</v>
      </c>
      <c r="L4311" s="54"/>
      <c r="M4311" s="31"/>
      <c r="N4311" s="93" t="s">
        <v>30648</v>
      </c>
      <c r="O4311" s="93" t="str">
        <f>IFERROR(__xludf.DUMMYFUNCTION("GOOGLETRANSLATE(N4311,""EN"",""ES"")"),"Neutral ya que informa datos bursátiles.")</f>
        <v>Neutral ya que informa datos bursátiles.</v>
      </c>
      <c r="P4311" s="30">
        <v>0.0</v>
      </c>
      <c r="Q4311" s="31"/>
      <c r="R4311" s="31"/>
      <c r="S4311" s="53" t="s">
        <v>27387</v>
      </c>
      <c r="T4311" s="32" t="s">
        <v>27388</v>
      </c>
    </row>
    <row r="4312">
      <c r="A4312" s="33" t="s">
        <v>30649</v>
      </c>
      <c r="B4312" s="76" t="s">
        <v>2726</v>
      </c>
      <c r="C4312" s="99">
        <v>45607.0</v>
      </c>
      <c r="D4312" s="40" t="s">
        <v>30650</v>
      </c>
      <c r="E4312" s="100" t="s">
        <v>30651</v>
      </c>
      <c r="F4312" s="101" t="s">
        <v>30652</v>
      </c>
      <c r="G4312" s="101" t="s">
        <v>30653</v>
      </c>
      <c r="H4312" s="51" t="s">
        <v>148</v>
      </c>
      <c r="I4312" s="15" t="str">
        <f>IFERROR(__xludf.DUMMYFUNCTION("GOOGLETRANSLATE(H4312,""EN"",""ES"")"),"Gastronomía")</f>
        <v>Gastronomía</v>
      </c>
      <c r="J4312" s="16" t="s">
        <v>27</v>
      </c>
      <c r="K4312" s="17">
        <v>0.0</v>
      </c>
      <c r="L4312" s="45"/>
      <c r="M4312" s="18"/>
      <c r="N4312" s="94"/>
      <c r="O4312" s="94"/>
      <c r="P4312" s="20">
        <v>0.0</v>
      </c>
      <c r="Q4312" s="18"/>
      <c r="R4312" s="18"/>
      <c r="S4312" s="52"/>
      <c r="T4312" s="22"/>
    </row>
    <row r="4313">
      <c r="A4313" s="23" t="s">
        <v>30654</v>
      </c>
      <c r="B4313" s="77" t="s">
        <v>2242</v>
      </c>
      <c r="C4313" s="96">
        <v>45607.0</v>
      </c>
      <c r="D4313" s="40" t="s">
        <v>30655</v>
      </c>
      <c r="E4313" s="97" t="s">
        <v>30656</v>
      </c>
      <c r="F4313" s="98" t="s">
        <v>30657</v>
      </c>
      <c r="G4313" s="98" t="s">
        <v>30658</v>
      </c>
      <c r="H4313" s="51" t="s">
        <v>148</v>
      </c>
      <c r="I4313" s="25" t="str">
        <f>IFERROR(__xludf.DUMMYFUNCTION("GOOGLETRANSLATE(H4313,""EN"",""ES"")"),"Gastronomía")</f>
        <v>Gastronomía</v>
      </c>
      <c r="J4313" s="26" t="s">
        <v>27</v>
      </c>
      <c r="K4313" s="17">
        <v>0.0</v>
      </c>
      <c r="L4313" s="54"/>
      <c r="M4313" s="31"/>
      <c r="N4313" s="93"/>
      <c r="O4313" s="93"/>
      <c r="P4313" s="20">
        <v>0.0</v>
      </c>
      <c r="Q4313" s="31"/>
      <c r="R4313" s="31"/>
      <c r="S4313" s="53"/>
      <c r="T4313" s="32"/>
    </row>
    <row r="4314">
      <c r="A4314" s="33" t="s">
        <v>30659</v>
      </c>
      <c r="B4314" s="76" t="s">
        <v>6555</v>
      </c>
      <c r="C4314" s="99">
        <v>45607.0</v>
      </c>
      <c r="D4314" s="40" t="s">
        <v>30660</v>
      </c>
      <c r="E4314" s="100" t="s">
        <v>30661</v>
      </c>
      <c r="F4314" s="101" t="s">
        <v>30662</v>
      </c>
      <c r="G4314" s="101" t="s">
        <v>30663</v>
      </c>
      <c r="H4314" s="51" t="s">
        <v>148</v>
      </c>
      <c r="I4314" s="15" t="str">
        <f>IFERROR(__xludf.DUMMYFUNCTION("GOOGLETRANSLATE(H4314,""EN"",""ES"")"),"Gastronomía")</f>
        <v>Gastronomía</v>
      </c>
      <c r="J4314" s="16" t="s">
        <v>27</v>
      </c>
      <c r="K4314" s="17">
        <v>0.0</v>
      </c>
      <c r="L4314" s="45"/>
      <c r="M4314" s="18"/>
      <c r="N4314" s="94"/>
      <c r="O4314" s="94"/>
      <c r="P4314" s="20">
        <v>0.0</v>
      </c>
      <c r="Q4314" s="18"/>
      <c r="R4314" s="18"/>
      <c r="S4314" s="52"/>
      <c r="T4314" s="22"/>
    </row>
    <row r="4315">
      <c r="A4315" s="23" t="s">
        <v>30664</v>
      </c>
      <c r="B4315" s="77" t="s">
        <v>3067</v>
      </c>
      <c r="C4315" s="96">
        <v>45607.0</v>
      </c>
      <c r="D4315" s="40" t="s">
        <v>30665</v>
      </c>
      <c r="E4315" s="97" t="s">
        <v>30666</v>
      </c>
      <c r="F4315" s="98" t="s">
        <v>30667</v>
      </c>
      <c r="G4315" s="98" t="s">
        <v>30668</v>
      </c>
      <c r="H4315" s="51" t="s">
        <v>148</v>
      </c>
      <c r="I4315" s="25" t="str">
        <f>IFERROR(__xludf.DUMMYFUNCTION("GOOGLETRANSLATE(H4315,""EN"",""ES"")"),"Gastronomía")</f>
        <v>Gastronomía</v>
      </c>
      <c r="J4315" s="26" t="s">
        <v>27</v>
      </c>
      <c r="K4315" s="17">
        <v>0.0</v>
      </c>
      <c r="L4315" s="54"/>
      <c r="M4315" s="31"/>
      <c r="N4315" s="93"/>
      <c r="O4315" s="93"/>
      <c r="P4315" s="20">
        <v>0.0</v>
      </c>
      <c r="Q4315" s="31"/>
      <c r="R4315" s="31"/>
      <c r="S4315" s="53"/>
      <c r="T4315" s="32"/>
    </row>
    <row r="4316">
      <c r="A4316" s="33" t="s">
        <v>30669</v>
      </c>
      <c r="B4316" s="76" t="s">
        <v>85</v>
      </c>
      <c r="C4316" s="99">
        <v>45607.0</v>
      </c>
      <c r="D4316" s="40" t="s">
        <v>30670</v>
      </c>
      <c r="E4316" s="100" t="s">
        <v>30671</v>
      </c>
      <c r="F4316" s="101" t="s">
        <v>30672</v>
      </c>
      <c r="G4316" s="101" t="s">
        <v>30673</v>
      </c>
      <c r="H4316" s="51" t="s">
        <v>148</v>
      </c>
      <c r="I4316" s="15" t="str">
        <f>IFERROR(__xludf.DUMMYFUNCTION("GOOGLETRANSLATE(H4316,""EN"",""ES"")"),"Gastronomía")</f>
        <v>Gastronomía</v>
      </c>
      <c r="J4316" s="16" t="s">
        <v>27</v>
      </c>
      <c r="K4316" s="17">
        <v>0.0</v>
      </c>
      <c r="L4316" s="45"/>
      <c r="M4316" s="18"/>
      <c r="N4316" s="94"/>
      <c r="O4316" s="94"/>
      <c r="P4316" s="20">
        <v>0.0</v>
      </c>
      <c r="Q4316" s="18"/>
      <c r="R4316" s="18"/>
      <c r="S4316" s="52"/>
      <c r="T4316" s="22"/>
    </row>
    <row r="4317">
      <c r="A4317" s="23" t="s">
        <v>30674</v>
      </c>
      <c r="B4317" s="77" t="s">
        <v>1081</v>
      </c>
      <c r="C4317" s="96">
        <v>45607.0</v>
      </c>
      <c r="D4317" s="40" t="s">
        <v>30675</v>
      </c>
      <c r="E4317" s="97" t="s">
        <v>30676</v>
      </c>
      <c r="F4317" s="98" t="s">
        <v>30677</v>
      </c>
      <c r="G4317" s="98" t="s">
        <v>30678</v>
      </c>
      <c r="H4317" s="51" t="s">
        <v>148</v>
      </c>
      <c r="I4317" s="25" t="str">
        <f>IFERROR(__xludf.DUMMYFUNCTION("GOOGLETRANSLATE(H4317,""EN"",""ES"")"),"Gastronomía")</f>
        <v>Gastronomía</v>
      </c>
      <c r="J4317" s="26" t="s">
        <v>27</v>
      </c>
      <c r="K4317" s="17">
        <v>0.0</v>
      </c>
      <c r="L4317" s="54"/>
      <c r="M4317" s="31"/>
      <c r="N4317" s="93"/>
      <c r="O4317" s="93"/>
      <c r="P4317" s="20">
        <v>0.0</v>
      </c>
      <c r="Q4317" s="31"/>
      <c r="R4317" s="31"/>
      <c r="S4317" s="53"/>
      <c r="T4317" s="32"/>
    </row>
    <row r="4318">
      <c r="A4318" s="33" t="s">
        <v>30679</v>
      </c>
      <c r="B4318" s="76" t="s">
        <v>2751</v>
      </c>
      <c r="C4318" s="99">
        <v>45607.0</v>
      </c>
      <c r="D4318" s="40" t="s">
        <v>30680</v>
      </c>
      <c r="E4318" s="100" t="s">
        <v>30681</v>
      </c>
      <c r="F4318" s="101" t="s">
        <v>30682</v>
      </c>
      <c r="G4318" s="101" t="s">
        <v>30683</v>
      </c>
      <c r="H4318" s="51" t="s">
        <v>148</v>
      </c>
      <c r="I4318" s="15" t="str">
        <f>IFERROR(__xludf.DUMMYFUNCTION("GOOGLETRANSLATE(H4318,""EN"",""ES"")"),"Gastronomía")</f>
        <v>Gastronomía</v>
      </c>
      <c r="J4318" s="16" t="s">
        <v>27</v>
      </c>
      <c r="K4318" s="17">
        <v>0.0</v>
      </c>
      <c r="L4318" s="45"/>
      <c r="M4318" s="18"/>
      <c r="N4318" s="94"/>
      <c r="O4318" s="94"/>
      <c r="P4318" s="20">
        <v>0.0</v>
      </c>
      <c r="Q4318" s="18"/>
      <c r="R4318" s="18"/>
      <c r="S4318" s="52"/>
      <c r="T4318" s="22"/>
    </row>
    <row r="4319">
      <c r="A4319" s="23" t="s">
        <v>30684</v>
      </c>
      <c r="B4319" s="77" t="s">
        <v>6168</v>
      </c>
      <c r="C4319" s="96">
        <v>45607.0</v>
      </c>
      <c r="D4319" s="40" t="s">
        <v>30685</v>
      </c>
      <c r="E4319" s="97" t="s">
        <v>30686</v>
      </c>
      <c r="F4319" s="98" t="s">
        <v>30687</v>
      </c>
      <c r="G4319" s="98" t="s">
        <v>30688</v>
      </c>
      <c r="H4319" s="51" t="s">
        <v>148</v>
      </c>
      <c r="I4319" s="25" t="str">
        <f>IFERROR(__xludf.DUMMYFUNCTION("GOOGLETRANSLATE(H4319,""EN"",""ES"")"),"Gastronomía")</f>
        <v>Gastronomía</v>
      </c>
      <c r="J4319" s="26" t="s">
        <v>27</v>
      </c>
      <c r="K4319" s="17">
        <v>0.0</v>
      </c>
      <c r="L4319" s="54"/>
      <c r="M4319" s="31"/>
      <c r="N4319" s="93"/>
      <c r="O4319" s="93"/>
      <c r="P4319" s="20">
        <v>0.0</v>
      </c>
      <c r="Q4319" s="31"/>
      <c r="R4319" s="31"/>
      <c r="S4319" s="53"/>
      <c r="T4319" s="32"/>
    </row>
    <row r="4320">
      <c r="A4320" s="33" t="s">
        <v>30689</v>
      </c>
      <c r="B4320" s="76" t="s">
        <v>6297</v>
      </c>
      <c r="C4320" s="99">
        <v>45607.0</v>
      </c>
      <c r="D4320" s="40" t="s">
        <v>30690</v>
      </c>
      <c r="E4320" s="100" t="s">
        <v>30691</v>
      </c>
      <c r="F4320" s="101" t="s">
        <v>30692</v>
      </c>
      <c r="G4320" s="101" t="s">
        <v>30693</v>
      </c>
      <c r="H4320" s="51" t="s">
        <v>148</v>
      </c>
      <c r="I4320" s="15" t="str">
        <f>IFERROR(__xludf.DUMMYFUNCTION("GOOGLETRANSLATE(H4320,""EN"",""ES"")"),"Gastronomía")</f>
        <v>Gastronomía</v>
      </c>
      <c r="J4320" s="16" t="s">
        <v>27</v>
      </c>
      <c r="K4320" s="17">
        <v>0.0</v>
      </c>
      <c r="L4320" s="45"/>
      <c r="M4320" s="18"/>
      <c r="N4320" s="94"/>
      <c r="O4320" s="94"/>
      <c r="P4320" s="20">
        <v>0.0</v>
      </c>
      <c r="Q4320" s="18"/>
      <c r="R4320" s="18"/>
      <c r="S4320" s="52"/>
      <c r="T4320" s="22"/>
    </row>
    <row r="4321">
      <c r="A4321" s="23" t="s">
        <v>30694</v>
      </c>
      <c r="B4321" s="77" t="s">
        <v>30695</v>
      </c>
      <c r="C4321" s="96">
        <v>45607.0</v>
      </c>
      <c r="D4321" s="40" t="s">
        <v>30696</v>
      </c>
      <c r="E4321" s="97" t="s">
        <v>30697</v>
      </c>
      <c r="F4321" s="98" t="s">
        <v>30698</v>
      </c>
      <c r="G4321" s="98" t="s">
        <v>30699</v>
      </c>
      <c r="H4321" s="51" t="s">
        <v>148</v>
      </c>
      <c r="I4321" s="25" t="str">
        <f>IFERROR(__xludf.DUMMYFUNCTION("GOOGLETRANSLATE(H4321,""EN"",""ES"")"),"Gastronomía")</f>
        <v>Gastronomía</v>
      </c>
      <c r="J4321" s="26" t="s">
        <v>27</v>
      </c>
      <c r="K4321" s="17">
        <v>0.0</v>
      </c>
      <c r="L4321" s="54"/>
      <c r="M4321" s="31"/>
      <c r="N4321" s="93"/>
      <c r="O4321" s="93"/>
      <c r="P4321" s="20">
        <v>0.0</v>
      </c>
      <c r="Q4321" s="31"/>
      <c r="R4321" s="31"/>
      <c r="S4321" s="53"/>
      <c r="T4321" s="32"/>
    </row>
    <row r="4322">
      <c r="A4322" s="33" t="s">
        <v>30700</v>
      </c>
      <c r="B4322" s="76" t="s">
        <v>85</v>
      </c>
      <c r="C4322" s="99">
        <v>45607.0</v>
      </c>
      <c r="D4322" s="40" t="s">
        <v>30701</v>
      </c>
      <c r="E4322" s="100" t="s">
        <v>30702</v>
      </c>
      <c r="F4322" s="101" t="s">
        <v>30703</v>
      </c>
      <c r="G4322" s="101" t="s">
        <v>30704</v>
      </c>
      <c r="H4322" s="51" t="s">
        <v>148</v>
      </c>
      <c r="I4322" s="15" t="str">
        <f>IFERROR(__xludf.DUMMYFUNCTION("GOOGLETRANSLATE(H4322,""EN"",""ES"")"),"Gastronomía")</f>
        <v>Gastronomía</v>
      </c>
      <c r="J4322" s="16" t="s">
        <v>27</v>
      </c>
      <c r="K4322" s="17">
        <v>0.0</v>
      </c>
      <c r="L4322" s="45"/>
      <c r="M4322" s="18"/>
      <c r="N4322" s="94"/>
      <c r="O4322" s="94"/>
      <c r="P4322" s="20">
        <v>0.0</v>
      </c>
      <c r="Q4322" s="18"/>
      <c r="R4322" s="18"/>
      <c r="S4322" s="52"/>
      <c r="T4322" s="22"/>
    </row>
    <row r="4323">
      <c r="A4323" s="23" t="s">
        <v>30705</v>
      </c>
      <c r="B4323" s="77" t="s">
        <v>7252</v>
      </c>
      <c r="C4323" s="96">
        <v>45607.0</v>
      </c>
      <c r="D4323" s="40" t="s">
        <v>30706</v>
      </c>
      <c r="E4323" s="97" t="s">
        <v>30707</v>
      </c>
      <c r="F4323" s="98" t="s">
        <v>30708</v>
      </c>
      <c r="G4323" s="98" t="s">
        <v>30709</v>
      </c>
      <c r="H4323" s="51" t="s">
        <v>148</v>
      </c>
      <c r="I4323" s="25" t="str">
        <f>IFERROR(__xludf.DUMMYFUNCTION("GOOGLETRANSLATE(H4323,""EN"",""ES"")"),"Gastronomía")</f>
        <v>Gastronomía</v>
      </c>
      <c r="J4323" s="26" t="s">
        <v>27</v>
      </c>
      <c r="K4323" s="17">
        <v>0.0</v>
      </c>
      <c r="L4323" s="54"/>
      <c r="M4323" s="31"/>
      <c r="N4323" s="93"/>
      <c r="O4323" s="93"/>
      <c r="P4323" s="20">
        <v>0.0</v>
      </c>
      <c r="Q4323" s="31"/>
      <c r="R4323" s="31"/>
      <c r="S4323" s="53"/>
      <c r="T4323" s="32"/>
    </row>
    <row r="4324">
      <c r="A4324" s="33" t="s">
        <v>30710</v>
      </c>
      <c r="B4324" s="76" t="s">
        <v>4937</v>
      </c>
      <c r="C4324" s="99">
        <v>45607.0</v>
      </c>
      <c r="D4324" s="40" t="s">
        <v>30711</v>
      </c>
      <c r="E4324" s="100" t="s">
        <v>30712</v>
      </c>
      <c r="F4324" s="101" t="s">
        <v>30713</v>
      </c>
      <c r="G4324" s="101" t="s">
        <v>30714</v>
      </c>
      <c r="H4324" s="51" t="s">
        <v>148</v>
      </c>
      <c r="I4324" s="15" t="str">
        <f>IFERROR(__xludf.DUMMYFUNCTION("GOOGLETRANSLATE(H4324,""EN"",""ES"")"),"Gastronomía")</f>
        <v>Gastronomía</v>
      </c>
      <c r="J4324" s="16" t="s">
        <v>27</v>
      </c>
      <c r="K4324" s="17">
        <v>0.0</v>
      </c>
      <c r="L4324" s="45"/>
      <c r="M4324" s="18"/>
      <c r="N4324" s="94"/>
      <c r="O4324" s="94"/>
      <c r="P4324" s="20">
        <v>0.0</v>
      </c>
      <c r="Q4324" s="18"/>
      <c r="R4324" s="18"/>
      <c r="S4324" s="52"/>
      <c r="T4324" s="22"/>
    </row>
    <row r="4325">
      <c r="A4325" s="23" t="s">
        <v>30715</v>
      </c>
      <c r="B4325" s="77" t="s">
        <v>2792</v>
      </c>
      <c r="C4325" s="96">
        <v>45607.0</v>
      </c>
      <c r="D4325" s="40" t="s">
        <v>30716</v>
      </c>
      <c r="E4325" s="97" t="s">
        <v>30717</v>
      </c>
      <c r="F4325" s="98" t="s">
        <v>30718</v>
      </c>
      <c r="G4325" s="98" t="s">
        <v>30719</v>
      </c>
      <c r="H4325" s="51" t="s">
        <v>148</v>
      </c>
      <c r="I4325" s="25" t="str">
        <f>IFERROR(__xludf.DUMMYFUNCTION("GOOGLETRANSLATE(H4325,""EN"",""ES"")"),"Gastronomía")</f>
        <v>Gastronomía</v>
      </c>
      <c r="J4325" s="26" t="s">
        <v>27</v>
      </c>
      <c r="K4325" s="17">
        <v>0.0</v>
      </c>
      <c r="L4325" s="54"/>
      <c r="M4325" s="31"/>
      <c r="N4325" s="93"/>
      <c r="O4325" s="93"/>
      <c r="P4325" s="20">
        <v>0.0</v>
      </c>
      <c r="Q4325" s="31"/>
      <c r="R4325" s="31"/>
      <c r="S4325" s="53"/>
      <c r="T4325" s="32"/>
    </row>
    <row r="4326">
      <c r="A4326" s="33" t="s">
        <v>30720</v>
      </c>
      <c r="B4326" s="76" t="s">
        <v>6194</v>
      </c>
      <c r="C4326" s="99">
        <v>45607.0</v>
      </c>
      <c r="D4326" s="40" t="s">
        <v>30721</v>
      </c>
      <c r="E4326" s="100" t="s">
        <v>30722</v>
      </c>
      <c r="F4326" s="101" t="s">
        <v>30723</v>
      </c>
      <c r="G4326" s="101" t="s">
        <v>30724</v>
      </c>
      <c r="H4326" s="51" t="s">
        <v>148</v>
      </c>
      <c r="I4326" s="15" t="str">
        <f>IFERROR(__xludf.DUMMYFUNCTION("GOOGLETRANSLATE(H4326,""EN"",""ES"")"),"Gastronomía")</f>
        <v>Gastronomía</v>
      </c>
      <c r="J4326" s="16" t="s">
        <v>27</v>
      </c>
      <c r="K4326" s="17">
        <v>0.0</v>
      </c>
      <c r="L4326" s="45"/>
      <c r="M4326" s="18"/>
      <c r="N4326" s="94"/>
      <c r="O4326" s="94"/>
      <c r="P4326" s="20">
        <v>0.0</v>
      </c>
      <c r="Q4326" s="18"/>
      <c r="R4326" s="18"/>
      <c r="S4326" s="52"/>
      <c r="T4326" s="22"/>
    </row>
    <row r="4327">
      <c r="A4327" s="23" t="s">
        <v>30725</v>
      </c>
      <c r="B4327" s="77" t="s">
        <v>403</v>
      </c>
      <c r="C4327" s="96">
        <v>45607.0</v>
      </c>
      <c r="D4327" s="40" t="s">
        <v>30726</v>
      </c>
      <c r="E4327" s="97" t="s">
        <v>30727</v>
      </c>
      <c r="F4327" s="98" t="s">
        <v>30728</v>
      </c>
      <c r="G4327" s="98" t="s">
        <v>30729</v>
      </c>
      <c r="H4327" s="51" t="s">
        <v>62</v>
      </c>
      <c r="I4327" s="25" t="str">
        <f>IFERROR(__xludf.DUMMYFUNCTION("GOOGLETRANSLATE(H4327,""EN"",""ES"")"),"Energía")</f>
        <v>Energía</v>
      </c>
      <c r="J4327" s="26" t="s">
        <v>35</v>
      </c>
      <c r="K4327" s="48">
        <v>-0.2</v>
      </c>
      <c r="L4327" s="49" t="s">
        <v>30730</v>
      </c>
      <c r="M4327" s="28" t="s">
        <v>30731</v>
      </c>
      <c r="N4327" s="93" t="s">
        <v>30732</v>
      </c>
      <c r="O4327" s="93" t="str">
        <f>IFERROR(__xludf.DUMMYFUNCTION("GOOGLETRANSLATE(N4327,""EN"",""ES"")"),"Ligeramente negativo ya que sugiere desafíos de competencia.")</f>
        <v>Ligeramente negativo ya que sugiere desafíos de competencia.</v>
      </c>
      <c r="P4327" s="30">
        <v>0.3</v>
      </c>
      <c r="Q4327" s="31" t="str">
        <f>IFERROR(__xludf.DUMMYFUNCTION("GOOGLETRANSLATE(R4327,""ES"",""EN"")"),"push")</f>
        <v>push</v>
      </c>
      <c r="R4327" s="28" t="s">
        <v>30733</v>
      </c>
      <c r="S4327" s="53" t="s">
        <v>30734</v>
      </c>
      <c r="T4327" s="32" t="s">
        <v>30735</v>
      </c>
    </row>
    <row r="4328">
      <c r="A4328" s="33" t="s">
        <v>30736</v>
      </c>
      <c r="B4328" s="76" t="s">
        <v>7278</v>
      </c>
      <c r="C4328" s="99">
        <v>45607.0</v>
      </c>
      <c r="D4328" s="40" t="s">
        <v>30737</v>
      </c>
      <c r="E4328" s="100" t="s">
        <v>30738</v>
      </c>
      <c r="F4328" s="101" t="s">
        <v>30739</v>
      </c>
      <c r="G4328" s="101" t="s">
        <v>30740</v>
      </c>
      <c r="H4328" s="51" t="s">
        <v>148</v>
      </c>
      <c r="I4328" s="15" t="str">
        <f>IFERROR(__xludf.DUMMYFUNCTION("GOOGLETRANSLATE(H4328,""EN"",""ES"")"),"Gastronomía")</f>
        <v>Gastronomía</v>
      </c>
      <c r="J4328" s="16" t="s">
        <v>27</v>
      </c>
      <c r="K4328" s="17">
        <v>0.0</v>
      </c>
      <c r="L4328" s="45"/>
      <c r="M4328" s="18"/>
      <c r="N4328" s="94"/>
      <c r="O4328" s="94"/>
      <c r="P4328" s="20">
        <v>0.0</v>
      </c>
      <c r="Q4328" s="18"/>
      <c r="R4328" s="18"/>
      <c r="S4328" s="52"/>
      <c r="T4328" s="22"/>
    </row>
    <row r="4329">
      <c r="A4329" s="23" t="s">
        <v>30741</v>
      </c>
      <c r="B4329" s="77" t="s">
        <v>881</v>
      </c>
      <c r="C4329" s="96">
        <v>45607.0</v>
      </c>
      <c r="D4329" s="40" t="s">
        <v>30742</v>
      </c>
      <c r="E4329" s="97" t="s">
        <v>30743</v>
      </c>
      <c r="F4329" s="98" t="s">
        <v>30744</v>
      </c>
      <c r="G4329" s="98" t="s">
        <v>30745</v>
      </c>
      <c r="H4329" s="51" t="s">
        <v>148</v>
      </c>
      <c r="I4329" s="25" t="str">
        <f>IFERROR(__xludf.DUMMYFUNCTION("GOOGLETRANSLATE(H4329,""EN"",""ES"")"),"Gastronomía")</f>
        <v>Gastronomía</v>
      </c>
      <c r="J4329" s="26" t="s">
        <v>27</v>
      </c>
      <c r="K4329" s="17">
        <v>0.0</v>
      </c>
      <c r="L4329" s="54"/>
      <c r="M4329" s="31"/>
      <c r="N4329" s="93"/>
      <c r="O4329" s="93"/>
      <c r="P4329" s="20">
        <v>0.0</v>
      </c>
      <c r="Q4329" s="31"/>
      <c r="R4329" s="31"/>
      <c r="S4329" s="53"/>
      <c r="T4329" s="32"/>
    </row>
    <row r="4330">
      <c r="A4330" s="33" t="s">
        <v>30746</v>
      </c>
      <c r="B4330" s="76" t="s">
        <v>10248</v>
      </c>
      <c r="C4330" s="99">
        <v>45607.0</v>
      </c>
      <c r="D4330" s="40" t="s">
        <v>30747</v>
      </c>
      <c r="E4330" s="100" t="s">
        <v>30748</v>
      </c>
      <c r="F4330" s="101" t="s">
        <v>30749</v>
      </c>
      <c r="G4330" s="101" t="s">
        <v>30750</v>
      </c>
      <c r="H4330" s="51" t="s">
        <v>148</v>
      </c>
      <c r="I4330" s="15" t="str">
        <f>IFERROR(__xludf.DUMMYFUNCTION("GOOGLETRANSLATE(H4330,""EN"",""ES"")"),"Gastronomía")</f>
        <v>Gastronomía</v>
      </c>
      <c r="J4330" s="16" t="s">
        <v>27</v>
      </c>
      <c r="K4330" s="17">
        <v>0.0</v>
      </c>
      <c r="L4330" s="45"/>
      <c r="M4330" s="18"/>
      <c r="N4330" s="94"/>
      <c r="O4330" s="94"/>
      <c r="P4330" s="20">
        <v>0.0</v>
      </c>
      <c r="Q4330" s="18"/>
      <c r="R4330" s="18"/>
      <c r="S4330" s="52"/>
      <c r="T4330" s="22"/>
    </row>
    <row r="4331">
      <c r="A4331" s="23" t="s">
        <v>30751</v>
      </c>
      <c r="B4331" s="77" t="s">
        <v>6429</v>
      </c>
      <c r="C4331" s="96">
        <v>45607.0</v>
      </c>
      <c r="D4331" s="40" t="s">
        <v>30752</v>
      </c>
      <c r="E4331" s="97" t="s">
        <v>30753</v>
      </c>
      <c r="F4331" s="98" t="s">
        <v>30754</v>
      </c>
      <c r="G4331" s="98" t="s">
        <v>30755</v>
      </c>
      <c r="H4331" s="51" t="s">
        <v>148</v>
      </c>
      <c r="I4331" s="25" t="str">
        <f>IFERROR(__xludf.DUMMYFUNCTION("GOOGLETRANSLATE(H4331,""EN"",""ES"")"),"Gastronomía")</f>
        <v>Gastronomía</v>
      </c>
      <c r="J4331" s="26" t="s">
        <v>27</v>
      </c>
      <c r="K4331" s="17">
        <v>0.0</v>
      </c>
      <c r="L4331" s="54"/>
      <c r="M4331" s="31"/>
      <c r="N4331" s="93"/>
      <c r="O4331" s="93"/>
      <c r="P4331" s="20">
        <v>0.0</v>
      </c>
      <c r="Q4331" s="31"/>
      <c r="R4331" s="31"/>
      <c r="S4331" s="53"/>
      <c r="T4331" s="32"/>
    </row>
    <row r="4332">
      <c r="A4332" s="33" t="s">
        <v>30756</v>
      </c>
      <c r="B4332" s="76" t="s">
        <v>368</v>
      </c>
      <c r="C4332" s="99">
        <v>45607.0</v>
      </c>
      <c r="D4332" s="40" t="s">
        <v>30757</v>
      </c>
      <c r="E4332" s="100" t="s">
        <v>30758</v>
      </c>
      <c r="F4332" s="101" t="s">
        <v>30759</v>
      </c>
      <c r="G4332" s="101" t="s">
        <v>30760</v>
      </c>
      <c r="H4332" s="51" t="s">
        <v>148</v>
      </c>
      <c r="I4332" s="15" t="str">
        <f>IFERROR(__xludf.DUMMYFUNCTION("GOOGLETRANSLATE(H4332,""EN"",""ES"")"),"Gastronomía")</f>
        <v>Gastronomía</v>
      </c>
      <c r="J4332" s="16" t="s">
        <v>27</v>
      </c>
      <c r="K4332" s="17">
        <v>0.0</v>
      </c>
      <c r="L4332" s="45"/>
      <c r="M4332" s="18"/>
      <c r="N4332" s="94"/>
      <c r="O4332" s="94"/>
      <c r="P4332" s="20">
        <v>0.0</v>
      </c>
      <c r="Q4332" s="18"/>
      <c r="R4332" s="18"/>
      <c r="S4332" s="52"/>
      <c r="T4332" s="22"/>
    </row>
    <row r="4333">
      <c r="A4333" s="23" t="s">
        <v>30761</v>
      </c>
      <c r="B4333" s="77" t="s">
        <v>30762</v>
      </c>
      <c r="C4333" s="96">
        <v>45607.0</v>
      </c>
      <c r="D4333" s="40" t="s">
        <v>30763</v>
      </c>
      <c r="E4333" s="97" t="s">
        <v>30764</v>
      </c>
      <c r="F4333" s="98" t="s">
        <v>30765</v>
      </c>
      <c r="G4333" s="98" t="s">
        <v>30766</v>
      </c>
      <c r="H4333" s="51" t="s">
        <v>148</v>
      </c>
      <c r="I4333" s="25" t="str">
        <f>IFERROR(__xludf.DUMMYFUNCTION("GOOGLETRANSLATE(H4333,""EN"",""ES"")"),"Gastronomía")</f>
        <v>Gastronomía</v>
      </c>
      <c r="J4333" s="26" t="s">
        <v>27</v>
      </c>
      <c r="K4333" s="17">
        <v>0.0</v>
      </c>
      <c r="L4333" s="54"/>
      <c r="M4333" s="31"/>
      <c r="N4333" s="93"/>
      <c r="O4333" s="93"/>
      <c r="P4333" s="20">
        <v>0.0</v>
      </c>
      <c r="Q4333" s="31"/>
      <c r="R4333" s="31"/>
      <c r="S4333" s="53"/>
      <c r="T4333" s="32"/>
    </row>
    <row r="4334">
      <c r="A4334" s="33" t="s">
        <v>30767</v>
      </c>
      <c r="B4334" s="76" t="s">
        <v>1192</v>
      </c>
      <c r="C4334" s="99">
        <v>45607.0</v>
      </c>
      <c r="D4334" s="40" t="s">
        <v>30768</v>
      </c>
      <c r="E4334" s="100" t="s">
        <v>30769</v>
      </c>
      <c r="F4334" s="101" t="s">
        <v>30770</v>
      </c>
      <c r="G4334" s="101" t="s">
        <v>30771</v>
      </c>
      <c r="H4334" s="51" t="s">
        <v>148</v>
      </c>
      <c r="I4334" s="15" t="str">
        <f>IFERROR(__xludf.DUMMYFUNCTION("GOOGLETRANSLATE(H4334,""EN"",""ES"")"),"Gastronomía")</f>
        <v>Gastronomía</v>
      </c>
      <c r="J4334" s="16" t="s">
        <v>27</v>
      </c>
      <c r="K4334" s="17">
        <v>0.0</v>
      </c>
      <c r="L4334" s="45"/>
      <c r="M4334" s="18"/>
      <c r="N4334" s="94"/>
      <c r="O4334" s="94"/>
      <c r="P4334" s="20">
        <v>0.0</v>
      </c>
      <c r="Q4334" s="18"/>
      <c r="R4334" s="18"/>
      <c r="S4334" s="52"/>
      <c r="T4334" s="22"/>
    </row>
    <row r="4335">
      <c r="A4335" s="23" t="s">
        <v>30772</v>
      </c>
      <c r="B4335" s="77" t="s">
        <v>30773</v>
      </c>
      <c r="C4335" s="96">
        <v>45607.0</v>
      </c>
      <c r="D4335" s="40" t="s">
        <v>30774</v>
      </c>
      <c r="E4335" s="97" t="s">
        <v>30775</v>
      </c>
      <c r="F4335" s="98" t="s">
        <v>30776</v>
      </c>
      <c r="G4335" s="98" t="s">
        <v>30777</v>
      </c>
      <c r="H4335" s="51" t="s">
        <v>148</v>
      </c>
      <c r="I4335" s="25" t="str">
        <f>IFERROR(__xludf.DUMMYFUNCTION("GOOGLETRANSLATE(H4335,""EN"",""ES"")"),"Gastronomía")</f>
        <v>Gastronomía</v>
      </c>
      <c r="J4335" s="26" t="s">
        <v>27</v>
      </c>
      <c r="K4335" s="17">
        <v>0.0</v>
      </c>
      <c r="L4335" s="54"/>
      <c r="M4335" s="31"/>
      <c r="N4335" s="93"/>
      <c r="O4335" s="93"/>
      <c r="P4335" s="20">
        <v>0.0</v>
      </c>
      <c r="Q4335" s="31"/>
      <c r="R4335" s="31"/>
      <c r="S4335" s="53"/>
      <c r="T4335" s="32"/>
    </row>
    <row r="4336">
      <c r="A4336" s="33" t="s">
        <v>30778</v>
      </c>
      <c r="B4336" s="76" t="s">
        <v>21</v>
      </c>
      <c r="C4336" s="99">
        <v>45607.0</v>
      </c>
      <c r="D4336" s="40" t="s">
        <v>30779</v>
      </c>
      <c r="E4336" s="100" t="s">
        <v>30780</v>
      </c>
      <c r="F4336" s="101" t="s">
        <v>30781</v>
      </c>
      <c r="G4336" s="101" t="s">
        <v>30782</v>
      </c>
      <c r="H4336" s="51" t="s">
        <v>148</v>
      </c>
      <c r="I4336" s="15" t="str">
        <f>IFERROR(__xludf.DUMMYFUNCTION("GOOGLETRANSLATE(H4336,""EN"",""ES"")"),"Gastronomía")</f>
        <v>Gastronomía</v>
      </c>
      <c r="J4336" s="16" t="s">
        <v>27</v>
      </c>
      <c r="K4336" s="17">
        <v>0.0</v>
      </c>
      <c r="L4336" s="45"/>
      <c r="M4336" s="18"/>
      <c r="N4336" s="94"/>
      <c r="O4336" s="94"/>
      <c r="P4336" s="20">
        <v>0.0</v>
      </c>
      <c r="Q4336" s="18"/>
      <c r="R4336" s="18"/>
      <c r="S4336" s="52"/>
      <c r="T4336" s="22"/>
    </row>
    <row r="4337">
      <c r="A4337" s="23" t="s">
        <v>30783</v>
      </c>
      <c r="B4337" s="77" t="s">
        <v>85</v>
      </c>
      <c r="C4337" s="96">
        <v>45607.0</v>
      </c>
      <c r="D4337" s="40" t="s">
        <v>30784</v>
      </c>
      <c r="E4337" s="97" t="s">
        <v>30785</v>
      </c>
      <c r="F4337" s="98" t="s">
        <v>30786</v>
      </c>
      <c r="G4337" s="98" t="s">
        <v>30787</v>
      </c>
      <c r="H4337" s="51" t="s">
        <v>148</v>
      </c>
      <c r="I4337" s="25" t="str">
        <f>IFERROR(__xludf.DUMMYFUNCTION("GOOGLETRANSLATE(H4337,""EN"",""ES"")"),"Gastronomía")</f>
        <v>Gastronomía</v>
      </c>
      <c r="J4337" s="26" t="s">
        <v>27</v>
      </c>
      <c r="K4337" s="17">
        <v>0.0</v>
      </c>
      <c r="L4337" s="54"/>
      <c r="M4337" s="31"/>
      <c r="N4337" s="93"/>
      <c r="O4337" s="93"/>
      <c r="P4337" s="20">
        <v>0.0</v>
      </c>
      <c r="Q4337" s="31"/>
      <c r="R4337" s="31"/>
      <c r="S4337" s="53"/>
      <c r="T4337" s="32"/>
    </row>
    <row r="4338">
      <c r="A4338" s="33" t="s">
        <v>30788</v>
      </c>
      <c r="B4338" s="76" t="s">
        <v>1081</v>
      </c>
      <c r="C4338" s="99">
        <v>45607.0</v>
      </c>
      <c r="D4338" s="40" t="s">
        <v>30789</v>
      </c>
      <c r="E4338" s="100" t="s">
        <v>30790</v>
      </c>
      <c r="F4338" s="101" t="s">
        <v>30791</v>
      </c>
      <c r="G4338" s="101" t="s">
        <v>30792</v>
      </c>
      <c r="H4338" s="51" t="s">
        <v>148</v>
      </c>
      <c r="I4338" s="15" t="str">
        <f>IFERROR(__xludf.DUMMYFUNCTION("GOOGLETRANSLATE(H4338,""EN"",""ES"")"),"Gastronomía")</f>
        <v>Gastronomía</v>
      </c>
      <c r="J4338" s="16" t="s">
        <v>27</v>
      </c>
      <c r="K4338" s="17">
        <v>0.0</v>
      </c>
      <c r="L4338" s="45"/>
      <c r="M4338" s="18"/>
      <c r="N4338" s="94"/>
      <c r="O4338" s="94"/>
      <c r="P4338" s="20">
        <v>0.0</v>
      </c>
      <c r="Q4338" s="18"/>
      <c r="R4338" s="18"/>
      <c r="S4338" s="52"/>
      <c r="T4338" s="22"/>
    </row>
    <row r="4339">
      <c r="A4339" s="23" t="s">
        <v>30793</v>
      </c>
      <c r="B4339" s="77" t="s">
        <v>85</v>
      </c>
      <c r="C4339" s="96">
        <v>45607.0</v>
      </c>
      <c r="D4339" s="40" t="s">
        <v>30794</v>
      </c>
      <c r="E4339" s="97" t="s">
        <v>30795</v>
      </c>
      <c r="F4339" s="98" t="s">
        <v>30796</v>
      </c>
      <c r="G4339" s="98" t="s">
        <v>30797</v>
      </c>
      <c r="H4339" s="51" t="s">
        <v>148</v>
      </c>
      <c r="I4339" s="25" t="str">
        <f>IFERROR(__xludf.DUMMYFUNCTION("GOOGLETRANSLATE(H4339,""EN"",""ES"")"),"Gastronomía")</f>
        <v>Gastronomía</v>
      </c>
      <c r="J4339" s="26" t="s">
        <v>27</v>
      </c>
      <c r="K4339" s="17">
        <v>0.0</v>
      </c>
      <c r="L4339" s="54"/>
      <c r="M4339" s="31"/>
      <c r="N4339" s="93"/>
      <c r="O4339" s="93"/>
      <c r="P4339" s="20">
        <v>0.0</v>
      </c>
      <c r="Q4339" s="31"/>
      <c r="R4339" s="31"/>
      <c r="S4339" s="53"/>
      <c r="T4339" s="32"/>
    </row>
    <row r="4340">
      <c r="A4340" s="33" t="s">
        <v>30798</v>
      </c>
      <c r="B4340" s="76" t="s">
        <v>85</v>
      </c>
      <c r="C4340" s="99">
        <v>45607.0</v>
      </c>
      <c r="D4340" s="40" t="s">
        <v>30799</v>
      </c>
      <c r="E4340" s="100" t="s">
        <v>30800</v>
      </c>
      <c r="F4340" s="101" t="s">
        <v>30801</v>
      </c>
      <c r="G4340" s="101" t="s">
        <v>30802</v>
      </c>
      <c r="H4340" s="51" t="s">
        <v>148</v>
      </c>
      <c r="I4340" s="15" t="str">
        <f>IFERROR(__xludf.DUMMYFUNCTION("GOOGLETRANSLATE(H4340,""EN"",""ES"")"),"Gastronomía")</f>
        <v>Gastronomía</v>
      </c>
      <c r="J4340" s="16" t="s">
        <v>27</v>
      </c>
      <c r="K4340" s="17">
        <v>0.0</v>
      </c>
      <c r="L4340" s="45"/>
      <c r="M4340" s="18"/>
      <c r="N4340" s="94"/>
      <c r="O4340" s="94"/>
      <c r="P4340" s="20">
        <v>0.0</v>
      </c>
      <c r="Q4340" s="18"/>
      <c r="R4340" s="18"/>
      <c r="S4340" s="52"/>
      <c r="T4340" s="22"/>
    </row>
    <row r="4341">
      <c r="A4341" s="23" t="s">
        <v>30803</v>
      </c>
      <c r="B4341" s="77" t="s">
        <v>11766</v>
      </c>
      <c r="C4341" s="96">
        <v>45607.0</v>
      </c>
      <c r="D4341" s="40" t="s">
        <v>30804</v>
      </c>
      <c r="E4341" s="97" t="s">
        <v>30805</v>
      </c>
      <c r="F4341" s="98" t="s">
        <v>30806</v>
      </c>
      <c r="G4341" s="98" t="s">
        <v>30807</v>
      </c>
      <c r="H4341" s="51" t="s">
        <v>148</v>
      </c>
      <c r="I4341" s="25" t="str">
        <f>IFERROR(__xludf.DUMMYFUNCTION("GOOGLETRANSLATE(H4341,""EN"",""ES"")"),"Gastronomía")</f>
        <v>Gastronomía</v>
      </c>
      <c r="J4341" s="26" t="s">
        <v>27</v>
      </c>
      <c r="K4341" s="17">
        <v>0.0</v>
      </c>
      <c r="L4341" s="54"/>
      <c r="M4341" s="31"/>
      <c r="N4341" s="93"/>
      <c r="O4341" s="93"/>
      <c r="P4341" s="20">
        <v>0.0</v>
      </c>
      <c r="Q4341" s="31"/>
      <c r="R4341" s="31"/>
      <c r="S4341" s="53"/>
      <c r="T4341" s="32"/>
    </row>
    <row r="4342">
      <c r="A4342" s="33" t="s">
        <v>30808</v>
      </c>
      <c r="B4342" s="76" t="s">
        <v>30809</v>
      </c>
      <c r="C4342" s="99">
        <v>45607.0</v>
      </c>
      <c r="D4342" s="40" t="s">
        <v>30810</v>
      </c>
      <c r="E4342" s="100" t="s">
        <v>30811</v>
      </c>
      <c r="F4342" s="101" t="s">
        <v>30812</v>
      </c>
      <c r="G4342" s="101" t="s">
        <v>30813</v>
      </c>
      <c r="H4342" s="51" t="s">
        <v>148</v>
      </c>
      <c r="I4342" s="15" t="str">
        <f>IFERROR(__xludf.DUMMYFUNCTION("GOOGLETRANSLATE(H4342,""EN"",""ES"")"),"Gastronomía")</f>
        <v>Gastronomía</v>
      </c>
      <c r="J4342" s="16" t="s">
        <v>27</v>
      </c>
      <c r="K4342" s="17">
        <v>0.0</v>
      </c>
      <c r="L4342" s="45"/>
      <c r="M4342" s="18"/>
      <c r="N4342" s="94"/>
      <c r="O4342" s="94"/>
      <c r="P4342" s="20">
        <v>0.0</v>
      </c>
      <c r="Q4342" s="18"/>
      <c r="R4342" s="18"/>
      <c r="S4342" s="52"/>
      <c r="T4342" s="22"/>
    </row>
    <row r="4343">
      <c r="A4343" s="23" t="s">
        <v>30814</v>
      </c>
      <c r="B4343" s="77" t="s">
        <v>30815</v>
      </c>
      <c r="C4343" s="96">
        <v>45607.0</v>
      </c>
      <c r="D4343" s="40" t="s">
        <v>30816</v>
      </c>
      <c r="E4343" s="97" t="s">
        <v>30817</v>
      </c>
      <c r="F4343" s="98" t="s">
        <v>30818</v>
      </c>
      <c r="G4343" s="98" t="s">
        <v>30819</v>
      </c>
      <c r="H4343" s="51" t="s">
        <v>148</v>
      </c>
      <c r="I4343" s="25" t="str">
        <f>IFERROR(__xludf.DUMMYFUNCTION("GOOGLETRANSLATE(H4343,""EN"",""ES"")"),"Gastronomía")</f>
        <v>Gastronomía</v>
      </c>
      <c r="J4343" s="26" t="s">
        <v>27</v>
      </c>
      <c r="K4343" s="17">
        <v>0.0</v>
      </c>
      <c r="L4343" s="54"/>
      <c r="M4343" s="31"/>
      <c r="N4343" s="93"/>
      <c r="O4343" s="93"/>
      <c r="P4343" s="20">
        <v>0.0</v>
      </c>
      <c r="Q4343" s="31"/>
      <c r="R4343" s="31"/>
      <c r="S4343" s="53"/>
      <c r="T4343" s="32"/>
    </row>
    <row r="4344">
      <c r="A4344" s="33" t="s">
        <v>30820</v>
      </c>
      <c r="B4344" s="76" t="s">
        <v>6685</v>
      </c>
      <c r="C4344" s="99">
        <v>45607.0</v>
      </c>
      <c r="D4344" s="40" t="s">
        <v>30821</v>
      </c>
      <c r="E4344" s="100" t="s">
        <v>30822</v>
      </c>
      <c r="F4344" s="101" t="s">
        <v>30823</v>
      </c>
      <c r="G4344" s="101" t="s">
        <v>30824</v>
      </c>
      <c r="H4344" s="51" t="s">
        <v>148</v>
      </c>
      <c r="I4344" s="15" t="str">
        <f>IFERROR(__xludf.DUMMYFUNCTION("GOOGLETRANSLATE(H4344,""EN"",""ES"")"),"Gastronomía")</f>
        <v>Gastronomía</v>
      </c>
      <c r="J4344" s="16" t="s">
        <v>27</v>
      </c>
      <c r="K4344" s="17">
        <v>0.0</v>
      </c>
      <c r="L4344" s="45"/>
      <c r="M4344" s="18"/>
      <c r="N4344" s="94"/>
      <c r="O4344" s="94"/>
      <c r="P4344" s="20">
        <v>0.0</v>
      </c>
      <c r="Q4344" s="18"/>
      <c r="R4344" s="18"/>
      <c r="S4344" s="52"/>
      <c r="T4344" s="22"/>
    </row>
    <row r="4345">
      <c r="A4345" s="23" t="s">
        <v>30825</v>
      </c>
      <c r="B4345" s="77" t="s">
        <v>7334</v>
      </c>
      <c r="C4345" s="96">
        <v>45607.0</v>
      </c>
      <c r="D4345" s="40" t="s">
        <v>30826</v>
      </c>
      <c r="E4345" s="97" t="s">
        <v>30827</v>
      </c>
      <c r="F4345" s="98" t="s">
        <v>30828</v>
      </c>
      <c r="G4345" s="98" t="s">
        <v>30829</v>
      </c>
      <c r="H4345" s="51" t="s">
        <v>148</v>
      </c>
      <c r="I4345" s="25" t="str">
        <f>IFERROR(__xludf.DUMMYFUNCTION("GOOGLETRANSLATE(H4345,""EN"",""ES"")"),"Gastronomía")</f>
        <v>Gastronomía</v>
      </c>
      <c r="J4345" s="26" t="s">
        <v>27</v>
      </c>
      <c r="K4345" s="17">
        <v>0.0</v>
      </c>
      <c r="L4345" s="54"/>
      <c r="M4345" s="31"/>
      <c r="N4345" s="93"/>
      <c r="O4345" s="93"/>
      <c r="P4345" s="20">
        <v>0.0</v>
      </c>
      <c r="Q4345" s="31"/>
      <c r="R4345" s="31"/>
      <c r="S4345" s="53"/>
      <c r="T4345" s="32"/>
    </row>
    <row r="4346">
      <c r="A4346" s="33" t="s">
        <v>30830</v>
      </c>
      <c r="B4346" s="76" t="s">
        <v>30831</v>
      </c>
      <c r="C4346" s="99">
        <v>45607.0</v>
      </c>
      <c r="D4346" s="40" t="s">
        <v>30832</v>
      </c>
      <c r="E4346" s="100" t="s">
        <v>30833</v>
      </c>
      <c r="F4346" s="101" t="s">
        <v>30834</v>
      </c>
      <c r="G4346" s="101" t="s">
        <v>30835</v>
      </c>
      <c r="H4346" s="51" t="s">
        <v>148</v>
      </c>
      <c r="I4346" s="15" t="str">
        <f>IFERROR(__xludf.DUMMYFUNCTION("GOOGLETRANSLATE(H4346,""EN"",""ES"")"),"Gastronomía")</f>
        <v>Gastronomía</v>
      </c>
      <c r="J4346" s="16" t="s">
        <v>27</v>
      </c>
      <c r="K4346" s="17">
        <v>0.0</v>
      </c>
      <c r="L4346" s="45"/>
      <c r="M4346" s="18"/>
      <c r="N4346" s="94"/>
      <c r="O4346" s="94"/>
      <c r="P4346" s="20">
        <v>0.0</v>
      </c>
      <c r="Q4346" s="18"/>
      <c r="R4346" s="18"/>
      <c r="S4346" s="52"/>
      <c r="T4346" s="22"/>
    </row>
    <row r="4347">
      <c r="A4347" s="23" t="s">
        <v>30836</v>
      </c>
      <c r="B4347" s="77" t="s">
        <v>6620</v>
      </c>
      <c r="C4347" s="96">
        <v>45607.0</v>
      </c>
      <c r="D4347" s="40" t="s">
        <v>30837</v>
      </c>
      <c r="E4347" s="97" t="s">
        <v>30838</v>
      </c>
      <c r="F4347" s="98" t="s">
        <v>30839</v>
      </c>
      <c r="G4347" s="98" t="s">
        <v>30840</v>
      </c>
      <c r="H4347" s="51" t="s">
        <v>148</v>
      </c>
      <c r="I4347" s="25" t="str">
        <f>IFERROR(__xludf.DUMMYFUNCTION("GOOGLETRANSLATE(H4347,""EN"",""ES"")"),"Gastronomía")</f>
        <v>Gastronomía</v>
      </c>
      <c r="J4347" s="26" t="s">
        <v>27</v>
      </c>
      <c r="K4347" s="17">
        <v>0.0</v>
      </c>
      <c r="L4347" s="54"/>
      <c r="M4347" s="31"/>
      <c r="N4347" s="93"/>
      <c r="O4347" s="93"/>
      <c r="P4347" s="20">
        <v>0.0</v>
      </c>
      <c r="Q4347" s="31"/>
      <c r="R4347" s="31"/>
      <c r="S4347" s="53"/>
      <c r="T4347" s="32"/>
    </row>
    <row r="4348">
      <c r="A4348" s="33" t="s">
        <v>30841</v>
      </c>
      <c r="B4348" s="76" t="s">
        <v>3511</v>
      </c>
      <c r="C4348" s="99">
        <v>45607.0</v>
      </c>
      <c r="D4348" s="40" t="s">
        <v>30842</v>
      </c>
      <c r="E4348" s="100" t="s">
        <v>30843</v>
      </c>
      <c r="F4348" s="101" t="s">
        <v>30844</v>
      </c>
      <c r="G4348" s="101" t="s">
        <v>30845</v>
      </c>
      <c r="H4348" s="51" t="s">
        <v>148</v>
      </c>
      <c r="I4348" s="15" t="str">
        <f>IFERROR(__xludf.DUMMYFUNCTION("GOOGLETRANSLATE(H4348,""EN"",""ES"")"),"Gastronomía")</f>
        <v>Gastronomía</v>
      </c>
      <c r="J4348" s="16" t="s">
        <v>27</v>
      </c>
      <c r="K4348" s="17">
        <v>0.0</v>
      </c>
      <c r="L4348" s="45"/>
      <c r="M4348" s="18"/>
      <c r="N4348" s="94"/>
      <c r="O4348" s="94"/>
      <c r="P4348" s="20">
        <v>0.0</v>
      </c>
      <c r="Q4348" s="18"/>
      <c r="R4348" s="18"/>
      <c r="S4348" s="52"/>
      <c r="T4348" s="22"/>
    </row>
    <row r="4349">
      <c r="A4349" s="23" t="s">
        <v>30846</v>
      </c>
      <c r="B4349" s="77" t="s">
        <v>21</v>
      </c>
      <c r="C4349" s="96">
        <v>45607.0</v>
      </c>
      <c r="D4349" s="40" t="s">
        <v>30847</v>
      </c>
      <c r="E4349" s="97" t="s">
        <v>30848</v>
      </c>
      <c r="F4349" s="98" t="s">
        <v>30849</v>
      </c>
      <c r="G4349" s="98" t="s">
        <v>30850</v>
      </c>
      <c r="H4349" s="51" t="s">
        <v>148</v>
      </c>
      <c r="I4349" s="25" t="str">
        <f>IFERROR(__xludf.DUMMYFUNCTION("GOOGLETRANSLATE(H4349,""EN"",""ES"")"),"Gastronomía")</f>
        <v>Gastronomía</v>
      </c>
      <c r="J4349" s="26" t="s">
        <v>27</v>
      </c>
      <c r="K4349" s="17">
        <v>0.0</v>
      </c>
      <c r="L4349" s="54"/>
      <c r="M4349" s="31"/>
      <c r="N4349" s="93"/>
      <c r="O4349" s="93"/>
      <c r="P4349" s="20">
        <v>0.0</v>
      </c>
      <c r="Q4349" s="31"/>
      <c r="R4349" s="31"/>
      <c r="S4349" s="53"/>
      <c r="T4349" s="32"/>
    </row>
    <row r="4350">
      <c r="A4350" s="33" t="s">
        <v>30851</v>
      </c>
      <c r="B4350" s="76" t="s">
        <v>499</v>
      </c>
      <c r="C4350" s="99">
        <v>45607.0</v>
      </c>
      <c r="D4350" s="40" t="s">
        <v>30852</v>
      </c>
      <c r="E4350" s="100" t="s">
        <v>30853</v>
      </c>
      <c r="F4350" s="101" t="s">
        <v>30854</v>
      </c>
      <c r="G4350" s="101" t="s">
        <v>30855</v>
      </c>
      <c r="H4350" s="51" t="s">
        <v>1914</v>
      </c>
      <c r="I4350" s="15" t="str">
        <f>IFERROR(__xludf.DUMMYFUNCTION("GOOGLETRANSLATE(H4350,""EN"",""ES"")"),"Política energética")</f>
        <v>Política energética</v>
      </c>
      <c r="J4350" s="16" t="s">
        <v>35</v>
      </c>
      <c r="K4350" s="48">
        <v>0.2</v>
      </c>
      <c r="L4350" s="51" t="s">
        <v>30856</v>
      </c>
      <c r="M4350" s="34" t="s">
        <v>30857</v>
      </c>
      <c r="N4350" s="94" t="s">
        <v>30858</v>
      </c>
      <c r="O4350" s="94" t="str">
        <f>IFERROR(__xludf.DUMMYFUNCTION("GOOGLETRANSLATE(N4350,""EN"",""ES"")"),"Ligeramente positivo, pero refleja tensión con las autoridades.")</f>
        <v>Ligeramente positivo, pero refleja tensión con las autoridades.</v>
      </c>
      <c r="P4350" s="30">
        <v>0.0</v>
      </c>
      <c r="Q4350" s="18"/>
      <c r="R4350" s="18"/>
      <c r="S4350" s="52" t="s">
        <v>26019</v>
      </c>
      <c r="T4350" s="22" t="s">
        <v>26020</v>
      </c>
    </row>
    <row r="4351">
      <c r="A4351" s="23" t="s">
        <v>30859</v>
      </c>
      <c r="B4351" s="77" t="s">
        <v>21</v>
      </c>
      <c r="C4351" s="96">
        <v>45607.0</v>
      </c>
      <c r="D4351" s="40" t="s">
        <v>30860</v>
      </c>
      <c r="E4351" s="97" t="s">
        <v>30861</v>
      </c>
      <c r="F4351" s="98" t="s">
        <v>30862</v>
      </c>
      <c r="G4351" s="98" t="s">
        <v>30863</v>
      </c>
      <c r="H4351" s="51" t="s">
        <v>148</v>
      </c>
      <c r="I4351" s="25" t="str">
        <f>IFERROR(__xludf.DUMMYFUNCTION("GOOGLETRANSLATE(H4351,""EN"",""ES"")"),"Gastronomía")</f>
        <v>Gastronomía</v>
      </c>
      <c r="J4351" s="26" t="s">
        <v>27</v>
      </c>
      <c r="K4351" s="17">
        <v>0.0</v>
      </c>
      <c r="L4351" s="54"/>
      <c r="M4351" s="31"/>
      <c r="N4351" s="93"/>
      <c r="O4351" s="93"/>
      <c r="P4351" s="20">
        <v>0.0</v>
      </c>
      <c r="Q4351" s="31"/>
      <c r="R4351" s="31"/>
      <c r="S4351" s="53"/>
      <c r="T4351" s="32"/>
    </row>
    <row r="4352">
      <c r="A4352" s="33" t="s">
        <v>30864</v>
      </c>
      <c r="B4352" s="76" t="s">
        <v>1105</v>
      </c>
      <c r="C4352" s="99">
        <v>45607.0</v>
      </c>
      <c r="D4352" s="40" t="s">
        <v>30865</v>
      </c>
      <c r="E4352" s="100" t="s">
        <v>30866</v>
      </c>
      <c r="F4352" s="101" t="s">
        <v>30867</v>
      </c>
      <c r="G4352" s="101" t="s">
        <v>30868</v>
      </c>
      <c r="H4352" s="51" t="s">
        <v>148</v>
      </c>
      <c r="I4352" s="15" t="str">
        <f>IFERROR(__xludf.DUMMYFUNCTION("GOOGLETRANSLATE(H4352,""EN"",""ES"")"),"Gastronomía")</f>
        <v>Gastronomía</v>
      </c>
      <c r="J4352" s="16" t="s">
        <v>27</v>
      </c>
      <c r="K4352" s="17">
        <v>0.0</v>
      </c>
      <c r="L4352" s="45"/>
      <c r="M4352" s="18"/>
      <c r="N4352" s="94"/>
      <c r="O4352" s="94"/>
      <c r="P4352" s="20">
        <v>0.0</v>
      </c>
      <c r="Q4352" s="18"/>
      <c r="R4352" s="18"/>
      <c r="S4352" s="52"/>
      <c r="T4352" s="22"/>
    </row>
    <row r="4353">
      <c r="A4353" s="23" t="s">
        <v>30869</v>
      </c>
      <c r="B4353" s="77" t="s">
        <v>30870</v>
      </c>
      <c r="C4353" s="96">
        <v>45607.0</v>
      </c>
      <c r="D4353" s="40" t="s">
        <v>30871</v>
      </c>
      <c r="E4353" s="97" t="s">
        <v>30872</v>
      </c>
      <c r="F4353" s="98" t="s">
        <v>30873</v>
      </c>
      <c r="G4353" s="98" t="s">
        <v>30874</v>
      </c>
      <c r="H4353" s="51" t="s">
        <v>148</v>
      </c>
      <c r="I4353" s="25" t="str">
        <f>IFERROR(__xludf.DUMMYFUNCTION("GOOGLETRANSLATE(H4353,""EN"",""ES"")"),"Gastronomía")</f>
        <v>Gastronomía</v>
      </c>
      <c r="J4353" s="26" t="s">
        <v>27</v>
      </c>
      <c r="K4353" s="17">
        <v>0.0</v>
      </c>
      <c r="L4353" s="54"/>
      <c r="M4353" s="31"/>
      <c r="N4353" s="93"/>
      <c r="O4353" s="93"/>
      <c r="P4353" s="20">
        <v>0.0</v>
      </c>
      <c r="Q4353" s="31"/>
      <c r="R4353" s="31"/>
      <c r="S4353" s="53"/>
      <c r="T4353" s="32"/>
    </row>
    <row r="4354">
      <c r="A4354" s="33" t="s">
        <v>30875</v>
      </c>
      <c r="B4354" s="76" t="s">
        <v>217</v>
      </c>
      <c r="C4354" s="99">
        <v>45607.0</v>
      </c>
      <c r="D4354" s="40" t="s">
        <v>30876</v>
      </c>
      <c r="E4354" s="100" t="s">
        <v>30877</v>
      </c>
      <c r="F4354" s="101" t="s">
        <v>30878</v>
      </c>
      <c r="G4354" s="101" t="s">
        <v>30879</v>
      </c>
      <c r="H4354" s="51" t="s">
        <v>3953</v>
      </c>
      <c r="I4354" s="15" t="str">
        <f>IFERROR(__xludf.DUMMYFUNCTION("GOOGLETRANSLATE(H4354,""EN"",""ES"")"),"Transición Energética")</f>
        <v>Transición Energética</v>
      </c>
      <c r="J4354" s="16" t="s">
        <v>27</v>
      </c>
      <c r="K4354" s="17">
        <v>0.0</v>
      </c>
      <c r="L4354" s="45"/>
      <c r="M4354" s="18"/>
      <c r="N4354" s="94"/>
      <c r="O4354" s="94"/>
      <c r="P4354" s="20">
        <v>0.0</v>
      </c>
      <c r="Q4354" s="18"/>
      <c r="R4354" s="18"/>
      <c r="S4354" s="52"/>
      <c r="T4354" s="22"/>
    </row>
    <row r="4355">
      <c r="A4355" s="23" t="s">
        <v>30880</v>
      </c>
      <c r="B4355" s="77" t="s">
        <v>163</v>
      </c>
      <c r="C4355" s="96">
        <v>45607.0</v>
      </c>
      <c r="D4355" s="40" t="s">
        <v>30881</v>
      </c>
      <c r="E4355" s="97" t="s">
        <v>30882</v>
      </c>
      <c r="F4355" s="98" t="s">
        <v>30883</v>
      </c>
      <c r="G4355" s="98" t="s">
        <v>30884</v>
      </c>
      <c r="H4355" s="51" t="s">
        <v>55</v>
      </c>
      <c r="I4355" s="25" t="str">
        <f>IFERROR(__xludf.DUMMYFUNCTION("GOOGLETRANSLATE(H4355,""EN"",""ES"")"),"deportes de motor")</f>
        <v>deportes de motor</v>
      </c>
      <c r="J4355" s="26" t="s">
        <v>27</v>
      </c>
      <c r="K4355" s="17">
        <v>0.0</v>
      </c>
      <c r="L4355" s="54"/>
      <c r="M4355" s="31"/>
      <c r="N4355" s="93"/>
      <c r="O4355" s="93"/>
      <c r="P4355" s="20">
        <v>0.0</v>
      </c>
      <c r="Q4355" s="31"/>
      <c r="R4355" s="31"/>
      <c r="S4355" s="53"/>
      <c r="T4355" s="32"/>
    </row>
    <row r="4356">
      <c r="A4356" s="33" t="s">
        <v>30885</v>
      </c>
      <c r="B4356" s="76" t="s">
        <v>7246</v>
      </c>
      <c r="C4356" s="99">
        <v>45607.0</v>
      </c>
      <c r="D4356" s="40" t="s">
        <v>30886</v>
      </c>
      <c r="E4356" s="100" t="s">
        <v>30887</v>
      </c>
      <c r="F4356" s="101" t="s">
        <v>30888</v>
      </c>
      <c r="G4356" s="101" t="s">
        <v>30889</v>
      </c>
      <c r="H4356" s="51" t="s">
        <v>148</v>
      </c>
      <c r="I4356" s="15" t="str">
        <f>IFERROR(__xludf.DUMMYFUNCTION("GOOGLETRANSLATE(H4356,""EN"",""ES"")"),"Gastronomía")</f>
        <v>Gastronomía</v>
      </c>
      <c r="J4356" s="16" t="s">
        <v>27</v>
      </c>
      <c r="K4356" s="17">
        <v>0.0</v>
      </c>
      <c r="L4356" s="45"/>
      <c r="M4356" s="18"/>
      <c r="N4356" s="94"/>
      <c r="O4356" s="94"/>
      <c r="P4356" s="20">
        <v>0.0</v>
      </c>
      <c r="Q4356" s="18"/>
      <c r="R4356" s="18"/>
      <c r="S4356" s="52"/>
      <c r="T4356" s="22"/>
    </row>
    <row r="4357">
      <c r="A4357" s="23" t="s">
        <v>30890</v>
      </c>
      <c r="B4357" s="77" t="s">
        <v>10305</v>
      </c>
      <c r="C4357" s="96">
        <v>45607.0</v>
      </c>
      <c r="D4357" s="40" t="s">
        <v>30891</v>
      </c>
      <c r="E4357" s="97" t="s">
        <v>30892</v>
      </c>
      <c r="F4357" s="98" t="s">
        <v>30893</v>
      </c>
      <c r="G4357" s="98" t="s">
        <v>30894</v>
      </c>
      <c r="H4357" s="51" t="s">
        <v>148</v>
      </c>
      <c r="I4357" s="25" t="str">
        <f>IFERROR(__xludf.DUMMYFUNCTION("GOOGLETRANSLATE(H4357,""EN"",""ES"")"),"Gastronomía")</f>
        <v>Gastronomía</v>
      </c>
      <c r="J4357" s="26" t="s">
        <v>27</v>
      </c>
      <c r="K4357" s="17">
        <v>0.0</v>
      </c>
      <c r="L4357" s="54"/>
      <c r="M4357" s="31"/>
      <c r="N4357" s="93"/>
      <c r="O4357" s="93"/>
      <c r="P4357" s="20">
        <v>0.0</v>
      </c>
      <c r="Q4357" s="31"/>
      <c r="R4357" s="31"/>
      <c r="S4357" s="53"/>
      <c r="T4357" s="32"/>
    </row>
    <row r="4358">
      <c r="A4358" s="33" t="s">
        <v>30895</v>
      </c>
      <c r="B4358" s="76" t="s">
        <v>7377</v>
      </c>
      <c r="C4358" s="99">
        <v>45607.0</v>
      </c>
      <c r="D4358" s="40" t="s">
        <v>30896</v>
      </c>
      <c r="E4358" s="100" t="s">
        <v>30897</v>
      </c>
      <c r="F4358" s="101" t="s">
        <v>30898</v>
      </c>
      <c r="G4358" s="101" t="s">
        <v>30899</v>
      </c>
      <c r="H4358" s="51" t="s">
        <v>148</v>
      </c>
      <c r="I4358" s="15" t="str">
        <f>IFERROR(__xludf.DUMMYFUNCTION("GOOGLETRANSLATE(H4358,""EN"",""ES"")"),"Gastronomía")</f>
        <v>Gastronomía</v>
      </c>
      <c r="J4358" s="16" t="s">
        <v>27</v>
      </c>
      <c r="K4358" s="17">
        <v>0.0</v>
      </c>
      <c r="L4358" s="45"/>
      <c r="M4358" s="18"/>
      <c r="N4358" s="94"/>
      <c r="O4358" s="94"/>
      <c r="P4358" s="20">
        <v>0.0</v>
      </c>
      <c r="Q4358" s="18"/>
      <c r="R4358" s="18"/>
      <c r="S4358" s="52"/>
      <c r="T4358" s="22"/>
    </row>
    <row r="4359">
      <c r="A4359" s="23" t="s">
        <v>30900</v>
      </c>
      <c r="B4359" s="77" t="s">
        <v>85</v>
      </c>
      <c r="C4359" s="96">
        <v>45607.0</v>
      </c>
      <c r="D4359" s="40" t="s">
        <v>30901</v>
      </c>
      <c r="E4359" s="97" t="s">
        <v>30902</v>
      </c>
      <c r="F4359" s="98" t="s">
        <v>30903</v>
      </c>
      <c r="G4359" s="98" t="s">
        <v>30904</v>
      </c>
      <c r="H4359" s="51" t="s">
        <v>148</v>
      </c>
      <c r="I4359" s="25" t="str">
        <f>IFERROR(__xludf.DUMMYFUNCTION("GOOGLETRANSLATE(H4359,""EN"",""ES"")"),"Gastronomía")</f>
        <v>Gastronomía</v>
      </c>
      <c r="J4359" s="26" t="s">
        <v>27</v>
      </c>
      <c r="K4359" s="17">
        <v>0.0</v>
      </c>
      <c r="L4359" s="54"/>
      <c r="M4359" s="31"/>
      <c r="N4359" s="93"/>
      <c r="O4359" s="93"/>
      <c r="P4359" s="20">
        <v>0.0</v>
      </c>
      <c r="Q4359" s="31"/>
      <c r="R4359" s="31"/>
      <c r="S4359" s="53"/>
      <c r="T4359" s="32"/>
    </row>
    <row r="4360">
      <c r="A4360" s="33" t="s">
        <v>30905</v>
      </c>
      <c r="B4360" s="76" t="s">
        <v>1128</v>
      </c>
      <c r="C4360" s="99">
        <v>45608.0</v>
      </c>
      <c r="D4360" s="40" t="s">
        <v>30906</v>
      </c>
      <c r="E4360" s="100" t="s">
        <v>30907</v>
      </c>
      <c r="F4360" s="101" t="s">
        <v>30908</v>
      </c>
      <c r="G4360" s="101" t="s">
        <v>30909</v>
      </c>
      <c r="H4360" s="51" t="s">
        <v>148</v>
      </c>
      <c r="I4360" s="15" t="str">
        <f>IFERROR(__xludf.DUMMYFUNCTION("GOOGLETRANSLATE(H4360,""EN"",""ES"")"),"Gastronomía")</f>
        <v>Gastronomía</v>
      </c>
      <c r="J4360" s="16" t="s">
        <v>27</v>
      </c>
      <c r="K4360" s="17">
        <v>0.0</v>
      </c>
      <c r="L4360" s="45"/>
      <c r="M4360" s="18"/>
      <c r="N4360" s="94"/>
      <c r="O4360" s="94"/>
      <c r="P4360" s="20">
        <v>0.0</v>
      </c>
      <c r="Q4360" s="18"/>
      <c r="R4360" s="18"/>
      <c r="S4360" s="52"/>
      <c r="T4360" s="22"/>
    </row>
    <row r="4361">
      <c r="A4361" s="23" t="s">
        <v>30910</v>
      </c>
      <c r="B4361" s="77" t="s">
        <v>30911</v>
      </c>
      <c r="C4361" s="96">
        <v>45608.0</v>
      </c>
      <c r="D4361" s="40" t="s">
        <v>30912</v>
      </c>
      <c r="E4361" s="97" t="s">
        <v>30913</v>
      </c>
      <c r="F4361" s="98" t="s">
        <v>30914</v>
      </c>
      <c r="G4361" s="98" t="s">
        <v>30915</v>
      </c>
      <c r="H4361" s="51" t="s">
        <v>3953</v>
      </c>
      <c r="I4361" s="25" t="str">
        <f>IFERROR(__xludf.DUMMYFUNCTION("GOOGLETRANSLATE(H4361,""EN"",""ES"")"),"Transición Energética")</f>
        <v>Transición Energética</v>
      </c>
      <c r="J4361" s="26" t="s">
        <v>35</v>
      </c>
      <c r="K4361" s="48">
        <v>0.7</v>
      </c>
      <c r="L4361" s="49" t="s">
        <v>30916</v>
      </c>
      <c r="M4361" s="28" t="s">
        <v>30917</v>
      </c>
      <c r="N4361" s="93" t="s">
        <v>30918</v>
      </c>
      <c r="O4361" s="93" t="str">
        <f>IFERROR(__xludf.DUMMYFUNCTION("GOOGLETRANSLATE(N4361,""EN"",""ES"")"),"Fuertemente positivo debido a los beneficios medioambientales.")</f>
        <v>Fuertemente positivo debido a los beneficios medioambientales.</v>
      </c>
      <c r="P4361" s="30">
        <v>0.8</v>
      </c>
      <c r="Q4361" s="31" t="str">
        <f>IFERROR(__xludf.DUMMYFUNCTION("GOOGLETRANSLATE(R4361,""ES"",""EN"")"),"reduce, ""ecological""")</f>
        <v>reduce, "ecological"</v>
      </c>
      <c r="R4361" s="28" t="s">
        <v>30919</v>
      </c>
      <c r="S4361" s="53" t="s">
        <v>29846</v>
      </c>
      <c r="T4361" s="32" t="s">
        <v>29847</v>
      </c>
    </row>
    <row r="4362">
      <c r="A4362" s="33" t="s">
        <v>30920</v>
      </c>
      <c r="B4362" s="76" t="s">
        <v>6804</v>
      </c>
      <c r="C4362" s="99">
        <v>45608.0</v>
      </c>
      <c r="D4362" s="40" t="s">
        <v>30921</v>
      </c>
      <c r="E4362" s="100" t="s">
        <v>30922</v>
      </c>
      <c r="F4362" s="101" t="s">
        <v>30923</v>
      </c>
      <c r="G4362" s="101" t="s">
        <v>30924</v>
      </c>
      <c r="H4362" s="51" t="s">
        <v>148</v>
      </c>
      <c r="I4362" s="15" t="str">
        <f>IFERROR(__xludf.DUMMYFUNCTION("GOOGLETRANSLATE(H4362,""EN"",""ES"")"),"Gastronomía")</f>
        <v>Gastronomía</v>
      </c>
      <c r="J4362" s="16" t="s">
        <v>27</v>
      </c>
      <c r="K4362" s="17">
        <v>0.0</v>
      </c>
      <c r="L4362" s="45"/>
      <c r="M4362" s="18"/>
      <c r="N4362" s="94"/>
      <c r="O4362" s="94"/>
      <c r="P4362" s="20">
        <v>0.0</v>
      </c>
      <c r="Q4362" s="18"/>
      <c r="R4362" s="18"/>
      <c r="S4362" s="52"/>
      <c r="T4362" s="22"/>
    </row>
    <row r="4363">
      <c r="A4363" s="23" t="s">
        <v>30925</v>
      </c>
      <c r="B4363" s="77" t="s">
        <v>6381</v>
      </c>
      <c r="C4363" s="96">
        <v>45608.0</v>
      </c>
      <c r="D4363" s="40" t="s">
        <v>30926</v>
      </c>
      <c r="E4363" s="97" t="s">
        <v>30927</v>
      </c>
      <c r="F4363" s="98" t="s">
        <v>30928</v>
      </c>
      <c r="G4363" s="98" t="s">
        <v>30929</v>
      </c>
      <c r="H4363" s="51" t="s">
        <v>148</v>
      </c>
      <c r="I4363" s="25" t="str">
        <f>IFERROR(__xludf.DUMMYFUNCTION("GOOGLETRANSLATE(H4363,""EN"",""ES"")"),"Gastronomía")</f>
        <v>Gastronomía</v>
      </c>
      <c r="J4363" s="26" t="s">
        <v>27</v>
      </c>
      <c r="K4363" s="17">
        <v>0.0</v>
      </c>
      <c r="L4363" s="54"/>
      <c r="M4363" s="31"/>
      <c r="N4363" s="93"/>
      <c r="O4363" s="93"/>
      <c r="P4363" s="20">
        <v>0.0</v>
      </c>
      <c r="Q4363" s="31"/>
      <c r="R4363" s="31"/>
      <c r="S4363" s="53"/>
      <c r="T4363" s="32"/>
    </row>
    <row r="4364">
      <c r="A4364" s="33" t="s">
        <v>30930</v>
      </c>
      <c r="B4364" s="76" t="s">
        <v>2696</v>
      </c>
      <c r="C4364" s="99">
        <v>45608.0</v>
      </c>
      <c r="D4364" s="40" t="s">
        <v>30931</v>
      </c>
      <c r="E4364" s="100" t="s">
        <v>30932</v>
      </c>
      <c r="F4364" s="101" t="s">
        <v>30933</v>
      </c>
      <c r="G4364" s="101" t="s">
        <v>30934</v>
      </c>
      <c r="H4364" s="51" t="s">
        <v>148</v>
      </c>
      <c r="I4364" s="15" t="str">
        <f>IFERROR(__xludf.DUMMYFUNCTION("GOOGLETRANSLATE(H4364,""EN"",""ES"")"),"Gastronomía")</f>
        <v>Gastronomía</v>
      </c>
      <c r="J4364" s="16" t="s">
        <v>27</v>
      </c>
      <c r="K4364" s="17">
        <v>0.0</v>
      </c>
      <c r="L4364" s="45"/>
      <c r="M4364" s="18"/>
      <c r="N4364" s="94"/>
      <c r="O4364" s="94"/>
      <c r="P4364" s="20">
        <v>0.0</v>
      </c>
      <c r="Q4364" s="18"/>
      <c r="R4364" s="18"/>
      <c r="S4364" s="52"/>
      <c r="T4364" s="22"/>
    </row>
    <row r="4365">
      <c r="A4365" s="23" t="s">
        <v>30935</v>
      </c>
      <c r="B4365" s="77" t="s">
        <v>6940</v>
      </c>
      <c r="C4365" s="96">
        <v>45608.0</v>
      </c>
      <c r="D4365" s="40" t="s">
        <v>30936</v>
      </c>
      <c r="E4365" s="97" t="s">
        <v>30937</v>
      </c>
      <c r="F4365" s="98" t="s">
        <v>30938</v>
      </c>
      <c r="G4365" s="98" t="s">
        <v>30939</v>
      </c>
      <c r="H4365" s="51" t="s">
        <v>148</v>
      </c>
      <c r="I4365" s="25" t="str">
        <f>IFERROR(__xludf.DUMMYFUNCTION("GOOGLETRANSLATE(H4365,""EN"",""ES"")"),"Gastronomía")</f>
        <v>Gastronomía</v>
      </c>
      <c r="J4365" s="26" t="s">
        <v>27</v>
      </c>
      <c r="K4365" s="17">
        <v>0.0</v>
      </c>
      <c r="L4365" s="54"/>
      <c r="M4365" s="31"/>
      <c r="N4365" s="93"/>
      <c r="O4365" s="93"/>
      <c r="P4365" s="20">
        <v>0.0</v>
      </c>
      <c r="Q4365" s="31"/>
      <c r="R4365" s="31"/>
      <c r="S4365" s="53"/>
      <c r="T4365" s="32"/>
    </row>
    <row r="4366">
      <c r="A4366" s="33" t="s">
        <v>30940</v>
      </c>
      <c r="B4366" s="76" t="s">
        <v>10904</v>
      </c>
      <c r="C4366" s="99">
        <v>45608.0</v>
      </c>
      <c r="D4366" s="40" t="s">
        <v>30941</v>
      </c>
      <c r="E4366" s="100" t="s">
        <v>30942</v>
      </c>
      <c r="F4366" s="101" t="s">
        <v>30943</v>
      </c>
      <c r="G4366" s="101" t="s">
        <v>30944</v>
      </c>
      <c r="H4366" s="51" t="s">
        <v>148</v>
      </c>
      <c r="I4366" s="15" t="str">
        <f>IFERROR(__xludf.DUMMYFUNCTION("GOOGLETRANSLATE(H4366,""EN"",""ES"")"),"Gastronomía")</f>
        <v>Gastronomía</v>
      </c>
      <c r="J4366" s="16" t="s">
        <v>27</v>
      </c>
      <c r="K4366" s="17">
        <v>0.0</v>
      </c>
      <c r="L4366" s="45"/>
      <c r="M4366" s="18"/>
      <c r="N4366" s="94"/>
      <c r="O4366" s="94"/>
      <c r="P4366" s="20">
        <v>0.0</v>
      </c>
      <c r="Q4366" s="18"/>
      <c r="R4366" s="18"/>
      <c r="S4366" s="52"/>
      <c r="T4366" s="22"/>
    </row>
    <row r="4367">
      <c r="A4367" s="23" t="s">
        <v>30945</v>
      </c>
      <c r="B4367" s="77" t="s">
        <v>7954</v>
      </c>
      <c r="C4367" s="96">
        <v>45608.0</v>
      </c>
      <c r="D4367" s="40" t="s">
        <v>30946</v>
      </c>
      <c r="E4367" s="97" t="s">
        <v>30947</v>
      </c>
      <c r="F4367" s="98" t="s">
        <v>30946</v>
      </c>
      <c r="G4367" s="98" t="s">
        <v>30947</v>
      </c>
      <c r="H4367" s="51" t="s">
        <v>148</v>
      </c>
      <c r="I4367" s="25" t="str">
        <f>IFERROR(__xludf.DUMMYFUNCTION("GOOGLETRANSLATE(H4367,""EN"",""ES"")"),"Gastronomía")</f>
        <v>Gastronomía</v>
      </c>
      <c r="J4367" s="26" t="s">
        <v>27</v>
      </c>
      <c r="K4367" s="17">
        <v>0.0</v>
      </c>
      <c r="L4367" s="54"/>
      <c r="M4367" s="31"/>
      <c r="N4367" s="93"/>
      <c r="O4367" s="93"/>
      <c r="P4367" s="20">
        <v>0.0</v>
      </c>
      <c r="Q4367" s="31"/>
      <c r="R4367" s="31"/>
      <c r="S4367" s="53"/>
      <c r="T4367" s="32"/>
    </row>
    <row r="4368">
      <c r="A4368" s="33" t="s">
        <v>30948</v>
      </c>
      <c r="B4368" s="76" t="s">
        <v>19043</v>
      </c>
      <c r="C4368" s="99">
        <v>45608.0</v>
      </c>
      <c r="D4368" s="40" t="s">
        <v>30949</v>
      </c>
      <c r="E4368" s="100" t="s">
        <v>30950</v>
      </c>
      <c r="F4368" s="101" t="s">
        <v>30951</v>
      </c>
      <c r="G4368" s="101" t="s">
        <v>30952</v>
      </c>
      <c r="H4368" s="51" t="s">
        <v>24806</v>
      </c>
      <c r="I4368" s="15" t="str">
        <f>IFERROR(__xludf.DUMMYFUNCTION("GOOGLETRANSLATE(H4368,""EN"",""ES"")"),"Reconocimiento Corporativo")</f>
        <v>Reconocimiento Corporativo</v>
      </c>
      <c r="J4368" s="16" t="s">
        <v>35</v>
      </c>
      <c r="K4368" s="48">
        <v>0.7</v>
      </c>
      <c r="L4368" s="51" t="s">
        <v>30953</v>
      </c>
      <c r="M4368" s="34" t="s">
        <v>30954</v>
      </c>
      <c r="N4368" s="94" t="s">
        <v>30955</v>
      </c>
      <c r="O4368" s="94" t="str">
        <f>IFERROR(__xludf.DUMMYFUNCTION("GOOGLETRANSLATE(N4368,""EN"",""ES"")"),"Fuertemente positivo ya que mejora la reputación corporativa.")</f>
        <v>Fuertemente positivo ya que mejora la reputación corporativa.</v>
      </c>
      <c r="P4368" s="30">
        <v>0.8</v>
      </c>
      <c r="Q4368" s="18" t="str">
        <f>IFERROR(__xludf.DUMMYFUNCTION("GOOGLETRANSLATE(R4368,""ES"",""EN"")"),"Prize")</f>
        <v>Prize</v>
      </c>
      <c r="R4368" s="34" t="s">
        <v>15625</v>
      </c>
      <c r="S4368" s="52" t="s">
        <v>30956</v>
      </c>
      <c r="T4368" s="22" t="s">
        <v>30957</v>
      </c>
    </row>
    <row r="4369">
      <c r="A4369" s="23" t="s">
        <v>30958</v>
      </c>
      <c r="B4369" s="77" t="s">
        <v>163</v>
      </c>
      <c r="C4369" s="96">
        <v>45608.0</v>
      </c>
      <c r="D4369" s="40" t="s">
        <v>30959</v>
      </c>
      <c r="E4369" s="97" t="s">
        <v>30960</v>
      </c>
      <c r="F4369" s="98" t="s">
        <v>30961</v>
      </c>
      <c r="G4369" s="98" t="s">
        <v>30962</v>
      </c>
      <c r="H4369" s="51" t="s">
        <v>3953</v>
      </c>
      <c r="I4369" s="25" t="str">
        <f>IFERROR(__xludf.DUMMYFUNCTION("GOOGLETRANSLATE(H4369,""EN"",""ES"")"),"Transición Energética")</f>
        <v>Transición Energética</v>
      </c>
      <c r="J4369" s="26" t="s">
        <v>35</v>
      </c>
      <c r="K4369" s="48">
        <v>0.7</v>
      </c>
      <c r="L4369" s="49" t="s">
        <v>30963</v>
      </c>
      <c r="M4369" s="28" t="s">
        <v>30964</v>
      </c>
      <c r="N4369" s="93" t="s">
        <v>30965</v>
      </c>
      <c r="O4369" s="93" t="str">
        <f>IFERROR(__xludf.DUMMYFUNCTION("GOOGLETRANSLATE(N4369,""EN"",""ES"")"),"Muy positivo ya que apoya la sostenibilidad.")</f>
        <v>Muy positivo ya que apoya la sostenibilidad.</v>
      </c>
      <c r="P4369" s="30">
        <v>0.7</v>
      </c>
      <c r="Q4369" s="31" t="str">
        <f>IFERROR(__xludf.DUMMYFUNCTION("GOOGLETRANSLATE(R4369,""ES"",""EN"")"),"will save")</f>
        <v>will save</v>
      </c>
      <c r="R4369" s="28" t="s">
        <v>30966</v>
      </c>
      <c r="S4369" s="53" t="s">
        <v>29886</v>
      </c>
      <c r="T4369" s="32" t="s">
        <v>29887</v>
      </c>
    </row>
    <row r="4370">
      <c r="A4370" s="33" t="s">
        <v>30967</v>
      </c>
      <c r="B4370" s="76" t="s">
        <v>1005</v>
      </c>
      <c r="C4370" s="99">
        <v>45608.0</v>
      </c>
      <c r="D4370" s="40" t="s">
        <v>30968</v>
      </c>
      <c r="E4370" s="100" t="s">
        <v>30969</v>
      </c>
      <c r="F4370" s="101" t="s">
        <v>30970</v>
      </c>
      <c r="G4370" s="101" t="s">
        <v>30971</v>
      </c>
      <c r="H4370" s="51" t="s">
        <v>148</v>
      </c>
      <c r="I4370" s="15" t="str">
        <f>IFERROR(__xludf.DUMMYFUNCTION("GOOGLETRANSLATE(H4370,""EN"",""ES"")"),"Gastronomía")</f>
        <v>Gastronomía</v>
      </c>
      <c r="J4370" s="16" t="s">
        <v>27</v>
      </c>
      <c r="K4370" s="17">
        <v>0.0</v>
      </c>
      <c r="L4370" s="45"/>
      <c r="M4370" s="18"/>
      <c r="N4370" s="94"/>
      <c r="O4370" s="94"/>
      <c r="P4370" s="20">
        <v>0.0</v>
      </c>
      <c r="Q4370" s="18"/>
      <c r="R4370" s="18"/>
      <c r="S4370" s="52"/>
      <c r="T4370" s="22"/>
    </row>
    <row r="4371">
      <c r="A4371" s="23" t="s">
        <v>30972</v>
      </c>
      <c r="B4371" s="77" t="s">
        <v>30973</v>
      </c>
      <c r="C4371" s="96">
        <v>45608.0</v>
      </c>
      <c r="D4371" s="40" t="s">
        <v>30974</v>
      </c>
      <c r="E4371" s="97" t="s">
        <v>30975</v>
      </c>
      <c r="F4371" s="98" t="s">
        <v>30976</v>
      </c>
      <c r="G4371" s="98" t="s">
        <v>30977</v>
      </c>
      <c r="H4371" s="51" t="s">
        <v>148</v>
      </c>
      <c r="I4371" s="25" t="str">
        <f>IFERROR(__xludf.DUMMYFUNCTION("GOOGLETRANSLATE(H4371,""EN"",""ES"")"),"Gastronomía")</f>
        <v>Gastronomía</v>
      </c>
      <c r="J4371" s="26" t="s">
        <v>27</v>
      </c>
      <c r="K4371" s="17">
        <v>0.0</v>
      </c>
      <c r="L4371" s="54"/>
      <c r="M4371" s="31"/>
      <c r="N4371" s="93"/>
      <c r="O4371" s="93"/>
      <c r="P4371" s="20">
        <v>0.0</v>
      </c>
      <c r="Q4371" s="31"/>
      <c r="R4371" s="31"/>
      <c r="S4371" s="53"/>
      <c r="T4371" s="32"/>
    </row>
    <row r="4372">
      <c r="A4372" s="33" t="s">
        <v>30978</v>
      </c>
      <c r="B4372" s="76" t="s">
        <v>1081</v>
      </c>
      <c r="C4372" s="99">
        <v>45608.0</v>
      </c>
      <c r="D4372" s="40" t="s">
        <v>30979</v>
      </c>
      <c r="E4372" s="100" t="s">
        <v>30980</v>
      </c>
      <c r="F4372" s="101" t="s">
        <v>30981</v>
      </c>
      <c r="G4372" s="101" t="s">
        <v>30982</v>
      </c>
      <c r="H4372" s="51" t="s">
        <v>148</v>
      </c>
      <c r="I4372" s="15" t="str">
        <f>IFERROR(__xludf.DUMMYFUNCTION("GOOGLETRANSLATE(H4372,""EN"",""ES"")"),"Gastronomía")</f>
        <v>Gastronomía</v>
      </c>
      <c r="J4372" s="16" t="s">
        <v>27</v>
      </c>
      <c r="K4372" s="17">
        <v>0.0</v>
      </c>
      <c r="L4372" s="45"/>
      <c r="M4372" s="18"/>
      <c r="N4372" s="94"/>
      <c r="O4372" s="94"/>
      <c r="P4372" s="20">
        <v>0.0</v>
      </c>
      <c r="Q4372" s="18"/>
      <c r="R4372" s="18"/>
      <c r="S4372" s="52"/>
      <c r="T4372" s="22"/>
    </row>
    <row r="4373">
      <c r="A4373" s="23" t="s">
        <v>30983</v>
      </c>
      <c r="B4373" s="77" t="s">
        <v>6561</v>
      </c>
      <c r="C4373" s="96">
        <v>45608.0</v>
      </c>
      <c r="D4373" s="40" t="s">
        <v>30984</v>
      </c>
      <c r="E4373" s="97" t="s">
        <v>30985</v>
      </c>
      <c r="F4373" s="98" t="s">
        <v>30986</v>
      </c>
      <c r="G4373" s="98" t="s">
        <v>30987</v>
      </c>
      <c r="H4373" s="51" t="s">
        <v>148</v>
      </c>
      <c r="I4373" s="25" t="str">
        <f>IFERROR(__xludf.DUMMYFUNCTION("GOOGLETRANSLATE(H4373,""EN"",""ES"")"),"Gastronomía")</f>
        <v>Gastronomía</v>
      </c>
      <c r="J4373" s="26" t="s">
        <v>27</v>
      </c>
      <c r="K4373" s="17">
        <v>0.0</v>
      </c>
      <c r="L4373" s="54"/>
      <c r="M4373" s="31"/>
      <c r="N4373" s="93"/>
      <c r="O4373" s="93"/>
      <c r="P4373" s="20">
        <v>0.0</v>
      </c>
      <c r="Q4373" s="31"/>
      <c r="R4373" s="31"/>
      <c r="S4373" s="53"/>
      <c r="T4373" s="32"/>
    </row>
    <row r="4374">
      <c r="A4374" s="33" t="s">
        <v>30988</v>
      </c>
      <c r="B4374" s="76" t="s">
        <v>2329</v>
      </c>
      <c r="C4374" s="99">
        <v>45608.0</v>
      </c>
      <c r="D4374" s="40" t="s">
        <v>30989</v>
      </c>
      <c r="E4374" s="100" t="s">
        <v>30990</v>
      </c>
      <c r="F4374" s="101" t="s">
        <v>30991</v>
      </c>
      <c r="G4374" s="101" t="s">
        <v>30992</v>
      </c>
      <c r="H4374" s="51" t="s">
        <v>148</v>
      </c>
      <c r="I4374" s="15" t="str">
        <f>IFERROR(__xludf.DUMMYFUNCTION("GOOGLETRANSLATE(H4374,""EN"",""ES"")"),"Gastronomía")</f>
        <v>Gastronomía</v>
      </c>
      <c r="J4374" s="16" t="s">
        <v>27</v>
      </c>
      <c r="K4374" s="17">
        <v>0.0</v>
      </c>
      <c r="L4374" s="45"/>
      <c r="M4374" s="18"/>
      <c r="N4374" s="94"/>
      <c r="O4374" s="94"/>
      <c r="P4374" s="20">
        <v>0.0</v>
      </c>
      <c r="Q4374" s="18"/>
      <c r="R4374" s="18"/>
      <c r="S4374" s="52"/>
      <c r="T4374" s="22"/>
    </row>
    <row r="4375">
      <c r="A4375" s="23" t="s">
        <v>30993</v>
      </c>
      <c r="B4375" s="77" t="s">
        <v>3151</v>
      </c>
      <c r="C4375" s="96">
        <v>45608.0</v>
      </c>
      <c r="D4375" s="40" t="s">
        <v>30994</v>
      </c>
      <c r="E4375" s="97" t="s">
        <v>30995</v>
      </c>
      <c r="F4375" s="98" t="s">
        <v>30996</v>
      </c>
      <c r="G4375" s="98" t="s">
        <v>30997</v>
      </c>
      <c r="H4375" s="51" t="s">
        <v>148</v>
      </c>
      <c r="I4375" s="25" t="str">
        <f>IFERROR(__xludf.DUMMYFUNCTION("GOOGLETRANSLATE(H4375,""EN"",""ES"")"),"Gastronomía")</f>
        <v>Gastronomía</v>
      </c>
      <c r="J4375" s="26" t="s">
        <v>27</v>
      </c>
      <c r="K4375" s="17">
        <v>0.0</v>
      </c>
      <c r="L4375" s="54"/>
      <c r="M4375" s="31"/>
      <c r="N4375" s="93"/>
      <c r="O4375" s="93"/>
      <c r="P4375" s="20">
        <v>0.0</v>
      </c>
      <c r="Q4375" s="31"/>
      <c r="R4375" s="31"/>
      <c r="S4375" s="53"/>
      <c r="T4375" s="32"/>
    </row>
    <row r="4376">
      <c r="A4376" s="33" t="s">
        <v>30998</v>
      </c>
      <c r="B4376" s="76" t="s">
        <v>6381</v>
      </c>
      <c r="C4376" s="99">
        <v>45608.0</v>
      </c>
      <c r="D4376" s="40" t="s">
        <v>30999</v>
      </c>
      <c r="E4376" s="100" t="s">
        <v>31000</v>
      </c>
      <c r="F4376" s="101" t="s">
        <v>31001</v>
      </c>
      <c r="G4376" s="101" t="s">
        <v>31002</v>
      </c>
      <c r="H4376" s="51" t="s">
        <v>148</v>
      </c>
      <c r="I4376" s="15" t="str">
        <f>IFERROR(__xludf.DUMMYFUNCTION("GOOGLETRANSLATE(H4376,""EN"",""ES"")"),"Gastronomía")</f>
        <v>Gastronomía</v>
      </c>
      <c r="J4376" s="16" t="s">
        <v>27</v>
      </c>
      <c r="K4376" s="17">
        <v>0.0</v>
      </c>
      <c r="L4376" s="45"/>
      <c r="M4376" s="18"/>
      <c r="N4376" s="94"/>
      <c r="O4376" s="94"/>
      <c r="P4376" s="20">
        <v>0.0</v>
      </c>
      <c r="Q4376" s="18"/>
      <c r="R4376" s="18"/>
      <c r="S4376" s="52"/>
      <c r="T4376" s="22"/>
    </row>
    <row r="4377">
      <c r="A4377" s="23" t="s">
        <v>31003</v>
      </c>
      <c r="B4377" s="77" t="s">
        <v>1081</v>
      </c>
      <c r="C4377" s="96">
        <v>45608.0</v>
      </c>
      <c r="D4377" s="40" t="s">
        <v>31004</v>
      </c>
      <c r="E4377" s="97" t="s">
        <v>31005</v>
      </c>
      <c r="F4377" s="98" t="s">
        <v>31006</v>
      </c>
      <c r="G4377" s="98" t="s">
        <v>31007</v>
      </c>
      <c r="H4377" s="51" t="s">
        <v>148</v>
      </c>
      <c r="I4377" s="25" t="str">
        <f>IFERROR(__xludf.DUMMYFUNCTION("GOOGLETRANSLATE(H4377,""EN"",""ES"")"),"Gastronomía")</f>
        <v>Gastronomía</v>
      </c>
      <c r="J4377" s="26" t="s">
        <v>27</v>
      </c>
      <c r="K4377" s="17">
        <v>0.0</v>
      </c>
      <c r="L4377" s="54"/>
      <c r="M4377" s="31"/>
      <c r="N4377" s="93"/>
      <c r="O4377" s="93"/>
      <c r="P4377" s="20">
        <v>0.0</v>
      </c>
      <c r="Q4377" s="31"/>
      <c r="R4377" s="31"/>
      <c r="S4377" s="53"/>
      <c r="T4377" s="32"/>
    </row>
    <row r="4378">
      <c r="A4378" s="33" t="s">
        <v>31008</v>
      </c>
      <c r="B4378" s="76" t="s">
        <v>7954</v>
      </c>
      <c r="C4378" s="99">
        <v>45608.0</v>
      </c>
      <c r="D4378" s="40" t="s">
        <v>31009</v>
      </c>
      <c r="E4378" s="100" t="s">
        <v>31010</v>
      </c>
      <c r="F4378" s="101" t="s">
        <v>31011</v>
      </c>
      <c r="G4378" s="101" t="s">
        <v>31012</v>
      </c>
      <c r="H4378" s="51" t="s">
        <v>148</v>
      </c>
      <c r="I4378" s="15" t="str">
        <f>IFERROR(__xludf.DUMMYFUNCTION("GOOGLETRANSLATE(H4378,""EN"",""ES"")"),"Gastronomía")</f>
        <v>Gastronomía</v>
      </c>
      <c r="J4378" s="16" t="s">
        <v>27</v>
      </c>
      <c r="K4378" s="17">
        <v>0.0</v>
      </c>
      <c r="L4378" s="45"/>
      <c r="M4378" s="18"/>
      <c r="N4378" s="94"/>
      <c r="O4378" s="94"/>
      <c r="P4378" s="20">
        <v>0.0</v>
      </c>
      <c r="Q4378" s="18"/>
      <c r="R4378" s="18"/>
      <c r="S4378" s="52"/>
      <c r="T4378" s="22"/>
    </row>
    <row r="4379">
      <c r="A4379" s="23" t="s">
        <v>31013</v>
      </c>
      <c r="B4379" s="77" t="s">
        <v>6804</v>
      </c>
      <c r="C4379" s="96">
        <v>45608.0</v>
      </c>
      <c r="D4379" s="40" t="s">
        <v>31014</v>
      </c>
      <c r="E4379" s="97" t="s">
        <v>31015</v>
      </c>
      <c r="F4379" s="98" t="s">
        <v>31016</v>
      </c>
      <c r="G4379" s="98" t="s">
        <v>31017</v>
      </c>
      <c r="H4379" s="51" t="s">
        <v>148</v>
      </c>
      <c r="I4379" s="25" t="str">
        <f>IFERROR(__xludf.DUMMYFUNCTION("GOOGLETRANSLATE(H4379,""EN"",""ES"")"),"Gastronomía")</f>
        <v>Gastronomía</v>
      </c>
      <c r="J4379" s="26" t="s">
        <v>27</v>
      </c>
      <c r="K4379" s="17">
        <v>0.0</v>
      </c>
      <c r="L4379" s="54"/>
      <c r="M4379" s="31"/>
      <c r="N4379" s="93"/>
      <c r="O4379" s="93"/>
      <c r="P4379" s="20">
        <v>0.0</v>
      </c>
      <c r="Q4379" s="31"/>
      <c r="R4379" s="31"/>
      <c r="S4379" s="53"/>
      <c r="T4379" s="32"/>
    </row>
    <row r="4380">
      <c r="A4380" s="33" t="s">
        <v>31018</v>
      </c>
      <c r="B4380" s="76" t="s">
        <v>19521</v>
      </c>
      <c r="C4380" s="99">
        <v>45608.0</v>
      </c>
      <c r="D4380" s="40" t="s">
        <v>31019</v>
      </c>
      <c r="E4380" s="100" t="s">
        <v>31020</v>
      </c>
      <c r="F4380" s="101" t="s">
        <v>31021</v>
      </c>
      <c r="G4380" s="101" t="s">
        <v>31022</v>
      </c>
      <c r="H4380" s="51" t="s">
        <v>148</v>
      </c>
      <c r="I4380" s="15" t="str">
        <f>IFERROR(__xludf.DUMMYFUNCTION("GOOGLETRANSLATE(H4380,""EN"",""ES"")"),"Gastronomía")</f>
        <v>Gastronomía</v>
      </c>
      <c r="J4380" s="16" t="s">
        <v>27</v>
      </c>
      <c r="K4380" s="17">
        <v>0.0</v>
      </c>
      <c r="L4380" s="45"/>
      <c r="M4380" s="18"/>
      <c r="N4380" s="94"/>
      <c r="O4380" s="94"/>
      <c r="P4380" s="20">
        <v>0.0</v>
      </c>
      <c r="Q4380" s="18"/>
      <c r="R4380" s="18"/>
      <c r="S4380" s="52"/>
      <c r="T4380" s="22"/>
    </row>
    <row r="4381">
      <c r="A4381" s="23" t="s">
        <v>31023</v>
      </c>
      <c r="B4381" s="77" t="s">
        <v>16414</v>
      </c>
      <c r="C4381" s="96">
        <v>45608.0</v>
      </c>
      <c r="D4381" s="40" t="s">
        <v>31024</v>
      </c>
      <c r="E4381" s="97" t="s">
        <v>31025</v>
      </c>
      <c r="F4381" s="98" t="s">
        <v>31026</v>
      </c>
      <c r="G4381" s="98" t="s">
        <v>31027</v>
      </c>
      <c r="H4381" s="51" t="s">
        <v>148</v>
      </c>
      <c r="I4381" s="25" t="str">
        <f>IFERROR(__xludf.DUMMYFUNCTION("GOOGLETRANSLATE(H4381,""EN"",""ES"")"),"Gastronomía")</f>
        <v>Gastronomía</v>
      </c>
      <c r="J4381" s="26" t="s">
        <v>27</v>
      </c>
      <c r="K4381" s="17">
        <v>0.0</v>
      </c>
      <c r="L4381" s="54"/>
      <c r="M4381" s="31"/>
      <c r="N4381" s="93"/>
      <c r="O4381" s="93"/>
      <c r="P4381" s="20">
        <v>0.0</v>
      </c>
      <c r="Q4381" s="31"/>
      <c r="R4381" s="31"/>
      <c r="S4381" s="53"/>
      <c r="T4381" s="32"/>
    </row>
    <row r="4382">
      <c r="A4382" s="33" t="s">
        <v>31028</v>
      </c>
      <c r="B4382" s="76" t="s">
        <v>4623</v>
      </c>
      <c r="C4382" s="99">
        <v>45608.0</v>
      </c>
      <c r="D4382" s="40" t="s">
        <v>31029</v>
      </c>
      <c r="E4382" s="100" t="s">
        <v>31030</v>
      </c>
      <c r="F4382" s="101" t="s">
        <v>31031</v>
      </c>
      <c r="G4382" s="101" t="s">
        <v>31032</v>
      </c>
      <c r="H4382" s="51" t="s">
        <v>148</v>
      </c>
      <c r="I4382" s="15" t="str">
        <f>IFERROR(__xludf.DUMMYFUNCTION("GOOGLETRANSLATE(H4382,""EN"",""ES"")"),"Gastronomía")</f>
        <v>Gastronomía</v>
      </c>
      <c r="J4382" s="16" t="s">
        <v>27</v>
      </c>
      <c r="K4382" s="17">
        <v>0.0</v>
      </c>
      <c r="L4382" s="45"/>
      <c r="M4382" s="18"/>
      <c r="N4382" s="94"/>
      <c r="O4382" s="94"/>
      <c r="P4382" s="20">
        <v>0.0</v>
      </c>
      <c r="Q4382" s="18"/>
      <c r="R4382" s="18"/>
      <c r="S4382" s="52"/>
      <c r="T4382" s="22"/>
    </row>
    <row r="4383">
      <c r="A4383" s="23" t="s">
        <v>31033</v>
      </c>
      <c r="B4383" s="77" t="s">
        <v>7351</v>
      </c>
      <c r="C4383" s="96">
        <v>45608.0</v>
      </c>
      <c r="D4383" s="40" t="s">
        <v>31034</v>
      </c>
      <c r="E4383" s="97" t="s">
        <v>31035</v>
      </c>
      <c r="F4383" s="98" t="s">
        <v>31036</v>
      </c>
      <c r="G4383" s="98" t="s">
        <v>31037</v>
      </c>
      <c r="H4383" s="51" t="s">
        <v>148</v>
      </c>
      <c r="I4383" s="25" t="str">
        <f>IFERROR(__xludf.DUMMYFUNCTION("GOOGLETRANSLATE(H4383,""EN"",""ES"")"),"Gastronomía")</f>
        <v>Gastronomía</v>
      </c>
      <c r="J4383" s="26" t="s">
        <v>27</v>
      </c>
      <c r="K4383" s="17">
        <v>0.0</v>
      </c>
      <c r="L4383" s="54"/>
      <c r="M4383" s="31"/>
      <c r="N4383" s="93"/>
      <c r="O4383" s="93"/>
      <c r="P4383" s="20">
        <v>0.0</v>
      </c>
      <c r="Q4383" s="31"/>
      <c r="R4383" s="31"/>
      <c r="S4383" s="53"/>
      <c r="T4383" s="32"/>
    </row>
    <row r="4384">
      <c r="A4384" s="33" t="s">
        <v>31038</v>
      </c>
      <c r="B4384" s="76" t="s">
        <v>19498</v>
      </c>
      <c r="C4384" s="99">
        <v>45608.0</v>
      </c>
      <c r="D4384" s="40" t="s">
        <v>31039</v>
      </c>
      <c r="E4384" s="100" t="s">
        <v>31040</v>
      </c>
      <c r="F4384" s="101" t="s">
        <v>31041</v>
      </c>
      <c r="G4384" s="101" t="s">
        <v>31042</v>
      </c>
      <c r="H4384" s="51" t="s">
        <v>148</v>
      </c>
      <c r="I4384" s="15" t="str">
        <f>IFERROR(__xludf.DUMMYFUNCTION("GOOGLETRANSLATE(H4384,""EN"",""ES"")"),"Gastronomía")</f>
        <v>Gastronomía</v>
      </c>
      <c r="J4384" s="16" t="s">
        <v>27</v>
      </c>
      <c r="K4384" s="17">
        <v>0.0</v>
      </c>
      <c r="L4384" s="45"/>
      <c r="M4384" s="18"/>
      <c r="N4384" s="94"/>
      <c r="O4384" s="94"/>
      <c r="P4384" s="20">
        <v>0.0</v>
      </c>
      <c r="Q4384" s="18"/>
      <c r="R4384" s="18"/>
      <c r="S4384" s="52"/>
      <c r="T4384" s="22"/>
    </row>
    <row r="4385">
      <c r="A4385" s="23" t="s">
        <v>31043</v>
      </c>
      <c r="B4385" s="77" t="s">
        <v>1005</v>
      </c>
      <c r="C4385" s="96">
        <v>45608.0</v>
      </c>
      <c r="D4385" s="40" t="s">
        <v>31044</v>
      </c>
      <c r="E4385" s="97" t="s">
        <v>31045</v>
      </c>
      <c r="F4385" s="98" t="s">
        <v>31046</v>
      </c>
      <c r="G4385" s="98" t="s">
        <v>31046</v>
      </c>
      <c r="H4385" s="51" t="s">
        <v>31047</v>
      </c>
      <c r="I4385" s="25" t="str">
        <f>IFERROR(__xludf.DUMMYFUNCTION("GOOGLETRANSLATE(H4385,""EN"",""ES"")"),"Conflicto corporativo")</f>
        <v>Conflicto corporativo</v>
      </c>
      <c r="J4385" s="26" t="s">
        <v>27</v>
      </c>
      <c r="K4385" s="17">
        <v>0.0</v>
      </c>
      <c r="L4385" s="54"/>
      <c r="M4385" s="31"/>
      <c r="N4385" s="93"/>
      <c r="O4385" s="93"/>
      <c r="P4385" s="20">
        <v>0.0</v>
      </c>
      <c r="Q4385" s="31"/>
      <c r="R4385" s="31"/>
      <c r="S4385" s="53"/>
      <c r="T4385" s="32"/>
    </row>
    <row r="4386">
      <c r="A4386" s="33" t="s">
        <v>31048</v>
      </c>
      <c r="B4386" s="76" t="s">
        <v>85</v>
      </c>
      <c r="C4386" s="99">
        <v>45608.0</v>
      </c>
      <c r="D4386" s="40" t="s">
        <v>31049</v>
      </c>
      <c r="E4386" s="100" t="s">
        <v>31050</v>
      </c>
      <c r="F4386" s="101" t="s">
        <v>31051</v>
      </c>
      <c r="G4386" s="101" t="s">
        <v>31052</v>
      </c>
      <c r="H4386" s="51" t="s">
        <v>148</v>
      </c>
      <c r="I4386" s="15" t="str">
        <f>IFERROR(__xludf.DUMMYFUNCTION("GOOGLETRANSLATE(H4386,""EN"",""ES"")"),"Gastronomía")</f>
        <v>Gastronomía</v>
      </c>
      <c r="J4386" s="16" t="s">
        <v>27</v>
      </c>
      <c r="K4386" s="17">
        <v>0.0</v>
      </c>
      <c r="L4386" s="45"/>
      <c r="M4386" s="18"/>
      <c r="N4386" s="94"/>
      <c r="O4386" s="94"/>
      <c r="P4386" s="20">
        <v>0.0</v>
      </c>
      <c r="Q4386" s="18"/>
      <c r="R4386" s="18"/>
      <c r="S4386" s="52"/>
      <c r="T4386" s="22"/>
    </row>
    <row r="4387">
      <c r="A4387" s="23" t="s">
        <v>31053</v>
      </c>
      <c r="B4387" s="77" t="s">
        <v>1081</v>
      </c>
      <c r="C4387" s="96">
        <v>45608.0</v>
      </c>
      <c r="D4387" s="40" t="s">
        <v>31054</v>
      </c>
      <c r="E4387" s="97" t="s">
        <v>31055</v>
      </c>
      <c r="F4387" s="98" t="s">
        <v>31056</v>
      </c>
      <c r="G4387" s="98" t="s">
        <v>31057</v>
      </c>
      <c r="H4387" s="51" t="s">
        <v>148</v>
      </c>
      <c r="I4387" s="25" t="str">
        <f>IFERROR(__xludf.DUMMYFUNCTION("GOOGLETRANSLATE(H4387,""EN"",""ES"")"),"Gastronomía")</f>
        <v>Gastronomía</v>
      </c>
      <c r="J4387" s="26" t="s">
        <v>27</v>
      </c>
      <c r="K4387" s="17">
        <v>0.0</v>
      </c>
      <c r="L4387" s="54"/>
      <c r="M4387" s="31"/>
      <c r="N4387" s="93"/>
      <c r="O4387" s="93"/>
      <c r="P4387" s="20">
        <v>0.0</v>
      </c>
      <c r="Q4387" s="31"/>
      <c r="R4387" s="31"/>
      <c r="S4387" s="53"/>
      <c r="T4387" s="32"/>
    </row>
    <row r="4388">
      <c r="A4388" s="33" t="s">
        <v>31058</v>
      </c>
      <c r="B4388" s="76" t="s">
        <v>85</v>
      </c>
      <c r="C4388" s="99">
        <v>45608.0</v>
      </c>
      <c r="D4388" s="40" t="s">
        <v>31059</v>
      </c>
      <c r="E4388" s="100" t="s">
        <v>31060</v>
      </c>
      <c r="F4388" s="101" t="s">
        <v>31061</v>
      </c>
      <c r="G4388" s="101" t="s">
        <v>31062</v>
      </c>
      <c r="H4388" s="51" t="s">
        <v>148</v>
      </c>
      <c r="I4388" s="15" t="str">
        <f>IFERROR(__xludf.DUMMYFUNCTION("GOOGLETRANSLATE(H4388,""EN"",""ES"")"),"Gastronomía")</f>
        <v>Gastronomía</v>
      </c>
      <c r="J4388" s="16" t="s">
        <v>27</v>
      </c>
      <c r="K4388" s="17">
        <v>0.0</v>
      </c>
      <c r="L4388" s="45"/>
      <c r="M4388" s="18"/>
      <c r="N4388" s="94"/>
      <c r="O4388" s="94"/>
      <c r="P4388" s="20">
        <v>0.0</v>
      </c>
      <c r="Q4388" s="18"/>
      <c r="R4388" s="18"/>
      <c r="S4388" s="52"/>
      <c r="T4388" s="22"/>
    </row>
    <row r="4389">
      <c r="A4389" s="23" t="s">
        <v>31063</v>
      </c>
      <c r="B4389" s="77" t="s">
        <v>31064</v>
      </c>
      <c r="C4389" s="96">
        <v>45608.0</v>
      </c>
      <c r="D4389" s="40" t="s">
        <v>31065</v>
      </c>
      <c r="E4389" s="97" t="s">
        <v>31066</v>
      </c>
      <c r="F4389" s="98" t="s">
        <v>31067</v>
      </c>
      <c r="G4389" s="98" t="s">
        <v>31068</v>
      </c>
      <c r="H4389" s="51" t="s">
        <v>148</v>
      </c>
      <c r="I4389" s="25" t="str">
        <f>IFERROR(__xludf.DUMMYFUNCTION("GOOGLETRANSLATE(H4389,""EN"",""ES"")"),"Gastronomía")</f>
        <v>Gastronomía</v>
      </c>
      <c r="J4389" s="26" t="s">
        <v>27</v>
      </c>
      <c r="K4389" s="17">
        <v>0.0</v>
      </c>
      <c r="L4389" s="54"/>
      <c r="M4389" s="31"/>
      <c r="N4389" s="93"/>
      <c r="O4389" s="93"/>
      <c r="P4389" s="20">
        <v>0.0</v>
      </c>
      <c r="Q4389" s="31"/>
      <c r="R4389" s="31"/>
      <c r="S4389" s="53"/>
      <c r="T4389" s="32"/>
    </row>
    <row r="4390">
      <c r="A4390" s="33" t="s">
        <v>31069</v>
      </c>
      <c r="B4390" s="76" t="s">
        <v>16303</v>
      </c>
      <c r="C4390" s="99">
        <v>45608.0</v>
      </c>
      <c r="D4390" s="40" t="s">
        <v>31070</v>
      </c>
      <c r="E4390" s="100" t="s">
        <v>31071</v>
      </c>
      <c r="F4390" s="101" t="s">
        <v>31072</v>
      </c>
      <c r="G4390" s="101" t="s">
        <v>31073</v>
      </c>
      <c r="H4390" s="51" t="s">
        <v>5409</v>
      </c>
      <c r="I4390" s="15" t="str">
        <f>IFERROR(__xludf.DUMMYFUNCTION("GOOGLETRANSLATE(H4390,""EN"",""ES"")"),"Desarrollo urbano")</f>
        <v>Desarrollo urbano</v>
      </c>
      <c r="J4390" s="16" t="s">
        <v>27</v>
      </c>
      <c r="K4390" s="17">
        <v>0.0</v>
      </c>
      <c r="L4390" s="49"/>
      <c r="M4390" s="18"/>
      <c r="N4390" s="18"/>
      <c r="O4390" s="88"/>
      <c r="P4390" s="20">
        <v>0.0</v>
      </c>
      <c r="Q4390" s="18"/>
      <c r="R4390" s="18"/>
      <c r="S4390" s="52"/>
      <c r="T4390" s="22"/>
    </row>
    <row r="4391">
      <c r="A4391" s="23" t="s">
        <v>31074</v>
      </c>
      <c r="B4391" s="77" t="s">
        <v>85</v>
      </c>
      <c r="C4391" s="96">
        <v>45608.0</v>
      </c>
      <c r="D4391" s="40" t="s">
        <v>31075</v>
      </c>
      <c r="E4391" s="97" t="s">
        <v>31076</v>
      </c>
      <c r="F4391" s="98" t="s">
        <v>31077</v>
      </c>
      <c r="G4391" s="98" t="s">
        <v>31078</v>
      </c>
      <c r="H4391" s="49" t="s">
        <v>148</v>
      </c>
      <c r="I4391" s="25" t="str">
        <f>IFERROR(__xludf.DUMMYFUNCTION("GOOGLETRANSLATE(H4391,""EN"",""ES"")"),"Gastronomía")</f>
        <v>Gastronomía</v>
      </c>
      <c r="J4391" s="26" t="s">
        <v>27</v>
      </c>
      <c r="K4391" s="17">
        <v>0.0</v>
      </c>
      <c r="L4391" s="51"/>
      <c r="M4391" s="31"/>
      <c r="N4391" s="31"/>
      <c r="O4391" s="89"/>
      <c r="P4391" s="20">
        <v>0.0</v>
      </c>
      <c r="Q4391" s="31"/>
      <c r="R4391" s="31"/>
      <c r="S4391" s="53"/>
      <c r="T4391" s="32"/>
    </row>
    <row r="4392">
      <c r="A4392" s="33" t="s">
        <v>31079</v>
      </c>
      <c r="B4392" s="76" t="s">
        <v>85</v>
      </c>
      <c r="C4392" s="99">
        <v>45608.0</v>
      </c>
      <c r="D4392" s="68" t="s">
        <v>31080</v>
      </c>
      <c r="E4392" s="100" t="s">
        <v>31081</v>
      </c>
      <c r="F4392" s="101" t="s">
        <v>31082</v>
      </c>
      <c r="G4392" s="101" t="s">
        <v>31083</v>
      </c>
      <c r="H4392" s="51" t="s">
        <v>148</v>
      </c>
      <c r="I4392" s="15" t="str">
        <f>IFERROR(__xludf.DUMMYFUNCTION("GOOGLETRANSLATE(H4392,""EN"",""ES"")"),"Gastronomía")</f>
        <v>Gastronomía</v>
      </c>
      <c r="J4392" s="16" t="s">
        <v>27</v>
      </c>
      <c r="K4392" s="17">
        <v>0.0</v>
      </c>
      <c r="L4392" s="49"/>
      <c r="M4392" s="18"/>
      <c r="N4392" s="18"/>
      <c r="O4392" s="88"/>
      <c r="P4392" s="20">
        <v>0.0</v>
      </c>
      <c r="Q4392" s="18"/>
      <c r="R4392" s="18"/>
      <c r="S4392" s="52"/>
      <c r="T4392" s="22"/>
    </row>
    <row r="4393">
      <c r="A4393" s="23" t="s">
        <v>31084</v>
      </c>
      <c r="B4393" s="77" t="s">
        <v>431</v>
      </c>
      <c r="C4393" s="96">
        <v>45608.0</v>
      </c>
      <c r="D4393" s="40" t="s">
        <v>31085</v>
      </c>
      <c r="E4393" s="97" t="s">
        <v>31086</v>
      </c>
      <c r="F4393" s="98" t="s">
        <v>31087</v>
      </c>
      <c r="G4393" s="98" t="s">
        <v>31088</v>
      </c>
      <c r="H4393" s="49" t="s">
        <v>148</v>
      </c>
      <c r="I4393" s="25" t="str">
        <f>IFERROR(__xludf.DUMMYFUNCTION("GOOGLETRANSLATE(H4393,""EN"",""ES"")"),"Gastronomía")</f>
        <v>Gastronomía</v>
      </c>
      <c r="J4393" s="26" t="s">
        <v>27</v>
      </c>
      <c r="K4393" s="17">
        <v>0.0</v>
      </c>
      <c r="L4393" s="51"/>
      <c r="M4393" s="31"/>
      <c r="N4393" s="31"/>
      <c r="O4393" s="89"/>
      <c r="P4393" s="20">
        <v>0.0</v>
      </c>
      <c r="Q4393" s="31"/>
      <c r="R4393" s="31"/>
      <c r="S4393" s="53"/>
      <c r="T4393" s="32"/>
    </row>
    <row r="4394">
      <c r="A4394" s="33" t="s">
        <v>31089</v>
      </c>
      <c r="B4394" s="76" t="s">
        <v>6824</v>
      </c>
      <c r="C4394" s="99">
        <v>45608.0</v>
      </c>
      <c r="D4394" s="40" t="s">
        <v>31090</v>
      </c>
      <c r="E4394" s="100" t="s">
        <v>31091</v>
      </c>
      <c r="F4394" s="101" t="s">
        <v>31092</v>
      </c>
      <c r="G4394" s="101" t="s">
        <v>31093</v>
      </c>
      <c r="H4394" s="51" t="s">
        <v>148</v>
      </c>
      <c r="I4394" s="15" t="str">
        <f>IFERROR(__xludf.DUMMYFUNCTION("GOOGLETRANSLATE(H4394,""EN"",""ES"")"),"Gastronomía")</f>
        <v>Gastronomía</v>
      </c>
      <c r="J4394" s="16" t="s">
        <v>27</v>
      </c>
      <c r="K4394" s="17">
        <v>0.0</v>
      </c>
      <c r="L4394" s="49"/>
      <c r="M4394" s="18"/>
      <c r="N4394" s="18"/>
      <c r="O4394" s="88"/>
      <c r="P4394" s="20">
        <v>0.0</v>
      </c>
      <c r="Q4394" s="18"/>
      <c r="R4394" s="18"/>
      <c r="S4394" s="52"/>
      <c r="T4394" s="22"/>
    </row>
    <row r="4395">
      <c r="A4395" s="23" t="s">
        <v>31094</v>
      </c>
      <c r="B4395" s="77" t="s">
        <v>4673</v>
      </c>
      <c r="C4395" s="96">
        <v>45608.0</v>
      </c>
      <c r="D4395" s="40" t="s">
        <v>31095</v>
      </c>
      <c r="E4395" s="97" t="s">
        <v>31096</v>
      </c>
      <c r="F4395" s="98" t="s">
        <v>31097</v>
      </c>
      <c r="G4395" s="98" t="s">
        <v>31098</v>
      </c>
      <c r="H4395" s="49" t="s">
        <v>148</v>
      </c>
      <c r="I4395" s="25" t="str">
        <f>IFERROR(__xludf.DUMMYFUNCTION("GOOGLETRANSLATE(H4395,""EN"",""ES"")"),"Gastronomía")</f>
        <v>Gastronomía</v>
      </c>
      <c r="J4395" s="26" t="s">
        <v>27</v>
      </c>
      <c r="K4395" s="17">
        <v>0.0</v>
      </c>
      <c r="L4395" s="51"/>
      <c r="M4395" s="31"/>
      <c r="N4395" s="31"/>
      <c r="O4395" s="89"/>
      <c r="P4395" s="20">
        <v>0.0</v>
      </c>
      <c r="Q4395" s="31"/>
      <c r="R4395" s="31"/>
      <c r="S4395" s="53"/>
      <c r="T4395" s="32"/>
    </row>
    <row r="4396">
      <c r="A4396" s="33" t="s">
        <v>31099</v>
      </c>
      <c r="B4396" s="76" t="s">
        <v>31100</v>
      </c>
      <c r="C4396" s="99">
        <v>45608.0</v>
      </c>
      <c r="D4396" s="40" t="s">
        <v>31101</v>
      </c>
      <c r="E4396" s="100" t="s">
        <v>31102</v>
      </c>
      <c r="F4396" s="101" t="s">
        <v>31103</v>
      </c>
      <c r="G4396" s="101" t="s">
        <v>31104</v>
      </c>
      <c r="H4396" s="51" t="s">
        <v>148</v>
      </c>
      <c r="I4396" s="15" t="str">
        <f>IFERROR(__xludf.DUMMYFUNCTION("GOOGLETRANSLATE(H4396,""EN"",""ES"")"),"Gastronomía")</f>
        <v>Gastronomía</v>
      </c>
      <c r="J4396" s="16" t="s">
        <v>27</v>
      </c>
      <c r="K4396" s="17">
        <v>0.0</v>
      </c>
      <c r="L4396" s="49"/>
      <c r="M4396" s="18"/>
      <c r="N4396" s="18"/>
      <c r="O4396" s="88"/>
      <c r="P4396" s="20">
        <v>0.0</v>
      </c>
      <c r="Q4396" s="18"/>
      <c r="R4396" s="18"/>
      <c r="S4396" s="52"/>
      <c r="T4396" s="22"/>
    </row>
    <row r="4397">
      <c r="A4397" s="23" t="s">
        <v>31105</v>
      </c>
      <c r="B4397" s="77" t="s">
        <v>85</v>
      </c>
      <c r="C4397" s="96">
        <v>45608.0</v>
      </c>
      <c r="D4397" s="40" t="s">
        <v>31106</v>
      </c>
      <c r="E4397" s="97" t="s">
        <v>31107</v>
      </c>
      <c r="F4397" s="98" t="s">
        <v>31108</v>
      </c>
      <c r="G4397" s="98" t="s">
        <v>31109</v>
      </c>
      <c r="H4397" s="49" t="s">
        <v>148</v>
      </c>
      <c r="I4397" s="25" t="str">
        <f>IFERROR(__xludf.DUMMYFUNCTION("GOOGLETRANSLATE(H4397,""EN"",""ES"")"),"Gastronomía")</f>
        <v>Gastronomía</v>
      </c>
      <c r="J4397" s="26" t="s">
        <v>27</v>
      </c>
      <c r="K4397" s="17">
        <v>0.0</v>
      </c>
      <c r="L4397" s="51"/>
      <c r="M4397" s="31"/>
      <c r="N4397" s="31"/>
      <c r="O4397" s="89"/>
      <c r="P4397" s="20">
        <v>0.0</v>
      </c>
      <c r="Q4397" s="31"/>
      <c r="R4397" s="31"/>
      <c r="S4397" s="53"/>
      <c r="T4397" s="32"/>
    </row>
    <row r="4398">
      <c r="A4398" s="33" t="s">
        <v>31110</v>
      </c>
      <c r="B4398" s="76" t="s">
        <v>1081</v>
      </c>
      <c r="C4398" s="99">
        <v>45608.0</v>
      </c>
      <c r="D4398" s="40" t="s">
        <v>31111</v>
      </c>
      <c r="E4398" s="100" t="s">
        <v>31112</v>
      </c>
      <c r="F4398" s="101" t="s">
        <v>31113</v>
      </c>
      <c r="G4398" s="101" t="s">
        <v>31114</v>
      </c>
      <c r="H4398" s="51" t="s">
        <v>148</v>
      </c>
      <c r="I4398" s="15" t="str">
        <f>IFERROR(__xludf.DUMMYFUNCTION("GOOGLETRANSLATE(H4398,""EN"",""ES"")"),"Gastronomía")</f>
        <v>Gastronomía</v>
      </c>
      <c r="J4398" s="16" t="s">
        <v>27</v>
      </c>
      <c r="K4398" s="17">
        <v>0.0</v>
      </c>
      <c r="L4398" s="49"/>
      <c r="M4398" s="18"/>
      <c r="N4398" s="18"/>
      <c r="O4398" s="88"/>
      <c r="P4398" s="20">
        <v>0.0</v>
      </c>
      <c r="Q4398" s="18"/>
      <c r="R4398" s="18"/>
      <c r="S4398" s="52"/>
      <c r="T4398" s="22"/>
    </row>
    <row r="4399">
      <c r="A4399" s="23" t="s">
        <v>31115</v>
      </c>
      <c r="B4399" s="77" t="s">
        <v>6555</v>
      </c>
      <c r="C4399" s="96">
        <v>45608.0</v>
      </c>
      <c r="D4399" s="40" t="s">
        <v>31116</v>
      </c>
      <c r="E4399" s="97" t="s">
        <v>31117</v>
      </c>
      <c r="F4399" s="98" t="s">
        <v>31118</v>
      </c>
      <c r="G4399" s="98" t="s">
        <v>31119</v>
      </c>
      <c r="H4399" s="49" t="s">
        <v>148</v>
      </c>
      <c r="I4399" s="25" t="str">
        <f>IFERROR(__xludf.DUMMYFUNCTION("GOOGLETRANSLATE(H4399,""EN"",""ES"")"),"Gastronomía")</f>
        <v>Gastronomía</v>
      </c>
      <c r="J4399" s="26" t="s">
        <v>27</v>
      </c>
      <c r="K4399" s="17">
        <v>0.0</v>
      </c>
      <c r="L4399" s="51"/>
      <c r="M4399" s="31"/>
      <c r="N4399" s="31"/>
      <c r="O4399" s="89"/>
      <c r="P4399" s="20">
        <v>0.0</v>
      </c>
      <c r="Q4399" s="31"/>
      <c r="R4399" s="31"/>
      <c r="S4399" s="53"/>
      <c r="T4399" s="32"/>
    </row>
    <row r="4400">
      <c r="A4400" s="33" t="s">
        <v>31120</v>
      </c>
      <c r="B4400" s="76" t="s">
        <v>5942</v>
      </c>
      <c r="C4400" s="99">
        <v>45608.0</v>
      </c>
      <c r="D4400" s="40" t="s">
        <v>31121</v>
      </c>
      <c r="E4400" s="100" t="s">
        <v>31122</v>
      </c>
      <c r="F4400" s="101" t="s">
        <v>31123</v>
      </c>
      <c r="G4400" s="101" t="s">
        <v>31124</v>
      </c>
      <c r="H4400" s="51" t="s">
        <v>148</v>
      </c>
      <c r="I4400" s="15" t="str">
        <f>IFERROR(__xludf.DUMMYFUNCTION("GOOGLETRANSLATE(H4400,""EN"",""ES"")"),"Gastronomía")</f>
        <v>Gastronomía</v>
      </c>
      <c r="J4400" s="16" t="s">
        <v>27</v>
      </c>
      <c r="K4400" s="17">
        <v>0.0</v>
      </c>
      <c r="L4400" s="49"/>
      <c r="M4400" s="18"/>
      <c r="N4400" s="18"/>
      <c r="O4400" s="88"/>
      <c r="P4400" s="20">
        <v>0.0</v>
      </c>
      <c r="Q4400" s="18"/>
      <c r="R4400" s="18"/>
      <c r="S4400" s="52"/>
      <c r="T4400" s="22"/>
    </row>
    <row r="4401">
      <c r="A4401" s="23" t="s">
        <v>31125</v>
      </c>
      <c r="B4401" s="77" t="s">
        <v>85</v>
      </c>
      <c r="C4401" s="96">
        <v>45608.0</v>
      </c>
      <c r="D4401" s="40" t="s">
        <v>31126</v>
      </c>
      <c r="E4401" s="97" t="s">
        <v>31127</v>
      </c>
      <c r="F4401" s="98" t="s">
        <v>31128</v>
      </c>
      <c r="G4401" s="98" t="s">
        <v>31129</v>
      </c>
      <c r="H4401" s="49" t="s">
        <v>148</v>
      </c>
      <c r="I4401" s="25" t="str">
        <f>IFERROR(__xludf.DUMMYFUNCTION("GOOGLETRANSLATE(H4401,""EN"",""ES"")"),"Gastronomía")</f>
        <v>Gastronomía</v>
      </c>
      <c r="J4401" s="26" t="s">
        <v>27</v>
      </c>
      <c r="K4401" s="17">
        <v>0.0</v>
      </c>
      <c r="L4401" s="51"/>
      <c r="M4401" s="31"/>
      <c r="N4401" s="31"/>
      <c r="O4401" s="89"/>
      <c r="P4401" s="20">
        <v>0.0</v>
      </c>
      <c r="Q4401" s="31"/>
      <c r="R4401" s="31"/>
      <c r="S4401" s="53"/>
      <c r="T4401" s="32"/>
    </row>
    <row r="4402">
      <c r="A4402" s="33" t="s">
        <v>31130</v>
      </c>
      <c r="B4402" s="76" t="s">
        <v>31131</v>
      </c>
      <c r="C4402" s="99">
        <v>45608.0</v>
      </c>
      <c r="D4402" s="40" t="s">
        <v>31132</v>
      </c>
      <c r="E4402" s="100" t="s">
        <v>31133</v>
      </c>
      <c r="F4402" s="101" t="s">
        <v>31134</v>
      </c>
      <c r="G4402" s="101" t="s">
        <v>31135</v>
      </c>
      <c r="H4402" s="51" t="s">
        <v>148</v>
      </c>
      <c r="I4402" s="15" t="str">
        <f>IFERROR(__xludf.DUMMYFUNCTION("GOOGLETRANSLATE(H4402,""EN"",""ES"")"),"Gastronomía")</f>
        <v>Gastronomía</v>
      </c>
      <c r="J4402" s="16" t="s">
        <v>27</v>
      </c>
      <c r="K4402" s="17">
        <v>0.0</v>
      </c>
      <c r="L4402" s="49"/>
      <c r="M4402" s="18"/>
      <c r="N4402" s="18"/>
      <c r="O4402" s="88"/>
      <c r="P4402" s="20">
        <v>0.0</v>
      </c>
      <c r="Q4402" s="18"/>
      <c r="R4402" s="18"/>
      <c r="S4402" s="52"/>
      <c r="T4402" s="22"/>
    </row>
    <row r="4403">
      <c r="A4403" s="23" t="s">
        <v>31136</v>
      </c>
      <c r="B4403" s="77" t="s">
        <v>85</v>
      </c>
      <c r="C4403" s="96">
        <v>45608.0</v>
      </c>
      <c r="D4403" s="40" t="s">
        <v>31137</v>
      </c>
      <c r="E4403" s="97" t="s">
        <v>31138</v>
      </c>
      <c r="F4403" s="98" t="s">
        <v>31139</v>
      </c>
      <c r="G4403" s="98" t="s">
        <v>31140</v>
      </c>
      <c r="H4403" s="49" t="s">
        <v>148</v>
      </c>
      <c r="I4403" s="25" t="str">
        <f>IFERROR(__xludf.DUMMYFUNCTION("GOOGLETRANSLATE(H4403,""EN"",""ES"")"),"Gastronomía")</f>
        <v>Gastronomía</v>
      </c>
      <c r="J4403" s="26" t="s">
        <v>27</v>
      </c>
      <c r="K4403" s="17">
        <v>0.0</v>
      </c>
      <c r="L4403" s="51"/>
      <c r="M4403" s="31"/>
      <c r="N4403" s="31"/>
      <c r="O4403" s="89"/>
      <c r="P4403" s="20">
        <v>0.0</v>
      </c>
      <c r="Q4403" s="31"/>
      <c r="R4403" s="31"/>
      <c r="S4403" s="53"/>
      <c r="T4403" s="32"/>
    </row>
    <row r="4404">
      <c r="A4404" s="33" t="s">
        <v>31141</v>
      </c>
      <c r="B4404" s="76" t="s">
        <v>4866</v>
      </c>
      <c r="C4404" s="99">
        <v>45608.0</v>
      </c>
      <c r="D4404" s="40" t="s">
        <v>31142</v>
      </c>
      <c r="E4404" s="100" t="s">
        <v>31143</v>
      </c>
      <c r="F4404" s="101" t="s">
        <v>31144</v>
      </c>
      <c r="G4404" s="101" t="s">
        <v>31145</v>
      </c>
      <c r="H4404" s="51" t="s">
        <v>148</v>
      </c>
      <c r="I4404" s="15" t="str">
        <f>IFERROR(__xludf.DUMMYFUNCTION("GOOGLETRANSLATE(H4404,""EN"",""ES"")"),"Gastronomía")</f>
        <v>Gastronomía</v>
      </c>
      <c r="J4404" s="16" t="s">
        <v>27</v>
      </c>
      <c r="K4404" s="17">
        <v>0.0</v>
      </c>
      <c r="L4404" s="49"/>
      <c r="M4404" s="18"/>
      <c r="N4404" s="18"/>
      <c r="O4404" s="88"/>
      <c r="P4404" s="20">
        <v>0.0</v>
      </c>
      <c r="Q4404" s="18"/>
      <c r="R4404" s="18"/>
      <c r="S4404" s="52"/>
      <c r="T4404" s="22"/>
    </row>
    <row r="4405">
      <c r="A4405" s="23" t="s">
        <v>31146</v>
      </c>
      <c r="B4405" s="77" t="s">
        <v>217</v>
      </c>
      <c r="C4405" s="96">
        <v>45608.0</v>
      </c>
      <c r="D4405" s="40" t="s">
        <v>31147</v>
      </c>
      <c r="E4405" s="97" t="s">
        <v>31148</v>
      </c>
      <c r="F4405" s="98" t="s">
        <v>31149</v>
      </c>
      <c r="G4405" s="98" t="s">
        <v>31150</v>
      </c>
      <c r="H4405" s="49" t="s">
        <v>31151</v>
      </c>
      <c r="I4405" s="25" t="str">
        <f>IFERROR(__xludf.DUMMYFUNCTION("GOOGLETRANSLATE(H4405,""EN"",""ES"")"),"Cambio corporativo")</f>
        <v>Cambio corporativo</v>
      </c>
      <c r="J4405" s="26" t="s">
        <v>27</v>
      </c>
      <c r="K4405" s="17">
        <v>0.0</v>
      </c>
      <c r="L4405" s="51"/>
      <c r="M4405" s="31"/>
      <c r="N4405" s="31"/>
      <c r="O4405" s="89"/>
      <c r="P4405" s="20">
        <v>0.0</v>
      </c>
      <c r="Q4405" s="31"/>
      <c r="R4405" s="31"/>
      <c r="S4405" s="53"/>
      <c r="T4405" s="32"/>
    </row>
    <row r="4406">
      <c r="A4406" s="33" t="s">
        <v>31152</v>
      </c>
      <c r="B4406" s="76" t="s">
        <v>1005</v>
      </c>
      <c r="C4406" s="99">
        <v>45609.0</v>
      </c>
      <c r="D4406" s="40" t="s">
        <v>31153</v>
      </c>
      <c r="E4406" s="100" t="s">
        <v>31154</v>
      </c>
      <c r="F4406" s="101" t="s">
        <v>31155</v>
      </c>
      <c r="G4406" s="101" t="s">
        <v>31156</v>
      </c>
      <c r="H4406" s="51" t="s">
        <v>148</v>
      </c>
      <c r="I4406" s="15" t="str">
        <f>IFERROR(__xludf.DUMMYFUNCTION("GOOGLETRANSLATE(H4406,""EN"",""ES"")"),"Gastronomía")</f>
        <v>Gastronomía</v>
      </c>
      <c r="J4406" s="16" t="s">
        <v>27</v>
      </c>
      <c r="K4406" s="17">
        <v>0.0</v>
      </c>
      <c r="L4406" s="49"/>
      <c r="M4406" s="18"/>
      <c r="N4406" s="18"/>
      <c r="O4406" s="88"/>
      <c r="P4406" s="20">
        <v>0.0</v>
      </c>
      <c r="Q4406" s="18"/>
      <c r="R4406" s="18"/>
      <c r="S4406" s="52"/>
      <c r="T4406" s="22"/>
    </row>
    <row r="4407">
      <c r="A4407" s="23" t="s">
        <v>31157</v>
      </c>
      <c r="B4407" s="77" t="s">
        <v>2696</v>
      </c>
      <c r="C4407" s="96">
        <v>45609.0</v>
      </c>
      <c r="D4407" s="40" t="s">
        <v>31158</v>
      </c>
      <c r="E4407" s="97" t="s">
        <v>31159</v>
      </c>
      <c r="F4407" s="98" t="s">
        <v>31160</v>
      </c>
      <c r="G4407" s="98" t="s">
        <v>31161</v>
      </c>
      <c r="H4407" s="49" t="s">
        <v>148</v>
      </c>
      <c r="I4407" s="25" t="str">
        <f>IFERROR(__xludf.DUMMYFUNCTION("GOOGLETRANSLATE(H4407,""EN"",""ES"")"),"Gastronomía")</f>
        <v>Gastronomía</v>
      </c>
      <c r="J4407" s="26" t="s">
        <v>27</v>
      </c>
      <c r="K4407" s="17">
        <v>0.0</v>
      </c>
      <c r="L4407" s="51"/>
      <c r="M4407" s="31"/>
      <c r="N4407" s="31"/>
      <c r="O4407" s="89"/>
      <c r="P4407" s="20">
        <v>0.0</v>
      </c>
      <c r="Q4407" s="31"/>
      <c r="R4407" s="31"/>
      <c r="S4407" s="53"/>
      <c r="T4407" s="32"/>
    </row>
    <row r="4408">
      <c r="A4408" s="33" t="s">
        <v>31162</v>
      </c>
      <c r="B4408" s="76" t="s">
        <v>1602</v>
      </c>
      <c r="C4408" s="99">
        <v>45609.0</v>
      </c>
      <c r="D4408" s="40" t="s">
        <v>31163</v>
      </c>
      <c r="E4408" s="100" t="s">
        <v>31164</v>
      </c>
      <c r="F4408" s="101" t="s">
        <v>31165</v>
      </c>
      <c r="G4408" s="101" t="s">
        <v>31166</v>
      </c>
      <c r="H4408" s="51" t="s">
        <v>48</v>
      </c>
      <c r="I4408" s="15" t="str">
        <f>IFERROR(__xludf.DUMMYFUNCTION("GOOGLETRANSLATE(H4408,""EN"",""ES"")"),"Finanzas")</f>
        <v>Finanzas</v>
      </c>
      <c r="J4408" s="16" t="s">
        <v>35</v>
      </c>
      <c r="K4408" s="48">
        <v>-0.5</v>
      </c>
      <c r="L4408" s="49" t="s">
        <v>31167</v>
      </c>
      <c r="M4408" s="34" t="s">
        <v>31168</v>
      </c>
      <c r="N4408" s="34" t="s">
        <v>31169</v>
      </c>
      <c r="O4408" s="88" t="str">
        <f>IFERROR(__xludf.DUMMYFUNCTION("GOOGLETRANSLATE(N4408,""EN"",""ES"")"),"Negativo, preocupaciones sobre el desempeño de las acciones.")</f>
        <v>Negativo, preocupaciones sobre el desempeño de las acciones.</v>
      </c>
      <c r="P4408" s="30">
        <v>-0.4</v>
      </c>
      <c r="Q4408" s="18" t="str">
        <f>IFERROR(__xludf.DUMMYFUNCTION("GOOGLETRANSLATE(R4408,""ES"",""EN"")"),"cliff edge")</f>
        <v>cliff edge</v>
      </c>
      <c r="R4408" s="34" t="s">
        <v>31170</v>
      </c>
      <c r="S4408" s="52" t="s">
        <v>31171</v>
      </c>
      <c r="T4408" s="22" t="s">
        <v>31172</v>
      </c>
    </row>
    <row r="4409">
      <c r="A4409" s="23" t="s">
        <v>31173</v>
      </c>
      <c r="B4409" s="77" t="s">
        <v>91</v>
      </c>
      <c r="C4409" s="96">
        <v>45609.0</v>
      </c>
      <c r="D4409" s="40" t="s">
        <v>31174</v>
      </c>
      <c r="E4409" s="97" t="s">
        <v>31175</v>
      </c>
      <c r="F4409" s="98" t="s">
        <v>31176</v>
      </c>
      <c r="G4409" s="98" t="s">
        <v>31177</v>
      </c>
      <c r="H4409" s="49" t="s">
        <v>148</v>
      </c>
      <c r="I4409" s="25" t="str">
        <f>IFERROR(__xludf.DUMMYFUNCTION("GOOGLETRANSLATE(H4409,""EN"",""ES"")"),"Gastronomía")</f>
        <v>Gastronomía</v>
      </c>
      <c r="J4409" s="26" t="s">
        <v>27</v>
      </c>
      <c r="K4409" s="17">
        <v>0.0</v>
      </c>
      <c r="L4409" s="51"/>
      <c r="M4409" s="31"/>
      <c r="N4409" s="31"/>
      <c r="O4409" s="89"/>
      <c r="P4409" s="20">
        <v>0.0</v>
      </c>
      <c r="Q4409" s="31"/>
      <c r="R4409" s="31"/>
      <c r="S4409" s="53"/>
      <c r="T4409" s="32"/>
    </row>
    <row r="4410">
      <c r="A4410" s="33" t="s">
        <v>31178</v>
      </c>
      <c r="B4410" s="76" t="s">
        <v>31179</v>
      </c>
      <c r="C4410" s="99">
        <v>45609.0</v>
      </c>
      <c r="D4410" s="40" t="s">
        <v>31180</v>
      </c>
      <c r="E4410" s="100" t="s">
        <v>31181</v>
      </c>
      <c r="F4410" s="101" t="s">
        <v>31182</v>
      </c>
      <c r="G4410" s="101" t="s">
        <v>31183</v>
      </c>
      <c r="H4410" s="51" t="s">
        <v>148</v>
      </c>
      <c r="I4410" s="15" t="str">
        <f>IFERROR(__xludf.DUMMYFUNCTION("GOOGLETRANSLATE(H4410,""EN"",""ES"")"),"Gastronomía")</f>
        <v>Gastronomía</v>
      </c>
      <c r="J4410" s="16" t="s">
        <v>27</v>
      </c>
      <c r="K4410" s="17">
        <v>0.0</v>
      </c>
      <c r="L4410" s="49"/>
      <c r="M4410" s="18"/>
      <c r="N4410" s="18"/>
      <c r="O4410" s="88"/>
      <c r="P4410" s="20">
        <v>0.0</v>
      </c>
      <c r="Q4410" s="18"/>
      <c r="R4410" s="18"/>
      <c r="S4410" s="52"/>
      <c r="T4410" s="22"/>
    </row>
    <row r="4411">
      <c r="A4411" s="23" t="s">
        <v>31184</v>
      </c>
      <c r="B4411" s="77" t="s">
        <v>25384</v>
      </c>
      <c r="C4411" s="96">
        <v>45609.0</v>
      </c>
      <c r="D4411" s="40" t="s">
        <v>31185</v>
      </c>
      <c r="E4411" s="97" t="s">
        <v>31186</v>
      </c>
      <c r="F4411" s="98" t="s">
        <v>31187</v>
      </c>
      <c r="G4411" s="98" t="s">
        <v>31188</v>
      </c>
      <c r="H4411" s="49" t="s">
        <v>2591</v>
      </c>
      <c r="I4411" s="25" t="str">
        <f>IFERROR(__xludf.DUMMYFUNCTION("GOOGLETRANSLATE(H4411,""EN"",""ES"")"),"Negocio")</f>
        <v>Negocio</v>
      </c>
      <c r="J4411" s="26" t="s">
        <v>35</v>
      </c>
      <c r="K4411" s="48">
        <v>0.5</v>
      </c>
      <c r="L4411" s="51" t="s">
        <v>31189</v>
      </c>
      <c r="M4411" s="28" t="s">
        <v>31190</v>
      </c>
      <c r="N4411" s="28" t="s">
        <v>31191</v>
      </c>
      <c r="O4411" s="89" t="str">
        <f>IFERROR(__xludf.DUMMYFUNCTION("GOOGLETRANSLATE(N4411,""EN"",""ES"")"),"Neutral, informativo sobre la marcha del negocio de Repsol.")</f>
        <v>Neutral, informativo sobre la marcha del negocio de Repsol.</v>
      </c>
      <c r="P4411" s="30">
        <v>0.2</v>
      </c>
      <c r="Q4411" s="31" t="str">
        <f>IFERROR(__xludf.DUMMYFUNCTION("GOOGLETRANSLATE(R4411,""ES"",""EN"")"),"leadership, ""expansion""")</f>
        <v>leadership, "expansion"</v>
      </c>
      <c r="R4411" s="28" t="s">
        <v>31192</v>
      </c>
      <c r="S4411" s="53" t="s">
        <v>31193</v>
      </c>
      <c r="T4411" s="32" t="s">
        <v>31194</v>
      </c>
    </row>
    <row r="4412">
      <c r="A4412" s="33" t="s">
        <v>31195</v>
      </c>
      <c r="B4412" s="76" t="s">
        <v>9569</v>
      </c>
      <c r="C4412" s="99">
        <v>45609.0</v>
      </c>
      <c r="D4412" s="40" t="s">
        <v>31196</v>
      </c>
      <c r="E4412" s="100" t="s">
        <v>31197</v>
      </c>
      <c r="F4412" s="101" t="s">
        <v>31198</v>
      </c>
      <c r="G4412" s="101" t="s">
        <v>31199</v>
      </c>
      <c r="H4412" s="51" t="s">
        <v>1975</v>
      </c>
      <c r="I4412" s="15" t="str">
        <f>IFERROR(__xludf.DUMMYFUNCTION("GOOGLETRANSLATE(H4412,""EN"",""ES"")"),"Política")</f>
        <v>Política</v>
      </c>
      <c r="J4412" s="16" t="s">
        <v>35</v>
      </c>
      <c r="K4412" s="48">
        <v>-0.4</v>
      </c>
      <c r="L4412" s="49" t="s">
        <v>31200</v>
      </c>
      <c r="M4412" s="34" t="s">
        <v>31200</v>
      </c>
      <c r="N4412" s="34" t="s">
        <v>31201</v>
      </c>
      <c r="O4412" s="88" t="str">
        <f>IFERROR(__xludf.DUMMYFUNCTION("GOOGLETRANSLATE(N4412,""EN"",""ES"")"),"Negativo, por las implicaciones políticas de sus acciones.")</f>
        <v>Negativo, por las implicaciones políticas de sus acciones.</v>
      </c>
      <c r="P4412" s="30">
        <v>-0.3</v>
      </c>
      <c r="Q4412" s="18" t="str">
        <f>IFERROR(__xludf.DUMMYFUNCTION("GOOGLETRANSLATE(R4412,""ES"",""EN"")"),"accuse")</f>
        <v>accuse</v>
      </c>
      <c r="R4412" s="34" t="s">
        <v>31202</v>
      </c>
      <c r="S4412" s="52" t="s">
        <v>31203</v>
      </c>
      <c r="T4412" s="22" t="s">
        <v>31204</v>
      </c>
    </row>
    <row r="4413">
      <c r="A4413" s="23" t="s">
        <v>31205</v>
      </c>
      <c r="B4413" s="77" t="s">
        <v>163</v>
      </c>
      <c r="C4413" s="96">
        <v>45609.0</v>
      </c>
      <c r="D4413" s="40" t="s">
        <v>31206</v>
      </c>
      <c r="E4413" s="97" t="s">
        <v>31207</v>
      </c>
      <c r="F4413" s="98" t="s">
        <v>31208</v>
      </c>
      <c r="G4413" s="98" t="s">
        <v>31209</v>
      </c>
      <c r="H4413" s="49" t="s">
        <v>148</v>
      </c>
      <c r="I4413" s="25" t="str">
        <f>IFERROR(__xludf.DUMMYFUNCTION("GOOGLETRANSLATE(H4413,""EN"",""ES"")"),"Gastronomía")</f>
        <v>Gastronomía</v>
      </c>
      <c r="J4413" s="26" t="s">
        <v>27</v>
      </c>
      <c r="K4413" s="17">
        <v>0.0</v>
      </c>
      <c r="L4413" s="51"/>
      <c r="M4413" s="31"/>
      <c r="N4413" s="31"/>
      <c r="O4413" s="89"/>
      <c r="P4413" s="20">
        <v>0.0</v>
      </c>
      <c r="Q4413" s="31"/>
      <c r="R4413" s="31"/>
      <c r="S4413" s="53"/>
      <c r="T4413" s="32"/>
    </row>
    <row r="4414">
      <c r="A4414" s="33" t="s">
        <v>31210</v>
      </c>
      <c r="B4414" s="76" t="s">
        <v>21</v>
      </c>
      <c r="C4414" s="99">
        <v>45609.0</v>
      </c>
      <c r="D4414" s="40" t="s">
        <v>31211</v>
      </c>
      <c r="E4414" s="100" t="s">
        <v>31212</v>
      </c>
      <c r="F4414" s="101" t="s">
        <v>31213</v>
      </c>
      <c r="G4414" s="101" t="s">
        <v>31214</v>
      </c>
      <c r="H4414" s="51" t="s">
        <v>31215</v>
      </c>
      <c r="I4414" s="15" t="str">
        <f>IFERROR(__xludf.DUMMYFUNCTION("GOOGLETRANSLATE(H4414,""EN"",""ES"")"),"Salud")</f>
        <v>Salud</v>
      </c>
      <c r="J4414" s="16" t="s">
        <v>27</v>
      </c>
      <c r="K4414" s="17">
        <v>0.0</v>
      </c>
      <c r="L4414" s="49"/>
      <c r="M4414" s="18"/>
      <c r="N4414" s="18"/>
      <c r="O4414" s="88"/>
      <c r="P4414" s="20">
        <v>0.0</v>
      </c>
      <c r="Q4414" s="18"/>
      <c r="R4414" s="18"/>
      <c r="S4414" s="52"/>
      <c r="T4414" s="22"/>
    </row>
    <row r="4415">
      <c r="A4415" s="23" t="s">
        <v>31216</v>
      </c>
      <c r="B4415" s="77" t="s">
        <v>163</v>
      </c>
      <c r="C4415" s="96">
        <v>45609.0</v>
      </c>
      <c r="D4415" s="40" t="s">
        <v>31217</v>
      </c>
      <c r="E4415" s="97" t="s">
        <v>31218</v>
      </c>
      <c r="F4415" s="98" t="s">
        <v>31219</v>
      </c>
      <c r="G4415" s="98" t="s">
        <v>31220</v>
      </c>
      <c r="H4415" s="49" t="s">
        <v>782</v>
      </c>
      <c r="I4415" s="25" t="str">
        <f>IFERROR(__xludf.DUMMYFUNCTION("GOOGLETRANSLATE(H4415,""EN"",""ES"")"),"Tecnología")</f>
        <v>Tecnología</v>
      </c>
      <c r="J4415" s="26" t="s">
        <v>27</v>
      </c>
      <c r="K4415" s="17">
        <v>0.0</v>
      </c>
      <c r="L4415" s="51"/>
      <c r="M4415" s="31"/>
      <c r="N4415" s="31"/>
      <c r="O4415" s="89"/>
      <c r="P4415" s="20">
        <v>0.0</v>
      </c>
      <c r="Q4415" s="31"/>
      <c r="R4415" s="31"/>
      <c r="S4415" s="53"/>
      <c r="T4415" s="32"/>
    </row>
    <row r="4416">
      <c r="A4416" s="33" t="s">
        <v>31221</v>
      </c>
      <c r="B4416" s="76" t="s">
        <v>8029</v>
      </c>
      <c r="C4416" s="99">
        <v>45609.0</v>
      </c>
      <c r="D4416" s="40" t="s">
        <v>31222</v>
      </c>
      <c r="E4416" s="100" t="s">
        <v>31223</v>
      </c>
      <c r="F4416" s="101" t="s">
        <v>31224</v>
      </c>
      <c r="G4416" s="101" t="s">
        <v>31225</v>
      </c>
      <c r="H4416" s="51" t="s">
        <v>48</v>
      </c>
      <c r="I4416" s="15" t="str">
        <f>IFERROR(__xludf.DUMMYFUNCTION("GOOGLETRANSLATE(H4416,""EN"",""ES"")"),"Finanzas")</f>
        <v>Finanzas</v>
      </c>
      <c r="J4416" s="16" t="s">
        <v>35</v>
      </c>
      <c r="K4416" s="48">
        <v>-0.3</v>
      </c>
      <c r="L4416" s="49" t="s">
        <v>31226</v>
      </c>
      <c r="M4416" s="34" t="s">
        <v>31227</v>
      </c>
      <c r="N4416" s="34" t="s">
        <v>31228</v>
      </c>
      <c r="O4416" s="88" t="str">
        <f>IFERROR(__xludf.DUMMYFUNCTION("GOOGLETRANSLATE(N4416,""EN"",""ES"")"),"Información neutral y relacionada con el mercado.")</f>
        <v>Información neutral y relacionada con el mercado.</v>
      </c>
      <c r="P4416" s="30">
        <v>0.0</v>
      </c>
      <c r="Q4416" s="18"/>
      <c r="R4416" s="18"/>
      <c r="S4416" s="52" t="s">
        <v>31229</v>
      </c>
      <c r="T4416" s="22" t="s">
        <v>31230</v>
      </c>
    </row>
    <row r="4417">
      <c r="A4417" s="23" t="s">
        <v>31231</v>
      </c>
      <c r="B4417" s="77" t="s">
        <v>977</v>
      </c>
      <c r="C4417" s="96">
        <v>45609.0</v>
      </c>
      <c r="D4417" s="40" t="s">
        <v>31232</v>
      </c>
      <c r="E4417" s="97" t="s">
        <v>31233</v>
      </c>
      <c r="F4417" s="98" t="s">
        <v>31234</v>
      </c>
      <c r="G4417" s="98" t="s">
        <v>31235</v>
      </c>
      <c r="H4417" s="49" t="s">
        <v>148</v>
      </c>
      <c r="I4417" s="25" t="str">
        <f>IFERROR(__xludf.DUMMYFUNCTION("GOOGLETRANSLATE(H4417,""EN"",""ES"")"),"Gastronomía")</f>
        <v>Gastronomía</v>
      </c>
      <c r="J4417" s="26" t="s">
        <v>27</v>
      </c>
      <c r="K4417" s="17">
        <v>0.0</v>
      </c>
      <c r="L4417" s="51"/>
      <c r="M4417" s="31"/>
      <c r="N4417" s="31"/>
      <c r="O4417" s="89"/>
      <c r="P4417" s="20">
        <v>0.0</v>
      </c>
      <c r="Q4417" s="31"/>
      <c r="R4417" s="31"/>
      <c r="S4417" s="53"/>
      <c r="T4417" s="32"/>
    </row>
    <row r="4418">
      <c r="A4418" s="33" t="s">
        <v>31236</v>
      </c>
      <c r="B4418" s="76" t="s">
        <v>31237</v>
      </c>
      <c r="C4418" s="99">
        <v>45609.0</v>
      </c>
      <c r="D4418" s="40" t="s">
        <v>31238</v>
      </c>
      <c r="E4418" s="100" t="s">
        <v>31239</v>
      </c>
      <c r="F4418" s="101" t="s">
        <v>31240</v>
      </c>
      <c r="G4418" s="101" t="s">
        <v>31241</v>
      </c>
      <c r="H4418" s="51" t="s">
        <v>148</v>
      </c>
      <c r="I4418" s="15" t="str">
        <f>IFERROR(__xludf.DUMMYFUNCTION("GOOGLETRANSLATE(H4418,""EN"",""ES"")"),"Gastronomía")</f>
        <v>Gastronomía</v>
      </c>
      <c r="J4418" s="16" t="s">
        <v>27</v>
      </c>
      <c r="K4418" s="17">
        <v>0.0</v>
      </c>
      <c r="L4418" s="49"/>
      <c r="M4418" s="18"/>
      <c r="N4418" s="18"/>
      <c r="O4418" s="88"/>
      <c r="P4418" s="20">
        <v>0.0</v>
      </c>
      <c r="Q4418" s="18"/>
      <c r="R4418" s="18"/>
      <c r="S4418" s="52"/>
      <c r="T4418" s="22"/>
    </row>
    <row r="4419">
      <c r="A4419" s="23" t="s">
        <v>31242</v>
      </c>
      <c r="B4419" s="77" t="s">
        <v>85</v>
      </c>
      <c r="C4419" s="96">
        <v>45609.0</v>
      </c>
      <c r="D4419" s="40" t="s">
        <v>31243</v>
      </c>
      <c r="E4419" s="97" t="s">
        <v>31244</v>
      </c>
      <c r="F4419" s="98" t="s">
        <v>31245</v>
      </c>
      <c r="G4419" s="98" t="s">
        <v>31246</v>
      </c>
      <c r="H4419" s="49" t="s">
        <v>148</v>
      </c>
      <c r="I4419" s="25" t="str">
        <f>IFERROR(__xludf.DUMMYFUNCTION("GOOGLETRANSLATE(H4419,""EN"",""ES"")"),"Gastronomía")</f>
        <v>Gastronomía</v>
      </c>
      <c r="J4419" s="26" t="s">
        <v>27</v>
      </c>
      <c r="K4419" s="17">
        <v>0.0</v>
      </c>
      <c r="L4419" s="51"/>
      <c r="M4419" s="31"/>
      <c r="N4419" s="31"/>
      <c r="O4419" s="89"/>
      <c r="P4419" s="20">
        <v>0.0</v>
      </c>
      <c r="Q4419" s="31"/>
      <c r="R4419" s="31"/>
      <c r="S4419" s="53"/>
      <c r="T4419" s="32"/>
    </row>
    <row r="4420">
      <c r="A4420" s="33" t="s">
        <v>31247</v>
      </c>
      <c r="B4420" s="76" t="s">
        <v>1192</v>
      </c>
      <c r="C4420" s="99">
        <v>45609.0</v>
      </c>
      <c r="D4420" s="40" t="s">
        <v>31248</v>
      </c>
      <c r="E4420" s="100" t="s">
        <v>31249</v>
      </c>
      <c r="F4420" s="101" t="s">
        <v>31250</v>
      </c>
      <c r="G4420" s="101" t="s">
        <v>31251</v>
      </c>
      <c r="H4420" s="51" t="s">
        <v>148</v>
      </c>
      <c r="I4420" s="15" t="str">
        <f>IFERROR(__xludf.DUMMYFUNCTION("GOOGLETRANSLATE(H4420,""EN"",""ES"")"),"Gastronomía")</f>
        <v>Gastronomía</v>
      </c>
      <c r="J4420" s="16" t="s">
        <v>27</v>
      </c>
      <c r="K4420" s="17">
        <v>0.0</v>
      </c>
      <c r="L4420" s="49"/>
      <c r="M4420" s="18"/>
      <c r="N4420" s="18"/>
      <c r="O4420" s="88"/>
      <c r="P4420" s="20">
        <v>0.0</v>
      </c>
      <c r="Q4420" s="18"/>
      <c r="R4420" s="18"/>
      <c r="S4420" s="52"/>
      <c r="T4420" s="22"/>
    </row>
    <row r="4421">
      <c r="A4421" s="23" t="s">
        <v>31252</v>
      </c>
      <c r="B4421" s="77" t="s">
        <v>31253</v>
      </c>
      <c r="C4421" s="96">
        <v>45609.0</v>
      </c>
      <c r="D4421" s="40" t="s">
        <v>31254</v>
      </c>
      <c r="E4421" s="97" t="s">
        <v>31255</v>
      </c>
      <c r="F4421" s="98" t="s">
        <v>31256</v>
      </c>
      <c r="G4421" s="98" t="s">
        <v>31257</v>
      </c>
      <c r="H4421" s="49" t="s">
        <v>148</v>
      </c>
      <c r="I4421" s="25" t="str">
        <f>IFERROR(__xludf.DUMMYFUNCTION("GOOGLETRANSLATE(H4421,""EN"",""ES"")"),"Gastronomía")</f>
        <v>Gastronomía</v>
      </c>
      <c r="J4421" s="26" t="s">
        <v>27</v>
      </c>
      <c r="K4421" s="17">
        <v>0.0</v>
      </c>
      <c r="L4421" s="51"/>
      <c r="M4421" s="31"/>
      <c r="N4421" s="31"/>
      <c r="O4421" s="89"/>
      <c r="P4421" s="20">
        <v>0.0</v>
      </c>
      <c r="Q4421" s="31"/>
      <c r="R4421" s="31"/>
      <c r="S4421" s="53"/>
      <c r="T4421" s="32"/>
    </row>
    <row r="4422">
      <c r="A4422" s="33" t="s">
        <v>31258</v>
      </c>
      <c r="B4422" s="76" t="s">
        <v>31259</v>
      </c>
      <c r="C4422" s="99">
        <v>45609.0</v>
      </c>
      <c r="D4422" s="40" t="s">
        <v>31260</v>
      </c>
      <c r="E4422" s="100" t="s">
        <v>31261</v>
      </c>
      <c r="F4422" s="101" t="s">
        <v>31262</v>
      </c>
      <c r="G4422" s="101" t="s">
        <v>31263</v>
      </c>
      <c r="H4422" s="51" t="s">
        <v>31264</v>
      </c>
      <c r="I4422" s="15" t="str">
        <f>IFERROR(__xludf.DUMMYFUNCTION("GOOGLETRANSLATE(H4422,""EN"",""ES"")"),"Fraude")</f>
        <v>Fraude</v>
      </c>
      <c r="J4422" s="16" t="s">
        <v>27</v>
      </c>
      <c r="K4422" s="17">
        <v>0.0</v>
      </c>
      <c r="L4422" s="49"/>
      <c r="M4422" s="18"/>
      <c r="N4422" s="18"/>
      <c r="O4422" s="88"/>
      <c r="P4422" s="20">
        <v>0.0</v>
      </c>
      <c r="Q4422" s="18"/>
      <c r="R4422" s="18"/>
      <c r="S4422" s="52"/>
      <c r="T4422" s="22"/>
    </row>
    <row r="4423">
      <c r="A4423" s="23" t="s">
        <v>31265</v>
      </c>
      <c r="B4423" s="77" t="s">
        <v>21</v>
      </c>
      <c r="C4423" s="96">
        <v>45609.0</v>
      </c>
      <c r="D4423" s="40" t="s">
        <v>31266</v>
      </c>
      <c r="E4423" s="97" t="s">
        <v>31267</v>
      </c>
      <c r="F4423" s="98" t="s">
        <v>31268</v>
      </c>
      <c r="G4423" s="98" t="s">
        <v>31269</v>
      </c>
      <c r="H4423" s="49" t="s">
        <v>148</v>
      </c>
      <c r="I4423" s="25" t="str">
        <f>IFERROR(__xludf.DUMMYFUNCTION("GOOGLETRANSLATE(H4423,""EN"",""ES"")"),"Gastronomía")</f>
        <v>Gastronomía</v>
      </c>
      <c r="J4423" s="26" t="s">
        <v>27</v>
      </c>
      <c r="K4423" s="17">
        <v>0.0</v>
      </c>
      <c r="L4423" s="51"/>
      <c r="M4423" s="31"/>
      <c r="N4423" s="31"/>
      <c r="O4423" s="89"/>
      <c r="P4423" s="20">
        <v>0.0</v>
      </c>
      <c r="Q4423" s="31"/>
      <c r="R4423" s="31"/>
      <c r="S4423" s="53"/>
      <c r="T4423" s="32"/>
    </row>
    <row r="4424">
      <c r="A4424" s="33" t="s">
        <v>31270</v>
      </c>
      <c r="B4424" s="76" t="s">
        <v>1005</v>
      </c>
      <c r="C4424" s="99">
        <v>45609.0</v>
      </c>
      <c r="D4424" s="40" t="s">
        <v>31271</v>
      </c>
      <c r="E4424" s="100" t="s">
        <v>31272</v>
      </c>
      <c r="F4424" s="101" t="s">
        <v>31273</v>
      </c>
      <c r="G4424" s="101" t="s">
        <v>31274</v>
      </c>
      <c r="H4424" s="51" t="s">
        <v>148</v>
      </c>
      <c r="I4424" s="15" t="str">
        <f>IFERROR(__xludf.DUMMYFUNCTION("GOOGLETRANSLATE(H4424,""EN"",""ES"")"),"Gastronomía")</f>
        <v>Gastronomía</v>
      </c>
      <c r="J4424" s="16" t="s">
        <v>27</v>
      </c>
      <c r="K4424" s="17">
        <v>0.0</v>
      </c>
      <c r="L4424" s="49"/>
      <c r="M4424" s="18"/>
      <c r="N4424" s="18"/>
      <c r="O4424" s="88"/>
      <c r="P4424" s="20">
        <v>0.0</v>
      </c>
      <c r="Q4424" s="18"/>
      <c r="R4424" s="18"/>
      <c r="S4424" s="52"/>
      <c r="T4424" s="22"/>
    </row>
    <row r="4425">
      <c r="A4425" s="23" t="s">
        <v>31275</v>
      </c>
      <c r="B4425" s="77" t="s">
        <v>21</v>
      </c>
      <c r="C4425" s="96">
        <v>45609.0</v>
      </c>
      <c r="D4425" s="40" t="s">
        <v>31276</v>
      </c>
      <c r="E4425" s="97" t="s">
        <v>31277</v>
      </c>
      <c r="F4425" s="98" t="s">
        <v>31278</v>
      </c>
      <c r="G4425" s="98" t="s">
        <v>31279</v>
      </c>
      <c r="H4425" s="49" t="s">
        <v>8762</v>
      </c>
      <c r="I4425" s="25" t="str">
        <f>IFERROR(__xludf.DUMMYFUNCTION("GOOGLETRANSLATE(H4425,""EN"",""ES"")"),"Viajar")</f>
        <v>Viajar</v>
      </c>
      <c r="J4425" s="26" t="s">
        <v>27</v>
      </c>
      <c r="K4425" s="17">
        <v>0.0</v>
      </c>
      <c r="L4425" s="51"/>
      <c r="M4425" s="31"/>
      <c r="N4425" s="31"/>
      <c r="O4425" s="89"/>
      <c r="P4425" s="20">
        <v>0.0</v>
      </c>
      <c r="Q4425" s="31"/>
      <c r="R4425" s="31"/>
      <c r="S4425" s="53"/>
      <c r="T4425" s="32"/>
    </row>
    <row r="4426">
      <c r="A4426" s="33" t="s">
        <v>31280</v>
      </c>
      <c r="B4426" s="76" t="s">
        <v>16864</v>
      </c>
      <c r="C4426" s="99">
        <v>45609.0</v>
      </c>
      <c r="D4426" s="40" t="s">
        <v>31281</v>
      </c>
      <c r="E4426" s="100" t="s">
        <v>31282</v>
      </c>
      <c r="F4426" s="101" t="s">
        <v>31283</v>
      </c>
      <c r="G4426" s="101" t="s">
        <v>31284</v>
      </c>
      <c r="H4426" s="51" t="s">
        <v>31285</v>
      </c>
      <c r="I4426" s="15" t="str">
        <f>IFERROR(__xludf.DUMMYFUNCTION("GOOGLETRANSLATE(H4426,""EN"",""ES"")"),"Excelencia Culinaria")</f>
        <v>Excelencia Culinaria</v>
      </c>
      <c r="J4426" s="16" t="s">
        <v>27</v>
      </c>
      <c r="K4426" s="17">
        <v>0.0</v>
      </c>
      <c r="L4426" s="49"/>
      <c r="M4426" s="18"/>
      <c r="N4426" s="18"/>
      <c r="O4426" s="88"/>
      <c r="P4426" s="20">
        <v>0.0</v>
      </c>
      <c r="Q4426" s="18"/>
      <c r="R4426" s="18"/>
      <c r="S4426" s="52"/>
      <c r="T4426" s="22"/>
    </row>
    <row r="4427">
      <c r="A4427" s="23" t="s">
        <v>31286</v>
      </c>
      <c r="B4427" s="77" t="s">
        <v>1011</v>
      </c>
      <c r="C4427" s="96">
        <v>45609.0</v>
      </c>
      <c r="D4427" s="40" t="s">
        <v>31287</v>
      </c>
      <c r="E4427" s="97" t="s">
        <v>31288</v>
      </c>
      <c r="F4427" s="98" t="s">
        <v>31289</v>
      </c>
      <c r="G4427" s="98" t="s">
        <v>31290</v>
      </c>
      <c r="H4427" s="49" t="s">
        <v>3985</v>
      </c>
      <c r="I4427" s="25" t="str">
        <f>IFERROR(__xludf.DUMMYFUNCTION("GOOGLETRANSLATE(H4427,""EN"",""ES"")"),"Deportes")</f>
        <v>Deportes</v>
      </c>
      <c r="J4427" s="26" t="s">
        <v>27</v>
      </c>
      <c r="K4427" s="17">
        <v>0.0</v>
      </c>
      <c r="L4427" s="51"/>
      <c r="M4427" s="31"/>
      <c r="N4427" s="31"/>
      <c r="O4427" s="89"/>
      <c r="P4427" s="20">
        <v>0.0</v>
      </c>
      <c r="Q4427" s="31"/>
      <c r="R4427" s="31"/>
      <c r="S4427" s="53"/>
      <c r="T4427" s="32"/>
    </row>
    <row r="4428">
      <c r="A4428" s="33" t="s">
        <v>31291</v>
      </c>
      <c r="B4428" s="76" t="s">
        <v>21</v>
      </c>
      <c r="C4428" s="99">
        <v>45610.0</v>
      </c>
      <c r="D4428" s="40" t="s">
        <v>31292</v>
      </c>
      <c r="E4428" s="100" t="s">
        <v>31293</v>
      </c>
      <c r="F4428" s="101" t="s">
        <v>31294</v>
      </c>
      <c r="G4428" s="101" t="s">
        <v>31295</v>
      </c>
      <c r="H4428" s="51" t="s">
        <v>148</v>
      </c>
      <c r="I4428" s="15" t="str">
        <f>IFERROR(__xludf.DUMMYFUNCTION("GOOGLETRANSLATE(H4428,""EN"",""ES"")"),"Gastronomía")</f>
        <v>Gastronomía</v>
      </c>
      <c r="J4428" s="16" t="s">
        <v>27</v>
      </c>
      <c r="K4428" s="17">
        <v>0.0</v>
      </c>
      <c r="L4428" s="49"/>
      <c r="M4428" s="18"/>
      <c r="N4428" s="18"/>
      <c r="O4428" s="88"/>
      <c r="P4428" s="20">
        <v>0.0</v>
      </c>
      <c r="Q4428" s="18"/>
      <c r="R4428" s="18"/>
      <c r="S4428" s="52"/>
      <c r="T4428" s="22"/>
    </row>
    <row r="4429">
      <c r="A4429" s="23" t="s">
        <v>31296</v>
      </c>
      <c r="B4429" s="77" t="s">
        <v>1093</v>
      </c>
      <c r="C4429" s="96">
        <v>45610.0</v>
      </c>
      <c r="D4429" s="40" t="s">
        <v>31297</v>
      </c>
      <c r="E4429" s="97" t="s">
        <v>31298</v>
      </c>
      <c r="F4429" s="98" t="s">
        <v>31299</v>
      </c>
      <c r="G4429" s="98" t="s">
        <v>31300</v>
      </c>
      <c r="H4429" s="49" t="s">
        <v>62</v>
      </c>
      <c r="I4429" s="25" t="str">
        <f>IFERROR(__xludf.DUMMYFUNCTION("GOOGLETRANSLATE(H4429,""EN"",""ES"")"),"Energía")</f>
        <v>Energía</v>
      </c>
      <c r="J4429" s="26" t="s">
        <v>35</v>
      </c>
      <c r="K4429" s="48">
        <v>0.6</v>
      </c>
      <c r="L4429" s="51" t="s">
        <v>31301</v>
      </c>
      <c r="M4429" s="28" t="s">
        <v>31302</v>
      </c>
      <c r="N4429" s="28" t="s">
        <v>31303</v>
      </c>
      <c r="O4429" s="89" t="str">
        <f>IFERROR(__xludf.DUMMYFUNCTION("GOOGLETRANSLATE(N4429,""EN"",""ES"")"),"Positivo, se centra en la inversión en energías renovables.")</f>
        <v>Positivo, se centra en la inversión en energías renovables.</v>
      </c>
      <c r="P4429" s="30">
        <v>0.5</v>
      </c>
      <c r="Q4429" s="31" t="str">
        <f>IFERROR(__xludf.DUMMYFUNCTION("GOOGLETRANSLATE(R4429,""ES"",""EN"")"),"wind farm")</f>
        <v>wind farm</v>
      </c>
      <c r="R4429" s="28" t="s">
        <v>25024</v>
      </c>
      <c r="S4429" s="53" t="s">
        <v>31304</v>
      </c>
      <c r="T4429" s="32" t="s">
        <v>31305</v>
      </c>
    </row>
    <row r="4430">
      <c r="A4430" s="33" t="s">
        <v>31306</v>
      </c>
      <c r="B4430" s="76" t="s">
        <v>431</v>
      </c>
      <c r="C4430" s="99">
        <v>45610.0</v>
      </c>
      <c r="D4430" s="40" t="s">
        <v>31307</v>
      </c>
      <c r="E4430" s="100" t="s">
        <v>31308</v>
      </c>
      <c r="F4430" s="101" t="s">
        <v>31309</v>
      </c>
      <c r="G4430" s="101" t="s">
        <v>31310</v>
      </c>
      <c r="H4430" s="51" t="s">
        <v>148</v>
      </c>
      <c r="I4430" s="15" t="str">
        <f>IFERROR(__xludf.DUMMYFUNCTION("GOOGLETRANSLATE(H4430,""EN"",""ES"")"),"Gastronomía")</f>
        <v>Gastronomía</v>
      </c>
      <c r="J4430" s="16" t="s">
        <v>27</v>
      </c>
      <c r="K4430" s="17">
        <v>0.0</v>
      </c>
      <c r="L4430" s="49"/>
      <c r="M4430" s="18"/>
      <c r="N4430" s="18"/>
      <c r="O4430" s="88"/>
      <c r="P4430" s="20">
        <v>0.0</v>
      </c>
      <c r="Q4430" s="18"/>
      <c r="R4430" s="18"/>
      <c r="S4430" s="52"/>
      <c r="T4430" s="22"/>
    </row>
    <row r="4431">
      <c r="A4431" s="23" t="s">
        <v>31311</v>
      </c>
      <c r="B4431" s="77" t="s">
        <v>21</v>
      </c>
      <c r="C4431" s="96">
        <v>45610.0</v>
      </c>
      <c r="D4431" s="40" t="s">
        <v>31312</v>
      </c>
      <c r="E4431" s="97" t="s">
        <v>31313</v>
      </c>
      <c r="F4431" s="98" t="s">
        <v>31314</v>
      </c>
      <c r="G4431" s="98" t="s">
        <v>31315</v>
      </c>
      <c r="H4431" s="49" t="s">
        <v>148</v>
      </c>
      <c r="I4431" s="25" t="str">
        <f>IFERROR(__xludf.DUMMYFUNCTION("GOOGLETRANSLATE(H4431,""EN"",""ES"")"),"Gastronomía")</f>
        <v>Gastronomía</v>
      </c>
      <c r="J4431" s="26" t="s">
        <v>27</v>
      </c>
      <c r="K4431" s="17">
        <v>0.0</v>
      </c>
      <c r="L4431" s="51"/>
      <c r="M4431" s="31"/>
      <c r="N4431" s="31"/>
      <c r="O4431" s="89"/>
      <c r="P4431" s="20">
        <v>0.0</v>
      </c>
      <c r="Q4431" s="31"/>
      <c r="R4431" s="31"/>
      <c r="S4431" s="53"/>
      <c r="T4431" s="32"/>
    </row>
    <row r="4432">
      <c r="A4432" s="33" t="s">
        <v>31316</v>
      </c>
      <c r="B4432" s="76" t="s">
        <v>31317</v>
      </c>
      <c r="C4432" s="99">
        <v>45610.0</v>
      </c>
      <c r="D4432" s="40" t="s">
        <v>31318</v>
      </c>
      <c r="E4432" s="100" t="s">
        <v>31319</v>
      </c>
      <c r="F4432" s="101" t="s">
        <v>31320</v>
      </c>
      <c r="G4432" s="101" t="s">
        <v>31321</v>
      </c>
      <c r="H4432" s="51" t="s">
        <v>148</v>
      </c>
      <c r="I4432" s="15" t="str">
        <f>IFERROR(__xludf.DUMMYFUNCTION("GOOGLETRANSLATE(H4432,""EN"",""ES"")"),"Gastronomía")</f>
        <v>Gastronomía</v>
      </c>
      <c r="J4432" s="16" t="s">
        <v>27</v>
      </c>
      <c r="K4432" s="17">
        <v>0.0</v>
      </c>
      <c r="L4432" s="49"/>
      <c r="M4432" s="18"/>
      <c r="N4432" s="18"/>
      <c r="O4432" s="88"/>
      <c r="P4432" s="20">
        <v>0.0</v>
      </c>
      <c r="Q4432" s="18"/>
      <c r="R4432" s="18"/>
      <c r="S4432" s="52"/>
      <c r="T4432" s="22"/>
    </row>
    <row r="4433">
      <c r="A4433" s="23" t="s">
        <v>31322</v>
      </c>
      <c r="B4433" s="77" t="s">
        <v>1568</v>
      </c>
      <c r="C4433" s="96">
        <v>45610.0</v>
      </c>
      <c r="D4433" s="40" t="s">
        <v>31323</v>
      </c>
      <c r="E4433" s="97" t="s">
        <v>31324</v>
      </c>
      <c r="F4433" s="98" t="s">
        <v>31325</v>
      </c>
      <c r="G4433" s="98" t="s">
        <v>31326</v>
      </c>
      <c r="H4433" s="49" t="s">
        <v>148</v>
      </c>
      <c r="I4433" s="25" t="str">
        <f>IFERROR(__xludf.DUMMYFUNCTION("GOOGLETRANSLATE(H4433,""EN"",""ES"")"),"Gastronomía")</f>
        <v>Gastronomía</v>
      </c>
      <c r="J4433" s="26" t="s">
        <v>27</v>
      </c>
      <c r="K4433" s="17">
        <v>0.0</v>
      </c>
      <c r="L4433" s="51"/>
      <c r="M4433" s="31"/>
      <c r="N4433" s="31"/>
      <c r="O4433" s="89"/>
      <c r="P4433" s="20">
        <v>0.0</v>
      </c>
      <c r="Q4433" s="31"/>
      <c r="R4433" s="31"/>
      <c r="S4433" s="53"/>
      <c r="T4433" s="32"/>
    </row>
    <row r="4434">
      <c r="A4434" s="33" t="s">
        <v>31327</v>
      </c>
      <c r="B4434" s="76" t="s">
        <v>9223</v>
      </c>
      <c r="C4434" s="99">
        <v>45610.0</v>
      </c>
      <c r="D4434" s="40" t="s">
        <v>31328</v>
      </c>
      <c r="E4434" s="100" t="s">
        <v>31329</v>
      </c>
      <c r="F4434" s="101" t="s">
        <v>31330</v>
      </c>
      <c r="G4434" s="101" t="s">
        <v>31331</v>
      </c>
      <c r="H4434" s="51" t="s">
        <v>148</v>
      </c>
      <c r="I4434" s="15" t="str">
        <f>IFERROR(__xludf.DUMMYFUNCTION("GOOGLETRANSLATE(H4434,""EN"",""ES"")"),"Gastronomía")</f>
        <v>Gastronomía</v>
      </c>
      <c r="J4434" s="16" t="s">
        <v>27</v>
      </c>
      <c r="K4434" s="17">
        <v>0.0</v>
      </c>
      <c r="L4434" s="49"/>
      <c r="M4434" s="18"/>
      <c r="N4434" s="18"/>
      <c r="O4434" s="88"/>
      <c r="P4434" s="20">
        <v>0.0</v>
      </c>
      <c r="Q4434" s="18"/>
      <c r="R4434" s="18"/>
      <c r="S4434" s="52"/>
      <c r="T4434" s="22"/>
    </row>
    <row r="4435">
      <c r="A4435" s="23" t="s">
        <v>31332</v>
      </c>
      <c r="B4435" s="77" t="s">
        <v>7334</v>
      </c>
      <c r="C4435" s="96">
        <v>45610.0</v>
      </c>
      <c r="D4435" s="40" t="s">
        <v>31333</v>
      </c>
      <c r="E4435" s="97" t="s">
        <v>31334</v>
      </c>
      <c r="F4435" s="98" t="s">
        <v>31335</v>
      </c>
      <c r="G4435" s="98" t="s">
        <v>31336</v>
      </c>
      <c r="H4435" s="49" t="s">
        <v>148</v>
      </c>
      <c r="I4435" s="25" t="str">
        <f>IFERROR(__xludf.DUMMYFUNCTION("GOOGLETRANSLATE(H4435,""EN"",""ES"")"),"Gastronomía")</f>
        <v>Gastronomía</v>
      </c>
      <c r="J4435" s="26" t="s">
        <v>27</v>
      </c>
      <c r="K4435" s="17">
        <v>0.0</v>
      </c>
      <c r="L4435" s="51"/>
      <c r="M4435" s="31"/>
      <c r="N4435" s="31"/>
      <c r="O4435" s="89"/>
      <c r="P4435" s="20">
        <v>0.0</v>
      </c>
      <c r="Q4435" s="31"/>
      <c r="R4435" s="31"/>
      <c r="S4435" s="53"/>
      <c r="T4435" s="32"/>
    </row>
    <row r="4436">
      <c r="A4436" s="33" t="s">
        <v>31337</v>
      </c>
      <c r="B4436" s="76" t="s">
        <v>16248</v>
      </c>
      <c r="C4436" s="99">
        <v>45610.0</v>
      </c>
      <c r="D4436" s="40" t="s">
        <v>31338</v>
      </c>
      <c r="E4436" s="100" t="s">
        <v>31339</v>
      </c>
      <c r="F4436" s="101" t="s">
        <v>31340</v>
      </c>
      <c r="G4436" s="101" t="s">
        <v>31341</v>
      </c>
      <c r="H4436" s="51" t="s">
        <v>148</v>
      </c>
      <c r="I4436" s="15" t="str">
        <f>IFERROR(__xludf.DUMMYFUNCTION("GOOGLETRANSLATE(H4436,""EN"",""ES"")"),"Gastronomía")</f>
        <v>Gastronomía</v>
      </c>
      <c r="J4436" s="16" t="s">
        <v>27</v>
      </c>
      <c r="K4436" s="17">
        <v>0.0</v>
      </c>
      <c r="L4436" s="49"/>
      <c r="M4436" s="18"/>
      <c r="N4436" s="18"/>
      <c r="O4436" s="88"/>
      <c r="P4436" s="20">
        <v>0.0</v>
      </c>
      <c r="Q4436" s="18"/>
      <c r="R4436" s="18"/>
      <c r="S4436" s="52"/>
      <c r="T4436" s="22"/>
    </row>
    <row r="4437">
      <c r="A4437" s="23" t="s">
        <v>31342</v>
      </c>
      <c r="B4437" s="77" t="s">
        <v>217</v>
      </c>
      <c r="C4437" s="96">
        <v>45610.0</v>
      </c>
      <c r="D4437" s="40" t="s">
        <v>31343</v>
      </c>
      <c r="E4437" s="97" t="s">
        <v>31344</v>
      </c>
      <c r="F4437" s="98" t="s">
        <v>31345</v>
      </c>
      <c r="G4437" s="98" t="s">
        <v>31346</v>
      </c>
      <c r="H4437" s="49" t="s">
        <v>62</v>
      </c>
      <c r="I4437" s="25" t="str">
        <f>IFERROR(__xludf.DUMMYFUNCTION("GOOGLETRANSLATE(H4437,""EN"",""ES"")"),"Energía")</f>
        <v>Energía</v>
      </c>
      <c r="J4437" s="26" t="s">
        <v>35</v>
      </c>
      <c r="K4437" s="48">
        <v>-0.4</v>
      </c>
      <c r="L4437" s="51" t="s">
        <v>31347</v>
      </c>
      <c r="M4437" s="28" t="s">
        <v>31348</v>
      </c>
      <c r="N4437" s="28" t="s">
        <v>31349</v>
      </c>
      <c r="O4437" s="89" t="str">
        <f>IFERROR(__xludf.DUMMYFUNCTION("GOOGLETRANSLATE(N4437,""EN"",""ES"")"),"Negativo, destaca un polémico regreso de la industria petrolera.")</f>
        <v>Negativo, destaca un polémico regreso de la industria petrolera.</v>
      </c>
      <c r="P4437" s="30">
        <v>0.0</v>
      </c>
      <c r="Q4437" s="31"/>
      <c r="R4437" s="31"/>
      <c r="S4437" s="53" t="s">
        <v>31350</v>
      </c>
      <c r="T4437" s="32" t="s">
        <v>31351</v>
      </c>
    </row>
    <row r="4438">
      <c r="A4438" s="33" t="s">
        <v>31352</v>
      </c>
      <c r="B4438" s="76" t="s">
        <v>21</v>
      </c>
      <c r="C4438" s="99">
        <v>45610.0</v>
      </c>
      <c r="D4438" s="40" t="s">
        <v>31353</v>
      </c>
      <c r="E4438" s="100" t="s">
        <v>31354</v>
      </c>
      <c r="F4438" s="101" t="s">
        <v>31355</v>
      </c>
      <c r="G4438" s="101" t="s">
        <v>31356</v>
      </c>
      <c r="H4438" s="51" t="s">
        <v>148</v>
      </c>
      <c r="I4438" s="15" t="str">
        <f>IFERROR(__xludf.DUMMYFUNCTION("GOOGLETRANSLATE(H4438,""EN"",""ES"")"),"Gastronomía")</f>
        <v>Gastronomía</v>
      </c>
      <c r="J4438" s="16" t="s">
        <v>27</v>
      </c>
      <c r="K4438" s="17">
        <v>0.0</v>
      </c>
      <c r="L4438" s="49"/>
      <c r="M4438" s="18"/>
      <c r="N4438" s="18"/>
      <c r="O4438" s="88"/>
      <c r="P4438" s="20">
        <v>0.0</v>
      </c>
      <c r="Q4438" s="18"/>
      <c r="R4438" s="18"/>
      <c r="S4438" s="52"/>
      <c r="T4438" s="22"/>
    </row>
    <row r="4439">
      <c r="A4439" s="23" t="s">
        <v>31357</v>
      </c>
      <c r="B4439" s="77" t="s">
        <v>85</v>
      </c>
      <c r="C4439" s="96">
        <v>45610.0</v>
      </c>
      <c r="D4439" s="40" t="s">
        <v>31358</v>
      </c>
      <c r="E4439" s="97" t="s">
        <v>31359</v>
      </c>
      <c r="F4439" s="98" t="s">
        <v>31360</v>
      </c>
      <c r="G4439" s="98" t="s">
        <v>31361</v>
      </c>
      <c r="H4439" s="49" t="s">
        <v>148</v>
      </c>
      <c r="I4439" s="25" t="str">
        <f>IFERROR(__xludf.DUMMYFUNCTION("GOOGLETRANSLATE(H4439,""EN"",""ES"")"),"Gastronomía")</f>
        <v>Gastronomía</v>
      </c>
      <c r="J4439" s="26" t="s">
        <v>27</v>
      </c>
      <c r="K4439" s="17">
        <v>0.0</v>
      </c>
      <c r="L4439" s="51"/>
      <c r="M4439" s="31"/>
      <c r="N4439" s="31"/>
      <c r="O4439" s="89"/>
      <c r="P4439" s="20">
        <v>0.0</v>
      </c>
      <c r="Q4439" s="31"/>
      <c r="R4439" s="31"/>
      <c r="S4439" s="53"/>
      <c r="T4439" s="32"/>
    </row>
    <row r="4440">
      <c r="A4440" s="33" t="s">
        <v>31362</v>
      </c>
      <c r="B4440" s="76" t="s">
        <v>431</v>
      </c>
      <c r="C4440" s="99">
        <v>45610.0</v>
      </c>
      <c r="D4440" s="40" t="s">
        <v>31363</v>
      </c>
      <c r="E4440" s="100" t="s">
        <v>31308</v>
      </c>
      <c r="F4440" s="101" t="s">
        <v>31364</v>
      </c>
      <c r="G4440" s="101" t="s">
        <v>31310</v>
      </c>
      <c r="H4440" s="51" t="s">
        <v>148</v>
      </c>
      <c r="I4440" s="15" t="str">
        <f>IFERROR(__xludf.DUMMYFUNCTION("GOOGLETRANSLATE(H4440,""EN"",""ES"")"),"Gastronomía")</f>
        <v>Gastronomía</v>
      </c>
      <c r="J4440" s="16" t="s">
        <v>27</v>
      </c>
      <c r="K4440" s="17">
        <v>0.0</v>
      </c>
      <c r="L4440" s="49"/>
      <c r="M4440" s="18"/>
      <c r="N4440" s="18"/>
      <c r="O4440" s="88"/>
      <c r="P4440" s="20">
        <v>0.0</v>
      </c>
      <c r="Q4440" s="18"/>
      <c r="R4440" s="18"/>
      <c r="S4440" s="52"/>
      <c r="T4440" s="22"/>
    </row>
    <row r="4441">
      <c r="A4441" s="23" t="s">
        <v>31365</v>
      </c>
      <c r="B4441" s="77" t="s">
        <v>21</v>
      </c>
      <c r="C4441" s="96">
        <v>45610.0</v>
      </c>
      <c r="D4441" s="40" t="s">
        <v>31366</v>
      </c>
      <c r="E4441" s="97" t="s">
        <v>31367</v>
      </c>
      <c r="F4441" s="98" t="s">
        <v>31368</v>
      </c>
      <c r="G4441" s="98" t="s">
        <v>31369</v>
      </c>
      <c r="H4441" s="49" t="s">
        <v>8762</v>
      </c>
      <c r="I4441" s="25" t="str">
        <f>IFERROR(__xludf.DUMMYFUNCTION("GOOGLETRANSLATE(H4441,""EN"",""ES"")"),"Viajar")</f>
        <v>Viajar</v>
      </c>
      <c r="J4441" s="26" t="s">
        <v>27</v>
      </c>
      <c r="K4441" s="17">
        <v>0.0</v>
      </c>
      <c r="L4441" s="51"/>
      <c r="M4441" s="31"/>
      <c r="N4441" s="31"/>
      <c r="O4441" s="89"/>
      <c r="P4441" s="20">
        <v>0.0</v>
      </c>
      <c r="Q4441" s="31"/>
      <c r="R4441" s="31"/>
      <c r="S4441" s="53"/>
      <c r="T4441" s="32"/>
    </row>
    <row r="4442">
      <c r="A4442" s="33" t="s">
        <v>31370</v>
      </c>
      <c r="B4442" s="76" t="s">
        <v>85</v>
      </c>
      <c r="C4442" s="99">
        <v>45610.0</v>
      </c>
      <c r="D4442" s="40" t="s">
        <v>31371</v>
      </c>
      <c r="E4442" s="100" t="s">
        <v>31372</v>
      </c>
      <c r="F4442" s="101" t="s">
        <v>31373</v>
      </c>
      <c r="G4442" s="101" t="s">
        <v>31374</v>
      </c>
      <c r="H4442" s="51" t="s">
        <v>148</v>
      </c>
      <c r="I4442" s="15" t="str">
        <f>IFERROR(__xludf.DUMMYFUNCTION("GOOGLETRANSLATE(H4442,""EN"",""ES"")"),"Gastronomía")</f>
        <v>Gastronomía</v>
      </c>
      <c r="J4442" s="16" t="s">
        <v>27</v>
      </c>
      <c r="K4442" s="17">
        <v>0.0</v>
      </c>
      <c r="L4442" s="49"/>
      <c r="M4442" s="18"/>
      <c r="N4442" s="18"/>
      <c r="O4442" s="88"/>
      <c r="P4442" s="20">
        <v>0.0</v>
      </c>
      <c r="Q4442" s="18"/>
      <c r="R4442" s="18"/>
      <c r="S4442" s="52"/>
      <c r="T4442" s="22"/>
    </row>
    <row r="4443">
      <c r="A4443" s="23" t="s">
        <v>31375</v>
      </c>
      <c r="B4443" s="77" t="s">
        <v>85</v>
      </c>
      <c r="C4443" s="96">
        <v>45610.0</v>
      </c>
      <c r="D4443" s="40" t="s">
        <v>31376</v>
      </c>
      <c r="E4443" s="97" t="s">
        <v>31377</v>
      </c>
      <c r="F4443" s="98" t="s">
        <v>31378</v>
      </c>
      <c r="G4443" s="98" t="s">
        <v>31379</v>
      </c>
      <c r="H4443" s="49" t="s">
        <v>148</v>
      </c>
      <c r="I4443" s="25" t="str">
        <f>IFERROR(__xludf.DUMMYFUNCTION("GOOGLETRANSLATE(H4443,""EN"",""ES"")"),"Gastronomía")</f>
        <v>Gastronomía</v>
      </c>
      <c r="J4443" s="26" t="s">
        <v>27</v>
      </c>
      <c r="K4443" s="17">
        <v>0.0</v>
      </c>
      <c r="L4443" s="51"/>
      <c r="M4443" s="31"/>
      <c r="N4443" s="31"/>
      <c r="O4443" s="89"/>
      <c r="P4443" s="20">
        <v>0.0</v>
      </c>
      <c r="Q4443" s="31"/>
      <c r="R4443" s="31"/>
      <c r="S4443" s="53"/>
      <c r="T4443" s="32"/>
    </row>
    <row r="4444">
      <c r="A4444" s="33" t="s">
        <v>31380</v>
      </c>
      <c r="B4444" s="76" t="s">
        <v>10305</v>
      </c>
      <c r="C4444" s="99">
        <v>45611.0</v>
      </c>
      <c r="D4444" s="40" t="s">
        <v>31381</v>
      </c>
      <c r="E4444" s="100" t="s">
        <v>31382</v>
      </c>
      <c r="F4444" s="101" t="s">
        <v>31383</v>
      </c>
      <c r="G4444" s="101" t="s">
        <v>31384</v>
      </c>
      <c r="H4444" s="51" t="s">
        <v>148</v>
      </c>
      <c r="I4444" s="15" t="str">
        <f>IFERROR(__xludf.DUMMYFUNCTION("GOOGLETRANSLATE(H4444,""EN"",""ES"")"),"Gastronomía")</f>
        <v>Gastronomía</v>
      </c>
      <c r="J4444" s="16" t="s">
        <v>27</v>
      </c>
      <c r="K4444" s="17">
        <v>0.0</v>
      </c>
      <c r="L4444" s="49"/>
      <c r="M4444" s="18"/>
      <c r="N4444" s="18"/>
      <c r="O4444" s="88"/>
      <c r="P4444" s="20">
        <v>0.0</v>
      </c>
      <c r="Q4444" s="18"/>
      <c r="R4444" s="18"/>
      <c r="S4444" s="52"/>
      <c r="T4444" s="22"/>
    </row>
    <row r="4445">
      <c r="A4445" s="23" t="s">
        <v>31385</v>
      </c>
      <c r="B4445" s="77" t="s">
        <v>31386</v>
      </c>
      <c r="C4445" s="96">
        <v>45611.0</v>
      </c>
      <c r="D4445" s="40" t="s">
        <v>31387</v>
      </c>
      <c r="E4445" s="97" t="s">
        <v>31388</v>
      </c>
      <c r="F4445" s="98" t="s">
        <v>31389</v>
      </c>
      <c r="G4445" s="98" t="s">
        <v>31390</v>
      </c>
      <c r="H4445" s="49" t="s">
        <v>148</v>
      </c>
      <c r="I4445" s="25" t="str">
        <f>IFERROR(__xludf.DUMMYFUNCTION("GOOGLETRANSLATE(H4445,""EN"",""ES"")"),"Gastronomía")</f>
        <v>Gastronomía</v>
      </c>
      <c r="J4445" s="26" t="s">
        <v>27</v>
      </c>
      <c r="K4445" s="17">
        <v>0.0</v>
      </c>
      <c r="L4445" s="51"/>
      <c r="M4445" s="31"/>
      <c r="N4445" s="31"/>
      <c r="O4445" s="89"/>
      <c r="P4445" s="20">
        <v>0.0</v>
      </c>
      <c r="Q4445" s="31"/>
      <c r="R4445" s="31"/>
      <c r="S4445" s="53"/>
      <c r="T4445" s="32"/>
    </row>
    <row r="4446">
      <c r="A4446" s="33" t="s">
        <v>31391</v>
      </c>
      <c r="B4446" s="76" t="s">
        <v>192</v>
      </c>
      <c r="C4446" s="99">
        <v>45611.0</v>
      </c>
      <c r="D4446" s="40" t="s">
        <v>31392</v>
      </c>
      <c r="E4446" s="100" t="s">
        <v>31393</v>
      </c>
      <c r="F4446" s="101" t="s">
        <v>31394</v>
      </c>
      <c r="G4446" s="101" t="s">
        <v>31395</v>
      </c>
      <c r="H4446" s="51" t="s">
        <v>21911</v>
      </c>
      <c r="I4446" s="15" t="str">
        <f>IFERROR(__xludf.DUMMYFUNCTION("GOOGLETRANSLATE(H4446,""EN"",""ES"")"),"Mano de obra")</f>
        <v>Mano de obra</v>
      </c>
      <c r="J4446" s="16" t="s">
        <v>35</v>
      </c>
      <c r="K4446" s="48">
        <v>-0.3</v>
      </c>
      <c r="L4446" s="49" t="s">
        <v>31396</v>
      </c>
      <c r="M4446" s="34" t="s">
        <v>31397</v>
      </c>
      <c r="N4446" s="34" t="s">
        <v>31398</v>
      </c>
      <c r="O4446" s="88" t="str">
        <f>IFERROR(__xludf.DUMMYFUNCTION("GOOGLETRANSLATE(N4446,""EN"",""ES"")"),"Negativo, destaca cuestiones laborales y tensiones laborales.")</f>
        <v>Negativo, destaca cuestiones laborales y tensiones laborales.</v>
      </c>
      <c r="P4446" s="30">
        <v>0.4</v>
      </c>
      <c r="Q4446" s="18" t="str">
        <f>IFERROR(__xludf.DUMMYFUNCTION("GOOGLETRANSLATE(R4446,""ES"",""EN"")"),"call off strike")</f>
        <v>call off strike</v>
      </c>
      <c r="R4446" s="34" t="s">
        <v>31399</v>
      </c>
      <c r="S4446" s="52" t="s">
        <v>31400</v>
      </c>
      <c r="T4446" s="22" t="s">
        <v>31401</v>
      </c>
    </row>
    <row r="4447">
      <c r="A4447" s="23" t="s">
        <v>31402</v>
      </c>
      <c r="B4447" s="77" t="s">
        <v>431</v>
      </c>
      <c r="C4447" s="96">
        <v>45611.0</v>
      </c>
      <c r="D4447" s="40" t="s">
        <v>31403</v>
      </c>
      <c r="E4447" s="97" t="s">
        <v>31404</v>
      </c>
      <c r="F4447" s="98" t="s">
        <v>31405</v>
      </c>
      <c r="G4447" s="98" t="s">
        <v>31406</v>
      </c>
      <c r="H4447" s="49" t="s">
        <v>148</v>
      </c>
      <c r="I4447" s="25" t="str">
        <f>IFERROR(__xludf.DUMMYFUNCTION("GOOGLETRANSLATE(H4447,""EN"",""ES"")"),"Gastronomía")</f>
        <v>Gastronomía</v>
      </c>
      <c r="J4447" s="26" t="s">
        <v>27</v>
      </c>
      <c r="K4447" s="17">
        <v>0.0</v>
      </c>
      <c r="L4447" s="51"/>
      <c r="M4447" s="31"/>
      <c r="N4447" s="31"/>
      <c r="O4447" s="89"/>
      <c r="P4447" s="20">
        <v>0.0</v>
      </c>
      <c r="Q4447" s="31"/>
      <c r="R4447" s="31"/>
      <c r="S4447" s="53"/>
      <c r="T4447" s="32"/>
    </row>
    <row r="4448">
      <c r="A4448" s="33" t="s">
        <v>31407</v>
      </c>
      <c r="B4448" s="76" t="s">
        <v>163</v>
      </c>
      <c r="C4448" s="99">
        <v>45611.0</v>
      </c>
      <c r="D4448" s="40" t="s">
        <v>31408</v>
      </c>
      <c r="E4448" s="100" t="s">
        <v>31409</v>
      </c>
      <c r="F4448" s="101" t="s">
        <v>31410</v>
      </c>
      <c r="G4448" s="101" t="s">
        <v>31411</v>
      </c>
      <c r="H4448" s="51" t="s">
        <v>395</v>
      </c>
      <c r="I4448" s="15" t="str">
        <f>IFERROR(__xludf.DUMMYFUNCTION("GOOGLETRANSLATE(H4448,""EN"",""ES"")"),"Ambiente")</f>
        <v>Ambiente</v>
      </c>
      <c r="J4448" s="16" t="s">
        <v>27</v>
      </c>
      <c r="K4448" s="17">
        <v>0.0</v>
      </c>
      <c r="L4448" s="49"/>
      <c r="M4448" s="18"/>
      <c r="N4448" s="18"/>
      <c r="O4448" s="88"/>
      <c r="P4448" s="20">
        <v>0.0</v>
      </c>
      <c r="Q4448" s="18"/>
      <c r="R4448" s="18"/>
      <c r="S4448" s="52"/>
      <c r="T4448" s="22"/>
    </row>
    <row r="4449">
      <c r="A4449" s="23" t="s">
        <v>31412</v>
      </c>
      <c r="B4449" s="77" t="s">
        <v>31413</v>
      </c>
      <c r="C4449" s="96">
        <v>45611.0</v>
      </c>
      <c r="D4449" s="40" t="s">
        <v>31414</v>
      </c>
      <c r="E4449" s="97" t="s">
        <v>31415</v>
      </c>
      <c r="F4449" s="98" t="s">
        <v>31416</v>
      </c>
      <c r="G4449" s="98" t="s">
        <v>31417</v>
      </c>
      <c r="H4449" s="49" t="s">
        <v>62</v>
      </c>
      <c r="I4449" s="25" t="str">
        <f>IFERROR(__xludf.DUMMYFUNCTION("GOOGLETRANSLATE(H4449,""EN"",""ES"")"),"Energía")</f>
        <v>Energía</v>
      </c>
      <c r="J4449" s="26" t="s">
        <v>35</v>
      </c>
      <c r="K4449" s="48">
        <v>0.8</v>
      </c>
      <c r="L4449" s="51" t="s">
        <v>31418</v>
      </c>
      <c r="M4449" s="31" t="s">
        <v>31419</v>
      </c>
      <c r="N4449" s="28" t="s">
        <v>31420</v>
      </c>
      <c r="O4449" s="89" t="str">
        <f>IFERROR(__xludf.DUMMYFUNCTION("GOOGLETRANSLATE(N4449,""EN"",""ES"")"),"Positivo, se centra en soluciones energéticas sostenibles.")</f>
        <v>Positivo, se centra en soluciones energéticas sostenibles.</v>
      </c>
      <c r="P4449" s="30">
        <v>0.5</v>
      </c>
      <c r="Q4449" s="31" t="str">
        <f>IFERROR(__xludf.DUMMYFUNCTION("GOOGLETRANSLATE(R4449,""ES"",""EN"")"),"revolutionary fuel")</f>
        <v>revolutionary fuel</v>
      </c>
      <c r="R4449" s="28" t="s">
        <v>31421</v>
      </c>
      <c r="S4449" s="53" t="s">
        <v>31422</v>
      </c>
      <c r="T4449" s="32" t="s">
        <v>31423</v>
      </c>
    </row>
    <row r="4450">
      <c r="A4450" s="33" t="s">
        <v>31424</v>
      </c>
      <c r="B4450" s="76" t="s">
        <v>5669</v>
      </c>
      <c r="C4450" s="99">
        <v>45611.0</v>
      </c>
      <c r="D4450" s="40" t="s">
        <v>31425</v>
      </c>
      <c r="E4450" s="100" t="s">
        <v>31426</v>
      </c>
      <c r="F4450" s="101" t="s">
        <v>31427</v>
      </c>
      <c r="G4450" s="101" t="s">
        <v>31428</v>
      </c>
      <c r="H4450" s="51" t="s">
        <v>1975</v>
      </c>
      <c r="I4450" s="15" t="str">
        <f>IFERROR(__xludf.DUMMYFUNCTION("GOOGLETRANSLATE(H4450,""EN"",""ES"")"),"Política")</f>
        <v>Política</v>
      </c>
      <c r="J4450" s="16" t="s">
        <v>35</v>
      </c>
      <c r="K4450" s="48">
        <v>-0.4</v>
      </c>
      <c r="L4450" s="49" t="s">
        <v>31429</v>
      </c>
      <c r="M4450" s="34" t="s">
        <v>31430</v>
      </c>
      <c r="N4450" s="34" t="s">
        <v>31431</v>
      </c>
      <c r="O4450" s="88" t="str">
        <f>IFERROR(__xludf.DUMMYFUNCTION("GOOGLETRANSLATE(N4450,""EN"",""ES"")"),"Negativo, discutiendo desafíos políticos y oposición a la reforma fiscal que afecta a las empresas energéticas.")</f>
        <v>Negativo, discutiendo desafíos políticos y oposición a la reforma fiscal que afecta a las empresas energéticas.</v>
      </c>
      <c r="P4450" s="30">
        <v>0.4</v>
      </c>
      <c r="Q4450" s="18" t="str">
        <f>IFERROR(__xludf.DUMMYFUNCTION("GOOGLETRANSLATE(R4450,""ES"",""EN"")"),"Joy for Repsol")</f>
        <v>Joy for Repsol</v>
      </c>
      <c r="R4450" s="34" t="s">
        <v>31432</v>
      </c>
      <c r="S4450" s="52" t="s">
        <v>31433</v>
      </c>
      <c r="T4450" s="22" t="s">
        <v>31434</v>
      </c>
    </row>
    <row r="4451">
      <c r="A4451" s="23" t="s">
        <v>31435</v>
      </c>
      <c r="B4451" s="77" t="s">
        <v>85</v>
      </c>
      <c r="C4451" s="96">
        <v>45611.0</v>
      </c>
      <c r="D4451" s="40" t="s">
        <v>31436</v>
      </c>
      <c r="E4451" s="97" t="s">
        <v>31437</v>
      </c>
      <c r="F4451" s="98" t="s">
        <v>31438</v>
      </c>
      <c r="G4451" s="98" t="s">
        <v>31439</v>
      </c>
      <c r="H4451" s="49" t="s">
        <v>148</v>
      </c>
      <c r="I4451" s="25" t="str">
        <f>IFERROR(__xludf.DUMMYFUNCTION("GOOGLETRANSLATE(H4451,""EN"",""ES"")"),"Gastronomía")</f>
        <v>Gastronomía</v>
      </c>
      <c r="J4451" s="26" t="s">
        <v>27</v>
      </c>
      <c r="K4451" s="17">
        <v>0.0</v>
      </c>
      <c r="L4451" s="51"/>
      <c r="M4451" s="31"/>
      <c r="N4451" s="31"/>
      <c r="O4451" s="89"/>
      <c r="P4451" s="20">
        <v>0.0</v>
      </c>
      <c r="Q4451" s="31"/>
      <c r="R4451" s="31"/>
      <c r="S4451" s="53"/>
      <c r="T4451" s="32"/>
    </row>
    <row r="4452">
      <c r="A4452" s="33" t="s">
        <v>31440</v>
      </c>
      <c r="B4452" s="76" t="s">
        <v>207</v>
      </c>
      <c r="C4452" s="99">
        <v>45611.0</v>
      </c>
      <c r="D4452" s="40" t="s">
        <v>31441</v>
      </c>
      <c r="E4452" s="100" t="s">
        <v>31442</v>
      </c>
      <c r="F4452" s="101" t="s">
        <v>31443</v>
      </c>
      <c r="G4452" s="101" t="s">
        <v>31444</v>
      </c>
      <c r="H4452" s="51" t="s">
        <v>1975</v>
      </c>
      <c r="I4452" s="15" t="str">
        <f>IFERROR(__xludf.DUMMYFUNCTION("GOOGLETRANSLATE(H4452,""EN"",""ES"")"),"Política")</f>
        <v>Política</v>
      </c>
      <c r="J4452" s="16" t="s">
        <v>35</v>
      </c>
      <c r="K4452" s="48">
        <v>-0.5</v>
      </c>
      <c r="L4452" s="49" t="s">
        <v>31445</v>
      </c>
      <c r="M4452" s="18" t="s">
        <v>31446</v>
      </c>
      <c r="N4452" s="34" t="s">
        <v>31447</v>
      </c>
      <c r="O4452" s="88" t="str">
        <f>IFERROR(__xludf.DUMMYFUNCTION("GOOGLETRANSLATE(N4452,""EN"",""ES"")"),"Negativo, analiza los pasos políticos para eliminar un controvertido impuesto que afecta a las empresas de energía.")</f>
        <v>Negativo, analiza los pasos políticos para eliminar un controvertido impuesto que afecta a las empresas de energía.</v>
      </c>
      <c r="P4452" s="30">
        <v>0.0</v>
      </c>
      <c r="Q4452" s="18"/>
      <c r="R4452" s="18"/>
      <c r="S4452" s="52" t="s">
        <v>31448</v>
      </c>
      <c r="T4452" s="22" t="s">
        <v>31449</v>
      </c>
    </row>
    <row r="4453">
      <c r="A4453" s="23" t="s">
        <v>31450</v>
      </c>
      <c r="B4453" s="77" t="s">
        <v>21</v>
      </c>
      <c r="C4453" s="96">
        <v>45611.0</v>
      </c>
      <c r="D4453" s="40" t="s">
        <v>31451</v>
      </c>
      <c r="E4453" s="97" t="s">
        <v>31452</v>
      </c>
      <c r="F4453" s="98" t="s">
        <v>31453</v>
      </c>
      <c r="G4453" s="98" t="s">
        <v>31454</v>
      </c>
      <c r="H4453" s="49" t="s">
        <v>148</v>
      </c>
      <c r="I4453" s="25" t="str">
        <f>IFERROR(__xludf.DUMMYFUNCTION("GOOGLETRANSLATE(H4453,""EN"",""ES"")"),"Gastronomía")</f>
        <v>Gastronomía</v>
      </c>
      <c r="J4453" s="26" t="s">
        <v>27</v>
      </c>
      <c r="K4453" s="17">
        <v>0.0</v>
      </c>
      <c r="L4453" s="51"/>
      <c r="M4453" s="31"/>
      <c r="N4453" s="31"/>
      <c r="O4453" s="89"/>
      <c r="P4453" s="20">
        <v>0.0</v>
      </c>
      <c r="Q4453" s="31"/>
      <c r="R4453" s="31"/>
      <c r="S4453" s="53"/>
      <c r="T4453" s="32"/>
    </row>
    <row r="4454">
      <c r="A4454" s="33" t="s">
        <v>31455</v>
      </c>
      <c r="B4454" s="76" t="s">
        <v>1005</v>
      </c>
      <c r="C4454" s="99">
        <v>45611.0</v>
      </c>
      <c r="D4454" s="40" t="s">
        <v>31456</v>
      </c>
      <c r="E4454" s="100" t="s">
        <v>31457</v>
      </c>
      <c r="F4454" s="101" t="s">
        <v>31458</v>
      </c>
      <c r="G4454" s="101" t="s">
        <v>31459</v>
      </c>
      <c r="H4454" s="51" t="s">
        <v>148</v>
      </c>
      <c r="I4454" s="15" t="str">
        <f>IFERROR(__xludf.DUMMYFUNCTION("GOOGLETRANSLATE(H4454,""EN"",""ES"")"),"Gastronomía")</f>
        <v>Gastronomía</v>
      </c>
      <c r="J4454" s="16" t="s">
        <v>27</v>
      </c>
      <c r="K4454" s="17">
        <v>0.0</v>
      </c>
      <c r="L4454" s="49"/>
      <c r="M4454" s="18"/>
      <c r="N4454" s="18"/>
      <c r="O4454" s="88"/>
      <c r="P4454" s="20">
        <v>0.0</v>
      </c>
      <c r="Q4454" s="18"/>
      <c r="R4454" s="18"/>
      <c r="S4454" s="52"/>
      <c r="T4454" s="22"/>
    </row>
    <row r="4455">
      <c r="A4455" s="23" t="s">
        <v>31460</v>
      </c>
      <c r="B4455" s="77" t="s">
        <v>3490</v>
      </c>
      <c r="C4455" s="96">
        <v>45611.0</v>
      </c>
      <c r="D4455" s="40" t="s">
        <v>31461</v>
      </c>
      <c r="E4455" s="97" t="s">
        <v>31462</v>
      </c>
      <c r="F4455" s="98" t="s">
        <v>31463</v>
      </c>
      <c r="G4455" s="98" t="s">
        <v>31464</v>
      </c>
      <c r="H4455" s="49" t="s">
        <v>148</v>
      </c>
      <c r="I4455" s="25" t="str">
        <f>IFERROR(__xludf.DUMMYFUNCTION("GOOGLETRANSLATE(H4455,""EN"",""ES"")"),"Gastronomía")</f>
        <v>Gastronomía</v>
      </c>
      <c r="J4455" s="26" t="s">
        <v>27</v>
      </c>
      <c r="K4455" s="17">
        <v>0.0</v>
      </c>
      <c r="L4455" s="51"/>
      <c r="M4455" s="31"/>
      <c r="N4455" s="31"/>
      <c r="O4455" s="89"/>
      <c r="P4455" s="20">
        <v>0.0</v>
      </c>
      <c r="Q4455" s="31"/>
      <c r="R4455" s="31"/>
      <c r="S4455" s="53"/>
      <c r="T4455" s="32"/>
    </row>
    <row r="4456">
      <c r="A4456" s="33" t="s">
        <v>31465</v>
      </c>
      <c r="B4456" s="76" t="s">
        <v>4673</v>
      </c>
      <c r="C4456" s="99">
        <v>45611.0</v>
      </c>
      <c r="D4456" s="40" t="s">
        <v>31466</v>
      </c>
      <c r="E4456" s="100" t="s">
        <v>31467</v>
      </c>
      <c r="F4456" s="101" t="s">
        <v>31468</v>
      </c>
      <c r="G4456" s="101" t="s">
        <v>31469</v>
      </c>
      <c r="H4456" s="51" t="s">
        <v>62</v>
      </c>
      <c r="I4456" s="15" t="str">
        <f>IFERROR(__xludf.DUMMYFUNCTION("GOOGLETRANSLATE(H4456,""EN"",""ES"")"),"Energía")</f>
        <v>Energía</v>
      </c>
      <c r="J4456" s="16" t="s">
        <v>35</v>
      </c>
      <c r="K4456" s="48">
        <v>0.6</v>
      </c>
      <c r="L4456" s="49" t="s">
        <v>31470</v>
      </c>
      <c r="M4456" s="34" t="s">
        <v>31471</v>
      </c>
      <c r="N4456" s="34" t="s">
        <v>31472</v>
      </c>
      <c r="O4456" s="88" t="str">
        <f>IFERROR(__xludf.DUMMYFUNCTION("GOOGLETRANSLATE(N4456,""EN"",""ES"")"),"Neutral, analiza una nueva colaboración de servicios destinada a ofrecer descuentos a los consumidores.")</f>
        <v>Neutral, analiza una nueva colaboración de servicios destinada a ofrecer descuentos a los consumidores.</v>
      </c>
      <c r="P4456" s="30">
        <v>0.2</v>
      </c>
      <c r="Q4456" s="18" t="str">
        <f>IFERROR(__xludf.DUMMYFUNCTION("GOOGLETRANSLATE(R4456,""ES"",""EN"")"),"exclusive discounts")</f>
        <v>exclusive discounts</v>
      </c>
      <c r="R4456" s="34" t="s">
        <v>31473</v>
      </c>
      <c r="S4456" s="52" t="s">
        <v>31474</v>
      </c>
      <c r="T4456" s="22" t="s">
        <v>31475</v>
      </c>
    </row>
    <row r="4457">
      <c r="A4457" s="23" t="s">
        <v>31476</v>
      </c>
      <c r="B4457" s="77" t="s">
        <v>403</v>
      </c>
      <c r="C4457" s="96">
        <v>45611.0</v>
      </c>
      <c r="D4457" s="40" t="s">
        <v>31477</v>
      </c>
      <c r="E4457" s="97" t="s">
        <v>31478</v>
      </c>
      <c r="F4457" s="98" t="s">
        <v>31479</v>
      </c>
      <c r="G4457" s="98" t="s">
        <v>31480</v>
      </c>
      <c r="H4457" s="49" t="s">
        <v>1975</v>
      </c>
      <c r="I4457" s="25" t="str">
        <f>IFERROR(__xludf.DUMMYFUNCTION("GOOGLETRANSLATE(H4457,""EN"",""ES"")"),"Política")</f>
        <v>Política</v>
      </c>
      <c r="J4457" s="26" t="s">
        <v>35</v>
      </c>
      <c r="K4457" s="48">
        <v>-0.4</v>
      </c>
      <c r="L4457" s="51" t="s">
        <v>31481</v>
      </c>
      <c r="M4457" s="28" t="s">
        <v>31482</v>
      </c>
      <c r="N4457" s="28" t="s">
        <v>31483</v>
      </c>
      <c r="O4457" s="89" t="str">
        <f>IFERROR(__xludf.DUMMYFUNCTION("GOOGLETRANSLATE(N4457,""EN"",""ES"")"),"Negativo, destaca la influencia empresarial en el bloqueo de las reformas fiscales.")</f>
        <v>Negativo, destaca la influencia empresarial en el bloqueo de las reformas fiscales.</v>
      </c>
      <c r="P4457" s="30">
        <v>0.0</v>
      </c>
      <c r="Q4457" s="31"/>
      <c r="R4457" s="31"/>
      <c r="S4457" s="53" t="s">
        <v>31484</v>
      </c>
      <c r="T4457" s="32" t="s">
        <v>31485</v>
      </c>
    </row>
    <row r="4458">
      <c r="A4458" s="33" t="s">
        <v>31486</v>
      </c>
      <c r="B4458" s="76" t="s">
        <v>14925</v>
      </c>
      <c r="C4458" s="99">
        <v>45611.0</v>
      </c>
      <c r="D4458" s="40" t="s">
        <v>31487</v>
      </c>
      <c r="E4458" s="100" t="s">
        <v>31488</v>
      </c>
      <c r="F4458" s="101" t="s">
        <v>31489</v>
      </c>
      <c r="G4458" s="101" t="s">
        <v>31490</v>
      </c>
      <c r="H4458" s="51" t="s">
        <v>1975</v>
      </c>
      <c r="I4458" s="15" t="str">
        <f>IFERROR(__xludf.DUMMYFUNCTION("GOOGLETRANSLATE(H4458,""EN"",""ES"")"),"Política")</f>
        <v>Política</v>
      </c>
      <c r="J4458" s="16" t="s">
        <v>27</v>
      </c>
      <c r="K4458" s="17">
        <v>0.0</v>
      </c>
      <c r="L4458" s="49"/>
      <c r="M4458" s="18"/>
      <c r="N4458" s="18"/>
      <c r="O4458" s="88"/>
      <c r="P4458" s="20">
        <v>0.0</v>
      </c>
      <c r="Q4458" s="18"/>
      <c r="R4458" s="18"/>
      <c r="S4458" s="52"/>
      <c r="T4458" s="22"/>
    </row>
    <row r="4459">
      <c r="A4459" s="23" t="s">
        <v>31491</v>
      </c>
      <c r="B4459" s="77" t="s">
        <v>2944</v>
      </c>
      <c r="C4459" s="96">
        <v>45611.0</v>
      </c>
      <c r="D4459" s="40" t="s">
        <v>31492</v>
      </c>
      <c r="E4459" s="97" t="s">
        <v>31493</v>
      </c>
      <c r="F4459" s="98" t="s">
        <v>31494</v>
      </c>
      <c r="G4459" s="98" t="s">
        <v>31495</v>
      </c>
      <c r="H4459" s="49" t="s">
        <v>148</v>
      </c>
      <c r="I4459" s="25" t="str">
        <f>IFERROR(__xludf.DUMMYFUNCTION("GOOGLETRANSLATE(H4459,""EN"",""ES"")"),"Gastronomía")</f>
        <v>Gastronomía</v>
      </c>
      <c r="J4459" s="26" t="s">
        <v>27</v>
      </c>
      <c r="K4459" s="17">
        <v>0.0</v>
      </c>
      <c r="L4459" s="51"/>
      <c r="M4459" s="31"/>
      <c r="N4459" s="31"/>
      <c r="O4459" s="89"/>
      <c r="P4459" s="20">
        <v>0.0</v>
      </c>
      <c r="Q4459" s="31"/>
      <c r="R4459" s="31"/>
      <c r="S4459" s="53"/>
      <c r="T4459" s="32"/>
    </row>
    <row r="4460">
      <c r="A4460" s="33" t="s">
        <v>31496</v>
      </c>
      <c r="B4460" s="76" t="s">
        <v>6555</v>
      </c>
      <c r="C4460" s="99">
        <v>45611.0</v>
      </c>
      <c r="D4460" s="40" t="s">
        <v>31497</v>
      </c>
      <c r="E4460" s="100" t="s">
        <v>31498</v>
      </c>
      <c r="F4460" s="101" t="s">
        <v>31499</v>
      </c>
      <c r="G4460" s="101" t="s">
        <v>31500</v>
      </c>
      <c r="H4460" s="51" t="s">
        <v>148</v>
      </c>
      <c r="I4460" s="15" t="str">
        <f>IFERROR(__xludf.DUMMYFUNCTION("GOOGLETRANSLATE(H4460,""EN"",""ES"")"),"Gastronomía")</f>
        <v>Gastronomía</v>
      </c>
      <c r="J4460" s="16" t="s">
        <v>27</v>
      </c>
      <c r="K4460" s="17">
        <v>0.0</v>
      </c>
      <c r="L4460" s="49"/>
      <c r="M4460" s="18"/>
      <c r="N4460" s="18"/>
      <c r="O4460" s="88"/>
      <c r="P4460" s="20">
        <v>0.0</v>
      </c>
      <c r="Q4460" s="18"/>
      <c r="R4460" s="18"/>
      <c r="S4460" s="52"/>
      <c r="T4460" s="22"/>
    </row>
    <row r="4461">
      <c r="A4461" s="23" t="s">
        <v>31501</v>
      </c>
      <c r="B4461" s="77" t="s">
        <v>1072</v>
      </c>
      <c r="C4461" s="96">
        <v>45611.0</v>
      </c>
      <c r="D4461" s="40" t="s">
        <v>31502</v>
      </c>
      <c r="E4461" s="97" t="s">
        <v>31503</v>
      </c>
      <c r="F4461" s="98" t="s">
        <v>31504</v>
      </c>
      <c r="G4461" s="98" t="s">
        <v>31505</v>
      </c>
      <c r="H4461" s="49" t="s">
        <v>148</v>
      </c>
      <c r="I4461" s="25" t="str">
        <f>IFERROR(__xludf.DUMMYFUNCTION("GOOGLETRANSLATE(H4461,""EN"",""ES"")"),"Gastronomía")</f>
        <v>Gastronomía</v>
      </c>
      <c r="J4461" s="26" t="s">
        <v>27</v>
      </c>
      <c r="K4461" s="17">
        <v>0.0</v>
      </c>
      <c r="L4461" s="51"/>
      <c r="M4461" s="31"/>
      <c r="N4461" s="31"/>
      <c r="O4461" s="89"/>
      <c r="P4461" s="20">
        <v>0.0</v>
      </c>
      <c r="Q4461" s="31"/>
      <c r="R4461" s="31"/>
      <c r="S4461" s="53"/>
      <c r="T4461" s="32"/>
    </row>
    <row r="4462">
      <c r="A4462" s="33" t="s">
        <v>31506</v>
      </c>
      <c r="B4462" s="76" t="s">
        <v>21</v>
      </c>
      <c r="C4462" s="99">
        <v>45611.0</v>
      </c>
      <c r="D4462" s="40" t="s">
        <v>31507</v>
      </c>
      <c r="E4462" s="100" t="s">
        <v>31508</v>
      </c>
      <c r="F4462" s="101" t="s">
        <v>31509</v>
      </c>
      <c r="G4462" s="101" t="s">
        <v>31510</v>
      </c>
      <c r="H4462" s="51" t="s">
        <v>148</v>
      </c>
      <c r="I4462" s="15" t="str">
        <f>IFERROR(__xludf.DUMMYFUNCTION("GOOGLETRANSLATE(H4462,""EN"",""ES"")"),"Gastronomía")</f>
        <v>Gastronomía</v>
      </c>
      <c r="J4462" s="16" t="s">
        <v>27</v>
      </c>
      <c r="K4462" s="17">
        <v>0.0</v>
      </c>
      <c r="L4462" s="49"/>
      <c r="M4462" s="18"/>
      <c r="N4462" s="18"/>
      <c r="O4462" s="88"/>
      <c r="P4462" s="20">
        <v>0.0</v>
      </c>
      <c r="Q4462" s="18"/>
      <c r="R4462" s="18"/>
      <c r="S4462" s="52"/>
      <c r="T4462" s="22"/>
    </row>
    <row r="4463">
      <c r="A4463" s="23" t="s">
        <v>31511</v>
      </c>
      <c r="B4463" s="77" t="s">
        <v>1970</v>
      </c>
      <c r="C4463" s="96">
        <v>45611.0</v>
      </c>
      <c r="D4463" s="40" t="s">
        <v>31512</v>
      </c>
      <c r="E4463" s="97" t="s">
        <v>31513</v>
      </c>
      <c r="F4463" s="98" t="s">
        <v>31514</v>
      </c>
      <c r="G4463" s="98" t="s">
        <v>31515</v>
      </c>
      <c r="H4463" s="49" t="s">
        <v>2591</v>
      </c>
      <c r="I4463" s="25" t="str">
        <f>IFERROR(__xludf.DUMMYFUNCTION("GOOGLETRANSLATE(H4463,""EN"",""ES"")"),"Negocio")</f>
        <v>Negocio</v>
      </c>
      <c r="J4463" s="26" t="s">
        <v>27</v>
      </c>
      <c r="K4463" s="17">
        <v>0.0</v>
      </c>
      <c r="L4463" s="51"/>
      <c r="M4463" s="31"/>
      <c r="N4463" s="31"/>
      <c r="O4463" s="89"/>
      <c r="P4463" s="20">
        <v>0.0</v>
      </c>
      <c r="Q4463" s="31"/>
      <c r="R4463" s="31"/>
      <c r="S4463" s="53"/>
      <c r="T4463" s="32"/>
    </row>
    <row r="4464">
      <c r="A4464" s="33" t="s">
        <v>31516</v>
      </c>
      <c r="B4464" s="76" t="s">
        <v>91</v>
      </c>
      <c r="C4464" s="99">
        <v>45611.0</v>
      </c>
      <c r="D4464" s="40" t="s">
        <v>31517</v>
      </c>
      <c r="E4464" s="100" t="s">
        <v>31518</v>
      </c>
      <c r="F4464" s="101" t="s">
        <v>31519</v>
      </c>
      <c r="G4464" s="101" t="s">
        <v>31520</v>
      </c>
      <c r="H4464" s="51" t="s">
        <v>148</v>
      </c>
      <c r="I4464" s="15" t="str">
        <f>IFERROR(__xludf.DUMMYFUNCTION("GOOGLETRANSLATE(H4464,""EN"",""ES"")"),"Gastronomía")</f>
        <v>Gastronomía</v>
      </c>
      <c r="J4464" s="16" t="s">
        <v>27</v>
      </c>
      <c r="K4464" s="17">
        <v>0.0</v>
      </c>
      <c r="L4464" s="49"/>
      <c r="M4464" s="18"/>
      <c r="N4464" s="18"/>
      <c r="O4464" s="88"/>
      <c r="P4464" s="20">
        <v>0.0</v>
      </c>
      <c r="Q4464" s="18"/>
      <c r="R4464" s="18"/>
      <c r="S4464" s="52"/>
      <c r="T4464" s="22"/>
    </row>
    <row r="4465">
      <c r="A4465" s="23" t="s">
        <v>31521</v>
      </c>
      <c r="B4465" s="77" t="s">
        <v>4450</v>
      </c>
      <c r="C4465" s="96">
        <v>45611.0</v>
      </c>
      <c r="D4465" s="40" t="s">
        <v>31522</v>
      </c>
      <c r="E4465" s="97" t="s">
        <v>31523</v>
      </c>
      <c r="F4465" s="98" t="s">
        <v>31524</v>
      </c>
      <c r="G4465" s="98" t="s">
        <v>31525</v>
      </c>
      <c r="H4465" s="49" t="s">
        <v>21911</v>
      </c>
      <c r="I4465" s="25" t="str">
        <f>IFERROR(__xludf.DUMMYFUNCTION("GOOGLETRANSLATE(H4465,""EN"",""ES"")"),"Mano de obra")</f>
        <v>Mano de obra</v>
      </c>
      <c r="J4465" s="26" t="s">
        <v>35</v>
      </c>
      <c r="K4465" s="48">
        <v>-0.6</v>
      </c>
      <c r="L4465" s="51" t="s">
        <v>31526</v>
      </c>
      <c r="M4465" s="28" t="s">
        <v>31527</v>
      </c>
      <c r="N4465" s="28" t="s">
        <v>31528</v>
      </c>
      <c r="O4465" s="89" t="str">
        <f>IFERROR(__xludf.DUMMYFUNCTION("GOOGLETRANSLATE(N4465,""EN"",""ES"")"),"Negativo, refleja conflictos laborales y preocupaciones de los trabajadores sobre la seguridad laboral.")</f>
        <v>Negativo, refleja conflictos laborales y preocupaciones de los trabajadores sobre la seguridad laboral.</v>
      </c>
      <c r="P4465" s="30">
        <v>0.4</v>
      </c>
      <c r="Q4465" s="31" t="str">
        <f>IFERROR(__xludf.DUMMYFUNCTION("GOOGLETRANSLATE(R4465,""ES"",""EN"")"),"call off strike")</f>
        <v>call off strike</v>
      </c>
      <c r="R4465" s="28" t="s">
        <v>31399</v>
      </c>
      <c r="S4465" s="53" t="s">
        <v>31400</v>
      </c>
      <c r="T4465" s="32" t="s">
        <v>31401</v>
      </c>
    </row>
    <row r="4466">
      <c r="A4466" s="33" t="s">
        <v>31529</v>
      </c>
      <c r="B4466" s="76" t="s">
        <v>4559</v>
      </c>
      <c r="C4466" s="99">
        <v>45611.0</v>
      </c>
      <c r="D4466" s="40" t="s">
        <v>31530</v>
      </c>
      <c r="E4466" s="100" t="s">
        <v>31531</v>
      </c>
      <c r="F4466" s="101" t="s">
        <v>31532</v>
      </c>
      <c r="G4466" s="101" t="s">
        <v>31533</v>
      </c>
      <c r="H4466" s="51" t="s">
        <v>21911</v>
      </c>
      <c r="I4466" s="15" t="str">
        <f>IFERROR(__xludf.DUMMYFUNCTION("GOOGLETRANSLATE(H4466,""EN"",""ES"")"),"Mano de obra")</f>
        <v>Mano de obra</v>
      </c>
      <c r="J4466" s="16" t="s">
        <v>35</v>
      </c>
      <c r="K4466" s="48">
        <v>-0.4</v>
      </c>
      <c r="L4466" s="49" t="s">
        <v>31526</v>
      </c>
      <c r="M4466" s="34" t="s">
        <v>31527</v>
      </c>
      <c r="N4466" s="34" t="s">
        <v>31534</v>
      </c>
      <c r="O4466" s="88" t="str">
        <f>IFERROR(__xludf.DUMMYFUNCTION("GOOGLETRANSLATE(N4466,""EN"",""ES"")"),"Negativo, destaca el fin de una larga huelga por preocupaciones de los trabajadores.")</f>
        <v>Negativo, destaca el fin de una larga huelga por preocupaciones de los trabajadores.</v>
      </c>
      <c r="P4466" s="30">
        <v>0.4</v>
      </c>
      <c r="Q4466" s="18" t="str">
        <f>IFERROR(__xludf.DUMMYFUNCTION("GOOGLETRANSLATE(R4466,""ES"",""EN"")"),"comes to an end")</f>
        <v>comes to an end</v>
      </c>
      <c r="R4466" s="34" t="s">
        <v>31535</v>
      </c>
      <c r="S4466" s="52" t="s">
        <v>31536</v>
      </c>
      <c r="T4466" s="22" t="s">
        <v>31537</v>
      </c>
    </row>
    <row r="4467">
      <c r="A4467" s="23" t="s">
        <v>31538</v>
      </c>
      <c r="B4467" s="77" t="s">
        <v>2696</v>
      </c>
      <c r="C4467" s="96">
        <v>45611.0</v>
      </c>
      <c r="D4467" s="40" t="s">
        <v>31539</v>
      </c>
      <c r="E4467" s="97" t="s">
        <v>31540</v>
      </c>
      <c r="F4467" s="98" t="s">
        <v>31541</v>
      </c>
      <c r="G4467" s="98" t="s">
        <v>31542</v>
      </c>
      <c r="H4467" s="49" t="s">
        <v>148</v>
      </c>
      <c r="I4467" s="25" t="str">
        <f>IFERROR(__xludf.DUMMYFUNCTION("GOOGLETRANSLATE(H4467,""EN"",""ES"")"),"Gastronomía")</f>
        <v>Gastronomía</v>
      </c>
      <c r="J4467" s="26" t="s">
        <v>27</v>
      </c>
      <c r="K4467" s="17">
        <v>0.0</v>
      </c>
      <c r="L4467" s="51"/>
      <c r="M4467" s="31"/>
      <c r="N4467" s="31"/>
      <c r="O4467" s="89"/>
      <c r="P4467" s="20">
        <v>0.0</v>
      </c>
      <c r="Q4467" s="31"/>
      <c r="R4467" s="31"/>
      <c r="S4467" s="53"/>
      <c r="T4467" s="32"/>
    </row>
    <row r="4468">
      <c r="A4468" s="33" t="s">
        <v>31543</v>
      </c>
      <c r="B4468" s="76" t="s">
        <v>163</v>
      </c>
      <c r="C4468" s="99">
        <v>45611.0</v>
      </c>
      <c r="D4468" s="40" t="s">
        <v>31544</v>
      </c>
      <c r="E4468" s="100" t="s">
        <v>31545</v>
      </c>
      <c r="F4468" s="101" t="s">
        <v>31546</v>
      </c>
      <c r="G4468" s="101" t="s">
        <v>31547</v>
      </c>
      <c r="H4468" s="51" t="s">
        <v>3985</v>
      </c>
      <c r="I4468" s="15" t="str">
        <f>IFERROR(__xludf.DUMMYFUNCTION("GOOGLETRANSLATE(H4468,""EN"",""ES"")"),"Deportes")</f>
        <v>Deportes</v>
      </c>
      <c r="J4468" s="16" t="s">
        <v>27</v>
      </c>
      <c r="K4468" s="17">
        <v>0.0</v>
      </c>
      <c r="L4468" s="49"/>
      <c r="M4468" s="18"/>
      <c r="N4468" s="18"/>
      <c r="O4468" s="88"/>
      <c r="P4468" s="20">
        <v>0.0</v>
      </c>
      <c r="Q4468" s="18"/>
      <c r="R4468" s="18"/>
      <c r="S4468" s="52"/>
      <c r="T4468" s="22"/>
    </row>
    <row r="4469">
      <c r="A4469" s="23" t="s">
        <v>31548</v>
      </c>
      <c r="B4469" s="77" t="s">
        <v>217</v>
      </c>
      <c r="C4469" s="96">
        <v>45612.0</v>
      </c>
      <c r="D4469" s="40" t="s">
        <v>31549</v>
      </c>
      <c r="E4469" s="97" t="s">
        <v>31550</v>
      </c>
      <c r="F4469" s="98" t="s">
        <v>31551</v>
      </c>
      <c r="G4469" s="98" t="s">
        <v>31552</v>
      </c>
      <c r="H4469" s="49" t="s">
        <v>48</v>
      </c>
      <c r="I4469" s="25" t="str">
        <f>IFERROR(__xludf.DUMMYFUNCTION("GOOGLETRANSLATE(H4469,""EN"",""ES"")"),"Finanzas")</f>
        <v>Finanzas</v>
      </c>
      <c r="J4469" s="26" t="s">
        <v>35</v>
      </c>
      <c r="K4469" s="48">
        <v>0.6</v>
      </c>
      <c r="L4469" s="51" t="s">
        <v>31553</v>
      </c>
      <c r="M4469" s="28" t="s">
        <v>31554</v>
      </c>
      <c r="N4469" s="28" t="s">
        <v>31555</v>
      </c>
      <c r="O4469" s="89" t="str">
        <f>IFERROR(__xludf.DUMMYFUNCTION("GOOGLETRANSLATE(N4469,""EN"",""ES"")"),"Positivo, ofrece una visión optimista sobre la recuperación de la inversión a pesar de las pérdidas a corto plazo.")</f>
        <v>Positivo, ofrece una visión optimista sobre la recuperación de la inversión a pesar de las pérdidas a corto plazo.</v>
      </c>
      <c r="P4469" s="30">
        <v>-0.2</v>
      </c>
      <c r="Q4469" s="31" t="str">
        <f>IFERROR(__xludf.DUMMYFUNCTION("GOOGLETRANSLATE(R4469,""ES"",""EN"")"),"losses")</f>
        <v>losses</v>
      </c>
      <c r="R4469" s="28" t="s">
        <v>14637</v>
      </c>
      <c r="S4469" s="53" t="s">
        <v>31556</v>
      </c>
      <c r="T4469" s="32" t="s">
        <v>31557</v>
      </c>
    </row>
    <row r="4470">
      <c r="A4470" s="33" t="s">
        <v>31558</v>
      </c>
      <c r="B4470" s="76" t="s">
        <v>91</v>
      </c>
      <c r="C4470" s="99">
        <v>45612.0</v>
      </c>
      <c r="D4470" s="40" t="s">
        <v>31559</v>
      </c>
      <c r="E4470" s="100" t="s">
        <v>31560</v>
      </c>
      <c r="F4470" s="101" t="s">
        <v>31561</v>
      </c>
      <c r="G4470" s="101" t="s">
        <v>31562</v>
      </c>
      <c r="H4470" s="51" t="s">
        <v>62</v>
      </c>
      <c r="I4470" s="15" t="str">
        <f>IFERROR(__xludf.DUMMYFUNCTION("GOOGLETRANSLATE(H4470,""EN"",""ES"")"),"Energía")</f>
        <v>Energía</v>
      </c>
      <c r="J4470" s="16" t="s">
        <v>35</v>
      </c>
      <c r="K4470" s="48">
        <v>0.8</v>
      </c>
      <c r="L4470" s="49" t="s">
        <v>31563</v>
      </c>
      <c r="M4470" s="34" t="s">
        <v>31564</v>
      </c>
      <c r="N4470" s="34" t="s">
        <v>31565</v>
      </c>
      <c r="O4470" s="88" t="str">
        <f>IFERROR(__xludf.DUMMYFUNCTION("GOOGLETRANSLATE(N4470,""EN"",""ES"")"),"Positivo, destaca el esfuerzo de Repsol por ampliar su infraestructura de recarga de vehículos eléctricos.")</f>
        <v>Positivo, destaca el esfuerzo de Repsol por ampliar su infraestructura de recarga de vehículos eléctricos.</v>
      </c>
      <c r="P4470" s="30">
        <v>0.6</v>
      </c>
      <c r="Q4470" s="18" t="str">
        <f>IFERROR(__xludf.DUMMYFUNCTION("GOOGLETRANSLATE(R4470,""ES"",""EN"")"),"doubles charging network")</f>
        <v>doubles charging network</v>
      </c>
      <c r="R4470" s="34" t="s">
        <v>31566</v>
      </c>
      <c r="S4470" s="52" t="s">
        <v>31567</v>
      </c>
      <c r="T4470" s="22" t="s">
        <v>31568</v>
      </c>
    </row>
    <row r="4471">
      <c r="A4471" s="23" t="s">
        <v>31569</v>
      </c>
      <c r="B4471" s="77" t="s">
        <v>31570</v>
      </c>
      <c r="C4471" s="96">
        <v>45612.0</v>
      </c>
      <c r="D4471" s="40" t="s">
        <v>31571</v>
      </c>
      <c r="E4471" s="97" t="s">
        <v>31572</v>
      </c>
      <c r="F4471" s="98" t="s">
        <v>31573</v>
      </c>
      <c r="G4471" s="98" t="s">
        <v>31574</v>
      </c>
      <c r="H4471" s="49" t="s">
        <v>148</v>
      </c>
      <c r="I4471" s="25" t="str">
        <f>IFERROR(__xludf.DUMMYFUNCTION("GOOGLETRANSLATE(H4471,""EN"",""ES"")"),"Gastronomía")</f>
        <v>Gastronomía</v>
      </c>
      <c r="J4471" s="26" t="s">
        <v>27</v>
      </c>
      <c r="K4471" s="17">
        <v>0.0</v>
      </c>
      <c r="L4471" s="51"/>
      <c r="M4471" s="31"/>
      <c r="N4471" s="31"/>
      <c r="O4471" s="89"/>
      <c r="P4471" s="20">
        <v>0.0</v>
      </c>
      <c r="Q4471" s="31"/>
      <c r="R4471" s="31"/>
      <c r="S4471" s="53"/>
      <c r="T4471" s="32"/>
    </row>
    <row r="4472">
      <c r="A4472" s="33" t="s">
        <v>31575</v>
      </c>
      <c r="B4472" s="76" t="s">
        <v>6804</v>
      </c>
      <c r="C4472" s="99">
        <v>45612.0</v>
      </c>
      <c r="D4472" s="40" t="s">
        <v>31576</v>
      </c>
      <c r="E4472" s="100" t="s">
        <v>31577</v>
      </c>
      <c r="F4472" s="101" t="s">
        <v>31578</v>
      </c>
      <c r="G4472" s="101" t="s">
        <v>31579</v>
      </c>
      <c r="H4472" s="51" t="s">
        <v>148</v>
      </c>
      <c r="I4472" s="15" t="str">
        <f>IFERROR(__xludf.DUMMYFUNCTION("GOOGLETRANSLATE(H4472,""EN"",""ES"")"),"Gastronomía")</f>
        <v>Gastronomía</v>
      </c>
      <c r="J4472" s="16" t="s">
        <v>27</v>
      </c>
      <c r="K4472" s="17">
        <v>0.0</v>
      </c>
      <c r="L4472" s="49"/>
      <c r="M4472" s="18"/>
      <c r="N4472" s="18"/>
      <c r="O4472" s="88"/>
      <c r="P4472" s="20">
        <v>0.0</v>
      </c>
      <c r="Q4472" s="18"/>
      <c r="R4472" s="18"/>
      <c r="S4472" s="52"/>
      <c r="T4472" s="22"/>
    </row>
    <row r="4473">
      <c r="A4473" s="23" t="s">
        <v>31580</v>
      </c>
      <c r="B4473" s="77" t="s">
        <v>163</v>
      </c>
      <c r="C4473" s="96">
        <v>45612.0</v>
      </c>
      <c r="D4473" s="40" t="s">
        <v>31581</v>
      </c>
      <c r="E4473" s="97" t="s">
        <v>31582</v>
      </c>
      <c r="F4473" s="98" t="s">
        <v>31583</v>
      </c>
      <c r="G4473" s="98" t="s">
        <v>31584</v>
      </c>
      <c r="H4473" s="49" t="s">
        <v>3985</v>
      </c>
      <c r="I4473" s="25" t="str">
        <f>IFERROR(__xludf.DUMMYFUNCTION("GOOGLETRANSLATE(H4473,""EN"",""ES"")"),"Deportes")</f>
        <v>Deportes</v>
      </c>
      <c r="J4473" s="26" t="s">
        <v>27</v>
      </c>
      <c r="K4473" s="17">
        <v>0.0</v>
      </c>
      <c r="L4473" s="51"/>
      <c r="M4473" s="31"/>
      <c r="N4473" s="31"/>
      <c r="O4473" s="89"/>
      <c r="P4473" s="20">
        <v>0.0</v>
      </c>
      <c r="Q4473" s="31"/>
      <c r="R4473" s="31"/>
      <c r="S4473" s="53"/>
      <c r="T4473" s="32"/>
    </row>
    <row r="4474">
      <c r="A4474" s="33" t="s">
        <v>31585</v>
      </c>
      <c r="B4474" s="76" t="s">
        <v>6555</v>
      </c>
      <c r="C4474" s="99">
        <v>45612.0</v>
      </c>
      <c r="D4474" s="40" t="s">
        <v>31586</v>
      </c>
      <c r="E4474" s="100" t="s">
        <v>31587</v>
      </c>
      <c r="F4474" s="101" t="s">
        <v>31588</v>
      </c>
      <c r="G4474" s="101" t="s">
        <v>31589</v>
      </c>
      <c r="H4474" s="51" t="s">
        <v>148</v>
      </c>
      <c r="I4474" s="15" t="str">
        <f>IFERROR(__xludf.DUMMYFUNCTION("GOOGLETRANSLATE(H4474,""EN"",""ES"")"),"Gastronomía")</f>
        <v>Gastronomía</v>
      </c>
      <c r="J4474" s="16" t="s">
        <v>27</v>
      </c>
      <c r="K4474" s="17">
        <v>0.0</v>
      </c>
      <c r="L4474" s="49"/>
      <c r="M4474" s="18"/>
      <c r="N4474" s="18"/>
      <c r="O4474" s="88"/>
      <c r="P4474" s="20">
        <v>0.0</v>
      </c>
      <c r="Q4474" s="18"/>
      <c r="R4474" s="18"/>
      <c r="S4474" s="52"/>
      <c r="T4474" s="22"/>
    </row>
    <row r="4475">
      <c r="A4475" s="23" t="s">
        <v>31590</v>
      </c>
      <c r="B4475" s="77" t="s">
        <v>192</v>
      </c>
      <c r="C4475" s="96">
        <v>45612.0</v>
      </c>
      <c r="D4475" s="40" t="s">
        <v>31591</v>
      </c>
      <c r="E4475" s="97" t="s">
        <v>31592</v>
      </c>
      <c r="F4475" s="98" t="s">
        <v>31593</v>
      </c>
      <c r="G4475" s="98" t="s">
        <v>31594</v>
      </c>
      <c r="H4475" s="49" t="s">
        <v>3985</v>
      </c>
      <c r="I4475" s="25" t="str">
        <f>IFERROR(__xludf.DUMMYFUNCTION("GOOGLETRANSLATE(H4475,""EN"",""ES"")"),"Deportes")</f>
        <v>Deportes</v>
      </c>
      <c r="J4475" s="26" t="s">
        <v>27</v>
      </c>
      <c r="K4475" s="17">
        <v>0.0</v>
      </c>
      <c r="L4475" s="51"/>
      <c r="M4475" s="31"/>
      <c r="N4475" s="31"/>
      <c r="O4475" s="89"/>
      <c r="P4475" s="20">
        <v>0.0</v>
      </c>
      <c r="Q4475" s="31"/>
      <c r="R4475" s="31"/>
      <c r="S4475" s="53"/>
      <c r="T4475" s="32"/>
    </row>
    <row r="4476">
      <c r="A4476" s="33" t="s">
        <v>31595</v>
      </c>
      <c r="B4476" s="76" t="s">
        <v>425</v>
      </c>
      <c r="C4476" s="99">
        <v>45612.0</v>
      </c>
      <c r="D4476" s="40" t="s">
        <v>31596</v>
      </c>
      <c r="E4476" s="100" t="s">
        <v>31597</v>
      </c>
      <c r="F4476" s="101" t="s">
        <v>31598</v>
      </c>
      <c r="G4476" s="101" t="s">
        <v>31599</v>
      </c>
      <c r="H4476" s="51" t="s">
        <v>3985</v>
      </c>
      <c r="I4476" s="15" t="str">
        <f>IFERROR(__xludf.DUMMYFUNCTION("GOOGLETRANSLATE(H4476,""EN"",""ES"")"),"Deportes")</f>
        <v>Deportes</v>
      </c>
      <c r="J4476" s="16" t="s">
        <v>27</v>
      </c>
      <c r="K4476" s="17">
        <v>0.0</v>
      </c>
      <c r="L4476" s="49"/>
      <c r="M4476" s="18"/>
      <c r="N4476" s="18"/>
      <c r="O4476" s="88"/>
      <c r="P4476" s="20">
        <v>0.0</v>
      </c>
      <c r="Q4476" s="18"/>
      <c r="R4476" s="18"/>
      <c r="S4476" s="52"/>
      <c r="T4476" s="22"/>
    </row>
    <row r="4477">
      <c r="A4477" s="23" t="s">
        <v>31600</v>
      </c>
      <c r="B4477" s="77" t="s">
        <v>425</v>
      </c>
      <c r="C4477" s="96">
        <v>45612.0</v>
      </c>
      <c r="D4477" s="40" t="s">
        <v>31601</v>
      </c>
      <c r="E4477" s="97" t="s">
        <v>31602</v>
      </c>
      <c r="F4477" s="98" t="s">
        <v>31603</v>
      </c>
      <c r="G4477" s="98" t="s">
        <v>31604</v>
      </c>
      <c r="H4477" s="49" t="s">
        <v>3985</v>
      </c>
      <c r="I4477" s="25" t="str">
        <f>IFERROR(__xludf.DUMMYFUNCTION("GOOGLETRANSLATE(H4477,""EN"",""ES"")"),"Deportes")</f>
        <v>Deportes</v>
      </c>
      <c r="J4477" s="26" t="s">
        <v>27</v>
      </c>
      <c r="K4477" s="17">
        <v>0.0</v>
      </c>
      <c r="L4477" s="51"/>
      <c r="M4477" s="31"/>
      <c r="N4477" s="31"/>
      <c r="O4477" s="89"/>
      <c r="P4477" s="20">
        <v>0.0</v>
      </c>
      <c r="Q4477" s="31"/>
      <c r="R4477" s="31"/>
      <c r="S4477" s="53"/>
      <c r="T4477" s="32"/>
    </row>
    <row r="4478">
      <c r="A4478" s="33" t="s">
        <v>31605</v>
      </c>
      <c r="B4478" s="76" t="s">
        <v>2696</v>
      </c>
      <c r="C4478" s="99">
        <v>45612.0</v>
      </c>
      <c r="D4478" s="40" t="s">
        <v>31606</v>
      </c>
      <c r="E4478" s="100" t="s">
        <v>31607</v>
      </c>
      <c r="F4478" s="101" t="s">
        <v>31608</v>
      </c>
      <c r="G4478" s="101" t="s">
        <v>31609</v>
      </c>
      <c r="H4478" s="51" t="s">
        <v>148</v>
      </c>
      <c r="I4478" s="15" t="str">
        <f>IFERROR(__xludf.DUMMYFUNCTION("GOOGLETRANSLATE(H4478,""EN"",""ES"")"),"Gastronomía")</f>
        <v>Gastronomía</v>
      </c>
      <c r="J4478" s="16" t="s">
        <v>27</v>
      </c>
      <c r="K4478" s="17">
        <v>0.0</v>
      </c>
      <c r="L4478" s="49"/>
      <c r="M4478" s="18"/>
      <c r="N4478" s="18"/>
      <c r="O4478" s="88"/>
      <c r="P4478" s="20">
        <v>0.0</v>
      </c>
      <c r="Q4478" s="18"/>
      <c r="R4478" s="18"/>
      <c r="S4478" s="52"/>
      <c r="T4478" s="22"/>
    </row>
    <row r="4479">
      <c r="A4479" s="23" t="s">
        <v>31610</v>
      </c>
      <c r="B4479" s="77" t="s">
        <v>499</v>
      </c>
      <c r="C4479" s="96">
        <v>45613.0</v>
      </c>
      <c r="D4479" s="40" t="s">
        <v>31611</v>
      </c>
      <c r="E4479" s="97" t="s">
        <v>31612</v>
      </c>
      <c r="F4479" s="98" t="s">
        <v>31613</v>
      </c>
      <c r="G4479" s="98" t="s">
        <v>31614</v>
      </c>
      <c r="H4479" s="49" t="s">
        <v>408</v>
      </c>
      <c r="I4479" s="25" t="str">
        <f>IFERROR(__xludf.DUMMYFUNCTION("GOOGLETRANSLATE(H4479,""EN"",""ES"")"),"Legal")</f>
        <v>Legal</v>
      </c>
      <c r="J4479" s="26" t="s">
        <v>35</v>
      </c>
      <c r="K4479" s="48">
        <v>-0.6</v>
      </c>
      <c r="L4479" s="51" t="s">
        <v>31615</v>
      </c>
      <c r="M4479" s="28" t="s">
        <v>31616</v>
      </c>
      <c r="N4479" s="28" t="s">
        <v>31617</v>
      </c>
      <c r="O4479" s="89" t="str">
        <f>IFERROR(__xludf.DUMMYFUNCTION("GOOGLETRANSLATE(N4479,""EN"",""ES"")"),"Negativo, destaca la batalla legal entre Iberdrola y Repsol por reclamaciones medioambientales.")</f>
        <v>Negativo, destaca la batalla legal entre Iberdrola y Repsol por reclamaciones medioambientales.</v>
      </c>
      <c r="P4479" s="30">
        <v>-0.5</v>
      </c>
      <c r="Q4479" s="31" t="str">
        <f>IFERROR(__xludf.DUMMYFUNCTION("GOOGLETRANSLATE(R4479,""ES"",""EN"")"),"demand")</f>
        <v>demand</v>
      </c>
      <c r="R4479" s="28" t="s">
        <v>31618</v>
      </c>
      <c r="S4479" s="53" t="s">
        <v>31619</v>
      </c>
      <c r="T4479" s="32" t="s">
        <v>31620</v>
      </c>
    </row>
    <row r="4480">
      <c r="A4480" s="33" t="s">
        <v>31621</v>
      </c>
      <c r="B4480" s="76" t="s">
        <v>1072</v>
      </c>
      <c r="C4480" s="99">
        <v>45613.0</v>
      </c>
      <c r="D4480" s="40" t="s">
        <v>31622</v>
      </c>
      <c r="E4480" s="100" t="s">
        <v>31623</v>
      </c>
      <c r="F4480" s="101" t="s">
        <v>31624</v>
      </c>
      <c r="G4480" s="101" t="s">
        <v>31625</v>
      </c>
      <c r="H4480" s="51" t="s">
        <v>408</v>
      </c>
      <c r="I4480" s="15" t="str">
        <f>IFERROR(__xludf.DUMMYFUNCTION("GOOGLETRANSLATE(H4480,""EN"",""ES"")"),"Legal")</f>
        <v>Legal</v>
      </c>
      <c r="J4480" s="16" t="s">
        <v>35</v>
      </c>
      <c r="K4480" s="48">
        <v>-0.5</v>
      </c>
      <c r="L4480" s="49" t="s">
        <v>31615</v>
      </c>
      <c r="M4480" s="34" t="s">
        <v>31616</v>
      </c>
      <c r="N4480" s="34" t="s">
        <v>31626</v>
      </c>
      <c r="O4480" s="88" t="str">
        <f>IFERROR(__xludf.DUMMYFUNCTION("GOOGLETRANSLATE(N4480,""EN"",""ES"")"),"Negativo, analiza el juicio en curso entre dos gigantes energéticos por afirmaciones medioambientales engañosas.")</f>
        <v>Negativo, analiza el juicio en curso entre dos gigantes energéticos por afirmaciones medioambientales engañosas.</v>
      </c>
      <c r="P4480" s="30">
        <v>-0.6</v>
      </c>
      <c r="Q4480" s="18" t="str">
        <f>IFERROR(__xludf.DUMMYFUNCTION("GOOGLETRANSLATE(R4480,""ES"",""EN"")"),"demand")</f>
        <v>demand</v>
      </c>
      <c r="R4480" s="34" t="s">
        <v>31618</v>
      </c>
      <c r="S4480" s="52" t="s">
        <v>31627</v>
      </c>
      <c r="T4480" s="22" t="s">
        <v>31628</v>
      </c>
    </row>
    <row r="4481">
      <c r="A4481" s="23" t="s">
        <v>31629</v>
      </c>
      <c r="B4481" s="77" t="s">
        <v>4937</v>
      </c>
      <c r="C4481" s="96">
        <v>45613.0</v>
      </c>
      <c r="D4481" s="40" t="s">
        <v>31630</v>
      </c>
      <c r="E4481" s="97" t="s">
        <v>31631</v>
      </c>
      <c r="F4481" s="98" t="s">
        <v>31632</v>
      </c>
      <c r="G4481" s="98" t="s">
        <v>31633</v>
      </c>
      <c r="H4481" s="49" t="s">
        <v>148</v>
      </c>
      <c r="I4481" s="25" t="str">
        <f>IFERROR(__xludf.DUMMYFUNCTION("GOOGLETRANSLATE(H4481,""EN"",""ES"")"),"Gastronomía")</f>
        <v>Gastronomía</v>
      </c>
      <c r="J4481" s="26" t="s">
        <v>27</v>
      </c>
      <c r="K4481" s="17">
        <v>0.0</v>
      </c>
      <c r="L4481" s="51"/>
      <c r="M4481" s="31"/>
      <c r="N4481" s="31"/>
      <c r="O4481" s="89"/>
      <c r="P4481" s="20">
        <v>0.0</v>
      </c>
      <c r="Q4481" s="31"/>
      <c r="R4481" s="31"/>
      <c r="S4481" s="53"/>
      <c r="T4481" s="32"/>
    </row>
    <row r="4482">
      <c r="A4482" s="33" t="s">
        <v>31634</v>
      </c>
      <c r="B4482" s="76" t="s">
        <v>5971</v>
      </c>
      <c r="C4482" s="99">
        <v>45613.0</v>
      </c>
      <c r="D4482" s="40" t="s">
        <v>31635</v>
      </c>
      <c r="E4482" s="100" t="s">
        <v>31636</v>
      </c>
      <c r="F4482" s="101" t="s">
        <v>31637</v>
      </c>
      <c r="G4482" s="101" t="s">
        <v>31638</v>
      </c>
      <c r="H4482" s="51" t="s">
        <v>148</v>
      </c>
      <c r="I4482" s="15" t="str">
        <f>IFERROR(__xludf.DUMMYFUNCTION("GOOGLETRANSLATE(H4482,""EN"",""ES"")"),"Gastronomía")</f>
        <v>Gastronomía</v>
      </c>
      <c r="J4482" s="16" t="s">
        <v>27</v>
      </c>
      <c r="K4482" s="17">
        <v>0.0</v>
      </c>
      <c r="L4482" s="49"/>
      <c r="M4482" s="18"/>
      <c r="N4482" s="18"/>
      <c r="O4482" s="88"/>
      <c r="P4482" s="20">
        <v>0.0</v>
      </c>
      <c r="Q4482" s="18"/>
      <c r="R4482" s="18"/>
      <c r="S4482" s="52"/>
      <c r="T4482" s="22"/>
    </row>
    <row r="4483">
      <c r="A4483" s="23" t="s">
        <v>31639</v>
      </c>
      <c r="B4483" s="77" t="s">
        <v>431</v>
      </c>
      <c r="C4483" s="96">
        <v>45613.0</v>
      </c>
      <c r="D4483" s="40" t="s">
        <v>31640</v>
      </c>
      <c r="E4483" s="97" t="s">
        <v>31641</v>
      </c>
      <c r="F4483" s="98" t="s">
        <v>31642</v>
      </c>
      <c r="G4483" s="98" t="s">
        <v>31643</v>
      </c>
      <c r="H4483" s="49" t="s">
        <v>148</v>
      </c>
      <c r="I4483" s="25" t="str">
        <f>IFERROR(__xludf.DUMMYFUNCTION("GOOGLETRANSLATE(H4483,""EN"",""ES"")"),"Gastronomía")</f>
        <v>Gastronomía</v>
      </c>
      <c r="J4483" s="26" t="s">
        <v>27</v>
      </c>
      <c r="K4483" s="17">
        <v>0.0</v>
      </c>
      <c r="L4483" s="51"/>
      <c r="M4483" s="31"/>
      <c r="N4483" s="31"/>
      <c r="O4483" s="89"/>
      <c r="P4483" s="20">
        <v>0.0</v>
      </c>
      <c r="Q4483" s="31"/>
      <c r="R4483" s="31"/>
      <c r="S4483" s="53"/>
      <c r="T4483" s="32"/>
    </row>
    <row r="4484">
      <c r="A4484" s="33" t="s">
        <v>31644</v>
      </c>
      <c r="B4484" s="76" t="s">
        <v>163</v>
      </c>
      <c r="C4484" s="99">
        <v>45613.0</v>
      </c>
      <c r="D4484" s="40" t="s">
        <v>31645</v>
      </c>
      <c r="E4484" s="100" t="s">
        <v>31646</v>
      </c>
      <c r="F4484" s="101" t="s">
        <v>31647</v>
      </c>
      <c r="G4484" s="101" t="s">
        <v>31648</v>
      </c>
      <c r="H4484" s="51" t="s">
        <v>3985</v>
      </c>
      <c r="I4484" s="15" t="str">
        <f>IFERROR(__xludf.DUMMYFUNCTION("GOOGLETRANSLATE(H4484,""EN"",""ES"")"),"Deportes")</f>
        <v>Deportes</v>
      </c>
      <c r="J4484" s="16" t="s">
        <v>27</v>
      </c>
      <c r="K4484" s="17">
        <v>0.0</v>
      </c>
      <c r="L4484" s="49"/>
      <c r="M4484" s="18"/>
      <c r="N4484" s="18"/>
      <c r="O4484" s="88"/>
      <c r="P4484" s="20">
        <v>0.0</v>
      </c>
      <c r="Q4484" s="18"/>
      <c r="R4484" s="18"/>
      <c r="S4484" s="52"/>
      <c r="T4484" s="22"/>
    </row>
    <row r="4485">
      <c r="A4485" s="23" t="s">
        <v>31649</v>
      </c>
      <c r="B4485" s="77" t="s">
        <v>4038</v>
      </c>
      <c r="C4485" s="96">
        <v>45613.0</v>
      </c>
      <c r="D4485" s="40" t="s">
        <v>31650</v>
      </c>
      <c r="E4485" s="97" t="s">
        <v>31651</v>
      </c>
      <c r="F4485" s="98" t="s">
        <v>31652</v>
      </c>
      <c r="G4485" s="98" t="s">
        <v>31653</v>
      </c>
      <c r="H4485" s="49" t="s">
        <v>148</v>
      </c>
      <c r="I4485" s="25" t="str">
        <f>IFERROR(__xludf.DUMMYFUNCTION("GOOGLETRANSLATE(H4485,""EN"",""ES"")"),"Gastronomía")</f>
        <v>Gastronomía</v>
      </c>
      <c r="J4485" s="26" t="s">
        <v>27</v>
      </c>
      <c r="K4485" s="17">
        <v>0.0</v>
      </c>
      <c r="L4485" s="51"/>
      <c r="M4485" s="31"/>
      <c r="N4485" s="31"/>
      <c r="O4485" s="89"/>
      <c r="P4485" s="20">
        <v>0.0</v>
      </c>
      <c r="Q4485" s="31"/>
      <c r="R4485" s="31"/>
      <c r="S4485" s="53"/>
      <c r="T4485" s="32"/>
    </row>
    <row r="4486">
      <c r="A4486" s="33" t="s">
        <v>31654</v>
      </c>
      <c r="B4486" s="76" t="s">
        <v>1970</v>
      </c>
      <c r="C4486" s="99">
        <v>45613.0</v>
      </c>
      <c r="D4486" s="40" t="s">
        <v>31655</v>
      </c>
      <c r="E4486" s="100" t="s">
        <v>31656</v>
      </c>
      <c r="F4486" s="101" t="s">
        <v>31657</v>
      </c>
      <c r="G4486" s="101" t="s">
        <v>31658</v>
      </c>
      <c r="H4486" s="51" t="s">
        <v>1975</v>
      </c>
      <c r="I4486" s="15" t="str">
        <f>IFERROR(__xludf.DUMMYFUNCTION("GOOGLETRANSLATE(H4486,""EN"",""ES"")"),"Política")</f>
        <v>Política</v>
      </c>
      <c r="J4486" s="16" t="s">
        <v>35</v>
      </c>
      <c r="K4486" s="48">
        <v>-0.6</v>
      </c>
      <c r="L4486" s="49" t="s">
        <v>31659</v>
      </c>
      <c r="M4486" s="34" t="s">
        <v>31660</v>
      </c>
      <c r="N4486" s="34" t="s">
        <v>31661</v>
      </c>
      <c r="O4486" s="88" t="str">
        <f>IFERROR(__xludf.DUMMYFUNCTION("GOOGLETRANSLATE(N4486,""EN"",""ES"")"),"Negativo, analiza maniobras políticas para bloquear la reforma tributaria.")</f>
        <v>Negativo, analiza maniobras políticas para bloquear la reforma tributaria.</v>
      </c>
      <c r="P4486" s="30">
        <v>0.0</v>
      </c>
      <c r="Q4486" s="18"/>
      <c r="R4486" s="18"/>
      <c r="S4486" s="52" t="s">
        <v>31448</v>
      </c>
      <c r="T4486" s="22" t="s">
        <v>31449</v>
      </c>
    </row>
    <row r="4487">
      <c r="A4487" s="23" t="s">
        <v>31662</v>
      </c>
      <c r="B4487" s="77" t="s">
        <v>1011</v>
      </c>
      <c r="C4487" s="96">
        <v>45613.0</v>
      </c>
      <c r="D4487" s="40" t="s">
        <v>31663</v>
      </c>
      <c r="E4487" s="97" t="s">
        <v>31664</v>
      </c>
      <c r="F4487" s="98" t="s">
        <v>31665</v>
      </c>
      <c r="G4487" s="98" t="s">
        <v>31666</v>
      </c>
      <c r="H4487" s="49" t="s">
        <v>3985</v>
      </c>
      <c r="I4487" s="25" t="str">
        <f>IFERROR(__xludf.DUMMYFUNCTION("GOOGLETRANSLATE(H4487,""EN"",""ES"")"),"Deportes")</f>
        <v>Deportes</v>
      </c>
      <c r="J4487" s="26" t="s">
        <v>27</v>
      </c>
      <c r="K4487" s="17">
        <v>0.0</v>
      </c>
      <c r="L4487" s="51"/>
      <c r="M4487" s="31"/>
      <c r="N4487" s="31"/>
      <c r="O4487" s="89"/>
      <c r="P4487" s="20">
        <v>0.0</v>
      </c>
      <c r="Q4487" s="31"/>
      <c r="R4487" s="31"/>
      <c r="S4487" s="53"/>
      <c r="T4487" s="32"/>
    </row>
    <row r="4488">
      <c r="A4488" s="33" t="s">
        <v>31667</v>
      </c>
      <c r="B4488" s="76" t="s">
        <v>1011</v>
      </c>
      <c r="C4488" s="99">
        <v>45613.0</v>
      </c>
      <c r="D4488" s="40" t="s">
        <v>31668</v>
      </c>
      <c r="E4488" s="100" t="s">
        <v>31669</v>
      </c>
      <c r="F4488" s="101" t="s">
        <v>31670</v>
      </c>
      <c r="G4488" s="101" t="s">
        <v>31671</v>
      </c>
      <c r="H4488" s="51" t="s">
        <v>3985</v>
      </c>
      <c r="I4488" s="15" t="str">
        <f>IFERROR(__xludf.DUMMYFUNCTION("GOOGLETRANSLATE(H4488,""EN"",""ES"")"),"Deportes")</f>
        <v>Deportes</v>
      </c>
      <c r="J4488" s="16" t="s">
        <v>27</v>
      </c>
      <c r="K4488" s="17">
        <v>0.0</v>
      </c>
      <c r="L4488" s="49"/>
      <c r="M4488" s="18"/>
      <c r="N4488" s="18"/>
      <c r="O4488" s="88"/>
      <c r="P4488" s="20">
        <v>0.0</v>
      </c>
      <c r="Q4488" s="18"/>
      <c r="R4488" s="18"/>
      <c r="S4488" s="52"/>
      <c r="T4488" s="22"/>
    </row>
    <row r="4489">
      <c r="A4489" s="37" t="s">
        <v>31672</v>
      </c>
      <c r="B4489" s="77" t="s">
        <v>1011</v>
      </c>
      <c r="C4489" s="96">
        <v>45613.0</v>
      </c>
      <c r="D4489" s="40" t="s">
        <v>31673</v>
      </c>
      <c r="E4489" s="97" t="s">
        <v>31674</v>
      </c>
      <c r="F4489" s="98" t="s">
        <v>31675</v>
      </c>
      <c r="G4489" s="98" t="s">
        <v>31676</v>
      </c>
      <c r="H4489" s="49" t="s">
        <v>3985</v>
      </c>
      <c r="I4489" s="25" t="str">
        <f>IFERROR(__xludf.DUMMYFUNCTION("GOOGLETRANSLATE(H4489,""EN"",""ES"")"),"Deportes")</f>
        <v>Deportes</v>
      </c>
      <c r="J4489" s="26" t="s">
        <v>27</v>
      </c>
      <c r="K4489" s="17">
        <v>0.0</v>
      </c>
      <c r="L4489" s="51"/>
      <c r="M4489" s="31"/>
      <c r="N4489" s="31"/>
      <c r="O4489" s="89"/>
      <c r="P4489" s="20">
        <v>0.0</v>
      </c>
      <c r="Q4489" s="31"/>
      <c r="R4489" s="31"/>
      <c r="S4489" s="53"/>
      <c r="T4489" s="32"/>
    </row>
    <row r="4490">
      <c r="A4490" s="33" t="s">
        <v>31677</v>
      </c>
      <c r="B4490" s="76" t="s">
        <v>8861</v>
      </c>
      <c r="C4490" s="99">
        <v>45614.0</v>
      </c>
      <c r="D4490" s="40" t="s">
        <v>31678</v>
      </c>
      <c r="E4490" s="100" t="s">
        <v>31679</v>
      </c>
      <c r="F4490" s="101" t="s">
        <v>31680</v>
      </c>
      <c r="G4490" s="101" t="s">
        <v>31681</v>
      </c>
      <c r="H4490" s="51" t="s">
        <v>1975</v>
      </c>
      <c r="I4490" s="15" t="str">
        <f>IFERROR(__xludf.DUMMYFUNCTION("GOOGLETRANSLATE(H4490,""EN"",""ES"")"),"Política")</f>
        <v>Política</v>
      </c>
      <c r="J4490" s="16" t="s">
        <v>35</v>
      </c>
      <c r="K4490" s="48">
        <v>-0.7</v>
      </c>
      <c r="L4490" s="49" t="s">
        <v>31682</v>
      </c>
      <c r="M4490" s="34" t="s">
        <v>31683</v>
      </c>
      <c r="N4490" s="34" t="s">
        <v>31684</v>
      </c>
      <c r="O4490" s="88" t="str">
        <f>IFERROR(__xludf.DUMMYFUNCTION("GOOGLETRANSLATE(N4490,""EN"",""ES"")"),"Negativo, la acción de Greenpeace para protestar por la influencia de Repsol en la política.")</f>
        <v>Negativo, la acción de Greenpeace para protestar por la influencia de Repsol en la política.</v>
      </c>
      <c r="P4490" s="30">
        <v>-0.7</v>
      </c>
      <c r="Q4490" s="18" t="str">
        <f>IFERROR(__xludf.DUMMYFUNCTION("GOOGLETRANSLATE(R4490,""ES"",""EN"")"),"Greenpeace protests")</f>
        <v>Greenpeace protests</v>
      </c>
      <c r="R4490" s="34" t="s">
        <v>31685</v>
      </c>
      <c r="S4490" s="52" t="s">
        <v>31686</v>
      </c>
      <c r="T4490" s="22" t="s">
        <v>31687</v>
      </c>
    </row>
    <row r="4491">
      <c r="A4491" s="23" t="s">
        <v>31688</v>
      </c>
      <c r="B4491" s="77" t="s">
        <v>499</v>
      </c>
      <c r="C4491" s="96">
        <v>45614.0</v>
      </c>
      <c r="D4491" s="40" t="s">
        <v>31689</v>
      </c>
      <c r="E4491" s="97" t="s">
        <v>31690</v>
      </c>
      <c r="F4491" s="98" t="s">
        <v>31691</v>
      </c>
      <c r="G4491" s="98" t="s">
        <v>31692</v>
      </c>
      <c r="H4491" s="49" t="s">
        <v>2591</v>
      </c>
      <c r="I4491" s="25" t="str">
        <f>IFERROR(__xludf.DUMMYFUNCTION("GOOGLETRANSLATE(H4491,""EN"",""ES"")"),"Negocio")</f>
        <v>Negocio</v>
      </c>
      <c r="J4491" s="26" t="s">
        <v>35</v>
      </c>
      <c r="K4491" s="48">
        <v>0.8</v>
      </c>
      <c r="L4491" s="51" t="s">
        <v>31693</v>
      </c>
      <c r="M4491" s="28" t="s">
        <v>31694</v>
      </c>
      <c r="N4491" s="28" t="s">
        <v>31695</v>
      </c>
      <c r="O4491" s="89" t="str">
        <f>IFERROR(__xludf.DUMMYFUNCTION("GOOGLETRANSLATE(N4491,""EN"",""ES"")"),"Positivo, refleja una innovación empresarial entre Primor y Repsol.")</f>
        <v>Positivo, refleja una innovación empresarial entre Primor y Repsol.</v>
      </c>
      <c r="P4491" s="30">
        <v>0.4</v>
      </c>
      <c r="Q4491" s="31" t="str">
        <f>IFERROR(__xludf.DUMMYFUNCTION("GOOGLETRANSLATE(R4491,""ES"",""EN"")"),"alliance")</f>
        <v>alliance</v>
      </c>
      <c r="R4491" s="28" t="s">
        <v>11096</v>
      </c>
      <c r="S4491" s="53" t="s">
        <v>17081</v>
      </c>
      <c r="T4491" s="32" t="s">
        <v>17082</v>
      </c>
    </row>
    <row r="4492">
      <c r="A4492" s="33" t="s">
        <v>31696</v>
      </c>
      <c r="B4492" s="76" t="s">
        <v>31697</v>
      </c>
      <c r="C4492" s="99">
        <v>45614.0</v>
      </c>
      <c r="D4492" s="40" t="s">
        <v>31698</v>
      </c>
      <c r="E4492" s="100" t="s">
        <v>31699</v>
      </c>
      <c r="F4492" s="101" t="s">
        <v>31700</v>
      </c>
      <c r="G4492" s="101" t="s">
        <v>31701</v>
      </c>
      <c r="H4492" s="51" t="s">
        <v>2591</v>
      </c>
      <c r="I4492" s="15" t="str">
        <f>IFERROR(__xludf.DUMMYFUNCTION("GOOGLETRANSLATE(H4492,""EN"",""ES"")"),"Negocio")</f>
        <v>Negocio</v>
      </c>
      <c r="J4492" s="16" t="s">
        <v>35</v>
      </c>
      <c r="K4492" s="48">
        <v>0.8</v>
      </c>
      <c r="L4492" s="49" t="s">
        <v>31702</v>
      </c>
      <c r="M4492" s="34" t="s">
        <v>31703</v>
      </c>
      <c r="N4492" s="34" t="s">
        <v>31704</v>
      </c>
      <c r="O4492" s="88" t="str">
        <f>IFERROR(__xludf.DUMMYFUNCTION("GOOGLETRANSLATE(N4492,""EN"",""ES"")"),"Positivo, la alianza acerca productos de belleza a las estaciones Repsol.")</f>
        <v>Positivo, la alianza acerca productos de belleza a las estaciones Repsol.</v>
      </c>
      <c r="P4492" s="30">
        <v>0.4</v>
      </c>
      <c r="Q4492" s="18" t="str">
        <f>IFERROR(__xludf.DUMMYFUNCTION("GOOGLETRANSLATE(R4492,""ES"",""EN"")"),"alliance")</f>
        <v>alliance</v>
      </c>
      <c r="R4492" s="34" t="s">
        <v>11096</v>
      </c>
      <c r="S4492" s="52" t="s">
        <v>31705</v>
      </c>
      <c r="T4492" s="22" t="s">
        <v>31706</v>
      </c>
    </row>
    <row r="4493">
      <c r="A4493" s="23" t="s">
        <v>31707</v>
      </c>
      <c r="B4493" s="77" t="s">
        <v>8884</v>
      </c>
      <c r="C4493" s="96">
        <v>45614.0</v>
      </c>
      <c r="D4493" s="40" t="s">
        <v>31708</v>
      </c>
      <c r="E4493" s="97" t="s">
        <v>31709</v>
      </c>
      <c r="F4493" s="98" t="s">
        <v>31710</v>
      </c>
      <c r="G4493" s="98" t="s">
        <v>31711</v>
      </c>
      <c r="H4493" s="49" t="s">
        <v>408</v>
      </c>
      <c r="I4493" s="25" t="str">
        <f>IFERROR(__xludf.DUMMYFUNCTION("GOOGLETRANSLATE(H4493,""EN"",""ES"")"),"Legal")</f>
        <v>Legal</v>
      </c>
      <c r="J4493" s="26" t="s">
        <v>35</v>
      </c>
      <c r="K4493" s="48">
        <v>-0.6</v>
      </c>
      <c r="L4493" s="51" t="s">
        <v>31615</v>
      </c>
      <c r="M4493" s="28" t="s">
        <v>31616</v>
      </c>
      <c r="N4493" s="28" t="s">
        <v>31712</v>
      </c>
      <c r="O4493" s="89" t="str">
        <f>IFERROR(__xludf.DUMMYFUNCTION("GOOGLETRANSLATE(N4493,""EN"",""ES"")"),"Negativo, cubre la disputa legal entre dos gigantes energéticos.")</f>
        <v>Negativo, cubre la disputa legal entre dos gigantes energéticos.</v>
      </c>
      <c r="P4493" s="30">
        <v>-0.5</v>
      </c>
      <c r="Q4493" s="31" t="str">
        <f>IFERROR(__xludf.DUMMYFUNCTION("GOOGLETRANSLATE(R4493,""ES"",""EN"")"),"fight")</f>
        <v>fight</v>
      </c>
      <c r="R4493" s="28" t="s">
        <v>31713</v>
      </c>
      <c r="S4493" s="53" t="s">
        <v>31714</v>
      </c>
      <c r="T4493" s="32" t="s">
        <v>31715</v>
      </c>
    </row>
    <row r="4494">
      <c r="A4494" s="33" t="s">
        <v>31716</v>
      </c>
      <c r="B4494" s="76" t="s">
        <v>558</v>
      </c>
      <c r="C4494" s="99">
        <v>45614.0</v>
      </c>
      <c r="D4494" s="40" t="s">
        <v>31717</v>
      </c>
      <c r="E4494" s="100" t="s">
        <v>31718</v>
      </c>
      <c r="F4494" s="101" t="s">
        <v>31719</v>
      </c>
      <c r="G4494" s="101" t="s">
        <v>31720</v>
      </c>
      <c r="H4494" s="51" t="s">
        <v>408</v>
      </c>
      <c r="I4494" s="15" t="str">
        <f>IFERROR(__xludf.DUMMYFUNCTION("GOOGLETRANSLATE(H4494,""EN"",""ES"")"),"Legal")</f>
        <v>Legal</v>
      </c>
      <c r="J4494" s="16" t="s">
        <v>35</v>
      </c>
      <c r="K4494" s="48">
        <v>-0.5</v>
      </c>
      <c r="L4494" s="49" t="s">
        <v>31721</v>
      </c>
      <c r="M4494" s="34" t="s">
        <v>31722</v>
      </c>
      <c r="N4494" s="34" t="s">
        <v>31723</v>
      </c>
      <c r="O4494" s="88" t="str">
        <f>IFERROR(__xludf.DUMMYFUNCTION("GOOGLETRANSLATE(N4494,""EN"",""ES"")"),"Negativo, analiza la demanda por tergiversación ambiental.")</f>
        <v>Negativo, analiza la demanda por tergiversación ambiental.</v>
      </c>
      <c r="P4494" s="30">
        <v>-0.6</v>
      </c>
      <c r="Q4494" s="18" t="str">
        <f>IFERROR(__xludf.DUMMYFUNCTION("GOOGLETRANSLATE(R4494,""ES"",""EN"")"),"demand")</f>
        <v>demand</v>
      </c>
      <c r="R4494" s="34" t="s">
        <v>31618</v>
      </c>
      <c r="S4494" s="52" t="s">
        <v>31627</v>
      </c>
      <c r="T4494" s="22" t="s">
        <v>31628</v>
      </c>
    </row>
    <row r="4495">
      <c r="A4495" s="23" t="s">
        <v>31724</v>
      </c>
      <c r="B4495" s="77" t="s">
        <v>3599</v>
      </c>
      <c r="C4495" s="96">
        <v>45614.0</v>
      </c>
      <c r="D4495" s="40" t="s">
        <v>31725</v>
      </c>
      <c r="E4495" s="97" t="s">
        <v>31726</v>
      </c>
      <c r="F4495" s="98" t="s">
        <v>31727</v>
      </c>
      <c r="G4495" s="98" t="s">
        <v>31728</v>
      </c>
      <c r="H4495" s="49" t="s">
        <v>408</v>
      </c>
      <c r="I4495" s="25" t="str">
        <f>IFERROR(__xludf.DUMMYFUNCTION("GOOGLETRANSLATE(H4495,""EN"",""ES"")"),"Legal")</f>
        <v>Legal</v>
      </c>
      <c r="J4495" s="26" t="s">
        <v>35</v>
      </c>
      <c r="K4495" s="48">
        <v>-0.5</v>
      </c>
      <c r="L4495" s="51" t="s">
        <v>31615</v>
      </c>
      <c r="M4495" s="28" t="s">
        <v>31616</v>
      </c>
      <c r="N4495" s="28" t="s">
        <v>31729</v>
      </c>
      <c r="O4495" s="89" t="str">
        <f>IFERROR(__xludf.DUMMYFUNCTION("GOOGLETRANSLATE(N4495,""EN"",""ES"")"),"Negativo, pone de relieve las actuales tensiones legales entre las dos empresas.")</f>
        <v>Negativo, pone de relieve las actuales tensiones legales entre las dos empresas.</v>
      </c>
      <c r="P4495" s="30">
        <v>0.4</v>
      </c>
      <c r="Q4495" s="31" t="str">
        <f>IFERROR(__xludf.DUMMYFUNCTION("GOOGLETRANSLATE(R4495,""ES"",""EN"")"),"collaboration")</f>
        <v>collaboration</v>
      </c>
      <c r="R4495" s="28" t="s">
        <v>31730</v>
      </c>
      <c r="S4495" s="53" t="s">
        <v>31705</v>
      </c>
      <c r="T4495" s="32" t="s">
        <v>31706</v>
      </c>
    </row>
    <row r="4496">
      <c r="A4496" s="33" t="s">
        <v>31731</v>
      </c>
      <c r="B4496" s="76" t="s">
        <v>8287</v>
      </c>
      <c r="C4496" s="99">
        <v>45614.0</v>
      </c>
      <c r="D4496" s="40" t="s">
        <v>31732</v>
      </c>
      <c r="E4496" s="100" t="s">
        <v>31733</v>
      </c>
      <c r="F4496" s="101" t="s">
        <v>31734</v>
      </c>
      <c r="G4496" s="101" t="s">
        <v>31735</v>
      </c>
      <c r="H4496" s="51" t="s">
        <v>408</v>
      </c>
      <c r="I4496" s="15" t="str">
        <f>IFERROR(__xludf.DUMMYFUNCTION("GOOGLETRANSLATE(H4496,""EN"",""ES"")"),"Legal")</f>
        <v>Legal</v>
      </c>
      <c r="J4496" s="16" t="s">
        <v>35</v>
      </c>
      <c r="K4496" s="48">
        <v>-0.5</v>
      </c>
      <c r="L4496" s="49" t="s">
        <v>31736</v>
      </c>
      <c r="M4496" s="34" t="s">
        <v>31737</v>
      </c>
      <c r="N4496" s="34" t="s">
        <v>31738</v>
      </c>
      <c r="O4496" s="88" t="str">
        <f>IFERROR(__xludf.DUMMYFUNCTION("GOOGLETRANSLATE(N4496,""EN"",""ES"")"),"Negativo, la lucha por las acusaciones ambientales persiste.")</f>
        <v>Negativo, la lucha por las acusaciones ambientales persiste.</v>
      </c>
      <c r="P4496" s="30">
        <v>-0.6</v>
      </c>
      <c r="Q4496" s="18" t="str">
        <f>IFERROR(__xludf.DUMMYFUNCTION("GOOGLETRANSLATE(R4496,""ES"",""EN"")"),"demand")</f>
        <v>demand</v>
      </c>
      <c r="R4496" s="34" t="s">
        <v>31618</v>
      </c>
      <c r="S4496" s="52" t="s">
        <v>31627</v>
      </c>
      <c r="T4496" s="22" t="s">
        <v>31628</v>
      </c>
    </row>
    <row r="4497">
      <c r="A4497" s="23" t="s">
        <v>31739</v>
      </c>
      <c r="B4497" s="77" t="s">
        <v>3067</v>
      </c>
      <c r="C4497" s="96">
        <v>45614.0</v>
      </c>
      <c r="D4497" s="40" t="s">
        <v>31740</v>
      </c>
      <c r="E4497" s="97" t="s">
        <v>31741</v>
      </c>
      <c r="F4497" s="98" t="s">
        <v>31742</v>
      </c>
      <c r="G4497" s="98" t="s">
        <v>31743</v>
      </c>
      <c r="H4497" s="49" t="s">
        <v>1975</v>
      </c>
      <c r="I4497" s="25" t="str">
        <f>IFERROR(__xludf.DUMMYFUNCTION("GOOGLETRANSLATE(H4497,""EN"",""ES"")"),"Política")</f>
        <v>Política</v>
      </c>
      <c r="J4497" s="26" t="s">
        <v>35</v>
      </c>
      <c r="K4497" s="48">
        <v>-0.8</v>
      </c>
      <c r="L4497" s="51" t="s">
        <v>31744</v>
      </c>
      <c r="M4497" s="28" t="s">
        <v>31745</v>
      </c>
      <c r="N4497" s="28" t="s">
        <v>31746</v>
      </c>
      <c r="O4497" s="89" t="str">
        <f>IFERROR(__xludf.DUMMYFUNCTION("GOOGLETRANSLATE(N4497,""EN"",""ES"")"),"Negativo, refleja la crítica de Greenpeace a la influencia de Repsol en las decisiones políticas.")</f>
        <v>Negativo, refleja la crítica de Greenpeace a la influencia de Repsol en las decisiones políticas.</v>
      </c>
      <c r="P4497" s="30">
        <v>-0.8</v>
      </c>
      <c r="Q4497" s="31" t="str">
        <f>IFERROR(__xludf.DUMMYFUNCTION("GOOGLETRANSLATE(R4497,""ES"",""EN"")"),"protest")</f>
        <v>protest</v>
      </c>
      <c r="R4497" s="28" t="s">
        <v>31747</v>
      </c>
      <c r="S4497" s="53" t="s">
        <v>31748</v>
      </c>
      <c r="T4497" s="32" t="s">
        <v>31749</v>
      </c>
    </row>
    <row r="4498">
      <c r="A4498" s="33" t="s">
        <v>31750</v>
      </c>
      <c r="B4498" s="76" t="s">
        <v>12908</v>
      </c>
      <c r="C4498" s="99">
        <v>45614.0</v>
      </c>
      <c r="D4498" s="40" t="s">
        <v>31678</v>
      </c>
      <c r="E4498" s="100" t="s">
        <v>31751</v>
      </c>
      <c r="F4498" s="101" t="s">
        <v>31680</v>
      </c>
      <c r="G4498" s="101" t="s">
        <v>31752</v>
      </c>
      <c r="H4498" s="51" t="s">
        <v>1975</v>
      </c>
      <c r="I4498" s="15" t="str">
        <f>IFERROR(__xludf.DUMMYFUNCTION("GOOGLETRANSLATE(H4498,""EN"",""ES"")"),"Política")</f>
        <v>Política</v>
      </c>
      <c r="J4498" s="16" t="s">
        <v>35</v>
      </c>
      <c r="K4498" s="48">
        <v>-0.7</v>
      </c>
      <c r="L4498" s="49" t="s">
        <v>31744</v>
      </c>
      <c r="M4498" s="34" t="s">
        <v>31745</v>
      </c>
      <c r="N4498" s="34" t="s">
        <v>31753</v>
      </c>
      <c r="O4498" s="88" t="str">
        <f>IFERROR(__xludf.DUMMYFUNCTION("GOOGLETRANSLATE(N4498,""EN"",""ES"")"),"Negativo, Greenpeace critica la influencia de Repsol en la política.")</f>
        <v>Negativo, Greenpeace critica la influencia de Repsol en la política.</v>
      </c>
      <c r="P4498" s="30">
        <v>-0.8</v>
      </c>
      <c r="Q4498" s="18" t="str">
        <f>IFERROR(__xludf.DUMMYFUNCTION("GOOGLETRANSLATE(R4498,""ES"",""EN"")"),"protest")</f>
        <v>protest</v>
      </c>
      <c r="R4498" s="34" t="s">
        <v>31747</v>
      </c>
      <c r="S4498" s="52" t="s">
        <v>31748</v>
      </c>
      <c r="T4498" s="22" t="s">
        <v>31749</v>
      </c>
    </row>
    <row r="4499">
      <c r="A4499" s="23" t="s">
        <v>31754</v>
      </c>
      <c r="B4499" s="77" t="s">
        <v>43</v>
      </c>
      <c r="C4499" s="96">
        <v>45614.0</v>
      </c>
      <c r="D4499" s="40" t="s">
        <v>31755</v>
      </c>
      <c r="E4499" s="97" t="s">
        <v>31756</v>
      </c>
      <c r="F4499" s="98" t="s">
        <v>31757</v>
      </c>
      <c r="G4499" s="98" t="s">
        <v>31758</v>
      </c>
      <c r="H4499" s="49" t="s">
        <v>2591</v>
      </c>
      <c r="I4499" s="25" t="str">
        <f>IFERROR(__xludf.DUMMYFUNCTION("GOOGLETRANSLATE(H4499,""EN"",""ES"")"),"Negocio")</f>
        <v>Negocio</v>
      </c>
      <c r="J4499" s="26" t="s">
        <v>35</v>
      </c>
      <c r="K4499" s="48">
        <v>0.8</v>
      </c>
      <c r="L4499" s="51" t="s">
        <v>31759</v>
      </c>
      <c r="M4499" s="28" t="s">
        <v>31760</v>
      </c>
      <c r="N4499" s="28" t="s">
        <v>31761</v>
      </c>
      <c r="O4499" s="89" t="str">
        <f>IFERROR(__xludf.DUMMYFUNCTION("GOOGLETRANSLATE(N4499,""EN"",""ES"")"),"Positivo, introduce un nuevo concepto de servicio en las estaciones de Repsol.")</f>
        <v>Positivo, introduce un nuevo concepto de servicio en las estaciones de Repsol.</v>
      </c>
      <c r="P4499" s="30">
        <v>0.4</v>
      </c>
      <c r="Q4499" s="31" t="str">
        <f>IFERROR(__xludf.DUMMYFUNCTION("GOOGLETRANSLATE(R4499,""ES"",""EN"")"),"alliance")</f>
        <v>alliance</v>
      </c>
      <c r="R4499" s="28" t="s">
        <v>11096</v>
      </c>
      <c r="S4499" s="53" t="s">
        <v>31762</v>
      </c>
      <c r="T4499" s="32" t="s">
        <v>31763</v>
      </c>
    </row>
    <row r="4500">
      <c r="A4500" s="33" t="s">
        <v>31764</v>
      </c>
      <c r="B4500" s="76" t="s">
        <v>21</v>
      </c>
      <c r="C4500" s="99">
        <v>45614.0</v>
      </c>
      <c r="D4500" s="40" t="s">
        <v>31765</v>
      </c>
      <c r="E4500" s="100" t="s">
        <v>31766</v>
      </c>
      <c r="F4500" s="101" t="s">
        <v>31767</v>
      </c>
      <c r="G4500" s="101" t="s">
        <v>31768</v>
      </c>
      <c r="H4500" s="51" t="s">
        <v>148</v>
      </c>
      <c r="I4500" s="15" t="str">
        <f>IFERROR(__xludf.DUMMYFUNCTION("GOOGLETRANSLATE(H4500,""EN"",""ES"")"),"Gastronomía")</f>
        <v>Gastronomía</v>
      </c>
      <c r="J4500" s="16" t="s">
        <v>27</v>
      </c>
      <c r="K4500" s="17">
        <v>0.0</v>
      </c>
      <c r="L4500" s="49"/>
      <c r="M4500" s="18"/>
      <c r="N4500" s="18"/>
      <c r="O4500" s="88"/>
      <c r="P4500" s="20">
        <v>0.0</v>
      </c>
      <c r="Q4500" s="18"/>
      <c r="R4500" s="18"/>
      <c r="S4500" s="52"/>
      <c r="T4500" s="22"/>
    </row>
    <row r="4501">
      <c r="A4501" s="23" t="s">
        <v>31769</v>
      </c>
      <c r="B4501" s="77" t="s">
        <v>1072</v>
      </c>
      <c r="C4501" s="96">
        <v>45614.0</v>
      </c>
      <c r="D4501" s="40" t="s">
        <v>31770</v>
      </c>
      <c r="E4501" s="97" t="s">
        <v>31771</v>
      </c>
      <c r="F4501" s="98" t="s">
        <v>31772</v>
      </c>
      <c r="G4501" s="98" t="s">
        <v>31773</v>
      </c>
      <c r="H4501" s="49" t="s">
        <v>48</v>
      </c>
      <c r="I4501" s="25" t="str">
        <f>IFERROR(__xludf.DUMMYFUNCTION("GOOGLETRANSLATE(H4501,""EN"",""ES"")"),"Finanzas")</f>
        <v>Finanzas</v>
      </c>
      <c r="J4501" s="26" t="s">
        <v>35</v>
      </c>
      <c r="K4501" s="48">
        <v>0.7</v>
      </c>
      <c r="L4501" s="51" t="s">
        <v>31774</v>
      </c>
      <c r="M4501" s="28" t="s">
        <v>31775</v>
      </c>
      <c r="N4501" s="28" t="s">
        <v>31776</v>
      </c>
      <c r="O4501" s="89" t="str">
        <f>IFERROR(__xludf.DUMMYFUNCTION("GOOGLETRANSLATE(N4501,""EN"",""ES"")"),"Positivo, refleja un movimiento positivo en el mercado de valores impulsado por las principales empresas.")</f>
        <v>Positivo, refleja un movimiento positivo en el mercado de valores impulsado por las principales empresas.</v>
      </c>
      <c r="P4501" s="30">
        <v>0.1</v>
      </c>
      <c r="Q4501" s="31" t="str">
        <f>IFERROR(__xludf.DUMMYFUNCTION("GOOGLETRANSLATE(R4501,""ES"",""EN"")"),"-")</f>
        <v>-</v>
      </c>
      <c r="R4501" s="28" t="s">
        <v>11852</v>
      </c>
      <c r="S4501" s="53" t="s">
        <v>31777</v>
      </c>
      <c r="T4501" s="32" t="s">
        <v>31778</v>
      </c>
    </row>
    <row r="4502">
      <c r="A4502" s="33" t="s">
        <v>31779</v>
      </c>
      <c r="B4502" s="76" t="s">
        <v>31780</v>
      </c>
      <c r="C4502" s="99">
        <v>45614.0</v>
      </c>
      <c r="D4502" s="40" t="s">
        <v>31781</v>
      </c>
      <c r="E4502" s="100" t="s">
        <v>31782</v>
      </c>
      <c r="F4502" s="101" t="s">
        <v>31783</v>
      </c>
      <c r="G4502" s="101" t="s">
        <v>31784</v>
      </c>
      <c r="H4502" s="51" t="s">
        <v>148</v>
      </c>
      <c r="I4502" s="15" t="str">
        <f>IFERROR(__xludf.DUMMYFUNCTION("GOOGLETRANSLATE(H4502,""EN"",""ES"")"),"Gastronomía")</f>
        <v>Gastronomía</v>
      </c>
      <c r="J4502" s="16" t="s">
        <v>27</v>
      </c>
      <c r="K4502" s="17">
        <v>0.0</v>
      </c>
      <c r="L4502" s="49"/>
      <c r="M4502" s="18"/>
      <c r="N4502" s="18"/>
      <c r="O4502" s="88"/>
      <c r="P4502" s="20">
        <v>0.0</v>
      </c>
      <c r="Q4502" s="18"/>
      <c r="R4502" s="18"/>
      <c r="S4502" s="52"/>
      <c r="T4502" s="22"/>
    </row>
    <row r="4503">
      <c r="A4503" s="23" t="s">
        <v>31785</v>
      </c>
      <c r="B4503" s="77" t="s">
        <v>4849</v>
      </c>
      <c r="C4503" s="96">
        <v>45614.0</v>
      </c>
      <c r="D4503" s="40" t="s">
        <v>31786</v>
      </c>
      <c r="E4503" s="97" t="s">
        <v>31787</v>
      </c>
      <c r="F4503" s="98" t="s">
        <v>31788</v>
      </c>
      <c r="G4503" s="98" t="s">
        <v>31789</v>
      </c>
      <c r="H4503" s="49" t="s">
        <v>148</v>
      </c>
      <c r="I4503" s="25" t="str">
        <f>IFERROR(__xludf.DUMMYFUNCTION("GOOGLETRANSLATE(H4503,""EN"",""ES"")"),"Gastronomía")</f>
        <v>Gastronomía</v>
      </c>
      <c r="J4503" s="26" t="s">
        <v>27</v>
      </c>
      <c r="K4503" s="17">
        <v>0.0</v>
      </c>
      <c r="L4503" s="51"/>
      <c r="M4503" s="31"/>
      <c r="N4503" s="31"/>
      <c r="O4503" s="89"/>
      <c r="P4503" s="20">
        <v>0.0</v>
      </c>
      <c r="Q4503" s="31"/>
      <c r="R4503" s="31"/>
      <c r="S4503" s="53"/>
      <c r="T4503" s="32"/>
    </row>
    <row r="4504">
      <c r="A4504" s="33" t="s">
        <v>31790</v>
      </c>
      <c r="B4504" s="76" t="s">
        <v>1831</v>
      </c>
      <c r="C4504" s="99">
        <v>45614.0</v>
      </c>
      <c r="D4504" s="40" t="s">
        <v>31791</v>
      </c>
      <c r="E4504" s="100" t="s">
        <v>31792</v>
      </c>
      <c r="F4504" s="101" t="s">
        <v>31793</v>
      </c>
      <c r="G4504" s="101" t="s">
        <v>31794</v>
      </c>
      <c r="H4504" s="51" t="s">
        <v>148</v>
      </c>
      <c r="I4504" s="15" t="str">
        <f>IFERROR(__xludf.DUMMYFUNCTION("GOOGLETRANSLATE(H4504,""EN"",""ES"")"),"Gastronomía")</f>
        <v>Gastronomía</v>
      </c>
      <c r="J4504" s="16" t="s">
        <v>27</v>
      </c>
      <c r="K4504" s="17">
        <v>0.0</v>
      </c>
      <c r="L4504" s="49"/>
      <c r="M4504" s="18"/>
      <c r="N4504" s="18"/>
      <c r="O4504" s="88"/>
      <c r="P4504" s="20">
        <v>0.0</v>
      </c>
      <c r="Q4504" s="18"/>
      <c r="R4504" s="18"/>
      <c r="S4504" s="52"/>
      <c r="T4504" s="22"/>
    </row>
    <row r="4505">
      <c r="A4505" s="23" t="s">
        <v>31795</v>
      </c>
      <c r="B4505" s="77" t="s">
        <v>3402</v>
      </c>
      <c r="C4505" s="96">
        <v>45614.0</v>
      </c>
      <c r="D4505" s="40" t="s">
        <v>31796</v>
      </c>
      <c r="E4505" s="97" t="s">
        <v>31797</v>
      </c>
      <c r="F4505" s="98" t="s">
        <v>31798</v>
      </c>
      <c r="G4505" s="98" t="s">
        <v>31799</v>
      </c>
      <c r="H4505" s="49" t="s">
        <v>1975</v>
      </c>
      <c r="I4505" s="25" t="str">
        <f>IFERROR(__xludf.DUMMYFUNCTION("GOOGLETRANSLATE(H4505,""EN"",""ES"")"),"Política")</f>
        <v>Política</v>
      </c>
      <c r="J4505" s="26" t="s">
        <v>35</v>
      </c>
      <c r="K4505" s="48">
        <v>-0.6</v>
      </c>
      <c r="L4505" s="51" t="s">
        <v>31800</v>
      </c>
      <c r="M4505" s="28" t="s">
        <v>31800</v>
      </c>
      <c r="N4505" s="28" t="s">
        <v>31801</v>
      </c>
      <c r="O4505" s="89" t="str">
        <f>IFERROR(__xludf.DUMMYFUNCTION("GOOGLETRANSLATE(N4505,""EN"",""ES"")"),"Negativo, analiza las presiones políticas para eliminar los impuestos a las empresas energéticas.")</f>
        <v>Negativo, analiza las presiones políticas para eliminar los impuestos a las empresas energéticas.</v>
      </c>
      <c r="P4505" s="30">
        <v>0.3</v>
      </c>
      <c r="Q4505" s="31" t="str">
        <f>IFERROR(__xludf.DUMMYFUNCTION("GOOGLETRANSLATE(R4505,""ES"",""EN"")"),"-")</f>
        <v>-</v>
      </c>
      <c r="R4505" s="28" t="s">
        <v>11852</v>
      </c>
      <c r="S4505" s="53" t="s">
        <v>31802</v>
      </c>
      <c r="T4505" s="32" t="s">
        <v>31803</v>
      </c>
    </row>
    <row r="4506">
      <c r="A4506" s="33" t="s">
        <v>31804</v>
      </c>
      <c r="B4506" s="76" t="s">
        <v>977</v>
      </c>
      <c r="C4506" s="99">
        <v>45614.0</v>
      </c>
      <c r="D4506" s="40" t="s">
        <v>31805</v>
      </c>
      <c r="E4506" s="100" t="s">
        <v>31806</v>
      </c>
      <c r="F4506" s="101" t="s">
        <v>31807</v>
      </c>
      <c r="G4506" s="101" t="s">
        <v>31808</v>
      </c>
      <c r="H4506" s="51" t="s">
        <v>1975</v>
      </c>
      <c r="I4506" s="15" t="str">
        <f>IFERROR(__xludf.DUMMYFUNCTION("GOOGLETRANSLATE(H4506,""EN"",""ES"")"),"Política")</f>
        <v>Política</v>
      </c>
      <c r="J4506" s="16" t="s">
        <v>35</v>
      </c>
      <c r="K4506" s="48">
        <v>-0.7</v>
      </c>
      <c r="L4506" s="49" t="s">
        <v>31809</v>
      </c>
      <c r="M4506" s="34" t="s">
        <v>31810</v>
      </c>
      <c r="N4506" s="34" t="s">
        <v>31811</v>
      </c>
      <c r="O4506" s="88" t="str">
        <f>IFERROR(__xludf.DUMMYFUNCTION("GOOGLETRANSLATE(N4506,""EN"",""ES"")"),"Negativo, Greenpeace critica la influencia de Repsol en materia política fiscal.")</f>
        <v>Negativo, Greenpeace critica la influencia de Repsol en materia política fiscal.</v>
      </c>
      <c r="P4506" s="30">
        <v>-0.7</v>
      </c>
      <c r="Q4506" s="18" t="str">
        <f>IFERROR(__xludf.DUMMYFUNCTION("GOOGLETRANSLATE(R4506,""ES"",""EN"")"),"command")</f>
        <v>command</v>
      </c>
      <c r="R4506" s="34" t="s">
        <v>31812</v>
      </c>
      <c r="S4506" s="52" t="s">
        <v>31813</v>
      </c>
      <c r="T4506" s="22" t="s">
        <v>31814</v>
      </c>
    </row>
    <row r="4507">
      <c r="A4507" s="23" t="s">
        <v>31815</v>
      </c>
      <c r="B4507" s="77" t="s">
        <v>31816</v>
      </c>
      <c r="C4507" s="96">
        <v>45614.0</v>
      </c>
      <c r="D4507" s="40" t="s">
        <v>31817</v>
      </c>
      <c r="E4507" s="97" t="s">
        <v>31818</v>
      </c>
      <c r="F4507" s="98" t="s">
        <v>31819</v>
      </c>
      <c r="G4507" s="98" t="s">
        <v>31820</v>
      </c>
      <c r="H4507" s="49" t="s">
        <v>148</v>
      </c>
      <c r="I4507" s="25" t="str">
        <f>IFERROR(__xludf.DUMMYFUNCTION("GOOGLETRANSLATE(H4507,""EN"",""ES"")"),"Gastronomía")</f>
        <v>Gastronomía</v>
      </c>
      <c r="J4507" s="26" t="s">
        <v>27</v>
      </c>
      <c r="K4507" s="17">
        <v>0.0</v>
      </c>
      <c r="L4507" s="51"/>
      <c r="M4507" s="31"/>
      <c r="N4507" s="31"/>
      <c r="O4507" s="89"/>
      <c r="P4507" s="20">
        <v>0.0</v>
      </c>
      <c r="Q4507" s="31"/>
      <c r="R4507" s="31"/>
      <c r="S4507" s="53"/>
      <c r="T4507" s="32"/>
    </row>
    <row r="4508">
      <c r="A4508" s="33" t="s">
        <v>31821</v>
      </c>
      <c r="B4508" s="76" t="s">
        <v>6804</v>
      </c>
      <c r="C4508" s="99">
        <v>45614.0</v>
      </c>
      <c r="D4508" s="40" t="s">
        <v>31822</v>
      </c>
      <c r="E4508" s="100" t="s">
        <v>31823</v>
      </c>
      <c r="F4508" s="101" t="s">
        <v>31824</v>
      </c>
      <c r="G4508" s="101" t="s">
        <v>31825</v>
      </c>
      <c r="H4508" s="51" t="s">
        <v>148</v>
      </c>
      <c r="I4508" s="15" t="str">
        <f>IFERROR(__xludf.DUMMYFUNCTION("GOOGLETRANSLATE(H4508,""EN"",""ES"")"),"Gastronomía")</f>
        <v>Gastronomía</v>
      </c>
      <c r="J4508" s="16" t="s">
        <v>27</v>
      </c>
      <c r="K4508" s="17">
        <v>0.0</v>
      </c>
      <c r="L4508" s="49"/>
      <c r="M4508" s="18"/>
      <c r="N4508" s="18"/>
      <c r="O4508" s="88"/>
      <c r="P4508" s="20">
        <v>0.0</v>
      </c>
      <c r="Q4508" s="18"/>
      <c r="R4508" s="18"/>
      <c r="S4508" s="52"/>
      <c r="T4508" s="22"/>
    </row>
    <row r="4509">
      <c r="A4509" s="23" t="s">
        <v>31826</v>
      </c>
      <c r="B4509" s="77" t="s">
        <v>4167</v>
      </c>
      <c r="C4509" s="96">
        <v>45614.0</v>
      </c>
      <c r="D4509" s="40" t="s">
        <v>31827</v>
      </c>
      <c r="E4509" s="97" t="s">
        <v>31828</v>
      </c>
      <c r="F4509" s="98" t="s">
        <v>31829</v>
      </c>
      <c r="G4509" s="98" t="s">
        <v>31830</v>
      </c>
      <c r="H4509" s="49" t="s">
        <v>2591</v>
      </c>
      <c r="I4509" s="25" t="str">
        <f>IFERROR(__xludf.DUMMYFUNCTION("GOOGLETRANSLATE(H4509,""EN"",""ES"")"),"Negocio")</f>
        <v>Negocio</v>
      </c>
      <c r="J4509" s="26" t="s">
        <v>27</v>
      </c>
      <c r="K4509" s="17">
        <v>0.0</v>
      </c>
      <c r="L4509" s="51"/>
      <c r="M4509" s="31"/>
      <c r="N4509" s="31"/>
      <c r="O4509" s="89"/>
      <c r="P4509" s="20">
        <v>0.0</v>
      </c>
      <c r="Q4509" s="31"/>
      <c r="R4509" s="31"/>
      <c r="S4509" s="53"/>
      <c r="T4509" s="32"/>
    </row>
    <row r="4510">
      <c r="A4510" s="33" t="s">
        <v>31831</v>
      </c>
      <c r="B4510" s="76" t="s">
        <v>50</v>
      </c>
      <c r="C4510" s="99">
        <v>45614.0</v>
      </c>
      <c r="D4510" s="40" t="s">
        <v>31832</v>
      </c>
      <c r="E4510" s="100" t="s">
        <v>31833</v>
      </c>
      <c r="F4510" s="101" t="s">
        <v>31834</v>
      </c>
      <c r="G4510" s="101" t="s">
        <v>31835</v>
      </c>
      <c r="H4510" s="51" t="s">
        <v>3985</v>
      </c>
      <c r="I4510" s="15" t="str">
        <f>IFERROR(__xludf.DUMMYFUNCTION("GOOGLETRANSLATE(H4510,""EN"",""ES"")"),"Deportes")</f>
        <v>Deportes</v>
      </c>
      <c r="J4510" s="16" t="s">
        <v>27</v>
      </c>
      <c r="K4510" s="17">
        <v>0.0</v>
      </c>
      <c r="L4510" s="49"/>
      <c r="M4510" s="18"/>
      <c r="N4510" s="18"/>
      <c r="O4510" s="88"/>
      <c r="P4510" s="20">
        <v>0.0</v>
      </c>
      <c r="Q4510" s="18"/>
      <c r="R4510" s="18"/>
      <c r="S4510" s="52"/>
      <c r="T4510" s="22"/>
    </row>
    <row r="4511">
      <c r="A4511" s="23" t="s">
        <v>31836</v>
      </c>
      <c r="B4511" s="77" t="s">
        <v>217</v>
      </c>
      <c r="C4511" s="96">
        <v>45614.0</v>
      </c>
      <c r="D4511" s="40" t="s">
        <v>31837</v>
      </c>
      <c r="E4511" s="97" t="s">
        <v>31838</v>
      </c>
      <c r="F4511" s="98" t="s">
        <v>31839</v>
      </c>
      <c r="G4511" s="98" t="s">
        <v>31840</v>
      </c>
      <c r="H4511" s="49" t="s">
        <v>1975</v>
      </c>
      <c r="I4511" s="25" t="str">
        <f>IFERROR(__xludf.DUMMYFUNCTION("GOOGLETRANSLATE(H4511,""EN"",""ES"")"),"Política")</f>
        <v>Política</v>
      </c>
      <c r="J4511" s="26" t="s">
        <v>27</v>
      </c>
      <c r="K4511" s="17">
        <v>0.0</v>
      </c>
      <c r="L4511" s="51"/>
      <c r="M4511" s="31"/>
      <c r="N4511" s="31"/>
      <c r="O4511" s="89"/>
      <c r="P4511" s="20">
        <v>0.0</v>
      </c>
      <c r="Q4511" s="31"/>
      <c r="R4511" s="31"/>
      <c r="S4511" s="53"/>
      <c r="T4511" s="32"/>
    </row>
    <row r="4512">
      <c r="A4512" s="33" t="s">
        <v>31841</v>
      </c>
      <c r="B4512" s="76" t="s">
        <v>1011</v>
      </c>
      <c r="C4512" s="99">
        <v>45614.0</v>
      </c>
      <c r="D4512" s="40" t="s">
        <v>31842</v>
      </c>
      <c r="E4512" s="100" t="s">
        <v>31843</v>
      </c>
      <c r="F4512" s="101" t="s">
        <v>31844</v>
      </c>
      <c r="G4512" s="101" t="s">
        <v>31845</v>
      </c>
      <c r="H4512" s="51" t="s">
        <v>3985</v>
      </c>
      <c r="I4512" s="15" t="str">
        <f>IFERROR(__xludf.DUMMYFUNCTION("GOOGLETRANSLATE(H4512,""EN"",""ES"")"),"Deportes")</f>
        <v>Deportes</v>
      </c>
      <c r="J4512" s="16" t="s">
        <v>27</v>
      </c>
      <c r="K4512" s="17">
        <v>0.0</v>
      </c>
      <c r="L4512" s="49"/>
      <c r="M4512" s="18"/>
      <c r="N4512" s="18"/>
      <c r="O4512" s="88"/>
      <c r="P4512" s="20">
        <v>0.0</v>
      </c>
      <c r="Q4512" s="18"/>
      <c r="R4512" s="18"/>
      <c r="S4512" s="52"/>
      <c r="T4512" s="22"/>
    </row>
    <row r="4513">
      <c r="A4513" s="23" t="s">
        <v>31846</v>
      </c>
      <c r="B4513" s="77" t="s">
        <v>254</v>
      </c>
      <c r="C4513" s="96">
        <v>45614.0</v>
      </c>
      <c r="D4513" s="40" t="s">
        <v>31847</v>
      </c>
      <c r="E4513" s="97" t="s">
        <v>31848</v>
      </c>
      <c r="F4513" s="98" t="s">
        <v>31849</v>
      </c>
      <c r="G4513" s="98" t="s">
        <v>31850</v>
      </c>
      <c r="H4513" s="49" t="s">
        <v>2591</v>
      </c>
      <c r="I4513" s="25" t="str">
        <f>IFERROR(__xludf.DUMMYFUNCTION("GOOGLETRANSLATE(H4513,""EN"",""ES"")"),"Negocio")</f>
        <v>Negocio</v>
      </c>
      <c r="J4513" s="26" t="s">
        <v>35</v>
      </c>
      <c r="K4513" s="48">
        <v>0.7</v>
      </c>
      <c r="L4513" s="51" t="s">
        <v>31851</v>
      </c>
      <c r="M4513" s="28" t="s">
        <v>31852</v>
      </c>
      <c r="N4513" s="28" t="s">
        <v>31853</v>
      </c>
      <c r="O4513" s="89" t="str">
        <f>IFERROR(__xludf.DUMMYFUNCTION("GOOGLETRANSLATE(N4513,""EN"",""ES"")"),"Positivo, destaca inversión en seguridad e infraestructura.")</f>
        <v>Positivo, destaca inversión en seguridad e infraestructura.</v>
      </c>
      <c r="P4513" s="30">
        <v>0.4</v>
      </c>
      <c r="Q4513" s="31" t="str">
        <f>IFERROR(__xludf.DUMMYFUNCTION("GOOGLETRANSLATE(R4513,""ES"",""EN"")"),"investment")</f>
        <v>investment</v>
      </c>
      <c r="R4513" s="28" t="s">
        <v>11615</v>
      </c>
      <c r="S4513" s="53" t="s">
        <v>12478</v>
      </c>
      <c r="T4513" s="32" t="s">
        <v>12479</v>
      </c>
    </row>
    <row r="4514">
      <c r="A4514" s="33" t="s">
        <v>31854</v>
      </c>
      <c r="B4514" s="76" t="s">
        <v>14279</v>
      </c>
      <c r="C4514" s="99">
        <v>45614.0</v>
      </c>
      <c r="D4514" s="40" t="s">
        <v>31855</v>
      </c>
      <c r="E4514" s="100" t="s">
        <v>31856</v>
      </c>
      <c r="F4514" s="101" t="s">
        <v>31857</v>
      </c>
      <c r="G4514" s="101" t="s">
        <v>31858</v>
      </c>
      <c r="H4514" s="51" t="s">
        <v>2591</v>
      </c>
      <c r="I4514" s="15" t="str">
        <f>IFERROR(__xludf.DUMMYFUNCTION("GOOGLETRANSLATE(H4514,""EN"",""ES"")"),"Negocio")</f>
        <v>Negocio</v>
      </c>
      <c r="J4514" s="16" t="s">
        <v>27</v>
      </c>
      <c r="K4514" s="17">
        <v>0.0</v>
      </c>
      <c r="L4514" s="49"/>
      <c r="M4514" s="18"/>
      <c r="N4514" s="18"/>
      <c r="O4514" s="88"/>
      <c r="P4514" s="20">
        <v>0.0</v>
      </c>
      <c r="Q4514" s="18"/>
      <c r="R4514" s="18"/>
      <c r="S4514" s="52"/>
      <c r="T4514" s="22"/>
    </row>
    <row r="4515">
      <c r="A4515" s="23" t="s">
        <v>31859</v>
      </c>
      <c r="B4515" s="77" t="s">
        <v>8357</v>
      </c>
      <c r="C4515" s="96">
        <v>45615.0</v>
      </c>
      <c r="D4515" s="40" t="s">
        <v>31860</v>
      </c>
      <c r="E4515" s="97" t="s">
        <v>31861</v>
      </c>
      <c r="F4515" s="98" t="s">
        <v>31862</v>
      </c>
      <c r="G4515" s="98" t="s">
        <v>31863</v>
      </c>
      <c r="H4515" s="49" t="s">
        <v>2591</v>
      </c>
      <c r="I4515" s="25" t="str">
        <f>IFERROR(__xludf.DUMMYFUNCTION("GOOGLETRANSLATE(H4515,""EN"",""ES"")"),"Negocio")</f>
        <v>Negocio</v>
      </c>
      <c r="J4515" s="26" t="s">
        <v>35</v>
      </c>
      <c r="K4515" s="48">
        <v>0.9</v>
      </c>
      <c r="L4515" s="51" t="s">
        <v>31864</v>
      </c>
      <c r="M4515" s="28" t="s">
        <v>31865</v>
      </c>
      <c r="N4515" s="28" t="s">
        <v>31866</v>
      </c>
      <c r="O4515" s="89" t="str">
        <f>IFERROR(__xludf.DUMMYFUNCTION("GOOGLETRANSLATE(N4515,""EN"",""ES"")"),"Positivo, destaca el desarrollo de infraestructura eléctrica.")</f>
        <v>Positivo, destaca el desarrollo de infraestructura eléctrica.</v>
      </c>
      <c r="P4515" s="30">
        <v>0.7</v>
      </c>
      <c r="Q4515" s="31" t="str">
        <f>IFERROR(__xludf.DUMMYFUNCTION("GOOGLETRANSLATE(R4515,""ES"",""EN"")"),"open")</f>
        <v>open</v>
      </c>
      <c r="R4515" s="28" t="s">
        <v>31867</v>
      </c>
      <c r="S4515" s="53" t="s">
        <v>14292</v>
      </c>
      <c r="T4515" s="32" t="s">
        <v>14293</v>
      </c>
    </row>
    <row r="4516">
      <c r="A4516" s="33" t="s">
        <v>31868</v>
      </c>
      <c r="B4516" s="76" t="s">
        <v>3151</v>
      </c>
      <c r="C4516" s="99">
        <v>45615.0</v>
      </c>
      <c r="D4516" s="40" t="s">
        <v>31869</v>
      </c>
      <c r="E4516" s="100" t="s">
        <v>31870</v>
      </c>
      <c r="F4516" s="101" t="s">
        <v>31871</v>
      </c>
      <c r="G4516" s="101" t="s">
        <v>31872</v>
      </c>
      <c r="H4516" s="51" t="s">
        <v>2591</v>
      </c>
      <c r="I4516" s="15" t="str">
        <f>IFERROR(__xludf.DUMMYFUNCTION("GOOGLETRANSLATE(H4516,""EN"",""ES"")"),"Negocio")</f>
        <v>Negocio</v>
      </c>
      <c r="J4516" s="16" t="s">
        <v>35</v>
      </c>
      <c r="K4516" s="48">
        <v>0.8</v>
      </c>
      <c r="L4516" s="49" t="s">
        <v>31873</v>
      </c>
      <c r="M4516" s="34" t="s">
        <v>31874</v>
      </c>
      <c r="N4516" s="34" t="s">
        <v>31875</v>
      </c>
      <c r="O4516" s="88" t="str">
        <f>IFERROR(__xludf.DUMMYFUNCTION("GOOGLETRANSLATE(N4516,""EN"",""ES"")"),"Positivo, se enfoca en ampliar infraestructura eléctrica para la sustentabilidad.")</f>
        <v>Positivo, se enfoca en ampliar infraestructura eléctrica para la sustentabilidad.</v>
      </c>
      <c r="P4516" s="30">
        <v>0.7</v>
      </c>
      <c r="Q4516" s="18" t="str">
        <f>IFERROR(__xludf.DUMMYFUNCTION("GOOGLETRANSLATE(R4516,""ES"",""EN"")"),"develop")</f>
        <v>develop</v>
      </c>
      <c r="R4516" s="34" t="s">
        <v>31876</v>
      </c>
      <c r="S4516" s="52" t="s">
        <v>9972</v>
      </c>
      <c r="T4516" s="22" t="s">
        <v>9973</v>
      </c>
    </row>
    <row r="4517">
      <c r="A4517" s="23" t="s">
        <v>31877</v>
      </c>
      <c r="B4517" s="77" t="s">
        <v>103</v>
      </c>
      <c r="C4517" s="96">
        <v>45615.0</v>
      </c>
      <c r="D4517" s="40" t="s">
        <v>31878</v>
      </c>
      <c r="E4517" s="97" t="s">
        <v>31879</v>
      </c>
      <c r="F4517" s="98" t="s">
        <v>31880</v>
      </c>
      <c r="G4517" s="98" t="s">
        <v>31881</v>
      </c>
      <c r="H4517" s="49" t="s">
        <v>408</v>
      </c>
      <c r="I4517" s="25" t="str">
        <f>IFERROR(__xludf.DUMMYFUNCTION("GOOGLETRANSLATE(H4517,""EN"",""ES"")"),"Legal")</f>
        <v>Legal</v>
      </c>
      <c r="J4517" s="26" t="s">
        <v>35</v>
      </c>
      <c r="K4517" s="48">
        <v>-0.7</v>
      </c>
      <c r="L4517" s="51" t="s">
        <v>31615</v>
      </c>
      <c r="M4517" s="28" t="s">
        <v>31616</v>
      </c>
      <c r="N4517" s="28" t="s">
        <v>31882</v>
      </c>
      <c r="O4517" s="89" t="str">
        <f>IFERROR(__xludf.DUMMYFUNCTION("GOOGLETRANSLATE(N4517,""EN"",""ES"")"),"Negativo, destaca conflicto legal respecto a reclamos ambientales.")</f>
        <v>Negativo, destaca conflicto legal respecto a reclamos ambientales.</v>
      </c>
      <c r="P4517" s="30">
        <v>-0.8</v>
      </c>
      <c r="Q4517" s="31" t="str">
        <f>IFERROR(__xludf.DUMMYFUNCTION("GOOGLETRANSLATE(R4517,""ES"",""EN"")"),"against, ""laundering""")</f>
        <v>against, "laundering"</v>
      </c>
      <c r="R4517" s="28" t="s">
        <v>31883</v>
      </c>
      <c r="S4517" s="53" t="s">
        <v>31884</v>
      </c>
      <c r="T4517" s="32" t="s">
        <v>31885</v>
      </c>
    </row>
    <row r="4518">
      <c r="A4518" s="33" t="s">
        <v>31886</v>
      </c>
      <c r="B4518" s="76" t="s">
        <v>499</v>
      </c>
      <c r="C4518" s="99">
        <v>45615.0</v>
      </c>
      <c r="D4518" s="40" t="s">
        <v>31887</v>
      </c>
      <c r="E4518" s="100" t="s">
        <v>31888</v>
      </c>
      <c r="F4518" s="101" t="s">
        <v>31889</v>
      </c>
      <c r="G4518" s="101" t="s">
        <v>31890</v>
      </c>
      <c r="H4518" s="51" t="s">
        <v>395</v>
      </c>
      <c r="I4518" s="15" t="str">
        <f>IFERROR(__xludf.DUMMYFUNCTION("GOOGLETRANSLATE(H4518,""EN"",""ES"")"),"Ambiente")</f>
        <v>Ambiente</v>
      </c>
      <c r="J4518" s="16" t="s">
        <v>35</v>
      </c>
      <c r="K4518" s="48">
        <v>0.6</v>
      </c>
      <c r="L4518" s="49" t="s">
        <v>31891</v>
      </c>
      <c r="M4518" s="34" t="s">
        <v>31892</v>
      </c>
      <c r="N4518" s="34" t="s">
        <v>31893</v>
      </c>
      <c r="O4518" s="88" t="str">
        <f>IFERROR(__xludf.DUMMYFUNCTION("GOOGLETRANSLATE(N4518,""EN"",""ES"")"),"Positivo, reconoce el esfuerzo de Repsol en responsabilidad ambiental.")</f>
        <v>Positivo, reconoce el esfuerzo de Repsol en responsabilidad ambiental.</v>
      </c>
      <c r="P4518" s="30">
        <v>0.6</v>
      </c>
      <c r="Q4518" s="18" t="str">
        <f>IFERROR(__xludf.DUMMYFUNCTION("GOOGLETRANSLATE(R4518,""ES"",""EN"")"),"they fight")</f>
        <v>they fight</v>
      </c>
      <c r="R4518" s="34" t="s">
        <v>31894</v>
      </c>
      <c r="S4518" s="52" t="s">
        <v>31895</v>
      </c>
      <c r="T4518" s="22" t="s">
        <v>31896</v>
      </c>
    </row>
    <row r="4519">
      <c r="A4519" s="23" t="s">
        <v>31897</v>
      </c>
      <c r="B4519" s="77" t="s">
        <v>558</v>
      </c>
      <c r="C4519" s="96">
        <v>45615.0</v>
      </c>
      <c r="D4519" s="40" t="s">
        <v>31898</v>
      </c>
      <c r="E4519" s="97" t="s">
        <v>31899</v>
      </c>
      <c r="F4519" s="98" t="s">
        <v>31900</v>
      </c>
      <c r="G4519" s="98" t="s">
        <v>31901</v>
      </c>
      <c r="H4519" s="49" t="s">
        <v>48</v>
      </c>
      <c r="I4519" s="25" t="str">
        <f>IFERROR(__xludf.DUMMYFUNCTION("GOOGLETRANSLATE(H4519,""EN"",""ES"")"),"Finanzas")</f>
        <v>Finanzas</v>
      </c>
      <c r="J4519" s="26" t="s">
        <v>35</v>
      </c>
      <c r="K4519" s="48">
        <v>0.7</v>
      </c>
      <c r="L4519" s="51" t="s">
        <v>31902</v>
      </c>
      <c r="M4519" s="28" t="s">
        <v>31903</v>
      </c>
      <c r="N4519" s="28" t="s">
        <v>31904</v>
      </c>
      <c r="O4519" s="89" t="str">
        <f>IFERROR(__xludf.DUMMYFUNCTION("GOOGLETRANSLATE(N4519,""EN"",""ES"")"),"Positivo, refleja el optimismo de los inversores respecto a la acción de Repsol.")</f>
        <v>Positivo, refleja el optimismo de los inversores respecto a la acción de Repsol.</v>
      </c>
      <c r="P4519" s="30">
        <v>0.1</v>
      </c>
      <c r="Q4519" s="31" t="str">
        <f>IFERROR(__xludf.DUMMYFUNCTION("GOOGLETRANSLATE(R4519,""ES"",""EN"")"),"-")</f>
        <v>-</v>
      </c>
      <c r="R4519" s="28" t="s">
        <v>11852</v>
      </c>
      <c r="S4519" s="53" t="s">
        <v>24576</v>
      </c>
      <c r="T4519" s="32" t="s">
        <v>26845</v>
      </c>
    </row>
    <row r="4520">
      <c r="A4520" s="33" t="s">
        <v>31905</v>
      </c>
      <c r="B4520" s="76" t="s">
        <v>43</v>
      </c>
      <c r="C4520" s="99">
        <v>45615.0</v>
      </c>
      <c r="D4520" s="40" t="s">
        <v>31906</v>
      </c>
      <c r="E4520" s="100" t="s">
        <v>31907</v>
      </c>
      <c r="F4520" s="101" t="s">
        <v>31908</v>
      </c>
      <c r="G4520" s="101" t="s">
        <v>31909</v>
      </c>
      <c r="H4520" s="51" t="s">
        <v>2591</v>
      </c>
      <c r="I4520" s="15" t="str">
        <f>IFERROR(__xludf.DUMMYFUNCTION("GOOGLETRANSLATE(H4520,""EN"",""ES"")"),"Negocio")</f>
        <v>Negocio</v>
      </c>
      <c r="J4520" s="16" t="s">
        <v>35</v>
      </c>
      <c r="K4520" s="48">
        <v>0.8</v>
      </c>
      <c r="L4520" s="49" t="s">
        <v>31910</v>
      </c>
      <c r="M4520" s="34" t="s">
        <v>31911</v>
      </c>
      <c r="N4520" s="34" t="s">
        <v>31912</v>
      </c>
      <c r="O4520" s="88" t="str">
        <f>IFERROR(__xludf.DUMMYFUNCTION("GOOGLETRANSLATE(N4520,""EN"",""ES"")"),"Positivo, destaca la creciente base de clientes de Repsol en el sector energético.")</f>
        <v>Positivo, destaca la creciente base de clientes de Repsol en el sector energético.</v>
      </c>
      <c r="P4520" s="30">
        <v>0.4</v>
      </c>
      <c r="Q4520" s="18" t="str">
        <f>IFERROR(__xludf.DUMMYFUNCTION("GOOGLETRANSLATE(R4520,""ES"",""EN"")"),"attract")</f>
        <v>attract</v>
      </c>
      <c r="R4520" s="34" t="s">
        <v>31913</v>
      </c>
      <c r="S4520" s="52" t="s">
        <v>10240</v>
      </c>
      <c r="T4520" s="22" t="s">
        <v>10241</v>
      </c>
    </row>
    <row r="4521">
      <c r="A4521" s="23" t="s">
        <v>31914</v>
      </c>
      <c r="B4521" s="77" t="s">
        <v>339</v>
      </c>
      <c r="C4521" s="96">
        <v>45615.0</v>
      </c>
      <c r="D4521" s="40" t="s">
        <v>31915</v>
      </c>
      <c r="E4521" s="97" t="s">
        <v>31916</v>
      </c>
      <c r="F4521" s="98" t="s">
        <v>31917</v>
      </c>
      <c r="G4521" s="98" t="s">
        <v>31918</v>
      </c>
      <c r="H4521" s="49" t="s">
        <v>2591</v>
      </c>
      <c r="I4521" s="25" t="str">
        <f>IFERROR(__xludf.DUMMYFUNCTION("GOOGLETRANSLATE(H4521,""EN"",""ES"")"),"Negocio")</f>
        <v>Negocio</v>
      </c>
      <c r="J4521" s="26" t="s">
        <v>35</v>
      </c>
      <c r="K4521" s="48">
        <v>0.8</v>
      </c>
      <c r="L4521" s="51" t="s">
        <v>31919</v>
      </c>
      <c r="M4521" s="28" t="s">
        <v>31920</v>
      </c>
      <c r="N4521" s="28" t="s">
        <v>31921</v>
      </c>
      <c r="O4521" s="89" t="str">
        <f>IFERROR(__xludf.DUMMYFUNCTION("GOOGLETRANSLATE(N4521,""EN"",""ES"")"),"Positivo, destaca una exitosa colaboración ampliando la oferta de Repsol.")</f>
        <v>Positivo, destaca una exitosa colaboración ampliando la oferta de Repsol.</v>
      </c>
      <c r="P4521" s="30">
        <v>0.5</v>
      </c>
      <c r="Q4521" s="31" t="str">
        <f>IFERROR(__xludf.DUMMYFUNCTION("GOOGLETRANSLATE(R4521,""ES"",""EN"")"),"incorporates")</f>
        <v>incorporates</v>
      </c>
      <c r="R4521" s="28" t="s">
        <v>31922</v>
      </c>
      <c r="S4521" s="53" t="s">
        <v>31923</v>
      </c>
      <c r="T4521" s="32" t="s">
        <v>31924</v>
      </c>
    </row>
    <row r="4522">
      <c r="A4522" s="33" t="s">
        <v>31925</v>
      </c>
      <c r="B4522" s="76" t="s">
        <v>23334</v>
      </c>
      <c r="C4522" s="99">
        <v>45615.0</v>
      </c>
      <c r="D4522" s="40" t="s">
        <v>31926</v>
      </c>
      <c r="E4522" s="100" t="s">
        <v>31927</v>
      </c>
      <c r="F4522" s="101" t="s">
        <v>31928</v>
      </c>
      <c r="G4522" s="101" t="s">
        <v>31929</v>
      </c>
      <c r="H4522" s="51" t="s">
        <v>48</v>
      </c>
      <c r="I4522" s="15" t="str">
        <f>IFERROR(__xludf.DUMMYFUNCTION("GOOGLETRANSLATE(H4522,""EN"",""ES"")"),"Finanzas")</f>
        <v>Finanzas</v>
      </c>
      <c r="J4522" s="16" t="s">
        <v>35</v>
      </c>
      <c r="K4522" s="48">
        <v>-0.6</v>
      </c>
      <c r="L4522" s="49" t="s">
        <v>31930</v>
      </c>
      <c r="M4522" s="34" t="s">
        <v>31931</v>
      </c>
      <c r="N4522" s="34" t="s">
        <v>31932</v>
      </c>
      <c r="O4522" s="88" t="str">
        <f>IFERROR(__xludf.DUMMYFUNCTION("GOOGLETRANSLATE(N4522,""EN"",""ES"")"),"Negativo, informes sobre caída financiera en los resultados recientes de Repsol.")</f>
        <v>Negativo, informes sobre caída financiera en los resultados recientes de Repsol.</v>
      </c>
      <c r="P4522" s="30">
        <v>-0.4</v>
      </c>
      <c r="Q4522" s="18" t="str">
        <f>IFERROR(__xludf.DUMMYFUNCTION("GOOGLETRANSLATE(R4522,""ES"",""EN"")"),"drop")</f>
        <v>drop</v>
      </c>
      <c r="R4522" s="34" t="s">
        <v>18681</v>
      </c>
      <c r="S4522" s="52" t="s">
        <v>31933</v>
      </c>
      <c r="T4522" s="22" t="s">
        <v>31934</v>
      </c>
    </row>
    <row r="4523">
      <c r="A4523" s="23" t="s">
        <v>31935</v>
      </c>
      <c r="B4523" s="77" t="s">
        <v>207</v>
      </c>
      <c r="C4523" s="96">
        <v>45615.0</v>
      </c>
      <c r="D4523" s="40" t="s">
        <v>31936</v>
      </c>
      <c r="E4523" s="97" t="s">
        <v>31937</v>
      </c>
      <c r="F4523" s="98" t="s">
        <v>31938</v>
      </c>
      <c r="G4523" s="98" t="s">
        <v>31939</v>
      </c>
      <c r="H4523" s="49" t="s">
        <v>1975</v>
      </c>
      <c r="I4523" s="25" t="str">
        <f>IFERROR(__xludf.DUMMYFUNCTION("GOOGLETRANSLATE(H4523,""EN"",""ES"")"),"Política")</f>
        <v>Política</v>
      </c>
      <c r="J4523" s="26" t="s">
        <v>35</v>
      </c>
      <c r="K4523" s="48">
        <v>-0.5</v>
      </c>
      <c r="L4523" s="51" t="s">
        <v>31940</v>
      </c>
      <c r="M4523" s="28" t="s">
        <v>31941</v>
      </c>
      <c r="N4523" s="28" t="s">
        <v>31942</v>
      </c>
      <c r="O4523" s="89" t="str">
        <f>IFERROR(__xludf.DUMMYFUNCTION("GOOGLETRANSLATE(N4523,""EN"",""ES"")"),"Negativo, analiza las maniobras políticas para influir en la política fiscal.")</f>
        <v>Negativo, analiza las maniobras políticas para influir en la política fiscal.</v>
      </c>
      <c r="P4523" s="30">
        <v>0.1</v>
      </c>
      <c r="Q4523" s="31" t="str">
        <f>IFERROR(__xludf.DUMMYFUNCTION("GOOGLETRANSLATE(R4523,""ES"",""EN"")"),"-")</f>
        <v>-</v>
      </c>
      <c r="R4523" s="28" t="s">
        <v>11852</v>
      </c>
      <c r="S4523" s="53" t="s">
        <v>31943</v>
      </c>
      <c r="T4523" s="32" t="s">
        <v>26020</v>
      </c>
    </row>
    <row r="4524">
      <c r="A4524" s="33" t="s">
        <v>31944</v>
      </c>
      <c r="B4524" s="76" t="s">
        <v>3511</v>
      </c>
      <c r="C4524" s="99">
        <v>45615.0</v>
      </c>
      <c r="D4524" s="40" t="s">
        <v>31945</v>
      </c>
      <c r="E4524" s="100" t="s">
        <v>31946</v>
      </c>
      <c r="F4524" s="101" t="s">
        <v>31947</v>
      </c>
      <c r="G4524" s="101" t="s">
        <v>31948</v>
      </c>
      <c r="H4524" s="51" t="s">
        <v>395</v>
      </c>
      <c r="I4524" s="15" t="str">
        <f>IFERROR(__xludf.DUMMYFUNCTION("GOOGLETRANSLATE(H4524,""EN"",""ES"")"),"Ambiente")</f>
        <v>Ambiente</v>
      </c>
      <c r="J4524" s="16" t="s">
        <v>35</v>
      </c>
      <c r="K4524" s="48">
        <v>0.7</v>
      </c>
      <c r="L4524" s="49" t="s">
        <v>31949</v>
      </c>
      <c r="M4524" s="34" t="s">
        <v>31950</v>
      </c>
      <c r="N4524" s="34" t="s">
        <v>31951</v>
      </c>
      <c r="O4524" s="88" t="str">
        <f>IFERROR(__xludf.DUMMYFUNCTION("GOOGLETRANSLATE(N4524,""EN"",""ES"")"),"Positivo, destaca esfuerzos para reducir el impacto ambiental.")</f>
        <v>Positivo, destaca esfuerzos para reducir el impacto ambiental.</v>
      </c>
      <c r="P4524" s="30">
        <v>0.6</v>
      </c>
      <c r="Q4524" s="18" t="str">
        <f>IFERROR(__xludf.DUMMYFUNCTION("GOOGLETRANSLATE(R4524,""ES"",""EN"")"),"decontamination")</f>
        <v>decontamination</v>
      </c>
      <c r="R4524" s="34" t="s">
        <v>13232</v>
      </c>
      <c r="S4524" s="52" t="s">
        <v>31952</v>
      </c>
      <c r="T4524" s="22" t="s">
        <v>31953</v>
      </c>
    </row>
    <row r="4525">
      <c r="A4525" s="23" t="s">
        <v>31954</v>
      </c>
      <c r="B4525" s="77" t="s">
        <v>7095</v>
      </c>
      <c r="C4525" s="96">
        <v>45615.0</v>
      </c>
      <c r="D4525" s="40" t="s">
        <v>31955</v>
      </c>
      <c r="E4525" s="97" t="s">
        <v>31956</v>
      </c>
      <c r="F4525" s="98" t="s">
        <v>31957</v>
      </c>
      <c r="G4525" s="98" t="s">
        <v>31958</v>
      </c>
      <c r="H4525" s="49" t="s">
        <v>148</v>
      </c>
      <c r="I4525" s="25" t="str">
        <f>IFERROR(__xludf.DUMMYFUNCTION("GOOGLETRANSLATE(H4525,""EN"",""ES"")"),"Gastronomía")</f>
        <v>Gastronomía</v>
      </c>
      <c r="J4525" s="26" t="s">
        <v>27</v>
      </c>
      <c r="K4525" s="17">
        <v>0.0</v>
      </c>
      <c r="L4525" s="51"/>
      <c r="M4525" s="31"/>
      <c r="N4525" s="31"/>
      <c r="O4525" s="89"/>
      <c r="P4525" s="20">
        <v>0.0</v>
      </c>
      <c r="Q4525" s="31"/>
      <c r="R4525" s="31"/>
      <c r="S4525" s="53"/>
      <c r="T4525" s="32"/>
    </row>
    <row r="4526">
      <c r="A4526" s="33" t="s">
        <v>31959</v>
      </c>
      <c r="B4526" s="76" t="s">
        <v>3402</v>
      </c>
      <c r="C4526" s="99">
        <v>45615.0</v>
      </c>
      <c r="D4526" s="40" t="s">
        <v>31960</v>
      </c>
      <c r="E4526" s="100" t="s">
        <v>31961</v>
      </c>
      <c r="F4526" s="101" t="s">
        <v>31962</v>
      </c>
      <c r="G4526" s="101" t="s">
        <v>31963</v>
      </c>
      <c r="H4526" s="51" t="s">
        <v>395</v>
      </c>
      <c r="I4526" s="15" t="str">
        <f>IFERROR(__xludf.DUMMYFUNCTION("GOOGLETRANSLATE(H4526,""EN"",""ES"")"),"Ambiente")</f>
        <v>Ambiente</v>
      </c>
      <c r="J4526" s="16" t="s">
        <v>35</v>
      </c>
      <c r="K4526" s="48">
        <v>-0.6</v>
      </c>
      <c r="L4526" s="49" t="s">
        <v>31964</v>
      </c>
      <c r="M4526" s="34" t="s">
        <v>31965</v>
      </c>
      <c r="N4526" s="34" t="s">
        <v>31966</v>
      </c>
      <c r="O4526" s="88" t="str">
        <f>IFERROR(__xludf.DUMMYFUNCTION("GOOGLETRANSLATE(N4526,""EN"",""ES"")"),"Negativo, destaca las críticas de los ecologistas al papel de Repsol.")</f>
        <v>Negativo, destaca las críticas de los ecologistas al papel de Repsol.</v>
      </c>
      <c r="P4526" s="30">
        <v>-0.3</v>
      </c>
      <c r="Q4526" s="18" t="str">
        <f>IFERROR(__xludf.DUMMYFUNCTION("GOOGLETRANSLATE(R4526,""ES"",""EN"")"),"-")</f>
        <v>-</v>
      </c>
      <c r="R4526" s="34" t="s">
        <v>11852</v>
      </c>
      <c r="S4526" s="52" t="s">
        <v>31967</v>
      </c>
      <c r="T4526" s="22" t="s">
        <v>31968</v>
      </c>
    </row>
    <row r="4527">
      <c r="A4527" s="23" t="s">
        <v>31969</v>
      </c>
      <c r="B4527" s="77" t="s">
        <v>85</v>
      </c>
      <c r="C4527" s="96">
        <v>45615.0</v>
      </c>
      <c r="D4527" s="40" t="s">
        <v>31970</v>
      </c>
      <c r="E4527" s="97" t="s">
        <v>31971</v>
      </c>
      <c r="F4527" s="98" t="s">
        <v>31972</v>
      </c>
      <c r="G4527" s="98" t="s">
        <v>31973</v>
      </c>
      <c r="H4527" s="49" t="s">
        <v>148</v>
      </c>
      <c r="I4527" s="25" t="str">
        <f>IFERROR(__xludf.DUMMYFUNCTION("GOOGLETRANSLATE(H4527,""EN"",""ES"")"),"Gastronomía")</f>
        <v>Gastronomía</v>
      </c>
      <c r="J4527" s="26" t="s">
        <v>27</v>
      </c>
      <c r="K4527" s="17">
        <v>0.0</v>
      </c>
      <c r="L4527" s="51"/>
      <c r="M4527" s="31"/>
      <c r="N4527" s="31"/>
      <c r="O4527" s="89"/>
      <c r="P4527" s="20">
        <v>0.0</v>
      </c>
      <c r="Q4527" s="31"/>
      <c r="R4527" s="31"/>
      <c r="S4527" s="53"/>
      <c r="T4527" s="32"/>
    </row>
    <row r="4528">
      <c r="A4528" s="33" t="s">
        <v>31974</v>
      </c>
      <c r="B4528" s="76" t="s">
        <v>13299</v>
      </c>
      <c r="C4528" s="99">
        <v>45615.0</v>
      </c>
      <c r="D4528" s="40" t="s">
        <v>31975</v>
      </c>
      <c r="E4528" s="100" t="s">
        <v>31976</v>
      </c>
      <c r="F4528" s="101" t="s">
        <v>31977</v>
      </c>
      <c r="G4528" s="101" t="s">
        <v>31978</v>
      </c>
      <c r="H4528" s="51" t="s">
        <v>148</v>
      </c>
      <c r="I4528" s="15" t="str">
        <f>IFERROR(__xludf.DUMMYFUNCTION("GOOGLETRANSLATE(H4528,""EN"",""ES"")"),"Gastronomía")</f>
        <v>Gastronomía</v>
      </c>
      <c r="J4528" s="16" t="s">
        <v>27</v>
      </c>
      <c r="K4528" s="17">
        <v>0.0</v>
      </c>
      <c r="L4528" s="49"/>
      <c r="M4528" s="18"/>
      <c r="N4528" s="18"/>
      <c r="O4528" s="88"/>
      <c r="P4528" s="20">
        <v>0.0</v>
      </c>
      <c r="Q4528" s="18"/>
      <c r="R4528" s="18"/>
      <c r="S4528" s="52"/>
      <c r="T4528" s="22"/>
    </row>
    <row r="4529">
      <c r="A4529" s="23" t="s">
        <v>31979</v>
      </c>
      <c r="B4529" s="77" t="s">
        <v>21</v>
      </c>
      <c r="C4529" s="96">
        <v>45615.0</v>
      </c>
      <c r="D4529" s="40" t="s">
        <v>31980</v>
      </c>
      <c r="E4529" s="97" t="s">
        <v>31981</v>
      </c>
      <c r="F4529" s="98" t="s">
        <v>31982</v>
      </c>
      <c r="G4529" s="98" t="s">
        <v>31983</v>
      </c>
      <c r="H4529" s="49" t="s">
        <v>148</v>
      </c>
      <c r="I4529" s="25" t="str">
        <f>IFERROR(__xludf.DUMMYFUNCTION("GOOGLETRANSLATE(H4529,""EN"",""ES"")"),"Gastronomía")</f>
        <v>Gastronomía</v>
      </c>
      <c r="J4529" s="26" t="s">
        <v>27</v>
      </c>
      <c r="K4529" s="17">
        <v>0.0</v>
      </c>
      <c r="L4529" s="51"/>
      <c r="M4529" s="31"/>
      <c r="N4529" s="31"/>
      <c r="O4529" s="89"/>
      <c r="P4529" s="20">
        <v>0.0</v>
      </c>
      <c r="Q4529" s="31"/>
      <c r="R4529" s="31"/>
      <c r="S4529" s="53"/>
      <c r="T4529" s="32"/>
    </row>
    <row r="4530">
      <c r="A4530" s="33" t="s">
        <v>31984</v>
      </c>
      <c r="B4530" s="76" t="s">
        <v>229</v>
      </c>
      <c r="C4530" s="99">
        <v>45615.0</v>
      </c>
      <c r="D4530" s="40" t="s">
        <v>31985</v>
      </c>
      <c r="E4530" s="100" t="s">
        <v>31986</v>
      </c>
      <c r="F4530" s="101" t="s">
        <v>31987</v>
      </c>
      <c r="G4530" s="101" t="s">
        <v>31988</v>
      </c>
      <c r="H4530" s="51" t="s">
        <v>2591</v>
      </c>
      <c r="I4530" s="15" t="str">
        <f>IFERROR(__xludf.DUMMYFUNCTION("GOOGLETRANSLATE(H4530,""EN"",""ES"")"),"Negocio")</f>
        <v>Negocio</v>
      </c>
      <c r="J4530" s="16" t="s">
        <v>35</v>
      </c>
      <c r="K4530" s="48">
        <v>0.9</v>
      </c>
      <c r="L4530" s="49" t="s">
        <v>31989</v>
      </c>
      <c r="M4530" s="34" t="s">
        <v>31990</v>
      </c>
      <c r="N4530" s="34" t="s">
        <v>31991</v>
      </c>
      <c r="O4530" s="88" t="str">
        <f>IFERROR(__xludf.DUMMYFUNCTION("GOOGLETRANSLATE(N4530,""EN"",""ES"")"),"Positivo, destaca colaboración para avanzar en infraestructuras de movilidad eléctrica.")</f>
        <v>Positivo, destaca colaboración para avanzar en infraestructuras de movilidad eléctrica.</v>
      </c>
      <c r="P4530" s="30">
        <v>0.7</v>
      </c>
      <c r="Q4530" s="18" t="str">
        <f>IFERROR(__xludf.DUMMYFUNCTION("GOOGLETRANSLATE(R4530,""ES"",""EN"")"),"-")</f>
        <v>-</v>
      </c>
      <c r="R4530" s="34" t="s">
        <v>11852</v>
      </c>
      <c r="S4530" s="52" t="s">
        <v>31992</v>
      </c>
      <c r="T4530" s="22" t="s">
        <v>31993</v>
      </c>
    </row>
    <row r="4531">
      <c r="A4531" s="23" t="s">
        <v>31994</v>
      </c>
      <c r="B4531" s="77" t="s">
        <v>2944</v>
      </c>
      <c r="C4531" s="96">
        <v>45615.0</v>
      </c>
      <c r="D4531" s="40" t="s">
        <v>31995</v>
      </c>
      <c r="E4531" s="97" t="s">
        <v>31996</v>
      </c>
      <c r="F4531" s="98" t="s">
        <v>31997</v>
      </c>
      <c r="G4531" s="98" t="s">
        <v>31998</v>
      </c>
      <c r="H4531" s="49" t="s">
        <v>148</v>
      </c>
      <c r="I4531" s="25" t="str">
        <f>IFERROR(__xludf.DUMMYFUNCTION("GOOGLETRANSLATE(H4531,""EN"",""ES"")"),"Gastronomía")</f>
        <v>Gastronomía</v>
      </c>
      <c r="J4531" s="26" t="s">
        <v>27</v>
      </c>
      <c r="K4531" s="17">
        <v>0.0</v>
      </c>
      <c r="L4531" s="51"/>
      <c r="M4531" s="31"/>
      <c r="N4531" s="31"/>
      <c r="O4531" s="89"/>
      <c r="P4531" s="20">
        <v>0.0</v>
      </c>
      <c r="Q4531" s="31"/>
      <c r="R4531" s="31"/>
      <c r="S4531" s="53"/>
      <c r="T4531" s="32"/>
    </row>
    <row r="4532">
      <c r="A4532" s="33" t="s">
        <v>31999</v>
      </c>
      <c r="B4532" s="76" t="s">
        <v>2696</v>
      </c>
      <c r="C4532" s="99">
        <v>45615.0</v>
      </c>
      <c r="D4532" s="40" t="s">
        <v>32000</v>
      </c>
      <c r="E4532" s="100" t="s">
        <v>32001</v>
      </c>
      <c r="F4532" s="101" t="s">
        <v>32002</v>
      </c>
      <c r="G4532" s="101" t="s">
        <v>32003</v>
      </c>
      <c r="H4532" s="51" t="s">
        <v>148</v>
      </c>
      <c r="I4532" s="15" t="str">
        <f>IFERROR(__xludf.DUMMYFUNCTION("GOOGLETRANSLATE(H4532,""EN"",""ES"")"),"Gastronomía")</f>
        <v>Gastronomía</v>
      </c>
      <c r="J4532" s="16" t="s">
        <v>27</v>
      </c>
      <c r="K4532" s="17">
        <v>0.0</v>
      </c>
      <c r="L4532" s="49"/>
      <c r="M4532" s="18"/>
      <c r="N4532" s="18"/>
      <c r="O4532" s="88"/>
      <c r="P4532" s="20">
        <v>0.0</v>
      </c>
      <c r="Q4532" s="18"/>
      <c r="R4532" s="18"/>
      <c r="S4532" s="52"/>
      <c r="T4532" s="22"/>
    </row>
    <row r="4533">
      <c r="A4533" s="23" t="s">
        <v>32004</v>
      </c>
      <c r="B4533" s="77" t="s">
        <v>499</v>
      </c>
      <c r="C4533" s="96">
        <v>45615.0</v>
      </c>
      <c r="D4533" s="40" t="s">
        <v>32005</v>
      </c>
      <c r="E4533" s="97" t="s">
        <v>32006</v>
      </c>
      <c r="F4533" s="98" t="s">
        <v>32007</v>
      </c>
      <c r="G4533" s="98" t="s">
        <v>32008</v>
      </c>
      <c r="H4533" s="49" t="s">
        <v>2591</v>
      </c>
      <c r="I4533" s="25" t="str">
        <f>IFERROR(__xludf.DUMMYFUNCTION("GOOGLETRANSLATE(H4533,""EN"",""ES"")"),"Negocio")</f>
        <v>Negocio</v>
      </c>
      <c r="J4533" s="26" t="s">
        <v>35</v>
      </c>
      <c r="K4533" s="48">
        <v>0.9</v>
      </c>
      <c r="L4533" s="51" t="s">
        <v>31989</v>
      </c>
      <c r="M4533" s="28" t="s">
        <v>31990</v>
      </c>
      <c r="N4533" s="28" t="s">
        <v>32009</v>
      </c>
      <c r="O4533" s="89" t="str">
        <f>IFERROR(__xludf.DUMMYFUNCTION("GOOGLETRANSLATE(N4533,""EN"",""ES"")"),"Positivo, destaca la innovación en infraestructuras de carga de vehículos eléctricos.")</f>
        <v>Positivo, destaca la innovación en infraestructuras de carga de vehículos eléctricos.</v>
      </c>
      <c r="P4533" s="30">
        <v>0.8</v>
      </c>
      <c r="Q4533" s="31" t="str">
        <f>IFERROR(__xludf.DUMMYFUNCTION("GOOGLETRANSLATE(R4533,""ES"",""EN"")"),"pioneer")</f>
        <v>pioneer</v>
      </c>
      <c r="R4533" s="28" t="s">
        <v>32010</v>
      </c>
      <c r="S4533" s="53" t="s">
        <v>29846</v>
      </c>
      <c r="T4533" s="32" t="s">
        <v>29847</v>
      </c>
    </row>
    <row r="4534">
      <c r="A4534" s="33" t="s">
        <v>32011</v>
      </c>
      <c r="B4534" s="76" t="s">
        <v>3151</v>
      </c>
      <c r="C4534" s="99">
        <v>45615.0</v>
      </c>
      <c r="D4534" s="40" t="s">
        <v>32012</v>
      </c>
      <c r="E4534" s="100" t="s">
        <v>32013</v>
      </c>
      <c r="F4534" s="101" t="s">
        <v>32014</v>
      </c>
      <c r="G4534" s="101" t="s">
        <v>32015</v>
      </c>
      <c r="H4534" s="51" t="s">
        <v>1975</v>
      </c>
      <c r="I4534" s="15" t="str">
        <f>IFERROR(__xludf.DUMMYFUNCTION("GOOGLETRANSLATE(H4534,""EN"",""ES"")"),"Política")</f>
        <v>Política</v>
      </c>
      <c r="J4534" s="16" t="s">
        <v>35</v>
      </c>
      <c r="K4534" s="48">
        <v>-0.8</v>
      </c>
      <c r="L4534" s="49" t="s">
        <v>32016</v>
      </c>
      <c r="M4534" s="34" t="s">
        <v>32017</v>
      </c>
      <c r="N4534" s="34" t="s">
        <v>32018</v>
      </c>
      <c r="O4534" s="88" t="str">
        <f>IFERROR(__xludf.DUMMYFUNCTION("GOOGLETRANSLATE(N4534,""EN"",""ES"")"),"Negativo, expresa la desaprobación de Greenpeace a la influencia política de Repsol.")</f>
        <v>Negativo, expresa la desaprobación de Greenpeace a la influencia política de Repsol.</v>
      </c>
      <c r="P4534" s="30">
        <v>-0.7</v>
      </c>
      <c r="Q4534" s="18" t="str">
        <f>IFERROR(__xludf.DUMMYFUNCTION("GOOGLETRANSLATE(R4534,""ES"",""EN"")"),"against")</f>
        <v>against</v>
      </c>
      <c r="R4534" s="34" t="s">
        <v>28214</v>
      </c>
      <c r="S4534" s="52" t="s">
        <v>32019</v>
      </c>
      <c r="T4534" s="22" t="s">
        <v>32020</v>
      </c>
    </row>
    <row r="4535">
      <c r="A4535" s="23" t="s">
        <v>32021</v>
      </c>
      <c r="B4535" s="77" t="s">
        <v>1869</v>
      </c>
      <c r="C4535" s="96">
        <v>45615.0</v>
      </c>
      <c r="D4535" s="40" t="s">
        <v>32022</v>
      </c>
      <c r="E4535" s="97" t="s">
        <v>32023</v>
      </c>
      <c r="F4535" s="98" t="s">
        <v>32024</v>
      </c>
      <c r="G4535" s="98" t="s">
        <v>32025</v>
      </c>
      <c r="H4535" s="49" t="s">
        <v>3985</v>
      </c>
      <c r="I4535" s="25" t="str">
        <f>IFERROR(__xludf.DUMMYFUNCTION("GOOGLETRANSLATE(H4535,""EN"",""ES"")"),"Deportes")</f>
        <v>Deportes</v>
      </c>
      <c r="J4535" s="26" t="s">
        <v>27</v>
      </c>
      <c r="K4535" s="17">
        <v>0.0</v>
      </c>
      <c r="L4535" s="51"/>
      <c r="M4535" s="31"/>
      <c r="N4535" s="31"/>
      <c r="O4535" s="89"/>
      <c r="P4535" s="20">
        <v>0.0</v>
      </c>
      <c r="Q4535" s="31"/>
      <c r="R4535" s="31"/>
      <c r="S4535" s="53"/>
      <c r="T4535" s="32"/>
    </row>
    <row r="4536">
      <c r="A4536" s="33" t="s">
        <v>32026</v>
      </c>
      <c r="B4536" s="76" t="s">
        <v>3992</v>
      </c>
      <c r="C4536" s="99">
        <v>45615.0</v>
      </c>
      <c r="D4536" s="40" t="s">
        <v>32027</v>
      </c>
      <c r="E4536" s="100" t="s">
        <v>32028</v>
      </c>
      <c r="F4536" s="101" t="s">
        <v>32029</v>
      </c>
      <c r="G4536" s="101" t="s">
        <v>32030</v>
      </c>
      <c r="H4536" s="51" t="s">
        <v>148</v>
      </c>
      <c r="I4536" s="15" t="str">
        <f>IFERROR(__xludf.DUMMYFUNCTION("GOOGLETRANSLATE(H4536,""EN"",""ES"")"),"Gastronomía")</f>
        <v>Gastronomía</v>
      </c>
      <c r="J4536" s="16" t="s">
        <v>27</v>
      </c>
      <c r="K4536" s="17">
        <v>0.0</v>
      </c>
      <c r="L4536" s="49"/>
      <c r="M4536" s="18"/>
      <c r="N4536" s="18"/>
      <c r="O4536" s="88"/>
      <c r="P4536" s="20">
        <v>0.0</v>
      </c>
      <c r="Q4536" s="18"/>
      <c r="R4536" s="18"/>
      <c r="S4536" s="52"/>
      <c r="T4536" s="22"/>
    </row>
    <row r="4537">
      <c r="A4537" s="23" t="s">
        <v>32031</v>
      </c>
      <c r="B4537" s="77" t="s">
        <v>8884</v>
      </c>
      <c r="C4537" s="96">
        <v>45615.0</v>
      </c>
      <c r="D4537" s="40" t="s">
        <v>32032</v>
      </c>
      <c r="E4537" s="97" t="s">
        <v>32033</v>
      </c>
      <c r="F4537" s="98" t="s">
        <v>32034</v>
      </c>
      <c r="G4537" s="98" t="s">
        <v>32035</v>
      </c>
      <c r="H4537" s="49" t="s">
        <v>1975</v>
      </c>
      <c r="I4537" s="25" t="str">
        <f>IFERROR(__xludf.DUMMYFUNCTION("GOOGLETRANSLATE(H4537,""EN"",""ES"")"),"Política")</f>
        <v>Política</v>
      </c>
      <c r="J4537" s="26" t="s">
        <v>35</v>
      </c>
      <c r="K4537" s="48">
        <v>-0.6</v>
      </c>
      <c r="L4537" s="51" t="s">
        <v>32036</v>
      </c>
      <c r="M4537" s="28" t="s">
        <v>32037</v>
      </c>
      <c r="N4537" s="28" t="s">
        <v>32038</v>
      </c>
      <c r="O4537" s="89" t="str">
        <f>IFERROR(__xludf.DUMMYFUNCTION("GOOGLETRANSLATE(N4537,""EN"",""ES"")"),"Negativo, refleja tensión política y oposición respecto al impuesto a la energía.")</f>
        <v>Negativo, refleja tensión política y oposición respecto al impuesto a la energía.</v>
      </c>
      <c r="P4537" s="30">
        <v>-0.4</v>
      </c>
      <c r="Q4537" s="31" t="str">
        <f>IFERROR(__xludf.DUMMYFUNCTION("GOOGLETRANSLATE(R4537,""ES"",""EN"")"),"maintains")</f>
        <v>maintains</v>
      </c>
      <c r="R4537" s="28" t="s">
        <v>32039</v>
      </c>
      <c r="S4537" s="53" t="s">
        <v>32040</v>
      </c>
      <c r="T4537" s="32" t="s">
        <v>32041</v>
      </c>
    </row>
    <row r="4538">
      <c r="A4538" s="33" t="s">
        <v>32042</v>
      </c>
      <c r="B4538" s="76" t="s">
        <v>25668</v>
      </c>
      <c r="C4538" s="99">
        <v>45615.0</v>
      </c>
      <c r="D4538" s="40" t="s">
        <v>32043</v>
      </c>
      <c r="E4538" s="100" t="s">
        <v>32044</v>
      </c>
      <c r="F4538" s="101" t="s">
        <v>32045</v>
      </c>
      <c r="G4538" s="101" t="s">
        <v>32046</v>
      </c>
      <c r="H4538" s="51" t="s">
        <v>2591</v>
      </c>
      <c r="I4538" s="15" t="str">
        <f>IFERROR(__xludf.DUMMYFUNCTION("GOOGLETRANSLATE(H4538,""EN"",""ES"")"),"Negocio")</f>
        <v>Negocio</v>
      </c>
      <c r="J4538" s="16" t="s">
        <v>35</v>
      </c>
      <c r="K4538" s="48">
        <v>0.9</v>
      </c>
      <c r="L4538" s="49" t="s">
        <v>32047</v>
      </c>
      <c r="M4538" s="34" t="s">
        <v>32048</v>
      </c>
      <c r="N4538" s="34" t="s">
        <v>32049</v>
      </c>
      <c r="O4538" s="88" t="str">
        <f>IFERROR(__xludf.DUMMYFUNCTION("GOOGLETRANSLATE(N4538,""EN"",""ES"")"),"Positivo, destaca una nueva iniciativa para infraestructura de vehículos eléctricos.")</f>
        <v>Positivo, destaca una nueva iniciativa para infraestructura de vehículos eléctricos.</v>
      </c>
      <c r="P4538" s="30">
        <v>0.7</v>
      </c>
      <c r="Q4538" s="18" t="str">
        <f>IFERROR(__xludf.DUMMYFUNCTION("GOOGLETRANSLATE(R4538,""ES"",""EN"")"),"-")</f>
        <v>-</v>
      </c>
      <c r="R4538" s="34" t="s">
        <v>11852</v>
      </c>
      <c r="S4538" s="52" t="s">
        <v>10595</v>
      </c>
      <c r="T4538" s="22" t="s">
        <v>10596</v>
      </c>
    </row>
    <row r="4539">
      <c r="A4539" s="23" t="s">
        <v>32050</v>
      </c>
      <c r="B4539" s="77" t="s">
        <v>2210</v>
      </c>
      <c r="C4539" s="96">
        <v>45615.0</v>
      </c>
      <c r="D4539" s="40" t="s">
        <v>32051</v>
      </c>
      <c r="E4539" s="97" t="s">
        <v>32052</v>
      </c>
      <c r="F4539" s="98" t="s">
        <v>32053</v>
      </c>
      <c r="G4539" s="98" t="s">
        <v>32054</v>
      </c>
      <c r="H4539" s="49" t="s">
        <v>148</v>
      </c>
      <c r="I4539" s="25" t="str">
        <f>IFERROR(__xludf.DUMMYFUNCTION("GOOGLETRANSLATE(H4539,""EN"",""ES"")"),"Gastronomía")</f>
        <v>Gastronomía</v>
      </c>
      <c r="J4539" s="26" t="s">
        <v>27</v>
      </c>
      <c r="K4539" s="17">
        <v>0.0</v>
      </c>
      <c r="L4539" s="51"/>
      <c r="M4539" s="31"/>
      <c r="N4539" s="31"/>
      <c r="O4539" s="89"/>
      <c r="P4539" s="20">
        <v>0.0</v>
      </c>
      <c r="Q4539" s="31"/>
      <c r="R4539" s="31"/>
      <c r="S4539" s="53"/>
      <c r="T4539" s="32"/>
    </row>
    <row r="4540">
      <c r="A4540" s="33" t="s">
        <v>32055</v>
      </c>
      <c r="B4540" s="76" t="s">
        <v>43</v>
      </c>
      <c r="C4540" s="99">
        <v>45615.0</v>
      </c>
      <c r="D4540" s="40" t="s">
        <v>32056</v>
      </c>
      <c r="E4540" s="100" t="s">
        <v>32057</v>
      </c>
      <c r="F4540" s="101" t="s">
        <v>32058</v>
      </c>
      <c r="G4540" s="101" t="s">
        <v>32059</v>
      </c>
      <c r="H4540" s="51" t="s">
        <v>1975</v>
      </c>
      <c r="I4540" s="15" t="str">
        <f>IFERROR(__xludf.DUMMYFUNCTION("GOOGLETRANSLATE(H4540,""EN"",""ES"")"),"Política")</f>
        <v>Política</v>
      </c>
      <c r="J4540" s="16" t="s">
        <v>35</v>
      </c>
      <c r="K4540" s="48">
        <v>-0.5</v>
      </c>
      <c r="L4540" s="49" t="s">
        <v>32060</v>
      </c>
      <c r="M4540" s="34" t="s">
        <v>32061</v>
      </c>
      <c r="N4540" s="34" t="s">
        <v>32062</v>
      </c>
      <c r="O4540" s="88" t="str">
        <f>IFERROR(__xludf.DUMMYFUNCTION("GOOGLETRANSLATE(N4540,""EN"",""ES"")"),"Negativo, destaca la carga financiera y las complejas políticas fiscales sobre las empresas energéticas.")</f>
        <v>Negativo, destaca la carga financiera y las complejas políticas fiscales sobre las empresas energéticas.</v>
      </c>
      <c r="P4540" s="30">
        <v>0.1</v>
      </c>
      <c r="Q4540" s="18" t="str">
        <f>IFERROR(__xludf.DUMMYFUNCTION("GOOGLETRANSLATE(R4540,""ES"",""EN"")"),"-")</f>
        <v>-</v>
      </c>
      <c r="R4540" s="34" t="s">
        <v>11852</v>
      </c>
      <c r="S4540" s="52" t="s">
        <v>32063</v>
      </c>
      <c r="T4540" s="22" t="s">
        <v>32064</v>
      </c>
    </row>
    <row r="4541">
      <c r="A4541" s="23" t="s">
        <v>32065</v>
      </c>
      <c r="B4541" s="77" t="s">
        <v>103</v>
      </c>
      <c r="C4541" s="96">
        <v>45616.0</v>
      </c>
      <c r="D4541" s="40" t="s">
        <v>32066</v>
      </c>
      <c r="E4541" s="97" t="s">
        <v>32067</v>
      </c>
      <c r="F4541" s="98" t="s">
        <v>32068</v>
      </c>
      <c r="G4541" s="98" t="s">
        <v>32069</v>
      </c>
      <c r="H4541" s="49" t="s">
        <v>408</v>
      </c>
      <c r="I4541" s="25" t="str">
        <f>IFERROR(__xludf.DUMMYFUNCTION("GOOGLETRANSLATE(H4541,""EN"",""ES"")"),"Legal")</f>
        <v>Legal</v>
      </c>
      <c r="J4541" s="26" t="s">
        <v>35</v>
      </c>
      <c r="K4541" s="48">
        <v>-0.7</v>
      </c>
      <c r="L4541" s="51" t="s">
        <v>31615</v>
      </c>
      <c r="M4541" s="28" t="s">
        <v>31616</v>
      </c>
      <c r="N4541" s="28" t="s">
        <v>32070</v>
      </c>
      <c r="O4541" s="89" t="str">
        <f>IFERROR(__xludf.DUMMYFUNCTION("GOOGLETRANSLATE(N4541,""EN"",""ES"")"),"Negativo, implica un conflicto legal entre dos grandes empresas energéticas por reclamos ambientales.")</f>
        <v>Negativo, implica un conflicto legal entre dos grandes empresas energéticas por reclamos ambientales.</v>
      </c>
      <c r="P4541" s="30">
        <v>-0.6</v>
      </c>
      <c r="Q4541" s="31" t="str">
        <f>IFERROR(__xludf.DUMMYFUNCTION("GOOGLETRANSLATE(R4541,""ES"",""EN"")"),"ecopostureo")</f>
        <v>ecopostureo</v>
      </c>
      <c r="R4541" s="28" t="s">
        <v>32071</v>
      </c>
      <c r="S4541" s="53" t="s">
        <v>32072</v>
      </c>
      <c r="T4541" s="32" t="s">
        <v>32073</v>
      </c>
    </row>
    <row r="4542">
      <c r="A4542" s="33" t="s">
        <v>32074</v>
      </c>
      <c r="B4542" s="76" t="s">
        <v>21</v>
      </c>
      <c r="C4542" s="99">
        <v>45616.0</v>
      </c>
      <c r="D4542" s="40" t="s">
        <v>32075</v>
      </c>
      <c r="E4542" s="100" t="s">
        <v>32076</v>
      </c>
      <c r="F4542" s="101" t="s">
        <v>32077</v>
      </c>
      <c r="G4542" s="101" t="s">
        <v>32078</v>
      </c>
      <c r="H4542" s="51" t="s">
        <v>148</v>
      </c>
      <c r="I4542" s="15" t="str">
        <f>IFERROR(__xludf.DUMMYFUNCTION("GOOGLETRANSLATE(H4542,""EN"",""ES"")"),"Gastronomía")</f>
        <v>Gastronomía</v>
      </c>
      <c r="J4542" s="16" t="s">
        <v>27</v>
      </c>
      <c r="K4542" s="17">
        <v>0.0</v>
      </c>
      <c r="L4542" s="49"/>
      <c r="M4542" s="18"/>
      <c r="N4542" s="18"/>
      <c r="O4542" s="88"/>
      <c r="P4542" s="20">
        <v>0.0</v>
      </c>
      <c r="Q4542" s="18"/>
      <c r="R4542" s="18"/>
      <c r="S4542" s="52"/>
      <c r="T4542" s="22"/>
    </row>
    <row r="4543">
      <c r="A4543" s="23" t="s">
        <v>32079</v>
      </c>
      <c r="B4543" s="77" t="s">
        <v>3067</v>
      </c>
      <c r="C4543" s="96">
        <v>45616.0</v>
      </c>
      <c r="D4543" s="40" t="s">
        <v>32080</v>
      </c>
      <c r="E4543" s="97" t="s">
        <v>32081</v>
      </c>
      <c r="F4543" s="98" t="s">
        <v>32082</v>
      </c>
      <c r="G4543" s="98" t="s">
        <v>32083</v>
      </c>
      <c r="H4543" s="49" t="s">
        <v>408</v>
      </c>
      <c r="I4543" s="25" t="str">
        <f>IFERROR(__xludf.DUMMYFUNCTION("GOOGLETRANSLATE(H4543,""EN"",""ES"")"),"Legal")</f>
        <v>Legal</v>
      </c>
      <c r="J4543" s="26" t="s">
        <v>35</v>
      </c>
      <c r="K4543" s="48">
        <v>-0.7</v>
      </c>
      <c r="L4543" s="51" t="s">
        <v>31615</v>
      </c>
      <c r="M4543" s="28" t="s">
        <v>31616</v>
      </c>
      <c r="N4543" s="28" t="s">
        <v>32084</v>
      </c>
      <c r="O4543" s="89" t="str">
        <f>IFERROR(__xludf.DUMMYFUNCTION("GOOGLETRANSLATE(N4543,""EN"",""ES"")"),"Negativo, detalla la batalla legal en curso por acusaciones de greenwashing.")</f>
        <v>Negativo, detalla la batalla legal en curso por acusaciones de greenwashing.</v>
      </c>
      <c r="P4543" s="30">
        <v>-0.8</v>
      </c>
      <c r="Q4543" s="31" t="str">
        <f>IFERROR(__xludf.DUMMYFUNCTION("GOOGLETRANSLATE(R4543,""ES"",""EN"")"),"greenwashing")</f>
        <v>greenwashing</v>
      </c>
      <c r="R4543" s="28" t="s">
        <v>11135</v>
      </c>
      <c r="S4543" s="53" t="s">
        <v>32085</v>
      </c>
      <c r="T4543" s="32" t="s">
        <v>32086</v>
      </c>
    </row>
    <row r="4544">
      <c r="A4544" s="33" t="s">
        <v>32087</v>
      </c>
      <c r="B4544" s="76" t="s">
        <v>7074</v>
      </c>
      <c r="C4544" s="99">
        <v>45616.0</v>
      </c>
      <c r="D4544" s="40" t="s">
        <v>32088</v>
      </c>
      <c r="E4544" s="100" t="s">
        <v>32089</v>
      </c>
      <c r="F4544" s="101" t="s">
        <v>32090</v>
      </c>
      <c r="G4544" s="101" t="s">
        <v>32091</v>
      </c>
      <c r="H4544" s="51" t="s">
        <v>148</v>
      </c>
      <c r="I4544" s="15" t="str">
        <f>IFERROR(__xludf.DUMMYFUNCTION("GOOGLETRANSLATE(H4544,""EN"",""ES"")"),"Gastronomía")</f>
        <v>Gastronomía</v>
      </c>
      <c r="J4544" s="16" t="s">
        <v>27</v>
      </c>
      <c r="K4544" s="17">
        <v>0.0</v>
      </c>
      <c r="L4544" s="49"/>
      <c r="M4544" s="18"/>
      <c r="N4544" s="18"/>
      <c r="O4544" s="88"/>
      <c r="P4544" s="20">
        <v>0.0</v>
      </c>
      <c r="Q4544" s="18"/>
      <c r="R4544" s="18"/>
      <c r="S4544" s="52"/>
      <c r="T4544" s="22"/>
    </row>
    <row r="4545">
      <c r="A4545" s="23" t="s">
        <v>32092</v>
      </c>
      <c r="B4545" s="77" t="s">
        <v>85</v>
      </c>
      <c r="C4545" s="96">
        <v>45616.0</v>
      </c>
      <c r="D4545" s="40" t="s">
        <v>32093</v>
      </c>
      <c r="E4545" s="97" t="s">
        <v>32094</v>
      </c>
      <c r="F4545" s="98" t="s">
        <v>32095</v>
      </c>
      <c r="G4545" s="98" t="s">
        <v>32096</v>
      </c>
      <c r="H4545" s="49" t="s">
        <v>782</v>
      </c>
      <c r="I4545" s="25" t="str">
        <f>IFERROR(__xludf.DUMMYFUNCTION("GOOGLETRANSLATE(H4545,""EN"",""ES"")"),"Tecnología")</f>
        <v>Tecnología</v>
      </c>
      <c r="J4545" s="26" t="s">
        <v>35</v>
      </c>
      <c r="K4545" s="48">
        <v>0.8</v>
      </c>
      <c r="L4545" s="51" t="s">
        <v>32097</v>
      </c>
      <c r="M4545" s="28" t="s">
        <v>32098</v>
      </c>
      <c r="N4545" s="28" t="s">
        <v>32099</v>
      </c>
      <c r="O4545" s="89" t="str">
        <f>IFERROR(__xludf.DUMMYFUNCTION("GOOGLETRANSLATE(N4545,""EN"",""ES"")"),"Positivo, muestra la innovación de Repsol en soluciones de movilidad eléctrica.")</f>
        <v>Positivo, muestra la innovación de Repsol en soluciones de movilidad eléctrica.</v>
      </c>
      <c r="P4545" s="30">
        <v>0.7</v>
      </c>
      <c r="Q4545" s="31" t="str">
        <f>IFERROR(__xludf.DUMMYFUNCTION("GOOGLETRANSLATE(R4545,""ES"",""EN"")"),"keep it up")</f>
        <v>keep it up</v>
      </c>
      <c r="R4545" s="28" t="s">
        <v>32100</v>
      </c>
      <c r="S4545" s="53" t="s">
        <v>9749</v>
      </c>
      <c r="T4545" s="32" t="s">
        <v>9750</v>
      </c>
    </row>
    <row r="4546">
      <c r="A4546" s="33" t="s">
        <v>32101</v>
      </c>
      <c r="B4546" s="76" t="s">
        <v>9404</v>
      </c>
      <c r="C4546" s="99">
        <v>45616.0</v>
      </c>
      <c r="D4546" s="40" t="s">
        <v>32102</v>
      </c>
      <c r="E4546" s="100" t="s">
        <v>32103</v>
      </c>
      <c r="F4546" s="101" t="s">
        <v>32104</v>
      </c>
      <c r="G4546" s="101" t="s">
        <v>32105</v>
      </c>
      <c r="H4546" s="51" t="s">
        <v>2591</v>
      </c>
      <c r="I4546" s="15" t="str">
        <f>IFERROR(__xludf.DUMMYFUNCTION("GOOGLETRANSLATE(H4546,""EN"",""ES"")"),"Negocio")</f>
        <v>Negocio</v>
      </c>
      <c r="J4546" s="16" t="s">
        <v>35</v>
      </c>
      <c r="K4546" s="48">
        <v>0.6</v>
      </c>
      <c r="L4546" s="49" t="s">
        <v>32106</v>
      </c>
      <c r="M4546" s="34" t="s">
        <v>32107</v>
      </c>
      <c r="N4546" s="34" t="s">
        <v>32108</v>
      </c>
      <c r="O4546" s="88" t="str">
        <f>IFERROR(__xludf.DUMMYFUNCTION("GOOGLETRANSLATE(N4546,""EN"",""ES"")"),"Positivo, destaca inversión en infraestructura de combustible sostenible.")</f>
        <v>Positivo, destaca inversión en infraestructura de combustible sostenible.</v>
      </c>
      <c r="P4546" s="30">
        <v>0.6</v>
      </c>
      <c r="Q4546" s="18" t="str">
        <f>IFERROR(__xludf.DUMMYFUNCTION("GOOGLETRANSLATE(R4546,""ES"",""EN"")"),"invest")</f>
        <v>invest</v>
      </c>
      <c r="R4546" s="34" t="s">
        <v>32109</v>
      </c>
      <c r="S4546" s="52" t="s">
        <v>32110</v>
      </c>
      <c r="T4546" s="22" t="s">
        <v>32111</v>
      </c>
    </row>
    <row r="4547">
      <c r="A4547" s="23" t="s">
        <v>32112</v>
      </c>
      <c r="B4547" s="77" t="s">
        <v>1192</v>
      </c>
      <c r="C4547" s="96">
        <v>45616.0</v>
      </c>
      <c r="D4547" s="40" t="s">
        <v>32113</v>
      </c>
      <c r="E4547" s="97" t="s">
        <v>32114</v>
      </c>
      <c r="F4547" s="98" t="s">
        <v>32115</v>
      </c>
      <c r="G4547" s="98" t="s">
        <v>32116</v>
      </c>
      <c r="H4547" s="49" t="s">
        <v>1975</v>
      </c>
      <c r="I4547" s="25" t="str">
        <f>IFERROR(__xludf.DUMMYFUNCTION("GOOGLETRANSLATE(H4547,""EN"",""ES"")"),"Política")</f>
        <v>Política</v>
      </c>
      <c r="J4547" s="26" t="s">
        <v>35</v>
      </c>
      <c r="K4547" s="48">
        <v>-0.6</v>
      </c>
      <c r="L4547" s="51" t="s">
        <v>32117</v>
      </c>
      <c r="M4547" s="28" t="s">
        <v>32117</v>
      </c>
      <c r="N4547" s="28" t="s">
        <v>32118</v>
      </c>
      <c r="O4547" s="89" t="str">
        <f>IFERROR(__xludf.DUMMYFUNCTION("GOOGLETRANSLATE(N4547,""EN"",""ES"")"),"Negativo, destaca la resistencia de las grandes empresas a las políticas fiscales.")</f>
        <v>Negativo, destaca la resistencia de las grandes empresas a las políticas fiscales.</v>
      </c>
      <c r="P4547" s="30">
        <v>-0.3</v>
      </c>
      <c r="Q4547" s="31" t="str">
        <f>IFERROR(__xludf.DUMMYFUNCTION("GOOGLETRANSLATE(R4547,""ES"",""EN"")"),"against")</f>
        <v>against</v>
      </c>
      <c r="R4547" s="28" t="s">
        <v>28214</v>
      </c>
      <c r="S4547" s="53" t="s">
        <v>32119</v>
      </c>
      <c r="T4547" s="32" t="s">
        <v>32120</v>
      </c>
    </row>
    <row r="4548">
      <c r="A4548" s="33" t="s">
        <v>32121</v>
      </c>
      <c r="B4548" s="76" t="s">
        <v>26200</v>
      </c>
      <c r="C4548" s="99">
        <v>45616.0</v>
      </c>
      <c r="D4548" s="40" t="s">
        <v>32122</v>
      </c>
      <c r="E4548" s="100" t="s">
        <v>32123</v>
      </c>
      <c r="F4548" s="101" t="s">
        <v>32124</v>
      </c>
      <c r="G4548" s="101" t="s">
        <v>32125</v>
      </c>
      <c r="H4548" s="51" t="s">
        <v>408</v>
      </c>
      <c r="I4548" s="15" t="str">
        <f>IFERROR(__xludf.DUMMYFUNCTION("GOOGLETRANSLATE(H4548,""EN"",""ES"")"),"Legal")</f>
        <v>Legal</v>
      </c>
      <c r="J4548" s="16" t="s">
        <v>35</v>
      </c>
      <c r="K4548" s="48">
        <v>-0.7</v>
      </c>
      <c r="L4548" s="49" t="s">
        <v>31615</v>
      </c>
      <c r="M4548" s="34" t="s">
        <v>31616</v>
      </c>
      <c r="N4548" s="34" t="s">
        <v>32126</v>
      </c>
      <c r="O4548" s="88" t="str">
        <f>IFERROR(__xludf.DUMMYFUNCTION("GOOGLETRANSLATE(N4548,""EN"",""ES"")"),"Negativo, retrata desafíos legales entre las principales empresas energéticas.")</f>
        <v>Negativo, retrata desafíos legales entre las principales empresas energéticas.</v>
      </c>
      <c r="P4548" s="30">
        <v>-0.8</v>
      </c>
      <c r="Q4548" s="18" t="str">
        <f>IFERROR(__xludf.DUMMYFUNCTION("GOOGLETRANSLATE(R4548,""ES"",""EN"")"),"face")</f>
        <v>face</v>
      </c>
      <c r="R4548" s="34" t="s">
        <v>32127</v>
      </c>
      <c r="S4548" s="52" t="s">
        <v>32128</v>
      </c>
      <c r="T4548" s="22" t="s">
        <v>32129</v>
      </c>
    </row>
    <row r="4549">
      <c r="A4549" s="23" t="s">
        <v>32130</v>
      </c>
      <c r="B4549" s="77" t="s">
        <v>2696</v>
      </c>
      <c r="C4549" s="96">
        <v>45616.0</v>
      </c>
      <c r="D4549" s="40" t="s">
        <v>32131</v>
      </c>
      <c r="E4549" s="97" t="s">
        <v>32132</v>
      </c>
      <c r="F4549" s="98" t="s">
        <v>32133</v>
      </c>
      <c r="G4549" s="98" t="s">
        <v>32134</v>
      </c>
      <c r="H4549" s="49" t="s">
        <v>148</v>
      </c>
      <c r="I4549" s="25" t="str">
        <f>IFERROR(__xludf.DUMMYFUNCTION("GOOGLETRANSLATE(H4549,""EN"",""ES"")"),"Gastronomía")</f>
        <v>Gastronomía</v>
      </c>
      <c r="J4549" s="26" t="s">
        <v>27</v>
      </c>
      <c r="K4549" s="17">
        <v>0.0</v>
      </c>
      <c r="L4549" s="51"/>
      <c r="M4549" s="31"/>
      <c r="N4549" s="31"/>
      <c r="O4549" s="89"/>
      <c r="P4549" s="20">
        <v>0.0</v>
      </c>
      <c r="Q4549" s="31"/>
      <c r="R4549" s="31"/>
      <c r="S4549" s="53"/>
      <c r="T4549" s="32"/>
    </row>
    <row r="4550">
      <c r="A4550" s="33" t="s">
        <v>32135</v>
      </c>
      <c r="B4550" s="76" t="s">
        <v>1602</v>
      </c>
      <c r="C4550" s="99">
        <v>45616.0</v>
      </c>
      <c r="D4550" s="40" t="s">
        <v>32136</v>
      </c>
      <c r="E4550" s="100" t="s">
        <v>24573</v>
      </c>
      <c r="F4550" s="101" t="s">
        <v>32137</v>
      </c>
      <c r="G4550" s="101" t="s">
        <v>24575</v>
      </c>
      <c r="H4550" s="51" t="s">
        <v>2591</v>
      </c>
      <c r="I4550" s="15" t="str">
        <f>IFERROR(__xludf.DUMMYFUNCTION("GOOGLETRANSLATE(H4550,""EN"",""ES"")"),"Negocio")</f>
        <v>Negocio</v>
      </c>
      <c r="J4550" s="16" t="s">
        <v>35</v>
      </c>
      <c r="K4550" s="48">
        <v>0.3</v>
      </c>
      <c r="L4550" s="49" t="s">
        <v>32138</v>
      </c>
      <c r="M4550" s="34" t="s">
        <v>32138</v>
      </c>
      <c r="N4550" s="34" t="s">
        <v>32139</v>
      </c>
      <c r="O4550" s="88" t="str">
        <f>IFERROR(__xludf.DUMMYFUNCTION("GOOGLETRANSLATE(N4550,""EN"",""ES"")"),"Neutral, se centra en el análisis del mercado de valores sin expresar un sentimiento fuerte.")</f>
        <v>Neutral, se centra en el análisis del mercado de valores sin expresar un sentimiento fuerte.</v>
      </c>
      <c r="P4550" s="30">
        <v>0.0</v>
      </c>
      <c r="Q4550" s="18"/>
      <c r="R4550" s="18"/>
      <c r="S4550" s="52" t="s">
        <v>24576</v>
      </c>
      <c r="T4550" s="22" t="s">
        <v>26845</v>
      </c>
    </row>
    <row r="4551">
      <c r="A4551" s="23" t="s">
        <v>32140</v>
      </c>
      <c r="B4551" s="77" t="s">
        <v>626</v>
      </c>
      <c r="C4551" s="96">
        <v>45616.0</v>
      </c>
      <c r="D4551" s="40" t="s">
        <v>32141</v>
      </c>
      <c r="E4551" s="97" t="s">
        <v>32142</v>
      </c>
      <c r="F4551" s="98" t="s">
        <v>32143</v>
      </c>
      <c r="G4551" s="98" t="s">
        <v>32144</v>
      </c>
      <c r="H4551" s="49" t="s">
        <v>1975</v>
      </c>
      <c r="I4551" s="25" t="str">
        <f>IFERROR(__xludf.DUMMYFUNCTION("GOOGLETRANSLATE(H4551,""EN"",""ES"")"),"Política")</f>
        <v>Política</v>
      </c>
      <c r="J4551" s="26" t="s">
        <v>35</v>
      </c>
      <c r="K4551" s="48">
        <v>-0.8</v>
      </c>
      <c r="L4551" s="51" t="s">
        <v>32145</v>
      </c>
      <c r="M4551" s="28" t="s">
        <v>32146</v>
      </c>
      <c r="N4551" s="28" t="s">
        <v>32147</v>
      </c>
      <c r="O4551" s="89" t="str">
        <f>IFERROR(__xludf.DUMMYFUNCTION("GOOGLETRANSLATE(N4551,""EN"",""ES"")"),"Negativo, refleja oposición y preocupaciones financieras por las nuevas políticas fiscales.")</f>
        <v>Negativo, refleja oposición y preocupaciones financieras por las nuevas políticas fiscales.</v>
      </c>
      <c r="P4551" s="30">
        <v>-0.5</v>
      </c>
      <c r="Q4551" s="31" t="str">
        <f>IFERROR(__xludf.DUMMYFUNCTION("GOOGLETRANSLATE(R4551,""ES"",""EN"")"),"against")</f>
        <v>against</v>
      </c>
      <c r="R4551" s="28" t="s">
        <v>28214</v>
      </c>
      <c r="S4551" s="53" t="s">
        <v>32148</v>
      </c>
      <c r="T4551" s="32" t="s">
        <v>32149</v>
      </c>
    </row>
    <row r="4552">
      <c r="A4552" s="33" t="s">
        <v>32150</v>
      </c>
      <c r="B4552" s="76" t="s">
        <v>91</v>
      </c>
      <c r="C4552" s="99">
        <v>45616.0</v>
      </c>
      <c r="D4552" s="40" t="s">
        <v>32151</v>
      </c>
      <c r="E4552" s="100" t="s">
        <v>32152</v>
      </c>
      <c r="F4552" s="101" t="s">
        <v>32153</v>
      </c>
      <c r="G4552" s="101" t="s">
        <v>32154</v>
      </c>
      <c r="H4552" s="51" t="s">
        <v>1975</v>
      </c>
      <c r="I4552" s="15" t="str">
        <f>IFERROR(__xludf.DUMMYFUNCTION("GOOGLETRANSLATE(H4552,""EN"",""ES"")"),"Política")</f>
        <v>Política</v>
      </c>
      <c r="J4552" s="16" t="s">
        <v>35</v>
      </c>
      <c r="K4552" s="48">
        <v>-0.7</v>
      </c>
      <c r="L4552" s="49" t="s">
        <v>32155</v>
      </c>
      <c r="M4552" s="34" t="s">
        <v>32156</v>
      </c>
      <c r="N4552" s="34" t="s">
        <v>32157</v>
      </c>
      <c r="O4552" s="88" t="str">
        <f>IFERROR(__xludf.DUMMYFUNCTION("GOOGLETRANSLATE(N4552,""EN"",""ES"")"),"Negativo, destaca el impacto financiero negativo que el impuesto podría tener sobre las inversiones.")</f>
        <v>Negativo, destaca el impacto financiero negativo que el impuesto podría tener sobre las inversiones.</v>
      </c>
      <c r="P4552" s="30">
        <v>-0.6</v>
      </c>
      <c r="Q4552" s="18" t="str">
        <f>IFERROR(__xludf.DUMMYFUNCTION("GOOGLETRANSLATE(R4552,""ES"",""EN"")"),"threat")</f>
        <v>threat</v>
      </c>
      <c r="R4552" s="34" t="s">
        <v>27945</v>
      </c>
      <c r="S4552" s="52" t="s">
        <v>32158</v>
      </c>
      <c r="T4552" s="22" t="s">
        <v>32159</v>
      </c>
    </row>
    <row r="4553">
      <c r="A4553" s="23" t="s">
        <v>32160</v>
      </c>
      <c r="B4553" s="77" t="s">
        <v>43</v>
      </c>
      <c r="C4553" s="96">
        <v>45616.0</v>
      </c>
      <c r="D4553" s="40" t="s">
        <v>32161</v>
      </c>
      <c r="E4553" s="97" t="s">
        <v>32162</v>
      </c>
      <c r="F4553" s="98" t="s">
        <v>32163</v>
      </c>
      <c r="G4553" s="98" t="s">
        <v>32164</v>
      </c>
      <c r="H4553" s="49" t="s">
        <v>1975</v>
      </c>
      <c r="I4553" s="25" t="str">
        <f>IFERROR(__xludf.DUMMYFUNCTION("GOOGLETRANSLATE(H4553,""EN"",""ES"")"),"Política")</f>
        <v>Política</v>
      </c>
      <c r="J4553" s="26" t="s">
        <v>35</v>
      </c>
      <c r="K4553" s="48">
        <v>-0.6</v>
      </c>
      <c r="L4553" s="51" t="s">
        <v>32165</v>
      </c>
      <c r="M4553" s="28" t="s">
        <v>32166</v>
      </c>
      <c r="N4553" s="28" t="s">
        <v>32167</v>
      </c>
      <c r="O4553" s="89" t="str">
        <f>IFERROR(__xludf.DUMMYFUNCTION("GOOGLETRANSLATE(N4553,""EN"",""ES"")"),"Negativo, enfatiza las preocupaciones sobre el impacto en las inversiones verdes.")</f>
        <v>Negativo, enfatiza las preocupaciones sobre el impacto en las inversiones verdes.</v>
      </c>
      <c r="P4553" s="30">
        <v>-0.5</v>
      </c>
      <c r="Q4553" s="31" t="str">
        <f>IFERROR(__xludf.DUMMYFUNCTION("GOOGLETRANSLATE(R4553,""ES"",""EN"")"),"jeopardize")</f>
        <v>jeopardize</v>
      </c>
      <c r="R4553" s="28" t="s">
        <v>32168</v>
      </c>
      <c r="S4553" s="53" t="s">
        <v>32169</v>
      </c>
      <c r="T4553" s="32" t="s">
        <v>32170</v>
      </c>
    </row>
    <row r="4554">
      <c r="A4554" s="33" t="s">
        <v>32171</v>
      </c>
      <c r="B4554" s="76" t="s">
        <v>217</v>
      </c>
      <c r="C4554" s="99">
        <v>45616.0</v>
      </c>
      <c r="D4554" s="40" t="s">
        <v>32172</v>
      </c>
      <c r="E4554" s="100" t="s">
        <v>32173</v>
      </c>
      <c r="F4554" s="101" t="s">
        <v>32174</v>
      </c>
      <c r="G4554" s="101" t="s">
        <v>32175</v>
      </c>
      <c r="H4554" s="51" t="s">
        <v>1975</v>
      </c>
      <c r="I4554" s="15" t="str">
        <f>IFERROR(__xludf.DUMMYFUNCTION("GOOGLETRANSLATE(H4554,""EN"",""ES"")"),"Política")</f>
        <v>Política</v>
      </c>
      <c r="J4554" s="16" t="s">
        <v>35</v>
      </c>
      <c r="K4554" s="48">
        <v>-0.7</v>
      </c>
      <c r="L4554" s="49" t="s">
        <v>32176</v>
      </c>
      <c r="M4554" s="34" t="s">
        <v>32177</v>
      </c>
      <c r="N4554" s="34" t="s">
        <v>32178</v>
      </c>
      <c r="O4554" s="88" t="str">
        <f>IFERROR(__xludf.DUMMYFUNCTION("GOOGLETRANSLATE(N4554,""EN"",""ES"")"),"Negativo, indica una fuerte resistencia del sector energético a la política fiscal.")</f>
        <v>Negativo, indica una fuerte resistencia del sector energético a la política fiscal.</v>
      </c>
      <c r="P4554" s="30">
        <v>-0.7</v>
      </c>
      <c r="Q4554" s="18" t="str">
        <f>IFERROR(__xludf.DUMMYFUNCTION("GOOGLETRANSLATE(R4554,""ES"",""EN"")"),"threaten")</f>
        <v>threaten</v>
      </c>
      <c r="R4554" s="34" t="s">
        <v>29980</v>
      </c>
      <c r="S4554" s="52" t="s">
        <v>32179</v>
      </c>
      <c r="T4554" s="22" t="s">
        <v>32180</v>
      </c>
    </row>
    <row r="4555">
      <c r="A4555" s="23" t="s">
        <v>32181</v>
      </c>
      <c r="B4555" s="77" t="s">
        <v>614</v>
      </c>
      <c r="C4555" s="96">
        <v>45616.0</v>
      </c>
      <c r="D4555" s="40" t="s">
        <v>32182</v>
      </c>
      <c r="E4555" s="97" t="s">
        <v>32183</v>
      </c>
      <c r="F4555" s="98" t="s">
        <v>32184</v>
      </c>
      <c r="G4555" s="98" t="s">
        <v>32185</v>
      </c>
      <c r="H4555" s="49" t="s">
        <v>3871</v>
      </c>
      <c r="I4555" s="25" t="str">
        <f>IFERROR(__xludf.DUMMYFUNCTION("GOOGLETRANSLATE(H4555,""EN"",""ES"")"),"Educación")</f>
        <v>Educación</v>
      </c>
      <c r="J4555" s="26" t="s">
        <v>27</v>
      </c>
      <c r="K4555" s="17">
        <v>0.0</v>
      </c>
      <c r="L4555" s="51"/>
      <c r="M4555" s="31"/>
      <c r="N4555" s="31"/>
      <c r="O4555" s="89"/>
      <c r="P4555" s="20">
        <v>0.0</v>
      </c>
      <c r="Q4555" s="31"/>
      <c r="R4555" s="31"/>
      <c r="S4555" s="53"/>
      <c r="T4555" s="32"/>
    </row>
    <row r="4556">
      <c r="A4556" s="33" t="s">
        <v>32186</v>
      </c>
      <c r="B4556" s="76" t="s">
        <v>103</v>
      </c>
      <c r="C4556" s="99">
        <v>45616.0</v>
      </c>
      <c r="D4556" s="40" t="s">
        <v>32187</v>
      </c>
      <c r="E4556" s="100" t="s">
        <v>32188</v>
      </c>
      <c r="F4556" s="101" t="s">
        <v>32189</v>
      </c>
      <c r="G4556" s="101" t="s">
        <v>32190</v>
      </c>
      <c r="H4556" s="51" t="s">
        <v>1975</v>
      </c>
      <c r="I4556" s="15" t="str">
        <f>IFERROR(__xludf.DUMMYFUNCTION("GOOGLETRANSLATE(H4556,""EN"",""ES"")"),"Política")</f>
        <v>Política</v>
      </c>
      <c r="J4556" s="16" t="s">
        <v>35</v>
      </c>
      <c r="K4556" s="48">
        <v>-0.7</v>
      </c>
      <c r="L4556" s="49" t="s">
        <v>32191</v>
      </c>
      <c r="M4556" s="34" t="s">
        <v>32192</v>
      </c>
      <c r="N4556" s="34" t="s">
        <v>32193</v>
      </c>
      <c r="O4556" s="88" t="str">
        <f>IFERROR(__xludf.DUMMYFUNCTION("GOOGLETRANSLATE(N4556,""EN"",""ES"")"),"Negativo, continúa la oposición al impuesto propuesto, centrándose en el impacto negativo.")</f>
        <v>Negativo, continúa la oposición al impuesto propuesto, centrándose en el impacto negativo.</v>
      </c>
      <c r="P4556" s="30">
        <v>-0.4</v>
      </c>
      <c r="Q4556" s="18" t="str">
        <f>IFERROR(__xludf.DUMMYFUNCTION("GOOGLETRANSLATE(R4556,""ES"",""EN"")"),"lashes out")</f>
        <v>lashes out</v>
      </c>
      <c r="R4556" s="34" t="s">
        <v>32194</v>
      </c>
      <c r="S4556" s="52" t="s">
        <v>32195</v>
      </c>
      <c r="T4556" s="22" t="s">
        <v>32196</v>
      </c>
    </row>
    <row r="4557">
      <c r="A4557" s="23" t="s">
        <v>32197</v>
      </c>
      <c r="B4557" s="77" t="s">
        <v>43</v>
      </c>
      <c r="C4557" s="96">
        <v>45616.0</v>
      </c>
      <c r="D4557" s="40" t="s">
        <v>32198</v>
      </c>
      <c r="E4557" s="97" t="s">
        <v>32199</v>
      </c>
      <c r="F4557" s="98" t="s">
        <v>32200</v>
      </c>
      <c r="G4557" s="98" t="s">
        <v>32201</v>
      </c>
      <c r="H4557" s="49" t="s">
        <v>1975</v>
      </c>
      <c r="I4557" s="25" t="str">
        <f>IFERROR(__xludf.DUMMYFUNCTION("GOOGLETRANSLATE(H4557,""EN"",""ES"")"),"Política")</f>
        <v>Política</v>
      </c>
      <c r="J4557" s="26" t="s">
        <v>35</v>
      </c>
      <c r="K4557" s="48">
        <v>-0.7</v>
      </c>
      <c r="L4557" s="51" t="s">
        <v>32176</v>
      </c>
      <c r="M4557" s="28" t="s">
        <v>32177</v>
      </c>
      <c r="N4557" s="28" t="s">
        <v>32202</v>
      </c>
      <c r="O4557" s="89" t="str">
        <f>IFERROR(__xludf.DUMMYFUNCTION("GOOGLETRANSLATE(N4557,""EN"",""ES"")"),"Negativo, advierte de importantes consecuencias financieras para el sector energético.")</f>
        <v>Negativo, advierte de importantes consecuencias financieras para el sector energético.</v>
      </c>
      <c r="P4557" s="30">
        <v>-0.6</v>
      </c>
      <c r="Q4557" s="31" t="str">
        <f>IFERROR(__xludf.DUMMYFUNCTION("GOOGLETRANSLATE(R4557,""ES"",""EN"")"),"threat")</f>
        <v>threat</v>
      </c>
      <c r="R4557" s="28" t="s">
        <v>27945</v>
      </c>
      <c r="S4557" s="53" t="s">
        <v>29515</v>
      </c>
      <c r="T4557" s="32" t="s">
        <v>26915</v>
      </c>
    </row>
    <row r="4558">
      <c r="A4558" s="33" t="s">
        <v>32203</v>
      </c>
      <c r="B4558" s="76" t="s">
        <v>18119</v>
      </c>
      <c r="C4558" s="99">
        <v>45617.0</v>
      </c>
      <c r="D4558" s="40" t="s">
        <v>32204</v>
      </c>
      <c r="E4558" s="100" t="s">
        <v>32205</v>
      </c>
      <c r="F4558" s="101" t="s">
        <v>32206</v>
      </c>
      <c r="G4558" s="101" t="s">
        <v>32207</v>
      </c>
      <c r="H4558" s="51" t="s">
        <v>408</v>
      </c>
      <c r="I4558" s="15" t="str">
        <f>IFERROR(__xludf.DUMMYFUNCTION("GOOGLETRANSLATE(H4558,""EN"",""ES"")"),"Legal")</f>
        <v>Legal</v>
      </c>
      <c r="J4558" s="16" t="s">
        <v>35</v>
      </c>
      <c r="K4558" s="48">
        <v>-0.6</v>
      </c>
      <c r="L4558" s="49" t="s">
        <v>31615</v>
      </c>
      <c r="M4558" s="34" t="s">
        <v>31616</v>
      </c>
      <c r="N4558" s="34" t="s">
        <v>32208</v>
      </c>
      <c r="O4558" s="88" t="str">
        <f>IFERROR(__xludf.DUMMYFUNCTION("GOOGLETRANSLATE(N4558,""EN"",""ES"")"),"Negativo, implica una batalla legal entre las principales empresas energéticas por reclamos ambientales.")</f>
        <v>Negativo, implica una batalla legal entre las principales empresas energéticas por reclamos ambientales.</v>
      </c>
      <c r="P4558" s="30">
        <v>-0.8</v>
      </c>
      <c r="Q4558" s="18" t="str">
        <f>IFERROR(__xludf.DUMMYFUNCTION("GOOGLETRANSLATE(R4558,""ES"",""EN"")"),"eco-bleaching")</f>
        <v>eco-bleaching</v>
      </c>
      <c r="R4558" s="34" t="s">
        <v>32209</v>
      </c>
      <c r="S4558" s="52" t="s">
        <v>32128</v>
      </c>
      <c r="T4558" s="22" t="s">
        <v>32129</v>
      </c>
    </row>
    <row r="4559">
      <c r="A4559" s="23" t="s">
        <v>32210</v>
      </c>
      <c r="B4559" s="77" t="s">
        <v>499</v>
      </c>
      <c r="C4559" s="96">
        <v>45617.0</v>
      </c>
      <c r="D4559" s="40" t="s">
        <v>32211</v>
      </c>
      <c r="E4559" s="97" t="s">
        <v>32212</v>
      </c>
      <c r="F4559" s="98" t="s">
        <v>32213</v>
      </c>
      <c r="G4559" s="98" t="s">
        <v>32214</v>
      </c>
      <c r="H4559" s="49" t="s">
        <v>408</v>
      </c>
      <c r="I4559" s="25" t="str">
        <f>IFERROR(__xludf.DUMMYFUNCTION("GOOGLETRANSLATE(H4559,""EN"",""ES"")"),"Legal")</f>
        <v>Legal</v>
      </c>
      <c r="J4559" s="26" t="s">
        <v>35</v>
      </c>
      <c r="K4559" s="48">
        <v>-0.7</v>
      </c>
      <c r="L4559" s="51" t="s">
        <v>31615</v>
      </c>
      <c r="M4559" s="28" t="s">
        <v>31616</v>
      </c>
      <c r="N4559" s="28" t="s">
        <v>32215</v>
      </c>
      <c r="O4559" s="89" t="str">
        <f>IFERROR(__xludf.DUMMYFUNCTION("GOOGLETRANSLATE(N4559,""EN"",""ES"")"),"Negativo, refleja el conflicto legal por la responsabilidad ambiental.")</f>
        <v>Negativo, refleja el conflicto legal por la responsabilidad ambiental.</v>
      </c>
      <c r="P4559" s="30">
        <v>-0.7</v>
      </c>
      <c r="Q4559" s="31" t="str">
        <f>IFERROR(__xludf.DUMMYFUNCTION("GOOGLETRANSLATE(R4559,""ES"",""EN"")"),"combat")</f>
        <v>combat</v>
      </c>
      <c r="R4559" s="28" t="s">
        <v>32216</v>
      </c>
      <c r="S4559" s="53" t="s">
        <v>32217</v>
      </c>
      <c r="T4559" s="32" t="s">
        <v>32218</v>
      </c>
    </row>
    <row r="4560">
      <c r="A4560" s="33" t="s">
        <v>32219</v>
      </c>
      <c r="B4560" s="76" t="s">
        <v>3151</v>
      </c>
      <c r="C4560" s="99">
        <v>45617.0</v>
      </c>
      <c r="D4560" s="40" t="s">
        <v>32220</v>
      </c>
      <c r="E4560" s="100" t="s">
        <v>32221</v>
      </c>
      <c r="F4560" s="101" t="s">
        <v>32222</v>
      </c>
      <c r="G4560" s="101" t="s">
        <v>32223</v>
      </c>
      <c r="H4560" s="51" t="s">
        <v>408</v>
      </c>
      <c r="I4560" s="15" t="str">
        <f>IFERROR(__xludf.DUMMYFUNCTION("GOOGLETRANSLATE(H4560,""EN"",""ES"")"),"Legal")</f>
        <v>Legal</v>
      </c>
      <c r="J4560" s="16" t="s">
        <v>35</v>
      </c>
      <c r="K4560" s="48">
        <v>-0.7</v>
      </c>
      <c r="L4560" s="49" t="s">
        <v>31615</v>
      </c>
      <c r="M4560" s="34" t="s">
        <v>31616</v>
      </c>
      <c r="N4560" s="34" t="s">
        <v>32224</v>
      </c>
      <c r="O4560" s="88" t="str">
        <f>IFERROR(__xludf.DUMMYFUNCTION("GOOGLETRANSLATE(N4560,""EN"",""ES"")"),"Negativo, enfatiza un conflicto legal en torno a reclamaciones ambientales.")</f>
        <v>Negativo, enfatiza un conflicto legal en torno a reclamaciones ambientales.</v>
      </c>
      <c r="P4560" s="30">
        <v>-0.8</v>
      </c>
      <c r="Q4560" s="18" t="str">
        <f>IFERROR(__xludf.DUMMYFUNCTION("GOOGLETRANSLATE(R4560,""ES"",""EN"")"),"face")</f>
        <v>face</v>
      </c>
      <c r="R4560" s="34" t="s">
        <v>32127</v>
      </c>
      <c r="S4560" s="52" t="s">
        <v>32085</v>
      </c>
      <c r="T4560" s="22" t="s">
        <v>32086</v>
      </c>
    </row>
    <row r="4561">
      <c r="A4561" s="23" t="s">
        <v>32225</v>
      </c>
      <c r="B4561" s="77" t="s">
        <v>8390</v>
      </c>
      <c r="C4561" s="96">
        <v>45617.0</v>
      </c>
      <c r="D4561" s="40" t="s">
        <v>32226</v>
      </c>
      <c r="E4561" s="97" t="s">
        <v>32227</v>
      </c>
      <c r="F4561" s="98" t="s">
        <v>32228</v>
      </c>
      <c r="G4561" s="98" t="s">
        <v>32229</v>
      </c>
      <c r="H4561" s="49" t="s">
        <v>408</v>
      </c>
      <c r="I4561" s="25" t="str">
        <f>IFERROR(__xludf.DUMMYFUNCTION("GOOGLETRANSLATE(H4561,""EN"",""ES"")"),"Legal")</f>
        <v>Legal</v>
      </c>
      <c r="J4561" s="26" t="s">
        <v>35</v>
      </c>
      <c r="K4561" s="48">
        <v>-0.7</v>
      </c>
      <c r="L4561" s="51" t="s">
        <v>31615</v>
      </c>
      <c r="M4561" s="28" t="s">
        <v>31616</v>
      </c>
      <c r="N4561" s="28" t="s">
        <v>32230</v>
      </c>
      <c r="O4561" s="89" t="str">
        <f>IFERROR(__xludf.DUMMYFUNCTION("GOOGLETRANSLATE(N4561,""EN"",""ES"")"),"Negativo, destaca un conflicto legal de alto riesgo sobre los reclamos de sostenibilidad corporativa.")</f>
        <v>Negativo, destaca un conflicto legal de alto riesgo sobre los reclamos de sostenibilidad corporativa.</v>
      </c>
      <c r="P4561" s="30">
        <v>-0.8</v>
      </c>
      <c r="Q4561" s="31" t="str">
        <f>IFERROR(__xludf.DUMMYFUNCTION("GOOGLETRANSLATE(R4561,""ES"",""EN"")"),"face to face")</f>
        <v>face to face</v>
      </c>
      <c r="R4561" s="28" t="s">
        <v>32231</v>
      </c>
      <c r="S4561" s="53" t="s">
        <v>32128</v>
      </c>
      <c r="T4561" s="32" t="s">
        <v>32129</v>
      </c>
    </row>
    <row r="4562">
      <c r="A4562" s="33" t="s">
        <v>32232</v>
      </c>
      <c r="B4562" s="76" t="s">
        <v>103</v>
      </c>
      <c r="C4562" s="99">
        <v>45617.0</v>
      </c>
      <c r="D4562" s="40" t="s">
        <v>32233</v>
      </c>
      <c r="E4562" s="100" t="s">
        <v>32234</v>
      </c>
      <c r="F4562" s="101" t="s">
        <v>32235</v>
      </c>
      <c r="G4562" s="101" t="s">
        <v>32236</v>
      </c>
      <c r="H4562" s="51" t="s">
        <v>408</v>
      </c>
      <c r="I4562" s="15" t="str">
        <f>IFERROR(__xludf.DUMMYFUNCTION("GOOGLETRANSLATE(H4562,""EN"",""ES"")"),"Legal")</f>
        <v>Legal</v>
      </c>
      <c r="J4562" s="16" t="s">
        <v>35</v>
      </c>
      <c r="K4562" s="48">
        <v>-0.6</v>
      </c>
      <c r="L4562" s="49" t="s">
        <v>32237</v>
      </c>
      <c r="M4562" s="34" t="s">
        <v>32238</v>
      </c>
      <c r="N4562" s="34" t="s">
        <v>32239</v>
      </c>
      <c r="O4562" s="88" t="str">
        <f>IFERROR(__xludf.DUMMYFUNCTION("GOOGLETRANSLATE(N4562,""EN"",""ES"")"),"Negativo, muestra un choque entre las afirmaciones de sostenibilidad y las prácticas de la industria petrolera.")</f>
        <v>Negativo, muestra un choque entre las afirmaciones de sostenibilidad y las prácticas de la industria petrolera.</v>
      </c>
      <c r="P4562" s="30">
        <v>-0.6</v>
      </c>
      <c r="Q4562" s="18" t="str">
        <f>IFERROR(__xludf.DUMMYFUNCTION("GOOGLETRANSLATE(R4562,""ES"",""EN"")"),"ecopostureo")</f>
        <v>ecopostureo</v>
      </c>
      <c r="R4562" s="34" t="s">
        <v>32071</v>
      </c>
      <c r="S4562" s="52" t="s">
        <v>32240</v>
      </c>
      <c r="T4562" s="22" t="s">
        <v>32241</v>
      </c>
    </row>
    <row r="4563">
      <c r="A4563" s="23" t="s">
        <v>32242</v>
      </c>
      <c r="B4563" s="77" t="s">
        <v>431</v>
      </c>
      <c r="C4563" s="96">
        <v>45617.0</v>
      </c>
      <c r="D4563" s="40" t="s">
        <v>32243</v>
      </c>
      <c r="E4563" s="97" t="s">
        <v>32244</v>
      </c>
      <c r="F4563" s="98" t="s">
        <v>32245</v>
      </c>
      <c r="G4563" s="98" t="s">
        <v>32246</v>
      </c>
      <c r="H4563" s="49" t="s">
        <v>148</v>
      </c>
      <c r="I4563" s="25" t="str">
        <f>IFERROR(__xludf.DUMMYFUNCTION("GOOGLETRANSLATE(H4563,""EN"",""ES"")"),"Gastronomía")</f>
        <v>Gastronomía</v>
      </c>
      <c r="J4563" s="26" t="s">
        <v>27</v>
      </c>
      <c r="K4563" s="17">
        <v>0.0</v>
      </c>
      <c r="L4563" s="51"/>
      <c r="M4563" s="31"/>
      <c r="N4563" s="31"/>
      <c r="O4563" s="89"/>
      <c r="P4563" s="20">
        <v>0.0</v>
      </c>
      <c r="Q4563" s="31"/>
      <c r="R4563" s="31"/>
      <c r="S4563" s="53"/>
      <c r="T4563" s="32"/>
    </row>
    <row r="4564">
      <c r="A4564" s="33" t="s">
        <v>32247</v>
      </c>
      <c r="B4564" s="76" t="s">
        <v>23589</v>
      </c>
      <c r="C4564" s="99">
        <v>45617.0</v>
      </c>
      <c r="D4564" s="40" t="s">
        <v>32248</v>
      </c>
      <c r="E4564" s="100" t="s">
        <v>32249</v>
      </c>
      <c r="F4564" s="101" t="s">
        <v>32250</v>
      </c>
      <c r="G4564" s="101" t="s">
        <v>32251</v>
      </c>
      <c r="H4564" s="51" t="s">
        <v>2591</v>
      </c>
      <c r="I4564" s="15" t="str">
        <f>IFERROR(__xludf.DUMMYFUNCTION("GOOGLETRANSLATE(H4564,""EN"",""ES"")"),"Negocio")</f>
        <v>Negocio</v>
      </c>
      <c r="J4564" s="16" t="s">
        <v>35</v>
      </c>
      <c r="K4564" s="48">
        <v>0.8</v>
      </c>
      <c r="L4564" s="49" t="s">
        <v>32252</v>
      </c>
      <c r="M4564" s="34" t="s">
        <v>32253</v>
      </c>
      <c r="N4564" s="34" t="s">
        <v>32254</v>
      </c>
      <c r="O4564" s="88" t="str">
        <f>IFERROR(__xludf.DUMMYFUNCTION("GOOGLETRANSLATE(N4564,""EN"",""ES"")"),"Positivo, destaca una nueva asociación para ampliar los servicios al cliente.")</f>
        <v>Positivo, destaca una nueva asociación para ampliar los servicios al cliente.</v>
      </c>
      <c r="P4564" s="30">
        <v>0.5</v>
      </c>
      <c r="Q4564" s="18" t="str">
        <f>IFERROR(__xludf.DUMMYFUNCTION("GOOGLETRANSLATE(R4564,""ES"",""EN"")"),"associate")</f>
        <v>associate</v>
      </c>
      <c r="R4564" s="34" t="s">
        <v>32255</v>
      </c>
      <c r="S4564" s="52" t="s">
        <v>32256</v>
      </c>
      <c r="T4564" s="22" t="s">
        <v>32257</v>
      </c>
    </row>
    <row r="4565">
      <c r="A4565" s="23" t="s">
        <v>32258</v>
      </c>
      <c r="B4565" s="77" t="s">
        <v>21</v>
      </c>
      <c r="C4565" s="96">
        <v>45617.0</v>
      </c>
      <c r="D4565" s="40" t="s">
        <v>32259</v>
      </c>
      <c r="E4565" s="97" t="s">
        <v>32260</v>
      </c>
      <c r="F4565" s="98" t="s">
        <v>32261</v>
      </c>
      <c r="G4565" s="98" t="s">
        <v>32262</v>
      </c>
      <c r="H4565" s="49" t="s">
        <v>148</v>
      </c>
      <c r="I4565" s="25" t="str">
        <f>IFERROR(__xludf.DUMMYFUNCTION("GOOGLETRANSLATE(H4565,""EN"",""ES"")"),"Gastronomía")</f>
        <v>Gastronomía</v>
      </c>
      <c r="J4565" s="26" t="s">
        <v>27</v>
      </c>
      <c r="K4565" s="17">
        <v>0.0</v>
      </c>
      <c r="L4565" s="51"/>
      <c r="M4565" s="31"/>
      <c r="N4565" s="31"/>
      <c r="O4565" s="89"/>
      <c r="P4565" s="20">
        <v>0.0</v>
      </c>
      <c r="Q4565" s="31"/>
      <c r="R4565" s="31"/>
      <c r="S4565" s="53"/>
      <c r="T4565" s="32"/>
    </row>
    <row r="4566">
      <c r="A4566" s="33" t="s">
        <v>32263</v>
      </c>
      <c r="B4566" s="76" t="s">
        <v>448</v>
      </c>
      <c r="C4566" s="99">
        <v>45617.0</v>
      </c>
      <c r="D4566" s="40" t="s">
        <v>32264</v>
      </c>
      <c r="E4566" s="100" t="s">
        <v>32265</v>
      </c>
      <c r="F4566" s="101" t="s">
        <v>32266</v>
      </c>
      <c r="G4566" s="101" t="s">
        <v>32267</v>
      </c>
      <c r="H4566" s="51" t="s">
        <v>408</v>
      </c>
      <c r="I4566" s="15" t="str">
        <f>IFERROR(__xludf.DUMMYFUNCTION("GOOGLETRANSLATE(H4566,""EN"",""ES"")"),"Legal")</f>
        <v>Legal</v>
      </c>
      <c r="J4566" s="16" t="s">
        <v>35</v>
      </c>
      <c r="K4566" s="48">
        <v>-0.7</v>
      </c>
      <c r="L4566" s="49" t="s">
        <v>31615</v>
      </c>
      <c r="M4566" s="34" t="s">
        <v>31616</v>
      </c>
      <c r="N4566" s="34" t="s">
        <v>32268</v>
      </c>
      <c r="O4566" s="88" t="str">
        <f>IFERROR(__xludf.DUMMYFUNCTION("GOOGLETRANSLATE(N4566,""EN"",""ES"")"),"Negativo, se centra en el conflicto legal en curso entre las dos empresas.")</f>
        <v>Negativo, se centra en el conflicto legal en curso entre las dos empresas.</v>
      </c>
      <c r="P4566" s="30">
        <v>-0.8</v>
      </c>
      <c r="Q4566" s="18" t="str">
        <f>IFERROR(__xludf.DUMMYFUNCTION("GOOGLETRANSLATE(R4566,""ES"",""EN"")"),"will face")</f>
        <v>will face</v>
      </c>
      <c r="R4566" s="34" t="s">
        <v>32269</v>
      </c>
      <c r="S4566" s="52" t="s">
        <v>32128</v>
      </c>
      <c r="T4566" s="22" t="s">
        <v>32129</v>
      </c>
    </row>
    <row r="4567">
      <c r="A4567" s="23" t="s">
        <v>32270</v>
      </c>
      <c r="B4567" s="77" t="s">
        <v>8287</v>
      </c>
      <c r="C4567" s="96">
        <v>45617.0</v>
      </c>
      <c r="D4567" s="40" t="s">
        <v>32271</v>
      </c>
      <c r="E4567" s="97" t="s">
        <v>32272</v>
      </c>
      <c r="F4567" s="98" t="s">
        <v>32273</v>
      </c>
      <c r="G4567" s="98" t="s">
        <v>32274</v>
      </c>
      <c r="H4567" s="49" t="s">
        <v>408</v>
      </c>
      <c r="I4567" s="25" t="str">
        <f>IFERROR(__xludf.DUMMYFUNCTION("GOOGLETRANSLATE(H4567,""EN"",""ES"")"),"Legal")</f>
        <v>Legal</v>
      </c>
      <c r="J4567" s="26" t="s">
        <v>35</v>
      </c>
      <c r="K4567" s="48">
        <v>-0.7</v>
      </c>
      <c r="L4567" s="51" t="s">
        <v>31615</v>
      </c>
      <c r="M4567" s="28" t="s">
        <v>31616</v>
      </c>
      <c r="N4567" s="28" t="s">
        <v>32275</v>
      </c>
      <c r="O4567" s="89" t="str">
        <f>IFERROR(__xludf.DUMMYFUNCTION("GOOGLETRANSLATE(N4567,""EN"",""ES"")"),"Negativo, marca el inicio de una importante batalla legal por reclamos ambientales.")</f>
        <v>Negativo, marca el inicio de una importante batalla legal por reclamos ambientales.</v>
      </c>
      <c r="P4567" s="30">
        <v>-0.8</v>
      </c>
      <c r="Q4567" s="31" t="str">
        <f>IFERROR(__xludf.DUMMYFUNCTION("GOOGLETRANSLATE(R4567,""ES"",""EN"")"),"against")</f>
        <v>against</v>
      </c>
      <c r="R4567" s="28" t="s">
        <v>28214</v>
      </c>
      <c r="S4567" s="53" t="s">
        <v>32085</v>
      </c>
      <c r="T4567" s="32" t="s">
        <v>32086</v>
      </c>
    </row>
    <row r="4568">
      <c r="A4568" s="33" t="s">
        <v>32276</v>
      </c>
      <c r="B4568" s="76" t="s">
        <v>207</v>
      </c>
      <c r="C4568" s="99">
        <v>45617.0</v>
      </c>
      <c r="D4568" s="40" t="s">
        <v>32277</v>
      </c>
      <c r="E4568" s="100" t="s">
        <v>32277</v>
      </c>
      <c r="F4568" s="101" t="s">
        <v>32278</v>
      </c>
      <c r="G4568" s="101" t="s">
        <v>32278</v>
      </c>
      <c r="H4568" s="51" t="s">
        <v>1975</v>
      </c>
      <c r="I4568" s="15" t="str">
        <f>IFERROR(__xludf.DUMMYFUNCTION("GOOGLETRANSLATE(H4568,""EN"",""ES"")"),"Política")</f>
        <v>Política</v>
      </c>
      <c r="J4568" s="16" t="s">
        <v>35</v>
      </c>
      <c r="K4568" s="48">
        <v>-0.8</v>
      </c>
      <c r="L4568" s="49" t="s">
        <v>32176</v>
      </c>
      <c r="M4568" s="34" t="s">
        <v>32177</v>
      </c>
      <c r="N4568" s="34" t="s">
        <v>32279</v>
      </c>
      <c r="O4568" s="88" t="str">
        <f>IFERROR(__xludf.DUMMYFUNCTION("GOOGLETRANSLATE(N4568,""EN"",""ES"")"),"Negativo, destaca posibles pérdidas financieras para la transición verde debido al impuesto propuesto.")</f>
        <v>Negativo, destaca posibles pérdidas financieras para la transición verde debido al impuesto propuesto.</v>
      </c>
      <c r="P4568" s="30">
        <v>-0.7</v>
      </c>
      <c r="Q4568" s="18" t="str">
        <f>IFERROR(__xludf.DUMMYFUNCTION("GOOGLETRANSLATE(R4568,""ES"",""EN"")"),"they will not invest")</f>
        <v>they will not invest</v>
      </c>
      <c r="R4568" s="34" t="s">
        <v>32280</v>
      </c>
      <c r="S4568" s="52" t="s">
        <v>32281</v>
      </c>
      <c r="T4568" s="22" t="s">
        <v>32282</v>
      </c>
    </row>
    <row r="4569">
      <c r="A4569" s="23" t="s">
        <v>32283</v>
      </c>
      <c r="B4569" s="77" t="s">
        <v>2442</v>
      </c>
      <c r="C4569" s="96">
        <v>45617.0</v>
      </c>
      <c r="D4569" s="40" t="s">
        <v>32284</v>
      </c>
      <c r="E4569" s="97" t="s">
        <v>32285</v>
      </c>
      <c r="F4569" s="98" t="s">
        <v>32286</v>
      </c>
      <c r="G4569" s="98" t="s">
        <v>32287</v>
      </c>
      <c r="H4569" s="49" t="s">
        <v>408</v>
      </c>
      <c r="I4569" s="25" t="str">
        <f>IFERROR(__xludf.DUMMYFUNCTION("GOOGLETRANSLATE(H4569,""EN"",""ES"")"),"Legal")</f>
        <v>Legal</v>
      </c>
      <c r="J4569" s="26" t="s">
        <v>35</v>
      </c>
      <c r="K4569" s="48">
        <v>-0.6</v>
      </c>
      <c r="L4569" s="51" t="s">
        <v>31615</v>
      </c>
      <c r="M4569" s="28" t="s">
        <v>31616</v>
      </c>
      <c r="N4569" s="28" t="s">
        <v>32288</v>
      </c>
      <c r="O4569" s="89" t="str">
        <f>IFERROR(__xludf.DUMMYFUNCTION("GOOGLETRANSLATE(N4569,""EN"",""ES"")"),"Negativo, muestra la lucha legal en curso entre las dos empresas.")</f>
        <v>Negativo, muestra la lucha legal en curso entre las dos empresas.</v>
      </c>
      <c r="P4569" s="30">
        <v>-0.6</v>
      </c>
      <c r="Q4569" s="31" t="str">
        <f>IFERROR(__xludf.DUMMYFUNCTION("GOOGLETRANSLATE(R4569,""ES"",""EN"")"),"differences")</f>
        <v>differences</v>
      </c>
      <c r="R4569" s="28" t="s">
        <v>32289</v>
      </c>
      <c r="S4569" s="53" t="s">
        <v>32072</v>
      </c>
      <c r="T4569" s="32" t="s">
        <v>32073</v>
      </c>
    </row>
    <row r="4570">
      <c r="A4570" s="33" t="s">
        <v>32290</v>
      </c>
      <c r="B4570" s="76" t="s">
        <v>6608</v>
      </c>
      <c r="C4570" s="99">
        <v>45617.0</v>
      </c>
      <c r="D4570" s="40" t="s">
        <v>32291</v>
      </c>
      <c r="E4570" s="100" t="s">
        <v>32292</v>
      </c>
      <c r="F4570" s="101" t="s">
        <v>32293</v>
      </c>
      <c r="G4570" s="101" t="s">
        <v>32294</v>
      </c>
      <c r="H4570" s="102" t="s">
        <v>395</v>
      </c>
      <c r="I4570" s="15" t="str">
        <f>IFERROR(__xludf.DUMMYFUNCTION("GOOGLETRANSLATE(H4570,""EN"",""ES"")"),"Ambiente")</f>
        <v>Ambiente</v>
      </c>
      <c r="J4570" s="16" t="s">
        <v>35</v>
      </c>
      <c r="K4570" s="48">
        <v>0.8</v>
      </c>
      <c r="L4570" s="49" t="s">
        <v>32295</v>
      </c>
      <c r="M4570" s="34" t="s">
        <v>32296</v>
      </c>
      <c r="N4570" s="91" t="s">
        <v>32297</v>
      </c>
      <c r="O4570" s="91" t="str">
        <f>IFERROR(__xludf.DUMMYFUNCTION("GOOGLETRANSLATE(N4570,""EN"",""ES"")"),"Positivo, destaca la contribución de Repsol a la expansión de las energías renovables.")</f>
        <v>Positivo, destaca la contribución de Repsol a la expansión de las energías renovables.</v>
      </c>
      <c r="P4570" s="30">
        <v>0.7</v>
      </c>
      <c r="Q4570" s="18" t="str">
        <f>IFERROR(__xludf.DUMMYFUNCTION("GOOGLETRANSLATE(R4570,""ES"",""EN"")"),"poses")</f>
        <v>poses</v>
      </c>
      <c r="R4570" s="34" t="s">
        <v>32298</v>
      </c>
      <c r="S4570" s="52" t="s">
        <v>32299</v>
      </c>
      <c r="T4570" s="22" t="s">
        <v>32300</v>
      </c>
    </row>
    <row r="4571">
      <c r="A4571" s="23" t="s">
        <v>32301</v>
      </c>
      <c r="B4571" s="77" t="s">
        <v>6496</v>
      </c>
      <c r="C4571" s="96">
        <v>45617.0</v>
      </c>
      <c r="D4571" s="40" t="s">
        <v>32302</v>
      </c>
      <c r="E4571" s="97" t="s">
        <v>32303</v>
      </c>
      <c r="F4571" s="98" t="s">
        <v>32304</v>
      </c>
      <c r="G4571" s="98" t="s">
        <v>32305</v>
      </c>
      <c r="H4571" s="103" t="s">
        <v>1975</v>
      </c>
      <c r="I4571" s="25" t="str">
        <f>IFERROR(__xludf.DUMMYFUNCTION("GOOGLETRANSLATE(H4571,""EN"",""ES"")"),"Política")</f>
        <v>Política</v>
      </c>
      <c r="J4571" s="26" t="s">
        <v>35</v>
      </c>
      <c r="K4571" s="48">
        <v>-0.7</v>
      </c>
      <c r="L4571" s="51" t="s">
        <v>32306</v>
      </c>
      <c r="M4571" s="28" t="s">
        <v>32307</v>
      </c>
      <c r="N4571" s="90" t="s">
        <v>32308</v>
      </c>
      <c r="O4571" s="90" t="str">
        <f>IFERROR(__xludf.DUMMYFUNCTION("GOOGLETRANSLATE(N4571,""EN"",""ES"")"),"Negativo, refleja la oposición de las empresas energéticas al impuesto propuesto.")</f>
        <v>Negativo, refleja la oposición de las empresas energéticas al impuesto propuesto.</v>
      </c>
      <c r="P4571" s="30">
        <v>-0.5</v>
      </c>
      <c r="Q4571" s="31" t="str">
        <f>IFERROR(__xludf.DUMMYFUNCTION("GOOGLETRANSLATE(R4571,""ES"",""EN"")"),"resurrect")</f>
        <v>resurrect</v>
      </c>
      <c r="R4571" s="28" t="s">
        <v>32309</v>
      </c>
      <c r="S4571" s="53" t="s">
        <v>32169</v>
      </c>
      <c r="T4571" s="32" t="s">
        <v>32170</v>
      </c>
    </row>
    <row r="4572">
      <c r="A4572" s="33" t="s">
        <v>32310</v>
      </c>
      <c r="B4572" s="76" t="s">
        <v>4559</v>
      </c>
      <c r="C4572" s="99">
        <v>45617.0</v>
      </c>
      <c r="D4572" s="40" t="s">
        <v>32311</v>
      </c>
      <c r="E4572" s="100" t="s">
        <v>32312</v>
      </c>
      <c r="F4572" s="101" t="s">
        <v>32313</v>
      </c>
      <c r="G4572" s="101" t="s">
        <v>32314</v>
      </c>
      <c r="H4572" s="102" t="s">
        <v>2591</v>
      </c>
      <c r="I4572" s="15" t="str">
        <f>IFERROR(__xludf.DUMMYFUNCTION("GOOGLETRANSLATE(H4572,""EN"",""ES"")"),"Negocio")</f>
        <v>Negocio</v>
      </c>
      <c r="J4572" s="16" t="s">
        <v>35</v>
      </c>
      <c r="K4572" s="48">
        <v>0.7</v>
      </c>
      <c r="L4572" s="49" t="s">
        <v>32315</v>
      </c>
      <c r="M4572" s="34" t="s">
        <v>32316</v>
      </c>
      <c r="N4572" s="91" t="s">
        <v>32317</v>
      </c>
      <c r="O4572" s="91" t="str">
        <f>IFERROR(__xludf.DUMMYFUNCTION("GOOGLETRANSLATE(N4572,""EN"",""ES"")"),"Positivo, destaca el compromiso de Repsol con la educación y el desarrollo del talento.")</f>
        <v>Positivo, destaca el compromiso de Repsol con la educación y el desarrollo del talento.</v>
      </c>
      <c r="P4572" s="30">
        <v>0.5</v>
      </c>
      <c r="Q4572" s="18" t="str">
        <f>IFERROR(__xludf.DUMMYFUNCTION("GOOGLETRANSLATE(R4572,""ES"",""EN"")"),"training")</f>
        <v>training</v>
      </c>
      <c r="R4572" s="34" t="s">
        <v>32318</v>
      </c>
      <c r="S4572" s="52" t="s">
        <v>32319</v>
      </c>
      <c r="T4572" s="22" t="s">
        <v>32320</v>
      </c>
    </row>
    <row r="4573">
      <c r="A4573" s="23" t="s">
        <v>32321</v>
      </c>
      <c r="B4573" s="77" t="s">
        <v>1831</v>
      </c>
      <c r="C4573" s="96">
        <v>45617.0</v>
      </c>
      <c r="D4573" s="40" t="s">
        <v>32322</v>
      </c>
      <c r="E4573" s="97" t="s">
        <v>32323</v>
      </c>
      <c r="F4573" s="98" t="s">
        <v>32324</v>
      </c>
      <c r="G4573" s="98" t="s">
        <v>32325</v>
      </c>
      <c r="H4573" s="103" t="s">
        <v>408</v>
      </c>
      <c r="I4573" s="25" t="str">
        <f>IFERROR(__xludf.DUMMYFUNCTION("GOOGLETRANSLATE(H4573,""EN"",""ES"")"),"Legal")</f>
        <v>Legal</v>
      </c>
      <c r="J4573" s="26" t="s">
        <v>35</v>
      </c>
      <c r="K4573" s="48">
        <v>-0.8</v>
      </c>
      <c r="L4573" s="51" t="s">
        <v>31721</v>
      </c>
      <c r="M4573" s="28" t="s">
        <v>31722</v>
      </c>
      <c r="N4573" s="90" t="s">
        <v>32326</v>
      </c>
      <c r="O4573" s="90" t="str">
        <f>IFERROR(__xludf.DUMMYFUNCTION("GOOGLETRANSLATE(N4573,""EN"",""ES"")"),"Negativo, se centra en el enfrentamiento legal entre dos grandes empresas.")</f>
        <v>Negativo, se centra en el enfrentamiento legal entre dos grandes empresas.</v>
      </c>
      <c r="P4573" s="30">
        <v>-0.8</v>
      </c>
      <c r="Q4573" s="31" t="str">
        <f>IFERROR(__xludf.DUMMYFUNCTION("GOOGLETRANSLATE(R4573,""ES"",""EN"")"),"battle")</f>
        <v>battle</v>
      </c>
      <c r="R4573" s="28" t="s">
        <v>32327</v>
      </c>
      <c r="S4573" s="53" t="s">
        <v>32128</v>
      </c>
      <c r="T4573" s="32" t="s">
        <v>32129</v>
      </c>
    </row>
    <row r="4574">
      <c r="A4574" s="33" t="s">
        <v>32328</v>
      </c>
      <c r="B4574" s="76" t="s">
        <v>32329</v>
      </c>
      <c r="C4574" s="99">
        <v>45617.0</v>
      </c>
      <c r="D4574" s="40" t="s">
        <v>32330</v>
      </c>
      <c r="E4574" s="100" t="s">
        <v>32331</v>
      </c>
      <c r="F4574" s="101" t="s">
        <v>32332</v>
      </c>
      <c r="G4574" s="101" t="s">
        <v>32333</v>
      </c>
      <c r="H4574" s="102" t="s">
        <v>408</v>
      </c>
      <c r="I4574" s="15" t="str">
        <f>IFERROR(__xludf.DUMMYFUNCTION("GOOGLETRANSLATE(H4574,""EN"",""ES"")"),"Legal")</f>
        <v>Legal</v>
      </c>
      <c r="J4574" s="16" t="s">
        <v>35</v>
      </c>
      <c r="K4574" s="48">
        <v>-0.7</v>
      </c>
      <c r="L4574" s="49" t="s">
        <v>31615</v>
      </c>
      <c r="M4574" s="34" t="s">
        <v>31616</v>
      </c>
      <c r="N4574" s="91" t="s">
        <v>32334</v>
      </c>
      <c r="O4574" s="91" t="str">
        <f>IFERROR(__xludf.DUMMYFUNCTION("GOOGLETRANSLATE(N4574,""EN"",""ES"")"),"Negativo, destaca el conflicto por afirmaciones medioambientales engañosas.")</f>
        <v>Negativo, destaca el conflicto por afirmaciones medioambientales engañosas.</v>
      </c>
      <c r="P4574" s="30">
        <v>-0.8</v>
      </c>
      <c r="Q4574" s="18" t="str">
        <f>IFERROR(__xludf.DUMMYFUNCTION("GOOGLETRANSLATE(R4574,""ES"",""EN"")"),"face")</f>
        <v>face</v>
      </c>
      <c r="R4574" s="34" t="s">
        <v>32127</v>
      </c>
      <c r="S4574" s="52" t="s">
        <v>32085</v>
      </c>
      <c r="T4574" s="22" t="s">
        <v>32086</v>
      </c>
    </row>
    <row r="4575">
      <c r="A4575" s="23" t="s">
        <v>32335</v>
      </c>
      <c r="B4575" s="77" t="s">
        <v>163</v>
      </c>
      <c r="C4575" s="96">
        <v>45617.0</v>
      </c>
      <c r="D4575" s="40" t="s">
        <v>32336</v>
      </c>
      <c r="E4575" s="97" t="s">
        <v>32337</v>
      </c>
      <c r="F4575" s="98" t="s">
        <v>32338</v>
      </c>
      <c r="G4575" s="98" t="s">
        <v>32339</v>
      </c>
      <c r="H4575" s="103" t="s">
        <v>2591</v>
      </c>
      <c r="I4575" s="25" t="str">
        <f>IFERROR(__xludf.DUMMYFUNCTION("GOOGLETRANSLATE(H4575,""EN"",""ES"")"),"Negocio")</f>
        <v>Negocio</v>
      </c>
      <c r="J4575" s="26" t="s">
        <v>27</v>
      </c>
      <c r="K4575" s="17">
        <v>0.0</v>
      </c>
      <c r="L4575" s="51"/>
      <c r="M4575" s="31"/>
      <c r="N4575" s="90"/>
      <c r="O4575" s="90"/>
      <c r="P4575" s="20">
        <v>0.0</v>
      </c>
      <c r="Q4575" s="31"/>
      <c r="R4575" s="31"/>
      <c r="S4575" s="53"/>
      <c r="T4575" s="32"/>
    </row>
    <row r="4576">
      <c r="A4576" s="33" t="s">
        <v>32340</v>
      </c>
      <c r="B4576" s="76" t="s">
        <v>1072</v>
      </c>
      <c r="C4576" s="99">
        <v>45617.0</v>
      </c>
      <c r="D4576" s="40" t="s">
        <v>32341</v>
      </c>
      <c r="E4576" s="100" t="s">
        <v>32342</v>
      </c>
      <c r="F4576" s="101" t="s">
        <v>32343</v>
      </c>
      <c r="G4576" s="101" t="s">
        <v>32344</v>
      </c>
      <c r="H4576" s="102" t="s">
        <v>408</v>
      </c>
      <c r="I4576" s="15" t="str">
        <f>IFERROR(__xludf.DUMMYFUNCTION("GOOGLETRANSLATE(H4576,""EN"",""ES"")"),"Legal")</f>
        <v>Legal</v>
      </c>
      <c r="J4576" s="16" t="s">
        <v>35</v>
      </c>
      <c r="K4576" s="48">
        <v>-0.7</v>
      </c>
      <c r="L4576" s="49" t="s">
        <v>31721</v>
      </c>
      <c r="M4576" s="34" t="s">
        <v>31722</v>
      </c>
      <c r="N4576" s="91" t="s">
        <v>32345</v>
      </c>
      <c r="O4576" s="91" t="str">
        <f>IFERROR(__xludf.DUMMYFUNCTION("GOOGLETRANSLATE(N4576,""EN"",""ES"")"),"Negativo, subraya las graves implicaciones legales para ambas empresas.")</f>
        <v>Negativo, subraya las graves implicaciones legales para ambas empresas.</v>
      </c>
      <c r="P4576" s="30">
        <v>-0.7</v>
      </c>
      <c r="Q4576" s="18" t="str">
        <f>IFERROR(__xludf.DUMMYFUNCTION("GOOGLETRANSLATE(R4576,""ES"",""EN"")"),"ecopostureo")</f>
        <v>ecopostureo</v>
      </c>
      <c r="R4576" s="34" t="s">
        <v>32071</v>
      </c>
      <c r="S4576" s="52" t="s">
        <v>32072</v>
      </c>
      <c r="T4576" s="22" t="s">
        <v>32073</v>
      </c>
    </row>
    <row r="4577">
      <c r="A4577" s="23" t="s">
        <v>32346</v>
      </c>
      <c r="B4577" s="77" t="s">
        <v>103</v>
      </c>
      <c r="C4577" s="96">
        <v>45617.0</v>
      </c>
      <c r="D4577" s="40" t="s">
        <v>32347</v>
      </c>
      <c r="E4577" s="97" t="s">
        <v>32348</v>
      </c>
      <c r="F4577" s="98" t="s">
        <v>32349</v>
      </c>
      <c r="G4577" s="98" t="s">
        <v>32350</v>
      </c>
      <c r="H4577" s="103" t="s">
        <v>408</v>
      </c>
      <c r="I4577" s="25" t="str">
        <f>IFERROR(__xludf.DUMMYFUNCTION("GOOGLETRANSLATE(H4577,""EN"",""ES"")"),"Legal")</f>
        <v>Legal</v>
      </c>
      <c r="J4577" s="26" t="s">
        <v>35</v>
      </c>
      <c r="K4577" s="48">
        <v>-0.8</v>
      </c>
      <c r="L4577" s="51" t="s">
        <v>32351</v>
      </c>
      <c r="M4577" s="28" t="s">
        <v>32352</v>
      </c>
      <c r="N4577" s="90" t="s">
        <v>32353</v>
      </c>
      <c r="O4577" s="90" t="str">
        <f>IFERROR(__xludf.DUMMYFUNCTION("GOOGLETRANSLATE(N4577,""EN"",""ES"")"),"Negativo, refleja la intensidad del juicio por afirmaciones engañosas.")</f>
        <v>Negativo, refleja la intensidad del juicio por afirmaciones engañosas.</v>
      </c>
      <c r="P4577" s="30">
        <v>-0.8</v>
      </c>
      <c r="Q4577" s="31" t="str">
        <f>IFERROR(__xludf.DUMMYFUNCTION("GOOGLETRANSLATE(R4577,""ES"",""EN"")"),"deceptive")</f>
        <v>deceptive</v>
      </c>
      <c r="R4577" s="28" t="s">
        <v>32354</v>
      </c>
      <c r="S4577" s="53" t="s">
        <v>32085</v>
      </c>
      <c r="T4577" s="32" t="s">
        <v>32086</v>
      </c>
    </row>
    <row r="4578">
      <c r="A4578" s="33" t="s">
        <v>32355</v>
      </c>
      <c r="B4578" s="76" t="s">
        <v>43</v>
      </c>
      <c r="C4578" s="99">
        <v>45617.0</v>
      </c>
      <c r="D4578" s="40" t="s">
        <v>32356</v>
      </c>
      <c r="E4578" s="100" t="s">
        <v>32357</v>
      </c>
      <c r="F4578" s="101" t="s">
        <v>32358</v>
      </c>
      <c r="G4578" s="101" t="s">
        <v>32359</v>
      </c>
      <c r="H4578" s="102" t="s">
        <v>408</v>
      </c>
      <c r="I4578" s="15" t="str">
        <f>IFERROR(__xludf.DUMMYFUNCTION("GOOGLETRANSLATE(H4578,""EN"",""ES"")"),"Legal")</f>
        <v>Legal</v>
      </c>
      <c r="J4578" s="16" t="s">
        <v>35</v>
      </c>
      <c r="K4578" s="48">
        <v>-0.6</v>
      </c>
      <c r="L4578" s="49" t="s">
        <v>32360</v>
      </c>
      <c r="M4578" s="34" t="s">
        <v>32361</v>
      </c>
      <c r="N4578" s="91" t="s">
        <v>32362</v>
      </c>
      <c r="O4578" s="91" t="str">
        <f>IFERROR(__xludf.DUMMYFUNCTION("GOOGLETRANSLATE(N4578,""EN"",""ES"")"),"Negativo, destaca las acusaciones y defensa jurídica entre las empresas.")</f>
        <v>Negativo, destaca las acusaciones y defensa jurídica entre las empresas.</v>
      </c>
      <c r="P4578" s="30">
        <v>-0.7</v>
      </c>
      <c r="Q4578" s="18" t="str">
        <f>IFERROR(__xludf.DUMMYFUNCTION("GOOGLETRANSLATE(R4578,""ES"",""EN"")"),"deceptive")</f>
        <v>deceptive</v>
      </c>
      <c r="R4578" s="34" t="s">
        <v>32363</v>
      </c>
      <c r="S4578" s="52" t="s">
        <v>32240</v>
      </c>
      <c r="T4578" s="22" t="s">
        <v>32241</v>
      </c>
    </row>
    <row r="4579">
      <c r="A4579" s="23" t="s">
        <v>32364</v>
      </c>
      <c r="B4579" s="77" t="s">
        <v>1072</v>
      </c>
      <c r="C4579" s="96">
        <v>45617.0</v>
      </c>
      <c r="D4579" s="40" t="s">
        <v>32365</v>
      </c>
      <c r="E4579" s="97" t="s">
        <v>32366</v>
      </c>
      <c r="F4579" s="98" t="s">
        <v>32367</v>
      </c>
      <c r="G4579" s="98" t="s">
        <v>32368</v>
      </c>
      <c r="H4579" s="103" t="s">
        <v>1975</v>
      </c>
      <c r="I4579" s="25" t="str">
        <f>IFERROR(__xludf.DUMMYFUNCTION("GOOGLETRANSLATE(H4579,""EN"",""ES"")"),"Política")</f>
        <v>Política</v>
      </c>
      <c r="J4579" s="26" t="s">
        <v>35</v>
      </c>
      <c r="K4579" s="48">
        <v>-0.7</v>
      </c>
      <c r="L4579" s="51" t="s">
        <v>32369</v>
      </c>
      <c r="M4579" s="28" t="s">
        <v>32370</v>
      </c>
      <c r="N4579" s="90" t="s">
        <v>32371</v>
      </c>
      <c r="O4579" s="90" t="str">
        <f>IFERROR(__xludf.DUMMYFUNCTION("GOOGLETRANSLATE(N4579,""EN"",""ES"")"),"Negativo, refleja la reacción de las empresas energéticas respecto del impuesto.")</f>
        <v>Negativo, refleja la reacción de las empresas energéticas respecto del impuesto.</v>
      </c>
      <c r="P4579" s="30">
        <v>-0.6</v>
      </c>
      <c r="Q4579" s="31" t="str">
        <f>IFERROR(__xludf.DUMMYFUNCTION("GOOGLETRANSLATE(R4579,""ES"",""EN"")"),"they rebel")</f>
        <v>they rebel</v>
      </c>
      <c r="R4579" s="28" t="s">
        <v>32372</v>
      </c>
      <c r="S4579" s="53" t="s">
        <v>32148</v>
      </c>
      <c r="T4579" s="32" t="s">
        <v>32149</v>
      </c>
    </row>
    <row r="4580">
      <c r="A4580" s="33" t="s">
        <v>32373</v>
      </c>
      <c r="B4580" s="76" t="s">
        <v>403</v>
      </c>
      <c r="C4580" s="99">
        <v>45617.0</v>
      </c>
      <c r="D4580" s="40" t="s">
        <v>32374</v>
      </c>
      <c r="E4580" s="100" t="s">
        <v>32375</v>
      </c>
      <c r="F4580" s="101" t="s">
        <v>32376</v>
      </c>
      <c r="G4580" s="101" t="s">
        <v>32377</v>
      </c>
      <c r="H4580" s="102" t="s">
        <v>408</v>
      </c>
      <c r="I4580" s="15" t="str">
        <f>IFERROR(__xludf.DUMMYFUNCTION("GOOGLETRANSLATE(H4580,""EN"",""ES"")"),"Legal")</f>
        <v>Legal</v>
      </c>
      <c r="J4580" s="16" t="s">
        <v>35</v>
      </c>
      <c r="K4580" s="48">
        <v>-0.7</v>
      </c>
      <c r="L4580" s="49" t="s">
        <v>32360</v>
      </c>
      <c r="M4580" s="34" t="s">
        <v>32361</v>
      </c>
      <c r="N4580" s="91" t="s">
        <v>32378</v>
      </c>
      <c r="O4580" s="91" t="str">
        <f>IFERROR(__xludf.DUMMYFUNCTION("GOOGLETRANSLATE(N4580,""EN"",""ES"")"),"Negativo, concluye el juicio con cuestiones y acusaciones sin resolver.")</f>
        <v>Negativo, concluye el juicio con cuestiones y acusaciones sin resolver.</v>
      </c>
      <c r="P4580" s="30">
        <v>-0.8</v>
      </c>
      <c r="Q4580" s="18" t="str">
        <f>IFERROR(__xludf.DUMMYFUNCTION("GOOGLETRANSLATE(R4580,""ES"",""EN"")"),"deceptive")</f>
        <v>deceptive</v>
      </c>
      <c r="R4580" s="34" t="s">
        <v>32354</v>
      </c>
      <c r="S4580" s="52" t="s">
        <v>32379</v>
      </c>
      <c r="T4580" s="22" t="s">
        <v>32380</v>
      </c>
    </row>
    <row r="4581">
      <c r="A4581" s="23" t="s">
        <v>32381</v>
      </c>
      <c r="B4581" s="77" t="s">
        <v>192</v>
      </c>
      <c r="C4581" s="96">
        <v>45617.0</v>
      </c>
      <c r="D4581" s="40" t="s">
        <v>32382</v>
      </c>
      <c r="E4581" s="97" t="s">
        <v>32383</v>
      </c>
      <c r="F4581" s="98" t="s">
        <v>32384</v>
      </c>
      <c r="G4581" s="98" t="s">
        <v>32385</v>
      </c>
      <c r="H4581" s="103" t="s">
        <v>1975</v>
      </c>
      <c r="I4581" s="25" t="str">
        <f>IFERROR(__xludf.DUMMYFUNCTION("GOOGLETRANSLATE(H4581,""EN"",""ES"")"),"Política")</f>
        <v>Política</v>
      </c>
      <c r="J4581" s="26" t="s">
        <v>35</v>
      </c>
      <c r="K4581" s="48">
        <v>-0.8</v>
      </c>
      <c r="L4581" s="51" t="s">
        <v>32386</v>
      </c>
      <c r="M4581" s="28" t="s">
        <v>32387</v>
      </c>
      <c r="N4581" s="90" t="s">
        <v>32388</v>
      </c>
      <c r="O4581" s="90" t="str">
        <f>IFERROR(__xludf.DUMMYFUNCTION("GOOGLETRANSLATE(N4581,""EN"",""ES"")"),"Negativo, sugiere manipulación política e influencia por parte de Repsol.")</f>
        <v>Negativo, sugiere manipulación política e influencia por parte de Repsol.</v>
      </c>
      <c r="P4581" s="30">
        <v>-0.5</v>
      </c>
      <c r="Q4581" s="31" t="str">
        <f>IFERROR(__xludf.DUMMYFUNCTION("GOOGLETRANSLATE(R4581,""ES"",""EN"")"),"blackmail")</f>
        <v>blackmail</v>
      </c>
      <c r="R4581" s="28" t="s">
        <v>32389</v>
      </c>
      <c r="S4581" s="53" t="s">
        <v>27139</v>
      </c>
      <c r="T4581" s="32" t="s">
        <v>27140</v>
      </c>
    </row>
    <row r="4582">
      <c r="A4582" s="33" t="s">
        <v>32390</v>
      </c>
      <c r="B4582" s="76" t="s">
        <v>8390</v>
      </c>
      <c r="C4582" s="99">
        <v>45617.0</v>
      </c>
      <c r="D4582" s="40" t="s">
        <v>32391</v>
      </c>
      <c r="E4582" s="100" t="s">
        <v>32392</v>
      </c>
      <c r="F4582" s="101" t="s">
        <v>32393</v>
      </c>
      <c r="G4582" s="101" t="s">
        <v>32394</v>
      </c>
      <c r="H4582" s="102" t="s">
        <v>408</v>
      </c>
      <c r="I4582" s="15" t="str">
        <f>IFERROR(__xludf.DUMMYFUNCTION("GOOGLETRANSLATE(H4582,""EN"",""ES"")"),"Legal")</f>
        <v>Legal</v>
      </c>
      <c r="J4582" s="16" t="s">
        <v>35</v>
      </c>
      <c r="K4582" s="48">
        <v>-0.7</v>
      </c>
      <c r="L4582" s="49" t="s">
        <v>31615</v>
      </c>
      <c r="M4582" s="34" t="s">
        <v>31616</v>
      </c>
      <c r="N4582" s="91" t="s">
        <v>32395</v>
      </c>
      <c r="O4582" s="91" t="str">
        <f>IFERROR(__xludf.DUMMYFUNCTION("GOOGLETRANSLATE(N4582,""EN"",""ES"")"),"Negativo, se centra en acusaciones de prácticas ecológicas engañosas.")</f>
        <v>Negativo, se centra en acusaciones de prácticas ecológicas engañosas.</v>
      </c>
      <c r="P4582" s="30">
        <v>-0.7</v>
      </c>
      <c r="Q4582" s="18" t="str">
        <f>IFERROR(__xludf.DUMMYFUNCTION("GOOGLETRANSLATE(R4582,""ES"",""EN"")"),"deceptive")</f>
        <v>deceptive</v>
      </c>
      <c r="R4582" s="34" t="s">
        <v>32363</v>
      </c>
      <c r="S4582" s="52" t="s">
        <v>32240</v>
      </c>
      <c r="T4582" s="22" t="s">
        <v>32241</v>
      </c>
    </row>
    <row r="4583">
      <c r="A4583" s="23" t="s">
        <v>32396</v>
      </c>
      <c r="B4583" s="77" t="s">
        <v>1568</v>
      </c>
      <c r="C4583" s="96">
        <v>45617.0</v>
      </c>
      <c r="D4583" s="40" t="s">
        <v>32397</v>
      </c>
      <c r="E4583" s="97" t="s">
        <v>32398</v>
      </c>
      <c r="F4583" s="98" t="s">
        <v>32399</v>
      </c>
      <c r="G4583" s="98" t="s">
        <v>32400</v>
      </c>
      <c r="H4583" s="103" t="s">
        <v>408</v>
      </c>
      <c r="I4583" s="25" t="str">
        <f>IFERROR(__xludf.DUMMYFUNCTION("GOOGLETRANSLATE(H4583,""EN"",""ES"")"),"Legal")</f>
        <v>Legal</v>
      </c>
      <c r="J4583" s="26" t="s">
        <v>35</v>
      </c>
      <c r="K4583" s="48">
        <v>-0.7</v>
      </c>
      <c r="L4583" s="51" t="s">
        <v>31615</v>
      </c>
      <c r="M4583" s="28" t="s">
        <v>31616</v>
      </c>
      <c r="N4583" s="90" t="s">
        <v>32401</v>
      </c>
      <c r="O4583" s="90" t="str">
        <f>IFERROR(__xludf.DUMMYFUNCTION("GOOGLETRANSLATE(N4583,""EN"",""ES"")"),"Negativo, el inicio de una larga batalla legal con acusaciones de engaño medioambiental.")</f>
        <v>Negativo, el inicio de una larga batalla legal con acusaciones de engaño medioambiental.</v>
      </c>
      <c r="P4583" s="30">
        <v>-0.7</v>
      </c>
      <c r="Q4583" s="31" t="str">
        <f>IFERROR(__xludf.DUMMYFUNCTION("GOOGLETRANSLATE(R4583,""ES"",""EN"")"),"combat")</f>
        <v>combat</v>
      </c>
      <c r="R4583" s="28" t="s">
        <v>32216</v>
      </c>
      <c r="S4583" s="53" t="s">
        <v>32217</v>
      </c>
      <c r="T4583" s="32" t="s">
        <v>32218</v>
      </c>
    </row>
    <row r="4584">
      <c r="A4584" s="33" t="s">
        <v>32402</v>
      </c>
      <c r="B4584" s="76" t="s">
        <v>2175</v>
      </c>
      <c r="C4584" s="99">
        <v>45617.0</v>
      </c>
      <c r="D4584" s="40" t="s">
        <v>32403</v>
      </c>
      <c r="E4584" s="100" t="s">
        <v>32404</v>
      </c>
      <c r="F4584" s="101" t="s">
        <v>32405</v>
      </c>
      <c r="G4584" s="101" t="s">
        <v>32406</v>
      </c>
      <c r="H4584" s="102" t="s">
        <v>1975</v>
      </c>
      <c r="I4584" s="15" t="str">
        <f>IFERROR(__xludf.DUMMYFUNCTION("GOOGLETRANSLATE(H4584,""EN"",""ES"")"),"Política")</f>
        <v>Política</v>
      </c>
      <c r="J4584" s="16" t="s">
        <v>35</v>
      </c>
      <c r="K4584" s="48">
        <v>-0.6</v>
      </c>
      <c r="L4584" s="49" t="s">
        <v>32407</v>
      </c>
      <c r="M4584" s="34" t="s">
        <v>32408</v>
      </c>
      <c r="N4584" s="91" t="s">
        <v>32409</v>
      </c>
      <c r="O4584" s="91" t="str">
        <f>IFERROR(__xludf.DUMMYFUNCTION("GOOGLETRANSLATE(N4584,""EN"",""ES"")"),"Negativo, resalta las tensiones personales entre líderes corporativos.")</f>
        <v>Negativo, resalta las tensiones personales entre líderes corporativos.</v>
      </c>
      <c r="P4584" s="30">
        <v>-0.6</v>
      </c>
      <c r="Q4584" s="18" t="str">
        <f>IFERROR(__xludf.DUMMYFUNCTION("GOOGLETRANSLATE(R4584,""ES"",""EN"")"),"against")</f>
        <v>against</v>
      </c>
      <c r="R4584" s="34" t="s">
        <v>28214</v>
      </c>
      <c r="S4584" s="52" t="s">
        <v>32410</v>
      </c>
      <c r="T4584" s="22" t="s">
        <v>32411</v>
      </c>
    </row>
    <row r="4585">
      <c r="A4585" s="23" t="s">
        <v>32412</v>
      </c>
      <c r="B4585" s="77" t="s">
        <v>85</v>
      </c>
      <c r="C4585" s="96">
        <v>45617.0</v>
      </c>
      <c r="D4585" s="40" t="s">
        <v>32413</v>
      </c>
      <c r="E4585" s="97" t="s">
        <v>32414</v>
      </c>
      <c r="F4585" s="98" t="s">
        <v>32415</v>
      </c>
      <c r="G4585" s="98" t="s">
        <v>32416</v>
      </c>
      <c r="H4585" s="103" t="s">
        <v>2591</v>
      </c>
      <c r="I4585" s="25" t="str">
        <f>IFERROR(__xludf.DUMMYFUNCTION("GOOGLETRANSLATE(H4585,""EN"",""ES"")"),"Negocio")</f>
        <v>Negocio</v>
      </c>
      <c r="J4585" s="26" t="s">
        <v>35</v>
      </c>
      <c r="K4585" s="48">
        <v>0.4</v>
      </c>
      <c r="L4585" s="51" t="s">
        <v>31167</v>
      </c>
      <c r="M4585" s="28" t="s">
        <v>31168</v>
      </c>
      <c r="N4585" s="90" t="s">
        <v>32417</v>
      </c>
      <c r="O4585" s="90" t="str">
        <f>IFERROR(__xludf.DUMMYFUNCTION("GOOGLETRANSLATE(N4585,""EN"",""ES"")"),"Neutral, se centra en el análisis del mercado de valores sin un sentimiento fuerte.")</f>
        <v>Neutral, se centra en el análisis del mercado de valores sin un sentimiento fuerte.</v>
      </c>
      <c r="P4585" s="30">
        <v>0.1</v>
      </c>
      <c r="Q4585" s="31" t="str">
        <f>IFERROR(__xludf.DUMMYFUNCTION("GOOGLETRANSLATE(R4585,""ES"",""EN"")"),"-")</f>
        <v>-</v>
      </c>
      <c r="R4585" s="28" t="s">
        <v>11852</v>
      </c>
      <c r="S4585" s="53" t="s">
        <v>27387</v>
      </c>
      <c r="T4585" s="32" t="s">
        <v>27388</v>
      </c>
    </row>
    <row r="4586">
      <c r="A4586" s="33" t="s">
        <v>32418</v>
      </c>
      <c r="B4586" s="76" t="s">
        <v>6381</v>
      </c>
      <c r="C4586" s="99">
        <v>45617.0</v>
      </c>
      <c r="D4586" s="40" t="s">
        <v>32419</v>
      </c>
      <c r="E4586" s="100" t="s">
        <v>32420</v>
      </c>
      <c r="F4586" s="101" t="s">
        <v>32421</v>
      </c>
      <c r="G4586" s="101" t="s">
        <v>32422</v>
      </c>
      <c r="H4586" s="102" t="s">
        <v>395</v>
      </c>
      <c r="I4586" s="15" t="str">
        <f>IFERROR(__xludf.DUMMYFUNCTION("GOOGLETRANSLATE(H4586,""EN"",""ES"")"),"Ambiente")</f>
        <v>Ambiente</v>
      </c>
      <c r="J4586" s="16" t="s">
        <v>35</v>
      </c>
      <c r="K4586" s="48">
        <v>0.8</v>
      </c>
      <c r="L4586" s="49" t="s">
        <v>32295</v>
      </c>
      <c r="M4586" s="34" t="s">
        <v>32296</v>
      </c>
      <c r="N4586" s="91" t="s">
        <v>32423</v>
      </c>
      <c r="O4586" s="91" t="str">
        <f>IFERROR(__xludf.DUMMYFUNCTION("GOOGLETRANSLATE(N4586,""EN"",""ES"")"),"Positivo, destaca el compromiso de Repsol con proyectos de energía sostenible.")</f>
        <v>Positivo, destaca el compromiso de Repsol con proyectos de energía sostenible.</v>
      </c>
      <c r="P4586" s="30">
        <v>0.8</v>
      </c>
      <c r="Q4586" s="18" t="str">
        <f>IFERROR(__xludf.DUMMYFUNCTION("GOOGLETRANSLATE(R4586,""ES"",""EN"")"),"projects")</f>
        <v>projects</v>
      </c>
      <c r="R4586" s="34" t="s">
        <v>32424</v>
      </c>
      <c r="S4586" s="52" t="s">
        <v>32425</v>
      </c>
      <c r="T4586" s="22" t="s">
        <v>32426</v>
      </c>
    </row>
    <row r="4587">
      <c r="A4587" s="56" t="s">
        <v>32427</v>
      </c>
      <c r="B4587" s="77" t="s">
        <v>1081</v>
      </c>
      <c r="C4587" s="96">
        <v>45617.0</v>
      </c>
      <c r="D4587" s="68" t="s">
        <v>32428</v>
      </c>
      <c r="E4587" s="97" t="s">
        <v>32429</v>
      </c>
      <c r="F4587" s="98" t="str">
        <f>IFERROR(__xludf.DUMMYFUNCTION("GOOGLETRANSLATE(D4587,""ES"",""EN"")"),"Punta Langosteira experiences a Repsol drill with a ship in an emergency situation")</f>
        <v>Punta Langosteira experiences a Repsol drill with a ship in an emergency situation</v>
      </c>
      <c r="G4587" s="98" t="s">
        <v>32430</v>
      </c>
      <c r="H4587" s="103" t="s">
        <v>2591</v>
      </c>
      <c r="I4587" s="25" t="str">
        <f>IFERROR(__xludf.DUMMYFUNCTION("GOOGLETRANSLATE(H4587,""EN"",""ES"")"),"Negocio")</f>
        <v>Negocio</v>
      </c>
      <c r="J4587" s="26" t="s">
        <v>35</v>
      </c>
      <c r="K4587" s="48">
        <v>0.5</v>
      </c>
      <c r="L4587" s="51" t="s">
        <v>32431</v>
      </c>
      <c r="M4587" s="28" t="s">
        <v>32432</v>
      </c>
      <c r="N4587" s="90" t="s">
        <v>32433</v>
      </c>
      <c r="O4587" s="90" t="str">
        <f>IFERROR(__xludf.DUMMYFUNCTION("GOOGLETRANSLATE(N4587,""EN"",""ES"")"),"Neutral, se centra en la seguridad y la preparación para emergencias.")</f>
        <v>Neutral, se centra en la seguridad y la preparación para emergencias.</v>
      </c>
      <c r="P4587" s="30">
        <v>0.0</v>
      </c>
      <c r="Q4587" s="31"/>
      <c r="R4587" s="31"/>
      <c r="S4587" s="53" t="s">
        <v>10136</v>
      </c>
      <c r="T4587" s="32" t="s">
        <v>10137</v>
      </c>
    </row>
    <row r="4588">
      <c r="A4588" s="33" t="s">
        <v>32434</v>
      </c>
      <c r="B4588" s="76" t="s">
        <v>2175</v>
      </c>
      <c r="C4588" s="99">
        <v>45617.0</v>
      </c>
      <c r="D4588" s="40" t="s">
        <v>32435</v>
      </c>
      <c r="E4588" s="100" t="s">
        <v>32436</v>
      </c>
      <c r="F4588" s="101" t="s">
        <v>32437</v>
      </c>
      <c r="G4588" s="101" t="s">
        <v>32438</v>
      </c>
      <c r="H4588" s="102" t="s">
        <v>1975</v>
      </c>
      <c r="I4588" s="15" t="str">
        <f>IFERROR(__xludf.DUMMYFUNCTION("GOOGLETRANSLATE(H4588,""EN"",""ES"")"),"Política")</f>
        <v>Política</v>
      </c>
      <c r="J4588" s="16" t="s">
        <v>35</v>
      </c>
      <c r="K4588" s="48">
        <v>-0.8</v>
      </c>
      <c r="L4588" s="49" t="s">
        <v>32439</v>
      </c>
      <c r="M4588" s="34" t="s">
        <v>32440</v>
      </c>
      <c r="N4588" s="91" t="s">
        <v>32441</v>
      </c>
      <c r="O4588" s="91" t="str">
        <f>IFERROR(__xludf.DUMMYFUNCTION("GOOGLETRANSLATE(N4588,""EN"",""ES"")"),"Negativo, sugiere controversia y conflicto que involucra a grandes empresas.")</f>
        <v>Negativo, sugiere controversia y conflicto que involucra a grandes empresas.</v>
      </c>
      <c r="P4588" s="30">
        <v>-0.3</v>
      </c>
      <c r="Q4588" s="18" t="str">
        <f>IFERROR(__xludf.DUMMYFUNCTION("GOOGLETRANSLATE(R4588,""ES"",""EN"")"),"-")</f>
        <v>-</v>
      </c>
      <c r="R4588" s="34" t="s">
        <v>11852</v>
      </c>
      <c r="S4588" s="52" t="s">
        <v>32442</v>
      </c>
      <c r="T4588" s="22" t="s">
        <v>32443</v>
      </c>
    </row>
    <row r="4589">
      <c r="A4589" s="23" t="s">
        <v>32444</v>
      </c>
      <c r="B4589" s="77" t="s">
        <v>4151</v>
      </c>
      <c r="C4589" s="96">
        <v>45617.0</v>
      </c>
      <c r="D4589" s="40" t="s">
        <v>32445</v>
      </c>
      <c r="E4589" s="97" t="s">
        <v>32446</v>
      </c>
      <c r="F4589" s="98" t="s">
        <v>32447</v>
      </c>
      <c r="G4589" s="98" t="s">
        <v>32448</v>
      </c>
      <c r="H4589" s="103" t="s">
        <v>3985</v>
      </c>
      <c r="I4589" s="25" t="str">
        <f>IFERROR(__xludf.DUMMYFUNCTION("GOOGLETRANSLATE(H4589,""EN"",""ES"")"),"Deportes")</f>
        <v>Deportes</v>
      </c>
      <c r="J4589" s="26" t="s">
        <v>27</v>
      </c>
      <c r="K4589" s="17">
        <v>0.0</v>
      </c>
      <c r="L4589" s="51"/>
      <c r="M4589" s="31"/>
      <c r="N4589" s="90"/>
      <c r="O4589" s="90"/>
      <c r="P4589" s="20">
        <v>0.0</v>
      </c>
      <c r="Q4589" s="31"/>
      <c r="R4589" s="31"/>
      <c r="S4589" s="53"/>
      <c r="T4589" s="32"/>
    </row>
    <row r="4590">
      <c r="A4590" s="33" t="s">
        <v>32449</v>
      </c>
      <c r="B4590" s="76" t="s">
        <v>8884</v>
      </c>
      <c r="C4590" s="99">
        <v>45618.0</v>
      </c>
      <c r="D4590" s="40" t="s">
        <v>32450</v>
      </c>
      <c r="E4590" s="100" t="s">
        <v>32451</v>
      </c>
      <c r="F4590" s="101" t="s">
        <v>32452</v>
      </c>
      <c r="G4590" s="101" t="s">
        <v>32453</v>
      </c>
      <c r="H4590" s="102" t="s">
        <v>408</v>
      </c>
      <c r="I4590" s="15" t="str">
        <f>IFERROR(__xludf.DUMMYFUNCTION("GOOGLETRANSLATE(H4590,""EN"",""ES"")"),"Legal")</f>
        <v>Legal</v>
      </c>
      <c r="J4590" s="16" t="s">
        <v>35</v>
      </c>
      <c r="K4590" s="48">
        <v>-0.7</v>
      </c>
      <c r="L4590" s="49" t="s">
        <v>31615</v>
      </c>
      <c r="M4590" s="34" t="s">
        <v>31616</v>
      </c>
      <c r="N4590" s="91" t="s">
        <v>32454</v>
      </c>
      <c r="O4590" s="91" t="str">
        <f>IFERROR(__xludf.DUMMYFUNCTION("GOOGLETRANSLATE(N4590,""EN"",""ES"")"),"Negativo, se centra en la batalla legal en curso entre Iberdrola y Repsol por prácticas verdes engañosas.")</f>
        <v>Negativo, se centra en la batalla legal en curso entre Iberdrola y Repsol por prácticas verdes engañosas.</v>
      </c>
      <c r="P4590" s="30">
        <v>-0.7</v>
      </c>
      <c r="Q4590" s="18" t="str">
        <f>IFERROR(__xludf.DUMMYFUNCTION("GOOGLETRANSLATE(R4590,""ES"",""EN"")"),"against")</f>
        <v>against</v>
      </c>
      <c r="R4590" s="34" t="s">
        <v>28214</v>
      </c>
      <c r="S4590" s="52" t="s">
        <v>32455</v>
      </c>
      <c r="T4590" s="22" t="s">
        <v>32456</v>
      </c>
    </row>
    <row r="4591">
      <c r="A4591" s="23" t="s">
        <v>32457</v>
      </c>
      <c r="B4591" s="77" t="s">
        <v>3992</v>
      </c>
      <c r="C4591" s="96">
        <v>45618.0</v>
      </c>
      <c r="D4591" s="40" t="s">
        <v>32458</v>
      </c>
      <c r="E4591" s="97" t="s">
        <v>32459</v>
      </c>
      <c r="F4591" s="98" t="s">
        <v>32460</v>
      </c>
      <c r="G4591" s="98" t="s">
        <v>32461</v>
      </c>
      <c r="H4591" s="103" t="s">
        <v>408</v>
      </c>
      <c r="I4591" s="25" t="str">
        <f>IFERROR(__xludf.DUMMYFUNCTION("GOOGLETRANSLATE(H4591,""EN"",""ES"")"),"Legal")</f>
        <v>Legal</v>
      </c>
      <c r="J4591" s="26" t="s">
        <v>35</v>
      </c>
      <c r="K4591" s="48">
        <v>-0.8</v>
      </c>
      <c r="L4591" s="51" t="s">
        <v>31615</v>
      </c>
      <c r="M4591" s="28" t="s">
        <v>31616</v>
      </c>
      <c r="N4591" s="90" t="s">
        <v>32462</v>
      </c>
      <c r="O4591" s="90" t="str">
        <f>IFERROR(__xludf.DUMMYFUNCTION("GOOGLETRANSLATE(N4591,""EN"",""ES"")"),"Negativo, destaca graves acusaciones sobre prácticas medioambientales engañosas.")</f>
        <v>Negativo, destaca graves acusaciones sobre prácticas medioambientales engañosas.</v>
      </c>
      <c r="P4591" s="30">
        <v>-0.8</v>
      </c>
      <c r="Q4591" s="31" t="str">
        <f>IFERROR(__xludf.DUMMYFUNCTION("GOOGLETRANSLATE(R4591,""ES"",""EN"")"),"greenwashing")</f>
        <v>greenwashing</v>
      </c>
      <c r="R4591" s="28" t="s">
        <v>11135</v>
      </c>
      <c r="S4591" s="53" t="s">
        <v>32463</v>
      </c>
      <c r="T4591" s="32" t="s">
        <v>32464</v>
      </c>
    </row>
    <row r="4592">
      <c r="A4592" s="33" t="s">
        <v>32465</v>
      </c>
      <c r="B4592" s="76" t="s">
        <v>21</v>
      </c>
      <c r="C4592" s="99">
        <v>45618.0</v>
      </c>
      <c r="D4592" s="40" t="s">
        <v>32466</v>
      </c>
      <c r="E4592" s="100" t="s">
        <v>32467</v>
      </c>
      <c r="F4592" s="101" t="s">
        <v>32468</v>
      </c>
      <c r="G4592" s="101" t="s">
        <v>32469</v>
      </c>
      <c r="H4592" s="102" t="s">
        <v>2591</v>
      </c>
      <c r="I4592" s="15" t="str">
        <f>IFERROR(__xludf.DUMMYFUNCTION("GOOGLETRANSLATE(H4592,""EN"",""ES"")"),"Negocio")</f>
        <v>Negocio</v>
      </c>
      <c r="J4592" s="16" t="s">
        <v>27</v>
      </c>
      <c r="K4592" s="17">
        <v>0.0</v>
      </c>
      <c r="L4592" s="49"/>
      <c r="M4592" s="18"/>
      <c r="N4592" s="91"/>
      <c r="O4592" s="91"/>
      <c r="P4592" s="20">
        <v>0.0</v>
      </c>
      <c r="Q4592" s="18"/>
      <c r="R4592" s="18"/>
      <c r="S4592" s="52"/>
      <c r="T4592" s="22"/>
    </row>
    <row r="4593">
      <c r="A4593" s="23" t="s">
        <v>32470</v>
      </c>
      <c r="B4593" s="77" t="s">
        <v>403</v>
      </c>
      <c r="C4593" s="96">
        <v>45618.0</v>
      </c>
      <c r="D4593" s="40" t="s">
        <v>32471</v>
      </c>
      <c r="E4593" s="97" t="s">
        <v>32472</v>
      </c>
      <c r="F4593" s="98" t="s">
        <v>32473</v>
      </c>
      <c r="G4593" s="98" t="s">
        <v>32474</v>
      </c>
      <c r="H4593" s="103" t="s">
        <v>1975</v>
      </c>
      <c r="I4593" s="25" t="str">
        <f>IFERROR(__xludf.DUMMYFUNCTION("GOOGLETRANSLATE(H4593,""EN"",""ES"")"),"Política")</f>
        <v>Política</v>
      </c>
      <c r="J4593" s="26" t="s">
        <v>35</v>
      </c>
      <c r="K4593" s="48">
        <v>-0.7</v>
      </c>
      <c r="L4593" s="51" t="s">
        <v>32306</v>
      </c>
      <c r="M4593" s="28" t="s">
        <v>32307</v>
      </c>
      <c r="N4593" s="90" t="s">
        <v>32475</v>
      </c>
      <c r="O4593" s="90" t="str">
        <f>IFERROR(__xludf.DUMMYFUNCTION("GOOGLETRANSLATE(N4593,""EN"",""ES"")"),"Negativo, se centra en el conflicto actual sobre el impuesto energético propuesto.")</f>
        <v>Negativo, se centra en el conflicto actual sobre el impuesto energético propuesto.</v>
      </c>
      <c r="P4593" s="30">
        <v>-0.5</v>
      </c>
      <c r="Q4593" s="31" t="str">
        <f>IFERROR(__xludf.DUMMYFUNCTION("GOOGLETRANSLATE(R4593,""ES"",""EN"")"),"faces")</f>
        <v>faces</v>
      </c>
      <c r="R4593" s="28" t="s">
        <v>32476</v>
      </c>
      <c r="S4593" s="53" t="s">
        <v>32477</v>
      </c>
      <c r="T4593" s="32" t="s">
        <v>32478</v>
      </c>
    </row>
    <row r="4594">
      <c r="A4594" s="33" t="s">
        <v>32479</v>
      </c>
      <c r="B4594" s="76" t="s">
        <v>103</v>
      </c>
      <c r="C4594" s="99">
        <v>45618.0</v>
      </c>
      <c r="D4594" s="40" t="s">
        <v>32480</v>
      </c>
      <c r="E4594" s="100" t="s">
        <v>32481</v>
      </c>
      <c r="F4594" s="101" t="s">
        <v>32482</v>
      </c>
      <c r="G4594" s="101" t="s">
        <v>32483</v>
      </c>
      <c r="H4594" s="102" t="s">
        <v>408</v>
      </c>
      <c r="I4594" s="15" t="str">
        <f>IFERROR(__xludf.DUMMYFUNCTION("GOOGLETRANSLATE(H4594,""EN"",""ES"")"),"Legal")</f>
        <v>Legal</v>
      </c>
      <c r="J4594" s="16" t="s">
        <v>35</v>
      </c>
      <c r="K4594" s="48">
        <v>-0.8</v>
      </c>
      <c r="L4594" s="49" t="s">
        <v>31615</v>
      </c>
      <c r="M4594" s="34" t="s">
        <v>31616</v>
      </c>
      <c r="N4594" s="91" t="s">
        <v>32484</v>
      </c>
      <c r="O4594" s="91" t="str">
        <f>IFERROR(__xludf.DUMMYFUNCTION("GOOGLETRANSLATE(N4594,""EN"",""ES"")"),"Negativo: sigue centrándose en el conflicto empresarial por el engañoso marketing ecológico.")</f>
        <v>Negativo: sigue centrándose en el conflicto empresarial por el engañoso marketing ecológico.</v>
      </c>
      <c r="P4594" s="30">
        <v>-0.8</v>
      </c>
      <c r="Q4594" s="18" t="str">
        <f>IFERROR(__xludf.DUMMYFUNCTION("GOOGLETRANSLATE(R4594,""ES"",""EN"")"),"bleach")</f>
        <v>bleach</v>
      </c>
      <c r="R4594" s="34" t="s">
        <v>32485</v>
      </c>
      <c r="S4594" s="52" t="s">
        <v>32486</v>
      </c>
      <c r="T4594" s="22" t="s">
        <v>32487</v>
      </c>
    </row>
    <row r="4595">
      <c r="A4595" s="23" t="s">
        <v>32488</v>
      </c>
      <c r="B4595" s="77" t="s">
        <v>15447</v>
      </c>
      <c r="C4595" s="96">
        <v>45618.0</v>
      </c>
      <c r="D4595" s="40" t="s">
        <v>32489</v>
      </c>
      <c r="E4595" s="97" t="s">
        <v>32490</v>
      </c>
      <c r="F4595" s="98" t="s">
        <v>32491</v>
      </c>
      <c r="G4595" s="98" t="s">
        <v>32492</v>
      </c>
      <c r="H4595" s="103" t="s">
        <v>1975</v>
      </c>
      <c r="I4595" s="25" t="str">
        <f>IFERROR(__xludf.DUMMYFUNCTION("GOOGLETRANSLATE(H4595,""EN"",""ES"")"),"Política")</f>
        <v>Política</v>
      </c>
      <c r="J4595" s="26" t="s">
        <v>35</v>
      </c>
      <c r="K4595" s="48">
        <v>-0.6</v>
      </c>
      <c r="L4595" s="51" t="s">
        <v>32493</v>
      </c>
      <c r="M4595" s="28" t="s">
        <v>32494</v>
      </c>
      <c r="N4595" s="90" t="s">
        <v>32495</v>
      </c>
      <c r="O4595" s="90" t="str">
        <f>IFERROR(__xludf.DUMMYFUNCTION("GOOGLETRANSLATE(N4595,""EN"",""ES"")"),"Neutral, analiza los efectos potenciales de un nuevo impuesto a la energía con respuestas mixtas.")</f>
        <v>Neutral, analiza los efectos potenciales de un nuevo impuesto a la energía con respuestas mixtas.</v>
      </c>
      <c r="P4595" s="30">
        <v>-0.2</v>
      </c>
      <c r="Q4595" s="31" t="str">
        <f>IFERROR(__xludf.DUMMYFUNCTION("GOOGLETRANSLATE(R4595,""ES"",""EN"")"),"-")</f>
        <v>-</v>
      </c>
      <c r="R4595" s="28" t="s">
        <v>11852</v>
      </c>
      <c r="S4595" s="53" t="s">
        <v>32496</v>
      </c>
      <c r="T4595" s="32" t="s">
        <v>32497</v>
      </c>
    </row>
    <row r="4596">
      <c r="A4596" s="33" t="s">
        <v>32498</v>
      </c>
      <c r="B4596" s="76" t="s">
        <v>614</v>
      </c>
      <c r="C4596" s="99">
        <v>45618.0</v>
      </c>
      <c r="D4596" s="40" t="s">
        <v>32499</v>
      </c>
      <c r="E4596" s="100" t="s">
        <v>32500</v>
      </c>
      <c r="F4596" s="101" t="s">
        <v>32501</v>
      </c>
      <c r="G4596" s="101" t="s">
        <v>32502</v>
      </c>
      <c r="H4596" s="102" t="s">
        <v>2591</v>
      </c>
      <c r="I4596" s="15" t="str">
        <f>IFERROR(__xludf.DUMMYFUNCTION("GOOGLETRANSLATE(H4596,""EN"",""ES"")"),"Negocio")</f>
        <v>Negocio</v>
      </c>
      <c r="J4596" s="16" t="s">
        <v>27</v>
      </c>
      <c r="K4596" s="17">
        <v>0.0</v>
      </c>
      <c r="L4596" s="49"/>
      <c r="M4596" s="18"/>
      <c r="N4596" s="91"/>
      <c r="O4596" s="91"/>
      <c r="P4596" s="20">
        <v>0.0</v>
      </c>
      <c r="Q4596" s="18"/>
      <c r="R4596" s="18"/>
      <c r="S4596" s="52"/>
      <c r="T4596" s="22"/>
    </row>
    <row r="4597">
      <c r="A4597" s="23" t="s">
        <v>32503</v>
      </c>
      <c r="B4597" s="77" t="s">
        <v>85</v>
      </c>
      <c r="C4597" s="96">
        <v>45618.0</v>
      </c>
      <c r="D4597" s="40" t="s">
        <v>32504</v>
      </c>
      <c r="E4597" s="97" t="s">
        <v>32505</v>
      </c>
      <c r="F4597" s="98" t="s">
        <v>32506</v>
      </c>
      <c r="G4597" s="98" t="s">
        <v>32507</v>
      </c>
      <c r="H4597" s="103" t="s">
        <v>8762</v>
      </c>
      <c r="I4597" s="25" t="str">
        <f>IFERROR(__xludf.DUMMYFUNCTION("GOOGLETRANSLATE(H4597,""EN"",""ES"")"),"Viajar")</f>
        <v>Viajar</v>
      </c>
      <c r="J4597" s="26" t="s">
        <v>27</v>
      </c>
      <c r="K4597" s="17">
        <v>0.0</v>
      </c>
      <c r="L4597" s="51"/>
      <c r="M4597" s="31"/>
      <c r="N4597" s="90"/>
      <c r="O4597" s="90"/>
      <c r="P4597" s="20">
        <v>0.0</v>
      </c>
      <c r="Q4597" s="31"/>
      <c r="R4597" s="31"/>
      <c r="S4597" s="53"/>
      <c r="T4597" s="32"/>
    </row>
    <row r="4598">
      <c r="A4598" s="33" t="s">
        <v>32508</v>
      </c>
      <c r="B4598" s="76" t="s">
        <v>881</v>
      </c>
      <c r="C4598" s="99">
        <v>45618.0</v>
      </c>
      <c r="D4598" s="40" t="s">
        <v>32509</v>
      </c>
      <c r="E4598" s="100" t="s">
        <v>32510</v>
      </c>
      <c r="F4598" s="101" t="s">
        <v>32511</v>
      </c>
      <c r="G4598" s="101" t="s">
        <v>32512</v>
      </c>
      <c r="H4598" s="102" t="s">
        <v>32513</v>
      </c>
      <c r="I4598" s="15" t="str">
        <f>IFERROR(__xludf.DUMMYFUNCTION("GOOGLETRANSLATE(H4598,""EN"",""ES"")"),"Impacto Social")</f>
        <v>Impacto Social</v>
      </c>
      <c r="J4598" s="16" t="s">
        <v>27</v>
      </c>
      <c r="K4598" s="17">
        <v>0.0</v>
      </c>
      <c r="L4598" s="49"/>
      <c r="M4598" s="18"/>
      <c r="N4598" s="91"/>
      <c r="O4598" s="91"/>
      <c r="P4598" s="20">
        <v>0.0</v>
      </c>
      <c r="Q4598" s="18"/>
      <c r="R4598" s="18"/>
      <c r="S4598" s="52"/>
      <c r="T4598" s="22"/>
    </row>
    <row r="4599">
      <c r="A4599" s="23" t="s">
        <v>32514</v>
      </c>
      <c r="B4599" s="77" t="s">
        <v>21</v>
      </c>
      <c r="C4599" s="96">
        <v>45618.0</v>
      </c>
      <c r="D4599" s="40" t="s">
        <v>32515</v>
      </c>
      <c r="E4599" s="97" t="s">
        <v>32516</v>
      </c>
      <c r="F4599" s="98" t="s">
        <v>32517</v>
      </c>
      <c r="G4599" s="98" t="s">
        <v>32518</v>
      </c>
      <c r="H4599" s="103" t="s">
        <v>32513</v>
      </c>
      <c r="I4599" s="25" t="str">
        <f>IFERROR(__xludf.DUMMYFUNCTION("GOOGLETRANSLATE(H4599,""EN"",""ES"")"),"Impacto Social")</f>
        <v>Impacto Social</v>
      </c>
      <c r="J4599" s="26" t="s">
        <v>27</v>
      </c>
      <c r="K4599" s="17">
        <v>0.0</v>
      </c>
      <c r="L4599" s="51"/>
      <c r="M4599" s="31"/>
      <c r="N4599" s="90"/>
      <c r="O4599" s="90"/>
      <c r="P4599" s="20">
        <v>0.0</v>
      </c>
      <c r="Q4599" s="31"/>
      <c r="R4599" s="31"/>
      <c r="S4599" s="53"/>
      <c r="T4599" s="32"/>
    </row>
    <row r="4600">
      <c r="A4600" s="33" t="s">
        <v>32519</v>
      </c>
      <c r="B4600" s="76" t="s">
        <v>3045</v>
      </c>
      <c r="C4600" s="99">
        <v>45618.0</v>
      </c>
      <c r="D4600" s="40" t="s">
        <v>32520</v>
      </c>
      <c r="E4600" s="100" t="s">
        <v>32521</v>
      </c>
      <c r="F4600" s="101" t="s">
        <v>32522</v>
      </c>
      <c r="G4600" s="101" t="s">
        <v>32523</v>
      </c>
      <c r="H4600" s="102" t="s">
        <v>2591</v>
      </c>
      <c r="I4600" s="15" t="str">
        <f>IFERROR(__xludf.DUMMYFUNCTION("GOOGLETRANSLATE(H4600,""EN"",""ES"")"),"Negocio")</f>
        <v>Negocio</v>
      </c>
      <c r="J4600" s="16" t="s">
        <v>27</v>
      </c>
      <c r="K4600" s="17">
        <v>0.0</v>
      </c>
      <c r="L4600" s="49"/>
      <c r="M4600" s="18"/>
      <c r="N4600" s="91"/>
      <c r="O4600" s="91"/>
      <c r="P4600" s="20">
        <v>0.0</v>
      </c>
      <c r="Q4600" s="18"/>
      <c r="R4600" s="18"/>
      <c r="S4600" s="52"/>
      <c r="T4600" s="22"/>
    </row>
    <row r="4601">
      <c r="A4601" s="23" t="s">
        <v>32524</v>
      </c>
      <c r="B4601" s="77" t="s">
        <v>1011</v>
      </c>
      <c r="C4601" s="96">
        <v>45618.0</v>
      </c>
      <c r="D4601" s="40" t="s">
        <v>32525</v>
      </c>
      <c r="E4601" s="97" t="s">
        <v>32526</v>
      </c>
      <c r="F4601" s="98" t="s">
        <v>32527</v>
      </c>
      <c r="G4601" s="98" t="s">
        <v>32528</v>
      </c>
      <c r="H4601" s="103" t="s">
        <v>3985</v>
      </c>
      <c r="I4601" s="25" t="str">
        <f>IFERROR(__xludf.DUMMYFUNCTION("GOOGLETRANSLATE(H4601,""EN"",""ES"")"),"Deportes")</f>
        <v>Deportes</v>
      </c>
      <c r="J4601" s="26" t="s">
        <v>27</v>
      </c>
      <c r="K4601" s="17">
        <v>0.0</v>
      </c>
      <c r="L4601" s="51"/>
      <c r="M4601" s="31"/>
      <c r="N4601" s="90"/>
      <c r="O4601" s="90"/>
      <c r="P4601" s="20">
        <v>0.0</v>
      </c>
      <c r="Q4601" s="31"/>
      <c r="R4601" s="31"/>
      <c r="S4601" s="53"/>
      <c r="T4601" s="32"/>
    </row>
    <row r="4602">
      <c r="A4602" s="33" t="s">
        <v>32529</v>
      </c>
      <c r="B4602" s="76" t="s">
        <v>85</v>
      </c>
      <c r="C4602" s="99">
        <v>45618.0</v>
      </c>
      <c r="D4602" s="40" t="s">
        <v>32530</v>
      </c>
      <c r="E4602" s="100" t="s">
        <v>32531</v>
      </c>
      <c r="F4602" s="101" t="s">
        <v>32532</v>
      </c>
      <c r="G4602" s="101" t="s">
        <v>32533</v>
      </c>
      <c r="H4602" s="102" t="s">
        <v>2591</v>
      </c>
      <c r="I4602" s="15" t="str">
        <f>IFERROR(__xludf.DUMMYFUNCTION("GOOGLETRANSLATE(H4602,""EN"",""ES"")"),"Negocio")</f>
        <v>Negocio</v>
      </c>
      <c r="J4602" s="16" t="s">
        <v>27</v>
      </c>
      <c r="K4602" s="17">
        <v>0.0</v>
      </c>
      <c r="L4602" s="49"/>
      <c r="M4602" s="18"/>
      <c r="N4602" s="91"/>
      <c r="O4602" s="91"/>
      <c r="P4602" s="20">
        <v>0.0</v>
      </c>
      <c r="Q4602" s="18"/>
      <c r="R4602" s="18"/>
      <c r="S4602" s="52"/>
      <c r="T4602" s="22"/>
    </row>
    <row r="4603">
      <c r="A4603" s="23" t="s">
        <v>32534</v>
      </c>
      <c r="B4603" s="77" t="s">
        <v>125</v>
      </c>
      <c r="C4603" s="96">
        <v>45619.0</v>
      </c>
      <c r="D4603" s="40" t="s">
        <v>32535</v>
      </c>
      <c r="E4603" s="97" t="s">
        <v>32536</v>
      </c>
      <c r="F4603" s="98" t="s">
        <v>32537</v>
      </c>
      <c r="G4603" s="98" t="s">
        <v>32538</v>
      </c>
      <c r="H4603" s="103" t="s">
        <v>2591</v>
      </c>
      <c r="I4603" s="25" t="str">
        <f>IFERROR(__xludf.DUMMYFUNCTION("GOOGLETRANSLATE(H4603,""EN"",""ES"")"),"Negocio")</f>
        <v>Negocio</v>
      </c>
      <c r="J4603" s="26" t="s">
        <v>35</v>
      </c>
      <c r="K4603" s="48">
        <v>0.8</v>
      </c>
      <c r="L4603" s="51" t="s">
        <v>32539</v>
      </c>
      <c r="M4603" s="28" t="s">
        <v>32540</v>
      </c>
      <c r="N4603" s="90" t="s">
        <v>32541</v>
      </c>
      <c r="O4603" s="90" t="str">
        <f>IFERROR(__xludf.DUMMYFUNCTION("GOOGLETRANSLATE(N4603,""EN"",""ES"")"),"Positivo, destaca el esfuerzo de Repsol en el avance de la tecnología y la sostenibilidad.")</f>
        <v>Positivo, destaca el esfuerzo de Repsol en el avance de la tecnología y la sostenibilidad.</v>
      </c>
      <c r="P4603" s="30">
        <v>0.8</v>
      </c>
      <c r="Q4603" s="31" t="str">
        <f>IFERROR(__xludf.DUMMYFUNCTION("GOOGLETRANSLATE(R4603,""ES"",""EN"")"),"Award, ""investment in innovation""")</f>
        <v>Award, "investment in innovation"</v>
      </c>
      <c r="R4603" s="28" t="s">
        <v>32542</v>
      </c>
      <c r="S4603" s="53" t="s">
        <v>32543</v>
      </c>
      <c r="T4603" s="32" t="s">
        <v>32544</v>
      </c>
    </row>
    <row r="4604">
      <c r="A4604" s="33" t="s">
        <v>32545</v>
      </c>
      <c r="B4604" s="76" t="s">
        <v>1011</v>
      </c>
      <c r="C4604" s="99">
        <v>45619.0</v>
      </c>
      <c r="D4604" s="40" t="s">
        <v>32546</v>
      </c>
      <c r="E4604" s="100" t="s">
        <v>32547</v>
      </c>
      <c r="F4604" s="101" t="s">
        <v>32548</v>
      </c>
      <c r="G4604" s="101" t="s">
        <v>32549</v>
      </c>
      <c r="H4604" s="102" t="s">
        <v>3985</v>
      </c>
      <c r="I4604" s="15" t="str">
        <f>IFERROR(__xludf.DUMMYFUNCTION("GOOGLETRANSLATE(H4604,""EN"",""ES"")"),"Deportes")</f>
        <v>Deportes</v>
      </c>
      <c r="J4604" s="16" t="s">
        <v>27</v>
      </c>
      <c r="K4604" s="17">
        <v>0.0</v>
      </c>
      <c r="L4604" s="49"/>
      <c r="M4604" s="18"/>
      <c r="N4604" s="91"/>
      <c r="O4604" s="91"/>
      <c r="P4604" s="20">
        <v>0.0</v>
      </c>
      <c r="Q4604" s="18"/>
      <c r="R4604" s="18"/>
      <c r="S4604" s="18"/>
      <c r="T4604" s="22"/>
    </row>
    <row r="4605">
      <c r="A4605" s="23" t="s">
        <v>32550</v>
      </c>
      <c r="B4605" s="77" t="s">
        <v>1011</v>
      </c>
      <c r="C4605" s="96">
        <v>45619.0</v>
      </c>
      <c r="D4605" s="40" t="s">
        <v>32551</v>
      </c>
      <c r="E4605" s="97" t="s">
        <v>32552</v>
      </c>
      <c r="F4605" s="98" t="s">
        <v>32553</v>
      </c>
      <c r="G4605" s="98" t="s">
        <v>32554</v>
      </c>
      <c r="H4605" s="103" t="s">
        <v>3985</v>
      </c>
      <c r="I4605" s="25" t="str">
        <f>IFERROR(__xludf.DUMMYFUNCTION("GOOGLETRANSLATE(H4605,""EN"",""ES"")"),"Deportes")</f>
        <v>Deportes</v>
      </c>
      <c r="J4605" s="26" t="s">
        <v>27</v>
      </c>
      <c r="K4605" s="17">
        <v>0.0</v>
      </c>
      <c r="L4605" s="51"/>
      <c r="M4605" s="31"/>
      <c r="N4605" s="90"/>
      <c r="O4605" s="90"/>
      <c r="P4605" s="20">
        <v>0.0</v>
      </c>
      <c r="Q4605" s="31"/>
      <c r="R4605" s="31"/>
      <c r="S4605" s="31"/>
      <c r="T4605" s="32"/>
    </row>
    <row r="4606">
      <c r="A4606" s="33" t="s">
        <v>32555</v>
      </c>
      <c r="B4606" s="76" t="s">
        <v>1081</v>
      </c>
      <c r="C4606" s="99">
        <v>45619.0</v>
      </c>
      <c r="D4606" s="40" t="s">
        <v>32556</v>
      </c>
      <c r="E4606" s="100" t="s">
        <v>32557</v>
      </c>
      <c r="F4606" s="101" t="s">
        <v>32558</v>
      </c>
      <c r="G4606" s="101" t="s">
        <v>32559</v>
      </c>
      <c r="H4606" s="102" t="s">
        <v>2591</v>
      </c>
      <c r="I4606" s="15" t="str">
        <f>IFERROR(__xludf.DUMMYFUNCTION("GOOGLETRANSLATE(H4606,""EN"",""ES"")"),"Negocio")</f>
        <v>Negocio</v>
      </c>
      <c r="J4606" s="16" t="s">
        <v>27</v>
      </c>
      <c r="K4606" s="17">
        <v>0.0</v>
      </c>
      <c r="L4606" s="49"/>
      <c r="M4606" s="18"/>
      <c r="N4606" s="91"/>
      <c r="O4606" s="91"/>
      <c r="P4606" s="20">
        <v>0.0</v>
      </c>
      <c r="Q4606" s="18"/>
      <c r="R4606" s="18"/>
      <c r="S4606" s="52"/>
      <c r="T4606" s="22"/>
    </row>
    <row r="4607">
      <c r="A4607" s="23" t="s">
        <v>32560</v>
      </c>
      <c r="B4607" s="77" t="s">
        <v>2696</v>
      </c>
      <c r="C4607" s="96">
        <v>45619.0</v>
      </c>
      <c r="D4607" s="40" t="s">
        <v>32561</v>
      </c>
      <c r="E4607" s="97" t="s">
        <v>32562</v>
      </c>
      <c r="F4607" s="98" t="s">
        <v>32563</v>
      </c>
      <c r="G4607" s="98" t="s">
        <v>32564</v>
      </c>
      <c r="H4607" s="103" t="s">
        <v>2591</v>
      </c>
      <c r="I4607" s="25" t="str">
        <f>IFERROR(__xludf.DUMMYFUNCTION("GOOGLETRANSLATE(H4607,""EN"",""ES"")"),"Negocio")</f>
        <v>Negocio</v>
      </c>
      <c r="J4607" s="26" t="s">
        <v>27</v>
      </c>
      <c r="K4607" s="17">
        <v>0.0</v>
      </c>
      <c r="L4607" s="51"/>
      <c r="M4607" s="31"/>
      <c r="N4607" s="90"/>
      <c r="O4607" s="90"/>
      <c r="P4607" s="20">
        <v>0.0</v>
      </c>
      <c r="Q4607" s="31"/>
      <c r="R4607" s="31"/>
      <c r="S4607" s="53"/>
      <c r="T4607" s="32"/>
    </row>
    <row r="4608">
      <c r="A4608" s="33" t="s">
        <v>32565</v>
      </c>
      <c r="B4608" s="76" t="s">
        <v>217</v>
      </c>
      <c r="C4608" s="99">
        <v>45619.0</v>
      </c>
      <c r="D4608" s="40" t="s">
        <v>32566</v>
      </c>
      <c r="E4608" s="100" t="s">
        <v>32567</v>
      </c>
      <c r="F4608" s="101" t="s">
        <v>32568</v>
      </c>
      <c r="G4608" s="101" t="s">
        <v>32569</v>
      </c>
      <c r="H4608" s="102" t="s">
        <v>2591</v>
      </c>
      <c r="I4608" s="15" t="str">
        <f>IFERROR(__xludf.DUMMYFUNCTION("GOOGLETRANSLATE(H4608,""EN"",""ES"")"),"Negocio")</f>
        <v>Negocio</v>
      </c>
      <c r="J4608" s="16" t="s">
        <v>27</v>
      </c>
      <c r="K4608" s="17">
        <v>0.0</v>
      </c>
      <c r="L4608" s="49"/>
      <c r="M4608" s="18"/>
      <c r="N4608" s="91"/>
      <c r="O4608" s="91"/>
      <c r="P4608" s="20">
        <v>0.0</v>
      </c>
      <c r="Q4608" s="18"/>
      <c r="R4608" s="18"/>
      <c r="S4608" s="52"/>
      <c r="T4608" s="22"/>
    </row>
    <row r="4609">
      <c r="A4609" s="23" t="s">
        <v>32570</v>
      </c>
      <c r="B4609" s="77" t="s">
        <v>32571</v>
      </c>
      <c r="C4609" s="96">
        <v>45619.0</v>
      </c>
      <c r="D4609" s="40" t="s">
        <v>32572</v>
      </c>
      <c r="E4609" s="97" t="s">
        <v>32573</v>
      </c>
      <c r="F4609" s="98" t="s">
        <v>32574</v>
      </c>
      <c r="G4609" s="98" t="s">
        <v>32575</v>
      </c>
      <c r="H4609" s="103" t="s">
        <v>1975</v>
      </c>
      <c r="I4609" s="25" t="str">
        <f>IFERROR(__xludf.DUMMYFUNCTION("GOOGLETRANSLATE(H4609,""EN"",""ES"")"),"Política")</f>
        <v>Política</v>
      </c>
      <c r="J4609" s="26" t="s">
        <v>27</v>
      </c>
      <c r="K4609" s="17">
        <v>0.0</v>
      </c>
      <c r="L4609" s="51"/>
      <c r="M4609" s="31"/>
      <c r="N4609" s="90"/>
      <c r="O4609" s="90"/>
      <c r="P4609" s="20">
        <v>0.0</v>
      </c>
      <c r="Q4609" s="31"/>
      <c r="R4609" s="31"/>
      <c r="S4609" s="53"/>
      <c r="T4609" s="32"/>
    </row>
    <row r="4610">
      <c r="A4610" s="33" t="s">
        <v>32576</v>
      </c>
      <c r="B4610" s="76" t="s">
        <v>1081</v>
      </c>
      <c r="C4610" s="99">
        <v>45620.0</v>
      </c>
      <c r="D4610" s="40" t="s">
        <v>32577</v>
      </c>
      <c r="E4610" s="100" t="s">
        <v>32578</v>
      </c>
      <c r="F4610" s="101" t="s">
        <v>32579</v>
      </c>
      <c r="G4610" s="101" t="s">
        <v>32580</v>
      </c>
      <c r="H4610" s="102" t="s">
        <v>2591</v>
      </c>
      <c r="I4610" s="15" t="str">
        <f>IFERROR(__xludf.DUMMYFUNCTION("GOOGLETRANSLATE(H4610,""EN"",""ES"")"),"Negocio")</f>
        <v>Negocio</v>
      </c>
      <c r="J4610" s="16" t="s">
        <v>35</v>
      </c>
      <c r="K4610" s="48">
        <v>0.6</v>
      </c>
      <c r="L4610" s="49" t="s">
        <v>32581</v>
      </c>
      <c r="M4610" s="34" t="s">
        <v>32582</v>
      </c>
      <c r="N4610" s="91" t="s">
        <v>32583</v>
      </c>
      <c r="O4610" s="91" t="str">
        <f>IFERROR(__xludf.DUMMYFUNCTION("GOOGLETRANSLATE(N4610,""EN"",""ES"")"),"Positivo, muestra el avance de Repsol en un proyecto de construcción.")</f>
        <v>Positivo, muestra el avance de Repsol en un proyecto de construcción.</v>
      </c>
      <c r="P4610" s="30">
        <v>0.4</v>
      </c>
      <c r="Q4610" s="18" t="str">
        <f>IFERROR(__xludf.DUMMYFUNCTION("GOOGLETRANSLATE(R4610,""ES"",""EN"")"),"green light")</f>
        <v>green light</v>
      </c>
      <c r="R4610" s="34" t="s">
        <v>32584</v>
      </c>
      <c r="S4610" s="52" t="s">
        <v>32585</v>
      </c>
      <c r="T4610" s="22" t="s">
        <v>32586</v>
      </c>
    </row>
    <row r="4611">
      <c r="A4611" s="23" t="s">
        <v>32587</v>
      </c>
      <c r="B4611" s="77" t="s">
        <v>2944</v>
      </c>
      <c r="C4611" s="96">
        <v>45620.0</v>
      </c>
      <c r="D4611" s="40" t="s">
        <v>32588</v>
      </c>
      <c r="E4611" s="97" t="s">
        <v>32589</v>
      </c>
      <c r="F4611" s="98" t="s">
        <v>32590</v>
      </c>
      <c r="G4611" s="98" t="s">
        <v>32591</v>
      </c>
      <c r="H4611" s="103" t="s">
        <v>2591</v>
      </c>
      <c r="I4611" s="25" t="str">
        <f>IFERROR(__xludf.DUMMYFUNCTION("GOOGLETRANSLATE(H4611,""EN"",""ES"")"),"Negocio")</f>
        <v>Negocio</v>
      </c>
      <c r="J4611" s="26" t="s">
        <v>27</v>
      </c>
      <c r="K4611" s="17">
        <v>0.0</v>
      </c>
      <c r="L4611" s="51"/>
      <c r="M4611" s="31"/>
      <c r="N4611" s="90"/>
      <c r="O4611" s="90"/>
      <c r="P4611" s="20">
        <v>0.0</v>
      </c>
      <c r="Q4611" s="31"/>
      <c r="R4611" s="31"/>
      <c r="S4611" s="53"/>
      <c r="T4611" s="32"/>
    </row>
    <row r="4612">
      <c r="A4612" s="33" t="s">
        <v>32592</v>
      </c>
      <c r="B4612" s="76" t="s">
        <v>3045</v>
      </c>
      <c r="C4612" s="99">
        <v>45620.0</v>
      </c>
      <c r="D4612" s="40" t="s">
        <v>32593</v>
      </c>
      <c r="E4612" s="100" t="s">
        <v>32594</v>
      </c>
      <c r="F4612" s="101" t="s">
        <v>32595</v>
      </c>
      <c r="G4612" s="101" t="s">
        <v>32596</v>
      </c>
      <c r="H4612" s="102" t="s">
        <v>2591</v>
      </c>
      <c r="I4612" s="15" t="str">
        <f>IFERROR(__xludf.DUMMYFUNCTION("GOOGLETRANSLATE(H4612,""EN"",""ES"")"),"Negocio")</f>
        <v>Negocio</v>
      </c>
      <c r="J4612" s="16" t="s">
        <v>35</v>
      </c>
      <c r="K4612" s="48">
        <v>-0.6</v>
      </c>
      <c r="L4612" s="49" t="s">
        <v>32597</v>
      </c>
      <c r="M4612" s="34" t="s">
        <v>32597</v>
      </c>
      <c r="N4612" s="91" t="s">
        <v>32598</v>
      </c>
      <c r="O4612" s="91" t="str">
        <f>IFERROR(__xludf.DUMMYFUNCTION("GOOGLETRANSLATE(N4612,""EN"",""ES"")"),"Negativo, señala el fin de una era y la reestructuración empresarial.")</f>
        <v>Negativo, señala el fin de una era y la reestructuración empresarial.</v>
      </c>
      <c r="P4612" s="30">
        <v>-0.5</v>
      </c>
      <c r="Q4612" s="18" t="str">
        <f>IFERROR(__xludf.DUMMYFUNCTION("GOOGLETRANSLATE(R4612,""ES"",""EN"")"),"liquid, ""nonsense""")</f>
        <v>liquid, "nonsense"</v>
      </c>
      <c r="R4612" s="34" t="s">
        <v>32599</v>
      </c>
      <c r="S4612" s="52" t="s">
        <v>32600</v>
      </c>
      <c r="T4612" s="22" t="s">
        <v>32601</v>
      </c>
    </row>
    <row r="4613">
      <c r="A4613" s="23" t="s">
        <v>32602</v>
      </c>
      <c r="B4613" s="77" t="s">
        <v>6381</v>
      </c>
      <c r="C4613" s="96">
        <v>45620.0</v>
      </c>
      <c r="D4613" s="40" t="s">
        <v>32603</v>
      </c>
      <c r="E4613" s="97" t="s">
        <v>32604</v>
      </c>
      <c r="F4613" s="98" t="s">
        <v>32605</v>
      </c>
      <c r="G4613" s="98" t="s">
        <v>32606</v>
      </c>
      <c r="H4613" s="103" t="s">
        <v>2591</v>
      </c>
      <c r="I4613" s="25" t="str">
        <f>IFERROR(__xludf.DUMMYFUNCTION("GOOGLETRANSLATE(H4613,""EN"",""ES"")"),"Negocio")</f>
        <v>Negocio</v>
      </c>
      <c r="J4613" s="26" t="s">
        <v>27</v>
      </c>
      <c r="K4613" s="17">
        <v>0.0</v>
      </c>
      <c r="L4613" s="51"/>
      <c r="M4613" s="31"/>
      <c r="N4613" s="90"/>
      <c r="O4613" s="90"/>
      <c r="P4613" s="20">
        <v>0.0</v>
      </c>
      <c r="Q4613" s="31"/>
      <c r="R4613" s="31"/>
      <c r="S4613" s="53"/>
      <c r="T4613" s="32"/>
    </row>
    <row r="4614">
      <c r="A4614" s="33" t="s">
        <v>32607</v>
      </c>
      <c r="B4614" s="76" t="s">
        <v>68</v>
      </c>
      <c r="C4614" s="99">
        <v>45620.0</v>
      </c>
      <c r="D4614" s="40" t="s">
        <v>32608</v>
      </c>
      <c r="E4614" s="100" t="s">
        <v>32609</v>
      </c>
      <c r="F4614" s="101" t="s">
        <v>32610</v>
      </c>
      <c r="G4614" s="101" t="s">
        <v>32611</v>
      </c>
      <c r="H4614" s="102" t="s">
        <v>3985</v>
      </c>
      <c r="I4614" s="15" t="str">
        <f>IFERROR(__xludf.DUMMYFUNCTION("GOOGLETRANSLATE(H4614,""EN"",""ES"")"),"Deportes")</f>
        <v>Deportes</v>
      </c>
      <c r="J4614" s="16" t="s">
        <v>27</v>
      </c>
      <c r="K4614" s="17">
        <v>0.0</v>
      </c>
      <c r="L4614" s="49"/>
      <c r="M4614" s="18"/>
      <c r="N4614" s="91"/>
      <c r="O4614" s="91"/>
      <c r="P4614" s="20">
        <v>0.0</v>
      </c>
      <c r="Q4614" s="18"/>
      <c r="R4614" s="18"/>
      <c r="S4614" s="52"/>
      <c r="T4614" s="22"/>
    </row>
    <row r="4615">
      <c r="A4615" s="23" t="s">
        <v>32612</v>
      </c>
      <c r="B4615" s="77" t="s">
        <v>1011</v>
      </c>
      <c r="C4615" s="96">
        <v>45620.0</v>
      </c>
      <c r="D4615" s="40" t="s">
        <v>32613</v>
      </c>
      <c r="E4615" s="97" t="s">
        <v>32614</v>
      </c>
      <c r="F4615" s="98" t="s">
        <v>32615</v>
      </c>
      <c r="G4615" s="98" t="s">
        <v>32616</v>
      </c>
      <c r="H4615" s="103" t="s">
        <v>3985</v>
      </c>
      <c r="I4615" s="25" t="str">
        <f>IFERROR(__xludf.DUMMYFUNCTION("GOOGLETRANSLATE(H4615,""EN"",""ES"")"),"Deportes")</f>
        <v>Deportes</v>
      </c>
      <c r="J4615" s="26" t="s">
        <v>27</v>
      </c>
      <c r="K4615" s="17">
        <v>0.0</v>
      </c>
      <c r="L4615" s="51"/>
      <c r="M4615" s="31"/>
      <c r="N4615" s="90"/>
      <c r="O4615" s="90"/>
      <c r="P4615" s="20">
        <v>0.0</v>
      </c>
      <c r="Q4615" s="31"/>
      <c r="R4615" s="31"/>
      <c r="S4615" s="53"/>
      <c r="T4615" s="32"/>
    </row>
    <row r="4616">
      <c r="A4616" s="33" t="s">
        <v>32617</v>
      </c>
      <c r="B4616" s="76" t="s">
        <v>85</v>
      </c>
      <c r="C4616" s="99">
        <v>45620.0</v>
      </c>
      <c r="D4616" s="40" t="s">
        <v>32618</v>
      </c>
      <c r="E4616" s="100" t="s">
        <v>32619</v>
      </c>
      <c r="F4616" s="101" t="s">
        <v>32620</v>
      </c>
      <c r="G4616" s="101" t="s">
        <v>32621</v>
      </c>
      <c r="H4616" s="102" t="s">
        <v>2591</v>
      </c>
      <c r="I4616" s="15" t="str">
        <f>IFERROR(__xludf.DUMMYFUNCTION("GOOGLETRANSLATE(H4616,""EN"",""ES"")"),"Negocio")</f>
        <v>Negocio</v>
      </c>
      <c r="J4616" s="16" t="s">
        <v>35</v>
      </c>
      <c r="K4616" s="48">
        <v>0.7</v>
      </c>
      <c r="L4616" s="49" t="s">
        <v>32622</v>
      </c>
      <c r="M4616" s="34" t="s">
        <v>32623</v>
      </c>
      <c r="N4616" s="91" t="s">
        <v>32624</v>
      </c>
      <c r="O4616" s="91" t="str">
        <f>IFERROR(__xludf.DUMMYFUNCTION("GOOGLETRANSLATE(N4616,""EN"",""ES"")"),"Positivo, destaca oportunidades en el mercado de las energías renovables.")</f>
        <v>Positivo, destaca oportunidades en el mercado de las energías renovables.</v>
      </c>
      <c r="P4616" s="30">
        <v>0.3</v>
      </c>
      <c r="Q4616" s="18" t="str">
        <f>IFERROR(__xludf.DUMMYFUNCTION("GOOGLETRANSLATE(R4616,""ES"",""EN"")"),"renewable, ""Repsol""")</f>
        <v>renewable, "Repsol"</v>
      </c>
      <c r="R4616" s="34" t="s">
        <v>32625</v>
      </c>
      <c r="S4616" s="52" t="s">
        <v>32626</v>
      </c>
      <c r="T4616" s="22" t="s">
        <v>32627</v>
      </c>
    </row>
    <row r="4617">
      <c r="A4617" s="23" t="s">
        <v>32628</v>
      </c>
      <c r="B4617" s="77" t="s">
        <v>1011</v>
      </c>
      <c r="C4617" s="96">
        <v>45620.0</v>
      </c>
      <c r="D4617" s="40" t="s">
        <v>32629</v>
      </c>
      <c r="E4617" s="97" t="s">
        <v>32630</v>
      </c>
      <c r="F4617" s="98" t="s">
        <v>32631</v>
      </c>
      <c r="G4617" s="98" t="s">
        <v>32632</v>
      </c>
      <c r="H4617" s="103" t="s">
        <v>3985</v>
      </c>
      <c r="I4617" s="25" t="str">
        <f>IFERROR(__xludf.DUMMYFUNCTION("GOOGLETRANSLATE(H4617,""EN"",""ES"")"),"Deportes")</f>
        <v>Deportes</v>
      </c>
      <c r="J4617" s="26" t="s">
        <v>27</v>
      </c>
      <c r="K4617" s="17">
        <v>0.0</v>
      </c>
      <c r="L4617" s="51"/>
      <c r="M4617" s="31"/>
      <c r="N4617" s="90"/>
      <c r="O4617" s="90"/>
      <c r="P4617" s="20">
        <v>0.0</v>
      </c>
      <c r="Q4617" s="31"/>
      <c r="R4617" s="31"/>
      <c r="S4617" s="53"/>
      <c r="T4617" s="32"/>
    </row>
    <row r="4618">
      <c r="A4618" s="33" t="s">
        <v>32633</v>
      </c>
      <c r="B4618" s="76" t="s">
        <v>254</v>
      </c>
      <c r="C4618" s="99">
        <v>45620.0</v>
      </c>
      <c r="D4618" s="40" t="s">
        <v>32634</v>
      </c>
      <c r="E4618" s="100" t="s">
        <v>32635</v>
      </c>
      <c r="F4618" s="101" t="s">
        <v>32636</v>
      </c>
      <c r="G4618" s="101" t="s">
        <v>32637</v>
      </c>
      <c r="H4618" s="102" t="s">
        <v>2591</v>
      </c>
      <c r="I4618" s="15" t="str">
        <f>IFERROR(__xludf.DUMMYFUNCTION("GOOGLETRANSLATE(H4618,""EN"",""ES"")"),"Negocio")</f>
        <v>Negocio</v>
      </c>
      <c r="J4618" s="16" t="s">
        <v>27</v>
      </c>
      <c r="K4618" s="17">
        <v>0.0</v>
      </c>
      <c r="L4618" s="49"/>
      <c r="M4618" s="18"/>
      <c r="N4618" s="91"/>
      <c r="O4618" s="91"/>
      <c r="P4618" s="20">
        <v>0.0</v>
      </c>
      <c r="Q4618" s="18"/>
      <c r="R4618" s="18"/>
      <c r="S4618" s="52"/>
      <c r="T4618" s="22"/>
    </row>
    <row r="4619">
      <c r="A4619" s="23" t="s">
        <v>32638</v>
      </c>
      <c r="B4619" s="77" t="s">
        <v>1011</v>
      </c>
      <c r="C4619" s="96">
        <v>45620.0</v>
      </c>
      <c r="D4619" s="40" t="s">
        <v>32639</v>
      </c>
      <c r="E4619" s="97" t="s">
        <v>32640</v>
      </c>
      <c r="F4619" s="98" t="s">
        <v>32641</v>
      </c>
      <c r="G4619" s="98" t="s">
        <v>32642</v>
      </c>
      <c r="H4619" s="103" t="s">
        <v>3985</v>
      </c>
      <c r="I4619" s="25" t="str">
        <f>IFERROR(__xludf.DUMMYFUNCTION("GOOGLETRANSLATE(H4619,""EN"",""ES"")"),"Deportes")</f>
        <v>Deportes</v>
      </c>
      <c r="J4619" s="26" t="s">
        <v>27</v>
      </c>
      <c r="K4619" s="17">
        <v>0.0</v>
      </c>
      <c r="L4619" s="51"/>
      <c r="M4619" s="31"/>
      <c r="N4619" s="90"/>
      <c r="O4619" s="90"/>
      <c r="P4619" s="20">
        <v>0.0</v>
      </c>
      <c r="Q4619" s="31"/>
      <c r="R4619" s="31"/>
      <c r="S4619" s="53"/>
      <c r="T4619" s="32"/>
    </row>
    <row r="4620">
      <c r="A4620" s="33" t="s">
        <v>32643</v>
      </c>
      <c r="B4620" s="76" t="s">
        <v>1011</v>
      </c>
      <c r="C4620" s="99">
        <v>45620.0</v>
      </c>
      <c r="D4620" s="40" t="s">
        <v>32644</v>
      </c>
      <c r="E4620" s="100" t="s">
        <v>32645</v>
      </c>
      <c r="F4620" s="101" t="s">
        <v>32646</v>
      </c>
      <c r="G4620" s="101" t="s">
        <v>32647</v>
      </c>
      <c r="H4620" s="102" t="s">
        <v>3985</v>
      </c>
      <c r="I4620" s="15" t="str">
        <f>IFERROR(__xludf.DUMMYFUNCTION("GOOGLETRANSLATE(H4620,""EN"",""ES"")"),"Deportes")</f>
        <v>Deportes</v>
      </c>
      <c r="J4620" s="16" t="s">
        <v>27</v>
      </c>
      <c r="K4620" s="17">
        <v>0.0</v>
      </c>
      <c r="L4620" s="49"/>
      <c r="M4620" s="18"/>
      <c r="N4620" s="91"/>
      <c r="O4620" s="91"/>
      <c r="P4620" s="20">
        <v>0.0</v>
      </c>
      <c r="Q4620" s="18"/>
      <c r="R4620" s="18"/>
      <c r="S4620" s="52"/>
      <c r="T4620" s="22"/>
    </row>
    <row r="4621">
      <c r="A4621" s="23" t="s">
        <v>32648</v>
      </c>
      <c r="B4621" s="77" t="s">
        <v>1011</v>
      </c>
      <c r="C4621" s="96">
        <v>45620.0</v>
      </c>
      <c r="D4621" s="40" t="s">
        <v>32649</v>
      </c>
      <c r="E4621" s="97" t="s">
        <v>32650</v>
      </c>
      <c r="F4621" s="98" t="s">
        <v>32651</v>
      </c>
      <c r="G4621" s="98" t="s">
        <v>32652</v>
      </c>
      <c r="H4621" s="103" t="s">
        <v>3985</v>
      </c>
      <c r="I4621" s="25" t="str">
        <f>IFERROR(__xludf.DUMMYFUNCTION("GOOGLETRANSLATE(H4621,""EN"",""ES"")"),"Deportes")</f>
        <v>Deportes</v>
      </c>
      <c r="J4621" s="26" t="s">
        <v>27</v>
      </c>
      <c r="K4621" s="17">
        <v>0.0</v>
      </c>
      <c r="L4621" s="51"/>
      <c r="M4621" s="31"/>
      <c r="N4621" s="90"/>
      <c r="O4621" s="90"/>
      <c r="P4621" s="20">
        <v>0.0</v>
      </c>
      <c r="Q4621" s="31"/>
      <c r="R4621" s="31"/>
      <c r="S4621" s="53"/>
      <c r="T4621" s="32"/>
    </row>
    <row r="4622">
      <c r="A4622" s="33" t="s">
        <v>32653</v>
      </c>
      <c r="B4622" s="76" t="s">
        <v>32654</v>
      </c>
      <c r="C4622" s="99">
        <v>45621.0</v>
      </c>
      <c r="D4622" s="40" t="s">
        <v>32655</v>
      </c>
      <c r="E4622" s="100" t="s">
        <v>32656</v>
      </c>
      <c r="F4622" s="101" t="s">
        <v>32657</v>
      </c>
      <c r="G4622" s="101" t="s">
        <v>32658</v>
      </c>
      <c r="H4622" s="102" t="s">
        <v>408</v>
      </c>
      <c r="I4622" s="15" t="str">
        <f>IFERROR(__xludf.DUMMYFUNCTION("GOOGLETRANSLATE(H4622,""EN"",""ES"")"),"Legal")</f>
        <v>Legal</v>
      </c>
      <c r="J4622" s="16" t="s">
        <v>35</v>
      </c>
      <c r="K4622" s="48">
        <v>-0.8</v>
      </c>
      <c r="L4622" s="49" t="s">
        <v>31615</v>
      </c>
      <c r="M4622" s="34" t="s">
        <v>31616</v>
      </c>
      <c r="N4622" s="91" t="s">
        <v>32659</v>
      </c>
      <c r="O4622" s="91" t="str">
        <f>IFERROR(__xludf.DUMMYFUNCTION("GOOGLETRANSLATE(N4622,""EN"",""ES"")"),"Negativo, destaca la batalla legal corporativa y las acusaciones de greenwashing.")</f>
        <v>Negativo, destaca la batalla legal corporativa y las acusaciones de greenwashing.</v>
      </c>
      <c r="P4622" s="30">
        <v>-0.6</v>
      </c>
      <c r="Q4622" s="18" t="str">
        <f>IFERROR(__xludf.DUMMYFUNCTION("GOOGLETRANSLATE(R4622,""ES"",""EN"")"),"trial, ""greenwashing""")</f>
        <v>trial, "greenwashing"</v>
      </c>
      <c r="R4622" s="34" t="s">
        <v>32660</v>
      </c>
      <c r="S4622" s="52" t="s">
        <v>32661</v>
      </c>
      <c r="T4622" s="22" t="s">
        <v>32662</v>
      </c>
    </row>
    <row r="4623">
      <c r="A4623" s="23" t="s">
        <v>32663</v>
      </c>
      <c r="B4623" s="77" t="s">
        <v>626</v>
      </c>
      <c r="C4623" s="96">
        <v>45621.0</v>
      </c>
      <c r="D4623" s="40" t="s">
        <v>32664</v>
      </c>
      <c r="E4623" s="97" t="s">
        <v>32665</v>
      </c>
      <c r="F4623" s="98" t="s">
        <v>32666</v>
      </c>
      <c r="G4623" s="98" t="s">
        <v>32667</v>
      </c>
      <c r="H4623" s="103" t="s">
        <v>1975</v>
      </c>
      <c r="I4623" s="25" t="str">
        <f>IFERROR(__xludf.DUMMYFUNCTION("GOOGLETRANSLATE(H4623,""EN"",""ES"")"),"Política")</f>
        <v>Política</v>
      </c>
      <c r="J4623" s="26" t="s">
        <v>35</v>
      </c>
      <c r="K4623" s="48">
        <v>-0.7</v>
      </c>
      <c r="L4623" s="51" t="s">
        <v>32668</v>
      </c>
      <c r="M4623" s="28" t="s">
        <v>32669</v>
      </c>
      <c r="N4623" s="90" t="s">
        <v>32670</v>
      </c>
      <c r="O4623" s="90" t="str">
        <f>IFERROR(__xludf.DUMMYFUNCTION("GOOGLETRANSLATE(N4623,""EN"",""ES"")"),"Negativo, refleja el impacto financiero de las decisiones políticas sobre Repsol.")</f>
        <v>Negativo, refleja el impacto financiero de las decisiones políticas sobre Repsol.</v>
      </c>
      <c r="P4623" s="30">
        <v>-0.8</v>
      </c>
      <c r="Q4623" s="31" t="str">
        <f>IFERROR(__xludf.DUMMYFUNCTION("GOOGLETRANSLATE(R4623,""ES"",""EN"")"),"pause, ""tax""")</f>
        <v>pause, "tax"</v>
      </c>
      <c r="R4623" s="28" t="s">
        <v>32671</v>
      </c>
      <c r="S4623" s="53" t="s">
        <v>32672</v>
      </c>
      <c r="T4623" s="32" t="s">
        <v>32673</v>
      </c>
    </row>
    <row r="4624">
      <c r="A4624" s="33" t="s">
        <v>32674</v>
      </c>
      <c r="B4624" s="76" t="s">
        <v>85</v>
      </c>
      <c r="C4624" s="99">
        <v>45621.0</v>
      </c>
      <c r="D4624" s="40" t="s">
        <v>32675</v>
      </c>
      <c r="E4624" s="100" t="s">
        <v>32676</v>
      </c>
      <c r="F4624" s="101" t="s">
        <v>32677</v>
      </c>
      <c r="G4624" s="101" t="s">
        <v>32678</v>
      </c>
      <c r="H4624" s="102" t="s">
        <v>1975</v>
      </c>
      <c r="I4624" s="15" t="str">
        <f>IFERROR(__xludf.DUMMYFUNCTION("GOOGLETRANSLATE(H4624,""EN"",""ES"")"),"Política")</f>
        <v>Política</v>
      </c>
      <c r="J4624" s="16" t="s">
        <v>35</v>
      </c>
      <c r="K4624" s="48">
        <v>-0.7</v>
      </c>
      <c r="L4624" s="49" t="s">
        <v>32679</v>
      </c>
      <c r="M4624" s="34" t="s">
        <v>32680</v>
      </c>
      <c r="N4624" s="91" t="s">
        <v>32681</v>
      </c>
      <c r="O4624" s="91" t="str">
        <f>IFERROR(__xludf.DUMMYFUNCTION("GOOGLETRANSLATE(N4624,""EN"",""ES"")"),"Negativo, revela la postura cauta de Repsol sobre futuras inversiones por la incertidumbre fiscal.")</f>
        <v>Negativo, revela la postura cauta de Repsol sobre futuras inversiones por la incertidumbre fiscal.</v>
      </c>
      <c r="P4624" s="30">
        <v>-0.7</v>
      </c>
      <c r="Q4624" s="18" t="str">
        <f>IFERROR(__xludf.DUMMYFUNCTION("GOOGLETRANSLATE(R4624,""ES"",""EN"")"),"imbroglio, ""tax""")</f>
        <v>imbroglio, "tax"</v>
      </c>
      <c r="R4624" s="34" t="s">
        <v>32682</v>
      </c>
      <c r="S4624" s="52" t="s">
        <v>32683</v>
      </c>
      <c r="T4624" s="22" t="s">
        <v>32684</v>
      </c>
    </row>
    <row r="4625">
      <c r="A4625" s="23" t="s">
        <v>32685</v>
      </c>
      <c r="B4625" s="77" t="s">
        <v>1192</v>
      </c>
      <c r="C4625" s="96">
        <v>45621.0</v>
      </c>
      <c r="D4625" s="40" t="s">
        <v>32686</v>
      </c>
      <c r="E4625" s="97" t="s">
        <v>32687</v>
      </c>
      <c r="F4625" s="98" t="s">
        <v>32688</v>
      </c>
      <c r="G4625" s="98" t="s">
        <v>32689</v>
      </c>
      <c r="H4625" s="103" t="s">
        <v>1975</v>
      </c>
      <c r="I4625" s="25" t="str">
        <f>IFERROR(__xludf.DUMMYFUNCTION("GOOGLETRANSLATE(H4625,""EN"",""ES"")"),"Política")</f>
        <v>Política</v>
      </c>
      <c r="J4625" s="26" t="s">
        <v>35</v>
      </c>
      <c r="K4625" s="48">
        <v>-0.7</v>
      </c>
      <c r="L4625" s="51" t="s">
        <v>32679</v>
      </c>
      <c r="M4625" s="28" t="s">
        <v>32680</v>
      </c>
      <c r="N4625" s="90" t="s">
        <v>32690</v>
      </c>
      <c r="O4625" s="90" t="str">
        <f>IFERROR(__xludf.DUMMYFUNCTION("GOOGLETRANSLATE(N4625,""EN"",""ES"")"),"Negativo, indica la retención de inversiones debido a la política fiscal del gobierno.")</f>
        <v>Negativo, indica la retención de inversiones debido a la política fiscal del gobierno.</v>
      </c>
      <c r="P4625" s="30">
        <v>-0.8</v>
      </c>
      <c r="Q4625" s="31" t="str">
        <f>IFERROR(__xludf.DUMMYFUNCTION("GOOGLETRANSLATE(R4625,""ES"",""EN"")"),"frozen, ""tax""")</f>
        <v>frozen, "tax"</v>
      </c>
      <c r="R4625" s="28" t="s">
        <v>32691</v>
      </c>
      <c r="S4625" s="53" t="s">
        <v>32692</v>
      </c>
      <c r="T4625" s="32" t="s">
        <v>32693</v>
      </c>
    </row>
    <row r="4626">
      <c r="A4626" s="33" t="s">
        <v>32694</v>
      </c>
      <c r="B4626" s="76" t="s">
        <v>260</v>
      </c>
      <c r="C4626" s="99">
        <v>45621.0</v>
      </c>
      <c r="D4626" s="40" t="s">
        <v>32695</v>
      </c>
      <c r="E4626" s="100" t="s">
        <v>32696</v>
      </c>
      <c r="F4626" s="101" t="s">
        <v>32697</v>
      </c>
      <c r="G4626" s="101" t="s">
        <v>32698</v>
      </c>
      <c r="H4626" s="102" t="s">
        <v>1975</v>
      </c>
      <c r="I4626" s="15" t="str">
        <f>IFERROR(__xludf.DUMMYFUNCTION("GOOGLETRANSLATE(H4626,""EN"",""ES"")"),"Política")</f>
        <v>Política</v>
      </c>
      <c r="J4626" s="16" t="s">
        <v>35</v>
      </c>
      <c r="K4626" s="48">
        <v>-0.7</v>
      </c>
      <c r="L4626" s="49" t="s">
        <v>32679</v>
      </c>
      <c r="M4626" s="34" t="s">
        <v>32680</v>
      </c>
      <c r="N4626" s="91" t="s">
        <v>32699</v>
      </c>
      <c r="O4626" s="91" t="str">
        <f>IFERROR(__xludf.DUMMYFUNCTION("GOOGLETRANSLATE(N4626,""EN"",""ES"")"),"Negativo, destaca la vacilación de Repsol ante grandes inversiones por factores políticos.")</f>
        <v>Negativo, destaca la vacilación de Repsol ante grandes inversiones por factores políticos.</v>
      </c>
      <c r="P4626" s="30">
        <v>-0.9</v>
      </c>
      <c r="Q4626" s="18" t="str">
        <f>IFERROR(__xludf.DUMMYFUNCTION("GOOGLETRANSLATE(R4626,""ES"",""EN"")"),"leave in the air, ""tax""")</f>
        <v>leave in the air, "tax"</v>
      </c>
      <c r="R4626" s="34" t="s">
        <v>32700</v>
      </c>
      <c r="S4626" s="52" t="s">
        <v>32701</v>
      </c>
      <c r="T4626" s="22" t="s">
        <v>32702</v>
      </c>
    </row>
    <row r="4627">
      <c r="A4627" s="23" t="s">
        <v>32703</v>
      </c>
      <c r="B4627" s="77" t="s">
        <v>1602</v>
      </c>
      <c r="C4627" s="96">
        <v>45621.0</v>
      </c>
      <c r="D4627" s="40" t="s">
        <v>32704</v>
      </c>
      <c r="E4627" s="97" t="s">
        <v>32705</v>
      </c>
      <c r="F4627" s="98" t="s">
        <v>32706</v>
      </c>
      <c r="G4627" s="98" t="s">
        <v>32707</v>
      </c>
      <c r="H4627" s="103" t="s">
        <v>1975</v>
      </c>
      <c r="I4627" s="25" t="str">
        <f>IFERROR(__xludf.DUMMYFUNCTION("GOOGLETRANSLATE(H4627,""EN"",""ES"")"),"Política")</f>
        <v>Política</v>
      </c>
      <c r="J4627" s="26" t="s">
        <v>35</v>
      </c>
      <c r="K4627" s="48">
        <v>-0.7</v>
      </c>
      <c r="L4627" s="51" t="s">
        <v>32679</v>
      </c>
      <c r="M4627" s="28" t="s">
        <v>32680</v>
      </c>
      <c r="N4627" s="90" t="s">
        <v>32708</v>
      </c>
      <c r="O4627" s="90" t="str">
        <f>IFERROR(__xludf.DUMMYFUNCTION("GOOGLETRANSLATE(N4627,""EN"",""ES"")"),"Negativo, analiza el retraso de Repsol en invertir por la política fiscal del Gobierno.")</f>
        <v>Negativo, analiza el retraso de Repsol en invertir por la política fiscal del Gobierno.</v>
      </c>
      <c r="P4627" s="30">
        <v>-0.7</v>
      </c>
      <c r="Q4627" s="31" t="str">
        <f>IFERROR(__xludf.DUMMYFUNCTION("GOOGLETRANSLATE(R4627,""ES"",""EN"")"),"waiting, ""tax""")</f>
        <v>waiting, "tax"</v>
      </c>
      <c r="R4627" s="28" t="s">
        <v>32709</v>
      </c>
      <c r="S4627" s="53" t="s">
        <v>32710</v>
      </c>
      <c r="T4627" s="32" t="s">
        <v>32711</v>
      </c>
    </row>
    <row r="4628">
      <c r="A4628" s="33" t="s">
        <v>32712</v>
      </c>
      <c r="B4628" s="76" t="s">
        <v>614</v>
      </c>
      <c r="C4628" s="99">
        <v>45621.0</v>
      </c>
      <c r="D4628" s="40" t="s">
        <v>32713</v>
      </c>
      <c r="E4628" s="100" t="s">
        <v>32714</v>
      </c>
      <c r="F4628" s="101" t="s">
        <v>32715</v>
      </c>
      <c r="G4628" s="101" t="s">
        <v>32716</v>
      </c>
      <c r="H4628" s="102" t="s">
        <v>1975</v>
      </c>
      <c r="I4628" s="15" t="str">
        <f>IFERROR(__xludf.DUMMYFUNCTION("GOOGLETRANSLATE(H4628,""EN"",""ES"")"),"Política")</f>
        <v>Política</v>
      </c>
      <c r="J4628" s="16" t="s">
        <v>35</v>
      </c>
      <c r="K4628" s="48">
        <v>-0.8</v>
      </c>
      <c r="L4628" s="49" t="s">
        <v>32679</v>
      </c>
      <c r="M4628" s="34" t="s">
        <v>32680</v>
      </c>
      <c r="N4628" s="91" t="s">
        <v>32717</v>
      </c>
      <c r="O4628" s="91" t="str">
        <f>IFERROR(__xludf.DUMMYFUNCTION("GOOGLETRANSLATE(N4628,""EN"",""ES"")"),"Negativo, refleja preocupaciones sobre el impacto de los impuestos en inversiones futuras.")</f>
        <v>Negativo, refleja preocupaciones sobre el impacto de los impuestos en inversiones futuras.</v>
      </c>
      <c r="P4628" s="30">
        <v>-0.9</v>
      </c>
      <c r="Q4628" s="18" t="str">
        <f>IFERROR(__xludf.DUMMYFUNCTION("GOOGLETRANSLATE(R4628,""ES"",""EN"")"),"more taxes, ""less investment""")</f>
        <v>more taxes, "less investment"</v>
      </c>
      <c r="R4628" s="34" t="s">
        <v>32718</v>
      </c>
      <c r="S4628" s="52" t="s">
        <v>32719</v>
      </c>
      <c r="T4628" s="22" t="s">
        <v>32720</v>
      </c>
    </row>
    <row r="4629">
      <c r="A4629" s="23" t="s">
        <v>32721</v>
      </c>
      <c r="B4629" s="77" t="s">
        <v>881</v>
      </c>
      <c r="C4629" s="96">
        <v>45621.0</v>
      </c>
      <c r="D4629" s="40" t="s">
        <v>32722</v>
      </c>
      <c r="E4629" s="97" t="s">
        <v>32723</v>
      </c>
      <c r="F4629" s="98" t="s">
        <v>32724</v>
      </c>
      <c r="G4629" s="98" t="s">
        <v>32725</v>
      </c>
      <c r="H4629" s="103" t="s">
        <v>1975</v>
      </c>
      <c r="I4629" s="25" t="str">
        <f>IFERROR(__xludf.DUMMYFUNCTION("GOOGLETRANSLATE(H4629,""EN"",""ES"")"),"Política")</f>
        <v>Política</v>
      </c>
      <c r="J4629" s="26" t="s">
        <v>35</v>
      </c>
      <c r="K4629" s="48">
        <v>-0.7</v>
      </c>
      <c r="L4629" s="51" t="s">
        <v>32176</v>
      </c>
      <c r="M4629" s="28" t="s">
        <v>32177</v>
      </c>
      <c r="N4629" s="90" t="s">
        <v>32726</v>
      </c>
      <c r="O4629" s="90" t="str">
        <f>IFERROR(__xludf.DUMMYFUNCTION("GOOGLETRANSLATE(N4629,""EN"",""ES"")"),"Negativo, reitera la cautela de Repsol por la incertidumbre fiscal.")</f>
        <v>Negativo, reitera la cautela de Repsol por la incertidumbre fiscal.</v>
      </c>
      <c r="P4629" s="30">
        <v>-0.8</v>
      </c>
      <c r="Q4629" s="31" t="str">
        <f>IFERROR(__xludf.DUMMYFUNCTION("GOOGLETRANSLATE(R4629,""ES"",""EN"")"),"leave in the air")</f>
        <v>leave in the air</v>
      </c>
      <c r="R4629" s="28" t="s">
        <v>32727</v>
      </c>
      <c r="S4629" s="53" t="s">
        <v>32728</v>
      </c>
      <c r="T4629" s="32" t="s">
        <v>32729</v>
      </c>
    </row>
    <row r="4630">
      <c r="A4630" s="33" t="s">
        <v>32730</v>
      </c>
      <c r="B4630" s="76" t="s">
        <v>2442</v>
      </c>
      <c r="C4630" s="99">
        <v>45621.0</v>
      </c>
      <c r="D4630" s="40" t="s">
        <v>32731</v>
      </c>
      <c r="E4630" s="100" t="s">
        <v>32732</v>
      </c>
      <c r="F4630" s="101" t="s">
        <v>32733</v>
      </c>
      <c r="G4630" s="101" t="s">
        <v>32734</v>
      </c>
      <c r="H4630" s="102" t="s">
        <v>1975</v>
      </c>
      <c r="I4630" s="15" t="str">
        <f>IFERROR(__xludf.DUMMYFUNCTION("GOOGLETRANSLATE(H4630,""EN"",""ES"")"),"Política")</f>
        <v>Política</v>
      </c>
      <c r="J4630" s="16" t="s">
        <v>35</v>
      </c>
      <c r="K4630" s="48">
        <v>-0.5</v>
      </c>
      <c r="L4630" s="49" t="s">
        <v>32735</v>
      </c>
      <c r="M4630" s="34" t="s">
        <v>32736</v>
      </c>
      <c r="N4630" s="91" t="s">
        <v>32737</v>
      </c>
      <c r="O4630" s="91" t="str">
        <f>IFERROR(__xludf.DUMMYFUNCTION("GOOGLETRANSLATE(N4630,""EN"",""ES"")"),"Negativo, refleja desafíos políticos en el sector energético.")</f>
        <v>Negativo, refleja desafíos políticos en el sector energético.</v>
      </c>
      <c r="P4630" s="30">
        <v>0.0</v>
      </c>
      <c r="Q4630" s="18"/>
      <c r="R4630" s="18"/>
      <c r="S4630" s="52" t="s">
        <v>469</v>
      </c>
      <c r="T4630" s="22" t="s">
        <v>470</v>
      </c>
    </row>
    <row r="4631">
      <c r="A4631" s="23" t="s">
        <v>32738</v>
      </c>
      <c r="B4631" s="77" t="s">
        <v>1970</v>
      </c>
      <c r="C4631" s="96">
        <v>45621.0</v>
      </c>
      <c r="D4631" s="40" t="s">
        <v>32739</v>
      </c>
      <c r="E4631" s="97" t="s">
        <v>32740</v>
      </c>
      <c r="F4631" s="98" t="s">
        <v>32741</v>
      </c>
      <c r="G4631" s="98" t="s">
        <v>32742</v>
      </c>
      <c r="H4631" s="103" t="s">
        <v>2591</v>
      </c>
      <c r="I4631" s="25" t="str">
        <f>IFERROR(__xludf.DUMMYFUNCTION("GOOGLETRANSLATE(H4631,""EN"",""ES"")"),"Negocio")</f>
        <v>Negocio</v>
      </c>
      <c r="J4631" s="26" t="s">
        <v>35</v>
      </c>
      <c r="K4631" s="48">
        <v>0.6</v>
      </c>
      <c r="L4631" s="51" t="s">
        <v>32743</v>
      </c>
      <c r="M4631" s="28" t="s">
        <v>32744</v>
      </c>
      <c r="N4631" s="90" t="s">
        <v>32745</v>
      </c>
      <c r="O4631" s="90" t="str">
        <f>IFERROR(__xludf.DUMMYFUNCTION("GOOGLETRANSLATE(N4631,""EN"",""ES"")"),"Positivo, ofrece a los consumidores una forma de ahorrar dinero.")</f>
        <v>Positivo, ofrece a los consumidores una forma de ahorrar dinero.</v>
      </c>
      <c r="P4631" s="30">
        <v>0.1</v>
      </c>
      <c r="Q4631" s="31" t="str">
        <f>IFERROR(__xludf.DUMMYFUNCTION("GOOGLETRANSLATE(R4631,""ES"",""EN"")"),"Repsol bonuses")</f>
        <v>Repsol bonuses</v>
      </c>
      <c r="R4631" s="28" t="s">
        <v>32746</v>
      </c>
      <c r="S4631" s="53" t="s">
        <v>32747</v>
      </c>
      <c r="T4631" s="32" t="s">
        <v>32748</v>
      </c>
    </row>
    <row r="4632">
      <c r="A4632" s="33" t="s">
        <v>32749</v>
      </c>
      <c r="B4632" s="76" t="s">
        <v>403</v>
      </c>
      <c r="C4632" s="99">
        <v>45621.0</v>
      </c>
      <c r="D4632" s="40" t="s">
        <v>32750</v>
      </c>
      <c r="E4632" s="100" t="s">
        <v>32751</v>
      </c>
      <c r="F4632" s="101" t="s">
        <v>32752</v>
      </c>
      <c r="G4632" s="101" t="s">
        <v>32753</v>
      </c>
      <c r="H4632" s="102" t="s">
        <v>2591</v>
      </c>
      <c r="I4632" s="15" t="str">
        <f>IFERROR(__xludf.DUMMYFUNCTION("GOOGLETRANSLATE(H4632,""EN"",""ES"")"),"Negocio")</f>
        <v>Negocio</v>
      </c>
      <c r="J4632" s="16" t="s">
        <v>35</v>
      </c>
      <c r="K4632" s="48">
        <v>-0.7</v>
      </c>
      <c r="L4632" s="49" t="s">
        <v>32754</v>
      </c>
      <c r="M4632" s="34" t="s">
        <v>32755</v>
      </c>
      <c r="N4632" s="91" t="s">
        <v>32756</v>
      </c>
      <c r="O4632" s="91" t="str">
        <f>IFERROR(__xludf.DUMMYFUNCTION("GOOGLETRANSLATE(N4632,""EN"",""ES"")"),"Negativo, muestra preocupaciones sobre el dominio del mercado.")</f>
        <v>Negativo, muestra preocupaciones sobre el dominio del mercado.</v>
      </c>
      <c r="P4632" s="30">
        <v>-0.4</v>
      </c>
      <c r="Q4632" s="18" t="str">
        <f>IFERROR(__xludf.DUMMYFUNCTION("GOOGLETRANSLATE(R4632,""ES"",""EN"")"),"corner more market")</f>
        <v>corner more market</v>
      </c>
      <c r="R4632" s="34" t="s">
        <v>32757</v>
      </c>
      <c r="S4632" s="52" t="s">
        <v>32758</v>
      </c>
      <c r="T4632" s="22" t="s">
        <v>32759</v>
      </c>
    </row>
    <row r="4633">
      <c r="A4633" s="23" t="s">
        <v>32760</v>
      </c>
      <c r="B4633" s="77" t="s">
        <v>4559</v>
      </c>
      <c r="C4633" s="96">
        <v>45621.0</v>
      </c>
      <c r="D4633" s="40" t="s">
        <v>32761</v>
      </c>
      <c r="E4633" s="97" t="s">
        <v>32762</v>
      </c>
      <c r="F4633" s="98" t="s">
        <v>32763</v>
      </c>
      <c r="G4633" s="98" t="s">
        <v>32764</v>
      </c>
      <c r="H4633" s="103" t="s">
        <v>3985</v>
      </c>
      <c r="I4633" s="25" t="str">
        <f>IFERROR(__xludf.DUMMYFUNCTION("GOOGLETRANSLATE(H4633,""EN"",""ES"")"),"Deportes")</f>
        <v>Deportes</v>
      </c>
      <c r="J4633" s="26" t="s">
        <v>27</v>
      </c>
      <c r="K4633" s="17">
        <v>0.0</v>
      </c>
      <c r="L4633" s="51"/>
      <c r="M4633" s="31"/>
      <c r="N4633" s="90"/>
      <c r="O4633" s="90"/>
      <c r="P4633" s="20">
        <v>0.0</v>
      </c>
      <c r="Q4633" s="31"/>
      <c r="R4633" s="31"/>
      <c r="S4633" s="53"/>
      <c r="T4633" s="32"/>
    </row>
    <row r="4634">
      <c r="A4634" s="33" t="s">
        <v>32765</v>
      </c>
      <c r="B4634" s="76" t="s">
        <v>21</v>
      </c>
      <c r="C4634" s="99">
        <v>45621.0</v>
      </c>
      <c r="D4634" s="40" t="s">
        <v>32766</v>
      </c>
      <c r="E4634" s="100" t="s">
        <v>32767</v>
      </c>
      <c r="F4634" s="101" t="s">
        <v>32768</v>
      </c>
      <c r="G4634" s="101" t="s">
        <v>32769</v>
      </c>
      <c r="H4634" s="61" t="s">
        <v>8762</v>
      </c>
      <c r="I4634" s="15" t="str">
        <f>IFERROR(__xludf.DUMMYFUNCTION("GOOGLETRANSLATE(H4634,""EN"",""ES"")"),"Viajar")</f>
        <v>Viajar</v>
      </c>
      <c r="J4634" s="16" t="s">
        <v>27</v>
      </c>
      <c r="K4634" s="17">
        <v>0.0</v>
      </c>
      <c r="L4634" s="49"/>
      <c r="M4634" s="18"/>
      <c r="N4634" s="68"/>
      <c r="O4634" s="78"/>
      <c r="P4634" s="20">
        <v>0.0</v>
      </c>
      <c r="Q4634" s="18"/>
      <c r="R4634" s="18"/>
      <c r="S4634" s="52"/>
      <c r="T4634" s="22"/>
    </row>
    <row r="4635">
      <c r="A4635" s="23" t="s">
        <v>32770</v>
      </c>
      <c r="B4635" s="77" t="s">
        <v>7414</v>
      </c>
      <c r="C4635" s="96">
        <v>45621.0</v>
      </c>
      <c r="D4635" s="40" t="s">
        <v>32771</v>
      </c>
      <c r="E4635" s="97" t="s">
        <v>32772</v>
      </c>
      <c r="F4635" s="98" t="s">
        <v>32773</v>
      </c>
      <c r="G4635" s="98" t="s">
        <v>32774</v>
      </c>
      <c r="H4635" s="59" t="s">
        <v>2591</v>
      </c>
      <c r="I4635" s="25" t="str">
        <f>IFERROR(__xludf.DUMMYFUNCTION("GOOGLETRANSLATE(H4635,""EN"",""ES"")"),"Negocio")</f>
        <v>Negocio</v>
      </c>
      <c r="J4635" s="26" t="s">
        <v>27</v>
      </c>
      <c r="K4635" s="17">
        <v>0.0</v>
      </c>
      <c r="L4635" s="51"/>
      <c r="M4635" s="31"/>
      <c r="N4635" s="87"/>
      <c r="O4635" s="87"/>
      <c r="P4635" s="20">
        <v>0.0</v>
      </c>
      <c r="Q4635" s="31"/>
      <c r="R4635" s="31"/>
      <c r="S4635" s="53"/>
      <c r="T4635" s="32"/>
    </row>
    <row r="4636">
      <c r="A4636" s="33" t="s">
        <v>32775</v>
      </c>
      <c r="B4636" s="76" t="s">
        <v>1011</v>
      </c>
      <c r="C4636" s="99">
        <v>45621.0</v>
      </c>
      <c r="D4636" s="40" t="s">
        <v>32776</v>
      </c>
      <c r="E4636" s="100" t="s">
        <v>32777</v>
      </c>
      <c r="F4636" s="101" t="s">
        <v>32778</v>
      </c>
      <c r="G4636" s="101" t="s">
        <v>32779</v>
      </c>
      <c r="H4636" s="61" t="s">
        <v>3985</v>
      </c>
      <c r="I4636" s="15" t="str">
        <f>IFERROR(__xludf.DUMMYFUNCTION("GOOGLETRANSLATE(H4636,""EN"",""ES"")"),"Deportes")</f>
        <v>Deportes</v>
      </c>
      <c r="J4636" s="16" t="s">
        <v>27</v>
      </c>
      <c r="K4636" s="17">
        <v>0.0</v>
      </c>
      <c r="L4636" s="49"/>
      <c r="M4636" s="18"/>
      <c r="N4636" s="104"/>
      <c r="O4636" s="104"/>
      <c r="P4636" s="20">
        <v>0.0</v>
      </c>
      <c r="Q4636" s="18"/>
      <c r="R4636" s="18"/>
      <c r="S4636" s="52"/>
      <c r="T4636" s="22"/>
    </row>
    <row r="4637">
      <c r="A4637" s="23" t="s">
        <v>32780</v>
      </c>
      <c r="B4637" s="77" t="s">
        <v>499</v>
      </c>
      <c r="C4637" s="96">
        <v>45622.0</v>
      </c>
      <c r="D4637" s="40" t="s">
        <v>32781</v>
      </c>
      <c r="E4637" s="97" t="s">
        <v>32782</v>
      </c>
      <c r="F4637" s="98" t="s">
        <v>32783</v>
      </c>
      <c r="G4637" s="98" t="s">
        <v>32784</v>
      </c>
      <c r="H4637" s="59" t="s">
        <v>2591</v>
      </c>
      <c r="I4637" s="25" t="str">
        <f>IFERROR(__xludf.DUMMYFUNCTION("GOOGLETRANSLATE(H4637,""EN"",""ES"")"),"Negocio")</f>
        <v>Negocio</v>
      </c>
      <c r="J4637" s="26" t="s">
        <v>35</v>
      </c>
      <c r="K4637" s="48">
        <v>0.9</v>
      </c>
      <c r="L4637" s="51" t="s">
        <v>32785</v>
      </c>
      <c r="M4637" s="31" t="s">
        <v>32786</v>
      </c>
      <c r="N4637" s="87" t="s">
        <v>32787</v>
      </c>
      <c r="O4637" s="87" t="str">
        <f>IFERROR(__xludf.DUMMYFUNCTION("GOOGLETRANSLATE(N4637,""EN"",""ES"")"),"Sentimiento muy positivo, destacando la apuesta de Repsol por las energías renovables.")</f>
        <v>Sentimiento muy positivo, destacando la apuesta de Repsol por las energías renovables.</v>
      </c>
      <c r="P4637" s="30">
        <v>0.9</v>
      </c>
      <c r="Q4637" s="31" t="str">
        <f>IFERROR(__xludf.DUMMYFUNCTION("GOOGLETRANSLATE(R4637,""ES"",""EN"")"),"100% renewable fuel")</f>
        <v>100% renewable fuel</v>
      </c>
      <c r="R4637" s="28" t="s">
        <v>32788</v>
      </c>
      <c r="S4637" s="53" t="s">
        <v>32789</v>
      </c>
      <c r="T4637" s="32" t="s">
        <v>32790</v>
      </c>
    </row>
    <row r="4638">
      <c r="A4638" s="33" t="s">
        <v>32791</v>
      </c>
      <c r="B4638" s="76" t="s">
        <v>8884</v>
      </c>
      <c r="C4638" s="99">
        <v>45622.0</v>
      </c>
      <c r="D4638" s="40" t="s">
        <v>32781</v>
      </c>
      <c r="E4638" s="100" t="s">
        <v>32792</v>
      </c>
      <c r="F4638" s="101" t="s">
        <v>32783</v>
      </c>
      <c r="G4638" s="101" t="s">
        <v>32793</v>
      </c>
      <c r="H4638" s="61" t="s">
        <v>2591</v>
      </c>
      <c r="I4638" s="15" t="str">
        <f>IFERROR(__xludf.DUMMYFUNCTION("GOOGLETRANSLATE(H4638,""EN"",""ES"")"),"Negocio")</f>
        <v>Negocio</v>
      </c>
      <c r="J4638" s="16" t="s">
        <v>35</v>
      </c>
      <c r="K4638" s="48">
        <v>0.9</v>
      </c>
      <c r="L4638" s="49" t="s">
        <v>32785</v>
      </c>
      <c r="M4638" s="18" t="s">
        <v>32786</v>
      </c>
      <c r="N4638" s="104" t="s">
        <v>32794</v>
      </c>
      <c r="O4638" s="104" t="str">
        <f>IFERROR(__xludf.DUMMYFUNCTION("GOOGLETRANSLATE(N4638,""EN"",""ES"")"),"Sentimiento muy positivo, que refuerza el avance de Repsol en sostenibilidad.")</f>
        <v>Sentimiento muy positivo, que refuerza el avance de Repsol en sostenibilidad.</v>
      </c>
      <c r="P4638" s="30">
        <v>0.9</v>
      </c>
      <c r="Q4638" s="18" t="str">
        <f>IFERROR(__xludf.DUMMYFUNCTION("GOOGLETRANSLATE(R4638,""ES"",""EN"")"),"100% renewable fuel")</f>
        <v>100% renewable fuel</v>
      </c>
      <c r="R4638" s="34" t="s">
        <v>32788</v>
      </c>
      <c r="S4638" s="52" t="s">
        <v>32789</v>
      </c>
      <c r="T4638" s="22" t="s">
        <v>32790</v>
      </c>
    </row>
    <row r="4639">
      <c r="A4639" s="23" t="s">
        <v>32795</v>
      </c>
      <c r="B4639" s="77" t="s">
        <v>4151</v>
      </c>
      <c r="C4639" s="96">
        <v>45622.0</v>
      </c>
      <c r="D4639" s="40" t="s">
        <v>32796</v>
      </c>
      <c r="E4639" s="97" t="s">
        <v>32797</v>
      </c>
      <c r="F4639" s="98" t="s">
        <v>32798</v>
      </c>
      <c r="G4639" s="98" t="s">
        <v>32799</v>
      </c>
      <c r="H4639" s="59" t="s">
        <v>2591</v>
      </c>
      <c r="I4639" s="25" t="str">
        <f>IFERROR(__xludf.DUMMYFUNCTION("GOOGLETRANSLATE(H4639,""EN"",""ES"")"),"Negocio")</f>
        <v>Negocio</v>
      </c>
      <c r="J4639" s="26" t="s">
        <v>35</v>
      </c>
      <c r="K4639" s="48">
        <v>0.7</v>
      </c>
      <c r="L4639" s="51" t="s">
        <v>32800</v>
      </c>
      <c r="M4639" s="28" t="s">
        <v>32800</v>
      </c>
      <c r="N4639" s="87" t="s">
        <v>32801</v>
      </c>
      <c r="O4639" s="87" t="str">
        <f>IFERROR(__xludf.DUMMYFUNCTION("GOOGLETRANSLATE(N4639,""EN"",""ES"")"),"Sentimiento positivo, destacando el papel de Repsol en el automovilismo sostenible.")</f>
        <v>Sentimiento positivo, destacando el papel de Repsol en el automovilismo sostenible.</v>
      </c>
      <c r="P4639" s="30">
        <v>0.7</v>
      </c>
      <c r="Q4639" s="31" t="str">
        <f>IFERROR(__xludf.DUMMYFUNCTION("GOOGLETRANSLATE(R4639,""ES"",""EN"")"),"they renew their alliance")</f>
        <v>they renew their alliance</v>
      </c>
      <c r="R4639" s="28" t="s">
        <v>32802</v>
      </c>
      <c r="S4639" s="53" t="s">
        <v>9424</v>
      </c>
      <c r="T4639" s="32" t="s">
        <v>9425</v>
      </c>
    </row>
    <row r="4640">
      <c r="A4640" s="33" t="s">
        <v>32803</v>
      </c>
      <c r="B4640" s="76" t="s">
        <v>614</v>
      </c>
      <c r="C4640" s="99">
        <v>45622.0</v>
      </c>
      <c r="D4640" s="40" t="s">
        <v>32804</v>
      </c>
      <c r="E4640" s="100" t="s">
        <v>32805</v>
      </c>
      <c r="F4640" s="101" t="s">
        <v>32806</v>
      </c>
      <c r="G4640" s="101" t="s">
        <v>32807</v>
      </c>
      <c r="H4640" s="61" t="s">
        <v>2591</v>
      </c>
      <c r="I4640" s="15" t="str">
        <f>IFERROR(__xludf.DUMMYFUNCTION("GOOGLETRANSLATE(H4640,""EN"",""ES"")"),"Negocio")</f>
        <v>Negocio</v>
      </c>
      <c r="J4640" s="16" t="s">
        <v>35</v>
      </c>
      <c r="K4640" s="48">
        <v>0.9</v>
      </c>
      <c r="L4640" s="49" t="s">
        <v>32785</v>
      </c>
      <c r="M4640" s="18" t="s">
        <v>32786</v>
      </c>
      <c r="N4640" s="104" t="s">
        <v>32808</v>
      </c>
      <c r="O4640" s="104" t="str">
        <f>IFERROR(__xludf.DUMMYFUNCTION("GOOGLETRANSLATE(N4640,""EN"",""ES"")"),"Sentimiento muy positivo, que refuerza los hitos de sostenibilidad de Repsol.")</f>
        <v>Sentimiento muy positivo, que refuerza los hitos de sostenibilidad de Repsol.</v>
      </c>
      <c r="P4640" s="30">
        <v>0.9</v>
      </c>
      <c r="Q4640" s="18" t="str">
        <f>IFERROR(__xludf.DUMMYFUNCTION("GOOGLETRANSLATE(R4640,""ES"",""EN"")"),"100% renewable fuel")</f>
        <v>100% renewable fuel</v>
      </c>
      <c r="R4640" s="34" t="s">
        <v>32788</v>
      </c>
      <c r="S4640" s="52" t="s">
        <v>32809</v>
      </c>
      <c r="T4640" s="22" t="s">
        <v>32810</v>
      </c>
    </row>
    <row r="4641">
      <c r="A4641" s="23" t="s">
        <v>32811</v>
      </c>
      <c r="B4641" s="77" t="s">
        <v>163</v>
      </c>
      <c r="C4641" s="96">
        <v>45622.0</v>
      </c>
      <c r="D4641" s="40" t="s">
        <v>32812</v>
      </c>
      <c r="E4641" s="97" t="s">
        <v>32797</v>
      </c>
      <c r="F4641" s="98" t="s">
        <v>32813</v>
      </c>
      <c r="G4641" s="98" t="s">
        <v>32799</v>
      </c>
      <c r="H4641" s="59" t="s">
        <v>2591</v>
      </c>
      <c r="I4641" s="25" t="str">
        <f>IFERROR(__xludf.DUMMYFUNCTION("GOOGLETRANSLATE(H4641,""EN"",""ES"")"),"Negocio")</f>
        <v>Negocio</v>
      </c>
      <c r="J4641" s="26" t="s">
        <v>35</v>
      </c>
      <c r="K4641" s="48">
        <v>0.8</v>
      </c>
      <c r="L4641" s="51" t="s">
        <v>32814</v>
      </c>
      <c r="M4641" s="28" t="s">
        <v>32815</v>
      </c>
      <c r="N4641" s="87" t="s">
        <v>32816</v>
      </c>
      <c r="O4641" s="87" t="str">
        <f>IFERROR(__xludf.DUMMYFUNCTION("GOOGLETRANSLATE(N4641,""EN"",""ES"")"),"Sentimiento positivo, que muestra colaboración para la innovación sostenible.")</f>
        <v>Sentimiento positivo, que muestra colaboración para la innovación sostenible.</v>
      </c>
      <c r="P4641" s="30">
        <v>0.8</v>
      </c>
      <c r="Q4641" s="31" t="str">
        <f>IFERROR(__xludf.DUMMYFUNCTION("GOOGLETRANSLATE(R4641,""ES"",""EN"")"),"technological alliance, ""sustainable""")</f>
        <v>technological alliance, "sustainable"</v>
      </c>
      <c r="R4641" s="28" t="s">
        <v>32817</v>
      </c>
      <c r="S4641" s="53" t="s">
        <v>11354</v>
      </c>
      <c r="T4641" s="32" t="s">
        <v>11355</v>
      </c>
    </row>
    <row r="4642">
      <c r="A4642" s="33" t="s">
        <v>32818</v>
      </c>
      <c r="B4642" s="76" t="s">
        <v>1602</v>
      </c>
      <c r="C4642" s="99">
        <v>45622.0</v>
      </c>
      <c r="D4642" s="40" t="s">
        <v>32819</v>
      </c>
      <c r="E4642" s="100" t="s">
        <v>32820</v>
      </c>
      <c r="F4642" s="101" t="s">
        <v>32821</v>
      </c>
      <c r="G4642" s="101" t="s">
        <v>32822</v>
      </c>
      <c r="H4642" s="61" t="s">
        <v>2591</v>
      </c>
      <c r="I4642" s="15" t="str">
        <f>IFERROR(__xludf.DUMMYFUNCTION("GOOGLETRANSLATE(H4642,""EN"",""ES"")"),"Negocio")</f>
        <v>Negocio</v>
      </c>
      <c r="J4642" s="16" t="s">
        <v>35</v>
      </c>
      <c r="K4642" s="48">
        <v>0.9</v>
      </c>
      <c r="L4642" s="49" t="s">
        <v>32785</v>
      </c>
      <c r="M4642" s="18" t="s">
        <v>32786</v>
      </c>
      <c r="N4642" s="104" t="s">
        <v>32823</v>
      </c>
      <c r="O4642" s="104" t="str">
        <f>IFERROR(__xludf.DUMMYFUNCTION("GOOGLETRANSLATE(N4642,""EN"",""ES"")"),"Sentimiento muy positivo, que refuerza el éxito de Repsol en iniciativas de energías limpias.")</f>
        <v>Sentimiento muy positivo, que refuerza el éxito de Repsol en iniciativas de energías limpias.</v>
      </c>
      <c r="P4642" s="30">
        <v>0.9</v>
      </c>
      <c r="Q4642" s="18" t="str">
        <f>IFERROR(__xludf.DUMMYFUNCTION("GOOGLETRANSLATE(R4642,""ES"",""EN"")"),"reaches its goal, ""renewable""")</f>
        <v>reaches its goal, "renewable"</v>
      </c>
      <c r="R4642" s="34" t="s">
        <v>32824</v>
      </c>
      <c r="S4642" s="52" t="s">
        <v>32825</v>
      </c>
      <c r="T4642" s="22" t="s">
        <v>32826</v>
      </c>
    </row>
    <row r="4643">
      <c r="A4643" s="23" t="s">
        <v>32827</v>
      </c>
      <c r="B4643" s="77" t="s">
        <v>2696</v>
      </c>
      <c r="C4643" s="96">
        <v>45622.0</v>
      </c>
      <c r="D4643" s="40" t="s">
        <v>32828</v>
      </c>
      <c r="E4643" s="97" t="s">
        <v>32829</v>
      </c>
      <c r="F4643" s="98" t="s">
        <v>32830</v>
      </c>
      <c r="G4643" s="98" t="s">
        <v>32831</v>
      </c>
      <c r="H4643" s="59" t="s">
        <v>2591</v>
      </c>
      <c r="I4643" s="25" t="str">
        <f>IFERROR(__xludf.DUMMYFUNCTION("GOOGLETRANSLATE(H4643,""EN"",""ES"")"),"Negocio")</f>
        <v>Negocio</v>
      </c>
      <c r="J4643" s="26" t="s">
        <v>27</v>
      </c>
      <c r="K4643" s="17">
        <v>0.0</v>
      </c>
      <c r="L4643" s="51"/>
      <c r="M4643" s="31"/>
      <c r="N4643" s="87"/>
      <c r="O4643" s="87"/>
      <c r="P4643" s="20">
        <v>0.0</v>
      </c>
      <c r="Q4643" s="31"/>
      <c r="R4643" s="31"/>
      <c r="S4643" s="53"/>
      <c r="T4643" s="32"/>
    </row>
    <row r="4644">
      <c r="A4644" s="33" t="s">
        <v>32832</v>
      </c>
      <c r="B4644" s="76" t="s">
        <v>32833</v>
      </c>
      <c r="C4644" s="99">
        <v>45622.0</v>
      </c>
      <c r="D4644" s="40" t="s">
        <v>32834</v>
      </c>
      <c r="E4644" s="100" t="s">
        <v>32835</v>
      </c>
      <c r="F4644" s="101" t="s">
        <v>32836</v>
      </c>
      <c r="G4644" s="101" t="s">
        <v>32837</v>
      </c>
      <c r="H4644" s="61" t="s">
        <v>1975</v>
      </c>
      <c r="I4644" s="15" t="str">
        <f>IFERROR(__xludf.DUMMYFUNCTION("GOOGLETRANSLATE(H4644,""EN"",""ES"")"),"Política")</f>
        <v>Política</v>
      </c>
      <c r="J4644" s="16" t="s">
        <v>35</v>
      </c>
      <c r="K4644" s="48">
        <v>-0.6</v>
      </c>
      <c r="L4644" s="49" t="s">
        <v>32838</v>
      </c>
      <c r="M4644" s="34" t="s">
        <v>32839</v>
      </c>
      <c r="N4644" s="104" t="s">
        <v>32840</v>
      </c>
      <c r="O4644" s="104" t="str">
        <f>IFERROR(__xludf.DUMMYFUNCTION("GOOGLETRANSLATE(N4644,""EN"",""ES"")"),"Sentimiento negativo, que indica incertidumbre sobre las presiones regulatorias que afectan a Repsol.")</f>
        <v>Sentimiento negativo, que indica incertidumbre sobre las presiones regulatorias que afectan a Repsol.</v>
      </c>
      <c r="P4644" s="30">
        <v>-0.6</v>
      </c>
      <c r="Q4644" s="18" t="str">
        <f>IFERROR(__xludf.DUMMYFUNCTION("GOOGLETRANSLATE(R4644,""ES"",""EN"")"),"earrings, ""tax""")</f>
        <v>earrings, "tax"</v>
      </c>
      <c r="R4644" s="34" t="s">
        <v>32841</v>
      </c>
      <c r="S4644" s="52" t="s">
        <v>32683</v>
      </c>
      <c r="T4644" s="22" t="s">
        <v>32684</v>
      </c>
    </row>
    <row r="4645">
      <c r="A4645" s="23" t="s">
        <v>32842</v>
      </c>
      <c r="B4645" s="77" t="s">
        <v>25289</v>
      </c>
      <c r="C4645" s="96">
        <v>45622.0</v>
      </c>
      <c r="D4645" s="40" t="s">
        <v>32843</v>
      </c>
      <c r="E4645" s="97" t="s">
        <v>32844</v>
      </c>
      <c r="F4645" s="98" t="s">
        <v>32845</v>
      </c>
      <c r="G4645" s="98" t="s">
        <v>32846</v>
      </c>
      <c r="H4645" s="59" t="s">
        <v>3985</v>
      </c>
      <c r="I4645" s="25" t="str">
        <f>IFERROR(__xludf.DUMMYFUNCTION("GOOGLETRANSLATE(H4645,""EN"",""ES"")"),"Deportes")</f>
        <v>Deportes</v>
      </c>
      <c r="J4645" s="26" t="s">
        <v>35</v>
      </c>
      <c r="K4645" s="48">
        <v>0.7</v>
      </c>
      <c r="L4645" s="51" t="s">
        <v>32847</v>
      </c>
      <c r="M4645" s="28" t="s">
        <v>32847</v>
      </c>
      <c r="N4645" s="87" t="s">
        <v>32848</v>
      </c>
      <c r="O4645" s="87" t="str">
        <f>IFERROR(__xludf.DUMMYFUNCTION("GOOGLETRANSLATE(N4645,""EN"",""ES"")"),"Sentimiento positivo, que destaca la creciente presencia de Repsol en el automovilismo.")</f>
        <v>Sentimiento positivo, que destaca la creciente presencia de Repsol en el automovilismo.</v>
      </c>
      <c r="P4645" s="30">
        <v>0.6</v>
      </c>
      <c r="Q4645" s="31" t="str">
        <f>IFERROR(__xludf.DUMMYFUNCTION("GOOGLETRANSLATE(R4645,""ES"",""EN"")"),"gains prominence")</f>
        <v>gains prominence</v>
      </c>
      <c r="R4645" s="28" t="s">
        <v>32849</v>
      </c>
      <c r="S4645" s="53" t="s">
        <v>32850</v>
      </c>
      <c r="T4645" s="32" t="s">
        <v>32851</v>
      </c>
    </row>
    <row r="4646">
      <c r="A4646" s="33" t="s">
        <v>32852</v>
      </c>
      <c r="B4646" s="76" t="s">
        <v>85</v>
      </c>
      <c r="C4646" s="99">
        <v>45622.0</v>
      </c>
      <c r="D4646" s="40" t="s">
        <v>32853</v>
      </c>
      <c r="E4646" s="100" t="s">
        <v>32854</v>
      </c>
      <c r="F4646" s="101" t="s">
        <v>32855</v>
      </c>
      <c r="G4646" s="101" t="s">
        <v>32856</v>
      </c>
      <c r="H4646" s="61" t="s">
        <v>2591</v>
      </c>
      <c r="I4646" s="15" t="str">
        <f>IFERROR(__xludf.DUMMYFUNCTION("GOOGLETRANSLATE(H4646,""EN"",""ES"")"),"Negocio")</f>
        <v>Negocio</v>
      </c>
      <c r="J4646" s="16" t="s">
        <v>27</v>
      </c>
      <c r="K4646" s="17">
        <v>0.0</v>
      </c>
      <c r="L4646" s="49"/>
      <c r="M4646" s="18"/>
      <c r="N4646" s="104"/>
      <c r="O4646" s="104"/>
      <c r="P4646" s="20">
        <v>0.0</v>
      </c>
      <c r="Q4646" s="18"/>
      <c r="R4646" s="18"/>
      <c r="S4646" s="52"/>
      <c r="T4646" s="22"/>
    </row>
    <row r="4647">
      <c r="A4647" s="23" t="s">
        <v>32857</v>
      </c>
      <c r="B4647" s="77" t="s">
        <v>103</v>
      </c>
      <c r="C4647" s="96">
        <v>45622.0</v>
      </c>
      <c r="D4647" s="40" t="s">
        <v>32858</v>
      </c>
      <c r="E4647" s="97" t="s">
        <v>32859</v>
      </c>
      <c r="F4647" s="98" t="s">
        <v>32860</v>
      </c>
      <c r="G4647" s="98" t="s">
        <v>32861</v>
      </c>
      <c r="H4647" s="59" t="s">
        <v>2591</v>
      </c>
      <c r="I4647" s="25" t="str">
        <f>IFERROR(__xludf.DUMMYFUNCTION("GOOGLETRANSLATE(H4647,""EN"",""ES"")"),"Negocio")</f>
        <v>Negocio</v>
      </c>
      <c r="J4647" s="26" t="s">
        <v>27</v>
      </c>
      <c r="K4647" s="17">
        <v>0.0</v>
      </c>
      <c r="L4647" s="51"/>
      <c r="M4647" s="31"/>
      <c r="N4647" s="87"/>
      <c r="O4647" s="87"/>
      <c r="P4647" s="20">
        <v>0.0</v>
      </c>
      <c r="Q4647" s="31"/>
      <c r="R4647" s="31"/>
      <c r="S4647" s="53"/>
      <c r="T4647" s="32"/>
    </row>
    <row r="4648">
      <c r="A4648" s="33" t="s">
        <v>32862</v>
      </c>
      <c r="B4648" s="76" t="s">
        <v>1093</v>
      </c>
      <c r="C4648" s="99">
        <v>45622.0</v>
      </c>
      <c r="D4648" s="40" t="s">
        <v>32863</v>
      </c>
      <c r="E4648" s="100" t="s">
        <v>32864</v>
      </c>
      <c r="F4648" s="101" t="s">
        <v>32865</v>
      </c>
      <c r="G4648" s="101" t="s">
        <v>32866</v>
      </c>
      <c r="H4648" s="61" t="s">
        <v>2591</v>
      </c>
      <c r="I4648" s="15" t="str">
        <f>IFERROR(__xludf.DUMMYFUNCTION("GOOGLETRANSLATE(H4648,""EN"",""ES"")"),"Negocio")</f>
        <v>Negocio</v>
      </c>
      <c r="J4648" s="16" t="s">
        <v>35</v>
      </c>
      <c r="K4648" s="48">
        <v>0.9</v>
      </c>
      <c r="L4648" s="49" t="s">
        <v>32867</v>
      </c>
      <c r="M4648" s="34" t="s">
        <v>32868</v>
      </c>
      <c r="N4648" s="104" t="s">
        <v>32869</v>
      </c>
      <c r="O4648" s="104" t="str">
        <f>IFERROR(__xludf.DUMMYFUNCTION("GOOGLETRANSLATE(N4648,""EN"",""ES"")"),"Sentimiento muy positivo, destacando el liderazgo de Repsol en energías renovables.")</f>
        <v>Sentimiento muy positivo, destacando el liderazgo de Repsol en energías renovables.</v>
      </c>
      <c r="P4648" s="30">
        <v>0.7</v>
      </c>
      <c r="Q4648" s="18" t="str">
        <f>IFERROR(__xludf.DUMMYFUNCTION("GOOGLETRANSLATE(R4648,""ES"",""EN"")"),"100% renewable fuel")</f>
        <v>100% renewable fuel</v>
      </c>
      <c r="R4648" s="34" t="s">
        <v>32788</v>
      </c>
      <c r="S4648" s="52" t="s">
        <v>10595</v>
      </c>
      <c r="T4648" s="22" t="s">
        <v>10596</v>
      </c>
    </row>
    <row r="4649">
      <c r="A4649" s="23" t="s">
        <v>32870</v>
      </c>
      <c r="B4649" s="77" t="s">
        <v>403</v>
      </c>
      <c r="C4649" s="96">
        <v>45622.0</v>
      </c>
      <c r="D4649" s="40" t="s">
        <v>32871</v>
      </c>
      <c r="E4649" s="97" t="s">
        <v>32872</v>
      </c>
      <c r="F4649" s="98" t="s">
        <v>32873</v>
      </c>
      <c r="G4649" s="98" t="s">
        <v>32874</v>
      </c>
      <c r="H4649" s="59" t="s">
        <v>1975</v>
      </c>
      <c r="I4649" s="25" t="str">
        <f>IFERROR(__xludf.DUMMYFUNCTION("GOOGLETRANSLATE(H4649,""EN"",""ES"")"),"Política")</f>
        <v>Política</v>
      </c>
      <c r="J4649" s="26" t="s">
        <v>35</v>
      </c>
      <c r="K4649" s="48">
        <v>-0.5</v>
      </c>
      <c r="L4649" s="51" t="s">
        <v>32875</v>
      </c>
      <c r="M4649" s="28" t="s">
        <v>32876</v>
      </c>
      <c r="N4649" s="87" t="s">
        <v>32877</v>
      </c>
      <c r="O4649" s="87" t="str">
        <f>IFERROR(__xludf.DUMMYFUNCTION("GOOGLETRANSLATE(N4649,""EN"",""ES"")"),"Sentimiento negativo, centrado en los desafíos regulatorios para Repsol y otras empresas energéticas.")</f>
        <v>Sentimiento negativo, centrado en los desafíos regulatorios para Repsol y otras empresas energéticas.</v>
      </c>
      <c r="P4649" s="30">
        <v>-0.7</v>
      </c>
      <c r="Q4649" s="31" t="str">
        <f>IFERROR(__xludf.DUMMYFUNCTION("GOOGLETRANSLATE(R4649,""ES"",""EN"")"),"imposed")</f>
        <v>imposed</v>
      </c>
      <c r="R4649" s="28" t="s">
        <v>11706</v>
      </c>
      <c r="S4649" s="53" t="s">
        <v>26914</v>
      </c>
      <c r="T4649" s="32" t="s">
        <v>26915</v>
      </c>
    </row>
    <row r="4650">
      <c r="A4650" s="33" t="s">
        <v>32878</v>
      </c>
      <c r="B4650" s="76" t="s">
        <v>2442</v>
      </c>
      <c r="C4650" s="99">
        <v>45622.0</v>
      </c>
      <c r="D4650" s="40" t="s">
        <v>32879</v>
      </c>
      <c r="E4650" s="100" t="s">
        <v>32880</v>
      </c>
      <c r="F4650" s="101" t="s">
        <v>32881</v>
      </c>
      <c r="G4650" s="101" t="s">
        <v>32882</v>
      </c>
      <c r="H4650" s="61" t="s">
        <v>1975</v>
      </c>
      <c r="I4650" s="15" t="str">
        <f>IFERROR(__xludf.DUMMYFUNCTION("GOOGLETRANSLATE(H4650,""EN"",""ES"")"),"Política")</f>
        <v>Política</v>
      </c>
      <c r="J4650" s="16" t="s">
        <v>35</v>
      </c>
      <c r="K4650" s="48">
        <v>-0.7</v>
      </c>
      <c r="L4650" s="49" t="s">
        <v>32883</v>
      </c>
      <c r="M4650" s="34" t="s">
        <v>32884</v>
      </c>
      <c r="N4650" s="104" t="s">
        <v>32885</v>
      </c>
      <c r="O4650" s="104" t="str">
        <f>IFERROR(__xludf.DUMMYFUNCTION("GOOGLETRANSLATE(N4650,""EN"",""ES"")"),"Sentimiento negativo, que destaca posibles desafíos financieros para compañías energéticas como Repsol.")</f>
        <v>Sentimiento negativo, que destaca posibles desafíos financieros para compañías energéticas como Repsol.</v>
      </c>
      <c r="P4650" s="30">
        <v>0.0</v>
      </c>
      <c r="Q4650" s="18"/>
      <c r="R4650" s="18"/>
      <c r="S4650" s="52" t="s">
        <v>469</v>
      </c>
      <c r="T4650" s="22" t="s">
        <v>470</v>
      </c>
    </row>
    <row r="4651">
      <c r="A4651" s="23" t="s">
        <v>32886</v>
      </c>
      <c r="B4651" s="77" t="s">
        <v>499</v>
      </c>
      <c r="C4651" s="96">
        <v>45622.0</v>
      </c>
      <c r="D4651" s="40" t="s">
        <v>32887</v>
      </c>
      <c r="E4651" s="97" t="s">
        <v>32888</v>
      </c>
      <c r="F4651" s="98" t="s">
        <v>32889</v>
      </c>
      <c r="G4651" s="98" t="s">
        <v>32890</v>
      </c>
      <c r="H4651" s="59" t="s">
        <v>2591</v>
      </c>
      <c r="I4651" s="25" t="str">
        <f>IFERROR(__xludf.DUMMYFUNCTION("GOOGLETRANSLATE(H4651,""EN"",""ES"")"),"Negocio")</f>
        <v>Negocio</v>
      </c>
      <c r="J4651" s="26" t="s">
        <v>35</v>
      </c>
      <c r="K4651" s="48">
        <v>0.8</v>
      </c>
      <c r="L4651" s="51" t="s">
        <v>32891</v>
      </c>
      <c r="M4651" s="28" t="s">
        <v>32892</v>
      </c>
      <c r="N4651" s="87" t="s">
        <v>32893</v>
      </c>
      <c r="O4651" s="87" t="str">
        <f>IFERROR(__xludf.DUMMYFUNCTION("GOOGLETRANSLATE(N4651,""EN"",""ES"")"),"Sentimiento positivo, que muestra el esfuerzo de expansión industrial de Repsol.")</f>
        <v>Sentimiento positivo, que muestra el esfuerzo de expansión industrial de Repsol.</v>
      </c>
      <c r="P4651" s="30">
        <v>0.5</v>
      </c>
      <c r="Q4651" s="31" t="str">
        <f>IFERROR(__xludf.DUMMYFUNCTION("GOOGLETRANSLATE(R4651,""ES"",""EN"")"),"Alba project")</f>
        <v>Alba project</v>
      </c>
      <c r="R4651" s="28" t="s">
        <v>32894</v>
      </c>
      <c r="S4651" s="53" t="s">
        <v>32895</v>
      </c>
      <c r="T4651" s="32" t="s">
        <v>32896</v>
      </c>
    </row>
    <row r="4652">
      <c r="A4652" s="33" t="s">
        <v>32897</v>
      </c>
      <c r="B4652" s="76" t="s">
        <v>2188</v>
      </c>
      <c r="C4652" s="99">
        <v>45622.0</v>
      </c>
      <c r="D4652" s="40" t="s">
        <v>32898</v>
      </c>
      <c r="E4652" s="100" t="s">
        <v>32899</v>
      </c>
      <c r="F4652" s="101" t="s">
        <v>32900</v>
      </c>
      <c r="G4652" s="101" t="s">
        <v>32901</v>
      </c>
      <c r="H4652" s="61" t="s">
        <v>3985</v>
      </c>
      <c r="I4652" s="15" t="str">
        <f>IFERROR(__xludf.DUMMYFUNCTION("GOOGLETRANSLATE(H4652,""EN"",""ES"")"),"Deportes")</f>
        <v>Deportes</v>
      </c>
      <c r="J4652" s="16" t="s">
        <v>27</v>
      </c>
      <c r="K4652" s="17">
        <v>0.0</v>
      </c>
      <c r="L4652" s="49"/>
      <c r="M4652" s="18"/>
      <c r="N4652" s="104"/>
      <c r="O4652" s="104"/>
      <c r="P4652" s="20">
        <v>0.0</v>
      </c>
      <c r="Q4652" s="18"/>
      <c r="R4652" s="18"/>
      <c r="S4652" s="52"/>
      <c r="T4652" s="22"/>
    </row>
    <row r="4653">
      <c r="A4653" s="23" t="s">
        <v>32902</v>
      </c>
      <c r="B4653" s="77" t="s">
        <v>85</v>
      </c>
      <c r="C4653" s="96">
        <v>45622.0</v>
      </c>
      <c r="D4653" s="40" t="s">
        <v>32903</v>
      </c>
      <c r="E4653" s="97" t="s">
        <v>32904</v>
      </c>
      <c r="F4653" s="98" t="s">
        <v>32905</v>
      </c>
      <c r="G4653" s="98" t="s">
        <v>32906</v>
      </c>
      <c r="H4653" s="59" t="s">
        <v>2591</v>
      </c>
      <c r="I4653" s="25" t="str">
        <f>IFERROR(__xludf.DUMMYFUNCTION("GOOGLETRANSLATE(H4653,""EN"",""ES"")"),"Negocio")</f>
        <v>Negocio</v>
      </c>
      <c r="J4653" s="26" t="s">
        <v>27</v>
      </c>
      <c r="K4653" s="17">
        <v>0.0</v>
      </c>
      <c r="L4653" s="51"/>
      <c r="M4653" s="31"/>
      <c r="N4653" s="87"/>
      <c r="O4653" s="87"/>
      <c r="P4653" s="20">
        <v>0.0</v>
      </c>
      <c r="Q4653" s="31"/>
      <c r="R4653" s="31"/>
      <c r="S4653" s="53"/>
      <c r="T4653" s="32"/>
    </row>
    <row r="4654">
      <c r="A4654" s="33" t="s">
        <v>32907</v>
      </c>
      <c r="B4654" s="76" t="s">
        <v>254</v>
      </c>
      <c r="C4654" s="99">
        <v>45622.0</v>
      </c>
      <c r="D4654" s="40" t="s">
        <v>32908</v>
      </c>
      <c r="E4654" s="100" t="s">
        <v>32909</v>
      </c>
      <c r="F4654" s="101" t="s">
        <v>32910</v>
      </c>
      <c r="G4654" s="101" t="s">
        <v>32911</v>
      </c>
      <c r="H4654" s="61" t="s">
        <v>2591</v>
      </c>
      <c r="I4654" s="15" t="str">
        <f>IFERROR(__xludf.DUMMYFUNCTION("GOOGLETRANSLATE(H4654,""EN"",""ES"")"),"Negocio")</f>
        <v>Negocio</v>
      </c>
      <c r="J4654" s="16" t="s">
        <v>35</v>
      </c>
      <c r="K4654" s="48">
        <v>0.9</v>
      </c>
      <c r="L4654" s="49" t="s">
        <v>32912</v>
      </c>
      <c r="M4654" s="34" t="s">
        <v>32913</v>
      </c>
      <c r="N4654" s="104" t="s">
        <v>32914</v>
      </c>
      <c r="O4654" s="104" t="str">
        <f>IFERROR(__xludf.DUMMYFUNCTION("GOOGLETRANSLATE(N4654,""EN"",""ES"")"),"Sentimiento muy positivo, destacando el papel de Repsol en la seguridad energética en Perú.")</f>
        <v>Sentimiento muy positivo, destacando el papel de Repsol en la seguridad energética en Perú.</v>
      </c>
      <c r="P4654" s="30">
        <v>0.8</v>
      </c>
      <c r="Q4654" s="18" t="str">
        <f>IFERROR(__xludf.DUMMYFUNCTION("GOOGLETRANSLATE(R4654,""ES"",""EN"")"),"leads, ""energy transformation""")</f>
        <v>leads, "energy transformation"</v>
      </c>
      <c r="R4654" s="34" t="s">
        <v>32915</v>
      </c>
      <c r="S4654" s="52" t="s">
        <v>32916</v>
      </c>
      <c r="T4654" s="22" t="s">
        <v>32917</v>
      </c>
    </row>
    <row r="4655">
      <c r="A4655" s="23" t="s">
        <v>32918</v>
      </c>
      <c r="B4655" s="77" t="s">
        <v>103</v>
      </c>
      <c r="C4655" s="96">
        <v>45622.0</v>
      </c>
      <c r="D4655" s="40" t="s">
        <v>32919</v>
      </c>
      <c r="E4655" s="97" t="s">
        <v>32920</v>
      </c>
      <c r="F4655" s="98" t="s">
        <v>32921</v>
      </c>
      <c r="G4655" s="98" t="s">
        <v>32922</v>
      </c>
      <c r="H4655" s="59" t="s">
        <v>2591</v>
      </c>
      <c r="I4655" s="25" t="str">
        <f>IFERROR(__xludf.DUMMYFUNCTION("GOOGLETRANSLATE(H4655,""EN"",""ES"")"),"Negocio")</f>
        <v>Negocio</v>
      </c>
      <c r="J4655" s="26" t="s">
        <v>27</v>
      </c>
      <c r="K4655" s="17">
        <v>0.0</v>
      </c>
      <c r="L4655" s="51"/>
      <c r="M4655" s="31"/>
      <c r="N4655" s="87"/>
      <c r="O4655" s="87"/>
      <c r="P4655" s="20">
        <v>0.0</v>
      </c>
      <c r="Q4655" s="31"/>
      <c r="R4655" s="31"/>
      <c r="S4655" s="53"/>
      <c r="T4655" s="32"/>
    </row>
    <row r="4656">
      <c r="A4656" s="33" t="s">
        <v>32923</v>
      </c>
      <c r="B4656" s="76" t="s">
        <v>437</v>
      </c>
      <c r="C4656" s="99">
        <v>45622.0</v>
      </c>
      <c r="D4656" s="40" t="s">
        <v>32924</v>
      </c>
      <c r="E4656" s="100" t="s">
        <v>32925</v>
      </c>
      <c r="F4656" s="101" t="s">
        <v>32926</v>
      </c>
      <c r="G4656" s="101" t="s">
        <v>32927</v>
      </c>
      <c r="H4656" s="61" t="s">
        <v>2591</v>
      </c>
      <c r="I4656" s="15" t="str">
        <f>IFERROR(__xludf.DUMMYFUNCTION("GOOGLETRANSLATE(H4656,""EN"",""ES"")"),"Negocio")</f>
        <v>Negocio</v>
      </c>
      <c r="J4656" s="16" t="s">
        <v>27</v>
      </c>
      <c r="K4656" s="17">
        <v>0.0</v>
      </c>
      <c r="L4656" s="49"/>
      <c r="M4656" s="18"/>
      <c r="N4656" s="104"/>
      <c r="O4656" s="104"/>
      <c r="P4656" s="20">
        <v>0.0</v>
      </c>
      <c r="Q4656" s="18"/>
      <c r="R4656" s="18"/>
      <c r="S4656" s="52"/>
      <c r="T4656" s="22"/>
    </row>
    <row r="4657">
      <c r="A4657" s="23" t="s">
        <v>32928</v>
      </c>
      <c r="B4657" s="77" t="s">
        <v>28889</v>
      </c>
      <c r="C4657" s="96">
        <v>45623.0</v>
      </c>
      <c r="D4657" s="40" t="s">
        <v>32781</v>
      </c>
      <c r="E4657" s="97" t="s">
        <v>32929</v>
      </c>
      <c r="F4657" s="98" t="s">
        <v>32783</v>
      </c>
      <c r="G4657" s="98" t="s">
        <v>32930</v>
      </c>
      <c r="H4657" s="59" t="s">
        <v>2591</v>
      </c>
      <c r="I4657" s="25" t="str">
        <f>IFERROR(__xludf.DUMMYFUNCTION("GOOGLETRANSLATE(H4657,""EN"",""ES"")"),"Negocio")</f>
        <v>Negocio</v>
      </c>
      <c r="J4657" s="26" t="s">
        <v>35</v>
      </c>
      <c r="K4657" s="48">
        <v>0.9</v>
      </c>
      <c r="L4657" s="51" t="s">
        <v>32785</v>
      </c>
      <c r="M4657" s="31" t="s">
        <v>32786</v>
      </c>
      <c r="N4657" s="87" t="s">
        <v>32931</v>
      </c>
      <c r="O4657" s="87" t="str">
        <f>IFERROR(__xludf.DUMMYFUNCTION("GOOGLETRANSLATE(N4657,""EN"",""ES"")"),"Sentimiento muy positivo, que refuerza las iniciativas de energía verde de Repsol.")</f>
        <v>Sentimiento muy positivo, que refuerza las iniciativas de energía verde de Repsol.</v>
      </c>
      <c r="P4657" s="30">
        <v>0.9</v>
      </c>
      <c r="Q4657" s="31" t="str">
        <f>IFERROR(__xludf.DUMMYFUNCTION("GOOGLETRANSLATE(R4657,""ES"",""EN"")"),"100% renewable fuel")</f>
        <v>100% renewable fuel</v>
      </c>
      <c r="R4657" s="28" t="s">
        <v>32788</v>
      </c>
      <c r="S4657" s="53" t="s">
        <v>32932</v>
      </c>
      <c r="T4657" s="32" t="s">
        <v>32933</v>
      </c>
    </row>
    <row r="4658">
      <c r="A4658" s="33" t="s">
        <v>32934</v>
      </c>
      <c r="B4658" s="76" t="s">
        <v>50</v>
      </c>
      <c r="C4658" s="99">
        <v>45623.0</v>
      </c>
      <c r="D4658" s="40" t="s">
        <v>32935</v>
      </c>
      <c r="E4658" s="100" t="s">
        <v>32936</v>
      </c>
      <c r="F4658" s="101" t="s">
        <v>32937</v>
      </c>
      <c r="G4658" s="101" t="s">
        <v>32938</v>
      </c>
      <c r="H4658" s="61" t="s">
        <v>3985</v>
      </c>
      <c r="I4658" s="15" t="str">
        <f>IFERROR(__xludf.DUMMYFUNCTION("GOOGLETRANSLATE(H4658,""EN"",""ES"")"),"Deportes")</f>
        <v>Deportes</v>
      </c>
      <c r="J4658" s="16" t="s">
        <v>35</v>
      </c>
      <c r="K4658" s="48">
        <v>0.8</v>
      </c>
      <c r="L4658" s="49" t="s">
        <v>32847</v>
      </c>
      <c r="M4658" s="34" t="s">
        <v>32847</v>
      </c>
      <c r="N4658" s="104" t="s">
        <v>32939</v>
      </c>
      <c r="O4658" s="104" t="str">
        <f>IFERROR(__xludf.DUMMYFUNCTION("GOOGLETRANSLATE(N4658,""EN"",""ES"")"),"Sentimiento positivo, enfatizando asociaciones de carreras sostenibles.")</f>
        <v>Sentimiento positivo, enfatizando asociaciones de carreras sostenibles.</v>
      </c>
      <c r="P4658" s="30">
        <v>0.7</v>
      </c>
      <c r="Q4658" s="18" t="str">
        <f>IFERROR(__xludf.DUMMYFUNCTION("GOOGLETRANSLATE(R4658,""ES"",""EN"")"),"they renew their agreement")</f>
        <v>they renew their agreement</v>
      </c>
      <c r="R4658" s="34" t="s">
        <v>32940</v>
      </c>
      <c r="S4658" s="52" t="s">
        <v>9424</v>
      </c>
      <c r="T4658" s="22" t="s">
        <v>9425</v>
      </c>
    </row>
    <row r="4659">
      <c r="A4659" s="23" t="s">
        <v>32941</v>
      </c>
      <c r="B4659" s="77" t="s">
        <v>85</v>
      </c>
      <c r="C4659" s="96">
        <v>45623.0</v>
      </c>
      <c r="D4659" s="40" t="s">
        <v>32942</v>
      </c>
      <c r="E4659" s="97" t="s">
        <v>32943</v>
      </c>
      <c r="F4659" s="98" t="s">
        <v>32944</v>
      </c>
      <c r="G4659" s="98" t="s">
        <v>32945</v>
      </c>
      <c r="H4659" s="59" t="s">
        <v>2591</v>
      </c>
      <c r="I4659" s="25" t="str">
        <f>IFERROR(__xludf.DUMMYFUNCTION("GOOGLETRANSLATE(H4659,""EN"",""ES"")"),"Negocio")</f>
        <v>Negocio</v>
      </c>
      <c r="J4659" s="26" t="s">
        <v>35</v>
      </c>
      <c r="K4659" s="48">
        <v>0.9</v>
      </c>
      <c r="L4659" s="51" t="s">
        <v>32946</v>
      </c>
      <c r="M4659" s="28" t="s">
        <v>32947</v>
      </c>
      <c r="N4659" s="87" t="s">
        <v>32948</v>
      </c>
      <c r="O4659" s="87" t="str">
        <f>IFERROR(__xludf.DUMMYFUNCTION("GOOGLETRANSLATE(N4659,""EN"",""ES"")"),"Sentimiento muy positivo, que muestra los avances de Repsol en la reducción de CO2.")</f>
        <v>Sentimiento muy positivo, que muestra los avances de Repsol en la reducción de CO2.</v>
      </c>
      <c r="P4659" s="30">
        <v>0.9</v>
      </c>
      <c r="Q4659" s="31" t="str">
        <f>IFERROR(__xludf.DUMMYFUNCTION("GOOGLETRANSLATE(R4659,""ES"",""EN"")"),"renewable diesel, ""reduces CO2""")</f>
        <v>renewable diesel, "reduces CO2"</v>
      </c>
      <c r="R4659" s="28" t="s">
        <v>32949</v>
      </c>
      <c r="S4659" s="53" t="s">
        <v>32950</v>
      </c>
      <c r="T4659" s="32" t="s">
        <v>32951</v>
      </c>
    </row>
    <row r="4660">
      <c r="A4660" s="33" t="s">
        <v>32952</v>
      </c>
      <c r="B4660" s="76" t="s">
        <v>32953</v>
      </c>
      <c r="C4660" s="99">
        <v>45623.0</v>
      </c>
      <c r="D4660" s="40" t="s">
        <v>32954</v>
      </c>
      <c r="E4660" s="100" t="s">
        <v>32955</v>
      </c>
      <c r="F4660" s="101" t="s">
        <v>32956</v>
      </c>
      <c r="G4660" s="101" t="s">
        <v>32957</v>
      </c>
      <c r="H4660" s="61" t="s">
        <v>5878</v>
      </c>
      <c r="I4660" s="15" t="str">
        <f>IFERROR(__xludf.DUMMYFUNCTION("GOOGLETRANSLATE(H4660,""EN"",""ES"")"),"Entretenimiento")</f>
        <v>Entretenimiento</v>
      </c>
      <c r="J4660" s="16" t="s">
        <v>27</v>
      </c>
      <c r="K4660" s="17">
        <v>0.0</v>
      </c>
      <c r="L4660" s="49"/>
      <c r="M4660" s="18"/>
      <c r="N4660" s="104"/>
      <c r="O4660" s="104"/>
      <c r="P4660" s="20">
        <v>0.0</v>
      </c>
      <c r="Q4660" s="18"/>
      <c r="R4660" s="18"/>
      <c r="S4660" s="52"/>
      <c r="T4660" s="22"/>
    </row>
    <row r="4661">
      <c r="A4661" s="23" t="s">
        <v>32958</v>
      </c>
      <c r="B4661" s="77" t="s">
        <v>3992</v>
      </c>
      <c r="C4661" s="96">
        <v>45623.0</v>
      </c>
      <c r="D4661" s="40" t="s">
        <v>32959</v>
      </c>
      <c r="E4661" s="97" t="s">
        <v>32960</v>
      </c>
      <c r="F4661" s="98" t="s">
        <v>32961</v>
      </c>
      <c r="G4661" s="98" t="s">
        <v>32962</v>
      </c>
      <c r="H4661" s="59" t="s">
        <v>1975</v>
      </c>
      <c r="I4661" s="25" t="str">
        <f>IFERROR(__xludf.DUMMYFUNCTION("GOOGLETRANSLATE(H4661,""EN"",""ES"")"),"Política")</f>
        <v>Política</v>
      </c>
      <c r="J4661" s="26" t="s">
        <v>35</v>
      </c>
      <c r="K4661" s="48">
        <v>-0.6</v>
      </c>
      <c r="L4661" s="51" t="s">
        <v>32963</v>
      </c>
      <c r="M4661" s="28" t="s">
        <v>32964</v>
      </c>
      <c r="N4661" s="87" t="s">
        <v>32965</v>
      </c>
      <c r="O4661" s="87" t="str">
        <f>IFERROR(__xludf.DUMMYFUNCTION("GOOGLETRANSLATE(N4661,""EN"",""ES"")"),"Sentimiento negativo, que indica críticas a la postura de Repsol en materia fiscal.")</f>
        <v>Sentimiento negativo, que indica críticas a la postura de Repsol en materia fiscal.</v>
      </c>
      <c r="P4661" s="30">
        <v>-0.8</v>
      </c>
      <c r="Q4661" s="31" t="str">
        <f>IFERROR(__xludf.DUMMYFUNCTION("GOOGLETRANSLATE(R4661,""ES"",""EN"")"),"blackmail, ""tax""")</f>
        <v>blackmail, "tax"</v>
      </c>
      <c r="R4661" s="28" t="s">
        <v>32966</v>
      </c>
      <c r="S4661" s="53" t="s">
        <v>32967</v>
      </c>
      <c r="T4661" s="32" t="s">
        <v>32968</v>
      </c>
    </row>
    <row r="4662">
      <c r="A4662" s="33" t="s">
        <v>32969</v>
      </c>
      <c r="B4662" s="76" t="s">
        <v>21</v>
      </c>
      <c r="C4662" s="99">
        <v>45623.0</v>
      </c>
      <c r="D4662" s="40" t="s">
        <v>32970</v>
      </c>
      <c r="E4662" s="100" t="s">
        <v>32971</v>
      </c>
      <c r="F4662" s="101" t="s">
        <v>32972</v>
      </c>
      <c r="G4662" s="101" t="s">
        <v>32973</v>
      </c>
      <c r="H4662" s="61" t="s">
        <v>32974</v>
      </c>
      <c r="I4662" s="15" t="str">
        <f>IFERROR(__xludf.DUMMYFUNCTION("GOOGLETRANSLATE(H4662,""EN"",""ES"")"),"Naturaleza")</f>
        <v>Naturaleza</v>
      </c>
      <c r="J4662" s="16" t="s">
        <v>27</v>
      </c>
      <c r="K4662" s="17">
        <v>0.0</v>
      </c>
      <c r="L4662" s="49"/>
      <c r="M4662" s="18"/>
      <c r="N4662" s="104"/>
      <c r="O4662" s="104"/>
      <c r="P4662" s="20">
        <v>0.0</v>
      </c>
      <c r="Q4662" s="18"/>
      <c r="R4662" s="18"/>
      <c r="S4662" s="52"/>
      <c r="T4662" s="22"/>
    </row>
    <row r="4663">
      <c r="A4663" s="23" t="s">
        <v>32975</v>
      </c>
      <c r="B4663" s="77" t="s">
        <v>32976</v>
      </c>
      <c r="C4663" s="96">
        <v>45623.0</v>
      </c>
      <c r="D4663" s="40" t="s">
        <v>32977</v>
      </c>
      <c r="E4663" s="97" t="s">
        <v>32978</v>
      </c>
      <c r="F4663" s="98" t="s">
        <v>32979</v>
      </c>
      <c r="G4663" s="98" t="s">
        <v>32980</v>
      </c>
      <c r="H4663" s="59" t="s">
        <v>2591</v>
      </c>
      <c r="I4663" s="25" t="str">
        <f>IFERROR(__xludf.DUMMYFUNCTION("GOOGLETRANSLATE(H4663,""EN"",""ES"")"),"Negocio")</f>
        <v>Negocio</v>
      </c>
      <c r="J4663" s="26" t="s">
        <v>35</v>
      </c>
      <c r="K4663" s="48">
        <v>0.5</v>
      </c>
      <c r="L4663" s="51" t="s">
        <v>32981</v>
      </c>
      <c r="M4663" s="28" t="s">
        <v>32982</v>
      </c>
      <c r="N4663" s="87" t="s">
        <v>32983</v>
      </c>
      <c r="O4663" s="87" t="str">
        <f>IFERROR(__xludf.DUMMYFUNCTION("GOOGLETRANSLATE(N4663,""EN"",""ES"")"),"Sentimiento neutral, ya que se centra en el análisis financiero sin una postura clara positiva o negativa.")</f>
        <v>Sentimiento neutral, ya que se centra en el análisis financiero sin una postura clara positiva o negativa.</v>
      </c>
      <c r="P4663" s="30">
        <v>0.0</v>
      </c>
      <c r="Q4663" s="31"/>
      <c r="R4663" s="31"/>
      <c r="S4663" s="53" t="s">
        <v>24576</v>
      </c>
      <c r="T4663" s="32" t="s">
        <v>26845</v>
      </c>
    </row>
    <row r="4664">
      <c r="A4664" s="33" t="s">
        <v>32984</v>
      </c>
      <c r="B4664" s="76" t="s">
        <v>27700</v>
      </c>
      <c r="C4664" s="99">
        <v>45623.0</v>
      </c>
      <c r="D4664" s="40" t="s">
        <v>32985</v>
      </c>
      <c r="E4664" s="100" t="s">
        <v>32986</v>
      </c>
      <c r="F4664" s="101" t="s">
        <v>32987</v>
      </c>
      <c r="G4664" s="101" t="s">
        <v>32988</v>
      </c>
      <c r="H4664" s="61" t="s">
        <v>2591</v>
      </c>
      <c r="I4664" s="15" t="str">
        <f>IFERROR(__xludf.DUMMYFUNCTION("GOOGLETRANSLATE(H4664,""EN"",""ES"")"),"Negocio")</f>
        <v>Negocio</v>
      </c>
      <c r="J4664" s="16" t="s">
        <v>27</v>
      </c>
      <c r="K4664" s="17">
        <v>0.0</v>
      </c>
      <c r="L4664" s="49"/>
      <c r="M4664" s="18"/>
      <c r="N4664" s="104"/>
      <c r="O4664" s="104"/>
      <c r="P4664" s="20">
        <v>0.0</v>
      </c>
      <c r="Q4664" s="18"/>
      <c r="R4664" s="18"/>
      <c r="S4664" s="52"/>
      <c r="T4664" s="22"/>
    </row>
    <row r="4665">
      <c r="A4665" s="23" t="s">
        <v>32989</v>
      </c>
      <c r="B4665" s="77" t="s">
        <v>3033</v>
      </c>
      <c r="C4665" s="96">
        <v>45623.0</v>
      </c>
      <c r="D4665" s="40" t="s">
        <v>32990</v>
      </c>
      <c r="E4665" s="97" t="s">
        <v>32991</v>
      </c>
      <c r="F4665" s="98" t="s">
        <v>32992</v>
      </c>
      <c r="G4665" s="98" t="s">
        <v>32993</v>
      </c>
      <c r="H4665" s="59" t="s">
        <v>2591</v>
      </c>
      <c r="I4665" s="25" t="str">
        <f>IFERROR(__xludf.DUMMYFUNCTION("GOOGLETRANSLATE(H4665,""EN"",""ES"")"),"Negocio")</f>
        <v>Negocio</v>
      </c>
      <c r="J4665" s="26" t="s">
        <v>27</v>
      </c>
      <c r="K4665" s="17">
        <v>0.0</v>
      </c>
      <c r="L4665" s="51"/>
      <c r="M4665" s="31"/>
      <c r="N4665" s="87"/>
      <c r="O4665" s="87"/>
      <c r="P4665" s="20">
        <v>0.0</v>
      </c>
      <c r="Q4665" s="31"/>
      <c r="R4665" s="31"/>
      <c r="S4665" s="53"/>
      <c r="T4665" s="32"/>
    </row>
    <row r="4666">
      <c r="A4666" s="33" t="s">
        <v>32994</v>
      </c>
      <c r="B4666" s="76" t="s">
        <v>1011</v>
      </c>
      <c r="C4666" s="99">
        <v>45623.0</v>
      </c>
      <c r="D4666" s="40" t="s">
        <v>32995</v>
      </c>
      <c r="E4666" s="100" t="s">
        <v>32996</v>
      </c>
      <c r="F4666" s="101" t="s">
        <v>32997</v>
      </c>
      <c r="G4666" s="101" t="s">
        <v>32998</v>
      </c>
      <c r="H4666" s="61" t="s">
        <v>2591</v>
      </c>
      <c r="I4666" s="15" t="str">
        <f>IFERROR(__xludf.DUMMYFUNCTION("GOOGLETRANSLATE(H4666,""EN"",""ES"")"),"Negocio")</f>
        <v>Negocio</v>
      </c>
      <c r="J4666" s="16" t="s">
        <v>35</v>
      </c>
      <c r="K4666" s="48">
        <v>0.9</v>
      </c>
      <c r="L4666" s="49" t="s">
        <v>32999</v>
      </c>
      <c r="M4666" s="34" t="s">
        <v>33000</v>
      </c>
      <c r="N4666" s="104" t="s">
        <v>33001</v>
      </c>
      <c r="O4666" s="104" t="str">
        <f>IFERROR(__xludf.DUMMYFUNCTION("GOOGLETRANSLATE(N4666,""EN"",""ES"")"),"Sentimiento muy positivo, destacando la contribución de Repsol a la sostenibilidad social.")</f>
        <v>Sentimiento muy positivo, destacando la contribución de Repsol a la sostenibilidad social.</v>
      </c>
      <c r="P4666" s="30">
        <v>0.8</v>
      </c>
      <c r="Q4666" s="18" t="str">
        <f>IFERROR(__xludf.DUMMYFUNCTION("GOOGLETRANSLATE(R4666,""ES"",""EN"")"),"transforms communities, ""sustainability""")</f>
        <v>transforms communities, "sustainability"</v>
      </c>
      <c r="R4666" s="34" t="s">
        <v>33002</v>
      </c>
      <c r="S4666" s="52" t="s">
        <v>33003</v>
      </c>
      <c r="T4666" s="22" t="s">
        <v>33004</v>
      </c>
    </row>
    <row r="4667">
      <c r="A4667" s="23" t="s">
        <v>33005</v>
      </c>
      <c r="B4667" s="77" t="s">
        <v>50</v>
      </c>
      <c r="C4667" s="96">
        <v>45623.0</v>
      </c>
      <c r="D4667" s="40" t="s">
        <v>33006</v>
      </c>
      <c r="E4667" s="97" t="s">
        <v>33007</v>
      </c>
      <c r="F4667" s="98" t="s">
        <v>33008</v>
      </c>
      <c r="G4667" s="98" t="s">
        <v>33009</v>
      </c>
      <c r="H4667" s="59" t="s">
        <v>2591</v>
      </c>
      <c r="I4667" s="25" t="str">
        <f>IFERROR(__xludf.DUMMYFUNCTION("GOOGLETRANSLATE(H4667,""EN"",""ES"")"),"Negocio")</f>
        <v>Negocio</v>
      </c>
      <c r="J4667" s="26" t="s">
        <v>35</v>
      </c>
      <c r="K4667" s="48">
        <v>0.9</v>
      </c>
      <c r="L4667" s="51" t="s">
        <v>33010</v>
      </c>
      <c r="M4667" s="28" t="s">
        <v>33011</v>
      </c>
      <c r="N4667" s="87" t="s">
        <v>33012</v>
      </c>
      <c r="O4667" s="87" t="str">
        <f>IFERROR(__xludf.DUMMYFUNCTION("GOOGLETRANSLATE(N4667,""EN"",""ES"")"),"Sentimiento muy positivo, que pone de manifiesto las iniciativas medioambientales y de incentivo al cliente de Repsol.")</f>
        <v>Sentimiento muy positivo, que pone de manifiesto las iniciativas medioambientales y de incentivo al cliente de Repsol.</v>
      </c>
      <c r="P4667" s="30">
        <v>0.7</v>
      </c>
      <c r="Q4667" s="31" t="str">
        <f>IFERROR(__xludf.DUMMYFUNCTION("GOOGLETRANSLATE(R4667,""ES"",""EN"")"),"discount, ""renewable gasoline""")</f>
        <v>discount, "renewable gasoline"</v>
      </c>
      <c r="R4667" s="28" t="s">
        <v>33013</v>
      </c>
      <c r="S4667" s="53" t="s">
        <v>31992</v>
      </c>
      <c r="T4667" s="32" t="s">
        <v>31993</v>
      </c>
    </row>
    <row r="4668">
      <c r="A4668" s="33" t="s">
        <v>33014</v>
      </c>
      <c r="B4668" s="76" t="s">
        <v>254</v>
      </c>
      <c r="C4668" s="99">
        <v>45623.0</v>
      </c>
      <c r="D4668" s="40" t="s">
        <v>32995</v>
      </c>
      <c r="E4668" s="100" t="s">
        <v>32996</v>
      </c>
      <c r="F4668" s="101" t="s">
        <v>32997</v>
      </c>
      <c r="G4668" s="101" t="s">
        <v>32998</v>
      </c>
      <c r="H4668" s="61" t="s">
        <v>2591</v>
      </c>
      <c r="I4668" s="15" t="str">
        <f>IFERROR(__xludf.DUMMYFUNCTION("GOOGLETRANSLATE(H4668,""EN"",""ES"")"),"Negocio")</f>
        <v>Negocio</v>
      </c>
      <c r="J4668" s="16" t="s">
        <v>35</v>
      </c>
      <c r="K4668" s="48">
        <v>0.9</v>
      </c>
      <c r="L4668" s="49" t="s">
        <v>33015</v>
      </c>
      <c r="M4668" s="34" t="s">
        <v>33016</v>
      </c>
      <c r="N4668" s="104" t="s">
        <v>33017</v>
      </c>
      <c r="O4668" s="104" t="str">
        <f>IFERROR(__xludf.DUMMYFUNCTION("GOOGLETRANSLATE(N4668,""EN"",""ES"")"),"Sentimiento muy positivo, destacando el papel de Repsol en el fomento de la inclusión económica.")</f>
        <v>Sentimiento muy positivo, destacando el papel de Repsol en el fomento de la inclusión económica.</v>
      </c>
      <c r="P4668" s="30">
        <v>0.8</v>
      </c>
      <c r="Q4668" s="18" t="str">
        <f>IFERROR(__xludf.DUMMYFUNCTION("GOOGLETRANSLATE(R4668,""ES"",""EN"")"),"Repeated above.")</f>
        <v>Repeated above.</v>
      </c>
      <c r="R4668" s="34" t="s">
        <v>33018</v>
      </c>
      <c r="S4668" s="52" t="s">
        <v>33019</v>
      </c>
      <c r="T4668" s="22" t="s">
        <v>33020</v>
      </c>
    </row>
    <row r="4669">
      <c r="A4669" s="23" t="s">
        <v>33021</v>
      </c>
      <c r="B4669" s="77" t="s">
        <v>1983</v>
      </c>
      <c r="C4669" s="96">
        <v>45624.0</v>
      </c>
      <c r="D4669" s="40" t="s">
        <v>33022</v>
      </c>
      <c r="E4669" s="97" t="s">
        <v>33023</v>
      </c>
      <c r="F4669" s="98" t="s">
        <v>33024</v>
      </c>
      <c r="G4669" s="98" t="s">
        <v>33025</v>
      </c>
      <c r="H4669" s="59" t="s">
        <v>2591</v>
      </c>
      <c r="I4669" s="25" t="str">
        <f>IFERROR(__xludf.DUMMYFUNCTION("GOOGLETRANSLATE(H4669,""EN"",""ES"")"),"Negocio")</f>
        <v>Negocio</v>
      </c>
      <c r="J4669" s="26" t="s">
        <v>35</v>
      </c>
      <c r="K4669" s="48">
        <v>-0.4</v>
      </c>
      <c r="L4669" s="51" t="s">
        <v>33026</v>
      </c>
      <c r="M4669" s="28" t="s">
        <v>33027</v>
      </c>
      <c r="N4669" s="87" t="s">
        <v>33028</v>
      </c>
      <c r="O4669" s="87" t="str">
        <f>IFERROR(__xludf.DUMMYFUNCTION("GOOGLETRANSLATE(N4669,""EN"",""ES"")"),"Sentimiento ligeramente negativo, que indica escepticismo o cautela respecto al desempeño financiero de Repsol.")</f>
        <v>Sentimiento ligeramente negativo, que indica escepticismo o cautela respecto al desempeño financiero de Repsol.</v>
      </c>
      <c r="P4669" s="30">
        <v>-0.4</v>
      </c>
      <c r="Q4669" s="31" t="str">
        <f>IFERROR(__xludf.DUMMYFUNCTION("GOOGLETRANSLATE(R4669,""ES"",""EN"")"),"cautious")</f>
        <v>cautious</v>
      </c>
      <c r="R4669" s="28" t="s">
        <v>33029</v>
      </c>
      <c r="S4669" s="53" t="s">
        <v>33030</v>
      </c>
      <c r="T4669" s="32" t="s">
        <v>33031</v>
      </c>
    </row>
    <row r="4670">
      <c r="A4670" s="33" t="s">
        <v>33032</v>
      </c>
      <c r="B4670" s="76" t="s">
        <v>25289</v>
      </c>
      <c r="C4670" s="99">
        <v>45624.0</v>
      </c>
      <c r="D4670" s="40" t="s">
        <v>33033</v>
      </c>
      <c r="E4670" s="100" t="s">
        <v>33034</v>
      </c>
      <c r="F4670" s="101" t="s">
        <v>33035</v>
      </c>
      <c r="G4670" s="101" t="s">
        <v>33036</v>
      </c>
      <c r="H4670" s="61" t="s">
        <v>2591</v>
      </c>
      <c r="I4670" s="15" t="str">
        <f>IFERROR(__xludf.DUMMYFUNCTION("GOOGLETRANSLATE(H4670,""EN"",""ES"")"),"Negocio")</f>
        <v>Negocio</v>
      </c>
      <c r="J4670" s="16" t="s">
        <v>35</v>
      </c>
      <c r="K4670" s="48">
        <v>0.8</v>
      </c>
      <c r="L4670" s="49" t="s">
        <v>32847</v>
      </c>
      <c r="M4670" s="34" t="s">
        <v>32847</v>
      </c>
      <c r="N4670" s="104" t="s">
        <v>33037</v>
      </c>
      <c r="O4670" s="104" t="str">
        <f>IFERROR(__xludf.DUMMYFUNCTION("GOOGLETRANSLATE(N4670,""EN"",""ES"")"),"Sentimiento positivo, que refuerza la implicación de Repsol en el automovilismo sostenible.")</f>
        <v>Sentimiento positivo, que refuerza la implicación de Repsol en el automovilismo sostenible.</v>
      </c>
      <c r="P4670" s="30">
        <v>0.8</v>
      </c>
      <c r="Q4670" s="18" t="str">
        <f>IFERROR(__xludf.DUMMYFUNCTION("GOOGLETRANSLATE(R4670,""ES"",""EN"")"),"ally, ""sustainable fuels""")</f>
        <v>ally, "sustainable fuels"</v>
      </c>
      <c r="R4670" s="34" t="s">
        <v>33038</v>
      </c>
      <c r="S4670" s="52" t="s">
        <v>9424</v>
      </c>
      <c r="T4670" s="22" t="s">
        <v>9425</v>
      </c>
    </row>
    <row r="4671">
      <c r="A4671" s="23" t="s">
        <v>33039</v>
      </c>
      <c r="B4671" s="77" t="s">
        <v>217</v>
      </c>
      <c r="C4671" s="96">
        <v>45624.0</v>
      </c>
      <c r="D4671" s="40" t="s">
        <v>33040</v>
      </c>
      <c r="E4671" s="97" t="s">
        <v>33041</v>
      </c>
      <c r="F4671" s="98" t="s">
        <v>33042</v>
      </c>
      <c r="G4671" s="98" t="s">
        <v>33043</v>
      </c>
      <c r="H4671" s="59" t="s">
        <v>2591</v>
      </c>
      <c r="I4671" s="25" t="str">
        <f>IFERROR(__xludf.DUMMYFUNCTION("GOOGLETRANSLATE(H4671,""EN"",""ES"")"),"Negocio")</f>
        <v>Negocio</v>
      </c>
      <c r="J4671" s="26" t="s">
        <v>35</v>
      </c>
      <c r="K4671" s="48">
        <v>0.9</v>
      </c>
      <c r="L4671" s="51" t="s">
        <v>33044</v>
      </c>
      <c r="M4671" s="28" t="s">
        <v>33045</v>
      </c>
      <c r="N4671" s="87" t="s">
        <v>33046</v>
      </c>
      <c r="O4671" s="87" t="str">
        <f>IFERROR(__xludf.DUMMYFUNCTION("GOOGLETRANSLATE(N4671,""EN"",""ES"")"),"Sentimiento muy positivo, que subraya el compromiso de Repsol con la sostenibilidad.")</f>
        <v>Sentimiento muy positivo, que subraya el compromiso de Repsol con la sostenibilidad.</v>
      </c>
      <c r="P4671" s="30">
        <v>0.8</v>
      </c>
      <c r="Q4671" s="31" t="str">
        <f>IFERROR(__xludf.DUMMYFUNCTION("GOOGLETRANSLATE(R4671,""ES"",""EN"")"),"commits, ""sustainable development""")</f>
        <v>commits, "sustainable development"</v>
      </c>
      <c r="R4671" s="28" t="s">
        <v>33047</v>
      </c>
      <c r="S4671" s="53" t="s">
        <v>33048</v>
      </c>
      <c r="T4671" s="32" t="s">
        <v>33049</v>
      </c>
    </row>
    <row r="4672">
      <c r="A4672" s="33" t="s">
        <v>33050</v>
      </c>
      <c r="B4672" s="76" t="s">
        <v>5289</v>
      </c>
      <c r="C4672" s="99">
        <v>45624.0</v>
      </c>
      <c r="D4672" s="40" t="s">
        <v>33051</v>
      </c>
      <c r="E4672" s="100" t="s">
        <v>33052</v>
      </c>
      <c r="F4672" s="101" t="s">
        <v>33053</v>
      </c>
      <c r="G4672" s="101" t="s">
        <v>33054</v>
      </c>
      <c r="H4672" s="61" t="s">
        <v>2591</v>
      </c>
      <c r="I4672" s="15" t="str">
        <f>IFERROR(__xludf.DUMMYFUNCTION("GOOGLETRANSLATE(H4672,""EN"",""ES"")"),"Negocio")</f>
        <v>Negocio</v>
      </c>
      <c r="J4672" s="16" t="s">
        <v>35</v>
      </c>
      <c r="K4672" s="48">
        <v>0.9</v>
      </c>
      <c r="L4672" s="49" t="s">
        <v>33055</v>
      </c>
      <c r="M4672" s="34" t="s">
        <v>33056</v>
      </c>
      <c r="N4672" s="104" t="s">
        <v>33057</v>
      </c>
      <c r="O4672" s="104" t="str">
        <f>IFERROR(__xludf.DUMMYFUNCTION("GOOGLETRANSLATE(N4672,""EN"",""ES"")"),"Sentimiento muy positivo, destacando las iniciativas verdes y las colaboraciones comunitarias de Repsol.")</f>
        <v>Sentimiento muy positivo, destacando las iniciativas verdes y las colaboraciones comunitarias de Repsol.</v>
      </c>
      <c r="P4672" s="30">
        <v>0.7</v>
      </c>
      <c r="Q4672" s="18" t="str">
        <f>IFERROR(__xludf.DUMMYFUNCTION("GOOGLETRANSLATE(R4672,""ES"",""EN"")"),"transform oil, ""biofuel""")</f>
        <v>transform oil, "biofuel"</v>
      </c>
      <c r="R4672" s="34" t="s">
        <v>33058</v>
      </c>
      <c r="S4672" s="52" t="s">
        <v>10595</v>
      </c>
      <c r="T4672" s="22" t="s">
        <v>10596</v>
      </c>
    </row>
    <row r="4673">
      <c r="A4673" s="23" t="s">
        <v>33059</v>
      </c>
      <c r="B4673" s="77" t="s">
        <v>3079</v>
      </c>
      <c r="C4673" s="96">
        <v>45624.0</v>
      </c>
      <c r="D4673" s="40" t="s">
        <v>33060</v>
      </c>
      <c r="E4673" s="97" t="s">
        <v>33061</v>
      </c>
      <c r="F4673" s="98" t="s">
        <v>33062</v>
      </c>
      <c r="G4673" s="98" t="s">
        <v>33063</v>
      </c>
      <c r="H4673" s="59" t="s">
        <v>2591</v>
      </c>
      <c r="I4673" s="25" t="str">
        <f>IFERROR(__xludf.DUMMYFUNCTION("GOOGLETRANSLATE(H4673,""EN"",""ES"")"),"Negocio")</f>
        <v>Negocio</v>
      </c>
      <c r="J4673" s="26" t="s">
        <v>35</v>
      </c>
      <c r="K4673" s="48">
        <v>0.9</v>
      </c>
      <c r="L4673" s="51" t="s">
        <v>33064</v>
      </c>
      <c r="M4673" s="28" t="s">
        <v>33065</v>
      </c>
      <c r="N4673" s="87" t="s">
        <v>33066</v>
      </c>
      <c r="O4673" s="87" t="str">
        <f>IFERROR(__xludf.DUMMYFUNCTION("GOOGLETRANSLATE(N4673,""EN"",""ES"")"),"Sentimiento muy positivo, destacando el liderazgo de Repsol en energías renovables.")</f>
        <v>Sentimiento muy positivo, destacando el liderazgo de Repsol en energías renovables.</v>
      </c>
      <c r="P4673" s="30">
        <v>0.9</v>
      </c>
      <c r="Q4673" s="31" t="str">
        <f>IFERROR(__xludf.DUMMYFUNCTION("GOOGLETRANSLATE(R4673,""ES"",""EN"")"),"key milestone, ""renewable""")</f>
        <v>key milestone, "renewable"</v>
      </c>
      <c r="R4673" s="28" t="s">
        <v>33067</v>
      </c>
      <c r="S4673" s="53" t="s">
        <v>33068</v>
      </c>
      <c r="T4673" s="32" t="s">
        <v>33069</v>
      </c>
    </row>
    <row r="4674">
      <c r="A4674" s="33" t="s">
        <v>33070</v>
      </c>
      <c r="B4674" s="76" t="s">
        <v>33071</v>
      </c>
      <c r="C4674" s="99">
        <v>45624.0</v>
      </c>
      <c r="D4674" s="40" t="s">
        <v>33072</v>
      </c>
      <c r="E4674" s="100" t="s">
        <v>33073</v>
      </c>
      <c r="F4674" s="101" t="s">
        <v>33074</v>
      </c>
      <c r="G4674" s="101" t="s">
        <v>33075</v>
      </c>
      <c r="H4674" s="61" t="s">
        <v>1975</v>
      </c>
      <c r="I4674" s="15" t="str">
        <f>IFERROR(__xludf.DUMMYFUNCTION("GOOGLETRANSLATE(H4674,""EN"",""ES"")"),"Política")</f>
        <v>Política</v>
      </c>
      <c r="J4674" s="16" t="s">
        <v>35</v>
      </c>
      <c r="K4674" s="48">
        <v>-0.7</v>
      </c>
      <c r="L4674" s="49" t="s">
        <v>33076</v>
      </c>
      <c r="M4674" s="34" t="s">
        <v>33077</v>
      </c>
      <c r="N4674" s="104" t="s">
        <v>33078</v>
      </c>
      <c r="O4674" s="104" t="str">
        <f>IFERROR(__xludf.DUMMYFUNCTION("GOOGLETRANSLATE(N4674,""EN"",""ES"")"),"Sentimiento negativo, que indica disputas legales y acusaciones entre las principales empresas energéticas.")</f>
        <v>Sentimiento negativo, que indica disputas legales y acusaciones entre las principales empresas energéticas.</v>
      </c>
      <c r="P4674" s="30">
        <v>-0.7</v>
      </c>
      <c r="Q4674" s="18" t="str">
        <f>IFERROR(__xludf.DUMMYFUNCTION("GOOGLETRANSLATE(R4674,""ES"",""EN"")"),"demand, ""ecopostureo""")</f>
        <v>demand, "ecopostureo"</v>
      </c>
      <c r="R4674" s="34" t="s">
        <v>33079</v>
      </c>
      <c r="S4674" s="52" t="s">
        <v>32072</v>
      </c>
      <c r="T4674" s="22" t="s">
        <v>32073</v>
      </c>
    </row>
    <row r="4675">
      <c r="A4675" s="23" t="s">
        <v>33080</v>
      </c>
      <c r="B4675" s="77" t="s">
        <v>163</v>
      </c>
      <c r="C4675" s="96">
        <v>45624.0</v>
      </c>
      <c r="D4675" s="40" t="s">
        <v>33081</v>
      </c>
      <c r="E4675" s="97" t="s">
        <v>33082</v>
      </c>
      <c r="F4675" s="98" t="s">
        <v>33083</v>
      </c>
      <c r="G4675" s="98" t="s">
        <v>33084</v>
      </c>
      <c r="H4675" s="59" t="s">
        <v>3985</v>
      </c>
      <c r="I4675" s="25" t="str">
        <f>IFERROR(__xludf.DUMMYFUNCTION("GOOGLETRANSLATE(H4675,""EN"",""ES"")"),"Deportes")</f>
        <v>Deportes</v>
      </c>
      <c r="J4675" s="26" t="s">
        <v>35</v>
      </c>
      <c r="K4675" s="48">
        <v>0.8</v>
      </c>
      <c r="L4675" s="51" t="s">
        <v>32847</v>
      </c>
      <c r="M4675" s="28" t="s">
        <v>32847</v>
      </c>
      <c r="N4675" s="87" t="s">
        <v>33085</v>
      </c>
      <c r="O4675" s="87" t="str">
        <f>IFERROR(__xludf.DUMMYFUNCTION("GOOGLETRANSLATE(N4675,""EN"",""ES"")"),"Sentimiento positivo, celebrando un hito para el equipo Repsol de automovilismo.")</f>
        <v>Sentimiento positivo, celebrando un hito para el equipo Repsol de automovilismo.</v>
      </c>
      <c r="P4675" s="30">
        <v>0.6</v>
      </c>
      <c r="Q4675" s="31" t="str">
        <f>IFERROR(__xludf.DUMMYFUNCTION("GOOGLETRANSLATE(R4675,""ES"",""EN"")"),"Repsol Toyota Rally Team")</f>
        <v>Repsol Toyota Rally Team</v>
      </c>
      <c r="R4675" s="28" t="s">
        <v>805</v>
      </c>
      <c r="S4675" s="53" t="s">
        <v>32850</v>
      </c>
      <c r="T4675" s="32" t="s">
        <v>32851</v>
      </c>
    </row>
    <row r="4676">
      <c r="A4676" s="33" t="s">
        <v>33086</v>
      </c>
      <c r="B4676" s="76" t="s">
        <v>4151</v>
      </c>
      <c r="C4676" s="99">
        <v>45624.0</v>
      </c>
      <c r="D4676" s="40" t="s">
        <v>33087</v>
      </c>
      <c r="E4676" s="100" t="s">
        <v>33088</v>
      </c>
      <c r="F4676" s="101" t="s">
        <v>33089</v>
      </c>
      <c r="G4676" s="101" t="s">
        <v>33090</v>
      </c>
      <c r="H4676" s="61" t="s">
        <v>2591</v>
      </c>
      <c r="I4676" s="15" t="str">
        <f>IFERROR(__xludf.DUMMYFUNCTION("GOOGLETRANSLATE(H4676,""EN"",""ES"")"),"Negocio")</f>
        <v>Negocio</v>
      </c>
      <c r="J4676" s="16" t="s">
        <v>35</v>
      </c>
      <c r="K4676" s="48">
        <v>-0.5</v>
      </c>
      <c r="L4676" s="49" t="s">
        <v>33091</v>
      </c>
      <c r="M4676" s="34" t="s">
        <v>33092</v>
      </c>
      <c r="N4676" s="104" t="s">
        <v>33093</v>
      </c>
      <c r="O4676" s="104" t="str">
        <f>IFERROR(__xludf.DUMMYFUNCTION("GOOGLETRANSLATE(N4676,""EN"",""ES"")"),"Sentimiento negativo, que refleja la preocupación por el desempeño de las operaciones de Repsol en Libia.")</f>
        <v>Sentimiento negativo, que refleja la preocupación por el desempeño de las operaciones de Repsol en Libia.</v>
      </c>
      <c r="P4676" s="30">
        <v>-0.5</v>
      </c>
      <c r="Q4676" s="18" t="str">
        <f>IFERROR(__xludf.DUMMYFUNCTION("GOOGLETRANSLATE(R4676,""ES"",""EN"")"),"low minimum")</f>
        <v>low minimum</v>
      </c>
      <c r="R4676" s="34" t="s">
        <v>33094</v>
      </c>
      <c r="S4676" s="52" t="s">
        <v>33095</v>
      </c>
      <c r="T4676" s="22" t="s">
        <v>33096</v>
      </c>
    </row>
    <row r="4677">
      <c r="A4677" s="23" t="s">
        <v>33097</v>
      </c>
      <c r="B4677" s="77" t="s">
        <v>499</v>
      </c>
      <c r="C4677" s="96">
        <v>45624.0</v>
      </c>
      <c r="D4677" s="40" t="s">
        <v>33098</v>
      </c>
      <c r="E4677" s="97" t="s">
        <v>33099</v>
      </c>
      <c r="F4677" s="98" t="s">
        <v>33100</v>
      </c>
      <c r="G4677" s="98" t="s">
        <v>33101</v>
      </c>
      <c r="H4677" s="59" t="s">
        <v>2591</v>
      </c>
      <c r="I4677" s="25" t="str">
        <f>IFERROR(__xludf.DUMMYFUNCTION("GOOGLETRANSLATE(H4677,""EN"",""ES"")"),"Negocio")</f>
        <v>Negocio</v>
      </c>
      <c r="J4677" s="26" t="s">
        <v>27</v>
      </c>
      <c r="K4677" s="17">
        <v>0.0</v>
      </c>
      <c r="L4677" s="51"/>
      <c r="M4677" s="31"/>
      <c r="N4677" s="87"/>
      <c r="O4677" s="87"/>
      <c r="P4677" s="20">
        <v>0.0</v>
      </c>
      <c r="Q4677" s="31"/>
      <c r="R4677" s="31"/>
      <c r="S4677" s="53"/>
      <c r="T4677" s="32"/>
    </row>
    <row r="4678">
      <c r="A4678" s="33" t="s">
        <v>33102</v>
      </c>
      <c r="B4678" s="76" t="s">
        <v>2527</v>
      </c>
      <c r="C4678" s="99">
        <v>45624.0</v>
      </c>
      <c r="D4678" s="40" t="s">
        <v>33103</v>
      </c>
      <c r="E4678" s="100" t="s">
        <v>33104</v>
      </c>
      <c r="F4678" s="101" t="s">
        <v>33105</v>
      </c>
      <c r="G4678" s="101" t="s">
        <v>33106</v>
      </c>
      <c r="H4678" s="61" t="s">
        <v>2591</v>
      </c>
      <c r="I4678" s="15" t="str">
        <f>IFERROR(__xludf.DUMMYFUNCTION("GOOGLETRANSLATE(H4678,""EN"",""ES"")"),"Negocio")</f>
        <v>Negocio</v>
      </c>
      <c r="J4678" s="16" t="s">
        <v>27</v>
      </c>
      <c r="K4678" s="17">
        <v>0.0</v>
      </c>
      <c r="L4678" s="49"/>
      <c r="M4678" s="18"/>
      <c r="N4678" s="104"/>
      <c r="O4678" s="104"/>
      <c r="P4678" s="20">
        <v>0.0</v>
      </c>
      <c r="Q4678" s="18"/>
      <c r="R4678" s="18"/>
      <c r="S4678" s="52"/>
      <c r="T4678" s="22"/>
    </row>
    <row r="4679">
      <c r="A4679" s="23" t="s">
        <v>33107</v>
      </c>
      <c r="B4679" s="77" t="s">
        <v>163</v>
      </c>
      <c r="C4679" s="96">
        <v>45624.0</v>
      </c>
      <c r="D4679" s="40" t="s">
        <v>33108</v>
      </c>
      <c r="E4679" s="97" t="s">
        <v>33109</v>
      </c>
      <c r="F4679" s="98" t="s">
        <v>33110</v>
      </c>
      <c r="G4679" s="98" t="s">
        <v>33111</v>
      </c>
      <c r="H4679" s="59" t="s">
        <v>782</v>
      </c>
      <c r="I4679" s="25" t="str">
        <f>IFERROR(__xludf.DUMMYFUNCTION("GOOGLETRANSLATE(H4679,""EN"",""ES"")"),"Tecnología")</f>
        <v>Tecnología</v>
      </c>
      <c r="J4679" s="26" t="s">
        <v>27</v>
      </c>
      <c r="K4679" s="17">
        <v>0.0</v>
      </c>
      <c r="L4679" s="51"/>
      <c r="M4679" s="31"/>
      <c r="N4679" s="87"/>
      <c r="O4679" s="87"/>
      <c r="P4679" s="20">
        <v>0.0</v>
      </c>
      <c r="Q4679" s="31"/>
      <c r="R4679" s="31"/>
      <c r="S4679" s="53"/>
      <c r="T4679" s="32"/>
    </row>
    <row r="4680">
      <c r="A4680" s="33" t="s">
        <v>33112</v>
      </c>
      <c r="B4680" s="76" t="s">
        <v>25384</v>
      </c>
      <c r="C4680" s="99">
        <v>45624.0</v>
      </c>
      <c r="D4680" s="40" t="s">
        <v>33113</v>
      </c>
      <c r="E4680" s="100" t="s">
        <v>33114</v>
      </c>
      <c r="F4680" s="101" t="s">
        <v>33115</v>
      </c>
      <c r="G4680" s="101" t="s">
        <v>33116</v>
      </c>
      <c r="H4680" s="61" t="s">
        <v>2591</v>
      </c>
      <c r="I4680" s="15" t="str">
        <f>IFERROR(__xludf.DUMMYFUNCTION("GOOGLETRANSLATE(H4680,""EN"",""ES"")"),"Negocio")</f>
        <v>Negocio</v>
      </c>
      <c r="J4680" s="16" t="s">
        <v>35</v>
      </c>
      <c r="K4680" s="48">
        <v>0.5</v>
      </c>
      <c r="L4680" s="49" t="s">
        <v>33117</v>
      </c>
      <c r="M4680" s="34" t="s">
        <v>33118</v>
      </c>
      <c r="N4680" s="104" t="s">
        <v>33119</v>
      </c>
      <c r="O4680" s="104" t="str">
        <f>IFERROR(__xludf.DUMMYFUNCTION("GOOGLETRANSLATE(N4680,""EN"",""ES"")"),"Sentimiento neutral, ya que proporciona un análisis de acciones sin un fuerte sesgo.")</f>
        <v>Sentimiento neutral, ya que proporciona un análisis de acciones sin un fuerte sesgo.</v>
      </c>
      <c r="P4680" s="30">
        <v>0.0</v>
      </c>
      <c r="Q4680" s="18"/>
      <c r="R4680" s="18"/>
      <c r="S4680" s="52" t="s">
        <v>24576</v>
      </c>
      <c r="T4680" s="22" t="s">
        <v>26845</v>
      </c>
    </row>
    <row r="4681">
      <c r="A4681" s="23" t="s">
        <v>33120</v>
      </c>
      <c r="B4681" s="77" t="s">
        <v>50</v>
      </c>
      <c r="C4681" s="96">
        <v>45624.0</v>
      </c>
      <c r="D4681" s="40" t="s">
        <v>33121</v>
      </c>
      <c r="E4681" s="97" t="s">
        <v>33122</v>
      </c>
      <c r="F4681" s="98" t="s">
        <v>33123</v>
      </c>
      <c r="G4681" s="98" t="s">
        <v>33124</v>
      </c>
      <c r="H4681" s="59" t="s">
        <v>3985</v>
      </c>
      <c r="I4681" s="25" t="str">
        <f>IFERROR(__xludf.DUMMYFUNCTION("GOOGLETRANSLATE(H4681,""EN"",""ES"")"),"Deportes")</f>
        <v>Deportes</v>
      </c>
      <c r="J4681" s="26" t="s">
        <v>35</v>
      </c>
      <c r="K4681" s="48">
        <v>0.8</v>
      </c>
      <c r="L4681" s="51" t="s">
        <v>33125</v>
      </c>
      <c r="M4681" s="28" t="s">
        <v>33125</v>
      </c>
      <c r="N4681" s="87" t="s">
        <v>33126</v>
      </c>
      <c r="O4681" s="87" t="str">
        <f>IFERROR(__xludf.DUMMYFUNCTION("GOOGLETRANSLATE(N4681,""EN"",""ES"")"),"Sentimiento positivo, celebrando la larga participación de Esteve en el Dakar.")</f>
        <v>Sentimiento positivo, celebrando la larga participación de Esteve en el Dakar.</v>
      </c>
      <c r="P4681" s="30">
        <v>0.0</v>
      </c>
      <c r="Q4681" s="31"/>
      <c r="R4681" s="31"/>
      <c r="S4681" s="53" t="s">
        <v>469</v>
      </c>
      <c r="T4681" s="32" t="s">
        <v>470</v>
      </c>
    </row>
    <row r="4682">
      <c r="A4682" s="33" t="s">
        <v>33127</v>
      </c>
      <c r="B4682" s="76" t="s">
        <v>8029</v>
      </c>
      <c r="C4682" s="99">
        <v>45624.0</v>
      </c>
      <c r="D4682" s="40" t="s">
        <v>33128</v>
      </c>
      <c r="E4682" s="100" t="s">
        <v>33129</v>
      </c>
      <c r="F4682" s="101" t="s">
        <v>33130</v>
      </c>
      <c r="G4682" s="101" t="s">
        <v>33131</v>
      </c>
      <c r="H4682" s="61" t="s">
        <v>2591</v>
      </c>
      <c r="I4682" s="15" t="str">
        <f>IFERROR(__xludf.DUMMYFUNCTION("GOOGLETRANSLATE(H4682,""EN"",""ES"")"),"Negocio")</f>
        <v>Negocio</v>
      </c>
      <c r="J4682" s="16" t="s">
        <v>27</v>
      </c>
      <c r="K4682" s="17">
        <v>0.0</v>
      </c>
      <c r="L4682" s="49"/>
      <c r="M4682" s="18"/>
      <c r="N4682" s="104"/>
      <c r="O4682" s="104"/>
      <c r="P4682" s="20">
        <v>0.0</v>
      </c>
      <c r="Q4682" s="18"/>
      <c r="R4682" s="18"/>
      <c r="S4682" s="52"/>
      <c r="T4682" s="22"/>
    </row>
    <row r="4683">
      <c r="A4683" s="23" t="s">
        <v>33132</v>
      </c>
      <c r="B4683" s="77" t="s">
        <v>614</v>
      </c>
      <c r="C4683" s="96">
        <v>45624.0</v>
      </c>
      <c r="D4683" s="40" t="s">
        <v>33133</v>
      </c>
      <c r="E4683" s="97" t="s">
        <v>33134</v>
      </c>
      <c r="F4683" s="98" t="s">
        <v>33135</v>
      </c>
      <c r="G4683" s="98" t="s">
        <v>33136</v>
      </c>
      <c r="H4683" s="59" t="s">
        <v>33137</v>
      </c>
      <c r="I4683" s="25" t="str">
        <f>IFERROR(__xludf.DUMMYFUNCTION("GOOGLETRANSLATE(H4683,""EN"",""ES"")"),"Carrera")</f>
        <v>Carrera</v>
      </c>
      <c r="J4683" s="26" t="s">
        <v>27</v>
      </c>
      <c r="K4683" s="17">
        <v>0.0</v>
      </c>
      <c r="L4683" s="51"/>
      <c r="M4683" s="31"/>
      <c r="N4683" s="83"/>
      <c r="O4683" s="83"/>
      <c r="P4683" s="20">
        <v>0.0</v>
      </c>
      <c r="Q4683" s="31"/>
      <c r="R4683" s="31"/>
      <c r="S4683" s="53"/>
      <c r="T4683" s="32"/>
    </row>
    <row r="4684">
      <c r="A4684" s="33" t="s">
        <v>33138</v>
      </c>
      <c r="B4684" s="76" t="s">
        <v>499</v>
      </c>
      <c r="C4684" s="99">
        <v>45624.0</v>
      </c>
      <c r="D4684" s="40" t="s">
        <v>33139</v>
      </c>
      <c r="E4684" s="100" t="s">
        <v>33140</v>
      </c>
      <c r="F4684" s="101" t="s">
        <v>33141</v>
      </c>
      <c r="G4684" s="101" t="s">
        <v>33142</v>
      </c>
      <c r="H4684" s="61" t="s">
        <v>2591</v>
      </c>
      <c r="I4684" s="15" t="str">
        <f>IFERROR(__xludf.DUMMYFUNCTION("GOOGLETRANSLATE(H4684,""EN"",""ES"")"),"Negocio")</f>
        <v>Negocio</v>
      </c>
      <c r="J4684" s="16" t="s">
        <v>35</v>
      </c>
      <c r="K4684" s="48">
        <v>0.7</v>
      </c>
      <c r="L4684" s="49" t="s">
        <v>33143</v>
      </c>
      <c r="M4684" s="34" t="s">
        <v>33143</v>
      </c>
      <c r="N4684" s="86" t="s">
        <v>33144</v>
      </c>
      <c r="O4684" s="86" t="str">
        <f>IFERROR(__xludf.DUMMYFUNCTION("GOOGLETRANSLATE(N4684,""EN"",""ES"")"),"Sentimiento positivo, destacando una asociación comercial en energías renovables.")</f>
        <v>Sentimiento positivo, destacando una asociación comercial en energías renovables.</v>
      </c>
      <c r="P4684" s="30">
        <v>0.0</v>
      </c>
      <c r="Q4684" s="18"/>
      <c r="R4684" s="18"/>
      <c r="S4684" s="52" t="s">
        <v>469</v>
      </c>
      <c r="T4684" s="22" t="s">
        <v>470</v>
      </c>
    </row>
    <row r="4685">
      <c r="A4685" s="23" t="s">
        <v>33145</v>
      </c>
      <c r="B4685" s="77" t="s">
        <v>1072</v>
      </c>
      <c r="C4685" s="96">
        <v>45625.0</v>
      </c>
      <c r="D4685" s="40" t="s">
        <v>33146</v>
      </c>
      <c r="E4685" s="97" t="s">
        <v>33147</v>
      </c>
      <c r="F4685" s="98" t="s">
        <v>33148</v>
      </c>
      <c r="G4685" s="98" t="s">
        <v>33149</v>
      </c>
      <c r="H4685" s="59" t="s">
        <v>2591</v>
      </c>
      <c r="I4685" s="25" t="str">
        <f>IFERROR(__xludf.DUMMYFUNCTION("GOOGLETRANSLATE(H4685,""EN"",""ES"")"),"Negocio")</f>
        <v>Negocio</v>
      </c>
      <c r="J4685" s="26" t="s">
        <v>35</v>
      </c>
      <c r="K4685" s="48">
        <v>0.5</v>
      </c>
      <c r="L4685" s="51" t="s">
        <v>33150</v>
      </c>
      <c r="M4685" s="28" t="s">
        <v>33151</v>
      </c>
      <c r="N4685" s="83" t="s">
        <v>33152</v>
      </c>
      <c r="O4685" s="83" t="str">
        <f>IFERROR(__xludf.DUMMYFUNCTION("GOOGLETRANSLATE(N4685,""EN"",""ES"")"),"Sentimiento neutral, ya que informa una transacción financiera sin implicaciones claras positivas o negativas.")</f>
        <v>Sentimiento neutral, ya que informa una transacción financiera sin implicaciones claras positivas o negativas.</v>
      </c>
      <c r="P4685" s="30">
        <v>-0.3</v>
      </c>
      <c r="Q4685" s="31" t="str">
        <f>IFERROR(__xludf.DUMMYFUNCTION("GOOGLETRANSLATE(R4685,""ES"",""EN"")"),"sell assets")</f>
        <v>sell assets</v>
      </c>
      <c r="R4685" s="28" t="s">
        <v>33153</v>
      </c>
      <c r="S4685" s="53" t="s">
        <v>33154</v>
      </c>
      <c r="T4685" s="32" t="s">
        <v>33155</v>
      </c>
    </row>
    <row r="4686">
      <c r="A4686" s="33" t="s">
        <v>33156</v>
      </c>
      <c r="B4686" s="76" t="s">
        <v>499</v>
      </c>
      <c r="C4686" s="99">
        <v>45625.0</v>
      </c>
      <c r="D4686" s="40" t="s">
        <v>33157</v>
      </c>
      <c r="E4686" s="100" t="s">
        <v>33158</v>
      </c>
      <c r="F4686" s="101" t="s">
        <v>33159</v>
      </c>
      <c r="G4686" s="101" t="s">
        <v>33160</v>
      </c>
      <c r="H4686" s="61" t="s">
        <v>2591</v>
      </c>
      <c r="I4686" s="15" t="str">
        <f>IFERROR(__xludf.DUMMYFUNCTION("GOOGLETRANSLATE(H4686,""EN"",""ES"")"),"Negocio")</f>
        <v>Negocio</v>
      </c>
      <c r="J4686" s="16" t="s">
        <v>35</v>
      </c>
      <c r="K4686" s="48">
        <v>0.5</v>
      </c>
      <c r="L4686" s="49" t="s">
        <v>33161</v>
      </c>
      <c r="M4686" s="34" t="s">
        <v>33162</v>
      </c>
      <c r="N4686" s="86" t="s">
        <v>33163</v>
      </c>
      <c r="O4686" s="86" t="str">
        <f>IFERROR(__xludf.DUMMYFUNCTION("GOOGLETRANSLATE(N4686,""EN"",""ES"")"),"Sentimiento neutral, que describe una venta de activos sin un marco positivo o negativo fuerte.")</f>
        <v>Sentimiento neutral, que describe una venta de activos sin un marco positivo o negativo fuerte.</v>
      </c>
      <c r="P4686" s="30">
        <v>-0.3</v>
      </c>
      <c r="Q4686" s="18" t="str">
        <f>IFERROR(__xludf.DUMMYFUNCTION("GOOGLETRANSLATE(R4686,""ES"",""EN"")"),"sell assets")</f>
        <v>sell assets</v>
      </c>
      <c r="R4686" s="34" t="s">
        <v>33153</v>
      </c>
      <c r="S4686" s="52" t="s">
        <v>33164</v>
      </c>
      <c r="T4686" s="22" t="s">
        <v>33165</v>
      </c>
    </row>
    <row r="4687">
      <c r="A4687" s="23" t="s">
        <v>33166</v>
      </c>
      <c r="B4687" s="77" t="s">
        <v>217</v>
      </c>
      <c r="C4687" s="96">
        <v>45625.0</v>
      </c>
      <c r="D4687" s="40" t="s">
        <v>33167</v>
      </c>
      <c r="E4687" s="97" t="s">
        <v>33168</v>
      </c>
      <c r="F4687" s="98" t="s">
        <v>33169</v>
      </c>
      <c r="G4687" s="98" t="s">
        <v>33170</v>
      </c>
      <c r="H4687" s="59" t="s">
        <v>2591</v>
      </c>
      <c r="I4687" s="25" t="str">
        <f>IFERROR(__xludf.DUMMYFUNCTION("GOOGLETRANSLATE(H4687,""EN"",""ES"")"),"Negocio")</f>
        <v>Negocio</v>
      </c>
      <c r="J4687" s="26" t="s">
        <v>35</v>
      </c>
      <c r="K4687" s="48">
        <v>0.5</v>
      </c>
      <c r="L4687" s="51" t="s">
        <v>33171</v>
      </c>
      <c r="M4687" s="31" t="s">
        <v>33172</v>
      </c>
      <c r="N4687" s="83" t="s">
        <v>33173</v>
      </c>
      <c r="O4687" s="83" t="str">
        <f>IFERROR(__xludf.DUMMYFUNCTION("GOOGLETRANSLATE(N4687,""EN"",""ES"")"),"Sentimiento neutral, ya que informa una transacción sin juzgar.")</f>
        <v>Sentimiento neutral, ya que informa una transacción sin juzgar.</v>
      </c>
      <c r="P4687" s="30">
        <v>-0.3</v>
      </c>
      <c r="Q4687" s="31" t="str">
        <f>IFERROR(__xludf.DUMMYFUNCTION("GOOGLETRANSLATE(R4687,""ES"",""EN"")"),"sell assets")</f>
        <v>sell assets</v>
      </c>
      <c r="R4687" s="28" t="s">
        <v>33153</v>
      </c>
      <c r="S4687" s="53" t="s">
        <v>33164</v>
      </c>
      <c r="T4687" s="32" t="s">
        <v>33165</v>
      </c>
    </row>
    <row r="4688">
      <c r="A4688" s="33" t="s">
        <v>33174</v>
      </c>
      <c r="B4688" s="76" t="s">
        <v>2442</v>
      </c>
      <c r="C4688" s="99">
        <v>45625.0</v>
      </c>
      <c r="D4688" s="40" t="s">
        <v>33175</v>
      </c>
      <c r="E4688" s="100" t="s">
        <v>33176</v>
      </c>
      <c r="F4688" s="101" t="s">
        <v>33177</v>
      </c>
      <c r="G4688" s="101" t="s">
        <v>33178</v>
      </c>
      <c r="H4688" s="61" t="s">
        <v>2591</v>
      </c>
      <c r="I4688" s="15" t="str">
        <f>IFERROR(__xludf.DUMMYFUNCTION("GOOGLETRANSLATE(H4688,""EN"",""ES"")"),"Negocio")</f>
        <v>Negocio</v>
      </c>
      <c r="J4688" s="16" t="s">
        <v>35</v>
      </c>
      <c r="K4688" s="48">
        <v>0.5</v>
      </c>
      <c r="L4688" s="49" t="s">
        <v>33150</v>
      </c>
      <c r="M4688" s="34" t="s">
        <v>33151</v>
      </c>
      <c r="N4688" s="86" t="s">
        <v>33179</v>
      </c>
      <c r="O4688" s="86" t="str">
        <f>IFERROR(__xludf.DUMMYFUNCTION("GOOGLETRANSLATE(N4688,""EN"",""ES"")"),"Sentimiento neutral, otro informe del mismo negocio.")</f>
        <v>Sentimiento neutral, otro informe del mismo negocio.</v>
      </c>
      <c r="P4688" s="30">
        <v>-0.3</v>
      </c>
      <c r="Q4688" s="18" t="str">
        <f>IFERROR(__xludf.DUMMYFUNCTION("GOOGLETRANSLATE(R4688,""ES"",""EN"")"),"sell assets")</f>
        <v>sell assets</v>
      </c>
      <c r="R4688" s="34" t="s">
        <v>33153</v>
      </c>
      <c r="S4688" s="52" t="s">
        <v>33164</v>
      </c>
      <c r="T4688" s="22" t="s">
        <v>33165</v>
      </c>
    </row>
    <row r="4689">
      <c r="A4689" s="23" t="s">
        <v>33180</v>
      </c>
      <c r="B4689" s="77" t="s">
        <v>614</v>
      </c>
      <c r="C4689" s="96">
        <v>45625.0</v>
      </c>
      <c r="D4689" s="40" t="s">
        <v>33181</v>
      </c>
      <c r="E4689" s="97" t="s">
        <v>33182</v>
      </c>
      <c r="F4689" s="98" t="s">
        <v>33183</v>
      </c>
      <c r="G4689" s="98" t="s">
        <v>33184</v>
      </c>
      <c r="H4689" s="59" t="s">
        <v>2591</v>
      </c>
      <c r="I4689" s="25" t="str">
        <f>IFERROR(__xludf.DUMMYFUNCTION("GOOGLETRANSLATE(H4689,""EN"",""ES"")"),"Negocio")</f>
        <v>Negocio</v>
      </c>
      <c r="J4689" s="26" t="s">
        <v>35</v>
      </c>
      <c r="K4689" s="48">
        <v>0.5</v>
      </c>
      <c r="L4689" s="51" t="s">
        <v>33150</v>
      </c>
      <c r="M4689" s="28" t="s">
        <v>33151</v>
      </c>
      <c r="N4689" s="83" t="s">
        <v>33185</v>
      </c>
      <c r="O4689" s="83" t="str">
        <f>IFERROR(__xludf.DUMMYFUNCTION("GOOGLETRANSLATE(N4689,""EN"",""ES"")"),"Sentimiento neutral, que indica una transacción financiera sin una postura particular.")</f>
        <v>Sentimiento neutral, que indica una transacción financiera sin una postura particular.</v>
      </c>
      <c r="P4689" s="30">
        <v>-0.3</v>
      </c>
      <c r="Q4689" s="31" t="str">
        <f>IFERROR(__xludf.DUMMYFUNCTION("GOOGLETRANSLATE(R4689,""ES"",""EN"")"),"sell assets")</f>
        <v>sell assets</v>
      </c>
      <c r="R4689" s="28" t="s">
        <v>33153</v>
      </c>
      <c r="S4689" s="53" t="s">
        <v>33164</v>
      </c>
      <c r="T4689" s="32" t="s">
        <v>33165</v>
      </c>
    </row>
    <row r="4690">
      <c r="A4690" s="33" t="s">
        <v>33186</v>
      </c>
      <c r="B4690" s="76" t="s">
        <v>33187</v>
      </c>
      <c r="C4690" s="99">
        <v>45625.0</v>
      </c>
      <c r="D4690" s="40" t="s">
        <v>33188</v>
      </c>
      <c r="E4690" s="100" t="s">
        <v>33189</v>
      </c>
      <c r="F4690" s="101" t="s">
        <v>33190</v>
      </c>
      <c r="G4690" s="101" t="s">
        <v>33191</v>
      </c>
      <c r="H4690" s="61" t="s">
        <v>2591</v>
      </c>
      <c r="I4690" s="15" t="str">
        <f>IFERROR(__xludf.DUMMYFUNCTION("GOOGLETRANSLATE(H4690,""EN"",""ES"")"),"Negocio")</f>
        <v>Negocio</v>
      </c>
      <c r="J4690" s="16" t="s">
        <v>35</v>
      </c>
      <c r="K4690" s="48">
        <v>0.5</v>
      </c>
      <c r="L4690" s="49" t="s">
        <v>33150</v>
      </c>
      <c r="M4690" s="34" t="s">
        <v>33151</v>
      </c>
      <c r="N4690" s="86" t="s">
        <v>33192</v>
      </c>
      <c r="O4690" s="86" t="str">
        <f>IFERROR(__xludf.DUMMYFUNCTION("GOOGLETRANSLATE(N4690,""EN"",""ES"")"),"Sentimiento neutral, informes financieros sin sesgos claros.")</f>
        <v>Sentimiento neutral, informes financieros sin sesgos claros.</v>
      </c>
      <c r="P4690" s="30">
        <v>-0.3</v>
      </c>
      <c r="Q4690" s="18" t="str">
        <f>IFERROR(__xludf.DUMMYFUNCTION("GOOGLETRANSLATE(R4690,""ES"",""EN"")"),"sell assets")</f>
        <v>sell assets</v>
      </c>
      <c r="R4690" s="34" t="s">
        <v>33153</v>
      </c>
      <c r="S4690" s="52" t="s">
        <v>33164</v>
      </c>
      <c r="T4690" s="22" t="s">
        <v>33165</v>
      </c>
    </row>
    <row r="4691">
      <c r="A4691" s="23" t="s">
        <v>33193</v>
      </c>
      <c r="B4691" s="77" t="s">
        <v>103</v>
      </c>
      <c r="C4691" s="96">
        <v>45625.0</v>
      </c>
      <c r="D4691" s="40" t="s">
        <v>33194</v>
      </c>
      <c r="E4691" s="97" t="s">
        <v>33195</v>
      </c>
      <c r="F4691" s="98" t="s">
        <v>33196</v>
      </c>
      <c r="G4691" s="98" t="s">
        <v>33197</v>
      </c>
      <c r="H4691" s="59" t="s">
        <v>2591</v>
      </c>
      <c r="I4691" s="25" t="str">
        <f>IFERROR(__xludf.DUMMYFUNCTION("GOOGLETRANSLATE(H4691,""EN"",""ES"")"),"Negocio")</f>
        <v>Negocio</v>
      </c>
      <c r="J4691" s="26" t="s">
        <v>35</v>
      </c>
      <c r="K4691" s="48">
        <v>0.5</v>
      </c>
      <c r="L4691" s="51" t="s">
        <v>33150</v>
      </c>
      <c r="M4691" s="28" t="s">
        <v>33151</v>
      </c>
      <c r="N4691" s="83" t="s">
        <v>33198</v>
      </c>
      <c r="O4691" s="83" t="str">
        <f>IFERROR(__xludf.DUMMYFUNCTION("GOOGLETRANSLATE(N4691,""EN"",""ES"")"),"Sentimiento neutral, transacción comercial sin encuadre positivo o negativo.")</f>
        <v>Sentimiento neutral, transacción comercial sin encuadre positivo o negativo.</v>
      </c>
      <c r="P4691" s="30">
        <v>-0.3</v>
      </c>
      <c r="Q4691" s="31" t="str">
        <f>IFERROR(__xludf.DUMMYFUNCTION("GOOGLETRANSLATE(R4691,""ES"",""EN"")"),"sell assets")</f>
        <v>sell assets</v>
      </c>
      <c r="R4691" s="28" t="s">
        <v>33153</v>
      </c>
      <c r="S4691" s="53" t="s">
        <v>33164</v>
      </c>
      <c r="T4691" s="32" t="s">
        <v>33165</v>
      </c>
    </row>
    <row r="4692">
      <c r="A4692" s="33" t="s">
        <v>33199</v>
      </c>
      <c r="B4692" s="76" t="s">
        <v>702</v>
      </c>
      <c r="C4692" s="99">
        <v>45625.0</v>
      </c>
      <c r="D4692" s="40" t="s">
        <v>33200</v>
      </c>
      <c r="E4692" s="100" t="s">
        <v>33201</v>
      </c>
      <c r="F4692" s="101" t="s">
        <v>33202</v>
      </c>
      <c r="G4692" s="101" t="s">
        <v>33203</v>
      </c>
      <c r="H4692" s="61" t="s">
        <v>33204</v>
      </c>
      <c r="I4692" s="15" t="str">
        <f>IFERROR(__xludf.DUMMYFUNCTION("GOOGLETRANSLATE(H4692,""EN"",""ES"")"),"Consumidor")</f>
        <v>Consumidor</v>
      </c>
      <c r="J4692" s="16" t="s">
        <v>35</v>
      </c>
      <c r="K4692" s="48">
        <v>-0.6</v>
      </c>
      <c r="L4692" s="49" t="s">
        <v>33205</v>
      </c>
      <c r="M4692" s="34" t="s">
        <v>33205</v>
      </c>
      <c r="N4692" s="86" t="s">
        <v>33206</v>
      </c>
      <c r="O4692" s="86" t="str">
        <f>IFERROR(__xludf.DUMMYFUNCTION("GOOGLETRANSLATE(N4692,""EN"",""ES"")"),"Sentimiento negativo, que desalienta la elección de Repsol para los servicios de gas.")</f>
        <v>Sentimiento negativo, que desalienta la elección de Repsol para los servicios de gas.</v>
      </c>
      <c r="P4692" s="30">
        <v>0.0</v>
      </c>
      <c r="Q4692" s="18"/>
      <c r="R4692" s="18"/>
      <c r="S4692" s="52" t="s">
        <v>469</v>
      </c>
      <c r="T4692" s="22" t="s">
        <v>470</v>
      </c>
    </row>
    <row r="4693">
      <c r="A4693" s="23" t="s">
        <v>33207</v>
      </c>
      <c r="B4693" s="77" t="s">
        <v>403</v>
      </c>
      <c r="C4693" s="96">
        <v>45625.0</v>
      </c>
      <c r="D4693" s="40" t="s">
        <v>33208</v>
      </c>
      <c r="E4693" s="97" t="s">
        <v>33209</v>
      </c>
      <c r="F4693" s="98" t="s">
        <v>33210</v>
      </c>
      <c r="G4693" s="98" t="s">
        <v>33211</v>
      </c>
      <c r="H4693" s="59" t="s">
        <v>2591</v>
      </c>
      <c r="I4693" s="25" t="str">
        <f>IFERROR(__xludf.DUMMYFUNCTION("GOOGLETRANSLATE(H4693,""EN"",""ES"")"),"Negocio")</f>
        <v>Negocio</v>
      </c>
      <c r="J4693" s="26" t="s">
        <v>35</v>
      </c>
      <c r="K4693" s="48">
        <v>0.5</v>
      </c>
      <c r="L4693" s="51" t="s">
        <v>33150</v>
      </c>
      <c r="M4693" s="28" t="s">
        <v>33151</v>
      </c>
      <c r="N4693" s="83" t="s">
        <v>33212</v>
      </c>
      <c r="O4693" s="83" t="str">
        <f>IFERROR(__xludf.DUMMYFUNCTION("GOOGLETRANSLATE(N4693,""EN"",""ES"")"),"Sentimiento neutral, otro informe de la misma transacción.")</f>
        <v>Sentimiento neutral, otro informe de la misma transacción.</v>
      </c>
      <c r="P4693" s="30">
        <v>-0.3</v>
      </c>
      <c r="Q4693" s="31" t="str">
        <f>IFERROR(__xludf.DUMMYFUNCTION("GOOGLETRANSLATE(R4693,""ES"",""EN"")"),"sell assets")</f>
        <v>sell assets</v>
      </c>
      <c r="R4693" s="28" t="s">
        <v>33153</v>
      </c>
      <c r="S4693" s="53" t="s">
        <v>33164</v>
      </c>
      <c r="T4693" s="32" t="s">
        <v>33165</v>
      </c>
    </row>
    <row r="4694">
      <c r="A4694" s="33" t="s">
        <v>33213</v>
      </c>
      <c r="B4694" s="76" t="s">
        <v>1602</v>
      </c>
      <c r="C4694" s="99">
        <v>45625.0</v>
      </c>
      <c r="D4694" s="40" t="s">
        <v>33214</v>
      </c>
      <c r="E4694" s="100" t="s">
        <v>28255</v>
      </c>
      <c r="F4694" s="101" t="s">
        <v>33215</v>
      </c>
      <c r="G4694" s="101" t="s">
        <v>28257</v>
      </c>
      <c r="H4694" s="61" t="s">
        <v>2591</v>
      </c>
      <c r="I4694" s="15" t="str">
        <f>IFERROR(__xludf.DUMMYFUNCTION("GOOGLETRANSLATE(H4694,""EN"",""ES"")"),"Negocio")</f>
        <v>Negocio</v>
      </c>
      <c r="J4694" s="16" t="s">
        <v>35</v>
      </c>
      <c r="K4694" s="48">
        <v>0.6</v>
      </c>
      <c r="L4694" s="49" t="s">
        <v>33216</v>
      </c>
      <c r="M4694" s="34" t="s">
        <v>33217</v>
      </c>
      <c r="N4694" s="86" t="s">
        <v>33218</v>
      </c>
      <c r="O4694" s="86" t="str">
        <f>IFERROR(__xludf.DUMMYFUNCTION("GOOGLETRANSLATE(N4694,""EN"",""ES"")"),"Sentimiento positivo, ya que analiza el análisis de acciones y posibles oportunidades de inversión.")</f>
        <v>Sentimiento positivo, ya que analiza el análisis de acciones y posibles oportunidades de inversión.</v>
      </c>
      <c r="P4694" s="30">
        <v>0.0</v>
      </c>
      <c r="Q4694" s="18"/>
      <c r="R4694" s="18"/>
      <c r="S4694" s="52" t="s">
        <v>24576</v>
      </c>
      <c r="T4694" s="22" t="s">
        <v>26845</v>
      </c>
    </row>
    <row r="4695">
      <c r="A4695" s="23" t="s">
        <v>33219</v>
      </c>
      <c r="B4695" s="77" t="s">
        <v>43</v>
      </c>
      <c r="C4695" s="96">
        <v>45625.0</v>
      </c>
      <c r="D4695" s="40" t="s">
        <v>33220</v>
      </c>
      <c r="E4695" s="97" t="s">
        <v>33221</v>
      </c>
      <c r="F4695" s="98" t="s">
        <v>33222</v>
      </c>
      <c r="G4695" s="98" t="s">
        <v>33223</v>
      </c>
      <c r="H4695" s="59" t="s">
        <v>2591</v>
      </c>
      <c r="I4695" s="25" t="str">
        <f>IFERROR(__xludf.DUMMYFUNCTION("GOOGLETRANSLATE(H4695,""EN"",""ES"")"),"Negocio")</f>
        <v>Negocio</v>
      </c>
      <c r="J4695" s="26" t="s">
        <v>35</v>
      </c>
      <c r="K4695" s="48">
        <v>0.7</v>
      </c>
      <c r="L4695" s="51" t="s">
        <v>33224</v>
      </c>
      <c r="M4695" s="28" t="s">
        <v>33225</v>
      </c>
      <c r="N4695" s="83" t="s">
        <v>33226</v>
      </c>
      <c r="O4695" s="83" t="str">
        <f>IFERROR(__xludf.DUMMYFUNCTION("GOOGLETRANSLATE(N4695,""EN"",""ES"")"),"Sentimiento positivo, que enmarca la venta de activos como parte de una transición energética verde.")</f>
        <v>Sentimiento positivo, que enmarca la venta de activos como parte de una transición energética verde.</v>
      </c>
      <c r="P4695" s="30">
        <v>0.5</v>
      </c>
      <c r="Q4695" s="31" t="str">
        <f>IFERROR(__xludf.DUMMYFUNCTION("GOOGLETRANSLATE(R4695,""ES"",""EN"")"),"progress in decarbonization")</f>
        <v>progress in decarbonization</v>
      </c>
      <c r="R4695" s="28" t="s">
        <v>33227</v>
      </c>
      <c r="S4695" s="53" t="s">
        <v>33228</v>
      </c>
      <c r="T4695" s="32" t="s">
        <v>33229</v>
      </c>
    </row>
    <row r="4696">
      <c r="A4696" s="33" t="s">
        <v>33230</v>
      </c>
      <c r="B4696" s="76" t="s">
        <v>25224</v>
      </c>
      <c r="C4696" s="99">
        <v>45625.0</v>
      </c>
      <c r="D4696" s="40" t="s">
        <v>33081</v>
      </c>
      <c r="E4696" s="100" t="s">
        <v>33231</v>
      </c>
      <c r="F4696" s="101" t="s">
        <v>33083</v>
      </c>
      <c r="G4696" s="101" t="s">
        <v>33232</v>
      </c>
      <c r="H4696" s="61" t="s">
        <v>3985</v>
      </c>
      <c r="I4696" s="15" t="str">
        <f>IFERROR(__xludf.DUMMYFUNCTION("GOOGLETRANSLATE(H4696,""EN"",""ES"")"),"Deportes")</f>
        <v>Deportes</v>
      </c>
      <c r="J4696" s="16" t="s">
        <v>35</v>
      </c>
      <c r="K4696" s="48">
        <v>0.8</v>
      </c>
      <c r="L4696" s="49" t="s">
        <v>32847</v>
      </c>
      <c r="M4696" s="34" t="s">
        <v>32847</v>
      </c>
      <c r="N4696" s="86" t="s">
        <v>33233</v>
      </c>
      <c r="O4696" s="86" t="str">
        <f>IFERROR(__xludf.DUMMYFUNCTION("GOOGLETRANSLATE(N4696,""EN"",""ES"")"),"Sentimiento positivo, celebrando un hito en la implicación de Repsol en el mundo del motor.")</f>
        <v>Sentimiento positivo, celebrando un hito en la implicación de Repsol en el mundo del motor.</v>
      </c>
      <c r="P4696" s="30">
        <v>0.6</v>
      </c>
      <c r="Q4696" s="18" t="str">
        <f>IFERROR(__xludf.DUMMYFUNCTION("GOOGLETRANSLATE(R4696,""ES"",""EN"")"),"Repeated above.")</f>
        <v>Repeated above.</v>
      </c>
      <c r="R4696" s="34" t="s">
        <v>33018</v>
      </c>
      <c r="S4696" s="52" t="s">
        <v>33234</v>
      </c>
      <c r="T4696" s="22" t="s">
        <v>33235</v>
      </c>
    </row>
    <row r="4697">
      <c r="A4697" s="23" t="s">
        <v>33236</v>
      </c>
      <c r="B4697" s="77" t="s">
        <v>674</v>
      </c>
      <c r="C4697" s="96">
        <v>45625.0</v>
      </c>
      <c r="D4697" s="40" t="s">
        <v>33237</v>
      </c>
      <c r="E4697" s="97" t="s">
        <v>33238</v>
      </c>
      <c r="F4697" s="98" t="s">
        <v>33239</v>
      </c>
      <c r="G4697" s="98" t="s">
        <v>33240</v>
      </c>
      <c r="H4697" s="59" t="s">
        <v>2591</v>
      </c>
      <c r="I4697" s="25" t="str">
        <f>IFERROR(__xludf.DUMMYFUNCTION("GOOGLETRANSLATE(H4697,""EN"",""ES"")"),"Negocio")</f>
        <v>Negocio</v>
      </c>
      <c r="J4697" s="26" t="s">
        <v>35</v>
      </c>
      <c r="K4697" s="48">
        <v>0.7</v>
      </c>
      <c r="L4697" s="51" t="s">
        <v>33241</v>
      </c>
      <c r="M4697" s="28" t="s">
        <v>33242</v>
      </c>
      <c r="N4697" s="83" t="s">
        <v>33243</v>
      </c>
      <c r="O4697" s="83" t="str">
        <f>IFERROR(__xludf.DUMMYFUNCTION("GOOGLETRANSLATE(N4697,""EN"",""ES"")"),"Sentimiento positivo, destacando el compromiso de Repsol con soluciones energéticas sostenibles.")</f>
        <v>Sentimiento positivo, destacando el compromiso de Repsol con soluciones energéticas sostenibles.</v>
      </c>
      <c r="P4697" s="30">
        <v>0.7</v>
      </c>
      <c r="Q4697" s="31" t="str">
        <f>IFERROR(__xludf.DUMMYFUNCTION("GOOGLETRANSLATE(R4697,""ES"",""EN"")"),"renewable fuel")</f>
        <v>renewable fuel</v>
      </c>
      <c r="R4697" s="28" t="s">
        <v>10542</v>
      </c>
      <c r="S4697" s="53" t="s">
        <v>10595</v>
      </c>
      <c r="T4697" s="32" t="s">
        <v>10596</v>
      </c>
    </row>
    <row r="4698">
      <c r="A4698" s="33" t="s">
        <v>33244</v>
      </c>
      <c r="B4698" s="76" t="s">
        <v>881</v>
      </c>
      <c r="C4698" s="99">
        <v>45625.0</v>
      </c>
      <c r="D4698" s="40" t="s">
        <v>33245</v>
      </c>
      <c r="E4698" s="100" t="s">
        <v>33246</v>
      </c>
      <c r="F4698" s="101" t="s">
        <v>33247</v>
      </c>
      <c r="G4698" s="101" t="s">
        <v>33248</v>
      </c>
      <c r="H4698" s="61" t="s">
        <v>2591</v>
      </c>
      <c r="I4698" s="15" t="str">
        <f>IFERROR(__xludf.DUMMYFUNCTION("GOOGLETRANSLATE(H4698,""EN"",""ES"")"),"Negocio")</f>
        <v>Negocio</v>
      </c>
      <c r="J4698" s="16" t="s">
        <v>35</v>
      </c>
      <c r="K4698" s="48">
        <v>0.7</v>
      </c>
      <c r="L4698" s="49" t="s">
        <v>33249</v>
      </c>
      <c r="M4698" s="34" t="s">
        <v>33250</v>
      </c>
      <c r="N4698" s="86" t="s">
        <v>33251</v>
      </c>
      <c r="O4698" s="86" t="str">
        <f>IFERROR(__xludf.DUMMYFUNCTION("GOOGLETRANSLATE(N4698,""EN"",""ES"")"),"Sentimiento positivo, que enfatiza la seguridad laboral y el crecimiento profesional en el sector energético.")</f>
        <v>Sentimiento positivo, que enfatiza la seguridad laboral y el crecimiento profesional en el sector energético.</v>
      </c>
      <c r="P4698" s="30">
        <v>0.6</v>
      </c>
      <c r="Q4698" s="18" t="str">
        <f>IFERROR(__xludf.DUMMYFUNCTION("GOOGLETRANSLATE(R4698,""ES"",""EN"")"),"stability, ""professional growth""")</f>
        <v>stability, "professional growth"</v>
      </c>
      <c r="R4698" s="34" t="s">
        <v>33252</v>
      </c>
      <c r="S4698" s="52" t="s">
        <v>33253</v>
      </c>
      <c r="T4698" s="22" t="s">
        <v>33254</v>
      </c>
    </row>
    <row r="4699">
      <c r="A4699" s="23" t="s">
        <v>33255</v>
      </c>
      <c r="B4699" s="77" t="s">
        <v>2696</v>
      </c>
      <c r="C4699" s="96">
        <v>45625.0</v>
      </c>
      <c r="D4699" s="40" t="s">
        <v>33256</v>
      </c>
      <c r="E4699" s="97" t="s">
        <v>33257</v>
      </c>
      <c r="F4699" s="98" t="s">
        <v>33258</v>
      </c>
      <c r="G4699" s="98" t="s">
        <v>33259</v>
      </c>
      <c r="H4699" s="59" t="s">
        <v>2591</v>
      </c>
      <c r="I4699" s="25" t="str">
        <f>IFERROR(__xludf.DUMMYFUNCTION("GOOGLETRANSLATE(H4699,""EN"",""ES"")"),"Negocio")</f>
        <v>Negocio</v>
      </c>
      <c r="J4699" s="26" t="s">
        <v>35</v>
      </c>
      <c r="K4699" s="48">
        <v>0.5</v>
      </c>
      <c r="L4699" s="51" t="s">
        <v>33260</v>
      </c>
      <c r="M4699" s="31" t="s">
        <v>33261</v>
      </c>
      <c r="N4699" s="83" t="s">
        <v>33212</v>
      </c>
      <c r="O4699" s="83" t="str">
        <f>IFERROR(__xludf.DUMMYFUNCTION("GOOGLETRANSLATE(N4699,""EN"",""ES"")"),"Sentimiento neutral, otro informe de la misma transacción.")</f>
        <v>Sentimiento neutral, otro informe de la misma transacción.</v>
      </c>
      <c r="P4699" s="30">
        <v>-0.3</v>
      </c>
      <c r="Q4699" s="31" t="str">
        <f>IFERROR(__xludf.DUMMYFUNCTION("GOOGLETRANSLATE(R4699,""ES"",""EN"")"),"sell assets")</f>
        <v>sell assets</v>
      </c>
      <c r="R4699" s="28" t="s">
        <v>33153</v>
      </c>
      <c r="S4699" s="53" t="s">
        <v>33164</v>
      </c>
      <c r="T4699" s="32" t="s">
        <v>33165</v>
      </c>
    </row>
    <row r="4700">
      <c r="A4700" s="33" t="s">
        <v>33262</v>
      </c>
      <c r="B4700" s="76" t="s">
        <v>85</v>
      </c>
      <c r="C4700" s="99">
        <v>45625.0</v>
      </c>
      <c r="D4700" s="40" t="s">
        <v>33263</v>
      </c>
      <c r="E4700" s="100" t="s">
        <v>33264</v>
      </c>
      <c r="F4700" s="101" t="s">
        <v>33265</v>
      </c>
      <c r="G4700" s="101" t="s">
        <v>33266</v>
      </c>
      <c r="H4700" s="61" t="s">
        <v>2591</v>
      </c>
      <c r="I4700" s="15" t="str">
        <f>IFERROR(__xludf.DUMMYFUNCTION("GOOGLETRANSLATE(H4700,""EN"",""ES"")"),"Negocio")</f>
        <v>Negocio</v>
      </c>
      <c r="J4700" s="16" t="s">
        <v>35</v>
      </c>
      <c r="K4700" s="48">
        <v>0.5</v>
      </c>
      <c r="L4700" s="49" t="s">
        <v>33150</v>
      </c>
      <c r="M4700" s="34" t="s">
        <v>33151</v>
      </c>
      <c r="N4700" s="86" t="s">
        <v>33267</v>
      </c>
      <c r="O4700" s="86" t="str">
        <f>IFERROR(__xludf.DUMMYFUNCTION("GOOGLETRANSLATE(N4700,""EN"",""ES"")"),"Sentimiento neutral, que describe aspectos procesales del trato.")</f>
        <v>Sentimiento neutral, que describe aspectos procesales del trato.</v>
      </c>
      <c r="P4700" s="30">
        <v>0.2</v>
      </c>
      <c r="Q4700" s="18" t="str">
        <f>IFERROR(__xludf.DUMMYFUNCTION("GOOGLETRANSLATE(R4700,""ES"",""EN"")"),"sells, ""millions""")</f>
        <v>sells, "millions"</v>
      </c>
      <c r="R4700" s="34" t="s">
        <v>33268</v>
      </c>
      <c r="S4700" s="52" t="s">
        <v>33269</v>
      </c>
      <c r="T4700" s="22" t="s">
        <v>33270</v>
      </c>
    </row>
    <row r="4701">
      <c r="A4701" s="23" t="s">
        <v>33271</v>
      </c>
      <c r="B4701" s="77" t="s">
        <v>23656</v>
      </c>
      <c r="C4701" s="96">
        <v>45625.0</v>
      </c>
      <c r="D4701" s="40" t="s">
        <v>33272</v>
      </c>
      <c r="E4701" s="97" t="s">
        <v>33273</v>
      </c>
      <c r="F4701" s="98" t="s">
        <v>33274</v>
      </c>
      <c r="G4701" s="98" t="s">
        <v>33275</v>
      </c>
      <c r="H4701" s="59" t="s">
        <v>2591</v>
      </c>
      <c r="I4701" s="25" t="str">
        <f>IFERROR(__xludf.DUMMYFUNCTION("GOOGLETRANSLATE(H4701,""EN"",""ES"")"),"Negocio")</f>
        <v>Negocio</v>
      </c>
      <c r="J4701" s="26" t="s">
        <v>35</v>
      </c>
      <c r="K4701" s="48">
        <v>0.5</v>
      </c>
      <c r="L4701" s="51" t="s">
        <v>33150</v>
      </c>
      <c r="M4701" s="28" t="s">
        <v>33151</v>
      </c>
      <c r="N4701" s="83" t="s">
        <v>33276</v>
      </c>
      <c r="O4701" s="83" t="str">
        <f>IFERROR(__xludf.DUMMYFUNCTION("GOOGLETRANSLATE(N4701,""EN"",""ES"")"),"Sentimiento neutral, noticias idénticas a las entradas anteriores.")</f>
        <v>Sentimiento neutral, noticias idénticas a las entradas anteriores.</v>
      </c>
      <c r="P4701" s="30">
        <v>0.1</v>
      </c>
      <c r="Q4701" s="31" t="str">
        <f>IFERROR(__xludf.DUMMYFUNCTION("GOOGLETRANSLATE(R4701,""ES"",""EN"")"),"agreement, ""sale""")</f>
        <v>agreement, "sale"</v>
      </c>
      <c r="R4701" s="28" t="s">
        <v>33277</v>
      </c>
      <c r="S4701" s="53" t="s">
        <v>33278</v>
      </c>
      <c r="T4701" s="32" t="s">
        <v>33279</v>
      </c>
    </row>
    <row r="4702">
      <c r="A4702" s="33" t="s">
        <v>33280</v>
      </c>
      <c r="B4702" s="76" t="s">
        <v>2175</v>
      </c>
      <c r="C4702" s="99">
        <v>45625.0</v>
      </c>
      <c r="D4702" s="40" t="s">
        <v>33281</v>
      </c>
      <c r="E4702" s="100" t="s">
        <v>33282</v>
      </c>
      <c r="F4702" s="101" t="s">
        <v>33283</v>
      </c>
      <c r="G4702" s="101" t="s">
        <v>33284</v>
      </c>
      <c r="H4702" s="61" t="s">
        <v>2591</v>
      </c>
      <c r="I4702" s="15" t="str">
        <f>IFERROR(__xludf.DUMMYFUNCTION("GOOGLETRANSLATE(H4702,""EN"",""ES"")"),"Negocio")</f>
        <v>Negocio</v>
      </c>
      <c r="J4702" s="16" t="s">
        <v>35</v>
      </c>
      <c r="K4702" s="48">
        <v>0.6</v>
      </c>
      <c r="L4702" s="49" t="s">
        <v>33260</v>
      </c>
      <c r="M4702" s="18" t="s">
        <v>33261</v>
      </c>
      <c r="N4702" s="86" t="s">
        <v>33285</v>
      </c>
      <c r="O4702" s="86" t="str">
        <f>IFERROR(__xludf.DUMMYFUNCTION("GOOGLETRANSLATE(N4702,""EN"",""ES"")"),"Sentimiento positivo, posicionando la venta de activos como parte de un plan estratégico más amplio.")</f>
        <v>Sentimiento positivo, posicionando la venta de activos como parte de un plan estratégico más amplio.</v>
      </c>
      <c r="P4702" s="30">
        <v>0.3</v>
      </c>
      <c r="Q4702" s="18" t="str">
        <f>IFERROR(__xludf.DUMMYFUNCTION("GOOGLETRANSLATE(R4702,""ES"",""EN"")"),"advance, ""revolution"", ""sell""")</f>
        <v>advance, "revolution", "sell"</v>
      </c>
      <c r="R4702" s="34" t="s">
        <v>33286</v>
      </c>
      <c r="S4702" s="52" t="s">
        <v>33287</v>
      </c>
      <c r="T4702" s="22" t="s">
        <v>33288</v>
      </c>
    </row>
    <row r="4703">
      <c r="A4703" s="23" t="s">
        <v>33289</v>
      </c>
      <c r="B4703" s="77" t="s">
        <v>1602</v>
      </c>
      <c r="C4703" s="96">
        <v>45625.0</v>
      </c>
      <c r="D4703" s="40" t="s">
        <v>33290</v>
      </c>
      <c r="E4703" s="97" t="s">
        <v>33291</v>
      </c>
      <c r="F4703" s="98" t="s">
        <v>33292</v>
      </c>
      <c r="G4703" s="98" t="s">
        <v>33293</v>
      </c>
      <c r="H4703" s="59" t="s">
        <v>2591</v>
      </c>
      <c r="I4703" s="25" t="str">
        <f>IFERROR(__xludf.DUMMYFUNCTION("GOOGLETRANSLATE(H4703,""EN"",""ES"")"),"Negocio")</f>
        <v>Negocio</v>
      </c>
      <c r="J4703" s="26" t="s">
        <v>35</v>
      </c>
      <c r="K4703" s="48">
        <v>0.6</v>
      </c>
      <c r="L4703" s="51" t="s">
        <v>33294</v>
      </c>
      <c r="M4703" s="28" t="s">
        <v>33295</v>
      </c>
      <c r="N4703" s="83" t="s">
        <v>33296</v>
      </c>
      <c r="O4703" s="83" t="str">
        <f>IFERROR(__xludf.DUMMYFUNCTION("GOOGLETRANSLATE(N4703,""EN"",""ES"")"),"Sentimiento positivo, ya que la finalización de un programa de recompra sugiere estabilidad financiera.")</f>
        <v>Sentimiento positivo, ya que la finalización de un programa de recompra sugiere estabilidad financiera.</v>
      </c>
      <c r="P4703" s="30">
        <v>0.2</v>
      </c>
      <c r="Q4703" s="31" t="str">
        <f>IFERROR(__xludf.DUMMYFUNCTION("GOOGLETRANSLATE(R4703,""ES"",""EN"")"),"ends, ""acquire""")</f>
        <v>ends, "acquire"</v>
      </c>
      <c r="R4703" s="28" t="s">
        <v>33297</v>
      </c>
      <c r="S4703" s="53" t="s">
        <v>33298</v>
      </c>
      <c r="T4703" s="32" t="s">
        <v>33299</v>
      </c>
    </row>
    <row r="4704">
      <c r="A4704" s="33" t="s">
        <v>33300</v>
      </c>
      <c r="B4704" s="76" t="s">
        <v>1602</v>
      </c>
      <c r="C4704" s="99">
        <v>45625.0</v>
      </c>
      <c r="D4704" s="40" t="s">
        <v>33301</v>
      </c>
      <c r="E4704" s="100" t="s">
        <v>33302</v>
      </c>
      <c r="F4704" s="101" t="s">
        <v>33303</v>
      </c>
      <c r="G4704" s="101" t="s">
        <v>33304</v>
      </c>
      <c r="H4704" s="61" t="s">
        <v>2591</v>
      </c>
      <c r="I4704" s="15" t="str">
        <f>IFERROR(__xludf.DUMMYFUNCTION("GOOGLETRANSLATE(H4704,""EN"",""ES"")"),"Negocio")</f>
        <v>Negocio</v>
      </c>
      <c r="J4704" s="16" t="s">
        <v>35</v>
      </c>
      <c r="K4704" s="48">
        <v>-0.5</v>
      </c>
      <c r="L4704" s="49" t="s">
        <v>33305</v>
      </c>
      <c r="M4704" s="34" t="s">
        <v>33306</v>
      </c>
      <c r="N4704" s="86" t="s">
        <v>33307</v>
      </c>
      <c r="O4704" s="86" t="str">
        <f>IFERROR(__xludf.DUMMYFUNCTION("GOOGLETRANSLATE(N4704,""EN"",""ES"")"),"Sentimiento negativo por la pérdida financiera de 120 millones reportada en la transacción.")</f>
        <v>Sentimiento negativo por la pérdida financiera de 120 millones reportada en la transacción.</v>
      </c>
      <c r="P4704" s="30">
        <v>-0.4</v>
      </c>
      <c r="Q4704" s="18" t="str">
        <f>IFERROR(__xludf.DUMMYFUNCTION("GOOGLETRANSLATE(R4704,""ES"",""EN"")"),"negative impact")</f>
        <v>negative impact</v>
      </c>
      <c r="R4704" s="34" t="s">
        <v>33308</v>
      </c>
      <c r="S4704" s="52" t="s">
        <v>33309</v>
      </c>
      <c r="T4704" s="22" t="s">
        <v>33310</v>
      </c>
    </row>
    <row r="4705">
      <c r="A4705" s="23" t="s">
        <v>33311</v>
      </c>
      <c r="B4705" s="77" t="s">
        <v>33312</v>
      </c>
      <c r="C4705" s="96">
        <v>45625.0</v>
      </c>
      <c r="D4705" s="40" t="s">
        <v>33313</v>
      </c>
      <c r="E4705" s="97" t="s">
        <v>33314</v>
      </c>
      <c r="F4705" s="98" t="s">
        <v>33315</v>
      </c>
      <c r="G4705" s="98" t="s">
        <v>33316</v>
      </c>
      <c r="H4705" s="59" t="s">
        <v>2591</v>
      </c>
      <c r="I4705" s="25" t="str">
        <f>IFERROR(__xludf.DUMMYFUNCTION("GOOGLETRANSLATE(H4705,""EN"",""ES"")"),"Negocio")</f>
        <v>Negocio</v>
      </c>
      <c r="J4705" s="26" t="s">
        <v>35</v>
      </c>
      <c r="K4705" s="48">
        <v>0.5</v>
      </c>
      <c r="L4705" s="51" t="s">
        <v>33150</v>
      </c>
      <c r="M4705" s="28" t="s">
        <v>33151</v>
      </c>
      <c r="N4705" s="83" t="s">
        <v>33317</v>
      </c>
      <c r="O4705" s="83" t="str">
        <f>IFERROR(__xludf.DUMMYFUNCTION("GOOGLETRANSLATE(N4705,""EN"",""ES"")"),"Sentimiento neutral, ya que simplemente informa sobre la transacción.")</f>
        <v>Sentimiento neutral, ya que simplemente informa sobre la transacción.</v>
      </c>
      <c r="P4705" s="30">
        <v>0.0</v>
      </c>
      <c r="Q4705" s="31"/>
      <c r="R4705" s="31"/>
      <c r="S4705" s="53" t="s">
        <v>33318</v>
      </c>
      <c r="T4705" s="32" t="s">
        <v>33319</v>
      </c>
    </row>
    <row r="4706">
      <c r="A4706" s="33" t="s">
        <v>33320</v>
      </c>
      <c r="B4706" s="76" t="s">
        <v>1316</v>
      </c>
      <c r="C4706" s="99">
        <v>45625.0</v>
      </c>
      <c r="D4706" s="40" t="s">
        <v>33321</v>
      </c>
      <c r="E4706" s="100" t="s">
        <v>33322</v>
      </c>
      <c r="F4706" s="101" t="s">
        <v>33323</v>
      </c>
      <c r="G4706" s="101" t="s">
        <v>33324</v>
      </c>
      <c r="H4706" s="61" t="s">
        <v>2591</v>
      </c>
      <c r="I4706" s="15" t="str">
        <f>IFERROR(__xludf.DUMMYFUNCTION("GOOGLETRANSLATE(H4706,""EN"",""ES"")"),"Negocio")</f>
        <v>Negocio</v>
      </c>
      <c r="J4706" s="16" t="s">
        <v>35</v>
      </c>
      <c r="K4706" s="48">
        <v>0.5</v>
      </c>
      <c r="L4706" s="49" t="s">
        <v>33325</v>
      </c>
      <c r="M4706" s="34" t="s">
        <v>33326</v>
      </c>
      <c r="N4706" s="86" t="s">
        <v>33327</v>
      </c>
      <c r="O4706" s="86" t="str">
        <f>IFERROR(__xludf.DUMMYFUNCTION("GOOGLETRANSLATE(N4706,""EN"",""ES"")"),"Sentimiento neutral, ya que se centra en la transacción comercial sin juzgar.")</f>
        <v>Sentimiento neutral, ya que se centra en la transacción comercial sin juzgar.</v>
      </c>
      <c r="P4706" s="30">
        <v>0.0</v>
      </c>
      <c r="Q4706" s="18"/>
      <c r="R4706" s="18"/>
      <c r="S4706" s="52" t="s">
        <v>33328</v>
      </c>
      <c r="T4706" s="22" t="s">
        <v>33329</v>
      </c>
    </row>
    <row r="4707">
      <c r="A4707" s="23" t="s">
        <v>33330</v>
      </c>
      <c r="B4707" s="77" t="s">
        <v>33331</v>
      </c>
      <c r="C4707" s="96">
        <v>45625.0</v>
      </c>
      <c r="D4707" s="40" t="s">
        <v>33332</v>
      </c>
      <c r="E4707" s="97" t="s">
        <v>33333</v>
      </c>
      <c r="F4707" s="98" t="s">
        <v>33334</v>
      </c>
      <c r="G4707" s="98" t="s">
        <v>33335</v>
      </c>
      <c r="H4707" s="59" t="s">
        <v>3985</v>
      </c>
      <c r="I4707" s="25" t="str">
        <f>IFERROR(__xludf.DUMMYFUNCTION("GOOGLETRANSLATE(H4707,""EN"",""ES"")"),"Deportes")</f>
        <v>Deportes</v>
      </c>
      <c r="J4707" s="26" t="s">
        <v>27</v>
      </c>
      <c r="K4707" s="17">
        <v>0.0</v>
      </c>
      <c r="L4707" s="51"/>
      <c r="M4707" s="31"/>
      <c r="N4707" s="83"/>
      <c r="O4707" s="83"/>
      <c r="P4707" s="20">
        <v>0.0</v>
      </c>
      <c r="Q4707" s="31"/>
      <c r="R4707" s="31"/>
      <c r="S4707" s="53"/>
      <c r="T4707" s="32"/>
    </row>
    <row r="4708">
      <c r="A4708" s="33" t="s">
        <v>33336</v>
      </c>
      <c r="B4708" s="76" t="s">
        <v>12133</v>
      </c>
      <c r="C4708" s="99">
        <v>45625.0</v>
      </c>
      <c r="D4708" s="40" t="s">
        <v>33337</v>
      </c>
      <c r="E4708" s="100" t="s">
        <v>33338</v>
      </c>
      <c r="F4708" s="101" t="s">
        <v>33339</v>
      </c>
      <c r="G4708" s="101" t="s">
        <v>33340</v>
      </c>
      <c r="H4708" s="61" t="s">
        <v>2591</v>
      </c>
      <c r="I4708" s="15" t="str">
        <f>IFERROR(__xludf.DUMMYFUNCTION("GOOGLETRANSLATE(H4708,""EN"",""ES"")"),"Negocio")</f>
        <v>Negocio</v>
      </c>
      <c r="J4708" s="16" t="s">
        <v>35</v>
      </c>
      <c r="K4708" s="48">
        <v>-0.5</v>
      </c>
      <c r="L4708" s="49" t="s">
        <v>33150</v>
      </c>
      <c r="M4708" s="34" t="s">
        <v>33151</v>
      </c>
      <c r="N4708" s="86" t="s">
        <v>33341</v>
      </c>
      <c r="O4708" s="86" t="str">
        <f>IFERROR(__xludf.DUMMYFUNCTION("GOOGLETRANSLATE(N4708,""EN"",""ES"")"),"Sentimiento negativo, ya que implica una pérdida o desinversión para Repsol.")</f>
        <v>Sentimiento negativo, ya que implica una pérdida o desinversión para Repsol.</v>
      </c>
      <c r="P4708" s="30">
        <v>0.0</v>
      </c>
      <c r="Q4708" s="18"/>
      <c r="R4708" s="18"/>
      <c r="S4708" s="52" t="s">
        <v>33342</v>
      </c>
      <c r="T4708" s="22" t="s">
        <v>33343</v>
      </c>
    </row>
    <row r="4709">
      <c r="A4709" s="23" t="s">
        <v>33344</v>
      </c>
      <c r="B4709" s="77" t="s">
        <v>881</v>
      </c>
      <c r="C4709" s="96">
        <v>45625.0</v>
      </c>
      <c r="D4709" s="40" t="s">
        <v>33345</v>
      </c>
      <c r="E4709" s="97" t="s">
        <v>33346</v>
      </c>
      <c r="F4709" s="98" t="s">
        <v>33347</v>
      </c>
      <c r="G4709" s="98" t="s">
        <v>33348</v>
      </c>
      <c r="H4709" s="59" t="s">
        <v>2591</v>
      </c>
      <c r="I4709" s="25" t="str">
        <f>IFERROR(__xludf.DUMMYFUNCTION("GOOGLETRANSLATE(H4709,""EN"",""ES"")"),"Negocio")</f>
        <v>Negocio</v>
      </c>
      <c r="J4709" s="26" t="s">
        <v>27</v>
      </c>
      <c r="K4709" s="17">
        <v>0.0</v>
      </c>
      <c r="L4709" s="51"/>
      <c r="M4709" s="31"/>
      <c r="N4709" s="83"/>
      <c r="O4709" s="83"/>
      <c r="P4709" s="20">
        <v>0.0</v>
      </c>
      <c r="Q4709" s="31"/>
      <c r="R4709" s="31"/>
      <c r="S4709" s="53"/>
      <c r="T4709" s="32"/>
    </row>
    <row r="4710">
      <c r="A4710" s="33" t="s">
        <v>33349</v>
      </c>
      <c r="B4710" s="76" t="s">
        <v>33350</v>
      </c>
      <c r="C4710" s="99">
        <v>45625.0</v>
      </c>
      <c r="D4710" s="40" t="s">
        <v>33351</v>
      </c>
      <c r="E4710" s="100" t="s">
        <v>33352</v>
      </c>
      <c r="F4710" s="101" t="s">
        <v>33353</v>
      </c>
      <c r="G4710" s="101" t="s">
        <v>33354</v>
      </c>
      <c r="H4710" s="61" t="s">
        <v>2591</v>
      </c>
      <c r="I4710" s="15" t="str">
        <f>IFERROR(__xludf.DUMMYFUNCTION("GOOGLETRANSLATE(H4710,""EN"",""ES"")"),"Negocio")</f>
        <v>Negocio</v>
      </c>
      <c r="J4710" s="16" t="s">
        <v>35</v>
      </c>
      <c r="K4710" s="48">
        <v>0.5</v>
      </c>
      <c r="L4710" s="49" t="s">
        <v>33150</v>
      </c>
      <c r="M4710" s="34" t="s">
        <v>33151</v>
      </c>
      <c r="N4710" s="86" t="s">
        <v>33355</v>
      </c>
      <c r="O4710" s="86" t="str">
        <f>IFERROR(__xludf.DUMMYFUNCTION("GOOGLETRANSLATE(N4710,""EN"",""ES"")"),"Sentimiento neutral, un informe fáctico sobre un acuerdo financiero.")</f>
        <v>Sentimiento neutral, un informe fáctico sobre un acuerdo financiero.</v>
      </c>
      <c r="P4710" s="30">
        <v>0.0</v>
      </c>
      <c r="Q4710" s="18"/>
      <c r="R4710" s="18"/>
      <c r="S4710" s="52" t="s">
        <v>33356</v>
      </c>
      <c r="T4710" s="22" t="s">
        <v>33357</v>
      </c>
    </row>
    <row r="4711">
      <c r="A4711" s="23" t="s">
        <v>33358</v>
      </c>
      <c r="B4711" s="77" t="s">
        <v>33359</v>
      </c>
      <c r="C4711" s="96">
        <v>45625.0</v>
      </c>
      <c r="D4711" s="40" t="s">
        <v>33360</v>
      </c>
      <c r="E4711" s="97" t="s">
        <v>33361</v>
      </c>
      <c r="F4711" s="98" t="s">
        <v>33362</v>
      </c>
      <c r="G4711" s="98" t="s">
        <v>33363</v>
      </c>
      <c r="H4711" s="59" t="s">
        <v>2591</v>
      </c>
      <c r="I4711" s="25" t="str">
        <f>IFERROR(__xludf.DUMMYFUNCTION("GOOGLETRANSLATE(H4711,""EN"",""ES"")"),"Negocio")</f>
        <v>Negocio</v>
      </c>
      <c r="J4711" s="26" t="s">
        <v>35</v>
      </c>
      <c r="K4711" s="48">
        <v>0.6</v>
      </c>
      <c r="L4711" s="51" t="s">
        <v>33364</v>
      </c>
      <c r="M4711" s="28" t="s">
        <v>33365</v>
      </c>
      <c r="N4711" s="83" t="s">
        <v>33366</v>
      </c>
      <c r="O4711" s="83" t="str">
        <f>IFERROR(__xludf.DUMMYFUNCTION("GOOGLETRANSLATE(N4711,""EN"",""ES"")"),"Sentimiento positivo, ya que sugiere un movimiento estratégico del mercado.")</f>
        <v>Sentimiento positivo, ya que sugiere un movimiento estratégico del mercado.</v>
      </c>
      <c r="P4711" s="30">
        <v>-0.1</v>
      </c>
      <c r="Q4711" s="31" t="str">
        <f>IFERROR(__xludf.DUMMYFUNCTION("GOOGLETRANSLATE(R4711,""ES"",""EN"")"),"shake, ""buy""")</f>
        <v>shake, "buy"</v>
      </c>
      <c r="R4711" s="28" t="s">
        <v>33367</v>
      </c>
      <c r="S4711" s="53" t="s">
        <v>33368</v>
      </c>
      <c r="T4711" s="32" t="s">
        <v>33369</v>
      </c>
    </row>
    <row r="4712">
      <c r="A4712" s="33" t="s">
        <v>33370</v>
      </c>
      <c r="B4712" s="76" t="s">
        <v>33187</v>
      </c>
      <c r="C4712" s="99">
        <v>45626.0</v>
      </c>
      <c r="D4712" s="40" t="s">
        <v>33371</v>
      </c>
      <c r="E4712" s="100" t="s">
        <v>33372</v>
      </c>
      <c r="F4712" s="101" t="s">
        <v>33373</v>
      </c>
      <c r="G4712" s="101" t="s">
        <v>33374</v>
      </c>
      <c r="H4712" s="61" t="s">
        <v>48</v>
      </c>
      <c r="I4712" s="15" t="str">
        <f>IFERROR(__xludf.DUMMYFUNCTION("GOOGLETRANSLATE(H4712,""EN"",""ES"")"),"Finanzas")</f>
        <v>Finanzas</v>
      </c>
      <c r="J4712" s="16" t="s">
        <v>35</v>
      </c>
      <c r="K4712" s="48">
        <v>-0.7</v>
      </c>
      <c r="L4712" s="49" t="s">
        <v>33375</v>
      </c>
      <c r="M4712" s="34" t="s">
        <v>33376</v>
      </c>
      <c r="N4712" s="86" t="s">
        <v>33377</v>
      </c>
      <c r="O4712" s="86" t="str">
        <f>IFERROR(__xludf.DUMMYFUNCTION("GOOGLETRANSLATE(N4712,""EN"",""ES"")"),"Sentimiento negativo, ya que critica la evolución bursátil y la estrategia comercial de Repsol.")</f>
        <v>Sentimiento negativo, ya que critica la evolución bursátil y la estrategia comercial de Repsol.</v>
      </c>
      <c r="P4712" s="30">
        <v>-0.7</v>
      </c>
      <c r="Q4712" s="18" t="str">
        <f>IFERROR(__xludf.DUMMYFUNCTION("GOOGLETRANSLATE(R4712,""ES"",""EN"")"),"party, ""collapse""")</f>
        <v>party, "collapse"</v>
      </c>
      <c r="R4712" s="34" t="s">
        <v>33378</v>
      </c>
      <c r="S4712" s="52" t="s">
        <v>33379</v>
      </c>
      <c r="T4712" s="22" t="s">
        <v>33380</v>
      </c>
    </row>
    <row r="4713">
      <c r="A4713" s="23" t="s">
        <v>33381</v>
      </c>
      <c r="B4713" s="77" t="s">
        <v>8884</v>
      </c>
      <c r="C4713" s="96">
        <v>45626.0</v>
      </c>
      <c r="D4713" s="40" t="s">
        <v>33382</v>
      </c>
      <c r="E4713" s="97" t="s">
        <v>33383</v>
      </c>
      <c r="F4713" s="98" t="s">
        <v>33384</v>
      </c>
      <c r="G4713" s="98" t="s">
        <v>33385</v>
      </c>
      <c r="H4713" s="59" t="s">
        <v>2591</v>
      </c>
      <c r="I4713" s="25" t="str">
        <f>IFERROR(__xludf.DUMMYFUNCTION("GOOGLETRANSLATE(H4713,""EN"",""ES"")"),"Negocio")</f>
        <v>Negocio</v>
      </c>
      <c r="J4713" s="26" t="s">
        <v>35</v>
      </c>
      <c r="K4713" s="48">
        <v>-0.5</v>
      </c>
      <c r="L4713" s="51" t="s">
        <v>33386</v>
      </c>
      <c r="M4713" s="28" t="s">
        <v>33387</v>
      </c>
      <c r="N4713" s="83" t="s">
        <v>33388</v>
      </c>
      <c r="O4713" s="83" t="str">
        <f>IFERROR(__xludf.DUMMYFUNCTION("GOOGLETRANSLATE(N4713,""EN"",""ES"")"),"Sentimiento negativo, ya que enmarca la desinversión como un movimiento forzado.")</f>
        <v>Sentimiento negativo, ya que enmarca la desinversión como un movimiento forzado.</v>
      </c>
      <c r="P4713" s="30">
        <v>-0.3</v>
      </c>
      <c r="Q4713" s="31" t="str">
        <f>IFERROR(__xludf.DUMMYFUNCTION("GOOGLETRANSLATE(R4713,""ES"",""EN"")"),"escape")</f>
        <v>escape</v>
      </c>
      <c r="R4713" s="28" t="s">
        <v>33389</v>
      </c>
      <c r="S4713" s="53" t="s">
        <v>33390</v>
      </c>
      <c r="T4713" s="32" t="s">
        <v>33391</v>
      </c>
    </row>
    <row r="4714">
      <c r="A4714" s="33" t="s">
        <v>33392</v>
      </c>
      <c r="B4714" s="76" t="s">
        <v>33393</v>
      </c>
      <c r="C4714" s="99">
        <v>45626.0</v>
      </c>
      <c r="D4714" s="40" t="s">
        <v>33394</v>
      </c>
      <c r="E4714" s="100" t="s">
        <v>33395</v>
      </c>
      <c r="F4714" s="101" t="s">
        <v>33396</v>
      </c>
      <c r="G4714" s="101" t="s">
        <v>33397</v>
      </c>
      <c r="H4714" s="61" t="s">
        <v>395</v>
      </c>
      <c r="I4714" s="15" t="str">
        <f>IFERROR(__xludf.DUMMYFUNCTION("GOOGLETRANSLATE(H4714,""EN"",""ES"")"),"Ambiente")</f>
        <v>Ambiente</v>
      </c>
      <c r="J4714" s="16" t="s">
        <v>27</v>
      </c>
      <c r="K4714" s="17">
        <v>0.0</v>
      </c>
      <c r="L4714" s="49"/>
      <c r="M4714" s="18"/>
      <c r="N4714" s="86"/>
      <c r="O4714" s="86"/>
      <c r="P4714" s="20">
        <v>0.0</v>
      </c>
      <c r="Q4714" s="18"/>
      <c r="R4714" s="18"/>
      <c r="S4714" s="52"/>
      <c r="T4714" s="22"/>
    </row>
    <row r="4715">
      <c r="A4715" s="23" t="s">
        <v>33398</v>
      </c>
      <c r="B4715" s="77" t="s">
        <v>3511</v>
      </c>
      <c r="C4715" s="96">
        <v>45626.0</v>
      </c>
      <c r="D4715" s="40" t="s">
        <v>33399</v>
      </c>
      <c r="E4715" s="97" t="s">
        <v>33400</v>
      </c>
      <c r="F4715" s="98" t="s">
        <v>33401</v>
      </c>
      <c r="G4715" s="98" t="s">
        <v>33402</v>
      </c>
      <c r="H4715" s="59" t="s">
        <v>395</v>
      </c>
      <c r="I4715" s="25" t="str">
        <f>IFERROR(__xludf.DUMMYFUNCTION("GOOGLETRANSLATE(H4715,""EN"",""ES"")"),"Ambiente")</f>
        <v>Ambiente</v>
      </c>
      <c r="J4715" s="26" t="s">
        <v>27</v>
      </c>
      <c r="K4715" s="17">
        <v>0.0</v>
      </c>
      <c r="L4715" s="51"/>
      <c r="M4715" s="31"/>
      <c r="N4715" s="83"/>
      <c r="O4715" s="83"/>
      <c r="P4715" s="20">
        <v>0.0</v>
      </c>
      <c r="Q4715" s="31"/>
      <c r="R4715" s="31"/>
      <c r="S4715" s="53"/>
      <c r="T4715" s="32"/>
    </row>
    <row r="4716">
      <c r="A4716" s="33" t="s">
        <v>33403</v>
      </c>
      <c r="B4716" s="76" t="s">
        <v>85</v>
      </c>
      <c r="C4716" s="99">
        <v>45626.0</v>
      </c>
      <c r="D4716" s="40" t="s">
        <v>33404</v>
      </c>
      <c r="E4716" s="100" t="s">
        <v>33405</v>
      </c>
      <c r="F4716" s="101" t="s">
        <v>33406</v>
      </c>
      <c r="G4716" s="101" t="s">
        <v>33407</v>
      </c>
      <c r="H4716" s="61" t="s">
        <v>782</v>
      </c>
      <c r="I4716" s="15" t="str">
        <f>IFERROR(__xludf.DUMMYFUNCTION("GOOGLETRANSLATE(H4716,""EN"",""ES"")"),"Tecnología")</f>
        <v>Tecnología</v>
      </c>
      <c r="J4716" s="16" t="s">
        <v>35</v>
      </c>
      <c r="K4716" s="48">
        <v>0.7</v>
      </c>
      <c r="L4716" s="49" t="s">
        <v>33408</v>
      </c>
      <c r="M4716" s="34" t="s">
        <v>33409</v>
      </c>
      <c r="N4716" s="86" t="s">
        <v>33410</v>
      </c>
      <c r="O4716" s="86" t="str">
        <f>IFERROR(__xludf.DUMMYFUNCTION("GOOGLETRANSLATE(N4716,""EN"",""ES"")"),"Sentimiento positivo, que posiciona a Repsol como un actor clave en movilidad eléctrica.")</f>
        <v>Sentimiento positivo, que posiciona a Repsol como un actor clave en movilidad eléctrica.</v>
      </c>
      <c r="P4716" s="30">
        <v>0.1</v>
      </c>
      <c r="Q4716" s="18" t="str">
        <f>IFERROR(__xludf.DUMMYFUNCTION("GOOGLETRANSLATE(R4716,""ES"",""EN"")"),"None")</f>
        <v>None</v>
      </c>
      <c r="R4716" s="34" t="s">
        <v>14309</v>
      </c>
      <c r="S4716" s="52" t="s">
        <v>33411</v>
      </c>
      <c r="T4716" s="22" t="s">
        <v>33412</v>
      </c>
    </row>
    <row r="4717">
      <c r="A4717" s="23" t="s">
        <v>33413</v>
      </c>
      <c r="B4717" s="77" t="s">
        <v>674</v>
      </c>
      <c r="C4717" s="96">
        <v>45626.0</v>
      </c>
      <c r="D4717" s="40" t="s">
        <v>33414</v>
      </c>
      <c r="E4717" s="97" t="s">
        <v>33415</v>
      </c>
      <c r="F4717" s="98" t="s">
        <v>33416</v>
      </c>
      <c r="G4717" s="98" t="s">
        <v>33417</v>
      </c>
      <c r="H4717" s="59" t="s">
        <v>2591</v>
      </c>
      <c r="I4717" s="25" t="str">
        <f>IFERROR(__xludf.DUMMYFUNCTION("GOOGLETRANSLATE(H4717,""EN"",""ES"")"),"Negocio")</f>
        <v>Negocio</v>
      </c>
      <c r="J4717" s="26" t="s">
        <v>27</v>
      </c>
      <c r="K4717" s="17">
        <v>0.0</v>
      </c>
      <c r="L4717" s="51"/>
      <c r="M4717" s="31"/>
      <c r="N4717" s="83"/>
      <c r="O4717" s="83"/>
      <c r="P4717" s="20">
        <v>0.0</v>
      </c>
      <c r="Q4717" s="31"/>
      <c r="R4717" s="31"/>
      <c r="S4717" s="53"/>
      <c r="T4717" s="32"/>
    </row>
    <row r="4718">
      <c r="A4718" s="33" t="s">
        <v>33418</v>
      </c>
      <c r="B4718" s="76" t="s">
        <v>403</v>
      </c>
      <c r="C4718" s="99">
        <v>45626.0</v>
      </c>
      <c r="D4718" s="40" t="s">
        <v>33419</v>
      </c>
      <c r="E4718" s="100" t="s">
        <v>33420</v>
      </c>
      <c r="F4718" s="101" t="s">
        <v>33421</v>
      </c>
      <c r="G4718" s="101" t="s">
        <v>33422</v>
      </c>
      <c r="H4718" s="61" t="s">
        <v>2591</v>
      </c>
      <c r="I4718" s="15" t="str">
        <f>IFERROR(__xludf.DUMMYFUNCTION("GOOGLETRANSLATE(H4718,""EN"",""ES"")"),"Negocio")</f>
        <v>Negocio</v>
      </c>
      <c r="J4718" s="16" t="s">
        <v>27</v>
      </c>
      <c r="K4718" s="17">
        <v>0.0</v>
      </c>
      <c r="L4718" s="49"/>
      <c r="M4718" s="18"/>
      <c r="N4718" s="86"/>
      <c r="O4718" s="86"/>
      <c r="P4718" s="20">
        <v>0.0</v>
      </c>
      <c r="Q4718" s="18"/>
      <c r="R4718" s="18"/>
      <c r="S4718" s="52"/>
      <c r="T4718" s="22"/>
    </row>
    <row r="4719">
      <c r="A4719" s="23" t="s">
        <v>33423</v>
      </c>
      <c r="B4719" s="77" t="s">
        <v>217</v>
      </c>
      <c r="C4719" s="96">
        <v>45626.0</v>
      </c>
      <c r="D4719" s="40" t="s">
        <v>33424</v>
      </c>
      <c r="E4719" s="97" t="s">
        <v>33425</v>
      </c>
      <c r="F4719" s="98" t="s">
        <v>33426</v>
      </c>
      <c r="G4719" s="98" t="s">
        <v>33427</v>
      </c>
      <c r="H4719" s="59" t="s">
        <v>48</v>
      </c>
      <c r="I4719" s="25" t="str">
        <f>IFERROR(__xludf.DUMMYFUNCTION("GOOGLETRANSLATE(H4719,""EN"",""ES"")"),"Finanzas")</f>
        <v>Finanzas</v>
      </c>
      <c r="J4719" s="26" t="s">
        <v>27</v>
      </c>
      <c r="K4719" s="17">
        <v>0.0</v>
      </c>
      <c r="L4719" s="51"/>
      <c r="M4719" s="31"/>
      <c r="N4719" s="83"/>
      <c r="O4719" s="83"/>
      <c r="P4719" s="20">
        <v>0.0</v>
      </c>
      <c r="Q4719" s="31"/>
      <c r="R4719" s="31"/>
      <c r="S4719" s="53"/>
      <c r="T4719" s="32"/>
    </row>
    <row r="4720">
      <c r="A4720" s="33" t="s">
        <v>33428</v>
      </c>
      <c r="B4720" s="76" t="s">
        <v>33429</v>
      </c>
      <c r="C4720" s="99">
        <v>45626.0</v>
      </c>
      <c r="D4720" s="40" t="s">
        <v>33430</v>
      </c>
      <c r="E4720" s="100" t="s">
        <v>33431</v>
      </c>
      <c r="F4720" s="101" t="s">
        <v>33432</v>
      </c>
      <c r="G4720" s="101" t="s">
        <v>33433</v>
      </c>
      <c r="H4720" s="61" t="s">
        <v>3985</v>
      </c>
      <c r="I4720" s="15" t="str">
        <f>IFERROR(__xludf.DUMMYFUNCTION("GOOGLETRANSLATE(H4720,""EN"",""ES"")"),"Deportes")</f>
        <v>Deportes</v>
      </c>
      <c r="J4720" s="16" t="s">
        <v>27</v>
      </c>
      <c r="K4720" s="17">
        <v>0.0</v>
      </c>
      <c r="L4720" s="49"/>
      <c r="M4720" s="18"/>
      <c r="N4720" s="86"/>
      <c r="O4720" s="86"/>
      <c r="P4720" s="20">
        <v>0.0</v>
      </c>
      <c r="Q4720" s="18"/>
      <c r="R4720" s="18"/>
      <c r="S4720" s="52"/>
      <c r="T4720" s="22"/>
    </row>
    <row r="4721">
      <c r="A4721" s="23" t="s">
        <v>33434</v>
      </c>
      <c r="B4721" s="77" t="s">
        <v>103</v>
      </c>
      <c r="C4721" s="96">
        <v>45626.0</v>
      </c>
      <c r="D4721" s="40" t="s">
        <v>33435</v>
      </c>
      <c r="E4721" s="97" t="s">
        <v>33436</v>
      </c>
      <c r="F4721" s="105" t="s">
        <v>33437</v>
      </c>
      <c r="G4721" s="105" t="s">
        <v>33438</v>
      </c>
      <c r="H4721" s="59" t="s">
        <v>395</v>
      </c>
      <c r="I4721" s="25" t="str">
        <f>IFERROR(__xludf.DUMMYFUNCTION("GOOGLETRANSLATE(H4721,""EN"",""ES"")"),"Ambiente")</f>
        <v>Ambiente</v>
      </c>
      <c r="J4721" s="26" t="s">
        <v>27</v>
      </c>
      <c r="K4721" s="17">
        <v>0.0</v>
      </c>
      <c r="L4721" s="51"/>
      <c r="M4721" s="31"/>
      <c r="N4721" s="83"/>
      <c r="O4721" s="83"/>
      <c r="P4721" s="20">
        <v>0.0</v>
      </c>
      <c r="Q4721" s="31"/>
      <c r="R4721" s="31"/>
      <c r="S4721" s="53"/>
      <c r="T4721" s="32"/>
    </row>
    <row r="4722">
      <c r="A4722" s="33" t="s">
        <v>33439</v>
      </c>
      <c r="B4722" s="76" t="s">
        <v>558</v>
      </c>
      <c r="C4722" s="99">
        <v>45627.0</v>
      </c>
      <c r="D4722" s="40" t="s">
        <v>33371</v>
      </c>
      <c r="E4722" s="100" t="s">
        <v>33440</v>
      </c>
      <c r="F4722" s="101" t="s">
        <v>33373</v>
      </c>
      <c r="G4722" s="101" t="s">
        <v>33441</v>
      </c>
      <c r="H4722" s="61" t="s">
        <v>48</v>
      </c>
      <c r="I4722" s="15" t="str">
        <f>IFERROR(__xludf.DUMMYFUNCTION("GOOGLETRANSLATE(H4722,""EN"",""ES"")"),"Finanzas")</f>
        <v>Finanzas</v>
      </c>
      <c r="J4722" s="16" t="s">
        <v>35</v>
      </c>
      <c r="K4722" s="48">
        <v>-0.7</v>
      </c>
      <c r="L4722" s="49" t="s">
        <v>33375</v>
      </c>
      <c r="M4722" s="34" t="s">
        <v>33376</v>
      </c>
      <c r="N4722" s="86" t="s">
        <v>33442</v>
      </c>
      <c r="O4722" s="86" t="str">
        <f>IFERROR(__xludf.DUMMYFUNCTION("GOOGLETRANSLATE(N4722,""EN"",""ES"")"),"Sentimiento negativo, criticando la evolución de la acción de Repsol.")</f>
        <v>Sentimiento negativo, criticando la evolución de la acción de Repsol.</v>
      </c>
      <c r="P4722" s="30">
        <v>-0.7</v>
      </c>
      <c r="Q4722" s="18" t="str">
        <f>IFERROR(__xludf.DUMMYFUNCTION("GOOGLETRANSLATE(R4722,""ES"",""EN"")"),"collapse")</f>
        <v>collapse</v>
      </c>
      <c r="R4722" s="34" t="s">
        <v>33443</v>
      </c>
      <c r="S4722" s="52" t="s">
        <v>33444</v>
      </c>
      <c r="T4722" s="22" t="s">
        <v>33445</v>
      </c>
    </row>
    <row r="4723">
      <c r="A4723" s="23" t="s">
        <v>33446</v>
      </c>
      <c r="B4723" s="77" t="s">
        <v>15061</v>
      </c>
      <c r="C4723" s="96">
        <v>45627.0</v>
      </c>
      <c r="D4723" s="40" t="s">
        <v>33447</v>
      </c>
      <c r="E4723" s="97" t="s">
        <v>33448</v>
      </c>
      <c r="F4723" s="98" t="s">
        <v>33449</v>
      </c>
      <c r="G4723" s="98" t="s">
        <v>33450</v>
      </c>
      <c r="H4723" s="59" t="s">
        <v>148</v>
      </c>
      <c r="I4723" s="25" t="str">
        <f>IFERROR(__xludf.DUMMYFUNCTION("GOOGLETRANSLATE(H4723,""EN"",""ES"")"),"Gastronomía")</f>
        <v>Gastronomía</v>
      </c>
      <c r="J4723" s="26" t="s">
        <v>27</v>
      </c>
      <c r="K4723" s="17">
        <v>0.0</v>
      </c>
      <c r="L4723" s="51"/>
      <c r="M4723" s="31"/>
      <c r="N4723" s="83"/>
      <c r="O4723" s="83"/>
      <c r="P4723" s="20">
        <v>0.0</v>
      </c>
      <c r="Q4723" s="31"/>
      <c r="R4723" s="31"/>
      <c r="S4723" s="53"/>
      <c r="T4723" s="32"/>
    </row>
    <row r="4724">
      <c r="A4724" s="33" t="s">
        <v>33451</v>
      </c>
      <c r="B4724" s="76" t="s">
        <v>33452</v>
      </c>
      <c r="C4724" s="99">
        <v>45627.0</v>
      </c>
      <c r="D4724" s="40" t="s">
        <v>33453</v>
      </c>
      <c r="E4724" s="100" t="s">
        <v>33454</v>
      </c>
      <c r="F4724" s="101" t="s">
        <v>33455</v>
      </c>
      <c r="G4724" s="101" t="s">
        <v>33456</v>
      </c>
      <c r="H4724" s="61" t="s">
        <v>148</v>
      </c>
      <c r="I4724" s="15" t="str">
        <f>IFERROR(__xludf.DUMMYFUNCTION("GOOGLETRANSLATE(H4724,""EN"",""ES"")"),"Gastronomía")</f>
        <v>Gastronomía</v>
      </c>
      <c r="J4724" s="16" t="s">
        <v>27</v>
      </c>
      <c r="K4724" s="17">
        <v>0.0</v>
      </c>
      <c r="L4724" s="49"/>
      <c r="M4724" s="18"/>
      <c r="N4724" s="86"/>
      <c r="O4724" s="86"/>
      <c r="P4724" s="20">
        <v>0.0</v>
      </c>
      <c r="Q4724" s="18"/>
      <c r="R4724" s="18"/>
      <c r="S4724" s="52"/>
      <c r="T4724" s="22"/>
    </row>
    <row r="4725">
      <c r="A4725" s="23" t="s">
        <v>33457</v>
      </c>
      <c r="B4725" s="77" t="s">
        <v>3189</v>
      </c>
      <c r="C4725" s="96">
        <v>45627.0</v>
      </c>
      <c r="D4725" s="40" t="s">
        <v>33458</v>
      </c>
      <c r="E4725" s="97" t="s">
        <v>33459</v>
      </c>
      <c r="F4725" s="98" t="s">
        <v>33458</v>
      </c>
      <c r="G4725" s="98" t="s">
        <v>33460</v>
      </c>
      <c r="H4725" s="59" t="s">
        <v>3985</v>
      </c>
      <c r="I4725" s="25" t="str">
        <f>IFERROR(__xludf.DUMMYFUNCTION("GOOGLETRANSLATE(H4725,""EN"",""ES"")"),"Deportes")</f>
        <v>Deportes</v>
      </c>
      <c r="J4725" s="26" t="s">
        <v>27</v>
      </c>
      <c r="K4725" s="17">
        <v>0.0</v>
      </c>
      <c r="L4725" s="51"/>
      <c r="M4725" s="31"/>
      <c r="N4725" s="83"/>
      <c r="O4725" s="83"/>
      <c r="P4725" s="20">
        <v>0.0</v>
      </c>
      <c r="Q4725" s="31"/>
      <c r="R4725" s="31"/>
      <c r="S4725" s="53"/>
      <c r="T4725" s="32"/>
    </row>
    <row r="4726">
      <c r="A4726" s="33" t="s">
        <v>33461</v>
      </c>
      <c r="B4726" s="76" t="s">
        <v>1081</v>
      </c>
      <c r="C4726" s="99">
        <v>45627.0</v>
      </c>
      <c r="D4726" s="40" t="s">
        <v>33462</v>
      </c>
      <c r="E4726" s="100" t="s">
        <v>33463</v>
      </c>
      <c r="F4726" s="101" t="s">
        <v>33464</v>
      </c>
      <c r="G4726" s="101" t="s">
        <v>33465</v>
      </c>
      <c r="H4726" s="61" t="s">
        <v>2591</v>
      </c>
      <c r="I4726" s="15" t="str">
        <f>IFERROR(__xludf.DUMMYFUNCTION("GOOGLETRANSLATE(H4726,""EN"",""ES"")"),"Negocio")</f>
        <v>Negocio</v>
      </c>
      <c r="J4726" s="16" t="s">
        <v>27</v>
      </c>
      <c r="K4726" s="17">
        <v>0.0</v>
      </c>
      <c r="L4726" s="49"/>
      <c r="M4726" s="18"/>
      <c r="N4726" s="86"/>
      <c r="O4726" s="86"/>
      <c r="P4726" s="20">
        <v>0.0</v>
      </c>
      <c r="Q4726" s="18"/>
      <c r="R4726" s="18"/>
      <c r="S4726" s="52"/>
      <c r="T4726" s="22"/>
    </row>
    <row r="4727">
      <c r="A4727" s="23" t="s">
        <v>33466</v>
      </c>
      <c r="B4727" s="77" t="s">
        <v>9516</v>
      </c>
      <c r="C4727" s="96">
        <v>45627.0</v>
      </c>
      <c r="D4727" s="40" t="s">
        <v>33467</v>
      </c>
      <c r="E4727" s="97" t="s">
        <v>33468</v>
      </c>
      <c r="F4727" s="98" t="s">
        <v>33469</v>
      </c>
      <c r="G4727" s="98" t="s">
        <v>33470</v>
      </c>
      <c r="H4727" s="59" t="s">
        <v>148</v>
      </c>
      <c r="I4727" s="25" t="str">
        <f>IFERROR(__xludf.DUMMYFUNCTION("GOOGLETRANSLATE(H4727,""EN"",""ES"")"),"Gastronomía")</f>
        <v>Gastronomía</v>
      </c>
      <c r="J4727" s="26" t="s">
        <v>27</v>
      </c>
      <c r="K4727" s="17">
        <v>0.0</v>
      </c>
      <c r="L4727" s="51"/>
      <c r="M4727" s="31"/>
      <c r="N4727" s="83"/>
      <c r="O4727" s="83"/>
      <c r="P4727" s="20">
        <v>0.0</v>
      </c>
      <c r="Q4727" s="31"/>
      <c r="R4727" s="31"/>
      <c r="S4727" s="53"/>
      <c r="T4727" s="32"/>
    </row>
    <row r="4728">
      <c r="A4728" s="33" t="s">
        <v>33471</v>
      </c>
      <c r="B4728" s="76" t="s">
        <v>2384</v>
      </c>
      <c r="C4728" s="99">
        <v>45627.0</v>
      </c>
      <c r="D4728" s="40" t="s">
        <v>33472</v>
      </c>
      <c r="E4728" s="100" t="s">
        <v>33473</v>
      </c>
      <c r="F4728" s="101" t="s">
        <v>33474</v>
      </c>
      <c r="G4728" s="101" t="s">
        <v>33475</v>
      </c>
      <c r="H4728" s="61" t="s">
        <v>2591</v>
      </c>
      <c r="I4728" s="15" t="str">
        <f>IFERROR(__xludf.DUMMYFUNCTION("GOOGLETRANSLATE(H4728,""EN"",""ES"")"),"Negocio")</f>
        <v>Negocio</v>
      </c>
      <c r="J4728" s="16" t="s">
        <v>27</v>
      </c>
      <c r="K4728" s="17">
        <v>0.0</v>
      </c>
      <c r="L4728" s="49"/>
      <c r="M4728" s="18"/>
      <c r="N4728" s="86"/>
      <c r="O4728" s="86"/>
      <c r="P4728" s="20">
        <v>0.0</v>
      </c>
      <c r="Q4728" s="18"/>
      <c r="R4728" s="18"/>
      <c r="S4728" s="52"/>
      <c r="T4728" s="22"/>
    </row>
    <row r="4729">
      <c r="A4729" s="23" t="s">
        <v>33476</v>
      </c>
      <c r="B4729" s="77" t="s">
        <v>33477</v>
      </c>
      <c r="C4729" s="96">
        <v>45627.0</v>
      </c>
      <c r="D4729" s="40" t="s">
        <v>33478</v>
      </c>
      <c r="E4729" s="97" t="s">
        <v>33479</v>
      </c>
      <c r="F4729" s="98" t="s">
        <v>33480</v>
      </c>
      <c r="G4729" s="98" t="s">
        <v>33481</v>
      </c>
      <c r="H4729" s="59" t="s">
        <v>8166</v>
      </c>
      <c r="I4729" s="25" t="str">
        <f>IFERROR(__xludf.DUMMYFUNCTION("GOOGLETRANSLATE(H4729,""EN"",""ES"")"),"Economía")</f>
        <v>Economía</v>
      </c>
      <c r="J4729" s="26" t="s">
        <v>27</v>
      </c>
      <c r="K4729" s="17">
        <v>0.0</v>
      </c>
      <c r="L4729" s="51"/>
      <c r="M4729" s="31"/>
      <c r="N4729" s="83"/>
      <c r="O4729" s="83"/>
      <c r="P4729" s="20">
        <v>0.0</v>
      </c>
      <c r="Q4729" s="31"/>
      <c r="R4729" s="31"/>
      <c r="S4729" s="53"/>
      <c r="T4729" s="32"/>
    </row>
    <row r="4730">
      <c r="A4730" s="33" t="s">
        <v>33482</v>
      </c>
      <c r="B4730" s="76" t="s">
        <v>4167</v>
      </c>
      <c r="C4730" s="99">
        <v>45628.0</v>
      </c>
      <c r="D4730" s="40" t="s">
        <v>33483</v>
      </c>
      <c r="E4730" s="100" t="s">
        <v>33484</v>
      </c>
      <c r="F4730" s="101" t="s">
        <v>33485</v>
      </c>
      <c r="G4730" s="101" t="s">
        <v>33486</v>
      </c>
      <c r="H4730" s="61" t="s">
        <v>2591</v>
      </c>
      <c r="I4730" s="15" t="str">
        <f>IFERROR(__xludf.DUMMYFUNCTION("GOOGLETRANSLATE(H4730,""EN"",""ES"")"),"Negocio")</f>
        <v>Negocio</v>
      </c>
      <c r="J4730" s="16" t="s">
        <v>27</v>
      </c>
      <c r="K4730" s="17">
        <v>0.0</v>
      </c>
      <c r="L4730" s="49"/>
      <c r="M4730" s="18"/>
      <c r="N4730" s="86"/>
      <c r="O4730" s="86"/>
      <c r="P4730" s="20">
        <v>0.0</v>
      </c>
      <c r="Q4730" s="18"/>
      <c r="R4730" s="18"/>
      <c r="S4730" s="52"/>
      <c r="T4730" s="22"/>
    </row>
    <row r="4731">
      <c r="A4731" s="23" t="s">
        <v>33487</v>
      </c>
      <c r="B4731" s="77" t="s">
        <v>8066</v>
      </c>
      <c r="C4731" s="96">
        <v>45628.0</v>
      </c>
      <c r="D4731" s="40" t="s">
        <v>33488</v>
      </c>
      <c r="E4731" s="97" t="s">
        <v>33489</v>
      </c>
      <c r="F4731" s="98" t="s">
        <v>33490</v>
      </c>
      <c r="G4731" s="98" t="s">
        <v>33491</v>
      </c>
      <c r="H4731" s="59" t="s">
        <v>33492</v>
      </c>
      <c r="I4731" s="25" t="str">
        <f>IFERROR(__xludf.DUMMYFUNCTION("GOOGLETRANSLATE(H4731,""EN"",""ES"")"),"Comida y viajes")</f>
        <v>Comida y viajes</v>
      </c>
      <c r="J4731" s="26" t="s">
        <v>27</v>
      </c>
      <c r="K4731" s="17">
        <v>0.0</v>
      </c>
      <c r="L4731" s="51"/>
      <c r="M4731" s="31"/>
      <c r="N4731" s="83"/>
      <c r="O4731" s="83"/>
      <c r="P4731" s="20">
        <v>0.0</v>
      </c>
      <c r="Q4731" s="31"/>
      <c r="R4731" s="31"/>
      <c r="S4731" s="53"/>
      <c r="T4731" s="32"/>
    </row>
    <row r="4732">
      <c r="A4732" s="33" t="s">
        <v>33493</v>
      </c>
      <c r="B4732" s="76" t="s">
        <v>8884</v>
      </c>
      <c r="C4732" s="99">
        <v>45628.0</v>
      </c>
      <c r="D4732" s="40" t="s">
        <v>33494</v>
      </c>
      <c r="E4732" s="100" t="s">
        <v>33495</v>
      </c>
      <c r="F4732" s="101" t="s">
        <v>33496</v>
      </c>
      <c r="G4732" s="101" t="s">
        <v>33497</v>
      </c>
      <c r="H4732" s="61" t="s">
        <v>2591</v>
      </c>
      <c r="I4732" s="15" t="str">
        <f>IFERROR(__xludf.DUMMYFUNCTION("GOOGLETRANSLATE(H4732,""EN"",""ES"")"),"Negocio")</f>
        <v>Negocio</v>
      </c>
      <c r="J4732" s="16" t="s">
        <v>35</v>
      </c>
      <c r="K4732" s="48">
        <v>-0.6</v>
      </c>
      <c r="L4732" s="49" t="s">
        <v>33498</v>
      </c>
      <c r="M4732" s="34" t="s">
        <v>33499</v>
      </c>
      <c r="N4732" s="86" t="s">
        <v>33500</v>
      </c>
      <c r="O4732" s="86" t="str">
        <f>IFERROR(__xludf.DUMMYFUNCTION("GOOGLETRANSLATE(N4732,""EN"",""ES"")"),"Sentimiento negativo, ya que implica la salida de Repsol de Colombia.")</f>
        <v>Sentimiento negativo, ya que implica la salida de Repsol de Colombia.</v>
      </c>
      <c r="P4732" s="30">
        <v>-0.5</v>
      </c>
      <c r="Q4732" s="18" t="str">
        <f>IFERROR(__xludf.DUMMYFUNCTION("GOOGLETRANSLATE(R4732,""ES"",""EN"")"),"he doesn't like it")</f>
        <v>he doesn't like it</v>
      </c>
      <c r="R4732" s="34" t="s">
        <v>33501</v>
      </c>
      <c r="S4732" s="52" t="s">
        <v>33502</v>
      </c>
      <c r="T4732" s="22" t="s">
        <v>33503</v>
      </c>
    </row>
    <row r="4733">
      <c r="A4733" s="23" t="s">
        <v>33504</v>
      </c>
      <c r="B4733" s="77" t="s">
        <v>103</v>
      </c>
      <c r="C4733" s="96">
        <v>45628.0</v>
      </c>
      <c r="D4733" s="40" t="s">
        <v>33505</v>
      </c>
      <c r="E4733" s="97" t="s">
        <v>33506</v>
      </c>
      <c r="F4733" s="98" t="s">
        <v>33507</v>
      </c>
      <c r="G4733" s="98" t="s">
        <v>33508</v>
      </c>
      <c r="H4733" s="59" t="s">
        <v>2591</v>
      </c>
      <c r="I4733" s="25" t="str">
        <f>IFERROR(__xludf.DUMMYFUNCTION("GOOGLETRANSLATE(H4733,""EN"",""ES"")"),"Negocio")</f>
        <v>Negocio</v>
      </c>
      <c r="J4733" s="26" t="s">
        <v>27</v>
      </c>
      <c r="K4733" s="17">
        <v>0.0</v>
      </c>
      <c r="L4733" s="51"/>
      <c r="M4733" s="31"/>
      <c r="N4733" s="83"/>
      <c r="O4733" s="83"/>
      <c r="P4733" s="20">
        <v>0.0</v>
      </c>
      <c r="Q4733" s="31"/>
      <c r="R4733" s="31"/>
      <c r="S4733" s="53"/>
      <c r="T4733" s="32"/>
    </row>
    <row r="4734">
      <c r="A4734" s="33" t="s">
        <v>33509</v>
      </c>
      <c r="B4734" s="76" t="s">
        <v>23656</v>
      </c>
      <c r="C4734" s="99">
        <v>45628.0</v>
      </c>
      <c r="D4734" s="40" t="s">
        <v>33510</v>
      </c>
      <c r="E4734" s="100" t="s">
        <v>33511</v>
      </c>
      <c r="F4734" s="101" t="s">
        <v>33512</v>
      </c>
      <c r="G4734" s="101" t="s">
        <v>33513</v>
      </c>
      <c r="H4734" s="61" t="s">
        <v>2591</v>
      </c>
      <c r="I4734" s="15" t="str">
        <f>IFERROR(__xludf.DUMMYFUNCTION("GOOGLETRANSLATE(H4734,""EN"",""ES"")"),"Negocio")</f>
        <v>Negocio</v>
      </c>
      <c r="J4734" s="16" t="s">
        <v>35</v>
      </c>
      <c r="K4734" s="48">
        <v>-0.5</v>
      </c>
      <c r="L4734" s="49" t="s">
        <v>33150</v>
      </c>
      <c r="M4734" s="34" t="s">
        <v>33151</v>
      </c>
      <c r="N4734" s="86" t="s">
        <v>33514</v>
      </c>
      <c r="O4734" s="86" t="str">
        <f>IFERROR(__xludf.DUMMYFUNCTION("GOOGLETRANSLATE(N4734,""EN"",""ES"")"),"Sentimiento negativo, centrado en la desinversión y la reducción de deuda.")</f>
        <v>Sentimiento negativo, centrado en la desinversión y la reducción de deuda.</v>
      </c>
      <c r="P4734" s="30">
        <v>0.4</v>
      </c>
      <c r="Q4734" s="18" t="str">
        <f>IFERROR(__xludf.DUMMYFUNCTION("GOOGLETRANSLATE(R4734,""ES"",""EN"")"),"reduces, ""debt""")</f>
        <v>reduces, "debt"</v>
      </c>
      <c r="R4734" s="34" t="s">
        <v>33515</v>
      </c>
      <c r="S4734" s="52" t="s">
        <v>33516</v>
      </c>
      <c r="T4734" s="22" t="s">
        <v>33517</v>
      </c>
    </row>
    <row r="4735">
      <c r="A4735" s="23" t="s">
        <v>33518</v>
      </c>
      <c r="B4735" s="77" t="s">
        <v>8127</v>
      </c>
      <c r="C4735" s="96">
        <v>45628.0</v>
      </c>
      <c r="D4735" s="40" t="s">
        <v>33519</v>
      </c>
      <c r="E4735" s="97" t="s">
        <v>33520</v>
      </c>
      <c r="F4735" s="98" t="s">
        <v>33521</v>
      </c>
      <c r="G4735" s="98" t="s">
        <v>33522</v>
      </c>
      <c r="H4735" s="59" t="s">
        <v>33492</v>
      </c>
      <c r="I4735" s="25" t="str">
        <f>IFERROR(__xludf.DUMMYFUNCTION("GOOGLETRANSLATE(H4735,""EN"",""ES"")"),"Comida y viajes")</f>
        <v>Comida y viajes</v>
      </c>
      <c r="J4735" s="26" t="s">
        <v>27</v>
      </c>
      <c r="K4735" s="17">
        <v>0.0</v>
      </c>
      <c r="L4735" s="51"/>
      <c r="M4735" s="31"/>
      <c r="N4735" s="83"/>
      <c r="O4735" s="83"/>
      <c r="P4735" s="20">
        <v>0.0</v>
      </c>
      <c r="Q4735" s="31"/>
      <c r="R4735" s="31"/>
      <c r="S4735" s="53"/>
      <c r="T4735" s="32"/>
    </row>
    <row r="4736">
      <c r="A4736" s="33" t="s">
        <v>33523</v>
      </c>
      <c r="B4736" s="76" t="s">
        <v>33524</v>
      </c>
      <c r="C4736" s="99">
        <v>45628.0</v>
      </c>
      <c r="D4736" s="40" t="s">
        <v>33525</v>
      </c>
      <c r="E4736" s="100" t="s">
        <v>33526</v>
      </c>
      <c r="F4736" s="101" t="s">
        <v>33527</v>
      </c>
      <c r="G4736" s="101" t="s">
        <v>33528</v>
      </c>
      <c r="H4736" s="61" t="s">
        <v>130</v>
      </c>
      <c r="I4736" s="15" t="str">
        <f>IFERROR(__xludf.DUMMYFUNCTION("GOOGLETRANSLATE(H4736,""EN"",""ES"")"),"Sostenibilidad")</f>
        <v>Sostenibilidad</v>
      </c>
      <c r="J4736" s="16" t="s">
        <v>27</v>
      </c>
      <c r="K4736" s="17">
        <v>0.0</v>
      </c>
      <c r="L4736" s="49"/>
      <c r="M4736" s="18"/>
      <c r="N4736" s="86"/>
      <c r="O4736" s="86"/>
      <c r="P4736" s="20">
        <v>0.0</v>
      </c>
      <c r="Q4736" s="18"/>
      <c r="R4736" s="18"/>
      <c r="S4736" s="52"/>
      <c r="T4736" s="22"/>
    </row>
    <row r="4737">
      <c r="A4737" s="23" t="s">
        <v>33529</v>
      </c>
      <c r="B4737" s="77" t="s">
        <v>33530</v>
      </c>
      <c r="C4737" s="96">
        <v>45628.0</v>
      </c>
      <c r="D4737" s="40" t="s">
        <v>33531</v>
      </c>
      <c r="E4737" s="97" t="s">
        <v>33532</v>
      </c>
      <c r="F4737" s="98" t="s">
        <v>33533</v>
      </c>
      <c r="G4737" s="98" t="s">
        <v>33534</v>
      </c>
      <c r="H4737" s="59" t="s">
        <v>130</v>
      </c>
      <c r="I4737" s="25" t="str">
        <f>IFERROR(__xludf.DUMMYFUNCTION("GOOGLETRANSLATE(H4737,""EN"",""ES"")"),"Sostenibilidad")</f>
        <v>Sostenibilidad</v>
      </c>
      <c r="J4737" s="26" t="s">
        <v>35</v>
      </c>
      <c r="K4737" s="48">
        <v>0.9</v>
      </c>
      <c r="L4737" s="51" t="s">
        <v>33535</v>
      </c>
      <c r="M4737" s="28" t="s">
        <v>33536</v>
      </c>
      <c r="N4737" s="83" t="s">
        <v>33537</v>
      </c>
      <c r="O4737" s="83" t="str">
        <f>IFERROR(__xludf.DUMMYFUNCTION("GOOGLETRANSLATE(N4737,""EN"",""ES"")"),"Sentimiento fuertemente positivo, que muestra el progreso medioambiental.")</f>
        <v>Sentimiento fuertemente positivo, que muestra el progreso medioambiental.</v>
      </c>
      <c r="P4737" s="30">
        <v>0.6</v>
      </c>
      <c r="Q4737" s="31" t="str">
        <f>IFERROR(__xludf.DUMMYFUNCTION("GOOGLETRANSLATE(R4737,""ES"",""EN"")"),"renewable, ""reduced""")</f>
        <v>renewable, "reduced"</v>
      </c>
      <c r="R4737" s="28" t="s">
        <v>33538</v>
      </c>
      <c r="S4737" s="53" t="s">
        <v>33539</v>
      </c>
      <c r="T4737" s="32" t="s">
        <v>33540</v>
      </c>
    </row>
    <row r="4738">
      <c r="A4738" s="33" t="s">
        <v>33541</v>
      </c>
      <c r="B4738" s="76" t="s">
        <v>8029</v>
      </c>
      <c r="C4738" s="99">
        <v>45628.0</v>
      </c>
      <c r="D4738" s="40" t="s">
        <v>33542</v>
      </c>
      <c r="E4738" s="100" t="s">
        <v>33543</v>
      </c>
      <c r="F4738" s="101" t="s">
        <v>33544</v>
      </c>
      <c r="G4738" s="101" t="s">
        <v>33545</v>
      </c>
      <c r="H4738" s="61" t="s">
        <v>2591</v>
      </c>
      <c r="I4738" s="15" t="str">
        <f>IFERROR(__xludf.DUMMYFUNCTION("GOOGLETRANSLATE(H4738,""EN"",""ES"")"),"Negocio")</f>
        <v>Negocio</v>
      </c>
      <c r="J4738" s="16" t="s">
        <v>35</v>
      </c>
      <c r="K4738" s="48">
        <v>0.1</v>
      </c>
      <c r="L4738" s="49" t="s">
        <v>33546</v>
      </c>
      <c r="M4738" s="34" t="s">
        <v>33547</v>
      </c>
      <c r="N4738" s="86" t="s">
        <v>33548</v>
      </c>
      <c r="O4738" s="86" t="str">
        <f>IFERROR(__xludf.DUMMYFUNCTION("GOOGLETRANSLATE(N4738,""EN"",""ES"")"),"Sentimiento neutral, que proporciona actualizaciones del mercado financiero.")</f>
        <v>Sentimiento neutral, que proporciona actualizaciones del mercado financiero.</v>
      </c>
      <c r="P4738" s="30">
        <v>0.0</v>
      </c>
      <c r="Q4738" s="18"/>
      <c r="R4738" s="18"/>
      <c r="S4738" s="52" t="s">
        <v>27387</v>
      </c>
      <c r="T4738" s="22" t="s">
        <v>27388</v>
      </c>
    </row>
    <row r="4739">
      <c r="A4739" s="23" t="s">
        <v>33549</v>
      </c>
      <c r="B4739" s="77" t="s">
        <v>7295</v>
      </c>
      <c r="C4739" s="96">
        <v>45628.0</v>
      </c>
      <c r="D4739" s="40" t="s">
        <v>33550</v>
      </c>
      <c r="E4739" s="97" t="s">
        <v>33551</v>
      </c>
      <c r="F4739" s="98" t="s">
        <v>33552</v>
      </c>
      <c r="G4739" s="98" t="s">
        <v>33553</v>
      </c>
      <c r="H4739" s="59" t="s">
        <v>33554</v>
      </c>
      <c r="I4739" s="25" t="str">
        <f>IFERROR(__xludf.DUMMYFUNCTION("GOOGLETRANSLATE(H4739,""EN"",""ES"")"),"Alimento")</f>
        <v>Alimento</v>
      </c>
      <c r="J4739" s="26" t="s">
        <v>27</v>
      </c>
      <c r="K4739" s="17">
        <v>0.0</v>
      </c>
      <c r="L4739" s="51"/>
      <c r="M4739" s="31"/>
      <c r="N4739" s="83"/>
      <c r="O4739" s="83"/>
      <c r="P4739" s="20">
        <v>0.0</v>
      </c>
      <c r="Q4739" s="31"/>
      <c r="R4739" s="31"/>
      <c r="S4739" s="53"/>
      <c r="T4739" s="32"/>
    </row>
    <row r="4740">
      <c r="A4740" s="33" t="s">
        <v>33555</v>
      </c>
      <c r="B4740" s="76" t="s">
        <v>8029</v>
      </c>
      <c r="C4740" s="99">
        <v>45628.0</v>
      </c>
      <c r="D4740" s="40" t="s">
        <v>33556</v>
      </c>
      <c r="E4740" s="100" t="s">
        <v>33557</v>
      </c>
      <c r="F4740" s="101" t="s">
        <v>33558</v>
      </c>
      <c r="G4740" s="101" t="s">
        <v>33559</v>
      </c>
      <c r="H4740" s="61" t="s">
        <v>2591</v>
      </c>
      <c r="I4740" s="15" t="str">
        <f>IFERROR(__xludf.DUMMYFUNCTION("GOOGLETRANSLATE(H4740,""EN"",""ES"")"),"Negocio")</f>
        <v>Negocio</v>
      </c>
      <c r="J4740" s="16" t="s">
        <v>35</v>
      </c>
      <c r="K4740" s="48">
        <v>0.0</v>
      </c>
      <c r="L4740" s="49"/>
      <c r="M4740" s="18"/>
      <c r="N4740" s="86" t="s">
        <v>33560</v>
      </c>
      <c r="O4740" s="86" t="str">
        <f>IFERROR(__xludf.DUMMYFUNCTION("GOOGLETRANSLATE(N4740,""EN"",""ES"")"),"Sentimiento neutral, reportando el desempeño del mercado de valores.")</f>
        <v>Sentimiento neutral, reportando el desempeño del mercado de valores.</v>
      </c>
      <c r="P4740" s="30">
        <v>0.0</v>
      </c>
      <c r="Q4740" s="18"/>
      <c r="R4740" s="18"/>
      <c r="S4740" s="52" t="s">
        <v>27387</v>
      </c>
      <c r="T4740" s="22" t="s">
        <v>27388</v>
      </c>
    </row>
    <row r="4741">
      <c r="A4741" s="23" t="s">
        <v>33561</v>
      </c>
      <c r="B4741" s="77" t="s">
        <v>14852</v>
      </c>
      <c r="C4741" s="96">
        <v>45628.0</v>
      </c>
      <c r="D4741" s="40" t="s">
        <v>33562</v>
      </c>
      <c r="E4741" s="97" t="s">
        <v>33563</v>
      </c>
      <c r="F4741" s="98" t="s">
        <v>33564</v>
      </c>
      <c r="G4741" s="98" t="s">
        <v>33565</v>
      </c>
      <c r="H4741" s="59" t="s">
        <v>2591</v>
      </c>
      <c r="I4741" s="25" t="str">
        <f>IFERROR(__xludf.DUMMYFUNCTION("GOOGLETRANSLATE(H4741,""EN"",""ES"")"),"Negocio")</f>
        <v>Negocio</v>
      </c>
      <c r="J4741" s="26" t="s">
        <v>35</v>
      </c>
      <c r="K4741" s="48">
        <v>-0.6</v>
      </c>
      <c r="L4741" s="51" t="s">
        <v>33566</v>
      </c>
      <c r="M4741" s="28" t="s">
        <v>33567</v>
      </c>
      <c r="N4741" s="83" t="s">
        <v>33568</v>
      </c>
      <c r="O4741" s="83" t="str">
        <f>IFERROR(__xludf.DUMMYFUNCTION("GOOGLETRANSLATE(N4741,""EN"",""ES"")"),"Sentimiento negativo, ya que marca el final de una inversión a largo plazo.")</f>
        <v>Sentimiento negativo, ya que marca el final de una inversión a largo plazo.</v>
      </c>
      <c r="P4741" s="30">
        <v>-0.3</v>
      </c>
      <c r="Q4741" s="31" t="str">
        <f>IFERROR(__xludf.DUMMYFUNCTION("GOOGLETRANSLATE(R4741,""ES"",""EN"")"),"bye")</f>
        <v>bye</v>
      </c>
      <c r="R4741" s="28" t="s">
        <v>14362</v>
      </c>
      <c r="S4741" s="53" t="s">
        <v>33569</v>
      </c>
      <c r="T4741" s="32" t="s">
        <v>33570</v>
      </c>
    </row>
    <row r="4742">
      <c r="A4742" s="33" t="s">
        <v>33571</v>
      </c>
      <c r="B4742" s="76" t="s">
        <v>499</v>
      </c>
      <c r="C4742" s="99">
        <v>45629.0</v>
      </c>
      <c r="D4742" s="40" t="s">
        <v>33572</v>
      </c>
      <c r="E4742" s="100" t="s">
        <v>33573</v>
      </c>
      <c r="F4742" s="101" t="s">
        <v>33574</v>
      </c>
      <c r="G4742" s="101" t="s">
        <v>33575</v>
      </c>
      <c r="H4742" s="61" t="s">
        <v>130</v>
      </c>
      <c r="I4742" s="15" t="str">
        <f>IFERROR(__xludf.DUMMYFUNCTION("GOOGLETRANSLATE(H4742,""EN"",""ES"")"),"Sostenibilidad")</f>
        <v>Sostenibilidad</v>
      </c>
      <c r="J4742" s="16" t="s">
        <v>35</v>
      </c>
      <c r="K4742" s="48">
        <v>0.8</v>
      </c>
      <c r="L4742" s="49" t="s">
        <v>33576</v>
      </c>
      <c r="M4742" s="34" t="s">
        <v>33577</v>
      </c>
      <c r="N4742" s="86" t="s">
        <v>33578</v>
      </c>
      <c r="O4742" s="86" t="str">
        <f>IFERROR(__xludf.DUMMYFUNCTION("GOOGLETRANSLATE(N4742,""EN"",""ES"")"),"Sentimiento positivo, destacando los esfuerzos y asociaciones de sostenibilidad.")</f>
        <v>Sentimiento positivo, destacando los esfuerzos y asociaciones de sostenibilidad.</v>
      </c>
      <c r="P4742" s="30">
        <v>0.7</v>
      </c>
      <c r="Q4742" s="18" t="str">
        <f>IFERROR(__xludf.DUMMYFUNCTION("GOOGLETRANSLATE(R4742,""ES"",""EN"")"),"renewable, ""reduce""")</f>
        <v>renewable, "reduce"</v>
      </c>
      <c r="R4742" s="34" t="s">
        <v>33579</v>
      </c>
      <c r="S4742" s="52" t="s">
        <v>33580</v>
      </c>
      <c r="T4742" s="22" t="s">
        <v>33581</v>
      </c>
    </row>
    <row r="4743">
      <c r="A4743" s="23" t="s">
        <v>33582</v>
      </c>
      <c r="B4743" s="77" t="s">
        <v>33583</v>
      </c>
      <c r="C4743" s="96">
        <v>45629.0</v>
      </c>
      <c r="D4743" s="40" t="s">
        <v>33584</v>
      </c>
      <c r="E4743" s="97" t="s">
        <v>33585</v>
      </c>
      <c r="F4743" s="98" t="s">
        <v>33586</v>
      </c>
      <c r="G4743" s="98" t="s">
        <v>33587</v>
      </c>
      <c r="H4743" s="59" t="s">
        <v>33588</v>
      </c>
      <c r="I4743" s="25" t="str">
        <f>IFERROR(__xludf.DUMMYFUNCTION("GOOGLETRANSLATE(H4743,""EN"",""ES"")"),"Negocios y política")</f>
        <v>Negocios y política</v>
      </c>
      <c r="J4743" s="26" t="s">
        <v>35</v>
      </c>
      <c r="K4743" s="48">
        <v>0.3</v>
      </c>
      <c r="L4743" s="51" t="s">
        <v>33589</v>
      </c>
      <c r="M4743" s="28" t="s">
        <v>33590</v>
      </c>
      <c r="N4743" s="83" t="s">
        <v>33591</v>
      </c>
      <c r="O4743" s="83" t="str">
        <f>IFERROR(__xludf.DUMMYFUNCTION("GOOGLETRANSLATE(N4743,""EN"",""ES"")"),"Sentimiento ligeramente positivo, que indica interés del gobierno en los proyectos de Repsol.")</f>
        <v>Sentimiento ligeramente positivo, que indica interés del gobierno en los proyectos de Repsol.</v>
      </c>
      <c r="P4743" s="30">
        <v>0.2</v>
      </c>
      <c r="Q4743" s="31" t="str">
        <f>IFERROR(__xludf.DUMMYFUNCTION("GOOGLETRANSLATE(R4743,""ES"",""EN"")"),"visit")</f>
        <v>visit</v>
      </c>
      <c r="R4743" s="28" t="s">
        <v>33592</v>
      </c>
      <c r="S4743" s="53" t="s">
        <v>33593</v>
      </c>
      <c r="T4743" s="32" t="s">
        <v>33594</v>
      </c>
    </row>
    <row r="4744">
      <c r="A4744" s="33" t="s">
        <v>33595</v>
      </c>
      <c r="B4744" s="76" t="s">
        <v>9404</v>
      </c>
      <c r="C4744" s="99">
        <v>45629.0</v>
      </c>
      <c r="D4744" s="40" t="s">
        <v>33596</v>
      </c>
      <c r="E4744" s="100" t="s">
        <v>33597</v>
      </c>
      <c r="F4744" s="101" t="s">
        <v>33598</v>
      </c>
      <c r="G4744" s="101" t="s">
        <v>33599</v>
      </c>
      <c r="H4744" s="61" t="s">
        <v>130</v>
      </c>
      <c r="I4744" s="15" t="str">
        <f>IFERROR(__xludf.DUMMYFUNCTION("GOOGLETRANSLATE(H4744,""EN"",""ES"")"),"Sostenibilidad")</f>
        <v>Sostenibilidad</v>
      </c>
      <c r="J4744" s="16" t="s">
        <v>35</v>
      </c>
      <c r="K4744" s="48">
        <v>0.7</v>
      </c>
      <c r="L4744" s="49" t="s">
        <v>33600</v>
      </c>
      <c r="M4744" s="34" t="s">
        <v>33600</v>
      </c>
      <c r="N4744" s="86" t="s">
        <v>33601</v>
      </c>
      <c r="O4744" s="86" t="str">
        <f>IFERROR(__xludf.DUMMYFUNCTION("GOOGLETRANSLATE(N4744,""EN"",""ES"")"),"Sentimiento positivo, enfatizando el crecimiento ambiental y empresarial.")</f>
        <v>Sentimiento positivo, enfatizando el crecimiento ambiental y empresarial.</v>
      </c>
      <c r="P4744" s="30">
        <v>0.3</v>
      </c>
      <c r="Q4744" s="18" t="str">
        <f>IFERROR(__xludf.DUMMYFUNCTION("GOOGLETRANSLATE(R4744,""ES"",""EN"")"),"will supply")</f>
        <v>will supply</v>
      </c>
      <c r="R4744" s="34" t="s">
        <v>33602</v>
      </c>
      <c r="S4744" s="52" t="s">
        <v>33603</v>
      </c>
      <c r="T4744" s="22" t="s">
        <v>33604</v>
      </c>
    </row>
    <row r="4745">
      <c r="A4745" s="23" t="s">
        <v>33605</v>
      </c>
      <c r="B4745" s="77" t="s">
        <v>85</v>
      </c>
      <c r="C4745" s="96">
        <v>45629.0</v>
      </c>
      <c r="D4745" s="40" t="s">
        <v>33572</v>
      </c>
      <c r="E4745" s="97" t="s">
        <v>33606</v>
      </c>
      <c r="F4745" s="98" t="s">
        <v>33574</v>
      </c>
      <c r="G4745" s="98" t="s">
        <v>33607</v>
      </c>
      <c r="H4745" s="59" t="s">
        <v>130</v>
      </c>
      <c r="I4745" s="25" t="str">
        <f>IFERROR(__xludf.DUMMYFUNCTION("GOOGLETRANSLATE(H4745,""EN"",""ES"")"),"Sostenibilidad")</f>
        <v>Sostenibilidad</v>
      </c>
      <c r="J4745" s="26" t="s">
        <v>35</v>
      </c>
      <c r="K4745" s="48">
        <v>0.8</v>
      </c>
      <c r="L4745" s="51" t="s">
        <v>33608</v>
      </c>
      <c r="M4745" s="28" t="s">
        <v>33609</v>
      </c>
      <c r="N4745" s="83" t="s">
        <v>33610</v>
      </c>
      <c r="O4745" s="83" t="str">
        <f>IFERROR(__xludf.DUMMYFUNCTION("GOOGLETRANSLATE(N4745,""EN"",""ES"")"),"Sentimiento positivo, destacando el papel de Repsol en sostenibilidad.")</f>
        <v>Sentimiento positivo, destacando el papel de Repsol en sostenibilidad.</v>
      </c>
      <c r="P4745" s="30">
        <v>0.7</v>
      </c>
      <c r="Q4745" s="31" t="str">
        <f>IFERROR(__xludf.DUMMYFUNCTION("GOOGLETRANSLATE(R4745,""ES"",""EN"")"),"renewable, ""reduce""")</f>
        <v>renewable, "reduce"</v>
      </c>
      <c r="R4745" s="28" t="s">
        <v>33579</v>
      </c>
      <c r="S4745" s="53" t="s">
        <v>33611</v>
      </c>
      <c r="T4745" s="32" t="s">
        <v>33612</v>
      </c>
    </row>
    <row r="4746">
      <c r="A4746" s="33" t="s">
        <v>33613</v>
      </c>
      <c r="B4746" s="76" t="s">
        <v>9569</v>
      </c>
      <c r="C4746" s="99">
        <v>45629.0</v>
      </c>
      <c r="D4746" s="40" t="s">
        <v>33614</v>
      </c>
      <c r="E4746" s="100" t="s">
        <v>33615</v>
      </c>
      <c r="F4746" s="101" t="s">
        <v>33616</v>
      </c>
      <c r="G4746" s="101" t="s">
        <v>33617</v>
      </c>
      <c r="H4746" s="61" t="s">
        <v>2591</v>
      </c>
      <c r="I4746" s="15" t="str">
        <f>IFERROR(__xludf.DUMMYFUNCTION("GOOGLETRANSLATE(H4746,""EN"",""ES"")"),"Negocio")</f>
        <v>Negocio</v>
      </c>
      <c r="J4746" s="16" t="s">
        <v>35</v>
      </c>
      <c r="K4746" s="48">
        <v>0.6</v>
      </c>
      <c r="L4746" s="49" t="s">
        <v>33618</v>
      </c>
      <c r="M4746" s="34" t="s">
        <v>33619</v>
      </c>
      <c r="N4746" s="86" t="s">
        <v>33620</v>
      </c>
      <c r="O4746" s="86" t="str">
        <f>IFERROR(__xludf.DUMMYFUNCTION("GOOGLETRANSLATE(N4746,""EN"",""ES"")"),"Sentimiento positivo, lo que indica que los inversores ven la medida como beneficiosa.")</f>
        <v>Sentimiento positivo, lo que indica que los inversores ven la medida como beneficiosa.</v>
      </c>
      <c r="P4746" s="30">
        <v>0.5</v>
      </c>
      <c r="Q4746" s="18" t="str">
        <f>IFERROR(__xludf.DUMMYFUNCTION("GOOGLETRANSLATE(R4746,""ES"",""EN"")"),"clap")</f>
        <v>clap</v>
      </c>
      <c r="R4746" s="34" t="s">
        <v>28418</v>
      </c>
      <c r="S4746" s="52" t="s">
        <v>33621</v>
      </c>
      <c r="T4746" s="22" t="s">
        <v>33622</v>
      </c>
    </row>
    <row r="4747">
      <c r="A4747" s="23" t="s">
        <v>33623</v>
      </c>
      <c r="B4747" s="77" t="s">
        <v>33393</v>
      </c>
      <c r="C4747" s="96">
        <v>45629.0</v>
      </c>
      <c r="D4747" s="40" t="s">
        <v>33624</v>
      </c>
      <c r="E4747" s="97" t="s">
        <v>33625</v>
      </c>
      <c r="F4747" s="98" t="s">
        <v>33626</v>
      </c>
      <c r="G4747" s="98" t="s">
        <v>33627</v>
      </c>
      <c r="H4747" s="59" t="s">
        <v>33628</v>
      </c>
      <c r="I4747" s="25" t="str">
        <f>IFERROR(__xludf.DUMMYFUNCTION("GOOGLETRANSLATE(H4747,""EN"",""ES"")"),"Ambiental y Legal")</f>
        <v>Ambiental y Legal</v>
      </c>
      <c r="J4747" s="26" t="s">
        <v>27</v>
      </c>
      <c r="K4747" s="17">
        <v>0.0</v>
      </c>
      <c r="L4747" s="51"/>
      <c r="M4747" s="31"/>
      <c r="N4747" s="83"/>
      <c r="O4747" s="83"/>
      <c r="P4747" s="20">
        <v>0.0</v>
      </c>
      <c r="Q4747" s="31"/>
      <c r="R4747" s="31"/>
      <c r="S4747" s="53"/>
      <c r="T4747" s="32"/>
    </row>
    <row r="4748">
      <c r="A4748" s="33" t="s">
        <v>33629</v>
      </c>
      <c r="B4748" s="76" t="s">
        <v>4559</v>
      </c>
      <c r="C4748" s="99">
        <v>45629.0</v>
      </c>
      <c r="D4748" s="40" t="s">
        <v>33630</v>
      </c>
      <c r="E4748" s="100" t="s">
        <v>33631</v>
      </c>
      <c r="F4748" s="101" t="s">
        <v>33632</v>
      </c>
      <c r="G4748" s="101" t="s">
        <v>33633</v>
      </c>
      <c r="H4748" s="61" t="s">
        <v>33634</v>
      </c>
      <c r="I4748" s="15" t="str">
        <f>IFERROR(__xludf.DUMMYFUNCTION("GOOGLETRANSLATE(H4748,""EN"",""ES"")"),"Deportes y comunidad")</f>
        <v>Deportes y comunidad</v>
      </c>
      <c r="J4748" s="16" t="s">
        <v>27</v>
      </c>
      <c r="K4748" s="17">
        <v>0.0</v>
      </c>
      <c r="L4748" s="49"/>
      <c r="M4748" s="18"/>
      <c r="N4748" s="86"/>
      <c r="O4748" s="86"/>
      <c r="P4748" s="20">
        <v>0.0</v>
      </c>
      <c r="Q4748" s="18"/>
      <c r="R4748" s="18"/>
      <c r="S4748" s="52"/>
      <c r="T4748" s="22"/>
    </row>
    <row r="4749">
      <c r="A4749" s="23" t="s">
        <v>33635</v>
      </c>
      <c r="B4749" s="77" t="s">
        <v>7766</v>
      </c>
      <c r="C4749" s="96">
        <v>45629.0</v>
      </c>
      <c r="D4749" s="40" t="s">
        <v>33636</v>
      </c>
      <c r="E4749" s="97" t="s">
        <v>33637</v>
      </c>
      <c r="F4749" s="98" t="s">
        <v>33638</v>
      </c>
      <c r="G4749" s="98" t="s">
        <v>33639</v>
      </c>
      <c r="H4749" s="59" t="s">
        <v>33640</v>
      </c>
      <c r="I4749" s="25" t="str">
        <f>IFERROR(__xludf.DUMMYFUNCTION("GOOGLETRANSLATE(H4749,""EN"",""ES"")"),"Negocios e información")</f>
        <v>Negocios e información</v>
      </c>
      <c r="J4749" s="26" t="s">
        <v>27</v>
      </c>
      <c r="K4749" s="17">
        <v>0.0</v>
      </c>
      <c r="L4749" s="51"/>
      <c r="M4749" s="31"/>
      <c r="N4749" s="83"/>
      <c r="O4749" s="83"/>
      <c r="P4749" s="20">
        <v>0.0</v>
      </c>
      <c r="Q4749" s="31"/>
      <c r="R4749" s="31"/>
      <c r="S4749" s="53"/>
      <c r="T4749" s="32"/>
    </row>
    <row r="4750">
      <c r="A4750" s="33" t="s">
        <v>33641</v>
      </c>
      <c r="B4750" s="76" t="s">
        <v>3067</v>
      </c>
      <c r="C4750" s="99">
        <v>45629.0</v>
      </c>
      <c r="D4750" s="40" t="s">
        <v>33642</v>
      </c>
      <c r="E4750" s="100" t="s">
        <v>33643</v>
      </c>
      <c r="F4750" s="101" t="s">
        <v>33644</v>
      </c>
      <c r="G4750" s="101" t="s">
        <v>33645</v>
      </c>
      <c r="H4750" s="61" t="s">
        <v>33646</v>
      </c>
      <c r="I4750" s="15" t="str">
        <f>IFERROR(__xludf.DUMMYFUNCTION("GOOGLETRANSLATE(H4750,""EN"",""ES"")"),"Política y negocios")</f>
        <v>Política y negocios</v>
      </c>
      <c r="J4750" s="16" t="s">
        <v>35</v>
      </c>
      <c r="K4750" s="48">
        <v>0.6</v>
      </c>
      <c r="L4750" s="49" t="s">
        <v>33647</v>
      </c>
      <c r="M4750" s="34" t="s">
        <v>33648</v>
      </c>
      <c r="N4750" s="86" t="s">
        <v>33649</v>
      </c>
      <c r="O4750" s="86" t="str">
        <f>IFERROR(__xludf.DUMMYFUNCTION("GOOGLETRANSLATE(N4750,""EN"",""ES"")"),"Sentimiento positivo, ya que se habla de recuperación de la inversión.")</f>
        <v>Sentimiento positivo, ya que se habla de recuperación de la inversión.</v>
      </c>
      <c r="P4750" s="30">
        <v>0.5</v>
      </c>
      <c r="Q4750" s="18" t="str">
        <f>IFERROR(__xludf.DUMMYFUNCTION("GOOGLETRANSLATE(R4750,""ES"",""EN"")"),"recovery, ""essential""")</f>
        <v>recovery, "essential"</v>
      </c>
      <c r="R4750" s="34" t="s">
        <v>33650</v>
      </c>
      <c r="S4750" s="52" t="s">
        <v>33651</v>
      </c>
      <c r="T4750" s="22" t="s">
        <v>33652</v>
      </c>
    </row>
    <row r="4751">
      <c r="A4751" s="23" t="s">
        <v>33653</v>
      </c>
      <c r="B4751" s="77" t="s">
        <v>2008</v>
      </c>
      <c r="C4751" s="96">
        <v>45629.0</v>
      </c>
      <c r="D4751" s="40" t="s">
        <v>33654</v>
      </c>
      <c r="E4751" s="97" t="s">
        <v>33655</v>
      </c>
      <c r="F4751" s="98" t="s">
        <v>33656</v>
      </c>
      <c r="G4751" s="98" t="s">
        <v>33657</v>
      </c>
      <c r="H4751" s="59" t="s">
        <v>33658</v>
      </c>
      <c r="I4751" s="25" t="str">
        <f>IFERROR(__xludf.DUMMYFUNCTION("GOOGLETRANSLATE(H4751,""EN"",""ES"")"),"Sostenibilidad y Alimentación")</f>
        <v>Sostenibilidad y Alimentación</v>
      </c>
      <c r="J4751" s="26" t="s">
        <v>27</v>
      </c>
      <c r="K4751" s="17">
        <v>0.0</v>
      </c>
      <c r="L4751" s="51"/>
      <c r="M4751" s="31"/>
      <c r="N4751" s="83"/>
      <c r="O4751" s="83"/>
      <c r="P4751" s="20">
        <v>0.0</v>
      </c>
      <c r="Q4751" s="31"/>
      <c r="R4751" s="31"/>
      <c r="S4751" s="53"/>
      <c r="T4751" s="32"/>
    </row>
    <row r="4752">
      <c r="A4752" s="33" t="s">
        <v>33659</v>
      </c>
      <c r="B4752" s="76" t="s">
        <v>33660</v>
      </c>
      <c r="C4752" s="99">
        <v>45629.0</v>
      </c>
      <c r="D4752" s="40" t="s">
        <v>33661</v>
      </c>
      <c r="E4752" s="100" t="s">
        <v>33662</v>
      </c>
      <c r="F4752" s="101" t="s">
        <v>33663</v>
      </c>
      <c r="G4752" s="101" t="s">
        <v>33664</v>
      </c>
      <c r="H4752" s="61" t="s">
        <v>2591</v>
      </c>
      <c r="I4752" s="15" t="str">
        <f>IFERROR(__xludf.DUMMYFUNCTION("GOOGLETRANSLATE(H4752,""EN"",""ES"")"),"Negocio")</f>
        <v>Negocio</v>
      </c>
      <c r="J4752" s="16" t="s">
        <v>35</v>
      </c>
      <c r="K4752" s="48">
        <v>-0.4</v>
      </c>
      <c r="L4752" s="49" t="s">
        <v>33364</v>
      </c>
      <c r="M4752" s="34" t="s">
        <v>33365</v>
      </c>
      <c r="N4752" s="86" t="s">
        <v>33665</v>
      </c>
      <c r="O4752" s="86" t="str">
        <f>IFERROR(__xludf.DUMMYFUNCTION("GOOGLETRANSLATE(N4752,""EN"",""ES"")"),"Sentimiento ligeramente negativo, ya que marca la desinversión de Repsol.")</f>
        <v>Sentimiento ligeramente negativo, ya que marca la desinversión de Repsol.</v>
      </c>
      <c r="P4752" s="30">
        <v>0.0</v>
      </c>
      <c r="Q4752" s="18"/>
      <c r="R4752" s="18"/>
      <c r="S4752" s="52" t="s">
        <v>33666</v>
      </c>
      <c r="T4752" s="22" t="s">
        <v>33667</v>
      </c>
    </row>
    <row r="4753">
      <c r="A4753" s="23" t="s">
        <v>33668</v>
      </c>
      <c r="B4753" s="77" t="s">
        <v>23996</v>
      </c>
      <c r="C4753" s="96">
        <v>45629.0</v>
      </c>
      <c r="D4753" s="40" t="s">
        <v>33669</v>
      </c>
      <c r="E4753" s="97" t="s">
        <v>33670</v>
      </c>
      <c r="F4753" s="98" t="s">
        <v>33671</v>
      </c>
      <c r="G4753" s="98" t="s">
        <v>33672</v>
      </c>
      <c r="H4753" s="59" t="s">
        <v>2591</v>
      </c>
      <c r="I4753" s="25" t="str">
        <f>IFERROR(__xludf.DUMMYFUNCTION("GOOGLETRANSLATE(H4753,""EN"",""ES"")"),"Negocio")</f>
        <v>Negocio</v>
      </c>
      <c r="J4753" s="26" t="s">
        <v>35</v>
      </c>
      <c r="K4753" s="48">
        <v>-0.5</v>
      </c>
      <c r="L4753" s="51" t="s">
        <v>33150</v>
      </c>
      <c r="M4753" s="28" t="s">
        <v>33151</v>
      </c>
      <c r="N4753" s="83" t="s">
        <v>33673</v>
      </c>
      <c r="O4753" s="83" t="str">
        <f>IFERROR(__xludf.DUMMYFUNCTION("GOOGLETRANSLATE(N4753,""EN"",""ES"")"),"Sentimiento negativo, que indica una reducción de las operaciones de Repsol.")</f>
        <v>Sentimiento negativo, que indica una reducción de las operaciones de Repsol.</v>
      </c>
      <c r="P4753" s="30">
        <v>0.0</v>
      </c>
      <c r="Q4753" s="31"/>
      <c r="R4753" s="31"/>
      <c r="S4753" s="53" t="s">
        <v>12770</v>
      </c>
      <c r="T4753" s="32" t="s">
        <v>12770</v>
      </c>
    </row>
    <row r="4754">
      <c r="A4754" s="33" t="s">
        <v>33674</v>
      </c>
      <c r="B4754" s="76" t="s">
        <v>23996</v>
      </c>
      <c r="C4754" s="99">
        <v>45629.0</v>
      </c>
      <c r="D4754" s="40" t="s">
        <v>33675</v>
      </c>
      <c r="E4754" s="100" t="s">
        <v>33676</v>
      </c>
      <c r="F4754" s="101" t="s">
        <v>33677</v>
      </c>
      <c r="G4754" s="101" t="s">
        <v>33678</v>
      </c>
      <c r="H4754" s="61" t="s">
        <v>33679</v>
      </c>
      <c r="I4754" s="15" t="str">
        <f>IFERROR(__xludf.DUMMYFUNCTION("GOOGLETRANSLATE(H4754,""EN"",""ES"")"),"Negocios e Innovación")</f>
        <v>Negocios e Innovación</v>
      </c>
      <c r="J4754" s="16" t="s">
        <v>27</v>
      </c>
      <c r="K4754" s="17">
        <v>0.0</v>
      </c>
      <c r="L4754" s="49"/>
      <c r="M4754" s="18"/>
      <c r="N4754" s="86"/>
      <c r="O4754" s="86"/>
      <c r="P4754" s="20">
        <v>0.0</v>
      </c>
      <c r="Q4754" s="18"/>
      <c r="R4754" s="18"/>
      <c r="S4754" s="52"/>
      <c r="T4754" s="22"/>
    </row>
    <row r="4755">
      <c r="A4755" s="23" t="s">
        <v>33680</v>
      </c>
      <c r="B4755" s="77" t="s">
        <v>1072</v>
      </c>
      <c r="C4755" s="96">
        <v>45630.0</v>
      </c>
      <c r="D4755" s="40" t="s">
        <v>33681</v>
      </c>
      <c r="E4755" s="97" t="s">
        <v>33682</v>
      </c>
      <c r="F4755" s="98" t="s">
        <v>33683</v>
      </c>
      <c r="G4755" s="98" t="s">
        <v>33684</v>
      </c>
      <c r="H4755" s="59" t="s">
        <v>2591</v>
      </c>
      <c r="I4755" s="25" t="str">
        <f>IFERROR(__xludf.DUMMYFUNCTION("GOOGLETRANSLATE(H4755,""EN"",""ES"")"),"Negocio")</f>
        <v>Negocio</v>
      </c>
      <c r="J4755" s="26" t="s">
        <v>35</v>
      </c>
      <c r="K4755" s="48">
        <v>-0.6</v>
      </c>
      <c r="L4755" s="51" t="s">
        <v>33685</v>
      </c>
      <c r="M4755" s="28" t="s">
        <v>33686</v>
      </c>
      <c r="N4755" s="83" t="s">
        <v>33687</v>
      </c>
      <c r="O4755" s="83" t="str">
        <f>IFERROR(__xludf.DUMMYFUNCTION("GOOGLETRANSLATE(N4755,""EN"",""ES"")"),"Sentimiento negativo, comentando la caída de las acciones de Repsol.")</f>
        <v>Sentimiento negativo, comentando la caída de las acciones de Repsol.</v>
      </c>
      <c r="P4755" s="30">
        <v>-0.4</v>
      </c>
      <c r="Q4755" s="31" t="str">
        <f>IFERROR(__xludf.DUMMYFUNCTION("GOOGLETRANSLATE(R4755,""ES"",""EN"")"),"minimums, ""low""")</f>
        <v>minimums, "low"</v>
      </c>
      <c r="R4755" s="28" t="s">
        <v>33688</v>
      </c>
      <c r="S4755" s="53" t="s">
        <v>17786</v>
      </c>
      <c r="T4755" s="32" t="s">
        <v>17787</v>
      </c>
    </row>
    <row r="4756">
      <c r="A4756" s="33" t="s">
        <v>33689</v>
      </c>
      <c r="B4756" s="76" t="s">
        <v>2442</v>
      </c>
      <c r="C4756" s="99">
        <v>45630.0</v>
      </c>
      <c r="D4756" s="40" t="s">
        <v>33690</v>
      </c>
      <c r="E4756" s="100" t="s">
        <v>33691</v>
      </c>
      <c r="F4756" s="101" t="s">
        <v>33692</v>
      </c>
      <c r="G4756" s="101" t="s">
        <v>33693</v>
      </c>
      <c r="H4756" s="61" t="s">
        <v>33694</v>
      </c>
      <c r="I4756" s="15" t="str">
        <f>IFERROR(__xludf.DUMMYFUNCTION("GOOGLETRANSLATE(H4756,""EN"",""ES"")"),"Tecnología y Sostenibilidad")</f>
        <v>Tecnología y Sostenibilidad</v>
      </c>
      <c r="J4756" s="16" t="s">
        <v>35</v>
      </c>
      <c r="K4756" s="48">
        <v>0.9</v>
      </c>
      <c r="L4756" s="49" t="s">
        <v>33695</v>
      </c>
      <c r="M4756" s="34" t="s">
        <v>33696</v>
      </c>
      <c r="N4756" s="86" t="s">
        <v>33697</v>
      </c>
      <c r="O4756" s="86" t="str">
        <f>IFERROR(__xludf.DUMMYFUNCTION("GOOGLETRANSLATE(N4756,""EN"",""ES"")"),"Sentimiento fuertemente positivo, promocionando las ventajas de la aplicación Waylet.")</f>
        <v>Sentimiento fuertemente positivo, promocionando las ventajas de la aplicación Waylet.</v>
      </c>
      <c r="P4756" s="30">
        <v>0.5</v>
      </c>
      <c r="Q4756" s="18" t="str">
        <f>IFERROR(__xludf.DUMMYFUNCTION("GOOGLETRANSLATE(R4756,""ES"",""EN"")"),"best ally")</f>
        <v>best ally</v>
      </c>
      <c r="R4756" s="34" t="s">
        <v>33698</v>
      </c>
      <c r="S4756" s="52" t="s">
        <v>33699</v>
      </c>
      <c r="T4756" s="22" t="s">
        <v>33700</v>
      </c>
    </row>
    <row r="4757">
      <c r="A4757" s="23" t="s">
        <v>33701</v>
      </c>
      <c r="B4757" s="77" t="s">
        <v>50</v>
      </c>
      <c r="C4757" s="96">
        <v>45630.0</v>
      </c>
      <c r="D4757" s="40" t="s">
        <v>33702</v>
      </c>
      <c r="E4757" s="97" t="s">
        <v>33703</v>
      </c>
      <c r="F4757" s="98" t="s">
        <v>33704</v>
      </c>
      <c r="G4757" s="98" t="s">
        <v>33705</v>
      </c>
      <c r="H4757" s="59" t="s">
        <v>33694</v>
      </c>
      <c r="I4757" s="25" t="str">
        <f>IFERROR(__xludf.DUMMYFUNCTION("GOOGLETRANSLATE(H4757,""EN"",""ES"")"),"Tecnología y Sostenibilidad")</f>
        <v>Tecnología y Sostenibilidad</v>
      </c>
      <c r="J4757" s="26" t="s">
        <v>35</v>
      </c>
      <c r="K4757" s="48">
        <v>0.8</v>
      </c>
      <c r="L4757" s="51" t="s">
        <v>33706</v>
      </c>
      <c r="M4757" s="28" t="s">
        <v>33707</v>
      </c>
      <c r="N4757" s="83" t="s">
        <v>33708</v>
      </c>
      <c r="O4757" s="83" t="str">
        <f>IFERROR(__xludf.DUMMYFUNCTION("GOOGLETRANSLATE(N4757,""EN"",""ES"")"),"Sentimiento positivo, que enfatiza la conveniencia para los usuarios de vehículos eléctricos.")</f>
        <v>Sentimiento positivo, que enfatiza la conveniencia para los usuarios de vehículos eléctricos.</v>
      </c>
      <c r="P4757" s="30">
        <v>0.5</v>
      </c>
      <c r="Q4757" s="31" t="str">
        <f>IFERROR(__xludf.DUMMYFUNCTION("GOOGLETRANSLATE(R4757,""ES"",""EN"")"),"advantages")</f>
        <v>advantages</v>
      </c>
      <c r="R4757" s="28" t="s">
        <v>33709</v>
      </c>
      <c r="S4757" s="53" t="s">
        <v>33710</v>
      </c>
      <c r="T4757" s="32" t="s">
        <v>33711</v>
      </c>
    </row>
    <row r="4758">
      <c r="A4758" s="33" t="s">
        <v>33712</v>
      </c>
      <c r="B4758" s="76" t="s">
        <v>499</v>
      </c>
      <c r="C4758" s="99">
        <v>45630.0</v>
      </c>
      <c r="D4758" s="40" t="s">
        <v>33713</v>
      </c>
      <c r="E4758" s="100" t="s">
        <v>33714</v>
      </c>
      <c r="F4758" s="101" t="s">
        <v>33715</v>
      </c>
      <c r="G4758" s="101" t="s">
        <v>33716</v>
      </c>
      <c r="H4758" s="61" t="s">
        <v>33717</v>
      </c>
      <c r="I4758" s="15" t="str">
        <f>IFERROR(__xludf.DUMMYFUNCTION("GOOGLETRANSLATE(H4758,""EN"",""ES"")"),"Sostenibilidad y Negocios")</f>
        <v>Sostenibilidad y Negocios</v>
      </c>
      <c r="J4758" s="16" t="s">
        <v>35</v>
      </c>
      <c r="K4758" s="48">
        <v>0.8</v>
      </c>
      <c r="L4758" s="49" t="s">
        <v>33718</v>
      </c>
      <c r="M4758" s="34" t="s">
        <v>33719</v>
      </c>
      <c r="N4758" s="86" t="s">
        <v>33720</v>
      </c>
      <c r="O4758" s="86" t="str">
        <f>IFERROR(__xludf.DUMMYFUNCTION("GOOGLETRANSLATE(N4758,""EN"",""ES"")"),"Sentimiento positivo, centrado en iniciativas de empleo sostenible.")</f>
        <v>Sentimiento positivo, centrado en iniciativas de empleo sostenible.</v>
      </c>
      <c r="P4758" s="30">
        <v>0.4</v>
      </c>
      <c r="Q4758" s="18" t="str">
        <f>IFERROR(__xludf.DUMMYFUNCTION("GOOGLETRANSLATE(R4758,""ES"",""EN"")"),"sustainable")</f>
        <v>sustainable</v>
      </c>
      <c r="R4758" s="34" t="s">
        <v>26444</v>
      </c>
      <c r="S4758" s="52" t="s">
        <v>33721</v>
      </c>
      <c r="T4758" s="22" t="s">
        <v>33722</v>
      </c>
    </row>
    <row r="4759">
      <c r="A4759" s="23" t="s">
        <v>33723</v>
      </c>
      <c r="B4759" s="77" t="s">
        <v>21</v>
      </c>
      <c r="C4759" s="96">
        <v>45630.0</v>
      </c>
      <c r="D4759" s="40" t="s">
        <v>33724</v>
      </c>
      <c r="E4759" s="97" t="s">
        <v>33725</v>
      </c>
      <c r="F4759" s="98" t="s">
        <v>33726</v>
      </c>
      <c r="G4759" s="98" t="s">
        <v>33727</v>
      </c>
      <c r="H4759" s="59" t="s">
        <v>33728</v>
      </c>
      <c r="I4759" s="25" t="str">
        <f>IFERROR(__xludf.DUMMYFUNCTION("GOOGLETRANSLATE(H4759,""EN"",""ES"")"),"Comida y cultura")</f>
        <v>Comida y cultura</v>
      </c>
      <c r="J4759" s="26" t="s">
        <v>27</v>
      </c>
      <c r="K4759" s="17">
        <v>0.0</v>
      </c>
      <c r="L4759" s="51"/>
      <c r="M4759" s="31"/>
      <c r="N4759" s="83"/>
      <c r="O4759" s="83"/>
      <c r="P4759" s="20">
        <v>0.0</v>
      </c>
      <c r="Q4759" s="31"/>
      <c r="R4759" s="31"/>
      <c r="S4759" s="53"/>
      <c r="T4759" s="32"/>
    </row>
    <row r="4760">
      <c r="A4760" s="33" t="s">
        <v>33729</v>
      </c>
      <c r="B4760" s="76" t="s">
        <v>8029</v>
      </c>
      <c r="C4760" s="99">
        <v>45630.0</v>
      </c>
      <c r="D4760" s="40" t="s">
        <v>33730</v>
      </c>
      <c r="E4760" s="100" t="s">
        <v>33731</v>
      </c>
      <c r="F4760" s="101" t="s">
        <v>33732</v>
      </c>
      <c r="G4760" s="101" t="s">
        <v>33733</v>
      </c>
      <c r="H4760" s="61" t="s">
        <v>2591</v>
      </c>
      <c r="I4760" s="15" t="str">
        <f>IFERROR(__xludf.DUMMYFUNCTION("GOOGLETRANSLATE(H4760,""EN"",""ES"")"),"Negocio")</f>
        <v>Negocio</v>
      </c>
      <c r="J4760" s="16" t="s">
        <v>35</v>
      </c>
      <c r="K4760" s="48">
        <v>-0.4</v>
      </c>
      <c r="L4760" s="49" t="s">
        <v>33734</v>
      </c>
      <c r="M4760" s="34" t="s">
        <v>33735</v>
      </c>
      <c r="N4760" s="86" t="s">
        <v>33736</v>
      </c>
      <c r="O4760" s="86" t="str">
        <f>IFERROR(__xludf.DUMMYFUNCTION("GOOGLETRANSLATE(N4760,""EN"",""ES"")"),"Sentimiento ligeramente negativo, lo que refleja una caída del precio de las acciones.")</f>
        <v>Sentimiento ligeramente negativo, lo que refleja una caída del precio de las acciones.</v>
      </c>
      <c r="P4760" s="30">
        <v>0.0</v>
      </c>
      <c r="Q4760" s="18"/>
      <c r="R4760" s="18"/>
      <c r="S4760" s="52" t="s">
        <v>27387</v>
      </c>
      <c r="T4760" s="22" t="s">
        <v>27388</v>
      </c>
    </row>
    <row r="4761">
      <c r="A4761" s="23" t="s">
        <v>33737</v>
      </c>
      <c r="B4761" s="77" t="s">
        <v>33738</v>
      </c>
      <c r="C4761" s="96">
        <v>45630.0</v>
      </c>
      <c r="D4761" s="40" t="s">
        <v>33739</v>
      </c>
      <c r="E4761" s="97" t="s">
        <v>33740</v>
      </c>
      <c r="F4761" s="98" t="s">
        <v>33741</v>
      </c>
      <c r="G4761" s="98" t="s">
        <v>33742</v>
      </c>
      <c r="H4761" s="59" t="s">
        <v>1336</v>
      </c>
      <c r="I4761" s="25" t="str">
        <f>IFERROR(__xludf.DUMMYFUNCTION("GOOGLETRANSLATE(H4761,""EN"",""ES"")"),"Seguridad")</f>
        <v>Seguridad</v>
      </c>
      <c r="J4761" s="26" t="s">
        <v>35</v>
      </c>
      <c r="K4761" s="48">
        <v>0.4</v>
      </c>
      <c r="L4761" s="51" t="s">
        <v>33743</v>
      </c>
      <c r="M4761" s="28" t="s">
        <v>33744</v>
      </c>
      <c r="N4761" s="83" t="s">
        <v>33745</v>
      </c>
      <c r="O4761" s="83" t="str">
        <f>IFERROR(__xludf.DUMMYFUNCTION("GOOGLETRANSLATE(N4761,""EN"",""ES"")"),"Sentimiento ligeramente positivo, ya que el simulacro se consideró exitoso.")</f>
        <v>Sentimiento ligeramente positivo, ya que el simulacro se consideró exitoso.</v>
      </c>
      <c r="P4761" s="30">
        <v>-0.1</v>
      </c>
      <c r="Q4761" s="31" t="str">
        <f>IFERROR(__xludf.DUMMYFUNCTION("GOOGLETRANSLATE(R4761,""ES"",""EN"")"),"serious, ""worked well""")</f>
        <v>serious, "worked well"</v>
      </c>
      <c r="R4761" s="28" t="s">
        <v>33746</v>
      </c>
      <c r="S4761" s="53" t="s">
        <v>33747</v>
      </c>
      <c r="T4761" s="32" t="s">
        <v>33748</v>
      </c>
    </row>
    <row r="4762">
      <c r="A4762" s="33" t="s">
        <v>33749</v>
      </c>
      <c r="B4762" s="76" t="s">
        <v>85</v>
      </c>
      <c r="C4762" s="99">
        <v>45630.0</v>
      </c>
      <c r="D4762" s="40" t="s">
        <v>33750</v>
      </c>
      <c r="E4762" s="100" t="s">
        <v>33751</v>
      </c>
      <c r="F4762" s="101" t="s">
        <v>33752</v>
      </c>
      <c r="G4762" s="101" t="s">
        <v>33753</v>
      </c>
      <c r="H4762" s="61" t="s">
        <v>2591</v>
      </c>
      <c r="I4762" s="15" t="str">
        <f>IFERROR(__xludf.DUMMYFUNCTION("GOOGLETRANSLATE(H4762,""EN"",""ES"")"),"Negocio")</f>
        <v>Negocio</v>
      </c>
      <c r="J4762" s="16" t="s">
        <v>27</v>
      </c>
      <c r="K4762" s="17">
        <v>0.0</v>
      </c>
      <c r="L4762" s="49"/>
      <c r="M4762" s="18"/>
      <c r="N4762" s="86"/>
      <c r="O4762" s="86"/>
      <c r="P4762" s="20">
        <v>0.0</v>
      </c>
      <c r="Q4762" s="18"/>
      <c r="R4762" s="18"/>
      <c r="S4762" s="52"/>
      <c r="T4762" s="22"/>
    </row>
    <row r="4763">
      <c r="A4763" s="23" t="s">
        <v>33754</v>
      </c>
      <c r="B4763" s="77" t="s">
        <v>207</v>
      </c>
      <c r="C4763" s="96">
        <v>45630.0</v>
      </c>
      <c r="D4763" s="40" t="s">
        <v>33755</v>
      </c>
      <c r="E4763" s="97" t="s">
        <v>33756</v>
      </c>
      <c r="F4763" s="98" t="s">
        <v>33757</v>
      </c>
      <c r="G4763" s="98" t="s">
        <v>33758</v>
      </c>
      <c r="H4763" s="59" t="s">
        <v>33759</v>
      </c>
      <c r="I4763" s="25" t="str">
        <f>IFERROR(__xludf.DUMMYFUNCTION("GOOGLETRANSLATE(H4763,""EN"",""ES"")"),"Sostenibilidad y Educación")</f>
        <v>Sostenibilidad y Educación</v>
      </c>
      <c r="J4763" s="26" t="s">
        <v>35</v>
      </c>
      <c r="K4763" s="48">
        <v>0.7</v>
      </c>
      <c r="L4763" s="51" t="s">
        <v>33760</v>
      </c>
      <c r="M4763" s="28" t="s">
        <v>33761</v>
      </c>
      <c r="N4763" s="83" t="s">
        <v>33762</v>
      </c>
      <c r="O4763" s="83" t="str">
        <f>IFERROR(__xludf.DUMMYFUNCTION("GOOGLETRANSLATE(N4763,""EN"",""ES"")"),"Sentimiento positivo, destacando un esfuerzo conjunto para la capacitación del sector energético.")</f>
        <v>Sentimiento positivo, destacando un esfuerzo conjunto para la capacitación del sector energético.</v>
      </c>
      <c r="P4763" s="30">
        <v>0.3</v>
      </c>
      <c r="Q4763" s="31" t="str">
        <f>IFERROR(__xludf.DUMMYFUNCTION("GOOGLETRANSLATE(R4763,""ES"",""EN"")"),"sustainable")</f>
        <v>sustainable</v>
      </c>
      <c r="R4763" s="28" t="s">
        <v>26444</v>
      </c>
      <c r="S4763" s="53" t="s">
        <v>33763</v>
      </c>
      <c r="T4763" s="32" t="s">
        <v>33764</v>
      </c>
    </row>
    <row r="4764">
      <c r="A4764" s="33" t="s">
        <v>33765</v>
      </c>
      <c r="B4764" s="76" t="s">
        <v>23334</v>
      </c>
      <c r="C4764" s="99">
        <v>45630.0</v>
      </c>
      <c r="D4764" s="40" t="s">
        <v>33766</v>
      </c>
      <c r="E4764" s="100" t="s">
        <v>33767</v>
      </c>
      <c r="F4764" s="101" t="s">
        <v>33768</v>
      </c>
      <c r="G4764" s="101" t="s">
        <v>33769</v>
      </c>
      <c r="H4764" s="61" t="s">
        <v>48</v>
      </c>
      <c r="I4764" s="15" t="str">
        <f>IFERROR(__xludf.DUMMYFUNCTION("GOOGLETRANSLATE(H4764,""EN"",""ES"")"),"Finanzas")</f>
        <v>Finanzas</v>
      </c>
      <c r="J4764" s="16" t="s">
        <v>27</v>
      </c>
      <c r="K4764" s="17">
        <v>0.0</v>
      </c>
      <c r="L4764" s="49"/>
      <c r="M4764" s="18"/>
      <c r="N4764" s="86"/>
      <c r="O4764" s="86"/>
      <c r="P4764" s="20">
        <v>0.0</v>
      </c>
      <c r="Q4764" s="18"/>
      <c r="R4764" s="18"/>
      <c r="S4764" s="52"/>
      <c r="T4764" s="22"/>
    </row>
    <row r="4765">
      <c r="A4765" s="23" t="s">
        <v>33770</v>
      </c>
      <c r="B4765" s="77" t="s">
        <v>881</v>
      </c>
      <c r="C4765" s="96">
        <v>45630.0</v>
      </c>
      <c r="D4765" s="40" t="s">
        <v>33771</v>
      </c>
      <c r="E4765" s="97" t="s">
        <v>33772</v>
      </c>
      <c r="F4765" s="98" t="s">
        <v>33773</v>
      </c>
      <c r="G4765" s="98" t="s">
        <v>33774</v>
      </c>
      <c r="H4765" s="59" t="s">
        <v>1336</v>
      </c>
      <c r="I4765" s="25" t="str">
        <f>IFERROR(__xludf.DUMMYFUNCTION("GOOGLETRANSLATE(H4765,""EN"",""ES"")"),"Seguridad")</f>
        <v>Seguridad</v>
      </c>
      <c r="J4765" s="26" t="s">
        <v>35</v>
      </c>
      <c r="K4765" s="48">
        <v>-0.4</v>
      </c>
      <c r="L4765" s="51" t="s">
        <v>33775</v>
      </c>
      <c r="M4765" s="28" t="s">
        <v>33776</v>
      </c>
      <c r="N4765" s="83" t="s">
        <v>33777</v>
      </c>
      <c r="O4765" s="83" t="str">
        <f>IFERROR(__xludf.DUMMYFUNCTION("GOOGLETRANSLATE(N4765,""EN"",""ES"")"),"Sentimiento ligeramente negativo, mencionando una respuesta de emergencia simulada.")</f>
        <v>Sentimiento ligeramente negativo, mencionando una respuesta de emergencia simulada.</v>
      </c>
      <c r="P4765" s="30">
        <v>-0.2</v>
      </c>
      <c r="Q4765" s="31" t="str">
        <f>IFERROR(__xludf.DUMMYFUNCTION("GOOGLETRANSLATE(R4765,""ES"",""EN"")"),"incident")</f>
        <v>incident</v>
      </c>
      <c r="R4765" s="28" t="s">
        <v>33778</v>
      </c>
      <c r="S4765" s="53" t="s">
        <v>33779</v>
      </c>
      <c r="T4765" s="32" t="s">
        <v>33780</v>
      </c>
    </row>
    <row r="4766">
      <c r="A4766" s="33" t="s">
        <v>33781</v>
      </c>
      <c r="B4766" s="76" t="s">
        <v>1081</v>
      </c>
      <c r="C4766" s="99">
        <v>45630.0</v>
      </c>
      <c r="D4766" s="40" t="s">
        <v>33782</v>
      </c>
      <c r="E4766" s="100" t="s">
        <v>33783</v>
      </c>
      <c r="F4766" s="101" t="s">
        <v>33784</v>
      </c>
      <c r="G4766" s="101" t="s">
        <v>33785</v>
      </c>
      <c r="H4766" s="61" t="s">
        <v>33786</v>
      </c>
      <c r="I4766" s="15" t="str">
        <f>IFERROR(__xludf.DUMMYFUNCTION("GOOGLETRANSLATE(H4766,""EN"",""ES"")"),"Negocios y alimentación")</f>
        <v>Negocios y alimentación</v>
      </c>
      <c r="J4766" s="16" t="s">
        <v>27</v>
      </c>
      <c r="K4766" s="17">
        <v>0.0</v>
      </c>
      <c r="L4766" s="49"/>
      <c r="M4766" s="18"/>
      <c r="N4766" s="86"/>
      <c r="O4766" s="86"/>
      <c r="P4766" s="20">
        <v>0.0</v>
      </c>
      <c r="Q4766" s="18"/>
      <c r="R4766" s="18"/>
      <c r="S4766" s="52"/>
      <c r="T4766" s="22"/>
    </row>
    <row r="4767">
      <c r="A4767" s="23" t="s">
        <v>33787</v>
      </c>
      <c r="B4767" s="77" t="s">
        <v>33788</v>
      </c>
      <c r="C4767" s="96">
        <v>45630.0</v>
      </c>
      <c r="D4767" s="40" t="s">
        <v>33789</v>
      </c>
      <c r="E4767" s="97" t="s">
        <v>33790</v>
      </c>
      <c r="F4767" s="98" t="s">
        <v>33791</v>
      </c>
      <c r="G4767" s="98" t="s">
        <v>33792</v>
      </c>
      <c r="H4767" s="59" t="s">
        <v>33628</v>
      </c>
      <c r="I4767" s="25" t="str">
        <f>IFERROR(__xludf.DUMMYFUNCTION("GOOGLETRANSLATE(H4767,""EN"",""ES"")"),"Ambiental y Legal")</f>
        <v>Ambiental y Legal</v>
      </c>
      <c r="J4767" s="26" t="s">
        <v>27</v>
      </c>
      <c r="K4767" s="17">
        <v>0.0</v>
      </c>
      <c r="L4767" s="51"/>
      <c r="M4767" s="31"/>
      <c r="N4767" s="83"/>
      <c r="O4767" s="83"/>
      <c r="P4767" s="20">
        <v>0.0</v>
      </c>
      <c r="Q4767" s="31"/>
      <c r="R4767" s="31"/>
      <c r="S4767" s="53"/>
      <c r="T4767" s="32"/>
    </row>
    <row r="4768">
      <c r="A4768" s="33" t="s">
        <v>33793</v>
      </c>
      <c r="B4768" s="76" t="s">
        <v>15617</v>
      </c>
      <c r="C4768" s="99">
        <v>45630.0</v>
      </c>
      <c r="D4768" s="40" t="s">
        <v>33794</v>
      </c>
      <c r="E4768" s="100" t="s">
        <v>33795</v>
      </c>
      <c r="F4768" s="101" t="s">
        <v>33796</v>
      </c>
      <c r="G4768" s="101" t="s">
        <v>33797</v>
      </c>
      <c r="H4768" s="61" t="s">
        <v>34</v>
      </c>
      <c r="I4768" s="15" t="str">
        <f>IFERROR(__xludf.DUMMYFUNCTION("GOOGLETRANSLATE(H4768,""EN"",""ES"")"),"Responsabilidad Social Corporativa")</f>
        <v>Responsabilidad Social Corporativa</v>
      </c>
      <c r="J4768" s="16" t="s">
        <v>27</v>
      </c>
      <c r="K4768" s="17">
        <v>0.0</v>
      </c>
      <c r="L4768" s="49"/>
      <c r="M4768" s="18"/>
      <c r="N4768" s="86"/>
      <c r="O4768" s="86"/>
      <c r="P4768" s="20">
        <v>0.0</v>
      </c>
      <c r="Q4768" s="18"/>
      <c r="R4768" s="18"/>
      <c r="S4768" s="52"/>
      <c r="T4768" s="22"/>
    </row>
    <row r="4769">
      <c r="A4769" s="23" t="s">
        <v>33798</v>
      </c>
      <c r="B4769" s="77" t="s">
        <v>43</v>
      </c>
      <c r="C4769" s="96">
        <v>45630.0</v>
      </c>
      <c r="D4769" s="40" t="s">
        <v>33799</v>
      </c>
      <c r="E4769" s="97" t="s">
        <v>33800</v>
      </c>
      <c r="F4769" s="98" t="s">
        <v>33801</v>
      </c>
      <c r="G4769" s="98" t="s">
        <v>33802</v>
      </c>
      <c r="H4769" s="59" t="s">
        <v>33803</v>
      </c>
      <c r="I4769" s="25" t="str">
        <f>IFERROR(__xludf.DUMMYFUNCTION("GOOGLETRANSLATE(H4769,""EN"",""ES"")"),"Seguridad y respuesta a emergencias")</f>
        <v>Seguridad y respuesta a emergencias</v>
      </c>
      <c r="J4769" s="26" t="s">
        <v>35</v>
      </c>
      <c r="K4769" s="48">
        <v>0.3</v>
      </c>
      <c r="L4769" s="51" t="s">
        <v>33804</v>
      </c>
      <c r="M4769" s="28" t="s">
        <v>33805</v>
      </c>
      <c r="N4769" s="83" t="s">
        <v>33806</v>
      </c>
      <c r="O4769" s="83" t="str">
        <f>IFERROR(__xludf.DUMMYFUNCTION("GOOGLETRANSLATE(N4769,""EN"",""ES"")"),"Sentimiento ligeramente positivo, ya que se trata de un ejercicio de preparación.")</f>
        <v>Sentimiento ligeramente positivo, ya que se trata de un ejercicio de preparación.</v>
      </c>
      <c r="P4769" s="30">
        <v>-0.4</v>
      </c>
      <c r="Q4769" s="31" t="str">
        <f>IFERROR(__xludf.DUMMYFUNCTION("GOOGLETRANSLATE(R4769,""ES"",""EN"")"),"chemical accident")</f>
        <v>chemical accident</v>
      </c>
      <c r="R4769" s="28" t="s">
        <v>33807</v>
      </c>
      <c r="S4769" s="53" t="s">
        <v>33808</v>
      </c>
      <c r="T4769" s="32" t="s">
        <v>33809</v>
      </c>
    </row>
    <row r="4770">
      <c r="A4770" s="33" t="s">
        <v>33810</v>
      </c>
      <c r="B4770" s="76" t="s">
        <v>2696</v>
      </c>
      <c r="C4770" s="99">
        <v>45630.0</v>
      </c>
      <c r="D4770" s="40" t="s">
        <v>33811</v>
      </c>
      <c r="E4770" s="100" t="s">
        <v>33812</v>
      </c>
      <c r="F4770" s="101" t="s">
        <v>33813</v>
      </c>
      <c r="G4770" s="101" t="s">
        <v>33814</v>
      </c>
      <c r="H4770" s="61" t="s">
        <v>33815</v>
      </c>
      <c r="I4770" s="15" t="str">
        <f>IFERROR(__xludf.DUMMYFUNCTION("GOOGLETRANSLATE(H4770,""EN"",""ES"")"),"Educación e Innovación")</f>
        <v>Educación e Innovación</v>
      </c>
      <c r="J4770" s="16" t="s">
        <v>27</v>
      </c>
      <c r="K4770" s="17">
        <v>0.0</v>
      </c>
      <c r="L4770" s="49"/>
      <c r="M4770" s="18"/>
      <c r="N4770" s="86"/>
      <c r="O4770" s="86"/>
      <c r="P4770" s="20">
        <v>0.0</v>
      </c>
      <c r="Q4770" s="18"/>
      <c r="R4770" s="18"/>
      <c r="S4770" s="52"/>
      <c r="T4770" s="22"/>
    </row>
    <row r="4771">
      <c r="A4771" s="23" t="s">
        <v>33816</v>
      </c>
      <c r="B4771" s="77" t="s">
        <v>33350</v>
      </c>
      <c r="C4771" s="96">
        <v>45630.0</v>
      </c>
      <c r="D4771" s="40" t="s">
        <v>33817</v>
      </c>
      <c r="E4771" s="97" t="s">
        <v>33818</v>
      </c>
      <c r="F4771" s="98" t="s">
        <v>33819</v>
      </c>
      <c r="G4771" s="98" t="s">
        <v>33820</v>
      </c>
      <c r="H4771" s="59" t="s">
        <v>2591</v>
      </c>
      <c r="I4771" s="25" t="str">
        <f>IFERROR(__xludf.DUMMYFUNCTION("GOOGLETRANSLATE(H4771,""EN"",""ES"")"),"Negocio")</f>
        <v>Negocio</v>
      </c>
      <c r="J4771" s="26" t="s">
        <v>35</v>
      </c>
      <c r="K4771" s="48">
        <v>-0.6</v>
      </c>
      <c r="L4771" s="51" t="s">
        <v>33821</v>
      </c>
      <c r="M4771" s="28" t="s">
        <v>33821</v>
      </c>
      <c r="N4771" s="83" t="s">
        <v>33822</v>
      </c>
      <c r="O4771" s="83" t="str">
        <f>IFERROR(__xludf.DUMMYFUNCTION("GOOGLETRANSLATE(N4771,""EN"",""ES"")"),"Sentimiento negativo, destacando la salida de la empresa de Colombia.")</f>
        <v>Sentimiento negativo, destacando la salida de la empresa de Colombia.</v>
      </c>
      <c r="P4771" s="30">
        <v>-0.3</v>
      </c>
      <c r="Q4771" s="31" t="str">
        <f>IFERROR(__xludf.DUMMYFUNCTION("GOOGLETRANSLATE(R4771,""ES"",""EN"")"),"they left")</f>
        <v>they left</v>
      </c>
      <c r="R4771" s="28" t="s">
        <v>33823</v>
      </c>
      <c r="S4771" s="53" t="s">
        <v>33824</v>
      </c>
      <c r="T4771" s="32" t="s">
        <v>33825</v>
      </c>
    </row>
    <row r="4772">
      <c r="A4772" s="33" t="s">
        <v>33826</v>
      </c>
      <c r="B4772" s="76" t="s">
        <v>24117</v>
      </c>
      <c r="C4772" s="99">
        <v>45630.0</v>
      </c>
      <c r="D4772" s="40" t="s">
        <v>33827</v>
      </c>
      <c r="E4772" s="100" t="s">
        <v>33828</v>
      </c>
      <c r="F4772" s="101" t="s">
        <v>33829</v>
      </c>
      <c r="G4772" s="101" t="s">
        <v>33830</v>
      </c>
      <c r="H4772" s="61" t="s">
        <v>2591</v>
      </c>
      <c r="I4772" s="15" t="str">
        <f>IFERROR(__xludf.DUMMYFUNCTION("GOOGLETRANSLATE(H4772,""EN"",""ES"")"),"Negocio")</f>
        <v>Negocio</v>
      </c>
      <c r="J4772" s="16" t="s">
        <v>35</v>
      </c>
      <c r="K4772" s="48">
        <v>-0.5</v>
      </c>
      <c r="L4772" s="49" t="s">
        <v>33831</v>
      </c>
      <c r="M4772" s="34" t="s">
        <v>33832</v>
      </c>
      <c r="N4772" s="86" t="s">
        <v>33833</v>
      </c>
      <c r="O4772" s="86" t="str">
        <f>IFERROR(__xludf.DUMMYFUNCTION("GOOGLETRANSLATE(N4772,""EN"",""ES"")"),"Sentimiento negativo que marca la salida de Repsol de Colombia.")</f>
        <v>Sentimiento negativo que marca la salida de Repsol de Colombia.</v>
      </c>
      <c r="P4772" s="30">
        <v>-0.3</v>
      </c>
      <c r="Q4772" s="18" t="str">
        <f>IFERROR(__xludf.DUMMYFUNCTION("GOOGLETRANSLATE(R4772,""ES"",""EN"")"),"bye")</f>
        <v>bye</v>
      </c>
      <c r="R4772" s="34" t="s">
        <v>14362</v>
      </c>
      <c r="S4772" s="52" t="s">
        <v>30228</v>
      </c>
      <c r="T4772" s="22" t="s">
        <v>30229</v>
      </c>
    </row>
    <row r="4773">
      <c r="A4773" s="23" t="s">
        <v>33834</v>
      </c>
      <c r="B4773" s="77" t="s">
        <v>21</v>
      </c>
      <c r="C4773" s="96">
        <v>45630.0</v>
      </c>
      <c r="D4773" s="40" t="s">
        <v>33835</v>
      </c>
      <c r="E4773" s="97" t="s">
        <v>33835</v>
      </c>
      <c r="F4773" s="98" t="s">
        <v>33836</v>
      </c>
      <c r="G4773" s="98" t="s">
        <v>33836</v>
      </c>
      <c r="H4773" s="59" t="s">
        <v>33837</v>
      </c>
      <c r="I4773" s="25" t="str">
        <f>IFERROR(__xludf.DUMMYFUNCTION("GOOGLETRANSLATE(H4773,""EN"",""ES"")"),"Alimentación y agricultura")</f>
        <v>Alimentación y agricultura</v>
      </c>
      <c r="J4773" s="26" t="s">
        <v>27</v>
      </c>
      <c r="K4773" s="17">
        <v>0.0</v>
      </c>
      <c r="L4773" s="51"/>
      <c r="M4773" s="31"/>
      <c r="N4773" s="83"/>
      <c r="O4773" s="83"/>
      <c r="P4773" s="20">
        <v>0.0</v>
      </c>
      <c r="Q4773" s="31"/>
      <c r="R4773" s="31"/>
      <c r="S4773" s="53"/>
      <c r="T4773" s="32"/>
    </row>
    <row r="4774">
      <c r="A4774" s="33" t="s">
        <v>33838</v>
      </c>
      <c r="B4774" s="76" t="s">
        <v>8029</v>
      </c>
      <c r="C4774" s="99">
        <v>45630.0</v>
      </c>
      <c r="D4774" s="40" t="s">
        <v>33839</v>
      </c>
      <c r="E4774" s="100" t="s">
        <v>33840</v>
      </c>
      <c r="F4774" s="101" t="s">
        <v>33841</v>
      </c>
      <c r="G4774" s="101" t="s">
        <v>33842</v>
      </c>
      <c r="H4774" s="61" t="s">
        <v>2591</v>
      </c>
      <c r="I4774" s="15" t="str">
        <f>IFERROR(__xludf.DUMMYFUNCTION("GOOGLETRANSLATE(H4774,""EN"",""ES"")"),"Negocio")</f>
        <v>Negocio</v>
      </c>
      <c r="J4774" s="16" t="s">
        <v>35</v>
      </c>
      <c r="K4774" s="48">
        <v>0.0</v>
      </c>
      <c r="L4774" s="49"/>
      <c r="M4774" s="18"/>
      <c r="N4774" s="86" t="s">
        <v>33843</v>
      </c>
      <c r="O4774" s="86" t="str">
        <f>IFERROR(__xludf.DUMMYFUNCTION("GOOGLETRANSLATE(N4774,""EN"",""ES"")"),"Sentimiento neutral, proporcionando actualizaciones del mercado de valores.")</f>
        <v>Sentimiento neutral, proporcionando actualizaciones del mercado de valores.</v>
      </c>
      <c r="P4774" s="30">
        <v>0.0</v>
      </c>
      <c r="Q4774" s="18"/>
      <c r="R4774" s="18"/>
      <c r="S4774" s="52" t="s">
        <v>27387</v>
      </c>
      <c r="T4774" s="22" t="s">
        <v>27388</v>
      </c>
    </row>
    <row r="4775">
      <c r="A4775" s="23" t="s">
        <v>33844</v>
      </c>
      <c r="B4775" s="77" t="s">
        <v>3045</v>
      </c>
      <c r="C4775" s="96">
        <v>45630.0</v>
      </c>
      <c r="D4775" s="40" t="s">
        <v>33845</v>
      </c>
      <c r="E4775" s="97" t="s">
        <v>33846</v>
      </c>
      <c r="F4775" s="98" t="s">
        <v>33847</v>
      </c>
      <c r="G4775" s="98" t="s">
        <v>33848</v>
      </c>
      <c r="H4775" s="59" t="s">
        <v>33492</v>
      </c>
      <c r="I4775" s="25" t="str">
        <f>IFERROR(__xludf.DUMMYFUNCTION("GOOGLETRANSLATE(H4775,""EN"",""ES"")"),"Comida y viajes")</f>
        <v>Comida y viajes</v>
      </c>
      <c r="J4775" s="26" t="s">
        <v>27</v>
      </c>
      <c r="K4775" s="17">
        <v>0.0</v>
      </c>
      <c r="L4775" s="51"/>
      <c r="M4775" s="31"/>
      <c r="N4775" s="83"/>
      <c r="O4775" s="83"/>
      <c r="P4775" s="20">
        <v>0.0</v>
      </c>
      <c r="Q4775" s="31"/>
      <c r="R4775" s="31"/>
      <c r="S4775" s="53"/>
      <c r="T4775" s="32"/>
    </row>
    <row r="4776">
      <c r="A4776" s="33" t="s">
        <v>33849</v>
      </c>
      <c r="B4776" s="76" t="s">
        <v>17305</v>
      </c>
      <c r="C4776" s="99">
        <v>45630.0</v>
      </c>
      <c r="D4776" s="40" t="s">
        <v>33850</v>
      </c>
      <c r="E4776" s="100" t="s">
        <v>33851</v>
      </c>
      <c r="F4776" s="101" t="s">
        <v>33852</v>
      </c>
      <c r="G4776" s="101" t="s">
        <v>33853</v>
      </c>
      <c r="H4776" s="61" t="s">
        <v>33658</v>
      </c>
      <c r="I4776" s="15" t="str">
        <f>IFERROR(__xludf.DUMMYFUNCTION("GOOGLETRANSLATE(H4776,""EN"",""ES"")"),"Sostenibilidad y Alimentación")</f>
        <v>Sostenibilidad y Alimentación</v>
      </c>
      <c r="J4776" s="16" t="s">
        <v>27</v>
      </c>
      <c r="K4776" s="17">
        <v>0.0</v>
      </c>
      <c r="L4776" s="49"/>
      <c r="M4776" s="18"/>
      <c r="N4776" s="86"/>
      <c r="O4776" s="86"/>
      <c r="P4776" s="20">
        <v>0.0</v>
      </c>
      <c r="Q4776" s="18"/>
      <c r="R4776" s="18"/>
      <c r="S4776" s="52"/>
      <c r="T4776" s="22"/>
    </row>
    <row r="4777">
      <c r="A4777" s="23" t="s">
        <v>33854</v>
      </c>
      <c r="B4777" s="77" t="s">
        <v>17169</v>
      </c>
      <c r="C4777" s="96">
        <v>45630.0</v>
      </c>
      <c r="D4777" s="40" t="s">
        <v>33855</v>
      </c>
      <c r="E4777" s="97" t="s">
        <v>33856</v>
      </c>
      <c r="F4777" s="98" t="s">
        <v>33857</v>
      </c>
      <c r="G4777" s="98" t="s">
        <v>33858</v>
      </c>
      <c r="H4777" s="59" t="s">
        <v>33859</v>
      </c>
      <c r="I4777" s="25" t="str">
        <f>IFERROR(__xludf.DUMMYFUNCTION("GOOGLETRANSLATE(H4777,""EN"",""ES"")"),"Negocios e Ingeniería")</f>
        <v>Negocios e Ingeniería</v>
      </c>
      <c r="J4777" s="26" t="s">
        <v>35</v>
      </c>
      <c r="K4777" s="48">
        <v>0.7</v>
      </c>
      <c r="L4777" s="51" t="s">
        <v>33860</v>
      </c>
      <c r="M4777" s="28" t="s">
        <v>33861</v>
      </c>
      <c r="N4777" s="83" t="s">
        <v>33862</v>
      </c>
      <c r="O4777" s="83" t="str">
        <f>IFERROR(__xludf.DUMMYFUNCTION("GOOGLETRANSLATE(N4777,""EN"",""ES"")"),"Sentimiento positivo, destacando la expansión de Repsol en la ingeniería offshore.")</f>
        <v>Sentimiento positivo, destacando la expansión de Repsol en la ingeniería offshore.</v>
      </c>
      <c r="P4777" s="30">
        <v>0.1</v>
      </c>
      <c r="Q4777" s="31" t="str">
        <f>IFERROR(__xludf.DUMMYFUNCTION("GOOGLETRANSLATE(R4777,""ES"",""EN"")"),"None")</f>
        <v>None</v>
      </c>
      <c r="R4777" s="28" t="s">
        <v>14309</v>
      </c>
      <c r="S4777" s="53" t="s">
        <v>33863</v>
      </c>
      <c r="T4777" s="32" t="s">
        <v>33864</v>
      </c>
    </row>
    <row r="4778">
      <c r="A4778" s="33" t="s">
        <v>33865</v>
      </c>
      <c r="B4778" s="76" t="s">
        <v>11295</v>
      </c>
      <c r="C4778" s="99">
        <v>45630.0</v>
      </c>
      <c r="D4778" s="40" t="s">
        <v>33866</v>
      </c>
      <c r="E4778" s="100" t="s">
        <v>33867</v>
      </c>
      <c r="F4778" s="101" t="s">
        <v>33868</v>
      </c>
      <c r="G4778" s="101" t="s">
        <v>33869</v>
      </c>
      <c r="H4778" s="61" t="s">
        <v>33870</v>
      </c>
      <c r="I4778" s="15" t="str">
        <f>IFERROR(__xludf.DUMMYFUNCTION("GOOGLETRANSLATE(H4778,""EN"",""ES"")"),"Energía y Economía")</f>
        <v>Energía y Economía</v>
      </c>
      <c r="J4778" s="16" t="s">
        <v>27</v>
      </c>
      <c r="K4778" s="17">
        <v>0.0</v>
      </c>
      <c r="L4778" s="49"/>
      <c r="M4778" s="18"/>
      <c r="N4778" s="86"/>
      <c r="O4778" s="86"/>
      <c r="P4778" s="20">
        <v>0.0</v>
      </c>
      <c r="Q4778" s="18"/>
      <c r="R4778" s="18"/>
      <c r="S4778" s="52"/>
      <c r="T4778" s="22"/>
    </row>
    <row r="4779">
      <c r="A4779" s="23" t="s">
        <v>33871</v>
      </c>
      <c r="B4779" s="77" t="s">
        <v>33872</v>
      </c>
      <c r="C4779" s="96">
        <v>45630.0</v>
      </c>
      <c r="D4779" s="40" t="s">
        <v>33873</v>
      </c>
      <c r="E4779" s="97" t="s">
        <v>33874</v>
      </c>
      <c r="F4779" s="98" t="s">
        <v>33875</v>
      </c>
      <c r="G4779" s="98" t="s">
        <v>33876</v>
      </c>
      <c r="H4779" s="59" t="s">
        <v>2591</v>
      </c>
      <c r="I4779" s="25" t="str">
        <f>IFERROR(__xludf.DUMMYFUNCTION("GOOGLETRANSLATE(H4779,""EN"",""ES"")"),"Negocio")</f>
        <v>Negocio</v>
      </c>
      <c r="J4779" s="26" t="s">
        <v>35</v>
      </c>
      <c r="K4779" s="48">
        <v>-0.6</v>
      </c>
      <c r="L4779" s="51" t="s">
        <v>33566</v>
      </c>
      <c r="M4779" s="28" t="s">
        <v>33567</v>
      </c>
      <c r="N4779" s="83" t="s">
        <v>33877</v>
      </c>
      <c r="O4779" s="83" t="str">
        <f>IFERROR(__xludf.DUMMYFUNCTION("GOOGLETRANSLATE(N4779,""EN"",""ES"")"),"Sentimiento negativo, centrado en una salida importante de Colombia.")</f>
        <v>Sentimiento negativo, centrado en una salida importante de Colombia.</v>
      </c>
      <c r="P4779" s="30">
        <v>-0.3</v>
      </c>
      <c r="Q4779" s="31" t="str">
        <f>IFERROR(__xludf.DUMMYFUNCTION("GOOGLETRANSLATE(R4779,""ES"",""EN"")"),"he leaves")</f>
        <v>he leaves</v>
      </c>
      <c r="R4779" s="28" t="s">
        <v>33878</v>
      </c>
      <c r="S4779" s="53" t="s">
        <v>33824</v>
      </c>
      <c r="T4779" s="32" t="s">
        <v>33825</v>
      </c>
    </row>
    <row r="4780">
      <c r="A4780" s="33" t="s">
        <v>33879</v>
      </c>
      <c r="B4780" s="76" t="s">
        <v>28889</v>
      </c>
      <c r="C4780" s="99">
        <v>45631.0</v>
      </c>
      <c r="D4780" s="40" t="s">
        <v>33880</v>
      </c>
      <c r="E4780" s="100" t="s">
        <v>33881</v>
      </c>
      <c r="F4780" s="101" t="s">
        <v>33882</v>
      </c>
      <c r="G4780" s="101" t="s">
        <v>33883</v>
      </c>
      <c r="H4780" s="61" t="s">
        <v>33717</v>
      </c>
      <c r="I4780" s="15" t="str">
        <f>IFERROR(__xludf.DUMMYFUNCTION("GOOGLETRANSLATE(H4780,""EN"",""ES"")"),"Sostenibilidad y Negocios")</f>
        <v>Sostenibilidad y Negocios</v>
      </c>
      <c r="J4780" s="16" t="s">
        <v>35</v>
      </c>
      <c r="K4780" s="48">
        <v>0.8</v>
      </c>
      <c r="L4780" s="49" t="s">
        <v>33884</v>
      </c>
      <c r="M4780" s="34" t="s">
        <v>33885</v>
      </c>
      <c r="N4780" s="86" t="s">
        <v>33886</v>
      </c>
      <c r="O4780" s="86" t="str">
        <f>IFERROR(__xludf.DUMMYFUNCTION("GOOGLETRANSLATE(N4780,""EN"",""ES"")"),"Sentimiento positivo, que muestra el compromiso con los combustibles sostenibles.")</f>
        <v>Sentimiento positivo, que muestra el compromiso con los combustibles sostenibles.</v>
      </c>
      <c r="P4780" s="30">
        <v>0.6</v>
      </c>
      <c r="Q4780" s="18" t="str">
        <f>IFERROR(__xludf.DUMMYFUNCTION("GOOGLETRANSLATE(R4780,""ES"",""EN"")"),"renewable")</f>
        <v>renewable</v>
      </c>
      <c r="R4780" s="34" t="s">
        <v>18255</v>
      </c>
      <c r="S4780" s="52" t="s">
        <v>23066</v>
      </c>
      <c r="T4780" s="22" t="s">
        <v>23067</v>
      </c>
    </row>
    <row r="4781">
      <c r="A4781" s="23" t="s">
        <v>33887</v>
      </c>
      <c r="B4781" s="77" t="s">
        <v>91</v>
      </c>
      <c r="C4781" s="96">
        <v>45631.0</v>
      </c>
      <c r="D4781" s="40" t="s">
        <v>33888</v>
      </c>
      <c r="E4781" s="97" t="s">
        <v>33889</v>
      </c>
      <c r="F4781" s="98" t="s">
        <v>33890</v>
      </c>
      <c r="G4781" s="98" t="s">
        <v>33891</v>
      </c>
      <c r="H4781" s="59" t="s">
        <v>33646</v>
      </c>
      <c r="I4781" s="25" t="str">
        <f>IFERROR(__xludf.DUMMYFUNCTION("GOOGLETRANSLATE(H4781,""EN"",""ES"")"),"Política y negocios")</f>
        <v>Política y negocios</v>
      </c>
      <c r="J4781" s="26" t="s">
        <v>35</v>
      </c>
      <c r="K4781" s="48">
        <v>-0.7</v>
      </c>
      <c r="L4781" s="51" t="s">
        <v>33892</v>
      </c>
      <c r="M4781" s="28" t="s">
        <v>33893</v>
      </c>
      <c r="N4781" s="83" t="s">
        <v>33894</v>
      </c>
      <c r="O4781" s="83" t="str">
        <f>IFERROR(__xludf.DUMMYFUNCTION("GOOGLETRANSLATE(N4781,""EN"",""ES"")"),"Sentimiento fuertemente negativo, acusando a las empresas de manipular a los grupos laborales.")</f>
        <v>Sentimiento fuertemente negativo, acusando a las empresas de manipular a los grupos laborales.</v>
      </c>
      <c r="P4781" s="30">
        <v>-0.5</v>
      </c>
      <c r="Q4781" s="31" t="str">
        <f>IFERROR(__xludf.DUMMYFUNCTION("GOOGLETRANSLATE(R4781,""ES"",""EN"")"),"prohibit")</f>
        <v>prohibit</v>
      </c>
      <c r="R4781" s="28" t="s">
        <v>33895</v>
      </c>
      <c r="S4781" s="53" t="s">
        <v>33896</v>
      </c>
      <c r="T4781" s="32" t="s">
        <v>33897</v>
      </c>
    </row>
    <row r="4782">
      <c r="A4782" s="33" t="s">
        <v>33898</v>
      </c>
      <c r="B4782" s="76" t="s">
        <v>21</v>
      </c>
      <c r="C4782" s="99">
        <v>45631.0</v>
      </c>
      <c r="D4782" s="40" t="s">
        <v>33899</v>
      </c>
      <c r="E4782" s="100" t="s">
        <v>33900</v>
      </c>
      <c r="F4782" s="101" t="s">
        <v>33901</v>
      </c>
      <c r="G4782" s="101" t="s">
        <v>33902</v>
      </c>
      <c r="H4782" s="61" t="s">
        <v>33492</v>
      </c>
      <c r="I4782" s="15" t="str">
        <f>IFERROR(__xludf.DUMMYFUNCTION("GOOGLETRANSLATE(H4782,""EN"",""ES"")"),"Comida y viajes")</f>
        <v>Comida y viajes</v>
      </c>
      <c r="J4782" s="16" t="s">
        <v>27</v>
      </c>
      <c r="K4782" s="17">
        <v>0.0</v>
      </c>
      <c r="L4782" s="49"/>
      <c r="M4782" s="18"/>
      <c r="N4782" s="86"/>
      <c r="O4782" s="86"/>
      <c r="P4782" s="20">
        <v>0.0</v>
      </c>
      <c r="Q4782" s="18"/>
      <c r="R4782" s="18"/>
      <c r="S4782" s="52"/>
      <c r="T4782" s="22"/>
    </row>
    <row r="4783">
      <c r="A4783" s="23" t="s">
        <v>33903</v>
      </c>
      <c r="B4783" s="77" t="s">
        <v>21</v>
      </c>
      <c r="C4783" s="96">
        <v>45631.0</v>
      </c>
      <c r="D4783" s="40" t="s">
        <v>33904</v>
      </c>
      <c r="E4783" s="97" t="s">
        <v>33905</v>
      </c>
      <c r="F4783" s="98" t="s">
        <v>33906</v>
      </c>
      <c r="G4783" s="98" t="s">
        <v>33907</v>
      </c>
      <c r="H4783" s="59" t="s">
        <v>33492</v>
      </c>
      <c r="I4783" s="25" t="str">
        <f>IFERROR(__xludf.DUMMYFUNCTION("GOOGLETRANSLATE(H4783,""EN"",""ES"")"),"Comida y viajes")</f>
        <v>Comida y viajes</v>
      </c>
      <c r="J4783" s="26" t="s">
        <v>27</v>
      </c>
      <c r="K4783" s="17">
        <v>0.0</v>
      </c>
      <c r="L4783" s="51"/>
      <c r="M4783" s="31"/>
      <c r="N4783" s="83"/>
      <c r="O4783" s="83"/>
      <c r="P4783" s="20">
        <v>0.0</v>
      </c>
      <c r="Q4783" s="31"/>
      <c r="R4783" s="31"/>
      <c r="S4783" s="53"/>
      <c r="T4783" s="32"/>
    </row>
    <row r="4784">
      <c r="A4784" s="33" t="s">
        <v>33908</v>
      </c>
      <c r="B4784" s="76" t="s">
        <v>33909</v>
      </c>
      <c r="C4784" s="99">
        <v>45631.0</v>
      </c>
      <c r="D4784" s="40" t="s">
        <v>33910</v>
      </c>
      <c r="E4784" s="100" t="s">
        <v>33911</v>
      </c>
      <c r="F4784" s="101" t="s">
        <v>33912</v>
      </c>
      <c r="G4784" s="101" t="s">
        <v>33913</v>
      </c>
      <c r="H4784" s="61" t="s">
        <v>33717</v>
      </c>
      <c r="I4784" s="15" t="str">
        <f>IFERROR(__xludf.DUMMYFUNCTION("GOOGLETRANSLATE(H4784,""EN"",""ES"")"),"Sostenibilidad y Negocios")</f>
        <v>Sostenibilidad y Negocios</v>
      </c>
      <c r="J4784" s="16" t="s">
        <v>35</v>
      </c>
      <c r="K4784" s="48">
        <v>0.9</v>
      </c>
      <c r="L4784" s="49" t="s">
        <v>33914</v>
      </c>
      <c r="M4784" s="34" t="s">
        <v>33915</v>
      </c>
      <c r="N4784" s="86" t="s">
        <v>33916</v>
      </c>
      <c r="O4784" s="86" t="str">
        <f>IFERROR(__xludf.DUMMYFUNCTION("GOOGLETRANSLATE(N4784,""EN"",""ES"")"),"Sentimiento fuertemente positivo, enfatizando la sostenibilidad y el liderazgo.")</f>
        <v>Sentimiento fuertemente positivo, enfatizando la sostenibilidad y el liderazgo.</v>
      </c>
      <c r="P4784" s="30">
        <v>0.5</v>
      </c>
      <c r="Q4784" s="18" t="str">
        <f>IFERROR(__xludf.DUMMYFUNCTION("GOOGLETRANSLATE(R4784,""ES"",""EN"")"),"sustainable")</f>
        <v>sustainable</v>
      </c>
      <c r="R4784" s="34" t="s">
        <v>26444</v>
      </c>
      <c r="S4784" s="52" t="s">
        <v>33917</v>
      </c>
      <c r="T4784" s="22" t="s">
        <v>33918</v>
      </c>
    </row>
    <row r="4785">
      <c r="A4785" s="23" t="s">
        <v>33919</v>
      </c>
      <c r="B4785" s="77" t="s">
        <v>614</v>
      </c>
      <c r="C4785" s="96">
        <v>45631.0</v>
      </c>
      <c r="D4785" s="40" t="s">
        <v>33920</v>
      </c>
      <c r="E4785" s="97" t="s">
        <v>33921</v>
      </c>
      <c r="F4785" s="98" t="s">
        <v>33922</v>
      </c>
      <c r="G4785" s="98" t="s">
        <v>33923</v>
      </c>
      <c r="H4785" s="59" t="s">
        <v>33924</v>
      </c>
      <c r="I4785" s="25" t="str">
        <f>IFERROR(__xludf.DUMMYFUNCTION("GOOGLETRANSLATE(H4785,""EN"",""ES"")"),"Bien social")</f>
        <v>Bien social</v>
      </c>
      <c r="J4785" s="26" t="s">
        <v>27</v>
      </c>
      <c r="K4785" s="17">
        <v>0.0</v>
      </c>
      <c r="L4785" s="51"/>
      <c r="M4785" s="31"/>
      <c r="N4785" s="83"/>
      <c r="O4785" s="83"/>
      <c r="P4785" s="20">
        <v>0.0</v>
      </c>
      <c r="Q4785" s="31"/>
      <c r="R4785" s="31"/>
      <c r="S4785" s="53"/>
      <c r="T4785" s="32"/>
    </row>
    <row r="4786">
      <c r="A4786" s="33" t="s">
        <v>33925</v>
      </c>
      <c r="B4786" s="76" t="s">
        <v>163</v>
      </c>
      <c r="C4786" s="99">
        <v>45631.0</v>
      </c>
      <c r="D4786" s="40" t="s">
        <v>33926</v>
      </c>
      <c r="E4786" s="100" t="s">
        <v>33927</v>
      </c>
      <c r="F4786" s="101" t="s">
        <v>33928</v>
      </c>
      <c r="G4786" s="101" t="s">
        <v>33929</v>
      </c>
      <c r="H4786" s="61" t="s">
        <v>33728</v>
      </c>
      <c r="I4786" s="15" t="str">
        <f>IFERROR(__xludf.DUMMYFUNCTION("GOOGLETRANSLATE(H4786,""EN"",""ES"")"),"Comida y cultura")</f>
        <v>Comida y cultura</v>
      </c>
      <c r="J4786" s="16" t="s">
        <v>27</v>
      </c>
      <c r="K4786" s="17">
        <v>0.0</v>
      </c>
      <c r="L4786" s="49"/>
      <c r="M4786" s="18"/>
      <c r="N4786" s="86"/>
      <c r="O4786" s="86"/>
      <c r="P4786" s="20">
        <v>0.0</v>
      </c>
      <c r="Q4786" s="18"/>
      <c r="R4786" s="18"/>
      <c r="S4786" s="52"/>
      <c r="T4786" s="22"/>
    </row>
    <row r="4787">
      <c r="A4787" s="23" t="s">
        <v>33930</v>
      </c>
      <c r="B4787" s="77" t="s">
        <v>8029</v>
      </c>
      <c r="C4787" s="96">
        <v>45631.0</v>
      </c>
      <c r="D4787" s="40" t="s">
        <v>33931</v>
      </c>
      <c r="E4787" s="97" t="s">
        <v>33932</v>
      </c>
      <c r="F4787" s="98" t="s">
        <v>33933</v>
      </c>
      <c r="G4787" s="98" t="s">
        <v>33934</v>
      </c>
      <c r="H4787" s="59" t="s">
        <v>2591</v>
      </c>
      <c r="I4787" s="25" t="str">
        <f>IFERROR(__xludf.DUMMYFUNCTION("GOOGLETRANSLATE(H4787,""EN"",""ES"")"),"Negocio")</f>
        <v>Negocio</v>
      </c>
      <c r="J4787" s="26" t="s">
        <v>35</v>
      </c>
      <c r="K4787" s="48">
        <v>0.0</v>
      </c>
      <c r="L4787" s="51"/>
      <c r="M4787" s="31"/>
      <c r="N4787" s="83" t="s">
        <v>33843</v>
      </c>
      <c r="O4787" s="83" t="str">
        <f>IFERROR(__xludf.DUMMYFUNCTION("GOOGLETRANSLATE(N4787,""EN"",""ES"")"),"Sentimiento neutral, proporcionando actualizaciones del mercado de valores.")</f>
        <v>Sentimiento neutral, proporcionando actualizaciones del mercado de valores.</v>
      </c>
      <c r="P4787" s="30">
        <v>0.0</v>
      </c>
      <c r="Q4787" s="31"/>
      <c r="R4787" s="31"/>
      <c r="S4787" s="53" t="s">
        <v>27387</v>
      </c>
      <c r="T4787" s="32" t="s">
        <v>27388</v>
      </c>
    </row>
    <row r="4788">
      <c r="A4788" s="33" t="s">
        <v>33935</v>
      </c>
      <c r="B4788" s="76" t="s">
        <v>1005</v>
      </c>
      <c r="C4788" s="99">
        <v>45631.0</v>
      </c>
      <c r="D4788" s="40" t="s">
        <v>33936</v>
      </c>
      <c r="E4788" s="100" t="s">
        <v>33937</v>
      </c>
      <c r="F4788" s="101" t="s">
        <v>33938</v>
      </c>
      <c r="G4788" s="101" t="s">
        <v>33939</v>
      </c>
      <c r="H4788" s="61" t="s">
        <v>33646</v>
      </c>
      <c r="I4788" s="15" t="str">
        <f>IFERROR(__xludf.DUMMYFUNCTION("GOOGLETRANSLATE(H4788,""EN"",""ES"")"),"Política y negocios")</f>
        <v>Política y negocios</v>
      </c>
      <c r="J4788" s="16" t="s">
        <v>35</v>
      </c>
      <c r="K4788" s="48">
        <v>0.7</v>
      </c>
      <c r="L4788" s="49" t="s">
        <v>33940</v>
      </c>
      <c r="M4788" s="34" t="s">
        <v>33941</v>
      </c>
      <c r="N4788" s="86" t="s">
        <v>33942</v>
      </c>
      <c r="O4788" s="86" t="str">
        <f>IFERROR(__xludf.DUMMYFUNCTION("GOOGLETRANSLATE(N4788,""EN"",""ES"")"),"Sentimiento positivo, destacando oportunidades de inversión en España.")</f>
        <v>Sentimiento positivo, destacando oportunidades de inversión en España.</v>
      </c>
      <c r="P4788" s="30">
        <v>-0.4</v>
      </c>
      <c r="Q4788" s="18" t="str">
        <f>IFERROR(__xludf.DUMMYFUNCTION("GOOGLETRANSLATE(R4788,""ES"",""EN"")"),"threats")</f>
        <v>threats</v>
      </c>
      <c r="R4788" s="34" t="s">
        <v>28171</v>
      </c>
      <c r="S4788" s="52" t="s">
        <v>33943</v>
      </c>
      <c r="T4788" s="22" t="s">
        <v>33944</v>
      </c>
    </row>
    <row r="4789">
      <c r="A4789" s="23" t="s">
        <v>33945</v>
      </c>
      <c r="B4789" s="77" t="s">
        <v>1602</v>
      </c>
      <c r="C4789" s="96">
        <v>45631.0</v>
      </c>
      <c r="D4789" s="40" t="s">
        <v>33946</v>
      </c>
      <c r="E4789" s="97" t="s">
        <v>28255</v>
      </c>
      <c r="F4789" s="98" t="s">
        <v>33946</v>
      </c>
      <c r="G4789" s="98" t="s">
        <v>28257</v>
      </c>
      <c r="H4789" s="59" t="s">
        <v>2591</v>
      </c>
      <c r="I4789" s="25" t="str">
        <f>IFERROR(__xludf.DUMMYFUNCTION("GOOGLETRANSLATE(H4789,""EN"",""ES"")"),"Negocio")</f>
        <v>Negocio</v>
      </c>
      <c r="J4789" s="26" t="s">
        <v>27</v>
      </c>
      <c r="K4789" s="17">
        <v>0.0</v>
      </c>
      <c r="L4789" s="51"/>
      <c r="M4789" s="31"/>
      <c r="N4789" s="83"/>
      <c r="O4789" s="83"/>
      <c r="P4789" s="20">
        <v>0.0</v>
      </c>
      <c r="Q4789" s="31"/>
      <c r="R4789" s="31"/>
      <c r="S4789" s="53"/>
      <c r="T4789" s="32"/>
    </row>
    <row r="4790">
      <c r="A4790" s="33" t="s">
        <v>33947</v>
      </c>
      <c r="B4790" s="76" t="s">
        <v>4673</v>
      </c>
      <c r="C4790" s="99">
        <v>45631.0</v>
      </c>
      <c r="D4790" s="40" t="s">
        <v>33948</v>
      </c>
      <c r="E4790" s="100" t="s">
        <v>33949</v>
      </c>
      <c r="F4790" s="101" t="s">
        <v>33950</v>
      </c>
      <c r="G4790" s="101" t="s">
        <v>33951</v>
      </c>
      <c r="H4790" s="61" t="s">
        <v>148</v>
      </c>
      <c r="I4790" s="15" t="str">
        <f>IFERROR(__xludf.DUMMYFUNCTION("GOOGLETRANSLATE(H4790,""EN"",""ES"")"),"Gastronomía")</f>
        <v>Gastronomía</v>
      </c>
      <c r="J4790" s="16" t="s">
        <v>27</v>
      </c>
      <c r="K4790" s="17">
        <v>0.0</v>
      </c>
      <c r="L4790" s="49"/>
      <c r="M4790" s="18"/>
      <c r="N4790" s="86"/>
      <c r="O4790" s="86"/>
      <c r="P4790" s="20">
        <v>0.0</v>
      </c>
      <c r="Q4790" s="18"/>
      <c r="R4790" s="18"/>
      <c r="S4790" s="52"/>
      <c r="T4790" s="22"/>
    </row>
    <row r="4791">
      <c r="A4791" s="23" t="s">
        <v>33952</v>
      </c>
      <c r="B4791" s="77" t="s">
        <v>85</v>
      </c>
      <c r="C4791" s="96">
        <v>45631.0</v>
      </c>
      <c r="D4791" s="40" t="s">
        <v>33953</v>
      </c>
      <c r="E4791" s="97" t="s">
        <v>33954</v>
      </c>
      <c r="F4791" s="98" t="s">
        <v>33955</v>
      </c>
      <c r="G4791" s="98" t="s">
        <v>33956</v>
      </c>
      <c r="H4791" s="59" t="s">
        <v>148</v>
      </c>
      <c r="I4791" s="25" t="str">
        <f>IFERROR(__xludf.DUMMYFUNCTION("GOOGLETRANSLATE(H4791,""EN"",""ES"")"),"Gastronomía")</f>
        <v>Gastronomía</v>
      </c>
      <c r="J4791" s="26" t="s">
        <v>27</v>
      </c>
      <c r="K4791" s="17">
        <v>0.0</v>
      </c>
      <c r="L4791" s="51"/>
      <c r="M4791" s="31"/>
      <c r="N4791" s="83"/>
      <c r="O4791" s="83"/>
      <c r="P4791" s="20">
        <v>0.0</v>
      </c>
      <c r="Q4791" s="31"/>
      <c r="R4791" s="31"/>
      <c r="S4791" s="53"/>
      <c r="T4791" s="32"/>
    </row>
    <row r="4792">
      <c r="A4792" s="33" t="s">
        <v>33957</v>
      </c>
      <c r="B4792" s="76" t="s">
        <v>254</v>
      </c>
      <c r="C4792" s="99">
        <v>45631.0</v>
      </c>
      <c r="D4792" s="40" t="s">
        <v>33958</v>
      </c>
      <c r="E4792" s="100" t="s">
        <v>33959</v>
      </c>
      <c r="F4792" s="101" t="s">
        <v>33960</v>
      </c>
      <c r="G4792" s="101" t="s">
        <v>33961</v>
      </c>
      <c r="H4792" s="61" t="s">
        <v>14999</v>
      </c>
      <c r="I4792" s="15" t="str">
        <f>IFERROR(__xludf.DUMMYFUNCTION("GOOGLETRANSLATE(H4792,""EN"",""ES"")"),"Ambiental")</f>
        <v>Ambiental</v>
      </c>
      <c r="J4792" s="16" t="s">
        <v>35</v>
      </c>
      <c r="K4792" s="48">
        <v>-0.5</v>
      </c>
      <c r="L4792" s="49" t="s">
        <v>33962</v>
      </c>
      <c r="M4792" s="34" t="s">
        <v>33963</v>
      </c>
      <c r="N4792" s="86" t="s">
        <v>33964</v>
      </c>
      <c r="O4792" s="86" t="str">
        <f>IFERROR(__xludf.DUMMYFUNCTION("GOOGLETRANSLATE(N4792,""EN"",""ES"")"),"Sentimiento negativo, informar sobre un posible problema medioambiental.")</f>
        <v>Sentimiento negativo, informar sobre un posible problema medioambiental.</v>
      </c>
      <c r="P4792" s="30">
        <v>-0.6</v>
      </c>
      <c r="Q4792" s="18" t="str">
        <f>IFERROR(__xludf.DUMMYFUNCTION("GOOGLETRANSLATE(R4792,""ES"",""EN"")"),"outcrop")</f>
        <v>outcrop</v>
      </c>
      <c r="R4792" s="34" t="s">
        <v>33965</v>
      </c>
      <c r="S4792" s="52" t="s">
        <v>33966</v>
      </c>
      <c r="T4792" s="22" t="s">
        <v>33967</v>
      </c>
    </row>
    <row r="4793">
      <c r="A4793" s="23" t="s">
        <v>33968</v>
      </c>
      <c r="B4793" s="77" t="s">
        <v>21</v>
      </c>
      <c r="C4793" s="96">
        <v>45631.0</v>
      </c>
      <c r="D4793" s="40" t="s">
        <v>33969</v>
      </c>
      <c r="E4793" s="97" t="s">
        <v>33970</v>
      </c>
      <c r="F4793" s="98" t="s">
        <v>33971</v>
      </c>
      <c r="G4793" s="98" t="s">
        <v>33972</v>
      </c>
      <c r="H4793" s="59" t="s">
        <v>148</v>
      </c>
      <c r="I4793" s="25" t="str">
        <f>IFERROR(__xludf.DUMMYFUNCTION("GOOGLETRANSLATE(H4793,""EN"",""ES"")"),"Gastronomía")</f>
        <v>Gastronomía</v>
      </c>
      <c r="J4793" s="26" t="s">
        <v>27</v>
      </c>
      <c r="K4793" s="17">
        <v>0.0</v>
      </c>
      <c r="L4793" s="51"/>
      <c r="M4793" s="31"/>
      <c r="N4793" s="83"/>
      <c r="O4793" s="83"/>
      <c r="P4793" s="20">
        <v>0.0</v>
      </c>
      <c r="Q4793" s="31"/>
      <c r="R4793" s="31"/>
      <c r="S4793" s="53"/>
      <c r="T4793" s="32"/>
    </row>
    <row r="4794">
      <c r="A4794" s="33" t="s">
        <v>33973</v>
      </c>
      <c r="B4794" s="76" t="s">
        <v>614</v>
      </c>
      <c r="C4794" s="99">
        <v>45631.0</v>
      </c>
      <c r="D4794" s="40" t="s">
        <v>33974</v>
      </c>
      <c r="E4794" s="100" t="s">
        <v>33975</v>
      </c>
      <c r="F4794" s="101" t="s">
        <v>33976</v>
      </c>
      <c r="G4794" s="101" t="s">
        <v>33977</v>
      </c>
      <c r="H4794" s="61" t="s">
        <v>130</v>
      </c>
      <c r="I4794" s="15" t="str">
        <f>IFERROR(__xludf.DUMMYFUNCTION("GOOGLETRANSLATE(H4794,""EN"",""ES"")"),"Sostenibilidad")</f>
        <v>Sostenibilidad</v>
      </c>
      <c r="J4794" s="16" t="s">
        <v>35</v>
      </c>
      <c r="K4794" s="48">
        <v>0.8</v>
      </c>
      <c r="L4794" s="49" t="s">
        <v>33978</v>
      </c>
      <c r="M4794" s="34" t="s">
        <v>33979</v>
      </c>
      <c r="N4794" s="86" t="s">
        <v>33980</v>
      </c>
      <c r="O4794" s="86" t="str">
        <f>IFERROR(__xludf.DUMMYFUNCTION("GOOGLETRANSLATE(N4794,""EN"",""ES"")"),"Sentimiento positivo, que refuerza las iniciativas de sostenibilidad de Repsol.")</f>
        <v>Sentimiento positivo, que refuerza las iniciativas de sostenibilidad de Repsol.</v>
      </c>
      <c r="P4794" s="30">
        <v>0.5</v>
      </c>
      <c r="Q4794" s="18" t="str">
        <f>IFERROR(__xludf.DUMMYFUNCTION("GOOGLETRANSLATE(R4794,""ES"",""EN"")"),"renewable")</f>
        <v>renewable</v>
      </c>
      <c r="R4794" s="34" t="s">
        <v>13833</v>
      </c>
      <c r="S4794" s="52" t="s">
        <v>23066</v>
      </c>
      <c r="T4794" s="22" t="s">
        <v>23067</v>
      </c>
    </row>
    <row r="4795">
      <c r="A4795" s="23" t="s">
        <v>33981</v>
      </c>
      <c r="B4795" s="77" t="s">
        <v>12124</v>
      </c>
      <c r="C4795" s="96">
        <v>45631.0</v>
      </c>
      <c r="D4795" s="40" t="s">
        <v>33982</v>
      </c>
      <c r="E4795" s="97" t="s">
        <v>33983</v>
      </c>
      <c r="F4795" s="98" t="s">
        <v>33984</v>
      </c>
      <c r="G4795" s="98" t="s">
        <v>33985</v>
      </c>
      <c r="H4795" s="59" t="s">
        <v>34</v>
      </c>
      <c r="I4795" s="25" t="str">
        <f>IFERROR(__xludf.DUMMYFUNCTION("GOOGLETRANSLATE(H4795,""EN"",""ES"")"),"Responsabilidad Social Corporativa")</f>
        <v>Responsabilidad Social Corporativa</v>
      </c>
      <c r="J4795" s="26" t="s">
        <v>35</v>
      </c>
      <c r="K4795" s="48">
        <v>0.6</v>
      </c>
      <c r="L4795" s="51" t="s">
        <v>33986</v>
      </c>
      <c r="M4795" s="28" t="s">
        <v>33987</v>
      </c>
      <c r="N4795" s="83" t="s">
        <v>33988</v>
      </c>
      <c r="O4795" s="83" t="str">
        <f>IFERROR(__xludf.DUMMYFUNCTION("GOOGLETRANSLATE(N4795,""EN"",""ES"")"),"Sentimiento positivo, apoyo a iniciativas culturales y educativas.")</f>
        <v>Sentimiento positivo, apoyo a iniciativas culturales y educativas.</v>
      </c>
      <c r="P4795" s="30">
        <v>0.2</v>
      </c>
      <c r="Q4795" s="31" t="str">
        <f>IFERROR(__xludf.DUMMYFUNCTION("GOOGLETRANSLATE(R4795,""ES"",""EN"")"),"None")</f>
        <v>None</v>
      </c>
      <c r="R4795" s="28" t="s">
        <v>14309</v>
      </c>
      <c r="S4795" s="53" t="s">
        <v>33989</v>
      </c>
      <c r="T4795" s="32" t="s">
        <v>33990</v>
      </c>
    </row>
    <row r="4796">
      <c r="A4796" s="33" t="s">
        <v>33991</v>
      </c>
      <c r="B4796" s="76" t="s">
        <v>163</v>
      </c>
      <c r="C4796" s="99">
        <v>45632.0</v>
      </c>
      <c r="D4796" s="40" t="s">
        <v>33992</v>
      </c>
      <c r="E4796" s="100" t="s">
        <v>33993</v>
      </c>
      <c r="F4796" s="101" t="s">
        <v>33994</v>
      </c>
      <c r="G4796" s="101" t="s">
        <v>33995</v>
      </c>
      <c r="H4796" s="61" t="s">
        <v>33996</v>
      </c>
      <c r="I4796" s="15" t="str">
        <f>IFERROR(__xludf.DUMMYFUNCTION("GOOGLETRANSLATE(H4796,""EN"",""ES"")"),"Sostenibilidad y tecnología")</f>
        <v>Sostenibilidad y tecnología</v>
      </c>
      <c r="J4796" s="16" t="s">
        <v>35</v>
      </c>
      <c r="K4796" s="48">
        <v>0.7</v>
      </c>
      <c r="L4796" s="49" t="s">
        <v>33997</v>
      </c>
      <c r="M4796" s="34" t="s">
        <v>33998</v>
      </c>
      <c r="N4796" s="86" t="s">
        <v>33999</v>
      </c>
      <c r="O4796" s="86" t="str">
        <f>IFERROR(__xludf.DUMMYFUNCTION("GOOGLETRANSLATE(N4796,""EN"",""ES"")"),"Sentimiento positivo, destacando la inversión de Repsol en infraestructuras para vehículos eléctricos.")</f>
        <v>Sentimiento positivo, destacando la inversión de Repsol en infraestructuras para vehículos eléctricos.</v>
      </c>
      <c r="P4796" s="30">
        <v>0.6</v>
      </c>
      <c r="Q4796" s="18" t="str">
        <f>IFERROR(__xludf.DUMMYFUNCTION("GOOGLETRANSLATE(R4796,""ES"",""EN"")"),"recharge, ""electric""")</f>
        <v>recharge, "electric"</v>
      </c>
      <c r="R4796" s="34" t="s">
        <v>34000</v>
      </c>
      <c r="S4796" s="52" t="s">
        <v>26745</v>
      </c>
      <c r="T4796" s="22" t="s">
        <v>26746</v>
      </c>
    </row>
    <row r="4797">
      <c r="A4797" s="23" t="s">
        <v>34001</v>
      </c>
      <c r="B4797" s="77" t="s">
        <v>339</v>
      </c>
      <c r="C4797" s="96">
        <v>45632.0</v>
      </c>
      <c r="D4797" s="40" t="s">
        <v>34002</v>
      </c>
      <c r="E4797" s="97" t="s">
        <v>34003</v>
      </c>
      <c r="F4797" s="98" t="s">
        <v>34004</v>
      </c>
      <c r="G4797" s="98" t="s">
        <v>34005</v>
      </c>
      <c r="H4797" s="59" t="s">
        <v>33759</v>
      </c>
      <c r="I4797" s="25" t="str">
        <f>IFERROR(__xludf.DUMMYFUNCTION("GOOGLETRANSLATE(H4797,""EN"",""ES"")"),"Sostenibilidad y Educación")</f>
        <v>Sostenibilidad y Educación</v>
      </c>
      <c r="J4797" s="26" t="s">
        <v>35</v>
      </c>
      <c r="K4797" s="48">
        <v>0.7</v>
      </c>
      <c r="L4797" s="51" t="s">
        <v>33760</v>
      </c>
      <c r="M4797" s="28" t="s">
        <v>33761</v>
      </c>
      <c r="N4797" s="83" t="s">
        <v>34006</v>
      </c>
      <c r="O4797" s="83" t="str">
        <f>IFERROR(__xludf.DUMMYFUNCTION("GOOGLETRANSLATE(N4797,""EN"",""ES"")"),"Sentimiento positivo, enfatizando la sostenibilidad y la colaboración de la industria.")</f>
        <v>Sentimiento positivo, enfatizando la sostenibilidad y la colaboración de la industria.</v>
      </c>
      <c r="P4797" s="30">
        <v>0.5</v>
      </c>
      <c r="Q4797" s="31" t="str">
        <f>IFERROR(__xludf.DUMMYFUNCTION("GOOGLETRANSLATE(R4797,""ES"",""EN"")"),"Green Energy")</f>
        <v>Green Energy</v>
      </c>
      <c r="R4797" s="28" t="s">
        <v>34007</v>
      </c>
      <c r="S4797" s="53" t="s">
        <v>33721</v>
      </c>
      <c r="T4797" s="32" t="s">
        <v>33722</v>
      </c>
    </row>
    <row r="4798">
      <c r="A4798" s="33" t="s">
        <v>34008</v>
      </c>
      <c r="B4798" s="76" t="s">
        <v>1602</v>
      </c>
      <c r="C4798" s="99">
        <v>45632.0</v>
      </c>
      <c r="D4798" s="40" t="s">
        <v>34009</v>
      </c>
      <c r="E4798" s="100" t="s">
        <v>34010</v>
      </c>
      <c r="F4798" s="101" t="s">
        <v>34011</v>
      </c>
      <c r="G4798" s="101" t="s">
        <v>34012</v>
      </c>
      <c r="H4798" s="61" t="s">
        <v>130</v>
      </c>
      <c r="I4798" s="15" t="str">
        <f>IFERROR(__xludf.DUMMYFUNCTION("GOOGLETRANSLATE(H4798,""EN"",""ES"")"),"Sostenibilidad")</f>
        <v>Sostenibilidad</v>
      </c>
      <c r="J4798" s="16" t="s">
        <v>35</v>
      </c>
      <c r="K4798" s="48">
        <v>0.7</v>
      </c>
      <c r="L4798" s="49" t="s">
        <v>34013</v>
      </c>
      <c r="M4798" s="34" t="s">
        <v>34014</v>
      </c>
      <c r="N4798" s="86" t="s">
        <v>34015</v>
      </c>
      <c r="O4798" s="86" t="str">
        <f>IFERROR(__xludf.DUMMYFUNCTION("GOOGLETRANSLATE(N4798,""EN"",""ES"")"),"Sentimiento positivo, que refuerza la apuesta de Repsol por las energías verdes.")</f>
        <v>Sentimiento positivo, que refuerza la apuesta de Repsol por las energías verdes.</v>
      </c>
      <c r="P4798" s="30">
        <v>0.6</v>
      </c>
      <c r="Q4798" s="18" t="str">
        <f>IFERROR(__xludf.DUMMYFUNCTION("GOOGLETRANSLATE(R4798,""ES"",""EN"")"),"recharge, ""electric""")</f>
        <v>recharge, "electric"</v>
      </c>
      <c r="R4798" s="34" t="s">
        <v>34000</v>
      </c>
      <c r="S4798" s="52" t="s">
        <v>33611</v>
      </c>
      <c r="T4798" s="22" t="s">
        <v>33612</v>
      </c>
    </row>
    <row r="4799">
      <c r="A4799" s="23" t="s">
        <v>34016</v>
      </c>
      <c r="B4799" s="77" t="s">
        <v>859</v>
      </c>
      <c r="C4799" s="96">
        <v>45632.0</v>
      </c>
      <c r="D4799" s="40" t="s">
        <v>34017</v>
      </c>
      <c r="E4799" s="97" t="s">
        <v>34018</v>
      </c>
      <c r="F4799" s="98" t="s">
        <v>34019</v>
      </c>
      <c r="G4799" s="98" t="s">
        <v>34020</v>
      </c>
      <c r="H4799" s="59" t="s">
        <v>34021</v>
      </c>
      <c r="I4799" s="25" t="str">
        <f>IFERROR(__xludf.DUMMYFUNCTION("GOOGLETRANSLATE(H4799,""EN"",""ES"")"),"Medio ambiente y energía")</f>
        <v>Medio ambiente y energía</v>
      </c>
      <c r="J4799" s="26" t="s">
        <v>35</v>
      </c>
      <c r="K4799" s="48">
        <v>0.5</v>
      </c>
      <c r="L4799" s="51" t="s">
        <v>34022</v>
      </c>
      <c r="M4799" s="28" t="s">
        <v>34023</v>
      </c>
      <c r="N4799" s="83" t="s">
        <v>34024</v>
      </c>
      <c r="O4799" s="83" t="str">
        <f>IFERROR(__xludf.DUMMYFUNCTION("GOOGLETRANSLATE(N4799,""EN"",""ES"")"),"Sentimiento de neutro a ligeramente positivo, ya que se trata de gestión medioambiental.")</f>
        <v>Sentimiento de neutro a ligeramente positivo, ya que se trata de gestión medioambiental.</v>
      </c>
      <c r="P4799" s="30">
        <v>0.1</v>
      </c>
      <c r="Q4799" s="31" t="str">
        <f>IFERROR(__xludf.DUMMYFUNCTION("GOOGLETRANSLATE(R4799,""ES"",""EN"")"),"sealed")</f>
        <v>sealed</v>
      </c>
      <c r="R4799" s="28" t="s">
        <v>34025</v>
      </c>
      <c r="S4799" s="53" t="s">
        <v>24222</v>
      </c>
      <c r="T4799" s="32" t="s">
        <v>24223</v>
      </c>
    </row>
    <row r="4800">
      <c r="A4800" s="33" t="s">
        <v>34026</v>
      </c>
      <c r="B4800" s="76" t="s">
        <v>8029</v>
      </c>
      <c r="C4800" s="99">
        <v>45632.0</v>
      </c>
      <c r="D4800" s="40" t="s">
        <v>34027</v>
      </c>
      <c r="E4800" s="100" t="s">
        <v>34028</v>
      </c>
      <c r="F4800" s="101" t="s">
        <v>34029</v>
      </c>
      <c r="G4800" s="101" t="s">
        <v>34030</v>
      </c>
      <c r="H4800" s="61" t="s">
        <v>2591</v>
      </c>
      <c r="I4800" s="15" t="str">
        <f>IFERROR(__xludf.DUMMYFUNCTION("GOOGLETRANSLATE(H4800,""EN"",""ES"")"),"Negocio")</f>
        <v>Negocio</v>
      </c>
      <c r="J4800" s="16" t="s">
        <v>35</v>
      </c>
      <c r="K4800" s="48">
        <v>-0.4</v>
      </c>
      <c r="L4800" s="49" t="s">
        <v>33734</v>
      </c>
      <c r="M4800" s="34" t="s">
        <v>33735</v>
      </c>
      <c r="N4800" s="86" t="s">
        <v>34031</v>
      </c>
      <c r="O4800" s="86" t="str">
        <f>IFERROR(__xludf.DUMMYFUNCTION("GOOGLETRANSLATE(N4800,""EN"",""ES"")"),"Sentimiento ligeramente negativo, lo que indica una caída en el precio de las acciones.")</f>
        <v>Sentimiento ligeramente negativo, lo que indica una caída en el precio de las acciones.</v>
      </c>
      <c r="P4800" s="30">
        <v>0.0</v>
      </c>
      <c r="Q4800" s="18"/>
      <c r="R4800" s="18"/>
      <c r="S4800" s="52" t="s">
        <v>27387</v>
      </c>
      <c r="T4800" s="22" t="s">
        <v>27388</v>
      </c>
    </row>
    <row r="4801">
      <c r="A4801" s="23" t="s">
        <v>34032</v>
      </c>
      <c r="B4801" s="77" t="s">
        <v>163</v>
      </c>
      <c r="C4801" s="96">
        <v>45632.0</v>
      </c>
      <c r="D4801" s="40" t="s">
        <v>34033</v>
      </c>
      <c r="E4801" s="97" t="s">
        <v>34034</v>
      </c>
      <c r="F4801" s="98" t="s">
        <v>34035</v>
      </c>
      <c r="G4801" s="98" t="s">
        <v>34036</v>
      </c>
      <c r="H4801" s="59" t="s">
        <v>14999</v>
      </c>
      <c r="I4801" s="25" t="str">
        <f>IFERROR(__xludf.DUMMYFUNCTION("GOOGLETRANSLATE(H4801,""EN"",""ES"")"),"Ambiental")</f>
        <v>Ambiental</v>
      </c>
      <c r="J4801" s="26" t="s">
        <v>35</v>
      </c>
      <c r="K4801" s="48">
        <v>-0.7</v>
      </c>
      <c r="L4801" s="51" t="s">
        <v>34037</v>
      </c>
      <c r="M4801" s="28" t="s">
        <v>34038</v>
      </c>
      <c r="N4801" s="83" t="s">
        <v>34039</v>
      </c>
      <c r="O4801" s="83" t="str">
        <f>IFERROR(__xludf.DUMMYFUNCTION("GOOGLETRANSLATE(N4801,""EN"",""ES"")"),"Sentimiento fuertemente negativo, destacando un accidente medioambiental.")</f>
        <v>Sentimiento fuertemente negativo, destacando un accidente medioambiental.</v>
      </c>
      <c r="P4801" s="30">
        <v>-0.8</v>
      </c>
      <c r="Q4801" s="31" t="str">
        <f>IFERROR(__xludf.DUMMYFUNCTION("GOOGLETRANSLATE(R4801,""ES"",""EN"")"),"oil spill")</f>
        <v>oil spill</v>
      </c>
      <c r="R4801" s="28" t="s">
        <v>34040</v>
      </c>
      <c r="S4801" s="53" t="s">
        <v>10312</v>
      </c>
      <c r="T4801" s="32" t="s">
        <v>10313</v>
      </c>
    </row>
    <row r="4802">
      <c r="A4802" s="33" t="s">
        <v>34041</v>
      </c>
      <c r="B4802" s="76" t="s">
        <v>1011</v>
      </c>
      <c r="C4802" s="99">
        <v>45632.0</v>
      </c>
      <c r="D4802" s="40" t="s">
        <v>34042</v>
      </c>
      <c r="E4802" s="100" t="s">
        <v>34043</v>
      </c>
      <c r="F4802" s="101" t="s">
        <v>34044</v>
      </c>
      <c r="G4802" s="101" t="s">
        <v>34045</v>
      </c>
      <c r="H4802" s="61" t="s">
        <v>14999</v>
      </c>
      <c r="I4802" s="15" t="str">
        <f>IFERROR(__xludf.DUMMYFUNCTION("GOOGLETRANSLATE(H4802,""EN"",""ES"")"),"Ambiental")</f>
        <v>Ambiental</v>
      </c>
      <c r="J4802" s="16" t="s">
        <v>35</v>
      </c>
      <c r="K4802" s="48">
        <v>-0.5</v>
      </c>
      <c r="L4802" s="49" t="s">
        <v>33962</v>
      </c>
      <c r="M4802" s="34" t="s">
        <v>33963</v>
      </c>
      <c r="N4802" s="86" t="s">
        <v>34046</v>
      </c>
      <c r="O4802" s="86" t="str">
        <f>IFERROR(__xludf.DUMMYFUNCTION("GOOGLETRANSLATE(N4802,""EN"",""ES"")"),"Sentimiento negativo, lo que sugiere posibles preocupaciones medioambientales.")</f>
        <v>Sentimiento negativo, lo que sugiere posibles preocupaciones medioambientales.</v>
      </c>
      <c r="P4802" s="30">
        <v>-0.7</v>
      </c>
      <c r="Q4802" s="18" t="str">
        <f>IFERROR(__xludf.DUMMYFUNCTION("GOOGLETRANSLATE(R4802,""ES"",""EN"")"),"hydrocarbon outcrop")</f>
        <v>hydrocarbon outcrop</v>
      </c>
      <c r="R4802" s="34" t="s">
        <v>34047</v>
      </c>
      <c r="S4802" s="52" t="s">
        <v>34048</v>
      </c>
      <c r="T4802" s="22" t="s">
        <v>34049</v>
      </c>
    </row>
    <row r="4803">
      <c r="A4803" s="23" t="s">
        <v>34050</v>
      </c>
      <c r="B4803" s="77" t="s">
        <v>34051</v>
      </c>
      <c r="C4803" s="96">
        <v>45632.0</v>
      </c>
      <c r="D4803" s="40" t="s">
        <v>34052</v>
      </c>
      <c r="E4803" s="97" t="s">
        <v>34053</v>
      </c>
      <c r="F4803" s="98" t="s">
        <v>34054</v>
      </c>
      <c r="G4803" s="98" t="s">
        <v>34055</v>
      </c>
      <c r="H4803" s="59" t="s">
        <v>14999</v>
      </c>
      <c r="I4803" s="25" t="str">
        <f>IFERROR(__xludf.DUMMYFUNCTION("GOOGLETRANSLATE(H4803,""EN"",""ES"")"),"Ambiental")</f>
        <v>Ambiental</v>
      </c>
      <c r="J4803" s="26" t="s">
        <v>35</v>
      </c>
      <c r="K4803" s="48">
        <v>-0.6</v>
      </c>
      <c r="L4803" s="51" t="s">
        <v>34056</v>
      </c>
      <c r="M4803" s="28" t="s">
        <v>34057</v>
      </c>
      <c r="N4803" s="83" t="s">
        <v>34058</v>
      </c>
      <c r="O4803" s="83" t="str">
        <f>IFERROR(__xludf.DUMMYFUNCTION("GOOGLETRANSLATE(N4803,""EN"",""ES"")"),"Sentimiento negativo, debido a preocupaciones ambientales relacionadas con un derrame de petróleo.")</f>
        <v>Sentimiento negativo, debido a preocupaciones ambientales relacionadas con un derrame de petróleo.</v>
      </c>
      <c r="P4803" s="30">
        <v>-0.7</v>
      </c>
      <c r="Q4803" s="31" t="str">
        <f>IFERROR(__xludf.DUMMYFUNCTION("GOOGLETRANSLATE(R4803,""ES"",""EN"")"),"hydrocarbon outcrop")</f>
        <v>hydrocarbon outcrop</v>
      </c>
      <c r="R4803" s="28" t="s">
        <v>34059</v>
      </c>
      <c r="S4803" s="53" t="s">
        <v>34060</v>
      </c>
      <c r="T4803" s="32" t="s">
        <v>34061</v>
      </c>
    </row>
    <row r="4804">
      <c r="A4804" s="33" t="s">
        <v>34062</v>
      </c>
      <c r="B4804" s="76" t="s">
        <v>1445</v>
      </c>
      <c r="C4804" s="99">
        <v>45632.0</v>
      </c>
      <c r="D4804" s="40" t="s">
        <v>34052</v>
      </c>
      <c r="E4804" s="100" t="s">
        <v>34063</v>
      </c>
      <c r="F4804" s="101" t="s">
        <v>34054</v>
      </c>
      <c r="G4804" s="101" t="s">
        <v>34064</v>
      </c>
      <c r="H4804" s="61" t="s">
        <v>14999</v>
      </c>
      <c r="I4804" s="15" t="str">
        <f>IFERROR(__xludf.DUMMYFUNCTION("GOOGLETRANSLATE(H4804,""EN"",""ES"")"),"Ambiental")</f>
        <v>Ambiental</v>
      </c>
      <c r="J4804" s="16" t="s">
        <v>35</v>
      </c>
      <c r="K4804" s="48">
        <v>-0.3</v>
      </c>
      <c r="L4804" s="49" t="s">
        <v>34065</v>
      </c>
      <c r="M4804" s="34" t="s">
        <v>34066</v>
      </c>
      <c r="N4804" s="86" t="s">
        <v>34067</v>
      </c>
      <c r="O4804" s="86" t="str">
        <f>IFERROR(__xludf.DUMMYFUNCTION("GOOGLETRANSLATE(N4804,""EN"",""ES"")"),"Sentimiento ligeramente negativo, ya que se trata de un derrame pero incluye una acción de respuesta.")</f>
        <v>Sentimiento ligeramente negativo, ya que se trata de un derrame pero incluye una acción de respuesta.</v>
      </c>
      <c r="P4804" s="30">
        <v>-0.7</v>
      </c>
      <c r="Q4804" s="18" t="str">
        <f>IFERROR(__xludf.DUMMYFUNCTION("GOOGLETRANSLATE(R4804,""ES"",""EN"")"),"hydrocarbon outcrop")</f>
        <v>hydrocarbon outcrop</v>
      </c>
      <c r="R4804" s="34" t="s">
        <v>34059</v>
      </c>
      <c r="S4804" s="52" t="s">
        <v>34060</v>
      </c>
      <c r="T4804" s="22" t="s">
        <v>34061</v>
      </c>
    </row>
    <row r="4805">
      <c r="A4805" s="23" t="s">
        <v>34068</v>
      </c>
      <c r="B4805" s="77" t="s">
        <v>1916</v>
      </c>
      <c r="C4805" s="96">
        <v>45632.0</v>
      </c>
      <c r="D4805" s="40" t="s">
        <v>34069</v>
      </c>
      <c r="E4805" s="97" t="s">
        <v>34070</v>
      </c>
      <c r="F4805" s="98" t="s">
        <v>34071</v>
      </c>
      <c r="G4805" s="98" t="s">
        <v>34072</v>
      </c>
      <c r="H4805" s="59" t="s">
        <v>14999</v>
      </c>
      <c r="I4805" s="25" t="str">
        <f>IFERROR(__xludf.DUMMYFUNCTION("GOOGLETRANSLATE(H4805,""EN"",""ES"")"),"Ambiental")</f>
        <v>Ambiental</v>
      </c>
      <c r="J4805" s="26" t="s">
        <v>27</v>
      </c>
      <c r="K4805" s="17">
        <v>0.0</v>
      </c>
      <c r="L4805" s="51"/>
      <c r="M4805" s="31"/>
      <c r="N4805" s="83"/>
      <c r="O4805" s="83"/>
      <c r="P4805" s="20">
        <v>0.0</v>
      </c>
      <c r="Q4805" s="31"/>
      <c r="R4805" s="31"/>
      <c r="S4805" s="53"/>
      <c r="T4805" s="32"/>
    </row>
    <row r="4806">
      <c r="A4806" s="33" t="s">
        <v>34073</v>
      </c>
      <c r="B4806" s="76" t="s">
        <v>1384</v>
      </c>
      <c r="C4806" s="99">
        <v>45632.0</v>
      </c>
      <c r="D4806" s="40" t="s">
        <v>34074</v>
      </c>
      <c r="E4806" s="100" t="s">
        <v>34075</v>
      </c>
      <c r="F4806" s="101" t="s">
        <v>34076</v>
      </c>
      <c r="G4806" s="101" t="s">
        <v>34075</v>
      </c>
      <c r="H4806" s="61" t="s">
        <v>14999</v>
      </c>
      <c r="I4806" s="15" t="str">
        <f>IFERROR(__xludf.DUMMYFUNCTION("GOOGLETRANSLATE(H4806,""EN"",""ES"")"),"Ambiental")</f>
        <v>Ambiental</v>
      </c>
      <c r="J4806" s="16" t="s">
        <v>35</v>
      </c>
      <c r="K4806" s="48">
        <v>-0.6</v>
      </c>
      <c r="L4806" s="49" t="s">
        <v>34056</v>
      </c>
      <c r="M4806" s="34" t="s">
        <v>34057</v>
      </c>
      <c r="N4806" s="86" t="s">
        <v>34077</v>
      </c>
      <c r="O4806" s="86" t="str">
        <f>IFERROR(__xludf.DUMMYFUNCTION("GOOGLETRANSLATE(N4806,""EN"",""ES"")"),"Sentimiento negativo, aunque esta entrada me parece corrupta o irrelevante para Repsol.")</f>
        <v>Sentimiento negativo, aunque esta entrada me parece corrupta o irrelevante para Repsol.</v>
      </c>
      <c r="P4806" s="30">
        <v>-0.7</v>
      </c>
      <c r="Q4806" s="18" t="str">
        <f>IFERROR(__xludf.DUMMYFUNCTION("GOOGLETRANSLATE(R4806,""ES"",""EN"")"),"hydrocarbon outcrop")</f>
        <v>hydrocarbon outcrop</v>
      </c>
      <c r="R4806" s="34" t="s">
        <v>34059</v>
      </c>
      <c r="S4806" s="52" t="s">
        <v>34060</v>
      </c>
      <c r="T4806" s="22" t="s">
        <v>34061</v>
      </c>
    </row>
    <row r="4807">
      <c r="A4807" s="23" t="s">
        <v>34078</v>
      </c>
      <c r="B4807" s="77" t="s">
        <v>3479</v>
      </c>
      <c r="C4807" s="96">
        <v>45633.0</v>
      </c>
      <c r="D4807" s="40" t="s">
        <v>34079</v>
      </c>
      <c r="E4807" s="97" t="s">
        <v>34080</v>
      </c>
      <c r="F4807" s="98" t="s">
        <v>34081</v>
      </c>
      <c r="G4807" s="98" t="s">
        <v>34082</v>
      </c>
      <c r="H4807" s="59" t="s">
        <v>3871</v>
      </c>
      <c r="I4807" s="25" t="str">
        <f>IFERROR(__xludf.DUMMYFUNCTION("GOOGLETRANSLATE(H4807,""EN"",""ES"")"),"Educación")</f>
        <v>Educación</v>
      </c>
      <c r="J4807" s="26" t="s">
        <v>35</v>
      </c>
      <c r="K4807" s="48">
        <v>0.7</v>
      </c>
      <c r="L4807" s="51" t="s">
        <v>34083</v>
      </c>
      <c r="M4807" s="28" t="s">
        <v>34084</v>
      </c>
      <c r="N4807" s="83" t="s">
        <v>34085</v>
      </c>
      <c r="O4807" s="83" t="str">
        <f>IFERROR(__xludf.DUMMYFUNCTION("GOOGLETRANSLATE(N4807,""EN"",""ES"")"),"Sentimiento positivo, centrado en iniciativas educativas.")</f>
        <v>Sentimiento positivo, centrado en iniciativas educativas.</v>
      </c>
      <c r="P4807" s="30">
        <v>0.5</v>
      </c>
      <c r="Q4807" s="31" t="str">
        <f>IFERROR(__xludf.DUMMYFUNCTION("GOOGLETRANSLATE(R4807,""ES"",""EN"")"),"promote technical training")</f>
        <v>promote technical training</v>
      </c>
      <c r="R4807" s="28" t="s">
        <v>34086</v>
      </c>
      <c r="S4807" s="53" t="s">
        <v>34087</v>
      </c>
      <c r="T4807" s="32" t="s">
        <v>34088</v>
      </c>
    </row>
    <row r="4808">
      <c r="A4808" s="33" t="s">
        <v>34089</v>
      </c>
      <c r="B4808" s="76" t="s">
        <v>977</v>
      </c>
      <c r="C4808" s="99">
        <v>45633.0</v>
      </c>
      <c r="D4808" s="40" t="s">
        <v>34090</v>
      </c>
      <c r="E4808" s="100" t="s">
        <v>34091</v>
      </c>
      <c r="F4808" s="101" t="s">
        <v>34092</v>
      </c>
      <c r="G4808" s="101" t="s">
        <v>34093</v>
      </c>
      <c r="H4808" s="61" t="s">
        <v>148</v>
      </c>
      <c r="I4808" s="15" t="str">
        <f>IFERROR(__xludf.DUMMYFUNCTION("GOOGLETRANSLATE(H4808,""EN"",""ES"")"),"Gastronomía")</f>
        <v>Gastronomía</v>
      </c>
      <c r="J4808" s="16" t="s">
        <v>27</v>
      </c>
      <c r="K4808" s="17">
        <v>0.0</v>
      </c>
      <c r="L4808" s="49"/>
      <c r="M4808" s="18"/>
      <c r="N4808" s="86"/>
      <c r="O4808" s="86"/>
      <c r="P4808" s="20">
        <v>0.0</v>
      </c>
      <c r="Q4808" s="18"/>
      <c r="R4808" s="18"/>
      <c r="S4808" s="52"/>
      <c r="T4808" s="22"/>
    </row>
    <row r="4809">
      <c r="A4809" s="23" t="s">
        <v>34094</v>
      </c>
      <c r="B4809" s="77" t="s">
        <v>1602</v>
      </c>
      <c r="C4809" s="96">
        <v>45633.0</v>
      </c>
      <c r="D4809" s="40" t="s">
        <v>34095</v>
      </c>
      <c r="E4809" s="97" t="s">
        <v>34096</v>
      </c>
      <c r="F4809" s="98" t="s">
        <v>34097</v>
      </c>
      <c r="G4809" s="98" t="s">
        <v>34098</v>
      </c>
      <c r="H4809" s="59" t="s">
        <v>2591</v>
      </c>
      <c r="I4809" s="25" t="str">
        <f>IFERROR(__xludf.DUMMYFUNCTION("GOOGLETRANSLATE(H4809,""EN"",""ES"")"),"Negocio")</f>
        <v>Negocio</v>
      </c>
      <c r="J4809" s="26" t="s">
        <v>27</v>
      </c>
      <c r="K4809" s="17">
        <v>0.0</v>
      </c>
      <c r="L4809" s="51"/>
      <c r="M4809" s="31"/>
      <c r="N4809" s="83"/>
      <c r="O4809" s="83"/>
      <c r="P4809" s="20">
        <v>0.0</v>
      </c>
      <c r="Q4809" s="31"/>
      <c r="R4809" s="31"/>
      <c r="S4809" s="53"/>
      <c r="T4809" s="32"/>
    </row>
    <row r="4810">
      <c r="A4810" s="33" t="s">
        <v>34099</v>
      </c>
      <c r="B4810" s="76" t="s">
        <v>431</v>
      </c>
      <c r="C4810" s="99">
        <v>45633.0</v>
      </c>
      <c r="D4810" s="40" t="s">
        <v>34100</v>
      </c>
      <c r="E4810" s="100" t="s">
        <v>34101</v>
      </c>
      <c r="F4810" s="101" t="s">
        <v>34102</v>
      </c>
      <c r="G4810" s="101" t="s">
        <v>34103</v>
      </c>
      <c r="H4810" s="61" t="s">
        <v>34104</v>
      </c>
      <c r="I4810" s="15" t="str">
        <f>IFERROR(__xludf.DUMMYFUNCTION("GOOGLETRANSLATE(H4810,""EN"",""ES"")"),"Gastronomía y Caridad")</f>
        <v>Gastronomía y Caridad</v>
      </c>
      <c r="J4810" s="16" t="s">
        <v>27</v>
      </c>
      <c r="K4810" s="17">
        <v>0.0</v>
      </c>
      <c r="L4810" s="49"/>
      <c r="M4810" s="18"/>
      <c r="N4810" s="86"/>
      <c r="O4810" s="86"/>
      <c r="P4810" s="20">
        <v>0.0</v>
      </c>
      <c r="Q4810" s="18"/>
      <c r="R4810" s="18"/>
      <c r="S4810" s="52"/>
      <c r="T4810" s="22"/>
    </row>
    <row r="4811">
      <c r="A4811" s="23" t="s">
        <v>34105</v>
      </c>
      <c r="B4811" s="77" t="s">
        <v>6614</v>
      </c>
      <c r="C4811" s="96">
        <v>45633.0</v>
      </c>
      <c r="D4811" s="40" t="s">
        <v>34106</v>
      </c>
      <c r="E4811" s="97" t="s">
        <v>34107</v>
      </c>
      <c r="F4811" s="98" t="s">
        <v>34108</v>
      </c>
      <c r="G4811" s="98" t="s">
        <v>34109</v>
      </c>
      <c r="H4811" s="59" t="s">
        <v>34104</v>
      </c>
      <c r="I4811" s="25" t="str">
        <f>IFERROR(__xludf.DUMMYFUNCTION("GOOGLETRANSLATE(H4811,""EN"",""ES"")"),"Gastronomía y Caridad")</f>
        <v>Gastronomía y Caridad</v>
      </c>
      <c r="J4811" s="26" t="s">
        <v>27</v>
      </c>
      <c r="K4811" s="17">
        <v>0.0</v>
      </c>
      <c r="L4811" s="51"/>
      <c r="M4811" s="31"/>
      <c r="N4811" s="83"/>
      <c r="O4811" s="83"/>
      <c r="P4811" s="20">
        <v>0.0</v>
      </c>
      <c r="Q4811" s="31"/>
      <c r="R4811" s="31"/>
      <c r="S4811" s="53"/>
      <c r="T4811" s="32"/>
    </row>
    <row r="4812">
      <c r="A4812" s="33" t="s">
        <v>34110</v>
      </c>
      <c r="B4812" s="76" t="s">
        <v>254</v>
      </c>
      <c r="C4812" s="99">
        <v>45633.0</v>
      </c>
      <c r="D4812" s="40" t="s">
        <v>34111</v>
      </c>
      <c r="E4812" s="100" t="s">
        <v>34112</v>
      </c>
      <c r="F4812" s="101" t="s">
        <v>34113</v>
      </c>
      <c r="G4812" s="101" t="s">
        <v>34114</v>
      </c>
      <c r="H4812" s="61" t="s">
        <v>14999</v>
      </c>
      <c r="I4812" s="15" t="str">
        <f>IFERROR(__xludf.DUMMYFUNCTION("GOOGLETRANSLATE(H4812,""EN"",""ES"")"),"Ambiental")</f>
        <v>Ambiental</v>
      </c>
      <c r="J4812" s="16" t="s">
        <v>35</v>
      </c>
      <c r="K4812" s="48">
        <v>-0.6</v>
      </c>
      <c r="L4812" s="49" t="s">
        <v>34115</v>
      </c>
      <c r="M4812" s="34" t="s">
        <v>34116</v>
      </c>
      <c r="N4812" s="86" t="s">
        <v>34117</v>
      </c>
      <c r="O4812" s="86" t="str">
        <f>IFERROR(__xludf.DUMMYFUNCTION("GOOGLETRANSLATE(N4812,""EN"",""ES"")"),"Sentimiento negativo, informar sobre un problema medioambiental.")</f>
        <v>Sentimiento negativo, informar sobre un problema medioambiental.</v>
      </c>
      <c r="P4812" s="30">
        <v>-0.8</v>
      </c>
      <c r="Q4812" s="18" t="str">
        <f>IFERROR(__xludf.DUMMYFUNCTION("GOOGLETRANSLATE(R4812,""ES"",""EN"")"),"spill")</f>
        <v>spill</v>
      </c>
      <c r="R4812" s="34" t="s">
        <v>18452</v>
      </c>
      <c r="S4812" s="52" t="s">
        <v>34118</v>
      </c>
      <c r="T4812" s="22" t="s">
        <v>34119</v>
      </c>
    </row>
    <row r="4813">
      <c r="A4813" s="23" t="s">
        <v>34120</v>
      </c>
      <c r="B4813" s="77" t="s">
        <v>125</v>
      </c>
      <c r="C4813" s="96">
        <v>45633.0</v>
      </c>
      <c r="D4813" s="40" t="s">
        <v>34121</v>
      </c>
      <c r="E4813" s="97" t="s">
        <v>34122</v>
      </c>
      <c r="F4813" s="98" t="s">
        <v>34123</v>
      </c>
      <c r="G4813" s="98" t="s">
        <v>34124</v>
      </c>
      <c r="H4813" s="59" t="s">
        <v>34125</v>
      </c>
      <c r="I4813" s="25" t="str">
        <f>IFERROR(__xludf.DUMMYFUNCTION("GOOGLETRANSLATE(H4813,""EN"",""ES"")"),"Cultura y comunidad")</f>
        <v>Cultura y comunidad</v>
      </c>
      <c r="J4813" s="26" t="s">
        <v>27</v>
      </c>
      <c r="K4813" s="17">
        <v>0.0</v>
      </c>
      <c r="L4813" s="51"/>
      <c r="M4813" s="31"/>
      <c r="N4813" s="83"/>
      <c r="O4813" s="83"/>
      <c r="P4813" s="20">
        <v>0.0</v>
      </c>
      <c r="Q4813" s="31"/>
      <c r="R4813" s="31"/>
      <c r="S4813" s="53"/>
      <c r="T4813" s="32"/>
    </row>
    <row r="4814">
      <c r="A4814" s="33" t="s">
        <v>34126</v>
      </c>
      <c r="B4814" s="76" t="s">
        <v>43</v>
      </c>
      <c r="C4814" s="99">
        <v>45633.0</v>
      </c>
      <c r="D4814" s="40" t="s">
        <v>34127</v>
      </c>
      <c r="E4814" s="100" t="s">
        <v>34128</v>
      </c>
      <c r="F4814" s="101" t="s">
        <v>34129</v>
      </c>
      <c r="G4814" s="101" t="s">
        <v>34130</v>
      </c>
      <c r="H4814" s="61" t="s">
        <v>34131</v>
      </c>
      <c r="I4814" s="15" t="str">
        <f>IFERROR(__xludf.DUMMYFUNCTION("GOOGLETRANSLATE(H4814,""EN"",""ES"")"),"Innovación y Negocios")</f>
        <v>Innovación y Negocios</v>
      </c>
      <c r="J4814" s="16" t="s">
        <v>27</v>
      </c>
      <c r="K4814" s="17">
        <v>0.0</v>
      </c>
      <c r="L4814" s="49"/>
      <c r="M4814" s="18"/>
      <c r="N4814" s="86"/>
      <c r="O4814" s="86"/>
      <c r="P4814" s="20">
        <v>0.0</v>
      </c>
      <c r="Q4814" s="18"/>
      <c r="R4814" s="18"/>
      <c r="S4814" s="52"/>
      <c r="T4814" s="22"/>
    </row>
    <row r="4815">
      <c r="A4815" s="23" t="s">
        <v>34132</v>
      </c>
      <c r="B4815" s="77" t="s">
        <v>34133</v>
      </c>
      <c r="C4815" s="96">
        <v>45633.0</v>
      </c>
      <c r="D4815" s="40" t="s">
        <v>34134</v>
      </c>
      <c r="E4815" s="97" t="s">
        <v>34135</v>
      </c>
      <c r="F4815" s="98" t="s">
        <v>34136</v>
      </c>
      <c r="G4815" s="98" t="s">
        <v>34137</v>
      </c>
      <c r="H4815" s="59" t="s">
        <v>130</v>
      </c>
      <c r="I4815" s="25" t="str">
        <f>IFERROR(__xludf.DUMMYFUNCTION("GOOGLETRANSLATE(H4815,""EN"",""ES"")"),"Sostenibilidad")</f>
        <v>Sostenibilidad</v>
      </c>
      <c r="J4815" s="26" t="s">
        <v>27</v>
      </c>
      <c r="K4815" s="17">
        <v>0.0</v>
      </c>
      <c r="L4815" s="51"/>
      <c r="M4815" s="31"/>
      <c r="N4815" s="83"/>
      <c r="O4815" s="83"/>
      <c r="P4815" s="20">
        <v>0.0</v>
      </c>
      <c r="Q4815" s="31"/>
      <c r="R4815" s="31"/>
      <c r="S4815" s="53"/>
      <c r="T4815" s="32"/>
    </row>
    <row r="4816">
      <c r="A4816" s="33" t="s">
        <v>34138</v>
      </c>
      <c r="B4816" s="76" t="s">
        <v>614</v>
      </c>
      <c r="C4816" s="99">
        <v>45634.0</v>
      </c>
      <c r="D4816" s="40" t="s">
        <v>34139</v>
      </c>
      <c r="E4816" s="100" t="s">
        <v>32936</v>
      </c>
      <c r="F4816" s="101" t="s">
        <v>34140</v>
      </c>
      <c r="G4816" s="101" t="s">
        <v>32938</v>
      </c>
      <c r="H4816" s="61" t="s">
        <v>34141</v>
      </c>
      <c r="I4816" s="15" t="str">
        <f>IFERROR(__xludf.DUMMYFUNCTION("GOOGLETRANSLATE(H4816,""EN"",""ES"")"),"Deportes y Sostenibilidad")</f>
        <v>Deportes y Sostenibilidad</v>
      </c>
      <c r="J4816" s="16" t="s">
        <v>35</v>
      </c>
      <c r="K4816" s="48">
        <v>0.9</v>
      </c>
      <c r="L4816" s="49" t="s">
        <v>32847</v>
      </c>
      <c r="M4816" s="34" t="s">
        <v>32847</v>
      </c>
      <c r="N4816" s="86" t="s">
        <v>34142</v>
      </c>
      <c r="O4816" s="86" t="str">
        <f>IFERROR(__xludf.DUMMYFUNCTION("GOOGLETRANSLATE(N4816,""EN"",""ES"")"),"Sentimiento fuertemente positivo, destacando la sostenibilidad en los deportes de motor.")</f>
        <v>Sentimiento fuertemente positivo, destacando la sostenibilidad en los deportes de motor.</v>
      </c>
      <c r="P4816" s="30">
        <v>0.7</v>
      </c>
      <c r="Q4816" s="18" t="str">
        <f>IFERROR(__xludf.DUMMYFUNCTION("GOOGLETRANSLATE(R4816,""ES"",""EN"")"),"win the Dakar, ""renewable""")</f>
        <v>win the Dakar, "renewable"</v>
      </c>
      <c r="R4816" s="34" t="s">
        <v>34143</v>
      </c>
      <c r="S4816" s="52" t="s">
        <v>34144</v>
      </c>
      <c r="T4816" s="22" t="s">
        <v>34145</v>
      </c>
    </row>
    <row r="4817">
      <c r="A4817" s="23" t="s">
        <v>34146</v>
      </c>
      <c r="B4817" s="77" t="s">
        <v>85</v>
      </c>
      <c r="C4817" s="96">
        <v>45634.0</v>
      </c>
      <c r="D4817" s="40" t="s">
        <v>34147</v>
      </c>
      <c r="E4817" s="97" t="s">
        <v>34148</v>
      </c>
      <c r="F4817" s="98" t="s">
        <v>34149</v>
      </c>
      <c r="G4817" s="98" t="s">
        <v>34150</v>
      </c>
      <c r="H4817" s="59" t="s">
        <v>148</v>
      </c>
      <c r="I4817" s="25" t="str">
        <f>IFERROR(__xludf.DUMMYFUNCTION("GOOGLETRANSLATE(H4817,""EN"",""ES"")"),"Gastronomía")</f>
        <v>Gastronomía</v>
      </c>
      <c r="J4817" s="26" t="s">
        <v>27</v>
      </c>
      <c r="K4817" s="17">
        <v>0.0</v>
      </c>
      <c r="L4817" s="51"/>
      <c r="M4817" s="31"/>
      <c r="N4817" s="83"/>
      <c r="O4817" s="83"/>
      <c r="P4817" s="20">
        <v>0.0</v>
      </c>
      <c r="Q4817" s="31"/>
      <c r="R4817" s="31"/>
      <c r="S4817" s="53"/>
      <c r="T4817" s="32"/>
    </row>
    <row r="4818">
      <c r="A4818" s="33" t="s">
        <v>34151</v>
      </c>
      <c r="B4818" s="76" t="s">
        <v>1970</v>
      </c>
      <c r="C4818" s="99">
        <v>45634.0</v>
      </c>
      <c r="D4818" s="40" t="s">
        <v>34152</v>
      </c>
      <c r="E4818" s="100" t="s">
        <v>34153</v>
      </c>
      <c r="F4818" s="101" t="s">
        <v>34154</v>
      </c>
      <c r="G4818" s="101" t="s">
        <v>34155</v>
      </c>
      <c r="H4818" s="61" t="s">
        <v>34156</v>
      </c>
      <c r="I4818" s="15" t="str">
        <f>IFERROR(__xludf.DUMMYFUNCTION("GOOGLETRANSLATE(H4818,""EN"",""ES"")"),"Negocios y tecnología")</f>
        <v>Negocios y tecnología</v>
      </c>
      <c r="J4818" s="16" t="s">
        <v>27</v>
      </c>
      <c r="K4818" s="17">
        <v>0.0</v>
      </c>
      <c r="L4818" s="49"/>
      <c r="M4818" s="18"/>
      <c r="N4818" s="86"/>
      <c r="O4818" s="86"/>
      <c r="P4818" s="20">
        <v>0.0</v>
      </c>
      <c r="Q4818" s="18"/>
      <c r="R4818" s="18"/>
      <c r="S4818" s="52"/>
      <c r="T4818" s="22"/>
    </row>
    <row r="4819">
      <c r="A4819" s="23" t="s">
        <v>34157</v>
      </c>
      <c r="B4819" s="77" t="s">
        <v>34158</v>
      </c>
      <c r="C4819" s="96">
        <v>45634.0</v>
      </c>
      <c r="D4819" s="40" t="s">
        <v>34159</v>
      </c>
      <c r="E4819" s="97" t="s">
        <v>34160</v>
      </c>
      <c r="F4819" s="98" t="s">
        <v>34161</v>
      </c>
      <c r="G4819" s="98" t="s">
        <v>34162</v>
      </c>
      <c r="H4819" s="59" t="s">
        <v>34163</v>
      </c>
      <c r="I4819" s="25" t="str">
        <f>IFERROR(__xludf.DUMMYFUNCTION("GOOGLETRANSLATE(H4819,""EN"",""ES"")"),"Gobierno Corporativo")</f>
        <v>Gobierno Corporativo</v>
      </c>
      <c r="J4819" s="26" t="s">
        <v>35</v>
      </c>
      <c r="K4819" s="48">
        <v>0.5</v>
      </c>
      <c r="L4819" s="51" t="s">
        <v>34164</v>
      </c>
      <c r="M4819" s="28" t="s">
        <v>34165</v>
      </c>
      <c r="N4819" s="83" t="s">
        <v>34166</v>
      </c>
      <c r="O4819" s="83" t="str">
        <f>IFERROR(__xludf.DUMMYFUNCTION("GOOGLETRANSLATE(N4819,""EN"",""ES"")"),"Sentimiento de neutro a ligeramente positivo, ya que implica el gobierno interno de la empresa.")</f>
        <v>Sentimiento de neutro a ligeramente positivo, ya que implica el gobierno interno de la empresa.</v>
      </c>
      <c r="P4819" s="30">
        <v>0.0</v>
      </c>
      <c r="Q4819" s="31"/>
      <c r="R4819" s="31"/>
      <c r="S4819" s="53" t="s">
        <v>10501</v>
      </c>
      <c r="T4819" s="32" t="s">
        <v>10502</v>
      </c>
    </row>
    <row r="4820">
      <c r="A4820" s="33" t="s">
        <v>34167</v>
      </c>
      <c r="B4820" s="76" t="s">
        <v>34168</v>
      </c>
      <c r="C4820" s="99">
        <v>45634.0</v>
      </c>
      <c r="D4820" s="40" t="s">
        <v>34169</v>
      </c>
      <c r="E4820" s="100" t="s">
        <v>34170</v>
      </c>
      <c r="F4820" s="101" t="s">
        <v>34171</v>
      </c>
      <c r="G4820" s="101" t="s">
        <v>34172</v>
      </c>
      <c r="H4820" s="61" t="s">
        <v>3985</v>
      </c>
      <c r="I4820" s="15" t="str">
        <f>IFERROR(__xludf.DUMMYFUNCTION("GOOGLETRANSLATE(H4820,""EN"",""ES"")"),"Deportes")</f>
        <v>Deportes</v>
      </c>
      <c r="J4820" s="16" t="s">
        <v>27</v>
      </c>
      <c r="K4820" s="17">
        <v>0.0</v>
      </c>
      <c r="L4820" s="49"/>
      <c r="M4820" s="18"/>
      <c r="N4820" s="86"/>
      <c r="O4820" s="86"/>
      <c r="P4820" s="20">
        <v>0.0</v>
      </c>
      <c r="Q4820" s="18"/>
      <c r="R4820" s="18"/>
      <c r="S4820" s="52"/>
      <c r="T4820" s="22"/>
    </row>
    <row r="4821">
      <c r="A4821" s="23" t="s">
        <v>34173</v>
      </c>
      <c r="B4821" s="77" t="s">
        <v>403</v>
      </c>
      <c r="C4821" s="96">
        <v>45634.0</v>
      </c>
      <c r="D4821" s="40" t="s">
        <v>34174</v>
      </c>
      <c r="E4821" s="97" t="s">
        <v>34175</v>
      </c>
      <c r="F4821" s="98" t="s">
        <v>34176</v>
      </c>
      <c r="G4821" s="98" t="s">
        <v>34177</v>
      </c>
      <c r="H4821" s="59" t="s">
        <v>2591</v>
      </c>
      <c r="I4821" s="25" t="str">
        <f>IFERROR(__xludf.DUMMYFUNCTION("GOOGLETRANSLATE(H4821,""EN"",""ES"")"),"Negocio")</f>
        <v>Negocio</v>
      </c>
      <c r="J4821" s="26" t="s">
        <v>35</v>
      </c>
      <c r="K4821" s="48">
        <v>0.6</v>
      </c>
      <c r="L4821" s="51" t="s">
        <v>34178</v>
      </c>
      <c r="M4821" s="28" t="s">
        <v>34179</v>
      </c>
      <c r="N4821" s="83" t="s">
        <v>34180</v>
      </c>
      <c r="O4821" s="83" t="str">
        <f>IFERROR(__xludf.DUMMYFUNCTION("GOOGLETRANSLATE(N4821,""EN"",""ES"")"),"Sentimiento positivo que indica el crecimiento del mercado de Repsol.")</f>
        <v>Sentimiento positivo que indica el crecimiento del mercado de Repsol.</v>
      </c>
      <c r="P4821" s="30">
        <v>0.0</v>
      </c>
      <c r="Q4821" s="31"/>
      <c r="R4821" s="31"/>
      <c r="S4821" s="53" t="s">
        <v>469</v>
      </c>
      <c r="T4821" s="32" t="s">
        <v>470</v>
      </c>
    </row>
    <row r="4822">
      <c r="A4822" s="33" t="s">
        <v>34181</v>
      </c>
      <c r="B4822" s="76" t="s">
        <v>499</v>
      </c>
      <c r="C4822" s="99">
        <v>45634.0</v>
      </c>
      <c r="D4822" s="40" t="s">
        <v>34182</v>
      </c>
      <c r="E4822" s="100" t="s">
        <v>34183</v>
      </c>
      <c r="F4822" s="101" t="s">
        <v>34184</v>
      </c>
      <c r="G4822" s="101" t="s">
        <v>34185</v>
      </c>
      <c r="H4822" s="61" t="s">
        <v>62</v>
      </c>
      <c r="I4822" s="15" t="str">
        <f>IFERROR(__xludf.DUMMYFUNCTION("GOOGLETRANSLATE(H4822,""EN"",""ES"")"),"Energía")</f>
        <v>Energía</v>
      </c>
      <c r="J4822" s="16" t="s">
        <v>27</v>
      </c>
      <c r="K4822" s="17">
        <v>0.0</v>
      </c>
      <c r="L4822" s="49"/>
      <c r="M4822" s="18"/>
      <c r="N4822" s="86"/>
      <c r="O4822" s="86"/>
      <c r="P4822" s="20">
        <v>0.0</v>
      </c>
      <c r="Q4822" s="18"/>
      <c r="R4822" s="18"/>
      <c r="S4822" s="52"/>
      <c r="T4822" s="22"/>
    </row>
    <row r="4823">
      <c r="A4823" s="23" t="s">
        <v>34186</v>
      </c>
      <c r="B4823" s="77" t="s">
        <v>16303</v>
      </c>
      <c r="C4823" s="96">
        <v>45634.0</v>
      </c>
      <c r="D4823" s="40" t="s">
        <v>34187</v>
      </c>
      <c r="E4823" s="97" t="s">
        <v>34188</v>
      </c>
      <c r="F4823" s="98" t="s">
        <v>34189</v>
      </c>
      <c r="G4823" s="98" t="s">
        <v>34190</v>
      </c>
      <c r="H4823" s="59" t="s">
        <v>34191</v>
      </c>
      <c r="I4823" s="25" t="str">
        <f>IFERROR(__xludf.DUMMYFUNCTION("GOOGLETRANSLATE(H4823,""EN"",""ES"")"),"Desarrollo económico")</f>
        <v>Desarrollo económico</v>
      </c>
      <c r="J4823" s="26" t="s">
        <v>27</v>
      </c>
      <c r="K4823" s="17">
        <v>0.0</v>
      </c>
      <c r="L4823" s="51"/>
      <c r="M4823" s="31"/>
      <c r="N4823" s="83"/>
      <c r="O4823" s="83"/>
      <c r="P4823" s="20">
        <v>0.0</v>
      </c>
      <c r="Q4823" s="31"/>
      <c r="R4823" s="31"/>
      <c r="S4823" s="53"/>
      <c r="T4823" s="32"/>
    </row>
    <row r="4824">
      <c r="A4824" s="33" t="s">
        <v>34192</v>
      </c>
      <c r="B4824" s="76" t="s">
        <v>1338</v>
      </c>
      <c r="C4824" s="99">
        <v>45634.0</v>
      </c>
      <c r="D4824" s="40" t="s">
        <v>34193</v>
      </c>
      <c r="E4824" s="100" t="s">
        <v>34194</v>
      </c>
      <c r="F4824" s="101" t="s">
        <v>34195</v>
      </c>
      <c r="G4824" s="101" t="s">
        <v>34196</v>
      </c>
      <c r="H4824" s="61" t="s">
        <v>14999</v>
      </c>
      <c r="I4824" s="15" t="str">
        <f>IFERROR(__xludf.DUMMYFUNCTION("GOOGLETRANSLATE(H4824,""EN"",""ES"")"),"Ambiental")</f>
        <v>Ambiental</v>
      </c>
      <c r="J4824" s="16" t="s">
        <v>35</v>
      </c>
      <c r="K4824" s="48">
        <v>-0.6</v>
      </c>
      <c r="L4824" s="49" t="s">
        <v>34056</v>
      </c>
      <c r="M4824" s="34" t="s">
        <v>34057</v>
      </c>
      <c r="N4824" s="86" t="s">
        <v>34197</v>
      </c>
      <c r="O4824" s="86" t="str">
        <f>IFERROR(__xludf.DUMMYFUNCTION("GOOGLETRANSLATE(N4824,""EN"",""ES"")"),"Sentimiento negativo, vinculado a un derrame ambiental y a una intervención regulatoria.")</f>
        <v>Sentimiento negativo, vinculado a un derrame ambiental y a una intervención regulatoria.</v>
      </c>
      <c r="P4824" s="30">
        <v>-0.7</v>
      </c>
      <c r="Q4824" s="18" t="str">
        <f>IFERROR(__xludf.DUMMYFUNCTION("GOOGLETRANSLATE(R4824,""ES"",""EN"")"),"hydrocarbon outcrop")</f>
        <v>hydrocarbon outcrop</v>
      </c>
      <c r="R4824" s="34" t="s">
        <v>34047</v>
      </c>
      <c r="S4824" s="52" t="s">
        <v>10312</v>
      </c>
      <c r="T4824" s="22" t="s">
        <v>10313</v>
      </c>
    </row>
    <row r="4825">
      <c r="A4825" s="23" t="s">
        <v>34198</v>
      </c>
      <c r="B4825" s="77" t="s">
        <v>103</v>
      </c>
      <c r="C4825" s="96">
        <v>45635.0</v>
      </c>
      <c r="D4825" s="40" t="s">
        <v>34199</v>
      </c>
      <c r="E4825" s="97" t="s">
        <v>34200</v>
      </c>
      <c r="F4825" s="98" t="s">
        <v>34201</v>
      </c>
      <c r="G4825" s="98" t="s">
        <v>34202</v>
      </c>
      <c r="H4825" s="59" t="s">
        <v>2591</v>
      </c>
      <c r="I4825" s="25" t="str">
        <f>IFERROR(__xludf.DUMMYFUNCTION("GOOGLETRANSLATE(H4825,""EN"",""ES"")"),"Negocio")</f>
        <v>Negocio</v>
      </c>
      <c r="J4825" s="26" t="s">
        <v>35</v>
      </c>
      <c r="K4825" s="48">
        <v>0.7</v>
      </c>
      <c r="L4825" s="51" t="s">
        <v>34203</v>
      </c>
      <c r="M4825" s="28" t="s">
        <v>34204</v>
      </c>
      <c r="N4825" s="83" t="s">
        <v>34205</v>
      </c>
      <c r="O4825" s="83" t="str">
        <f>IFERROR(__xludf.DUMMYFUNCTION("GOOGLETRANSLATE(N4825,""EN"",""ES"")"),"Sentimiento positivo, centrándose en la estrategia corporativa y la marca.")</f>
        <v>Sentimiento positivo, centrándose en la estrategia corporativa y la marca.</v>
      </c>
      <c r="P4825" s="30">
        <v>0.3</v>
      </c>
      <c r="Q4825" s="31" t="str">
        <f>IFERROR(__xludf.DUMMYFUNCTION("GOOGLETRANSLATE(R4825,""ES"",""EN"")"),"brand repositioning")</f>
        <v>brand repositioning</v>
      </c>
      <c r="R4825" s="28" t="s">
        <v>34206</v>
      </c>
      <c r="S4825" s="53" t="s">
        <v>34207</v>
      </c>
      <c r="T4825" s="32" t="s">
        <v>34208</v>
      </c>
    </row>
    <row r="4826">
      <c r="A4826" s="33" t="s">
        <v>34209</v>
      </c>
      <c r="B4826" s="76" t="s">
        <v>8884</v>
      </c>
      <c r="C4826" s="99">
        <v>45635.0</v>
      </c>
      <c r="D4826" s="40" t="s">
        <v>34210</v>
      </c>
      <c r="E4826" s="100" t="s">
        <v>34211</v>
      </c>
      <c r="F4826" s="101" t="s">
        <v>34212</v>
      </c>
      <c r="G4826" s="101" t="s">
        <v>34213</v>
      </c>
      <c r="H4826" s="61" t="s">
        <v>130</v>
      </c>
      <c r="I4826" s="15" t="str">
        <f>IFERROR(__xludf.DUMMYFUNCTION("GOOGLETRANSLATE(H4826,""EN"",""ES"")"),"Sostenibilidad")</f>
        <v>Sostenibilidad</v>
      </c>
      <c r="J4826" s="16" t="s">
        <v>35</v>
      </c>
      <c r="K4826" s="48">
        <v>0.8</v>
      </c>
      <c r="L4826" s="49" t="s">
        <v>33997</v>
      </c>
      <c r="M4826" s="34" t="s">
        <v>33998</v>
      </c>
      <c r="N4826" s="86" t="s">
        <v>34214</v>
      </c>
      <c r="O4826" s="86" t="str">
        <f>IFERROR(__xludf.DUMMYFUNCTION("GOOGLETRANSLATE(N4826,""EN"",""ES"")"),"Sentimiento positivo, que refuerza los esfuerzos de sostenibilidad de la empresa.")</f>
        <v>Sentimiento positivo, que refuerza los esfuerzos de sostenibilidad de la empresa.</v>
      </c>
      <c r="P4826" s="30">
        <v>0.6</v>
      </c>
      <c r="Q4826" s="18" t="str">
        <f>IFERROR(__xludf.DUMMYFUNCTION("GOOGLETRANSLATE(R4826,""ES"",""EN"")"),"increases your charging points")</f>
        <v>increases your charging points</v>
      </c>
      <c r="R4826" s="34" t="s">
        <v>34215</v>
      </c>
      <c r="S4826" s="52" t="s">
        <v>10595</v>
      </c>
      <c r="T4826" s="22" t="s">
        <v>10596</v>
      </c>
    </row>
    <row r="4827">
      <c r="A4827" s="23" t="s">
        <v>34216</v>
      </c>
      <c r="B4827" s="77" t="s">
        <v>1602</v>
      </c>
      <c r="C4827" s="96">
        <v>45635.0</v>
      </c>
      <c r="D4827" s="40" t="s">
        <v>34217</v>
      </c>
      <c r="E4827" s="97" t="s">
        <v>34218</v>
      </c>
      <c r="F4827" s="98" t="s">
        <v>34219</v>
      </c>
      <c r="G4827" s="98" t="s">
        <v>34220</v>
      </c>
      <c r="H4827" s="59" t="s">
        <v>2591</v>
      </c>
      <c r="I4827" s="25" t="str">
        <f>IFERROR(__xludf.DUMMYFUNCTION("GOOGLETRANSLATE(H4827,""EN"",""ES"")"),"Negocio")</f>
        <v>Negocio</v>
      </c>
      <c r="J4827" s="26" t="s">
        <v>35</v>
      </c>
      <c r="K4827" s="48">
        <v>-0.7</v>
      </c>
      <c r="L4827" s="51" t="s">
        <v>34221</v>
      </c>
      <c r="M4827" s="28" t="s">
        <v>34222</v>
      </c>
      <c r="N4827" s="83" t="s">
        <v>34223</v>
      </c>
      <c r="O4827" s="83" t="str">
        <f>IFERROR(__xludf.DUMMYFUNCTION("GOOGLETRANSLATE(N4827,""EN"",""ES"")"),"Sentimiento negativo, que refleja preocupaciones sobre el desempeño de las acciones.")</f>
        <v>Sentimiento negativo, que refleja preocupaciones sobre el desempeño de las acciones.</v>
      </c>
      <c r="P4827" s="30">
        <v>-0.6</v>
      </c>
      <c r="Q4827" s="31" t="str">
        <f>IFERROR(__xludf.DUMMYFUNCTION("GOOGLETRANSLATE(R4827,""ES"",""EN"")"),"cuts, ""underweight""")</f>
        <v>cuts, "underweight"</v>
      </c>
      <c r="R4827" s="28" t="s">
        <v>34224</v>
      </c>
      <c r="S4827" s="53" t="s">
        <v>34225</v>
      </c>
      <c r="T4827" s="32" t="s">
        <v>34226</v>
      </c>
    </row>
    <row r="4828">
      <c r="A4828" s="33" t="s">
        <v>34227</v>
      </c>
      <c r="B4828" s="76" t="s">
        <v>5525</v>
      </c>
      <c r="C4828" s="99">
        <v>45635.0</v>
      </c>
      <c r="D4828" s="40" t="s">
        <v>34228</v>
      </c>
      <c r="E4828" s="100" t="s">
        <v>34229</v>
      </c>
      <c r="F4828" s="101" t="s">
        <v>34230</v>
      </c>
      <c r="G4828" s="101" t="s">
        <v>34231</v>
      </c>
      <c r="H4828" s="61" t="s">
        <v>2591</v>
      </c>
      <c r="I4828" s="15" t="str">
        <f>IFERROR(__xludf.DUMMYFUNCTION("GOOGLETRANSLATE(H4828,""EN"",""ES"")"),"Negocio")</f>
        <v>Negocio</v>
      </c>
      <c r="J4828" s="16" t="s">
        <v>35</v>
      </c>
      <c r="K4828" s="48">
        <v>-0.8</v>
      </c>
      <c r="L4828" s="49" t="s">
        <v>34232</v>
      </c>
      <c r="M4828" s="34" t="s">
        <v>34233</v>
      </c>
      <c r="N4828" s="86" t="s">
        <v>34234</v>
      </c>
      <c r="O4828" s="86" t="str">
        <f>IFERROR(__xludf.DUMMYFUNCTION("GOOGLETRANSLATE(N4828,""EN"",""ES"")"),"Sentimiento fuertemente negativo, lo que indica una caída significativa de las acciones.")</f>
        <v>Sentimiento fuertemente negativo, lo que indica una caída significativa de las acciones.</v>
      </c>
      <c r="P4828" s="30">
        <v>-0.7</v>
      </c>
      <c r="Q4828" s="18" t="str">
        <f>IFERROR(__xludf.DUMMYFUNCTION("GOOGLETRANSLATE(R4828,""ES"",""EN"")"),"hits minimums")</f>
        <v>hits minimums</v>
      </c>
      <c r="R4828" s="34" t="s">
        <v>34235</v>
      </c>
      <c r="S4828" s="52" t="s">
        <v>25999</v>
      </c>
      <c r="T4828" s="22" t="s">
        <v>26000</v>
      </c>
    </row>
    <row r="4829">
      <c r="A4829" s="23" t="s">
        <v>34236</v>
      </c>
      <c r="B4829" s="77" t="s">
        <v>6297</v>
      </c>
      <c r="C4829" s="96">
        <v>45635.0</v>
      </c>
      <c r="D4829" s="40" t="s">
        <v>34237</v>
      </c>
      <c r="E4829" s="97" t="s">
        <v>34238</v>
      </c>
      <c r="F4829" s="98" t="s">
        <v>34239</v>
      </c>
      <c r="G4829" s="98" t="s">
        <v>34240</v>
      </c>
      <c r="H4829" s="59" t="s">
        <v>2591</v>
      </c>
      <c r="I4829" s="25" t="str">
        <f>IFERROR(__xludf.DUMMYFUNCTION("GOOGLETRANSLATE(H4829,""EN"",""ES"")"),"Negocio")</f>
        <v>Negocio</v>
      </c>
      <c r="J4829" s="26" t="s">
        <v>27</v>
      </c>
      <c r="K4829" s="17">
        <v>0.0</v>
      </c>
      <c r="L4829" s="51"/>
      <c r="M4829" s="31"/>
      <c r="N4829" s="83"/>
      <c r="O4829" s="83"/>
      <c r="P4829" s="20">
        <v>0.0</v>
      </c>
      <c r="Q4829" s="31"/>
      <c r="R4829" s="31"/>
      <c r="S4829" s="53"/>
      <c r="T4829" s="32"/>
    </row>
    <row r="4830">
      <c r="A4830" s="33" t="s">
        <v>34241</v>
      </c>
      <c r="B4830" s="76" t="s">
        <v>558</v>
      </c>
      <c r="C4830" s="99">
        <v>45635.0</v>
      </c>
      <c r="D4830" s="40" t="s">
        <v>34242</v>
      </c>
      <c r="E4830" s="100" t="s">
        <v>34243</v>
      </c>
      <c r="F4830" s="101" t="s">
        <v>34244</v>
      </c>
      <c r="G4830" s="101" t="s">
        <v>34245</v>
      </c>
      <c r="H4830" s="61" t="s">
        <v>2591</v>
      </c>
      <c r="I4830" s="15" t="str">
        <f>IFERROR(__xludf.DUMMYFUNCTION("GOOGLETRANSLATE(H4830,""EN"",""ES"")"),"Negocio")</f>
        <v>Negocio</v>
      </c>
      <c r="J4830" s="16" t="s">
        <v>35</v>
      </c>
      <c r="K4830" s="48">
        <v>-0.7</v>
      </c>
      <c r="L4830" s="49" t="s">
        <v>34246</v>
      </c>
      <c r="M4830" s="34" t="s">
        <v>34247</v>
      </c>
      <c r="N4830" s="86" t="s">
        <v>34248</v>
      </c>
      <c r="O4830" s="86" t="str">
        <f>IFERROR(__xludf.DUMMYFUNCTION("GOOGLETRANSLATE(N4830,""EN"",""ES"")"),"Sentimiento negativo, que enfatiza las preocupaciones de los inversores.")</f>
        <v>Sentimiento negativo, que enfatiza las preocupaciones de los inversores.</v>
      </c>
      <c r="P4830" s="30">
        <v>-0.7</v>
      </c>
      <c r="Q4830" s="18" t="str">
        <f>IFERROR(__xludf.DUMMYFUNCTION("GOOGLETRANSLATE(R4830,""ES"",""EN"")"),"Varapalo, ""underweight""")</f>
        <v>Varapalo, "underweight"</v>
      </c>
      <c r="R4830" s="34" t="s">
        <v>34249</v>
      </c>
      <c r="S4830" s="52" t="s">
        <v>25628</v>
      </c>
      <c r="T4830" s="22" t="s">
        <v>25629</v>
      </c>
    </row>
    <row r="4831">
      <c r="A4831" s="23" t="s">
        <v>34250</v>
      </c>
      <c r="B4831" s="77" t="s">
        <v>21</v>
      </c>
      <c r="C4831" s="96">
        <v>45635.0</v>
      </c>
      <c r="D4831" s="40" t="s">
        <v>34251</v>
      </c>
      <c r="E4831" s="97" t="s">
        <v>34252</v>
      </c>
      <c r="F4831" s="98" t="s">
        <v>34253</v>
      </c>
      <c r="G4831" s="98" t="s">
        <v>34254</v>
      </c>
      <c r="H4831" s="59" t="s">
        <v>17454</v>
      </c>
      <c r="I4831" s="25" t="str">
        <f>IFERROR(__xludf.DUMMYFUNCTION("GOOGLETRANSLATE(H4831,""EN"",""ES"")"),"Estilo de vida")</f>
        <v>Estilo de vida</v>
      </c>
      <c r="J4831" s="26" t="s">
        <v>27</v>
      </c>
      <c r="K4831" s="17">
        <v>0.0</v>
      </c>
      <c r="L4831" s="51"/>
      <c r="M4831" s="31"/>
      <c r="N4831" s="83"/>
      <c r="O4831" s="83"/>
      <c r="P4831" s="20">
        <v>0.0</v>
      </c>
      <c r="Q4831" s="31"/>
      <c r="R4831" s="31"/>
      <c r="S4831" s="53"/>
      <c r="T4831" s="32"/>
    </row>
    <row r="4832">
      <c r="A4832" s="33" t="s">
        <v>34255</v>
      </c>
      <c r="B4832" s="76" t="s">
        <v>1983</v>
      </c>
      <c r="C4832" s="99">
        <v>45635.0</v>
      </c>
      <c r="D4832" s="40" t="s">
        <v>34256</v>
      </c>
      <c r="E4832" s="100" t="s">
        <v>34257</v>
      </c>
      <c r="F4832" s="101" t="s">
        <v>34258</v>
      </c>
      <c r="G4832" s="101" t="s">
        <v>34259</v>
      </c>
      <c r="H4832" s="61" t="s">
        <v>2591</v>
      </c>
      <c r="I4832" s="15" t="str">
        <f>IFERROR(__xludf.DUMMYFUNCTION("GOOGLETRANSLATE(H4832,""EN"",""ES"")"),"Negocio")</f>
        <v>Negocio</v>
      </c>
      <c r="J4832" s="16" t="s">
        <v>27</v>
      </c>
      <c r="K4832" s="17">
        <v>0.0</v>
      </c>
      <c r="L4832" s="49"/>
      <c r="M4832" s="18"/>
      <c r="N4832" s="86"/>
      <c r="O4832" s="86"/>
      <c r="P4832" s="20">
        <v>0.0</v>
      </c>
      <c r="Q4832" s="18"/>
      <c r="R4832" s="18"/>
      <c r="S4832" s="52"/>
      <c r="T4832" s="22"/>
    </row>
    <row r="4833">
      <c r="A4833" s="23" t="s">
        <v>34260</v>
      </c>
      <c r="B4833" s="77" t="s">
        <v>85</v>
      </c>
      <c r="C4833" s="96">
        <v>45635.0</v>
      </c>
      <c r="D4833" s="40" t="s">
        <v>34261</v>
      </c>
      <c r="E4833" s="97" t="s">
        <v>34262</v>
      </c>
      <c r="F4833" s="98" t="s">
        <v>34263</v>
      </c>
      <c r="G4833" s="98" t="s">
        <v>34264</v>
      </c>
      <c r="H4833" s="59" t="s">
        <v>2591</v>
      </c>
      <c r="I4833" s="25" t="str">
        <f>IFERROR(__xludf.DUMMYFUNCTION("GOOGLETRANSLATE(H4833,""EN"",""ES"")"),"Negocio")</f>
        <v>Negocio</v>
      </c>
      <c r="J4833" s="26" t="s">
        <v>35</v>
      </c>
      <c r="K4833" s="48">
        <v>0.8</v>
      </c>
      <c r="L4833" s="51" t="s">
        <v>34265</v>
      </c>
      <c r="M4833" s="28" t="s">
        <v>34266</v>
      </c>
      <c r="N4833" s="83" t="s">
        <v>34267</v>
      </c>
      <c r="O4833" s="83" t="str">
        <f>IFERROR(__xludf.DUMMYFUNCTION("GOOGLETRANSLATE(N4833,""EN"",""ES"")"),"Sentimiento positivo, que destaca la fuerte confianza de los inversores.")</f>
        <v>Sentimiento positivo, que destaca la fuerte confianza de los inversores.</v>
      </c>
      <c r="P4833" s="30">
        <v>0.5</v>
      </c>
      <c r="Q4833" s="31" t="str">
        <f>IFERROR(__xludf.DUMMYFUNCTION("GOOGLETRANSLATE(R4833,""ES"",""EN"")"),"they raise their bets")</f>
        <v>they raise their bets</v>
      </c>
      <c r="R4833" s="28" t="s">
        <v>34268</v>
      </c>
      <c r="S4833" s="53" t="s">
        <v>34269</v>
      </c>
      <c r="T4833" s="32" t="s">
        <v>34270</v>
      </c>
    </row>
    <row r="4834">
      <c r="A4834" s="33" t="s">
        <v>34271</v>
      </c>
      <c r="B4834" s="76" t="s">
        <v>103</v>
      </c>
      <c r="C4834" s="99">
        <v>45635.0</v>
      </c>
      <c r="D4834" s="40" t="s">
        <v>34272</v>
      </c>
      <c r="E4834" s="100" t="s">
        <v>34273</v>
      </c>
      <c r="F4834" s="101" t="s">
        <v>34274</v>
      </c>
      <c r="G4834" s="101" t="s">
        <v>34275</v>
      </c>
      <c r="H4834" s="61" t="s">
        <v>2591</v>
      </c>
      <c r="I4834" s="15" t="str">
        <f>IFERROR(__xludf.DUMMYFUNCTION("GOOGLETRANSLATE(H4834,""EN"",""ES"")"),"Negocio")</f>
        <v>Negocio</v>
      </c>
      <c r="J4834" s="16" t="s">
        <v>35</v>
      </c>
      <c r="K4834" s="48">
        <v>-0.8</v>
      </c>
      <c r="L4834" s="49" t="s">
        <v>34246</v>
      </c>
      <c r="M4834" s="34" t="s">
        <v>34247</v>
      </c>
      <c r="N4834" s="86" t="s">
        <v>34276</v>
      </c>
      <c r="O4834" s="86" t="str">
        <f>IFERROR(__xludf.DUMMYFUNCTION("GOOGLETRANSLATE(N4834,""EN"",""ES"")"),"Sentimiento fuertemente negativo, que refleja el empeoramiento de las perspectivas de los inversores.")</f>
        <v>Sentimiento fuertemente negativo, que refleja el empeoramiento de las perspectivas de los inversores.</v>
      </c>
      <c r="P4834" s="30">
        <v>-0.7</v>
      </c>
      <c r="Q4834" s="18" t="str">
        <f>IFERROR(__xludf.DUMMYFUNCTION("GOOGLETRANSLATE(R4834,""ES"",""EN"")"),"clouds, ""reduction""")</f>
        <v>clouds, "reduction"</v>
      </c>
      <c r="R4834" s="34" t="s">
        <v>34277</v>
      </c>
      <c r="S4834" s="52" t="s">
        <v>25628</v>
      </c>
      <c r="T4834" s="22" t="s">
        <v>25629</v>
      </c>
    </row>
    <row r="4835">
      <c r="A4835" s="23" t="s">
        <v>34278</v>
      </c>
      <c r="B4835" s="77" t="s">
        <v>217</v>
      </c>
      <c r="C4835" s="96">
        <v>45635.0</v>
      </c>
      <c r="D4835" s="40" t="s">
        <v>34279</v>
      </c>
      <c r="E4835" s="97" t="s">
        <v>34280</v>
      </c>
      <c r="F4835" s="98" t="s">
        <v>34281</v>
      </c>
      <c r="G4835" s="98" t="s">
        <v>34282</v>
      </c>
      <c r="H4835" s="59" t="s">
        <v>33717</v>
      </c>
      <c r="I4835" s="25" t="str">
        <f>IFERROR(__xludf.DUMMYFUNCTION("GOOGLETRANSLATE(H4835,""EN"",""ES"")"),"Sostenibilidad y Negocios")</f>
        <v>Sostenibilidad y Negocios</v>
      </c>
      <c r="J4835" s="26" t="s">
        <v>27</v>
      </c>
      <c r="K4835" s="17">
        <v>0.0</v>
      </c>
      <c r="L4835" s="51"/>
      <c r="M4835" s="31"/>
      <c r="N4835" s="83"/>
      <c r="O4835" s="83"/>
      <c r="P4835" s="20">
        <v>0.0</v>
      </c>
      <c r="Q4835" s="31"/>
      <c r="R4835" s="31"/>
      <c r="S4835" s="53"/>
      <c r="T4835" s="32"/>
    </row>
    <row r="4836">
      <c r="A4836" s="33" t="s">
        <v>34283</v>
      </c>
      <c r="B4836" s="76" t="s">
        <v>3067</v>
      </c>
      <c r="C4836" s="99">
        <v>45635.0</v>
      </c>
      <c r="D4836" s="40" t="s">
        <v>34284</v>
      </c>
      <c r="E4836" s="100" t="s">
        <v>34285</v>
      </c>
      <c r="F4836" s="101" t="s">
        <v>34286</v>
      </c>
      <c r="G4836" s="101" t="s">
        <v>34287</v>
      </c>
      <c r="H4836" s="61" t="s">
        <v>1975</v>
      </c>
      <c r="I4836" s="15" t="str">
        <f>IFERROR(__xludf.DUMMYFUNCTION("GOOGLETRANSLATE(H4836,""EN"",""ES"")"),"Política")</f>
        <v>Política</v>
      </c>
      <c r="J4836" s="16" t="s">
        <v>27</v>
      </c>
      <c r="K4836" s="17">
        <v>0.0</v>
      </c>
      <c r="L4836" s="49"/>
      <c r="M4836" s="18"/>
      <c r="N4836" s="86"/>
      <c r="O4836" s="86"/>
      <c r="P4836" s="20">
        <v>0.0</v>
      </c>
      <c r="Q4836" s="18"/>
      <c r="R4836" s="18"/>
      <c r="S4836" s="52"/>
      <c r="T4836" s="22"/>
    </row>
    <row r="4837">
      <c r="A4837" s="23" t="s">
        <v>34288</v>
      </c>
      <c r="B4837" s="77" t="s">
        <v>21</v>
      </c>
      <c r="C4837" s="96">
        <v>45635.0</v>
      </c>
      <c r="D4837" s="40" t="s">
        <v>34289</v>
      </c>
      <c r="E4837" s="97" t="s">
        <v>34290</v>
      </c>
      <c r="F4837" s="98" t="s">
        <v>34291</v>
      </c>
      <c r="G4837" s="98" t="s">
        <v>34292</v>
      </c>
      <c r="H4837" s="59" t="s">
        <v>8762</v>
      </c>
      <c r="I4837" s="25" t="str">
        <f>IFERROR(__xludf.DUMMYFUNCTION("GOOGLETRANSLATE(H4837,""EN"",""ES"")"),"Viajar")</f>
        <v>Viajar</v>
      </c>
      <c r="J4837" s="26" t="s">
        <v>27</v>
      </c>
      <c r="K4837" s="17">
        <v>0.0</v>
      </c>
      <c r="L4837" s="51"/>
      <c r="M4837" s="31"/>
      <c r="N4837" s="83"/>
      <c r="O4837" s="83"/>
      <c r="P4837" s="20">
        <v>0.0</v>
      </c>
      <c r="Q4837" s="31"/>
      <c r="R4837" s="31"/>
      <c r="S4837" s="53"/>
      <c r="T4837" s="32"/>
    </row>
    <row r="4838">
      <c r="A4838" s="33" t="s">
        <v>34293</v>
      </c>
      <c r="B4838" s="76" t="s">
        <v>85</v>
      </c>
      <c r="C4838" s="99">
        <v>45635.0</v>
      </c>
      <c r="D4838" s="40" t="s">
        <v>34294</v>
      </c>
      <c r="E4838" s="100" t="s">
        <v>34295</v>
      </c>
      <c r="F4838" s="101" t="s">
        <v>34296</v>
      </c>
      <c r="G4838" s="101" t="s">
        <v>34297</v>
      </c>
      <c r="H4838" s="61" t="s">
        <v>148</v>
      </c>
      <c r="I4838" s="15" t="str">
        <f>IFERROR(__xludf.DUMMYFUNCTION("GOOGLETRANSLATE(H4838,""EN"",""ES"")"),"Gastronomía")</f>
        <v>Gastronomía</v>
      </c>
      <c r="J4838" s="16" t="s">
        <v>27</v>
      </c>
      <c r="K4838" s="17">
        <v>0.0</v>
      </c>
      <c r="L4838" s="49"/>
      <c r="M4838" s="18"/>
      <c r="N4838" s="86"/>
      <c r="O4838" s="86"/>
      <c r="P4838" s="20">
        <v>0.0</v>
      </c>
      <c r="Q4838" s="18"/>
      <c r="R4838" s="18"/>
      <c r="S4838" s="52"/>
      <c r="T4838" s="22"/>
    </row>
    <row r="4839">
      <c r="A4839" s="23" t="s">
        <v>34298</v>
      </c>
      <c r="B4839" s="77" t="s">
        <v>34299</v>
      </c>
      <c r="C4839" s="96">
        <v>45635.0</v>
      </c>
      <c r="D4839" s="40" t="s">
        <v>34300</v>
      </c>
      <c r="E4839" s="97" t="s">
        <v>34301</v>
      </c>
      <c r="F4839" s="98" t="s">
        <v>34302</v>
      </c>
      <c r="G4839" s="98" t="s">
        <v>34303</v>
      </c>
      <c r="H4839" s="59" t="s">
        <v>34304</v>
      </c>
      <c r="I4839" s="25" t="str">
        <f>IFERROR(__xludf.DUMMYFUNCTION("GOOGLETRANSLATE(H4839,""EN"",""ES"")"),"Energía y Sostenibilidad")</f>
        <v>Energía y Sostenibilidad</v>
      </c>
      <c r="J4839" s="26" t="s">
        <v>35</v>
      </c>
      <c r="K4839" s="48">
        <v>0.8</v>
      </c>
      <c r="L4839" s="51" t="s">
        <v>34305</v>
      </c>
      <c r="M4839" s="28" t="s">
        <v>34306</v>
      </c>
      <c r="N4839" s="83" t="s">
        <v>34307</v>
      </c>
      <c r="O4839" s="83" t="str">
        <f>IFERROR(__xludf.DUMMYFUNCTION("GOOGLETRANSLATE(N4839,""EN"",""ES"")"),"Sentimiento positivo, centrado en la inversión en energías renovables.")</f>
        <v>Sentimiento positivo, centrado en la inversión en energías renovables.</v>
      </c>
      <c r="P4839" s="30">
        <v>0.7</v>
      </c>
      <c r="Q4839" s="31" t="str">
        <f>IFERROR(__xludf.DUMMYFUNCTION("GOOGLETRANSLATE(R4839,""ES"",""EN"")"),"expand wind farm")</f>
        <v>expand wind farm</v>
      </c>
      <c r="R4839" s="28" t="s">
        <v>34308</v>
      </c>
      <c r="S4839" s="53" t="s">
        <v>34309</v>
      </c>
      <c r="T4839" s="32" t="s">
        <v>34310</v>
      </c>
    </row>
    <row r="4840">
      <c r="A4840" s="33" t="s">
        <v>34311</v>
      </c>
      <c r="B4840" s="76" t="s">
        <v>2739</v>
      </c>
      <c r="C4840" s="99">
        <v>45636.0</v>
      </c>
      <c r="D4840" s="40" t="s">
        <v>33992</v>
      </c>
      <c r="E4840" s="100" t="s">
        <v>34312</v>
      </c>
      <c r="F4840" s="101" t="s">
        <v>33994</v>
      </c>
      <c r="G4840" s="101" t="s">
        <v>34313</v>
      </c>
      <c r="H4840" s="61" t="s">
        <v>130</v>
      </c>
      <c r="I4840" s="15" t="str">
        <f>IFERROR(__xludf.DUMMYFUNCTION("GOOGLETRANSLATE(H4840,""EN"",""ES"")"),"Sostenibilidad")</f>
        <v>Sostenibilidad</v>
      </c>
      <c r="J4840" s="16" t="s">
        <v>35</v>
      </c>
      <c r="K4840" s="48">
        <v>0.9</v>
      </c>
      <c r="L4840" s="49" t="s">
        <v>33997</v>
      </c>
      <c r="M4840" s="34" t="s">
        <v>33998</v>
      </c>
      <c r="N4840" s="86" t="s">
        <v>34314</v>
      </c>
      <c r="O4840" s="86" t="str">
        <f>IFERROR(__xludf.DUMMYFUNCTION("GOOGLETRANSLATE(N4840,""EN"",""ES"")"),"Sentimiento fuertemente positivo, que refuerza las iniciativas de sostenibilidad.")</f>
        <v>Sentimiento fuertemente positivo, que refuerza las iniciativas de sostenibilidad.</v>
      </c>
      <c r="P4840" s="30">
        <v>0.6</v>
      </c>
      <c r="Q4840" s="18" t="str">
        <f>IFERROR(__xludf.DUMMYFUNCTION("GOOGLETRANSLATE(R4840,""ES"",""EN"")"),"charging points")</f>
        <v>charging points</v>
      </c>
      <c r="R4840" s="34" t="s">
        <v>34315</v>
      </c>
      <c r="S4840" s="52" t="s">
        <v>10595</v>
      </c>
      <c r="T4840" s="22" t="s">
        <v>10596</v>
      </c>
    </row>
    <row r="4841">
      <c r="A4841" s="23" t="s">
        <v>34316</v>
      </c>
      <c r="B4841" s="77" t="s">
        <v>3992</v>
      </c>
      <c r="C4841" s="96">
        <v>45636.0</v>
      </c>
      <c r="D4841" s="40" t="s">
        <v>34317</v>
      </c>
      <c r="E4841" s="97" t="s">
        <v>34318</v>
      </c>
      <c r="F4841" s="98" t="s">
        <v>34319</v>
      </c>
      <c r="G4841" s="98" t="s">
        <v>34320</v>
      </c>
      <c r="H4841" s="59" t="s">
        <v>34156</v>
      </c>
      <c r="I4841" s="25" t="str">
        <f>IFERROR(__xludf.DUMMYFUNCTION("GOOGLETRANSLATE(H4841,""EN"",""ES"")"),"Negocios y tecnología")</f>
        <v>Negocios y tecnología</v>
      </c>
      <c r="J4841" s="26" t="s">
        <v>35</v>
      </c>
      <c r="K4841" s="48">
        <v>0.7</v>
      </c>
      <c r="L4841" s="51" t="s">
        <v>34321</v>
      </c>
      <c r="M4841" s="28" t="s">
        <v>34322</v>
      </c>
      <c r="N4841" s="83" t="s">
        <v>34323</v>
      </c>
      <c r="O4841" s="83" t="str">
        <f>IFERROR(__xludf.DUMMYFUNCTION("GOOGLETRANSLATE(N4841,""EN"",""ES"")"),"Sentimiento positivo, enfatizando la competencia y la transformación de la industria.")</f>
        <v>Sentimiento positivo, enfatizando la competencia y la transformación de la industria.</v>
      </c>
      <c r="P4841" s="30">
        <v>0.0</v>
      </c>
      <c r="Q4841" s="31"/>
      <c r="R4841" s="31"/>
      <c r="S4841" s="53" t="s">
        <v>469</v>
      </c>
      <c r="T4841" s="32" t="s">
        <v>470</v>
      </c>
    </row>
    <row r="4842">
      <c r="A4842" s="33" t="s">
        <v>34324</v>
      </c>
      <c r="B4842" s="76" t="s">
        <v>8884</v>
      </c>
      <c r="C4842" s="99">
        <v>45636.0</v>
      </c>
      <c r="D4842" s="40" t="s">
        <v>34325</v>
      </c>
      <c r="E4842" s="100" t="s">
        <v>34326</v>
      </c>
      <c r="F4842" s="101" t="s">
        <v>34327</v>
      </c>
      <c r="G4842" s="101" t="s">
        <v>34328</v>
      </c>
      <c r="H4842" s="61" t="s">
        <v>34329</v>
      </c>
      <c r="I4842" s="15" t="str">
        <f>IFERROR(__xludf.DUMMYFUNCTION("GOOGLETRANSLATE(H4842,""EN"",""ES"")"),"Energía y Negocios")</f>
        <v>Energía y Negocios</v>
      </c>
      <c r="J4842" s="16" t="s">
        <v>35</v>
      </c>
      <c r="K4842" s="48">
        <v>0.6</v>
      </c>
      <c r="L4842" s="49" t="s">
        <v>34330</v>
      </c>
      <c r="M4842" s="34" t="s">
        <v>34331</v>
      </c>
      <c r="N4842" s="86" t="s">
        <v>34332</v>
      </c>
      <c r="O4842" s="86" t="str">
        <f>IFERROR(__xludf.DUMMYFUNCTION("GOOGLETRANSLATE(N4842,""EN"",""ES"")"),"Sentimiento positivo, se habla de inversión en energías renovables.")</f>
        <v>Sentimiento positivo, se habla de inversión en energías renovables.</v>
      </c>
      <c r="P4842" s="30">
        <v>-0.3</v>
      </c>
      <c r="Q4842" s="18" t="str">
        <f>IFERROR(__xludf.DUMMYFUNCTION("GOOGLETRANSLATE(R4842,""ES"",""EN"")"),"they dispute")</f>
        <v>they dispute</v>
      </c>
      <c r="R4842" s="34" t="s">
        <v>34333</v>
      </c>
      <c r="S4842" s="52" t="s">
        <v>34334</v>
      </c>
      <c r="T4842" s="22" t="s">
        <v>34335</v>
      </c>
    </row>
    <row r="4843">
      <c r="A4843" s="23" t="s">
        <v>34336</v>
      </c>
      <c r="B4843" s="77" t="s">
        <v>192</v>
      </c>
      <c r="C4843" s="96">
        <v>45636.0</v>
      </c>
      <c r="D4843" s="40" t="s">
        <v>34337</v>
      </c>
      <c r="E4843" s="97" t="s">
        <v>34338</v>
      </c>
      <c r="F4843" s="98" t="s">
        <v>34339</v>
      </c>
      <c r="G4843" s="98" t="s">
        <v>34340</v>
      </c>
      <c r="H4843" s="59" t="s">
        <v>34341</v>
      </c>
      <c r="I4843" s="25" t="str">
        <f>IFERROR(__xludf.DUMMYFUNCTION("GOOGLETRANSLATE(H4843,""EN"",""ES"")"),"Cultura y premios")</f>
        <v>Cultura y premios</v>
      </c>
      <c r="J4843" s="26" t="s">
        <v>27</v>
      </c>
      <c r="K4843" s="17">
        <v>0.0</v>
      </c>
      <c r="L4843" s="51"/>
      <c r="M4843" s="31"/>
      <c r="N4843" s="83"/>
      <c r="O4843" s="83"/>
      <c r="P4843" s="20">
        <v>0.0</v>
      </c>
      <c r="Q4843" s="31"/>
      <c r="R4843" s="31"/>
      <c r="S4843" s="53"/>
      <c r="T4843" s="32"/>
    </row>
    <row r="4844">
      <c r="A4844" s="33" t="s">
        <v>34342</v>
      </c>
      <c r="B4844" s="76" t="s">
        <v>34343</v>
      </c>
      <c r="C4844" s="99">
        <v>45636.0</v>
      </c>
      <c r="D4844" s="40" t="s">
        <v>34344</v>
      </c>
      <c r="E4844" s="100" t="s">
        <v>34345</v>
      </c>
      <c r="F4844" s="101" t="s">
        <v>34346</v>
      </c>
      <c r="G4844" s="101" t="s">
        <v>34347</v>
      </c>
      <c r="H4844" s="61" t="s">
        <v>2591</v>
      </c>
      <c r="I4844" s="15" t="str">
        <f>IFERROR(__xludf.DUMMYFUNCTION("GOOGLETRANSLATE(H4844,""EN"",""ES"")"),"Negocio")</f>
        <v>Negocio</v>
      </c>
      <c r="J4844" s="16" t="s">
        <v>35</v>
      </c>
      <c r="K4844" s="48">
        <v>0.4</v>
      </c>
      <c r="L4844" s="49" t="s">
        <v>34348</v>
      </c>
      <c r="M4844" s="34" t="s">
        <v>34349</v>
      </c>
      <c r="N4844" s="86" t="s">
        <v>34350</v>
      </c>
      <c r="O4844" s="86" t="str">
        <f>IFERROR(__xludf.DUMMYFUNCTION("GOOGLETRANSLATE(N4844,""EN"",""ES"")"),"Sentimiento ligeramente positivo, lo que refleja la estabilidad en el desempeño de las acciones.")</f>
        <v>Sentimiento ligeramente positivo, lo que refleja la estabilidad en el desempeño de las acciones.</v>
      </c>
      <c r="P4844" s="30">
        <v>0.0</v>
      </c>
      <c r="Q4844" s="18"/>
      <c r="R4844" s="18"/>
      <c r="S4844" s="52" t="s">
        <v>24576</v>
      </c>
      <c r="T4844" s="22" t="s">
        <v>26845</v>
      </c>
    </row>
    <row r="4845">
      <c r="A4845" s="23" t="s">
        <v>34351</v>
      </c>
      <c r="B4845" s="77" t="s">
        <v>21</v>
      </c>
      <c r="C4845" s="96">
        <v>45636.0</v>
      </c>
      <c r="D4845" s="40" t="s">
        <v>34352</v>
      </c>
      <c r="E4845" s="97" t="s">
        <v>34353</v>
      </c>
      <c r="F4845" s="98" t="s">
        <v>34354</v>
      </c>
      <c r="G4845" s="98" t="s">
        <v>34355</v>
      </c>
      <c r="H4845" s="59" t="s">
        <v>148</v>
      </c>
      <c r="I4845" s="25" t="str">
        <f>IFERROR(__xludf.DUMMYFUNCTION("GOOGLETRANSLATE(H4845,""EN"",""ES"")"),"Gastronomía")</f>
        <v>Gastronomía</v>
      </c>
      <c r="J4845" s="26" t="s">
        <v>27</v>
      </c>
      <c r="K4845" s="17">
        <v>0.0</v>
      </c>
      <c r="L4845" s="51"/>
      <c r="M4845" s="31"/>
      <c r="N4845" s="83"/>
      <c r="O4845" s="83"/>
      <c r="P4845" s="20">
        <v>0.0</v>
      </c>
      <c r="Q4845" s="31"/>
      <c r="R4845" s="31"/>
      <c r="S4845" s="53"/>
      <c r="T4845" s="32"/>
    </row>
    <row r="4846">
      <c r="A4846" s="33" t="s">
        <v>34356</v>
      </c>
      <c r="B4846" s="76" t="s">
        <v>499</v>
      </c>
      <c r="C4846" s="99">
        <v>45636.0</v>
      </c>
      <c r="D4846" s="40" t="s">
        <v>34357</v>
      </c>
      <c r="E4846" s="100" t="s">
        <v>34358</v>
      </c>
      <c r="F4846" s="101" t="s">
        <v>34359</v>
      </c>
      <c r="G4846" s="101" t="s">
        <v>34360</v>
      </c>
      <c r="H4846" s="61" t="s">
        <v>34361</v>
      </c>
      <c r="I4846" s="15" t="str">
        <f>IFERROR(__xludf.DUMMYFUNCTION("GOOGLETRANSLATE(H4846,""EN"",""ES"")"),"Economía y política")</f>
        <v>Economía y política</v>
      </c>
      <c r="J4846" s="16" t="s">
        <v>27</v>
      </c>
      <c r="K4846" s="17">
        <v>0.0</v>
      </c>
      <c r="L4846" s="49"/>
      <c r="M4846" s="18"/>
      <c r="N4846" s="86"/>
      <c r="O4846" s="86"/>
      <c r="P4846" s="20">
        <v>0.0</v>
      </c>
      <c r="Q4846" s="18"/>
      <c r="R4846" s="18"/>
      <c r="S4846" s="52"/>
      <c r="T4846" s="22"/>
    </row>
    <row r="4847">
      <c r="A4847" s="23" t="s">
        <v>34362</v>
      </c>
      <c r="B4847" s="77" t="s">
        <v>431</v>
      </c>
      <c r="C4847" s="96">
        <v>45636.0</v>
      </c>
      <c r="D4847" s="40" t="s">
        <v>34363</v>
      </c>
      <c r="E4847" s="97" t="s">
        <v>34364</v>
      </c>
      <c r="F4847" s="98" t="s">
        <v>34365</v>
      </c>
      <c r="G4847" s="98" t="s">
        <v>34366</v>
      </c>
      <c r="H4847" s="59" t="s">
        <v>34367</v>
      </c>
      <c r="I4847" s="25" t="str">
        <f>IFERROR(__xludf.DUMMYFUNCTION("GOOGLETRANSLATE(H4847,""EN"",""ES"")"),"Caridad y Gastronomía")</f>
        <v>Caridad y Gastronomía</v>
      </c>
      <c r="J4847" s="26" t="s">
        <v>27</v>
      </c>
      <c r="K4847" s="17">
        <v>0.0</v>
      </c>
      <c r="L4847" s="51"/>
      <c r="M4847" s="31"/>
      <c r="N4847" s="83"/>
      <c r="O4847" s="83"/>
      <c r="P4847" s="20">
        <v>0.0</v>
      </c>
      <c r="Q4847" s="31"/>
      <c r="R4847" s="31"/>
      <c r="S4847" s="53"/>
      <c r="T4847" s="32"/>
    </row>
    <row r="4848">
      <c r="A4848" s="33" t="s">
        <v>34368</v>
      </c>
      <c r="B4848" s="76" t="s">
        <v>217</v>
      </c>
      <c r="C4848" s="99">
        <v>45636.0</v>
      </c>
      <c r="D4848" s="40" t="s">
        <v>34369</v>
      </c>
      <c r="E4848" s="100" t="s">
        <v>34370</v>
      </c>
      <c r="F4848" s="101" t="s">
        <v>34371</v>
      </c>
      <c r="G4848" s="101" t="s">
        <v>34372</v>
      </c>
      <c r="H4848" s="61" t="s">
        <v>2389</v>
      </c>
      <c r="I4848" s="15" t="str">
        <f>IFERROR(__xludf.DUMMYFUNCTION("GOOGLETRANSLATE(H4848,""EN"",""ES"")"),"Mercado de trabajo")</f>
        <v>Mercado de trabajo</v>
      </c>
      <c r="J4848" s="16" t="s">
        <v>27</v>
      </c>
      <c r="K4848" s="17">
        <v>0.0</v>
      </c>
      <c r="L4848" s="49"/>
      <c r="M4848" s="18"/>
      <c r="N4848" s="86"/>
      <c r="O4848" s="86"/>
      <c r="P4848" s="20">
        <v>0.0</v>
      </c>
      <c r="Q4848" s="18"/>
      <c r="R4848" s="18"/>
      <c r="S4848" s="52"/>
      <c r="T4848" s="22"/>
    </row>
    <row r="4849">
      <c r="A4849" s="23" t="s">
        <v>34373</v>
      </c>
      <c r="B4849" s="77" t="s">
        <v>21</v>
      </c>
      <c r="C4849" s="96">
        <v>45636.0</v>
      </c>
      <c r="D4849" s="40" t="s">
        <v>34374</v>
      </c>
      <c r="E4849" s="97" t="s">
        <v>34375</v>
      </c>
      <c r="F4849" s="98" t="s">
        <v>34376</v>
      </c>
      <c r="G4849" s="98" t="s">
        <v>34377</v>
      </c>
      <c r="H4849" s="59" t="s">
        <v>5878</v>
      </c>
      <c r="I4849" s="25" t="str">
        <f>IFERROR(__xludf.DUMMYFUNCTION("GOOGLETRANSLATE(H4849,""EN"",""ES"")"),"Entretenimiento")</f>
        <v>Entretenimiento</v>
      </c>
      <c r="J4849" s="26" t="s">
        <v>27</v>
      </c>
      <c r="K4849" s="17">
        <v>0.0</v>
      </c>
      <c r="L4849" s="51"/>
      <c r="M4849" s="31"/>
      <c r="N4849" s="83"/>
      <c r="O4849" s="83"/>
      <c r="P4849" s="20">
        <v>0.0</v>
      </c>
      <c r="Q4849" s="31"/>
      <c r="R4849" s="31"/>
      <c r="S4849" s="53"/>
      <c r="T4849" s="32"/>
    </row>
    <row r="4850">
      <c r="A4850" s="33" t="s">
        <v>34378</v>
      </c>
      <c r="B4850" s="76" t="s">
        <v>3320</v>
      </c>
      <c r="C4850" s="99">
        <v>45637.0</v>
      </c>
      <c r="D4850" s="40" t="s">
        <v>34379</v>
      </c>
      <c r="E4850" s="100" t="s">
        <v>34380</v>
      </c>
      <c r="F4850" s="101" t="s">
        <v>34381</v>
      </c>
      <c r="G4850" s="101" t="s">
        <v>34382</v>
      </c>
      <c r="H4850" s="61" t="s">
        <v>34341</v>
      </c>
      <c r="I4850" s="15" t="str">
        <f>IFERROR(__xludf.DUMMYFUNCTION("GOOGLETRANSLATE(H4850,""EN"",""ES"")"),"Cultura y premios")</f>
        <v>Cultura y premios</v>
      </c>
      <c r="J4850" s="16" t="s">
        <v>27</v>
      </c>
      <c r="K4850" s="17">
        <v>0.0</v>
      </c>
      <c r="L4850" s="49"/>
      <c r="M4850" s="18"/>
      <c r="N4850" s="86"/>
      <c r="O4850" s="86"/>
      <c r="P4850" s="20">
        <v>0.0</v>
      </c>
      <c r="Q4850" s="18"/>
      <c r="R4850" s="18"/>
      <c r="S4850" s="52"/>
      <c r="T4850" s="22"/>
    </row>
    <row r="4851">
      <c r="A4851" s="23" t="s">
        <v>34383</v>
      </c>
      <c r="B4851" s="77" t="s">
        <v>2008</v>
      </c>
      <c r="C4851" s="96">
        <v>45637.0</v>
      </c>
      <c r="D4851" s="40" t="s">
        <v>34384</v>
      </c>
      <c r="E4851" s="97" t="s">
        <v>34385</v>
      </c>
      <c r="F4851" s="98" t="s">
        <v>34386</v>
      </c>
      <c r="G4851" s="98" t="s">
        <v>34387</v>
      </c>
      <c r="H4851" s="59" t="s">
        <v>1975</v>
      </c>
      <c r="I4851" s="25" t="str">
        <f>IFERROR(__xludf.DUMMYFUNCTION("GOOGLETRANSLATE(H4851,""EN"",""ES"")"),"Política")</f>
        <v>Política</v>
      </c>
      <c r="J4851" s="26" t="s">
        <v>35</v>
      </c>
      <c r="K4851" s="48">
        <v>-0.7</v>
      </c>
      <c r="L4851" s="51" t="s">
        <v>34388</v>
      </c>
      <c r="M4851" s="28" t="s">
        <v>34389</v>
      </c>
      <c r="N4851" s="83" t="s">
        <v>34390</v>
      </c>
      <c r="O4851" s="83" t="str">
        <f>IFERROR(__xludf.DUMMYFUNCTION("GOOGLETRANSLATE(N4851,""EN"",""ES"")"),"Sentimiento fuertemente negativo, que refleja crítica política.")</f>
        <v>Sentimiento fuertemente negativo, que refleja crítica política.</v>
      </c>
      <c r="P4851" s="30">
        <v>-0.4</v>
      </c>
      <c r="Q4851" s="31" t="str">
        <f>IFERROR(__xludf.DUMMYFUNCTION("GOOGLETRANSLATE(R4851,""ES"",""EN"")"),"Repsol puppies")</f>
        <v>Repsol puppies</v>
      </c>
      <c r="R4851" s="28" t="s">
        <v>34391</v>
      </c>
      <c r="S4851" s="53" t="s">
        <v>34392</v>
      </c>
      <c r="T4851" s="32" t="s">
        <v>26998</v>
      </c>
    </row>
    <row r="4852">
      <c r="A4852" s="33" t="s">
        <v>34393</v>
      </c>
      <c r="B4852" s="76" t="s">
        <v>1577</v>
      </c>
      <c r="C4852" s="99">
        <v>45637.0</v>
      </c>
      <c r="D4852" s="40" t="s">
        <v>34394</v>
      </c>
      <c r="E4852" s="100" t="s">
        <v>34395</v>
      </c>
      <c r="F4852" s="101" t="s">
        <v>34396</v>
      </c>
      <c r="G4852" s="101" t="s">
        <v>34397</v>
      </c>
      <c r="H4852" s="61" t="s">
        <v>1975</v>
      </c>
      <c r="I4852" s="15" t="str">
        <f>IFERROR(__xludf.DUMMYFUNCTION("GOOGLETRANSLATE(H4852,""EN"",""ES"")"),"Política")</f>
        <v>Política</v>
      </c>
      <c r="J4852" s="16" t="s">
        <v>35</v>
      </c>
      <c r="K4852" s="48">
        <v>-0.6</v>
      </c>
      <c r="L4852" s="49" t="s">
        <v>34398</v>
      </c>
      <c r="M4852" s="34" t="s">
        <v>34399</v>
      </c>
      <c r="N4852" s="86" t="s">
        <v>34400</v>
      </c>
      <c r="O4852" s="86" t="str">
        <f>IFERROR(__xludf.DUMMYFUNCTION("GOOGLETRANSLATE(N4852,""EN"",""ES"")"),"Sentimiento negativo, destacando la controversia política.")</f>
        <v>Sentimiento negativo, destacando la controversia política.</v>
      </c>
      <c r="P4852" s="30">
        <v>-0.4</v>
      </c>
      <c r="Q4852" s="18" t="str">
        <f>IFERROR(__xludf.DUMMYFUNCTION("GOOGLETRANSLATE(R4852,""ES"",""EN"")"),"Repsol puppy")</f>
        <v>Repsol puppy</v>
      </c>
      <c r="R4852" s="34" t="s">
        <v>34401</v>
      </c>
      <c r="S4852" s="52" t="s">
        <v>34392</v>
      </c>
      <c r="T4852" s="22" t="s">
        <v>26998</v>
      </c>
    </row>
    <row r="4853">
      <c r="A4853" s="23" t="s">
        <v>34402</v>
      </c>
      <c r="B4853" s="77" t="s">
        <v>1983</v>
      </c>
      <c r="C4853" s="96">
        <v>45637.0</v>
      </c>
      <c r="D4853" s="40" t="s">
        <v>34403</v>
      </c>
      <c r="E4853" s="97" t="s">
        <v>34404</v>
      </c>
      <c r="F4853" s="98" t="s">
        <v>34405</v>
      </c>
      <c r="G4853" s="98" t="s">
        <v>34406</v>
      </c>
      <c r="H4853" s="59" t="s">
        <v>2591</v>
      </c>
      <c r="I4853" s="25" t="str">
        <f>IFERROR(__xludf.DUMMYFUNCTION("GOOGLETRANSLATE(H4853,""EN"",""ES"")"),"Negocio")</f>
        <v>Negocio</v>
      </c>
      <c r="J4853" s="26" t="s">
        <v>27</v>
      </c>
      <c r="K4853" s="17">
        <v>0.0</v>
      </c>
      <c r="L4853" s="51"/>
      <c r="M4853" s="31"/>
      <c r="N4853" s="83"/>
      <c r="O4853" s="83"/>
      <c r="P4853" s="20">
        <v>0.0</v>
      </c>
      <c r="Q4853" s="31"/>
      <c r="R4853" s="31"/>
      <c r="S4853" s="53"/>
      <c r="T4853" s="32"/>
    </row>
    <row r="4854">
      <c r="A4854" s="33" t="s">
        <v>34407</v>
      </c>
      <c r="B4854" s="76" t="s">
        <v>9569</v>
      </c>
      <c r="C4854" s="99">
        <v>45637.0</v>
      </c>
      <c r="D4854" s="40" t="s">
        <v>34408</v>
      </c>
      <c r="E4854" s="100" t="s">
        <v>34409</v>
      </c>
      <c r="F4854" s="101" t="s">
        <v>34410</v>
      </c>
      <c r="G4854" s="101" t="s">
        <v>34411</v>
      </c>
      <c r="H4854" s="61" t="s">
        <v>62</v>
      </c>
      <c r="I4854" s="15" t="str">
        <f>IFERROR(__xludf.DUMMYFUNCTION("GOOGLETRANSLATE(H4854,""EN"",""ES"")"),"Energía")</f>
        <v>Energía</v>
      </c>
      <c r="J4854" s="16" t="s">
        <v>35</v>
      </c>
      <c r="K4854" s="48">
        <v>0.8</v>
      </c>
      <c r="L4854" s="49" t="s">
        <v>34412</v>
      </c>
      <c r="M4854" s="34" t="s">
        <v>34413</v>
      </c>
      <c r="N4854" s="86" t="s">
        <v>34414</v>
      </c>
      <c r="O4854" s="86" t="str">
        <f>IFERROR(__xludf.DUMMYFUNCTION("GOOGLETRANSLATE(N4854,""EN"",""ES"")"),"Sentimiento positivo, destacando la evolución del sector energético.")</f>
        <v>Sentimiento positivo, destacando la evolución del sector energético.</v>
      </c>
      <c r="P4854" s="30">
        <v>0.4</v>
      </c>
      <c r="Q4854" s="18" t="str">
        <f>IFERROR(__xludf.DUMMYFUNCTION("GOOGLETRANSLATE(R4854,""ES"",""EN"")"),"lead the cry")</f>
        <v>lead the cry</v>
      </c>
      <c r="R4854" s="34" t="s">
        <v>34415</v>
      </c>
      <c r="S4854" s="52" t="s">
        <v>34416</v>
      </c>
      <c r="T4854" s="22" t="s">
        <v>34417</v>
      </c>
    </row>
    <row r="4855">
      <c r="A4855" s="23" t="s">
        <v>34418</v>
      </c>
      <c r="B4855" s="77" t="s">
        <v>34419</v>
      </c>
      <c r="C4855" s="96">
        <v>45637.0</v>
      </c>
      <c r="D4855" s="40" t="s">
        <v>34420</v>
      </c>
      <c r="E4855" s="97" t="s">
        <v>34421</v>
      </c>
      <c r="F4855" s="98" t="s">
        <v>34422</v>
      </c>
      <c r="G4855" s="98" t="s">
        <v>34423</v>
      </c>
      <c r="H4855" s="59" t="s">
        <v>34341</v>
      </c>
      <c r="I4855" s="25" t="str">
        <f>IFERROR(__xludf.DUMMYFUNCTION("GOOGLETRANSLATE(H4855,""EN"",""ES"")"),"Cultura y premios")</f>
        <v>Cultura y premios</v>
      </c>
      <c r="J4855" s="26" t="s">
        <v>27</v>
      </c>
      <c r="K4855" s="17">
        <v>0.0</v>
      </c>
      <c r="L4855" s="51"/>
      <c r="M4855" s="31"/>
      <c r="N4855" s="83"/>
      <c r="O4855" s="83"/>
      <c r="P4855" s="20">
        <v>0.0</v>
      </c>
      <c r="Q4855" s="31"/>
      <c r="R4855" s="31"/>
      <c r="S4855" s="53"/>
      <c r="T4855" s="32"/>
    </row>
    <row r="4856">
      <c r="A4856" s="33" t="s">
        <v>34424</v>
      </c>
      <c r="B4856" s="76" t="s">
        <v>558</v>
      </c>
      <c r="C4856" s="99">
        <v>45637.0</v>
      </c>
      <c r="D4856" s="40" t="s">
        <v>34425</v>
      </c>
      <c r="E4856" s="100" t="s">
        <v>34426</v>
      </c>
      <c r="F4856" s="101" t="s">
        <v>34427</v>
      </c>
      <c r="G4856" s="101" t="s">
        <v>34428</v>
      </c>
      <c r="H4856" s="61" t="s">
        <v>2591</v>
      </c>
      <c r="I4856" s="15" t="str">
        <f>IFERROR(__xludf.DUMMYFUNCTION("GOOGLETRANSLATE(H4856,""EN"",""ES"")"),"Negocio")</f>
        <v>Negocio</v>
      </c>
      <c r="J4856" s="16" t="s">
        <v>27</v>
      </c>
      <c r="K4856" s="17">
        <v>0.0</v>
      </c>
      <c r="L4856" s="49"/>
      <c r="M4856" s="18"/>
      <c r="N4856" s="86"/>
      <c r="O4856" s="86"/>
      <c r="P4856" s="20">
        <v>0.0</v>
      </c>
      <c r="Q4856" s="18"/>
      <c r="R4856" s="18"/>
      <c r="S4856" s="52"/>
      <c r="T4856" s="22"/>
    </row>
    <row r="4857">
      <c r="A4857" s="23" t="s">
        <v>34429</v>
      </c>
      <c r="B4857" s="77" t="s">
        <v>6381</v>
      </c>
      <c r="C4857" s="96">
        <v>45637.0</v>
      </c>
      <c r="D4857" s="40" t="s">
        <v>34430</v>
      </c>
      <c r="E4857" s="97" t="s">
        <v>34431</v>
      </c>
      <c r="F4857" s="98" t="s">
        <v>34432</v>
      </c>
      <c r="G4857" s="98" t="s">
        <v>34433</v>
      </c>
      <c r="H4857" s="59" t="s">
        <v>1975</v>
      </c>
      <c r="I4857" s="25" t="str">
        <f>IFERROR(__xludf.DUMMYFUNCTION("GOOGLETRANSLATE(H4857,""EN"",""ES"")"),"Política")</f>
        <v>Política</v>
      </c>
      <c r="J4857" s="26" t="s">
        <v>35</v>
      </c>
      <c r="K4857" s="48">
        <v>-0.7</v>
      </c>
      <c r="L4857" s="51" t="s">
        <v>34398</v>
      </c>
      <c r="M4857" s="28" t="s">
        <v>34399</v>
      </c>
      <c r="N4857" s="83" t="s">
        <v>34434</v>
      </c>
      <c r="O4857" s="83" t="str">
        <f>IFERROR(__xludf.DUMMYFUNCTION("GOOGLETRANSLATE(N4857,""EN"",""ES"")"),"Sentimiento fuertemente negativo, que refuerza el conflicto político.")</f>
        <v>Sentimiento fuertemente negativo, que refuerza el conflicto político.</v>
      </c>
      <c r="P4857" s="30">
        <v>-0.4</v>
      </c>
      <c r="Q4857" s="31" t="str">
        <f>IFERROR(__xludf.DUMMYFUNCTION("GOOGLETRANSLATE(R4857,""ES"",""EN"")"),"Repsol puppy")</f>
        <v>Repsol puppy</v>
      </c>
      <c r="R4857" s="28" t="s">
        <v>34401</v>
      </c>
      <c r="S4857" s="53" t="s">
        <v>34392</v>
      </c>
      <c r="T4857" s="32" t="s">
        <v>26998</v>
      </c>
    </row>
    <row r="4858">
      <c r="A4858" s="33" t="s">
        <v>34435</v>
      </c>
      <c r="B4858" s="76" t="s">
        <v>260</v>
      </c>
      <c r="C4858" s="99">
        <v>45637.0</v>
      </c>
      <c r="D4858" s="40" t="s">
        <v>34436</v>
      </c>
      <c r="E4858" s="100" t="s">
        <v>34437</v>
      </c>
      <c r="F4858" s="101" t="s">
        <v>34438</v>
      </c>
      <c r="G4858" s="101" t="s">
        <v>34439</v>
      </c>
      <c r="H4858" s="61" t="s">
        <v>17454</v>
      </c>
      <c r="I4858" s="15" t="str">
        <f>IFERROR(__xludf.DUMMYFUNCTION("GOOGLETRANSLATE(H4858,""EN"",""ES"")"),"Estilo de vida")</f>
        <v>Estilo de vida</v>
      </c>
      <c r="J4858" s="16" t="s">
        <v>27</v>
      </c>
      <c r="K4858" s="17">
        <v>0.0</v>
      </c>
      <c r="L4858" s="49"/>
      <c r="M4858" s="18"/>
      <c r="N4858" s="86"/>
      <c r="O4858" s="86"/>
      <c r="P4858" s="20">
        <v>0.0</v>
      </c>
      <c r="Q4858" s="18"/>
      <c r="R4858" s="18"/>
      <c r="S4858" s="52"/>
      <c r="T4858" s="22"/>
    </row>
    <row r="4859">
      <c r="A4859" s="23" t="s">
        <v>34440</v>
      </c>
      <c r="B4859" s="77" t="s">
        <v>3992</v>
      </c>
      <c r="C4859" s="96">
        <v>45637.0</v>
      </c>
      <c r="D4859" s="40" t="s">
        <v>34441</v>
      </c>
      <c r="E4859" s="97" t="s">
        <v>34442</v>
      </c>
      <c r="F4859" s="98" t="s">
        <v>34443</v>
      </c>
      <c r="G4859" s="98" t="s">
        <v>34444</v>
      </c>
      <c r="H4859" s="59" t="s">
        <v>1975</v>
      </c>
      <c r="I4859" s="25" t="str">
        <f>IFERROR(__xludf.DUMMYFUNCTION("GOOGLETRANSLATE(H4859,""EN"",""ES"")"),"Política")</f>
        <v>Política</v>
      </c>
      <c r="J4859" s="26" t="s">
        <v>35</v>
      </c>
      <c r="K4859" s="48">
        <v>-0.6</v>
      </c>
      <c r="L4859" s="51" t="s">
        <v>34445</v>
      </c>
      <c r="M4859" s="28" t="s">
        <v>34446</v>
      </c>
      <c r="N4859" s="83" t="s">
        <v>34447</v>
      </c>
      <c r="O4859" s="83" t="str">
        <f>IFERROR(__xludf.DUMMYFUNCTION("GOOGLETRANSLATE(N4859,""EN"",""ES"")"),"Sentimiento negativo, que ilustra la discordia política.")</f>
        <v>Sentimiento negativo, que ilustra la discordia política.</v>
      </c>
      <c r="P4859" s="30">
        <v>-0.4</v>
      </c>
      <c r="Q4859" s="31" t="str">
        <f>IFERROR(__xludf.DUMMYFUNCTION("GOOGLETRANSLATE(R4859,""ES"",""EN"")"),"Repsol puppies")</f>
        <v>Repsol puppies</v>
      </c>
      <c r="R4859" s="28" t="s">
        <v>34391</v>
      </c>
      <c r="S4859" s="53" t="s">
        <v>34392</v>
      </c>
      <c r="T4859" s="32" t="s">
        <v>26998</v>
      </c>
    </row>
    <row r="4860">
      <c r="A4860" s="33" t="s">
        <v>34448</v>
      </c>
      <c r="B4860" s="76" t="s">
        <v>5971</v>
      </c>
      <c r="C4860" s="99">
        <v>45637.0</v>
      </c>
      <c r="D4860" s="40" t="s">
        <v>34449</v>
      </c>
      <c r="E4860" s="100" t="s">
        <v>34450</v>
      </c>
      <c r="F4860" s="101" t="s">
        <v>34451</v>
      </c>
      <c r="G4860" s="101" t="s">
        <v>34452</v>
      </c>
      <c r="H4860" s="61" t="s">
        <v>148</v>
      </c>
      <c r="I4860" s="15" t="str">
        <f>IFERROR(__xludf.DUMMYFUNCTION("GOOGLETRANSLATE(H4860,""EN"",""ES"")"),"Gastronomía")</f>
        <v>Gastronomía</v>
      </c>
      <c r="J4860" s="16" t="s">
        <v>27</v>
      </c>
      <c r="K4860" s="17">
        <v>0.0</v>
      </c>
      <c r="L4860" s="49"/>
      <c r="M4860" s="18"/>
      <c r="N4860" s="86"/>
      <c r="O4860" s="86"/>
      <c r="P4860" s="20">
        <v>0.0</v>
      </c>
      <c r="Q4860" s="18"/>
      <c r="R4860" s="18"/>
      <c r="S4860" s="52"/>
      <c r="T4860" s="22"/>
    </row>
    <row r="4861">
      <c r="A4861" s="23" t="s">
        <v>34453</v>
      </c>
      <c r="B4861" s="77" t="s">
        <v>6168</v>
      </c>
      <c r="C4861" s="96">
        <v>45637.0</v>
      </c>
      <c r="D4861" s="40" t="s">
        <v>34454</v>
      </c>
      <c r="E4861" s="97" t="s">
        <v>34455</v>
      </c>
      <c r="F4861" s="98" t="s">
        <v>34456</v>
      </c>
      <c r="G4861" s="98" t="s">
        <v>34457</v>
      </c>
      <c r="H4861" s="59" t="s">
        <v>34341</v>
      </c>
      <c r="I4861" s="25" t="str">
        <f>IFERROR(__xludf.DUMMYFUNCTION("GOOGLETRANSLATE(H4861,""EN"",""ES"")"),"Cultura y premios")</f>
        <v>Cultura y premios</v>
      </c>
      <c r="J4861" s="26" t="s">
        <v>27</v>
      </c>
      <c r="K4861" s="17">
        <v>0.0</v>
      </c>
      <c r="L4861" s="51"/>
      <c r="M4861" s="31"/>
      <c r="N4861" s="83"/>
      <c r="O4861" s="83"/>
      <c r="P4861" s="20">
        <v>0.0</v>
      </c>
      <c r="Q4861" s="31"/>
      <c r="R4861" s="31"/>
      <c r="S4861" s="53"/>
      <c r="T4861" s="32"/>
    </row>
    <row r="4862">
      <c r="A4862" s="33" t="s">
        <v>34458</v>
      </c>
      <c r="B4862" s="76" t="s">
        <v>8029</v>
      </c>
      <c r="C4862" s="99">
        <v>45637.0</v>
      </c>
      <c r="D4862" s="40" t="s">
        <v>34459</v>
      </c>
      <c r="E4862" s="100" t="s">
        <v>34460</v>
      </c>
      <c r="F4862" s="101" t="s">
        <v>34461</v>
      </c>
      <c r="G4862" s="101" t="s">
        <v>34462</v>
      </c>
      <c r="H4862" s="61" t="s">
        <v>2591</v>
      </c>
      <c r="I4862" s="15" t="str">
        <f>IFERROR(__xludf.DUMMYFUNCTION("GOOGLETRANSLATE(H4862,""EN"",""ES"")"),"Negocio")</f>
        <v>Negocio</v>
      </c>
      <c r="J4862" s="16" t="s">
        <v>35</v>
      </c>
      <c r="K4862" s="48">
        <v>0.2</v>
      </c>
      <c r="L4862" s="49" t="s">
        <v>33734</v>
      </c>
      <c r="M4862" s="34" t="s">
        <v>33735</v>
      </c>
      <c r="N4862" s="86" t="s">
        <v>34463</v>
      </c>
      <c r="O4862" s="86" t="str">
        <f>IFERROR(__xludf.DUMMYFUNCTION("GOOGLETRANSLATE(N4862,""EN"",""ES"")"),"Sentimiento ligeramente positivo, que refleja las actualizaciones del mercado de valores.")</f>
        <v>Sentimiento ligeramente positivo, que refleja las actualizaciones del mercado de valores.</v>
      </c>
      <c r="P4862" s="30">
        <v>0.0</v>
      </c>
      <c r="Q4862" s="18"/>
      <c r="R4862" s="18"/>
      <c r="S4862" s="52" t="s">
        <v>27387</v>
      </c>
      <c r="T4862" s="22" t="s">
        <v>27388</v>
      </c>
    </row>
    <row r="4863">
      <c r="A4863" s="23" t="s">
        <v>34464</v>
      </c>
      <c r="B4863" s="77" t="s">
        <v>2378</v>
      </c>
      <c r="C4863" s="96">
        <v>45637.0</v>
      </c>
      <c r="D4863" s="40" t="s">
        <v>34465</v>
      </c>
      <c r="E4863" s="97" t="s">
        <v>34466</v>
      </c>
      <c r="F4863" s="98" t="s">
        <v>34467</v>
      </c>
      <c r="G4863" s="98" t="s">
        <v>34468</v>
      </c>
      <c r="H4863" s="59" t="s">
        <v>1975</v>
      </c>
      <c r="I4863" s="25" t="str">
        <f>IFERROR(__xludf.DUMMYFUNCTION("GOOGLETRANSLATE(H4863,""EN"",""ES"")"),"Política")</f>
        <v>Política</v>
      </c>
      <c r="J4863" s="26" t="s">
        <v>35</v>
      </c>
      <c r="K4863" s="48">
        <v>-0.6</v>
      </c>
      <c r="L4863" s="51" t="s">
        <v>34469</v>
      </c>
      <c r="M4863" s="28" t="s">
        <v>34470</v>
      </c>
      <c r="N4863" s="83" t="s">
        <v>34471</v>
      </c>
      <c r="O4863" s="83" t="str">
        <f>IFERROR(__xludf.DUMMYFUNCTION("GOOGLETRANSLATE(N4863,""EN"",""ES"")"),"Sentimiento negativo, que refleja tensiones políticas y acusaciones.")</f>
        <v>Sentimiento negativo, que refleja tensiones políticas y acusaciones.</v>
      </c>
      <c r="P4863" s="30">
        <v>-0.4</v>
      </c>
      <c r="Q4863" s="31" t="str">
        <f>IFERROR(__xludf.DUMMYFUNCTION("GOOGLETRANSLATE(R4863,""ES"",""EN"")"),"Repsol puppies")</f>
        <v>Repsol puppies</v>
      </c>
      <c r="R4863" s="28" t="s">
        <v>34391</v>
      </c>
      <c r="S4863" s="53" t="s">
        <v>34392</v>
      </c>
      <c r="T4863" s="32" t="s">
        <v>26998</v>
      </c>
    </row>
    <row r="4864">
      <c r="A4864" s="33" t="s">
        <v>34472</v>
      </c>
      <c r="B4864" s="76" t="s">
        <v>614</v>
      </c>
      <c r="C4864" s="99">
        <v>45637.0</v>
      </c>
      <c r="D4864" s="40" t="s">
        <v>34473</v>
      </c>
      <c r="E4864" s="100" t="s">
        <v>34474</v>
      </c>
      <c r="F4864" s="101" t="s">
        <v>34475</v>
      </c>
      <c r="G4864" s="101" t="s">
        <v>34476</v>
      </c>
      <c r="H4864" s="61" t="s">
        <v>5878</v>
      </c>
      <c r="I4864" s="15" t="str">
        <f>IFERROR(__xludf.DUMMYFUNCTION("GOOGLETRANSLATE(H4864,""EN"",""ES"")"),"Entretenimiento")</f>
        <v>Entretenimiento</v>
      </c>
      <c r="J4864" s="16" t="s">
        <v>27</v>
      </c>
      <c r="K4864" s="17">
        <v>0.0</v>
      </c>
      <c r="L4864" s="49"/>
      <c r="M4864" s="18"/>
      <c r="N4864" s="86"/>
      <c r="O4864" s="86"/>
      <c r="P4864" s="20">
        <v>0.0</v>
      </c>
      <c r="Q4864" s="18"/>
      <c r="R4864" s="18"/>
      <c r="S4864" s="52"/>
      <c r="T4864" s="22"/>
    </row>
    <row r="4865">
      <c r="A4865" s="23" t="s">
        <v>34477</v>
      </c>
      <c r="B4865" s="77" t="s">
        <v>499</v>
      </c>
      <c r="C4865" s="96">
        <v>45637.0</v>
      </c>
      <c r="D4865" s="40" t="s">
        <v>34478</v>
      </c>
      <c r="E4865" s="97" t="s">
        <v>34479</v>
      </c>
      <c r="F4865" s="98" t="s">
        <v>34480</v>
      </c>
      <c r="G4865" s="98" t="s">
        <v>34481</v>
      </c>
      <c r="H4865" s="59" t="s">
        <v>62</v>
      </c>
      <c r="I4865" s="25" t="str">
        <f>IFERROR(__xludf.DUMMYFUNCTION("GOOGLETRANSLATE(H4865,""EN"",""ES"")"),"Energía")</f>
        <v>Energía</v>
      </c>
      <c r="J4865" s="26" t="s">
        <v>27</v>
      </c>
      <c r="K4865" s="17">
        <v>0.0</v>
      </c>
      <c r="L4865" s="51"/>
      <c r="M4865" s="31"/>
      <c r="N4865" s="83"/>
      <c r="O4865" s="83"/>
      <c r="P4865" s="20">
        <v>0.0</v>
      </c>
      <c r="Q4865" s="31"/>
      <c r="R4865" s="31"/>
      <c r="S4865" s="53"/>
      <c r="T4865" s="32"/>
    </row>
    <row r="4866">
      <c r="A4866" s="33" t="s">
        <v>34482</v>
      </c>
      <c r="B4866" s="76" t="s">
        <v>448</v>
      </c>
      <c r="C4866" s="99">
        <v>45637.0</v>
      </c>
      <c r="D4866" s="40" t="s">
        <v>34483</v>
      </c>
      <c r="E4866" s="100" t="s">
        <v>34484</v>
      </c>
      <c r="F4866" s="101" t="s">
        <v>34485</v>
      </c>
      <c r="G4866" s="101" t="s">
        <v>34486</v>
      </c>
      <c r="H4866" s="61" t="s">
        <v>1975</v>
      </c>
      <c r="I4866" s="15" t="str">
        <f>IFERROR(__xludf.DUMMYFUNCTION("GOOGLETRANSLATE(H4866,""EN"",""ES"")"),"Política")</f>
        <v>Política</v>
      </c>
      <c r="J4866" s="16" t="s">
        <v>35</v>
      </c>
      <c r="K4866" s="48">
        <v>-0.5</v>
      </c>
      <c r="L4866" s="49" t="s">
        <v>34487</v>
      </c>
      <c r="M4866" s="34" t="s">
        <v>34488</v>
      </c>
      <c r="N4866" s="86" t="s">
        <v>34489</v>
      </c>
      <c r="O4866" s="86" t="str">
        <f>IFERROR(__xludf.DUMMYFUNCTION("GOOGLETRANSLATE(N4866,""EN"",""ES"")"),"Sentimiento negativo, ya que refleja tensión política y acusaciones entre partidos sobre la influencia de Repsol.")</f>
        <v>Sentimiento negativo, ya que refleja tensión política y acusaciones entre partidos sobre la influencia de Repsol.</v>
      </c>
      <c r="P4866" s="30">
        <v>0.0</v>
      </c>
      <c r="Q4866" s="18"/>
      <c r="R4866" s="18"/>
      <c r="S4866" s="52" t="s">
        <v>469</v>
      </c>
      <c r="T4866" s="22" t="s">
        <v>470</v>
      </c>
    </row>
    <row r="4867">
      <c r="A4867" s="23" t="s">
        <v>34490</v>
      </c>
      <c r="B4867" s="77" t="s">
        <v>8143</v>
      </c>
      <c r="C4867" s="96">
        <v>45638.0</v>
      </c>
      <c r="D4867" s="40" t="s">
        <v>34491</v>
      </c>
      <c r="E4867" s="97" t="s">
        <v>34492</v>
      </c>
      <c r="F4867" s="98" t="s">
        <v>34493</v>
      </c>
      <c r="G4867" s="98" t="s">
        <v>34494</v>
      </c>
      <c r="H4867" s="59" t="s">
        <v>5878</v>
      </c>
      <c r="I4867" s="25" t="str">
        <f>IFERROR(__xludf.DUMMYFUNCTION("GOOGLETRANSLATE(H4867,""EN"",""ES"")"),"Entretenimiento")</f>
        <v>Entretenimiento</v>
      </c>
      <c r="J4867" s="26" t="s">
        <v>27</v>
      </c>
      <c r="K4867" s="17">
        <v>0.0</v>
      </c>
      <c r="L4867" s="51"/>
      <c r="M4867" s="31"/>
      <c r="N4867" s="83"/>
      <c r="O4867" s="83"/>
      <c r="P4867" s="20">
        <v>0.0</v>
      </c>
      <c r="Q4867" s="31"/>
      <c r="R4867" s="31"/>
      <c r="S4867" s="53"/>
      <c r="T4867" s="32"/>
    </row>
    <row r="4868">
      <c r="A4868" s="33" t="s">
        <v>34495</v>
      </c>
      <c r="B4868" s="76" t="s">
        <v>4832</v>
      </c>
      <c r="C4868" s="99">
        <v>45637.0</v>
      </c>
      <c r="D4868" s="40" t="s">
        <v>34496</v>
      </c>
      <c r="E4868" s="100" t="s">
        <v>34497</v>
      </c>
      <c r="F4868" s="101" t="s">
        <v>34498</v>
      </c>
      <c r="G4868" s="101" t="s">
        <v>34499</v>
      </c>
      <c r="H4868" s="61" t="s">
        <v>2591</v>
      </c>
      <c r="I4868" s="15" t="str">
        <f>IFERROR(__xludf.DUMMYFUNCTION("GOOGLETRANSLATE(H4868,""EN"",""ES"")"),"Negocio")</f>
        <v>Negocio</v>
      </c>
      <c r="J4868" s="16" t="s">
        <v>35</v>
      </c>
      <c r="K4868" s="48">
        <v>-0.5</v>
      </c>
      <c r="L4868" s="49" t="s">
        <v>34500</v>
      </c>
      <c r="M4868" s="34" t="s">
        <v>34500</v>
      </c>
      <c r="N4868" s="86" t="s">
        <v>34501</v>
      </c>
      <c r="O4868" s="86" t="str">
        <f>IFERROR(__xludf.DUMMYFUNCTION("GOOGLETRANSLATE(N4868,""EN"",""ES"")"),"Sentimiento negativo, que indica disputas sobre activos petroleros.")</f>
        <v>Sentimiento negativo, que indica disputas sobre activos petroleros.</v>
      </c>
      <c r="P4868" s="30">
        <v>-0.5</v>
      </c>
      <c r="Q4868" s="18" t="str">
        <f>IFERROR(__xludf.DUMMYFUNCTION("GOOGLETRANSLATE(R4868,""ES"",""EN"")"),"stay with Repsol fields")</f>
        <v>stay with Repsol fields</v>
      </c>
      <c r="R4868" s="34" t="s">
        <v>34502</v>
      </c>
      <c r="S4868" s="52" t="s">
        <v>34503</v>
      </c>
      <c r="T4868" s="22" t="s">
        <v>34504</v>
      </c>
    </row>
    <row r="4869">
      <c r="A4869" s="23" t="s">
        <v>34505</v>
      </c>
      <c r="B4869" s="77" t="s">
        <v>977</v>
      </c>
      <c r="C4869" s="96">
        <v>45637.0</v>
      </c>
      <c r="D4869" s="40" t="s">
        <v>34506</v>
      </c>
      <c r="E4869" s="97" t="s">
        <v>34507</v>
      </c>
      <c r="F4869" s="98" t="s">
        <v>34508</v>
      </c>
      <c r="G4869" s="98" t="s">
        <v>34509</v>
      </c>
      <c r="H4869" s="59" t="s">
        <v>148</v>
      </c>
      <c r="I4869" s="25" t="str">
        <f>IFERROR(__xludf.DUMMYFUNCTION("GOOGLETRANSLATE(H4869,""EN"",""ES"")"),"Gastronomía")</f>
        <v>Gastronomía</v>
      </c>
      <c r="J4869" s="26" t="s">
        <v>27</v>
      </c>
      <c r="K4869" s="17">
        <v>0.0</v>
      </c>
      <c r="L4869" s="51"/>
      <c r="M4869" s="31"/>
      <c r="N4869" s="83"/>
      <c r="O4869" s="83"/>
      <c r="P4869" s="20">
        <v>0.0</v>
      </c>
      <c r="Q4869" s="31"/>
      <c r="R4869" s="31"/>
      <c r="S4869" s="53"/>
      <c r="T4869" s="32"/>
    </row>
    <row r="4870">
      <c r="A4870" s="33" t="s">
        <v>34510</v>
      </c>
      <c r="B4870" s="76" t="s">
        <v>437</v>
      </c>
      <c r="C4870" s="99">
        <v>45637.0</v>
      </c>
      <c r="D4870" s="40" t="s">
        <v>34511</v>
      </c>
      <c r="E4870" s="100" t="s">
        <v>34512</v>
      </c>
      <c r="F4870" s="101" t="s">
        <v>34513</v>
      </c>
      <c r="G4870" s="101" t="s">
        <v>34514</v>
      </c>
      <c r="H4870" s="61" t="s">
        <v>148</v>
      </c>
      <c r="I4870" s="15" t="str">
        <f>IFERROR(__xludf.DUMMYFUNCTION("GOOGLETRANSLATE(H4870,""EN"",""ES"")"),"Gastronomía")</f>
        <v>Gastronomía</v>
      </c>
      <c r="J4870" s="16" t="s">
        <v>27</v>
      </c>
      <c r="K4870" s="17">
        <v>0.0</v>
      </c>
      <c r="L4870" s="49"/>
      <c r="M4870" s="18"/>
      <c r="N4870" s="86"/>
      <c r="O4870" s="86"/>
      <c r="P4870" s="20">
        <v>0.0</v>
      </c>
      <c r="Q4870" s="18"/>
      <c r="R4870" s="18"/>
      <c r="S4870" s="52"/>
      <c r="T4870" s="22"/>
    </row>
    <row r="4871">
      <c r="A4871" s="23" t="s">
        <v>34515</v>
      </c>
      <c r="B4871" s="77" t="s">
        <v>163</v>
      </c>
      <c r="C4871" s="96">
        <v>45637.0</v>
      </c>
      <c r="D4871" s="40" t="s">
        <v>34516</v>
      </c>
      <c r="E4871" s="97" t="s">
        <v>34517</v>
      </c>
      <c r="F4871" s="98" t="s">
        <v>34518</v>
      </c>
      <c r="G4871" s="98" t="s">
        <v>34519</v>
      </c>
      <c r="H4871" s="59" t="s">
        <v>2240</v>
      </c>
      <c r="I4871" s="25" t="str">
        <f>IFERROR(__xludf.DUMMYFUNCTION("GOOGLETRANSLATE(H4871,""EN"",""ES"")"),"Industria")</f>
        <v>Industria</v>
      </c>
      <c r="J4871" s="26" t="s">
        <v>27</v>
      </c>
      <c r="K4871" s="17">
        <v>0.0</v>
      </c>
      <c r="L4871" s="51"/>
      <c r="M4871" s="31"/>
      <c r="N4871" s="83"/>
      <c r="O4871" s="83"/>
      <c r="P4871" s="20">
        <v>0.0</v>
      </c>
      <c r="Q4871" s="31"/>
      <c r="R4871" s="31"/>
      <c r="S4871" s="53"/>
      <c r="T4871" s="32"/>
    </row>
    <row r="4872">
      <c r="A4872" s="33" t="s">
        <v>34520</v>
      </c>
      <c r="B4872" s="76" t="s">
        <v>163</v>
      </c>
      <c r="C4872" s="99">
        <v>45637.0</v>
      </c>
      <c r="D4872" s="40" t="s">
        <v>34521</v>
      </c>
      <c r="E4872" s="100" t="s">
        <v>34522</v>
      </c>
      <c r="F4872" s="101" t="s">
        <v>34523</v>
      </c>
      <c r="G4872" s="101" t="s">
        <v>34524</v>
      </c>
      <c r="H4872" s="61" t="s">
        <v>782</v>
      </c>
      <c r="I4872" s="15" t="str">
        <f>IFERROR(__xludf.DUMMYFUNCTION("GOOGLETRANSLATE(H4872,""EN"",""ES"")"),"Tecnología")</f>
        <v>Tecnología</v>
      </c>
      <c r="J4872" s="16" t="s">
        <v>27</v>
      </c>
      <c r="K4872" s="17">
        <v>0.0</v>
      </c>
      <c r="L4872" s="49"/>
      <c r="M4872" s="18"/>
      <c r="N4872" s="86"/>
      <c r="O4872" s="86"/>
      <c r="P4872" s="20">
        <v>0.0</v>
      </c>
      <c r="Q4872" s="18"/>
      <c r="R4872" s="18"/>
      <c r="S4872" s="52"/>
      <c r="T4872" s="22"/>
    </row>
    <row r="4873">
      <c r="A4873" s="23" t="s">
        <v>34525</v>
      </c>
      <c r="B4873" s="77" t="s">
        <v>34526</v>
      </c>
      <c r="C4873" s="96">
        <v>45637.0</v>
      </c>
      <c r="D4873" s="40" t="s">
        <v>34527</v>
      </c>
      <c r="E4873" s="97" t="s">
        <v>34528</v>
      </c>
      <c r="F4873" s="98" t="s">
        <v>34529</v>
      </c>
      <c r="G4873" s="98" t="s">
        <v>34530</v>
      </c>
      <c r="H4873" s="59" t="s">
        <v>62</v>
      </c>
      <c r="I4873" s="25" t="str">
        <f>IFERROR(__xludf.DUMMYFUNCTION("GOOGLETRANSLATE(H4873,""EN"",""ES"")"),"Energía")</f>
        <v>Energía</v>
      </c>
      <c r="J4873" s="26" t="s">
        <v>35</v>
      </c>
      <c r="K4873" s="48">
        <v>0.6</v>
      </c>
      <c r="L4873" s="51" t="s">
        <v>34531</v>
      </c>
      <c r="M4873" s="28" t="s">
        <v>34532</v>
      </c>
      <c r="N4873" s="83" t="s">
        <v>34533</v>
      </c>
      <c r="O4873" s="83" t="str">
        <f>IFERROR(__xludf.DUMMYFUNCTION("GOOGLETRANSLATE(N4873,""EN"",""ES"")"),"Sentimiento positivo, destacando la inversión en sostenibilidad.")</f>
        <v>Sentimiento positivo, destacando la inversión en sostenibilidad.</v>
      </c>
      <c r="P4873" s="30">
        <v>0.6</v>
      </c>
      <c r="Q4873" s="31" t="str">
        <f>IFERROR(__xludf.DUMMYFUNCTION("GOOGLETRANSLATE(R4873,""ES"",""EN"")"),"project, ""investment""")</f>
        <v>project, "investment"</v>
      </c>
      <c r="R4873" s="28" t="s">
        <v>34534</v>
      </c>
      <c r="S4873" s="53" t="s">
        <v>34309</v>
      </c>
      <c r="T4873" s="32" t="s">
        <v>34310</v>
      </c>
    </row>
    <row r="4874">
      <c r="A4874" s="33" t="s">
        <v>34535</v>
      </c>
      <c r="B4874" s="76" t="s">
        <v>977</v>
      </c>
      <c r="C4874" s="99">
        <v>45637.0</v>
      </c>
      <c r="D4874" s="40" t="s">
        <v>34536</v>
      </c>
      <c r="E4874" s="100" t="s">
        <v>34537</v>
      </c>
      <c r="F4874" s="101" t="s">
        <v>34538</v>
      </c>
      <c r="G4874" s="101" t="s">
        <v>34539</v>
      </c>
      <c r="H4874" s="61" t="s">
        <v>1975</v>
      </c>
      <c r="I4874" s="15" t="str">
        <f>IFERROR(__xludf.DUMMYFUNCTION("GOOGLETRANSLATE(H4874,""EN"",""ES"")"),"Política")</f>
        <v>Política</v>
      </c>
      <c r="J4874" s="16" t="s">
        <v>27</v>
      </c>
      <c r="K4874" s="17">
        <v>0.0</v>
      </c>
      <c r="L4874" s="49"/>
      <c r="M4874" s="18"/>
      <c r="N4874" s="86"/>
      <c r="O4874" s="86"/>
      <c r="P4874" s="20">
        <v>0.0</v>
      </c>
      <c r="Q4874" s="18"/>
      <c r="R4874" s="18"/>
      <c r="S4874" s="52"/>
      <c r="T4874" s="22"/>
    </row>
    <row r="4875">
      <c r="A4875" s="23" t="s">
        <v>34540</v>
      </c>
      <c r="B4875" s="77" t="s">
        <v>23793</v>
      </c>
      <c r="C4875" s="96">
        <v>45637.0</v>
      </c>
      <c r="D4875" s="40" t="s">
        <v>34541</v>
      </c>
      <c r="E4875" s="97" t="s">
        <v>34542</v>
      </c>
      <c r="F4875" s="98" t="s">
        <v>34543</v>
      </c>
      <c r="G4875" s="98" t="s">
        <v>34544</v>
      </c>
      <c r="H4875" s="59" t="s">
        <v>62</v>
      </c>
      <c r="I4875" s="25" t="str">
        <f>IFERROR(__xludf.DUMMYFUNCTION("GOOGLETRANSLATE(H4875,""EN"",""ES"")"),"Energía")</f>
        <v>Energía</v>
      </c>
      <c r="J4875" s="26" t="s">
        <v>35</v>
      </c>
      <c r="K4875" s="48">
        <v>0.8</v>
      </c>
      <c r="L4875" s="51" t="s">
        <v>34545</v>
      </c>
      <c r="M4875" s="31" t="s">
        <v>34546</v>
      </c>
      <c r="N4875" s="83" t="s">
        <v>34547</v>
      </c>
      <c r="O4875" s="83" t="str">
        <f>IFERROR(__xludf.DUMMYFUNCTION("GOOGLETRANSLATE(N4875,""EN"",""ES"")"),"Sentimiento positivo, que muestra los esfuerzos de sostenibilidad ambiental.")</f>
        <v>Sentimiento positivo, que muestra los esfuerzos de sostenibilidad ambiental.</v>
      </c>
      <c r="P4875" s="30">
        <v>0.6</v>
      </c>
      <c r="Q4875" s="31" t="str">
        <f>IFERROR(__xludf.DUMMYFUNCTION("GOOGLETRANSLATE(R4875,""ES"",""EN"")"),"improvement project, ""Wind Farm""")</f>
        <v>improvement project, "Wind Farm"</v>
      </c>
      <c r="R4875" s="28" t="s">
        <v>34548</v>
      </c>
      <c r="S4875" s="53" t="s">
        <v>34549</v>
      </c>
      <c r="T4875" s="32" t="s">
        <v>34550</v>
      </c>
    </row>
    <row r="4876">
      <c r="A4876" s="33" t="s">
        <v>34551</v>
      </c>
      <c r="B4876" s="76" t="s">
        <v>316</v>
      </c>
      <c r="C4876" s="99">
        <v>45637.0</v>
      </c>
      <c r="D4876" s="40" t="s">
        <v>34552</v>
      </c>
      <c r="E4876" s="100" t="s">
        <v>34553</v>
      </c>
      <c r="F4876" s="101" t="s">
        <v>34554</v>
      </c>
      <c r="G4876" s="101" t="s">
        <v>34555</v>
      </c>
      <c r="H4876" s="61" t="s">
        <v>130</v>
      </c>
      <c r="I4876" s="15" t="str">
        <f>IFERROR(__xludf.DUMMYFUNCTION("GOOGLETRANSLATE(H4876,""EN"",""ES"")"),"Sostenibilidad")</f>
        <v>Sostenibilidad</v>
      </c>
      <c r="J4876" s="16" t="s">
        <v>35</v>
      </c>
      <c r="K4876" s="48">
        <v>0.9</v>
      </c>
      <c r="L4876" s="49" t="s">
        <v>34556</v>
      </c>
      <c r="M4876" s="34" t="s">
        <v>34557</v>
      </c>
      <c r="N4876" s="86" t="s">
        <v>34558</v>
      </c>
      <c r="O4876" s="86" t="str">
        <f>IFERROR(__xludf.DUMMYFUNCTION("GOOGLETRANSLATE(N4876,""EN"",""ES"")"),"Sentimiento fuertemente positivo, promoviendo la conservación ecológica.")</f>
        <v>Sentimiento fuertemente positivo, promoviendo la conservación ecológica.</v>
      </c>
      <c r="P4876" s="30">
        <v>0.7</v>
      </c>
      <c r="Q4876" s="18" t="str">
        <f>IFERROR(__xludf.DUMMYFUNCTION("GOOGLETRANSLATE(R4876,""ES"",""EN"")"),"reforest")</f>
        <v>reforest</v>
      </c>
      <c r="R4876" s="34" t="s">
        <v>34559</v>
      </c>
      <c r="S4876" s="52" t="s">
        <v>13711</v>
      </c>
      <c r="T4876" s="22" t="s">
        <v>13712</v>
      </c>
    </row>
    <row r="4877">
      <c r="A4877" s="23" t="s">
        <v>34560</v>
      </c>
      <c r="B4877" s="77" t="s">
        <v>103</v>
      </c>
      <c r="C4877" s="96">
        <v>45638.0</v>
      </c>
      <c r="D4877" s="40" t="s">
        <v>34561</v>
      </c>
      <c r="E4877" s="97" t="s">
        <v>34562</v>
      </c>
      <c r="F4877" s="98" t="s">
        <v>34563</v>
      </c>
      <c r="G4877" s="98" t="s">
        <v>34564</v>
      </c>
      <c r="H4877" s="59" t="s">
        <v>2591</v>
      </c>
      <c r="I4877" s="25" t="str">
        <f>IFERROR(__xludf.DUMMYFUNCTION("GOOGLETRANSLATE(H4877,""EN"",""ES"")"),"Negocio")</f>
        <v>Negocio</v>
      </c>
      <c r="J4877" s="26" t="s">
        <v>35</v>
      </c>
      <c r="K4877" s="48">
        <v>0.6</v>
      </c>
      <c r="L4877" s="51" t="s">
        <v>34565</v>
      </c>
      <c r="M4877" s="28" t="s">
        <v>34566</v>
      </c>
      <c r="N4877" s="83" t="s">
        <v>34567</v>
      </c>
      <c r="O4877" s="83" t="str">
        <f>IFERROR(__xludf.DUMMYFUNCTION("GOOGLETRANSLATE(N4877,""EN"",""ES"")"),"Sentimiento positivo, que indica fuertes proyecciones financieras.")</f>
        <v>Sentimiento positivo, que indica fuertes proyecciones financieras.</v>
      </c>
      <c r="P4877" s="30">
        <v>0.5</v>
      </c>
      <c r="Q4877" s="31" t="str">
        <f>IFERROR(__xludf.DUMMYFUNCTION("GOOGLETRANSLATE(R4877,""ES"",""EN"")"),"raises, ""sales""")</f>
        <v>raises, "sales"</v>
      </c>
      <c r="R4877" s="28" t="s">
        <v>34568</v>
      </c>
      <c r="S4877" s="53" t="s">
        <v>10712</v>
      </c>
      <c r="T4877" s="32" t="s">
        <v>10713</v>
      </c>
    </row>
    <row r="4878">
      <c r="A4878" s="33" t="s">
        <v>34569</v>
      </c>
      <c r="B4878" s="76" t="s">
        <v>403</v>
      </c>
      <c r="C4878" s="99">
        <v>45638.0</v>
      </c>
      <c r="D4878" s="40" t="s">
        <v>34570</v>
      </c>
      <c r="E4878" s="100" t="s">
        <v>34571</v>
      </c>
      <c r="F4878" s="101" t="s">
        <v>34572</v>
      </c>
      <c r="G4878" s="101" t="s">
        <v>34573</v>
      </c>
      <c r="H4878" s="61" t="s">
        <v>2677</v>
      </c>
      <c r="I4878" s="15" t="str">
        <f>IFERROR(__xludf.DUMMYFUNCTION("GOOGLETRANSLATE(H4878,""EN"",""ES"")"),"Responsabilidad Social")</f>
        <v>Responsabilidad Social</v>
      </c>
      <c r="J4878" s="16" t="s">
        <v>35</v>
      </c>
      <c r="K4878" s="48">
        <v>0.8</v>
      </c>
      <c r="L4878" s="49" t="s">
        <v>34574</v>
      </c>
      <c r="M4878" s="34" t="s">
        <v>34575</v>
      </c>
      <c r="N4878" s="86" t="s">
        <v>34576</v>
      </c>
      <c r="O4878" s="86" t="str">
        <f>IFERROR(__xludf.DUMMYFUNCTION("GOOGLETRANSLATE(N4878,""EN"",""ES"")"),"Sentimiento positivo, enfatizando la responsabilidad social corporativa.")</f>
        <v>Sentimiento positivo, enfatizando la responsabilidad social corporativa.</v>
      </c>
      <c r="P4878" s="30">
        <v>0.6</v>
      </c>
      <c r="Q4878" s="18" t="str">
        <f>IFERROR(__xludf.DUMMYFUNCTION("GOOGLETRANSLATE(R4878,""ES"",""EN"")"),"gives up to 150 euros")</f>
        <v>gives up to 150 euros</v>
      </c>
      <c r="R4878" s="34" t="s">
        <v>34577</v>
      </c>
      <c r="S4878" s="52" t="s">
        <v>34578</v>
      </c>
      <c r="T4878" s="22" t="s">
        <v>34579</v>
      </c>
    </row>
    <row r="4879">
      <c r="A4879" s="23" t="s">
        <v>34580</v>
      </c>
      <c r="B4879" s="77" t="s">
        <v>4634</v>
      </c>
      <c r="C4879" s="96">
        <v>45638.0</v>
      </c>
      <c r="D4879" s="40" t="s">
        <v>34581</v>
      </c>
      <c r="E4879" s="97" t="s">
        <v>34582</v>
      </c>
      <c r="F4879" s="98" t="s">
        <v>34583</v>
      </c>
      <c r="G4879" s="98" t="s">
        <v>34584</v>
      </c>
      <c r="H4879" s="59" t="s">
        <v>2677</v>
      </c>
      <c r="I4879" s="25" t="str">
        <f>IFERROR(__xludf.DUMMYFUNCTION("GOOGLETRANSLATE(H4879,""EN"",""ES"")"),"Responsabilidad Social")</f>
        <v>Responsabilidad Social</v>
      </c>
      <c r="J4879" s="26" t="s">
        <v>35</v>
      </c>
      <c r="K4879" s="48">
        <v>0.8</v>
      </c>
      <c r="L4879" s="51" t="s">
        <v>34585</v>
      </c>
      <c r="M4879" s="28" t="s">
        <v>34586</v>
      </c>
      <c r="N4879" s="83" t="s">
        <v>34587</v>
      </c>
      <c r="O4879" s="83" t="str">
        <f>IFERROR(__xludf.DUMMYFUNCTION("GOOGLETRANSLATE(N4879,""EN"",""ES"")"),"Sentimiento positivo, que muestra la ayuda corporativa para la ayuda en casos de desastre.")</f>
        <v>Sentimiento positivo, que muestra la ayuda corporativa para la ayuda en casos de desastre.</v>
      </c>
      <c r="P4879" s="30">
        <v>0.6</v>
      </c>
      <c r="Q4879" s="31" t="str">
        <f>IFERROR(__xludf.DUMMYFUNCTION("GOOGLETRANSLATE(R4879,""ES"",""EN"")"),"deliver 150 euros")</f>
        <v>deliver 150 euros</v>
      </c>
      <c r="R4879" s="28" t="s">
        <v>34588</v>
      </c>
      <c r="S4879" s="53" t="s">
        <v>34578</v>
      </c>
      <c r="T4879" s="32" t="s">
        <v>34579</v>
      </c>
    </row>
    <row r="4880">
      <c r="A4880" s="33" t="s">
        <v>34589</v>
      </c>
      <c r="B4880" s="76" t="s">
        <v>21</v>
      </c>
      <c r="C4880" s="99">
        <v>45638.0</v>
      </c>
      <c r="D4880" s="40" t="s">
        <v>34590</v>
      </c>
      <c r="E4880" s="100" t="s">
        <v>6574</v>
      </c>
      <c r="F4880" s="101" t="s">
        <v>34591</v>
      </c>
      <c r="G4880" s="101" t="s">
        <v>6576</v>
      </c>
      <c r="H4880" s="61" t="s">
        <v>969</v>
      </c>
      <c r="I4880" s="15" t="str">
        <f>IFERROR(__xludf.DUMMYFUNCTION("GOOGLETRANSLATE(H4880,""EN"",""ES"")"),"Turismo")</f>
        <v>Turismo</v>
      </c>
      <c r="J4880" s="16" t="s">
        <v>27</v>
      </c>
      <c r="K4880" s="17">
        <v>0.0</v>
      </c>
      <c r="L4880" s="49"/>
      <c r="M4880" s="18"/>
      <c r="N4880" s="86"/>
      <c r="O4880" s="86"/>
      <c r="P4880" s="20">
        <v>0.0</v>
      </c>
      <c r="Q4880" s="18"/>
      <c r="R4880" s="18"/>
      <c r="S4880" s="52"/>
      <c r="T4880" s="22"/>
    </row>
    <row r="4881">
      <c r="A4881" s="23" t="s">
        <v>34592</v>
      </c>
      <c r="B4881" s="77" t="s">
        <v>85</v>
      </c>
      <c r="C4881" s="96">
        <v>45638.0</v>
      </c>
      <c r="D4881" s="40" t="s">
        <v>34593</v>
      </c>
      <c r="E4881" s="97" t="s">
        <v>34594</v>
      </c>
      <c r="F4881" s="98" t="s">
        <v>34595</v>
      </c>
      <c r="G4881" s="98" t="s">
        <v>34596</v>
      </c>
      <c r="H4881" s="59" t="s">
        <v>148</v>
      </c>
      <c r="I4881" s="25" t="str">
        <f>IFERROR(__xludf.DUMMYFUNCTION("GOOGLETRANSLATE(H4881,""EN"",""ES"")"),"Gastronomía")</f>
        <v>Gastronomía</v>
      </c>
      <c r="J4881" s="26" t="s">
        <v>27</v>
      </c>
      <c r="K4881" s="17">
        <v>0.0</v>
      </c>
      <c r="L4881" s="51"/>
      <c r="M4881" s="31"/>
      <c r="N4881" s="83"/>
      <c r="O4881" s="83"/>
      <c r="P4881" s="20">
        <v>0.0</v>
      </c>
      <c r="Q4881" s="31"/>
      <c r="R4881" s="31"/>
      <c r="S4881" s="53"/>
      <c r="T4881" s="32"/>
    </row>
    <row r="4882">
      <c r="A4882" s="33" t="s">
        <v>34597</v>
      </c>
      <c r="B4882" s="76" t="s">
        <v>2672</v>
      </c>
      <c r="C4882" s="99">
        <v>45638.0</v>
      </c>
      <c r="D4882" s="40" t="s">
        <v>34598</v>
      </c>
      <c r="E4882" s="100" t="s">
        <v>34599</v>
      </c>
      <c r="F4882" s="101" t="s">
        <v>34600</v>
      </c>
      <c r="G4882" s="101" t="s">
        <v>34601</v>
      </c>
      <c r="H4882" s="61" t="s">
        <v>130</v>
      </c>
      <c r="I4882" s="15" t="str">
        <f>IFERROR(__xludf.DUMMYFUNCTION("GOOGLETRANSLATE(H4882,""EN"",""ES"")"),"Sostenibilidad")</f>
        <v>Sostenibilidad</v>
      </c>
      <c r="J4882" s="16" t="s">
        <v>27</v>
      </c>
      <c r="K4882" s="17">
        <v>0.0</v>
      </c>
      <c r="L4882" s="49"/>
      <c r="M4882" s="18"/>
      <c r="N4882" s="86"/>
      <c r="O4882" s="86"/>
      <c r="P4882" s="20">
        <v>0.0</v>
      </c>
      <c r="Q4882" s="18"/>
      <c r="R4882" s="18"/>
      <c r="S4882" s="52"/>
      <c r="T4882" s="22"/>
    </row>
    <row r="4883">
      <c r="A4883" s="23" t="s">
        <v>34602</v>
      </c>
      <c r="B4883" s="77" t="s">
        <v>9569</v>
      </c>
      <c r="C4883" s="96">
        <v>45638.0</v>
      </c>
      <c r="D4883" s="40" t="s">
        <v>34603</v>
      </c>
      <c r="E4883" s="97" t="s">
        <v>34604</v>
      </c>
      <c r="F4883" s="98" t="s">
        <v>34605</v>
      </c>
      <c r="G4883" s="98" t="s">
        <v>34606</v>
      </c>
      <c r="H4883" s="59" t="s">
        <v>155</v>
      </c>
      <c r="I4883" s="25" t="str">
        <f>IFERROR(__xludf.DUMMYFUNCTION("GOOGLETRANSLATE(H4883,""EN"",""ES"")"),"Marketing")</f>
        <v>Marketing</v>
      </c>
      <c r="J4883" s="26" t="s">
        <v>27</v>
      </c>
      <c r="K4883" s="17">
        <v>0.0</v>
      </c>
      <c r="L4883" s="51"/>
      <c r="M4883" s="31"/>
      <c r="N4883" s="83"/>
      <c r="O4883" s="83"/>
      <c r="P4883" s="20">
        <v>0.0</v>
      </c>
      <c r="Q4883" s="31"/>
      <c r="R4883" s="31"/>
      <c r="S4883" s="53"/>
      <c r="T4883" s="32"/>
    </row>
    <row r="4884">
      <c r="A4884" s="33" t="s">
        <v>34607</v>
      </c>
      <c r="B4884" s="76" t="s">
        <v>8029</v>
      </c>
      <c r="C4884" s="99">
        <v>45638.0</v>
      </c>
      <c r="D4884" s="40" t="s">
        <v>34608</v>
      </c>
      <c r="E4884" s="100" t="s">
        <v>34609</v>
      </c>
      <c r="F4884" s="101" t="s">
        <v>34610</v>
      </c>
      <c r="G4884" s="101" t="s">
        <v>34611</v>
      </c>
      <c r="H4884" s="61" t="s">
        <v>2591</v>
      </c>
      <c r="I4884" s="15" t="str">
        <f>IFERROR(__xludf.DUMMYFUNCTION("GOOGLETRANSLATE(H4884,""EN"",""ES"")"),"Negocio")</f>
        <v>Negocio</v>
      </c>
      <c r="J4884" s="16" t="s">
        <v>35</v>
      </c>
      <c r="K4884" s="48">
        <v>0.5</v>
      </c>
      <c r="L4884" s="49" t="s">
        <v>33734</v>
      </c>
      <c r="M4884" s="34" t="s">
        <v>33735</v>
      </c>
      <c r="N4884" s="86" t="s">
        <v>34612</v>
      </c>
      <c r="O4884" s="86" t="str">
        <f>IFERROR(__xludf.DUMMYFUNCTION("GOOGLETRANSLATE(N4884,""EN"",""ES"")"),"Sentimiento neutral, reportando desempeño financiero.")</f>
        <v>Sentimiento neutral, reportando desempeño financiero.</v>
      </c>
      <c r="P4884" s="30">
        <v>0.0</v>
      </c>
      <c r="Q4884" s="18"/>
      <c r="R4884" s="18"/>
      <c r="S4884" s="52" t="s">
        <v>27387</v>
      </c>
      <c r="T4884" s="22" t="s">
        <v>27388</v>
      </c>
    </row>
    <row r="4885">
      <c r="A4885" s="23" t="s">
        <v>34613</v>
      </c>
      <c r="B4885" s="77" t="s">
        <v>23934</v>
      </c>
      <c r="C4885" s="96">
        <v>45638.0</v>
      </c>
      <c r="D4885" s="40" t="s">
        <v>34614</v>
      </c>
      <c r="E4885" s="97" t="s">
        <v>34615</v>
      </c>
      <c r="F4885" s="98" t="s">
        <v>34616</v>
      </c>
      <c r="G4885" s="98" t="s">
        <v>34617</v>
      </c>
      <c r="H4885" s="59" t="s">
        <v>1975</v>
      </c>
      <c r="I4885" s="25" t="str">
        <f>IFERROR(__xludf.DUMMYFUNCTION("GOOGLETRANSLATE(H4885,""EN"",""ES"")"),"Política")</f>
        <v>Política</v>
      </c>
      <c r="J4885" s="26" t="s">
        <v>35</v>
      </c>
      <c r="K4885" s="48">
        <v>-0.5</v>
      </c>
      <c r="L4885" s="51" t="s">
        <v>34618</v>
      </c>
      <c r="M4885" s="28" t="s">
        <v>34619</v>
      </c>
      <c r="N4885" s="83" t="s">
        <v>34620</v>
      </c>
      <c r="O4885" s="83" t="str">
        <f>IFERROR(__xludf.DUMMYFUNCTION("GOOGLETRANSLATE(N4885,""EN"",""ES"")"),"Sentimiento negativo, que indica disputas políticas.")</f>
        <v>Sentimiento negativo, que indica disputas políticas.</v>
      </c>
      <c r="P4885" s="30">
        <v>0.0</v>
      </c>
      <c r="Q4885" s="31"/>
      <c r="R4885" s="31"/>
      <c r="S4885" s="53" t="s">
        <v>469</v>
      </c>
      <c r="T4885" s="32" t="s">
        <v>470</v>
      </c>
    </row>
    <row r="4886">
      <c r="A4886" s="33" t="s">
        <v>34621</v>
      </c>
      <c r="B4886" s="76" t="s">
        <v>21</v>
      </c>
      <c r="C4886" s="99">
        <v>45638.0</v>
      </c>
      <c r="D4886" s="40" t="s">
        <v>34622</v>
      </c>
      <c r="E4886" s="100" t="s">
        <v>34623</v>
      </c>
      <c r="F4886" s="101" t="s">
        <v>34624</v>
      </c>
      <c r="G4886" s="101" t="s">
        <v>34625</v>
      </c>
      <c r="H4886" s="61" t="s">
        <v>148</v>
      </c>
      <c r="I4886" s="15" t="str">
        <f>IFERROR(__xludf.DUMMYFUNCTION("GOOGLETRANSLATE(H4886,""EN"",""ES"")"),"Gastronomía")</f>
        <v>Gastronomía</v>
      </c>
      <c r="J4886" s="16" t="s">
        <v>27</v>
      </c>
      <c r="K4886" s="17">
        <v>0.0</v>
      </c>
      <c r="L4886" s="49"/>
      <c r="M4886" s="18"/>
      <c r="N4886" s="86"/>
      <c r="O4886" s="86"/>
      <c r="P4886" s="20">
        <v>0.0</v>
      </c>
      <c r="Q4886" s="18"/>
      <c r="R4886" s="18"/>
      <c r="S4886" s="52"/>
      <c r="T4886" s="22"/>
    </row>
    <row r="4887">
      <c r="A4887" s="23" t="s">
        <v>34626</v>
      </c>
      <c r="B4887" s="77" t="s">
        <v>2378</v>
      </c>
      <c r="C4887" s="96">
        <v>45638.0</v>
      </c>
      <c r="D4887" s="40" t="s">
        <v>34627</v>
      </c>
      <c r="E4887" s="97" t="s">
        <v>34628</v>
      </c>
      <c r="F4887" s="98" t="s">
        <v>34629</v>
      </c>
      <c r="G4887" s="98" t="s">
        <v>34630</v>
      </c>
      <c r="H4887" s="59" t="s">
        <v>1975</v>
      </c>
      <c r="I4887" s="25" t="str">
        <f>IFERROR(__xludf.DUMMYFUNCTION("GOOGLETRANSLATE(H4887,""EN"",""ES"")"),"Política")</f>
        <v>Política</v>
      </c>
      <c r="J4887" s="26" t="s">
        <v>35</v>
      </c>
      <c r="K4887" s="48">
        <v>-0.6</v>
      </c>
      <c r="L4887" s="51" t="s">
        <v>34631</v>
      </c>
      <c r="M4887" s="28" t="s">
        <v>34632</v>
      </c>
      <c r="N4887" s="83" t="s">
        <v>34633</v>
      </c>
      <c r="O4887" s="83" t="str">
        <f>IFERROR(__xludf.DUMMYFUNCTION("GOOGLETRANSLATE(N4887,""EN"",""ES"")"),"Sentimiento negativo, enfatizando la inestabilidad política.")</f>
        <v>Sentimiento negativo, enfatizando la inestabilidad política.</v>
      </c>
      <c r="P4887" s="30">
        <v>0.0</v>
      </c>
      <c r="Q4887" s="31"/>
      <c r="R4887" s="31"/>
      <c r="S4887" s="53" t="s">
        <v>469</v>
      </c>
      <c r="T4887" s="32" t="s">
        <v>470</v>
      </c>
    </row>
    <row r="4888">
      <c r="A4888" s="33" t="s">
        <v>34634</v>
      </c>
      <c r="B4888" s="76" t="s">
        <v>33359</v>
      </c>
      <c r="C4888" s="99">
        <v>45638.0</v>
      </c>
      <c r="D4888" s="40" t="s">
        <v>34635</v>
      </c>
      <c r="E4888" s="100" t="s">
        <v>34636</v>
      </c>
      <c r="F4888" s="101" t="s">
        <v>34637</v>
      </c>
      <c r="G4888" s="101" t="s">
        <v>34638</v>
      </c>
      <c r="H4888" s="61" t="s">
        <v>2591</v>
      </c>
      <c r="I4888" s="15" t="str">
        <f>IFERROR(__xludf.DUMMYFUNCTION("GOOGLETRANSLATE(H4888,""EN"",""ES"")"),"Negocio")</f>
        <v>Negocio</v>
      </c>
      <c r="J4888" s="16" t="s">
        <v>35</v>
      </c>
      <c r="K4888" s="48">
        <v>0.6</v>
      </c>
      <c r="L4888" s="49" t="s">
        <v>34639</v>
      </c>
      <c r="M4888" s="34" t="s">
        <v>34640</v>
      </c>
      <c r="N4888" s="86" t="s">
        <v>34641</v>
      </c>
      <c r="O4888" s="86" t="str">
        <f>IFERROR(__xludf.DUMMYFUNCTION("GOOGLETRANSLATE(N4888,""EN"",""ES"")"),"Sentimiento positivo, discutiendo movimientos comerciales estratégicos.")</f>
        <v>Sentimiento positivo, discutiendo movimientos comerciales estratégicos.</v>
      </c>
      <c r="P4888" s="30">
        <v>-0.3</v>
      </c>
      <c r="Q4888" s="18" t="str">
        <f>IFERROR(__xludf.DUMMYFUNCTION("GOOGLETRANSLATE(R4888,""ES"",""EN"")"),"interest in assets")</f>
        <v>interest in assets</v>
      </c>
      <c r="R4888" s="34" t="s">
        <v>34642</v>
      </c>
      <c r="S4888" s="52" t="s">
        <v>34643</v>
      </c>
      <c r="T4888" s="22" t="s">
        <v>34644</v>
      </c>
    </row>
    <row r="4889">
      <c r="A4889" s="23" t="s">
        <v>34645</v>
      </c>
      <c r="B4889" s="77" t="s">
        <v>403</v>
      </c>
      <c r="C4889" s="96">
        <v>45638.0</v>
      </c>
      <c r="D4889" s="40" t="s">
        <v>34646</v>
      </c>
      <c r="E4889" s="97" t="s">
        <v>34647</v>
      </c>
      <c r="F4889" s="98" t="s">
        <v>34648</v>
      </c>
      <c r="G4889" s="98" t="s">
        <v>34649</v>
      </c>
      <c r="H4889" s="59" t="s">
        <v>2591</v>
      </c>
      <c r="I4889" s="25" t="str">
        <f>IFERROR(__xludf.DUMMYFUNCTION("GOOGLETRANSLATE(H4889,""EN"",""ES"")"),"Negocio")</f>
        <v>Negocio</v>
      </c>
      <c r="J4889" s="26" t="s">
        <v>35</v>
      </c>
      <c r="K4889" s="48">
        <v>0.7</v>
      </c>
      <c r="L4889" s="51" t="s">
        <v>34650</v>
      </c>
      <c r="M4889" s="28" t="s">
        <v>34650</v>
      </c>
      <c r="N4889" s="83" t="s">
        <v>34651</v>
      </c>
      <c r="O4889" s="83" t="str">
        <f>IFERROR(__xludf.DUMMYFUNCTION("GOOGLETRANSLATE(N4889,""EN"",""ES"")"),"Sentimiento positivo, que muestra relaciones comerciales sólidas.")</f>
        <v>Sentimiento positivo, que muestra relaciones comerciales sólidas.</v>
      </c>
      <c r="P4889" s="30">
        <v>0.0</v>
      </c>
      <c r="Q4889" s="31"/>
      <c r="R4889" s="31"/>
      <c r="S4889" s="53" t="s">
        <v>469</v>
      </c>
      <c r="T4889" s="32" t="s">
        <v>470</v>
      </c>
    </row>
    <row r="4890">
      <c r="A4890" s="33" t="s">
        <v>34652</v>
      </c>
      <c r="B4890" s="76" t="s">
        <v>21</v>
      </c>
      <c r="C4890" s="99">
        <v>45638.0</v>
      </c>
      <c r="D4890" s="40" t="s">
        <v>34653</v>
      </c>
      <c r="E4890" s="100" t="s">
        <v>34654</v>
      </c>
      <c r="F4890" s="101" t="s">
        <v>34655</v>
      </c>
      <c r="G4890" s="101" t="s">
        <v>34656</v>
      </c>
      <c r="H4890" s="61" t="s">
        <v>148</v>
      </c>
      <c r="I4890" s="15" t="str">
        <f>IFERROR(__xludf.DUMMYFUNCTION("GOOGLETRANSLATE(H4890,""EN"",""ES"")"),"Gastronomía")</f>
        <v>Gastronomía</v>
      </c>
      <c r="J4890" s="16" t="s">
        <v>27</v>
      </c>
      <c r="K4890" s="17">
        <v>0.0</v>
      </c>
      <c r="L4890" s="49"/>
      <c r="M4890" s="18"/>
      <c r="N4890" s="86"/>
      <c r="O4890" s="86"/>
      <c r="P4890" s="20">
        <v>0.0</v>
      </c>
      <c r="Q4890" s="18"/>
      <c r="R4890" s="18"/>
      <c r="S4890" s="52"/>
      <c r="T4890" s="22"/>
    </row>
    <row r="4891">
      <c r="A4891" s="23" t="s">
        <v>34657</v>
      </c>
      <c r="B4891" s="77" t="s">
        <v>21</v>
      </c>
      <c r="C4891" s="96">
        <v>45639.0</v>
      </c>
      <c r="D4891" s="40" t="s">
        <v>34658</v>
      </c>
      <c r="E4891" s="97" t="s">
        <v>34659</v>
      </c>
      <c r="F4891" s="98" t="s">
        <v>34660</v>
      </c>
      <c r="G4891" s="98" t="s">
        <v>34661</v>
      </c>
      <c r="H4891" s="59" t="s">
        <v>130</v>
      </c>
      <c r="I4891" s="25" t="str">
        <f>IFERROR(__xludf.DUMMYFUNCTION("GOOGLETRANSLATE(H4891,""EN"",""ES"")"),"Sostenibilidad")</f>
        <v>Sostenibilidad</v>
      </c>
      <c r="J4891" s="26" t="s">
        <v>27</v>
      </c>
      <c r="K4891" s="17">
        <v>0.0</v>
      </c>
      <c r="L4891" s="51"/>
      <c r="M4891" s="31"/>
      <c r="N4891" s="83"/>
      <c r="O4891" s="83"/>
      <c r="P4891" s="20">
        <v>0.0</v>
      </c>
      <c r="Q4891" s="31"/>
      <c r="R4891" s="31"/>
      <c r="S4891" s="53"/>
      <c r="T4891" s="32"/>
    </row>
    <row r="4892">
      <c r="A4892" s="33" t="s">
        <v>34662</v>
      </c>
      <c r="B4892" s="76" t="s">
        <v>431</v>
      </c>
      <c r="C4892" s="99">
        <v>45639.0</v>
      </c>
      <c r="D4892" s="40" t="s">
        <v>34663</v>
      </c>
      <c r="E4892" s="100" t="s">
        <v>34664</v>
      </c>
      <c r="F4892" s="101" t="s">
        <v>34665</v>
      </c>
      <c r="G4892" s="101" t="s">
        <v>34666</v>
      </c>
      <c r="H4892" s="61" t="s">
        <v>782</v>
      </c>
      <c r="I4892" s="15" t="str">
        <f>IFERROR(__xludf.DUMMYFUNCTION("GOOGLETRANSLATE(H4892,""EN"",""ES"")"),"Tecnología")</f>
        <v>Tecnología</v>
      </c>
      <c r="J4892" s="16" t="s">
        <v>35</v>
      </c>
      <c r="K4892" s="48">
        <v>0.7</v>
      </c>
      <c r="L4892" s="49" t="s">
        <v>34667</v>
      </c>
      <c r="M4892" s="34" t="s">
        <v>34668</v>
      </c>
      <c r="N4892" s="86" t="s">
        <v>34669</v>
      </c>
      <c r="O4892" s="86" t="str">
        <f>IFERROR(__xludf.DUMMYFUNCTION("GOOGLETRANSLATE(N4892,""EN"",""ES"")"),"Sentimiento positivo, destacando la innovación y la inversión.")</f>
        <v>Sentimiento positivo, destacando la innovación y la inversión.</v>
      </c>
      <c r="P4892" s="30">
        <v>0.6</v>
      </c>
      <c r="Q4892" s="18" t="str">
        <f>IFERROR(__xludf.DUMMYFUNCTION("GOOGLETRANSLATE(R4892,""ES"",""EN"")"),"powers a large data center")</f>
        <v>powers a large data center</v>
      </c>
      <c r="R4892" s="34" t="s">
        <v>34670</v>
      </c>
      <c r="S4892" s="52" t="s">
        <v>34671</v>
      </c>
      <c r="T4892" s="22" t="s">
        <v>34672</v>
      </c>
    </row>
    <row r="4893">
      <c r="A4893" s="23" t="s">
        <v>34673</v>
      </c>
      <c r="B4893" s="77" t="s">
        <v>21</v>
      </c>
      <c r="C4893" s="96">
        <v>45639.0</v>
      </c>
      <c r="D4893" s="40" t="s">
        <v>34674</v>
      </c>
      <c r="E4893" s="97" t="s">
        <v>34675</v>
      </c>
      <c r="F4893" s="98" t="s">
        <v>34676</v>
      </c>
      <c r="G4893" s="98" t="s">
        <v>34677</v>
      </c>
      <c r="H4893" s="59" t="s">
        <v>148</v>
      </c>
      <c r="I4893" s="25" t="str">
        <f>IFERROR(__xludf.DUMMYFUNCTION("GOOGLETRANSLATE(H4893,""EN"",""ES"")"),"Gastronomía")</f>
        <v>Gastronomía</v>
      </c>
      <c r="J4893" s="26" t="s">
        <v>27</v>
      </c>
      <c r="K4893" s="17">
        <v>0.0</v>
      </c>
      <c r="L4893" s="51"/>
      <c r="M4893" s="31"/>
      <c r="N4893" s="83"/>
      <c r="O4893" s="83"/>
      <c r="P4893" s="20">
        <v>0.0</v>
      </c>
      <c r="Q4893" s="31"/>
      <c r="R4893" s="31"/>
      <c r="S4893" s="53"/>
      <c r="T4893" s="32"/>
    </row>
    <row r="4894">
      <c r="A4894" s="33" t="s">
        <v>34678</v>
      </c>
      <c r="B4894" s="76" t="s">
        <v>21</v>
      </c>
      <c r="C4894" s="99">
        <v>45639.0</v>
      </c>
      <c r="D4894" s="40" t="s">
        <v>34679</v>
      </c>
      <c r="E4894" s="100" t="s">
        <v>34680</v>
      </c>
      <c r="F4894" s="101" t="s">
        <v>34681</v>
      </c>
      <c r="G4894" s="101" t="s">
        <v>34682</v>
      </c>
      <c r="H4894" s="61" t="s">
        <v>130</v>
      </c>
      <c r="I4894" s="15" t="str">
        <f>IFERROR(__xludf.DUMMYFUNCTION("GOOGLETRANSLATE(H4894,""EN"",""ES"")"),"Sostenibilidad")</f>
        <v>Sostenibilidad</v>
      </c>
      <c r="J4894" s="16" t="s">
        <v>27</v>
      </c>
      <c r="K4894" s="17">
        <v>0.0</v>
      </c>
      <c r="L4894" s="49"/>
      <c r="M4894" s="18"/>
      <c r="N4894" s="86"/>
      <c r="O4894" s="86"/>
      <c r="P4894" s="20">
        <v>0.0</v>
      </c>
      <c r="Q4894" s="18"/>
      <c r="R4894" s="18"/>
      <c r="S4894" s="52"/>
      <c r="T4894" s="22"/>
    </row>
    <row r="4895">
      <c r="A4895" s="23" t="s">
        <v>34683</v>
      </c>
      <c r="B4895" s="77" t="s">
        <v>21</v>
      </c>
      <c r="C4895" s="96">
        <v>45639.0</v>
      </c>
      <c r="D4895" s="40" t="s">
        <v>34684</v>
      </c>
      <c r="E4895" s="97" t="s">
        <v>34685</v>
      </c>
      <c r="F4895" s="98" t="s">
        <v>34686</v>
      </c>
      <c r="G4895" s="98" t="s">
        <v>34687</v>
      </c>
      <c r="H4895" s="59" t="s">
        <v>148</v>
      </c>
      <c r="I4895" s="25" t="str">
        <f>IFERROR(__xludf.DUMMYFUNCTION("GOOGLETRANSLATE(H4895,""EN"",""ES"")"),"Gastronomía")</f>
        <v>Gastronomía</v>
      </c>
      <c r="J4895" s="26" t="s">
        <v>27</v>
      </c>
      <c r="K4895" s="17">
        <v>0.0</v>
      </c>
      <c r="L4895" s="51"/>
      <c r="M4895" s="31"/>
      <c r="N4895" s="83"/>
      <c r="O4895" s="83"/>
      <c r="P4895" s="20">
        <v>0.0</v>
      </c>
      <c r="Q4895" s="31"/>
      <c r="R4895" s="31"/>
      <c r="S4895" s="53"/>
      <c r="T4895" s="32"/>
    </row>
    <row r="4896">
      <c r="A4896" s="33" t="s">
        <v>34688</v>
      </c>
      <c r="B4896" s="76" t="s">
        <v>21</v>
      </c>
      <c r="C4896" s="99">
        <v>45639.0</v>
      </c>
      <c r="D4896" s="40" t="s">
        <v>34689</v>
      </c>
      <c r="E4896" s="100" t="s">
        <v>34690</v>
      </c>
      <c r="F4896" s="101" t="s">
        <v>34691</v>
      </c>
      <c r="G4896" s="101" t="s">
        <v>34692</v>
      </c>
      <c r="H4896" s="61" t="s">
        <v>148</v>
      </c>
      <c r="I4896" s="15" t="str">
        <f>IFERROR(__xludf.DUMMYFUNCTION("GOOGLETRANSLATE(H4896,""EN"",""ES"")"),"Gastronomía")</f>
        <v>Gastronomía</v>
      </c>
      <c r="J4896" s="16" t="s">
        <v>27</v>
      </c>
      <c r="K4896" s="17">
        <v>0.0</v>
      </c>
      <c r="L4896" s="49"/>
      <c r="M4896" s="18"/>
      <c r="N4896" s="86"/>
      <c r="O4896" s="86"/>
      <c r="P4896" s="20">
        <v>0.0</v>
      </c>
      <c r="Q4896" s="18"/>
      <c r="R4896" s="18"/>
      <c r="S4896" s="52"/>
      <c r="T4896" s="22"/>
    </row>
    <row r="4897">
      <c r="A4897" s="23" t="s">
        <v>34693</v>
      </c>
      <c r="B4897" s="77" t="s">
        <v>21</v>
      </c>
      <c r="C4897" s="96">
        <v>45639.0</v>
      </c>
      <c r="D4897" s="40" t="s">
        <v>34694</v>
      </c>
      <c r="E4897" s="97" t="s">
        <v>34695</v>
      </c>
      <c r="F4897" s="98" t="s">
        <v>34696</v>
      </c>
      <c r="G4897" s="98" t="s">
        <v>34697</v>
      </c>
      <c r="H4897" s="59" t="s">
        <v>148</v>
      </c>
      <c r="I4897" s="25" t="str">
        <f>IFERROR(__xludf.DUMMYFUNCTION("GOOGLETRANSLATE(H4897,""EN"",""ES"")"),"Gastronomía")</f>
        <v>Gastronomía</v>
      </c>
      <c r="J4897" s="26" t="s">
        <v>27</v>
      </c>
      <c r="K4897" s="17">
        <v>0.0</v>
      </c>
      <c r="L4897" s="51"/>
      <c r="M4897" s="31"/>
      <c r="N4897" s="83"/>
      <c r="O4897" s="83"/>
      <c r="P4897" s="20">
        <v>0.0</v>
      </c>
      <c r="Q4897" s="31"/>
      <c r="R4897" s="31"/>
      <c r="S4897" s="53"/>
      <c r="T4897" s="32"/>
    </row>
    <row r="4898">
      <c r="A4898" s="33" t="s">
        <v>34698</v>
      </c>
      <c r="B4898" s="76" t="s">
        <v>21</v>
      </c>
      <c r="C4898" s="99">
        <v>45639.0</v>
      </c>
      <c r="D4898" s="40" t="s">
        <v>34699</v>
      </c>
      <c r="E4898" s="100" t="s">
        <v>34700</v>
      </c>
      <c r="F4898" s="101" t="s">
        <v>34701</v>
      </c>
      <c r="G4898" s="101" t="s">
        <v>34702</v>
      </c>
      <c r="H4898" s="61" t="s">
        <v>148</v>
      </c>
      <c r="I4898" s="15" t="str">
        <f>IFERROR(__xludf.DUMMYFUNCTION("GOOGLETRANSLATE(H4898,""EN"",""ES"")"),"Gastronomía")</f>
        <v>Gastronomía</v>
      </c>
      <c r="J4898" s="16" t="s">
        <v>27</v>
      </c>
      <c r="K4898" s="17">
        <v>0.0</v>
      </c>
      <c r="L4898" s="49"/>
      <c r="M4898" s="18"/>
      <c r="N4898" s="86"/>
      <c r="O4898" s="86"/>
      <c r="P4898" s="20">
        <v>0.0</v>
      </c>
      <c r="Q4898" s="18"/>
      <c r="R4898" s="18"/>
      <c r="S4898" s="52"/>
      <c r="T4898" s="22"/>
    </row>
    <row r="4899">
      <c r="A4899" s="23" t="s">
        <v>34703</v>
      </c>
      <c r="B4899" s="77" t="s">
        <v>21</v>
      </c>
      <c r="C4899" s="96">
        <v>45639.0</v>
      </c>
      <c r="D4899" s="40" t="s">
        <v>34704</v>
      </c>
      <c r="E4899" s="97" t="s">
        <v>34705</v>
      </c>
      <c r="F4899" s="98" t="s">
        <v>34706</v>
      </c>
      <c r="G4899" s="98" t="s">
        <v>34707</v>
      </c>
      <c r="H4899" s="59" t="s">
        <v>148</v>
      </c>
      <c r="I4899" s="25" t="str">
        <f>IFERROR(__xludf.DUMMYFUNCTION("GOOGLETRANSLATE(H4899,""EN"",""ES"")"),"Gastronomía")</f>
        <v>Gastronomía</v>
      </c>
      <c r="J4899" s="26" t="s">
        <v>27</v>
      </c>
      <c r="K4899" s="17">
        <v>0.0</v>
      </c>
      <c r="L4899" s="51"/>
      <c r="M4899" s="31"/>
      <c r="N4899" s="83"/>
      <c r="O4899" s="83"/>
      <c r="P4899" s="20">
        <v>0.0</v>
      </c>
      <c r="Q4899" s="31"/>
      <c r="R4899" s="31"/>
      <c r="S4899" s="53"/>
      <c r="T4899" s="32"/>
    </row>
    <row r="4900">
      <c r="A4900" s="33" t="s">
        <v>34708</v>
      </c>
      <c r="B4900" s="76" t="s">
        <v>21</v>
      </c>
      <c r="C4900" s="99">
        <v>45639.0</v>
      </c>
      <c r="D4900" s="40" t="s">
        <v>34709</v>
      </c>
      <c r="E4900" s="100" t="s">
        <v>34710</v>
      </c>
      <c r="F4900" s="101" t="s">
        <v>34711</v>
      </c>
      <c r="G4900" s="101" t="s">
        <v>34712</v>
      </c>
      <c r="H4900" s="61" t="s">
        <v>148</v>
      </c>
      <c r="I4900" s="15" t="str">
        <f>IFERROR(__xludf.DUMMYFUNCTION("GOOGLETRANSLATE(H4900,""EN"",""ES"")"),"Gastronomía")</f>
        <v>Gastronomía</v>
      </c>
      <c r="J4900" s="16" t="s">
        <v>27</v>
      </c>
      <c r="K4900" s="17">
        <v>0.0</v>
      </c>
      <c r="L4900" s="49"/>
      <c r="M4900" s="18"/>
      <c r="N4900" s="86"/>
      <c r="O4900" s="86"/>
      <c r="P4900" s="20">
        <v>0.0</v>
      </c>
      <c r="Q4900" s="18"/>
      <c r="R4900" s="18"/>
      <c r="S4900" s="52"/>
      <c r="T4900" s="22"/>
    </row>
    <row r="4901">
      <c r="A4901" s="23" t="s">
        <v>34713</v>
      </c>
      <c r="B4901" s="77" t="s">
        <v>21</v>
      </c>
      <c r="C4901" s="96">
        <v>45639.0</v>
      </c>
      <c r="D4901" s="40" t="s">
        <v>34714</v>
      </c>
      <c r="E4901" s="97" t="s">
        <v>34715</v>
      </c>
      <c r="F4901" s="98" t="s">
        <v>34716</v>
      </c>
      <c r="G4901" s="98" t="s">
        <v>34717</v>
      </c>
      <c r="H4901" s="59" t="s">
        <v>130</v>
      </c>
      <c r="I4901" s="25" t="str">
        <f>IFERROR(__xludf.DUMMYFUNCTION("GOOGLETRANSLATE(H4901,""EN"",""ES"")"),"Sostenibilidad")</f>
        <v>Sostenibilidad</v>
      </c>
      <c r="J4901" s="26" t="s">
        <v>27</v>
      </c>
      <c r="K4901" s="17">
        <v>0.0</v>
      </c>
      <c r="L4901" s="51"/>
      <c r="M4901" s="31"/>
      <c r="N4901" s="83"/>
      <c r="O4901" s="83"/>
      <c r="P4901" s="20">
        <v>0.0</v>
      </c>
      <c r="Q4901" s="31"/>
      <c r="R4901" s="31"/>
      <c r="S4901" s="53"/>
      <c r="T4901" s="32"/>
    </row>
    <row r="4902">
      <c r="A4902" s="33" t="s">
        <v>34718</v>
      </c>
      <c r="B4902" s="76" t="s">
        <v>21</v>
      </c>
      <c r="C4902" s="99">
        <v>45639.0</v>
      </c>
      <c r="D4902" s="40" t="s">
        <v>34719</v>
      </c>
      <c r="E4902" s="100" t="s">
        <v>34720</v>
      </c>
      <c r="F4902" s="101" t="s">
        <v>34721</v>
      </c>
      <c r="G4902" s="101" t="s">
        <v>34722</v>
      </c>
      <c r="H4902" s="61" t="s">
        <v>148</v>
      </c>
      <c r="I4902" s="15" t="str">
        <f>IFERROR(__xludf.DUMMYFUNCTION("GOOGLETRANSLATE(H4902,""EN"",""ES"")"),"Gastronomía")</f>
        <v>Gastronomía</v>
      </c>
      <c r="J4902" s="16" t="s">
        <v>27</v>
      </c>
      <c r="K4902" s="17">
        <v>0.0</v>
      </c>
      <c r="L4902" s="49"/>
      <c r="M4902" s="18"/>
      <c r="N4902" s="86"/>
      <c r="O4902" s="86"/>
      <c r="P4902" s="20">
        <v>0.0</v>
      </c>
      <c r="Q4902" s="18"/>
      <c r="R4902" s="18"/>
      <c r="S4902" s="52"/>
      <c r="T4902" s="22"/>
    </row>
    <row r="4903">
      <c r="A4903" s="23" t="s">
        <v>34723</v>
      </c>
      <c r="B4903" s="77" t="s">
        <v>21</v>
      </c>
      <c r="C4903" s="96">
        <v>45639.0</v>
      </c>
      <c r="D4903" s="40" t="s">
        <v>34724</v>
      </c>
      <c r="E4903" s="97" t="s">
        <v>34725</v>
      </c>
      <c r="F4903" s="98" t="s">
        <v>34726</v>
      </c>
      <c r="G4903" s="98" t="s">
        <v>34727</v>
      </c>
      <c r="H4903" s="59" t="s">
        <v>148</v>
      </c>
      <c r="I4903" s="25" t="str">
        <f>IFERROR(__xludf.DUMMYFUNCTION("GOOGLETRANSLATE(H4903,""EN"",""ES"")"),"Gastronomía")</f>
        <v>Gastronomía</v>
      </c>
      <c r="J4903" s="26" t="s">
        <v>27</v>
      </c>
      <c r="K4903" s="17">
        <v>0.0</v>
      </c>
      <c r="L4903" s="51"/>
      <c r="M4903" s="31"/>
      <c r="N4903" s="83"/>
      <c r="O4903" s="83"/>
      <c r="P4903" s="20">
        <v>0.0</v>
      </c>
      <c r="Q4903" s="31"/>
      <c r="R4903" s="31"/>
      <c r="S4903" s="53"/>
      <c r="T4903" s="32"/>
    </row>
    <row r="4904">
      <c r="A4904" s="33" t="s">
        <v>34728</v>
      </c>
      <c r="B4904" s="76" t="s">
        <v>21</v>
      </c>
      <c r="C4904" s="99">
        <v>45639.0</v>
      </c>
      <c r="D4904" s="40" t="s">
        <v>34729</v>
      </c>
      <c r="E4904" s="100" t="s">
        <v>34730</v>
      </c>
      <c r="F4904" s="101" t="s">
        <v>34731</v>
      </c>
      <c r="G4904" s="101" t="s">
        <v>34732</v>
      </c>
      <c r="H4904" s="61" t="s">
        <v>130</v>
      </c>
      <c r="I4904" s="15" t="str">
        <f>IFERROR(__xludf.DUMMYFUNCTION("GOOGLETRANSLATE(H4904,""EN"",""ES"")"),"Sostenibilidad")</f>
        <v>Sostenibilidad</v>
      </c>
      <c r="J4904" s="16" t="s">
        <v>27</v>
      </c>
      <c r="K4904" s="17">
        <v>0.0</v>
      </c>
      <c r="L4904" s="49"/>
      <c r="M4904" s="18"/>
      <c r="N4904" s="86"/>
      <c r="O4904" s="86"/>
      <c r="P4904" s="20">
        <v>0.0</v>
      </c>
      <c r="Q4904" s="18"/>
      <c r="R4904" s="18"/>
      <c r="S4904" s="52"/>
      <c r="T4904" s="22"/>
    </row>
    <row r="4905">
      <c r="A4905" s="23" t="s">
        <v>34733</v>
      </c>
      <c r="B4905" s="77" t="s">
        <v>21</v>
      </c>
      <c r="C4905" s="96">
        <v>45639.0</v>
      </c>
      <c r="D4905" s="40" t="s">
        <v>6545</v>
      </c>
      <c r="E4905" s="97" t="s">
        <v>6546</v>
      </c>
      <c r="F4905" s="98" t="s">
        <v>6547</v>
      </c>
      <c r="G4905" s="98" t="s">
        <v>34734</v>
      </c>
      <c r="H4905" s="59" t="s">
        <v>148</v>
      </c>
      <c r="I4905" s="25" t="str">
        <f>IFERROR(__xludf.DUMMYFUNCTION("GOOGLETRANSLATE(H4905,""EN"",""ES"")"),"Gastronomía")</f>
        <v>Gastronomía</v>
      </c>
      <c r="J4905" s="26" t="s">
        <v>27</v>
      </c>
      <c r="K4905" s="17">
        <v>0.0</v>
      </c>
      <c r="L4905" s="51"/>
      <c r="M4905" s="31"/>
      <c r="N4905" s="83"/>
      <c r="O4905" s="83"/>
      <c r="P4905" s="20">
        <v>0.0</v>
      </c>
      <c r="Q4905" s="31"/>
      <c r="R4905" s="31"/>
      <c r="S4905" s="53"/>
      <c r="T4905" s="32"/>
    </row>
    <row r="4906">
      <c r="A4906" s="33" t="s">
        <v>34735</v>
      </c>
      <c r="B4906" s="76" t="s">
        <v>21</v>
      </c>
      <c r="C4906" s="99">
        <v>45639.0</v>
      </c>
      <c r="D4906" s="40" t="s">
        <v>34736</v>
      </c>
      <c r="E4906" s="100" t="s">
        <v>34737</v>
      </c>
      <c r="F4906" s="101" t="s">
        <v>34738</v>
      </c>
      <c r="G4906" s="101" t="s">
        <v>34739</v>
      </c>
      <c r="H4906" s="61" t="s">
        <v>148</v>
      </c>
      <c r="I4906" s="15" t="str">
        <f>IFERROR(__xludf.DUMMYFUNCTION("GOOGLETRANSLATE(H4906,""EN"",""ES"")"),"Gastronomía")</f>
        <v>Gastronomía</v>
      </c>
      <c r="J4906" s="16" t="s">
        <v>27</v>
      </c>
      <c r="K4906" s="17">
        <v>0.0</v>
      </c>
      <c r="L4906" s="49"/>
      <c r="M4906" s="18"/>
      <c r="N4906" s="86"/>
      <c r="O4906" s="86"/>
      <c r="P4906" s="20">
        <v>0.0</v>
      </c>
      <c r="Q4906" s="18"/>
      <c r="R4906" s="18"/>
      <c r="S4906" s="52"/>
      <c r="T4906" s="22"/>
    </row>
    <row r="4907">
      <c r="A4907" s="23" t="s">
        <v>34740</v>
      </c>
      <c r="B4907" s="77" t="s">
        <v>21</v>
      </c>
      <c r="C4907" s="96">
        <v>45639.0</v>
      </c>
      <c r="D4907" s="40" t="s">
        <v>34741</v>
      </c>
      <c r="E4907" s="97" t="s">
        <v>34742</v>
      </c>
      <c r="F4907" s="98" t="s">
        <v>34743</v>
      </c>
      <c r="G4907" s="98" t="s">
        <v>34744</v>
      </c>
      <c r="H4907" s="59" t="s">
        <v>148</v>
      </c>
      <c r="I4907" s="25" t="str">
        <f>IFERROR(__xludf.DUMMYFUNCTION("GOOGLETRANSLATE(H4907,""EN"",""ES"")"),"Gastronomía")</f>
        <v>Gastronomía</v>
      </c>
      <c r="J4907" s="26" t="s">
        <v>27</v>
      </c>
      <c r="K4907" s="17">
        <v>0.0</v>
      </c>
      <c r="L4907" s="51"/>
      <c r="M4907" s="31"/>
      <c r="N4907" s="83"/>
      <c r="O4907" s="83"/>
      <c r="P4907" s="20">
        <v>0.0</v>
      </c>
      <c r="Q4907" s="31"/>
      <c r="R4907" s="31"/>
      <c r="S4907" s="53"/>
      <c r="T4907" s="32"/>
    </row>
    <row r="4908">
      <c r="A4908" s="33" t="s">
        <v>34745</v>
      </c>
      <c r="B4908" s="76" t="s">
        <v>21</v>
      </c>
      <c r="C4908" s="99">
        <v>45639.0</v>
      </c>
      <c r="D4908" s="40" t="s">
        <v>34746</v>
      </c>
      <c r="E4908" s="100" t="s">
        <v>34747</v>
      </c>
      <c r="F4908" s="101" t="s">
        <v>34748</v>
      </c>
      <c r="G4908" s="101" t="s">
        <v>34749</v>
      </c>
      <c r="H4908" s="61" t="s">
        <v>148</v>
      </c>
      <c r="I4908" s="15" t="str">
        <f>IFERROR(__xludf.DUMMYFUNCTION("GOOGLETRANSLATE(H4908,""EN"",""ES"")"),"Gastronomía")</f>
        <v>Gastronomía</v>
      </c>
      <c r="J4908" s="16" t="s">
        <v>27</v>
      </c>
      <c r="K4908" s="17">
        <v>0.0</v>
      </c>
      <c r="L4908" s="49"/>
      <c r="M4908" s="18"/>
      <c r="N4908" s="86"/>
      <c r="O4908" s="86"/>
      <c r="P4908" s="20">
        <v>0.0</v>
      </c>
      <c r="Q4908" s="18"/>
      <c r="R4908" s="18"/>
      <c r="S4908" s="52"/>
      <c r="T4908" s="22"/>
    </row>
    <row r="4909">
      <c r="A4909" s="23" t="s">
        <v>34750</v>
      </c>
      <c r="B4909" s="77" t="s">
        <v>21</v>
      </c>
      <c r="C4909" s="96">
        <v>45639.0</v>
      </c>
      <c r="D4909" s="40" t="s">
        <v>34751</v>
      </c>
      <c r="E4909" s="97" t="s">
        <v>34752</v>
      </c>
      <c r="F4909" s="98" t="s">
        <v>34753</v>
      </c>
      <c r="G4909" s="98" t="s">
        <v>34754</v>
      </c>
      <c r="H4909" s="59" t="s">
        <v>148</v>
      </c>
      <c r="I4909" s="25" t="str">
        <f>IFERROR(__xludf.DUMMYFUNCTION("GOOGLETRANSLATE(H4909,""EN"",""ES"")"),"Gastronomía")</f>
        <v>Gastronomía</v>
      </c>
      <c r="J4909" s="26" t="s">
        <v>27</v>
      </c>
      <c r="K4909" s="17">
        <v>0.0</v>
      </c>
      <c r="L4909" s="51"/>
      <c r="M4909" s="31"/>
      <c r="N4909" s="83"/>
      <c r="O4909" s="83"/>
      <c r="P4909" s="20">
        <v>0.0</v>
      </c>
      <c r="Q4909" s="31"/>
      <c r="R4909" s="31"/>
      <c r="S4909" s="53"/>
      <c r="T4909" s="32"/>
    </row>
    <row r="4910">
      <c r="A4910" s="33" t="s">
        <v>34755</v>
      </c>
      <c r="B4910" s="76" t="s">
        <v>21</v>
      </c>
      <c r="C4910" s="99">
        <v>45639.0</v>
      </c>
      <c r="D4910" s="40" t="s">
        <v>34756</v>
      </c>
      <c r="E4910" s="100" t="s">
        <v>34757</v>
      </c>
      <c r="F4910" s="101" t="s">
        <v>34758</v>
      </c>
      <c r="G4910" s="101" t="s">
        <v>34759</v>
      </c>
      <c r="H4910" s="61" t="s">
        <v>148</v>
      </c>
      <c r="I4910" s="15" t="str">
        <f>IFERROR(__xludf.DUMMYFUNCTION("GOOGLETRANSLATE(H4910,""EN"",""ES"")"),"Gastronomía")</f>
        <v>Gastronomía</v>
      </c>
      <c r="J4910" s="16" t="s">
        <v>27</v>
      </c>
      <c r="K4910" s="17">
        <v>0.0</v>
      </c>
      <c r="L4910" s="49"/>
      <c r="M4910" s="18"/>
      <c r="N4910" s="86"/>
      <c r="O4910" s="86"/>
      <c r="P4910" s="20">
        <v>0.0</v>
      </c>
      <c r="Q4910" s="18"/>
      <c r="R4910" s="18"/>
      <c r="S4910" s="52"/>
      <c r="T4910" s="22"/>
    </row>
    <row r="4911">
      <c r="A4911" s="23" t="s">
        <v>34760</v>
      </c>
      <c r="B4911" s="77" t="s">
        <v>21</v>
      </c>
      <c r="C4911" s="96">
        <v>45639.0</v>
      </c>
      <c r="D4911" s="40" t="s">
        <v>34761</v>
      </c>
      <c r="E4911" s="97" t="s">
        <v>34762</v>
      </c>
      <c r="F4911" s="98" t="s">
        <v>34763</v>
      </c>
      <c r="G4911" s="98" t="s">
        <v>34764</v>
      </c>
      <c r="H4911" s="59" t="s">
        <v>34765</v>
      </c>
      <c r="I4911" s="25" t="str">
        <f>IFERROR(__xludf.DUMMYFUNCTION("GOOGLETRANSLATE(H4911,""EN"",""ES"")"),"Eventos")</f>
        <v>Eventos</v>
      </c>
      <c r="J4911" s="26" t="s">
        <v>27</v>
      </c>
      <c r="K4911" s="17">
        <v>0.0</v>
      </c>
      <c r="L4911" s="51"/>
      <c r="M4911" s="31"/>
      <c r="N4911" s="83"/>
      <c r="O4911" s="83"/>
      <c r="P4911" s="20">
        <v>0.0</v>
      </c>
      <c r="Q4911" s="31"/>
      <c r="R4911" s="31"/>
      <c r="S4911" s="53"/>
      <c r="T4911" s="32"/>
    </row>
    <row r="4912">
      <c r="A4912" s="33" t="s">
        <v>34766</v>
      </c>
      <c r="B4912" s="76" t="s">
        <v>163</v>
      </c>
      <c r="C4912" s="99">
        <v>45639.0</v>
      </c>
      <c r="D4912" s="40" t="s">
        <v>34767</v>
      </c>
      <c r="E4912" s="100" t="s">
        <v>34768</v>
      </c>
      <c r="F4912" s="101" t="s">
        <v>34769</v>
      </c>
      <c r="G4912" s="101" t="s">
        <v>34770</v>
      </c>
      <c r="H4912" s="61" t="s">
        <v>34771</v>
      </c>
      <c r="I4912" s="15" t="str">
        <f>IFERROR(__xludf.DUMMYFUNCTION("GOOGLETRANSLATE(H4912,""EN"",""ES"")"),"Compras")</f>
        <v>Compras</v>
      </c>
      <c r="J4912" s="16" t="s">
        <v>27</v>
      </c>
      <c r="K4912" s="17">
        <v>0.0</v>
      </c>
      <c r="L4912" s="49"/>
      <c r="M4912" s="18"/>
      <c r="N4912" s="86"/>
      <c r="O4912" s="86"/>
      <c r="P4912" s="20">
        <v>0.0</v>
      </c>
      <c r="Q4912" s="18"/>
      <c r="R4912" s="18"/>
      <c r="S4912" s="52"/>
      <c r="T4912" s="22"/>
    </row>
    <row r="4913">
      <c r="A4913" s="23" t="s">
        <v>34772</v>
      </c>
      <c r="B4913" s="77" t="s">
        <v>19543</v>
      </c>
      <c r="C4913" s="96">
        <v>45639.0</v>
      </c>
      <c r="D4913" s="40" t="s">
        <v>34773</v>
      </c>
      <c r="E4913" s="97" t="s">
        <v>34774</v>
      </c>
      <c r="F4913" s="98" t="s">
        <v>34775</v>
      </c>
      <c r="G4913" s="98" t="s">
        <v>34776</v>
      </c>
      <c r="H4913" s="59" t="s">
        <v>34777</v>
      </c>
      <c r="I4913" s="25" t="str">
        <f>IFERROR(__xludf.DUMMYFUNCTION("GOOGLETRANSLATE(H4913,""EN"",""ES"")"),"Negocios/Tecnología")</f>
        <v>Negocios/Tecnología</v>
      </c>
      <c r="J4913" s="26" t="s">
        <v>35</v>
      </c>
      <c r="K4913" s="48">
        <v>0.8</v>
      </c>
      <c r="L4913" s="51" t="s">
        <v>34778</v>
      </c>
      <c r="M4913" s="28" t="s">
        <v>34779</v>
      </c>
      <c r="N4913" s="83" t="s">
        <v>34780</v>
      </c>
      <c r="O4913" s="83" t="str">
        <f>IFERROR(__xludf.DUMMYFUNCTION("GOOGLETRANSLATE(N4913,""EN"",""ES"")"),"Sentimiento positivo, destacando un proyecto energético innovador.")</f>
        <v>Sentimiento positivo, destacando un proyecto energético innovador.</v>
      </c>
      <c r="P4913" s="30">
        <v>0.5</v>
      </c>
      <c r="Q4913" s="31" t="str">
        <f>IFERROR(__xludf.DUMMYFUNCTION("GOOGLETRANSLATE(R4913,""ES"",""EN"")"),"renewable")</f>
        <v>renewable</v>
      </c>
      <c r="R4913" s="28" t="s">
        <v>18255</v>
      </c>
      <c r="S4913" s="53" t="s">
        <v>34781</v>
      </c>
      <c r="T4913" s="32" t="s">
        <v>34782</v>
      </c>
    </row>
    <row r="4914">
      <c r="A4914" s="33" t="s">
        <v>34783</v>
      </c>
      <c r="B4914" s="76" t="s">
        <v>21</v>
      </c>
      <c r="C4914" s="99">
        <v>45639.0</v>
      </c>
      <c r="D4914" s="40" t="s">
        <v>34784</v>
      </c>
      <c r="E4914" s="100" t="s">
        <v>34785</v>
      </c>
      <c r="F4914" s="106" t="s">
        <v>34786</v>
      </c>
      <c r="G4914" s="101" t="s">
        <v>34787</v>
      </c>
      <c r="H4914" s="61" t="s">
        <v>34788</v>
      </c>
      <c r="I4914" s="15" t="str">
        <f>IFERROR(__xludf.DUMMYFUNCTION("GOOGLETRANSLATE(H4914,""EN"",""ES"")"),"Marketing/Gastronomía")</f>
        <v>Marketing/Gastronomía</v>
      </c>
      <c r="J4914" s="16" t="s">
        <v>27</v>
      </c>
      <c r="K4914" s="17">
        <v>0.0</v>
      </c>
      <c r="L4914" s="49"/>
      <c r="M4914" s="18"/>
      <c r="N4914" s="86"/>
      <c r="O4914" s="86"/>
      <c r="P4914" s="20">
        <v>0.0</v>
      </c>
      <c r="Q4914" s="18"/>
      <c r="R4914" s="18"/>
      <c r="S4914" s="52"/>
      <c r="T4914" s="22"/>
    </row>
    <row r="4915">
      <c r="A4915" s="23" t="s">
        <v>34789</v>
      </c>
      <c r="B4915" s="77" t="s">
        <v>21</v>
      </c>
      <c r="C4915" s="96">
        <v>45639.0</v>
      </c>
      <c r="D4915" s="40" t="s">
        <v>34790</v>
      </c>
      <c r="E4915" s="97" t="s">
        <v>34791</v>
      </c>
      <c r="F4915" s="98" t="s">
        <v>34792</v>
      </c>
      <c r="G4915" s="98" t="s">
        <v>34793</v>
      </c>
      <c r="H4915" s="59" t="s">
        <v>148</v>
      </c>
      <c r="I4915" s="25" t="str">
        <f>IFERROR(__xludf.DUMMYFUNCTION("GOOGLETRANSLATE(H4915,""EN"",""ES"")"),"Gastronomía")</f>
        <v>Gastronomía</v>
      </c>
      <c r="J4915" s="26" t="s">
        <v>27</v>
      </c>
      <c r="K4915" s="17">
        <v>0.0</v>
      </c>
      <c r="L4915" s="51"/>
      <c r="M4915" s="31"/>
      <c r="N4915" s="83"/>
      <c r="O4915" s="83"/>
      <c r="P4915" s="20">
        <v>0.0</v>
      </c>
      <c r="Q4915" s="31"/>
      <c r="R4915" s="31"/>
      <c r="S4915" s="53"/>
      <c r="T4915" s="32"/>
    </row>
    <row r="4916">
      <c r="A4916" s="33" t="s">
        <v>34794</v>
      </c>
      <c r="B4916" s="76" t="s">
        <v>21</v>
      </c>
      <c r="C4916" s="99">
        <v>45639.0</v>
      </c>
      <c r="D4916" s="40" t="s">
        <v>34795</v>
      </c>
      <c r="E4916" s="100" t="s">
        <v>34796</v>
      </c>
      <c r="F4916" s="106" t="s">
        <v>34797</v>
      </c>
      <c r="G4916" s="101" t="s">
        <v>34798</v>
      </c>
      <c r="H4916" s="61" t="s">
        <v>148</v>
      </c>
      <c r="I4916" s="15" t="str">
        <f>IFERROR(__xludf.DUMMYFUNCTION("GOOGLETRANSLATE(H4916,""EN"",""ES"")"),"Gastronomía")</f>
        <v>Gastronomía</v>
      </c>
      <c r="J4916" s="16" t="s">
        <v>27</v>
      </c>
      <c r="K4916" s="17">
        <v>0.0</v>
      </c>
      <c r="L4916" s="49"/>
      <c r="M4916" s="18"/>
      <c r="N4916" s="86"/>
      <c r="O4916" s="86"/>
      <c r="P4916" s="20">
        <v>0.0</v>
      </c>
      <c r="Q4916" s="18"/>
      <c r="R4916" s="18"/>
      <c r="S4916" s="52"/>
      <c r="T4916" s="22"/>
    </row>
    <row r="4917">
      <c r="A4917" s="23" t="s">
        <v>34799</v>
      </c>
      <c r="B4917" s="77" t="s">
        <v>1768</v>
      </c>
      <c r="C4917" s="96">
        <v>45639.0</v>
      </c>
      <c r="D4917" s="40" t="s">
        <v>34800</v>
      </c>
      <c r="E4917" s="97" t="s">
        <v>34801</v>
      </c>
      <c r="F4917" s="98" t="s">
        <v>34802</v>
      </c>
      <c r="G4917" s="98" t="s">
        <v>34803</v>
      </c>
      <c r="H4917" s="59" t="s">
        <v>34804</v>
      </c>
      <c r="I4917" s="25" t="str">
        <f>IFERROR(__xludf.DUMMYFUNCTION("GOOGLETRANSLATE(H4917,""EN"",""ES"")"),"Tecnología/Gastronomía")</f>
        <v>Tecnología/Gastronomía</v>
      </c>
      <c r="J4917" s="26" t="s">
        <v>27</v>
      </c>
      <c r="K4917" s="17">
        <v>0.0</v>
      </c>
      <c r="L4917" s="51"/>
      <c r="M4917" s="31"/>
      <c r="N4917" s="83"/>
      <c r="O4917" s="83"/>
      <c r="P4917" s="20">
        <v>0.0</v>
      </c>
      <c r="Q4917" s="31"/>
      <c r="R4917" s="31"/>
      <c r="S4917" s="53"/>
      <c r="T4917" s="32"/>
    </row>
    <row r="4918">
      <c r="A4918" s="33" t="s">
        <v>34805</v>
      </c>
      <c r="B4918" s="76" t="s">
        <v>21</v>
      </c>
      <c r="C4918" s="99">
        <v>45639.0</v>
      </c>
      <c r="D4918" s="40" t="s">
        <v>34806</v>
      </c>
      <c r="E4918" s="100" t="s">
        <v>34807</v>
      </c>
      <c r="F4918" s="101" t="s">
        <v>34808</v>
      </c>
      <c r="G4918" s="101" t="s">
        <v>34809</v>
      </c>
      <c r="H4918" s="61" t="s">
        <v>148</v>
      </c>
      <c r="I4918" s="15" t="str">
        <f>IFERROR(__xludf.DUMMYFUNCTION("GOOGLETRANSLATE(H4918,""EN"",""ES"")"),"Gastronomía")</f>
        <v>Gastronomía</v>
      </c>
      <c r="J4918" s="16" t="s">
        <v>27</v>
      </c>
      <c r="K4918" s="17">
        <v>0.0</v>
      </c>
      <c r="L4918" s="49"/>
      <c r="M4918" s="18"/>
      <c r="N4918" s="86"/>
      <c r="O4918" s="86"/>
      <c r="P4918" s="20">
        <v>0.0</v>
      </c>
      <c r="Q4918" s="18"/>
      <c r="R4918" s="18"/>
      <c r="S4918" s="52"/>
      <c r="T4918" s="22"/>
    </row>
    <row r="4919">
      <c r="A4919" s="23" t="s">
        <v>34810</v>
      </c>
      <c r="B4919" s="77" t="s">
        <v>21</v>
      </c>
      <c r="C4919" s="96">
        <v>45639.0</v>
      </c>
      <c r="D4919" s="40" t="s">
        <v>34811</v>
      </c>
      <c r="E4919" s="97" t="s">
        <v>34812</v>
      </c>
      <c r="F4919" s="107" t="s">
        <v>34813</v>
      </c>
      <c r="G4919" s="98" t="s">
        <v>34814</v>
      </c>
      <c r="H4919" s="59" t="s">
        <v>34815</v>
      </c>
      <c r="I4919" s="25" t="str">
        <f>IFERROR(__xludf.DUMMYFUNCTION("GOOGLETRANSLATE(H4919,""EN"",""ES"")"),"Eventos/Gastronomía")</f>
        <v>Eventos/Gastronomía</v>
      </c>
      <c r="J4919" s="26" t="s">
        <v>27</v>
      </c>
      <c r="K4919" s="17">
        <v>0.0</v>
      </c>
      <c r="L4919" s="51"/>
      <c r="M4919" s="31"/>
      <c r="N4919" s="83"/>
      <c r="O4919" s="83"/>
      <c r="P4919" s="20">
        <v>0.0</v>
      </c>
      <c r="Q4919" s="31"/>
      <c r="R4919" s="31"/>
      <c r="S4919" s="53"/>
      <c r="T4919" s="32"/>
    </row>
    <row r="4920">
      <c r="A4920" s="33" t="s">
        <v>34816</v>
      </c>
      <c r="B4920" s="76" t="s">
        <v>21</v>
      </c>
      <c r="C4920" s="99">
        <v>45639.0</v>
      </c>
      <c r="D4920" s="40" t="s">
        <v>34817</v>
      </c>
      <c r="E4920" s="100" t="s">
        <v>34818</v>
      </c>
      <c r="F4920" s="101" t="s">
        <v>34819</v>
      </c>
      <c r="G4920" s="101" t="s">
        <v>34820</v>
      </c>
      <c r="H4920" s="61" t="s">
        <v>148</v>
      </c>
      <c r="I4920" s="15" t="str">
        <f>IFERROR(__xludf.DUMMYFUNCTION("GOOGLETRANSLATE(H4920,""EN"",""ES"")"),"Gastronomía")</f>
        <v>Gastronomía</v>
      </c>
      <c r="J4920" s="16" t="s">
        <v>27</v>
      </c>
      <c r="K4920" s="17">
        <v>0.0</v>
      </c>
      <c r="L4920" s="49"/>
      <c r="M4920" s="18"/>
      <c r="N4920" s="86"/>
      <c r="O4920" s="86"/>
      <c r="P4920" s="20">
        <v>0.0</v>
      </c>
      <c r="Q4920" s="18"/>
      <c r="R4920" s="18"/>
      <c r="S4920" s="52"/>
      <c r="T4920" s="22"/>
    </row>
    <row r="4921">
      <c r="A4921" s="23" t="s">
        <v>34821</v>
      </c>
      <c r="B4921" s="77" t="s">
        <v>21</v>
      </c>
      <c r="C4921" s="96">
        <v>45639.0</v>
      </c>
      <c r="D4921" s="40" t="s">
        <v>34822</v>
      </c>
      <c r="E4921" s="97" t="s">
        <v>34823</v>
      </c>
      <c r="F4921" s="98" t="s">
        <v>34824</v>
      </c>
      <c r="G4921" s="98" t="s">
        <v>34825</v>
      </c>
      <c r="H4921" s="59" t="s">
        <v>148</v>
      </c>
      <c r="I4921" s="25" t="str">
        <f>IFERROR(__xludf.DUMMYFUNCTION("GOOGLETRANSLATE(H4921,""EN"",""ES"")"),"Gastronomía")</f>
        <v>Gastronomía</v>
      </c>
      <c r="J4921" s="26" t="s">
        <v>27</v>
      </c>
      <c r="K4921" s="17">
        <v>0.0</v>
      </c>
      <c r="L4921" s="51"/>
      <c r="M4921" s="31"/>
      <c r="N4921" s="83"/>
      <c r="O4921" s="83"/>
      <c r="P4921" s="20">
        <v>0.0</v>
      </c>
      <c r="Q4921" s="31"/>
      <c r="R4921" s="31"/>
      <c r="S4921" s="53"/>
      <c r="T4921" s="32"/>
    </row>
    <row r="4922">
      <c r="A4922" s="33" t="s">
        <v>34826</v>
      </c>
      <c r="B4922" s="76" t="s">
        <v>21</v>
      </c>
      <c r="C4922" s="99">
        <v>45639.0</v>
      </c>
      <c r="D4922" s="40" t="s">
        <v>34827</v>
      </c>
      <c r="E4922" s="100" t="s">
        <v>34828</v>
      </c>
      <c r="F4922" s="101" t="s">
        <v>34829</v>
      </c>
      <c r="G4922" s="101" t="s">
        <v>34830</v>
      </c>
      <c r="H4922" s="61" t="s">
        <v>34815</v>
      </c>
      <c r="I4922" s="15" t="str">
        <f>IFERROR(__xludf.DUMMYFUNCTION("GOOGLETRANSLATE(H4922,""EN"",""ES"")"),"Eventos/Gastronomía")</f>
        <v>Eventos/Gastronomía</v>
      </c>
      <c r="J4922" s="16" t="s">
        <v>27</v>
      </c>
      <c r="K4922" s="17">
        <v>0.0</v>
      </c>
      <c r="L4922" s="49"/>
      <c r="M4922" s="18"/>
      <c r="N4922" s="86"/>
      <c r="O4922" s="86"/>
      <c r="P4922" s="20">
        <v>0.0</v>
      </c>
      <c r="Q4922" s="18"/>
      <c r="R4922" s="18"/>
      <c r="S4922" s="52"/>
      <c r="T4922" s="22"/>
    </row>
    <row r="4923">
      <c r="A4923" s="23" t="s">
        <v>34831</v>
      </c>
      <c r="B4923" s="77" t="s">
        <v>21</v>
      </c>
      <c r="C4923" s="96">
        <v>45639.0</v>
      </c>
      <c r="D4923" s="40" t="s">
        <v>34832</v>
      </c>
      <c r="E4923" s="97" t="s">
        <v>34833</v>
      </c>
      <c r="F4923" s="98" t="s">
        <v>34834</v>
      </c>
      <c r="G4923" s="98" t="s">
        <v>34835</v>
      </c>
      <c r="H4923" s="59" t="s">
        <v>148</v>
      </c>
      <c r="I4923" s="25" t="str">
        <f>IFERROR(__xludf.DUMMYFUNCTION("GOOGLETRANSLATE(H4923,""EN"",""ES"")"),"Gastronomía")</f>
        <v>Gastronomía</v>
      </c>
      <c r="J4923" s="26" t="s">
        <v>27</v>
      </c>
      <c r="K4923" s="17">
        <v>0.0</v>
      </c>
      <c r="L4923" s="51"/>
      <c r="M4923" s="31"/>
      <c r="N4923" s="83"/>
      <c r="O4923" s="83"/>
      <c r="P4923" s="20">
        <v>0.0</v>
      </c>
      <c r="Q4923" s="31"/>
      <c r="R4923" s="31"/>
      <c r="S4923" s="53"/>
      <c r="T4923" s="32"/>
    </row>
    <row r="4924">
      <c r="A4924" s="33" t="s">
        <v>34836</v>
      </c>
      <c r="B4924" s="76" t="s">
        <v>21</v>
      </c>
      <c r="C4924" s="99">
        <v>45639.0</v>
      </c>
      <c r="D4924" s="40" t="s">
        <v>34837</v>
      </c>
      <c r="E4924" s="100" t="s">
        <v>34838</v>
      </c>
      <c r="F4924" s="101" t="s">
        <v>34839</v>
      </c>
      <c r="G4924" s="101" t="s">
        <v>34840</v>
      </c>
      <c r="H4924" s="61" t="s">
        <v>148</v>
      </c>
      <c r="I4924" s="15" t="str">
        <f>IFERROR(__xludf.DUMMYFUNCTION("GOOGLETRANSLATE(H4924,""EN"",""ES"")"),"Gastronomía")</f>
        <v>Gastronomía</v>
      </c>
      <c r="J4924" s="16" t="s">
        <v>27</v>
      </c>
      <c r="K4924" s="17">
        <v>0.0</v>
      </c>
      <c r="L4924" s="49"/>
      <c r="M4924" s="18"/>
      <c r="N4924" s="86"/>
      <c r="O4924" s="86"/>
      <c r="P4924" s="20">
        <v>0.0</v>
      </c>
      <c r="Q4924" s="18"/>
      <c r="R4924" s="18"/>
      <c r="S4924" s="52"/>
      <c r="T4924" s="22"/>
    </row>
    <row r="4925">
      <c r="A4925" s="23" t="s">
        <v>34841</v>
      </c>
      <c r="B4925" s="77" t="s">
        <v>21</v>
      </c>
      <c r="C4925" s="96">
        <v>45639.0</v>
      </c>
      <c r="D4925" s="40" t="s">
        <v>34842</v>
      </c>
      <c r="E4925" s="97" t="s">
        <v>34843</v>
      </c>
      <c r="F4925" s="98" t="s">
        <v>34844</v>
      </c>
      <c r="G4925" s="98" t="s">
        <v>34845</v>
      </c>
      <c r="H4925" s="59" t="s">
        <v>148</v>
      </c>
      <c r="I4925" s="25" t="str">
        <f>IFERROR(__xludf.DUMMYFUNCTION("GOOGLETRANSLATE(H4925,""EN"",""ES"")"),"Gastronomía")</f>
        <v>Gastronomía</v>
      </c>
      <c r="J4925" s="26" t="s">
        <v>27</v>
      </c>
      <c r="K4925" s="17">
        <v>0.0</v>
      </c>
      <c r="L4925" s="51"/>
      <c r="M4925" s="31"/>
      <c r="N4925" s="83"/>
      <c r="O4925" s="83"/>
      <c r="P4925" s="20">
        <v>0.0</v>
      </c>
      <c r="Q4925" s="31"/>
      <c r="R4925" s="31"/>
      <c r="S4925" s="53"/>
      <c r="T4925" s="32"/>
    </row>
    <row r="4926">
      <c r="A4926" s="33" t="s">
        <v>34846</v>
      </c>
      <c r="B4926" s="76" t="s">
        <v>2199</v>
      </c>
      <c r="C4926" s="99">
        <v>45639.0</v>
      </c>
      <c r="D4926" s="40" t="s">
        <v>34847</v>
      </c>
      <c r="E4926" s="100" t="s">
        <v>34848</v>
      </c>
      <c r="F4926" s="101" t="s">
        <v>34849</v>
      </c>
      <c r="G4926" s="101" t="s">
        <v>34850</v>
      </c>
      <c r="H4926" s="61" t="s">
        <v>25147</v>
      </c>
      <c r="I4926" s="15" t="str">
        <f>IFERROR(__xludf.DUMMYFUNCTION("GOOGLETRANSLATE(H4926,""EN"",""ES"")"),"Cuestiones ambientales")</f>
        <v>Cuestiones ambientales</v>
      </c>
      <c r="J4926" s="16" t="s">
        <v>35</v>
      </c>
      <c r="K4926" s="48">
        <v>-0.7</v>
      </c>
      <c r="L4926" s="49" t="s">
        <v>34851</v>
      </c>
      <c r="M4926" s="34" t="s">
        <v>34852</v>
      </c>
      <c r="N4926" s="86" t="s">
        <v>34853</v>
      </c>
      <c r="O4926" s="86" t="str">
        <f>IFERROR(__xludf.DUMMYFUNCTION("GOOGLETRANSLATE(N4926,""EN"",""ES"")"),"Sentimiento negativo, destacando la oposición a los proyectos de Repsol.")</f>
        <v>Sentimiento negativo, destacando la oposición a los proyectos de Repsol.</v>
      </c>
      <c r="P4926" s="30">
        <v>-0.5</v>
      </c>
      <c r="Q4926" s="18" t="str">
        <f>IFERROR(__xludf.DUMMYFUNCTION("GOOGLETRANSLATE(R4926,""ES"",""EN"")"),"face plant")</f>
        <v>face plant</v>
      </c>
      <c r="R4926" s="34" t="s">
        <v>34854</v>
      </c>
      <c r="S4926" s="52" t="s">
        <v>34855</v>
      </c>
      <c r="T4926" s="22" t="s">
        <v>34856</v>
      </c>
    </row>
    <row r="4927">
      <c r="A4927" s="23" t="s">
        <v>34857</v>
      </c>
      <c r="B4927" s="77" t="s">
        <v>21</v>
      </c>
      <c r="C4927" s="96">
        <v>45639.0</v>
      </c>
      <c r="D4927" s="40" t="s">
        <v>34858</v>
      </c>
      <c r="E4927" s="97" t="s">
        <v>34859</v>
      </c>
      <c r="F4927" s="98" t="s">
        <v>34860</v>
      </c>
      <c r="G4927" s="98" t="s">
        <v>34861</v>
      </c>
      <c r="H4927" s="59" t="s">
        <v>148</v>
      </c>
      <c r="I4927" s="25" t="str">
        <f>IFERROR(__xludf.DUMMYFUNCTION("GOOGLETRANSLATE(H4927,""EN"",""ES"")"),"Gastronomía")</f>
        <v>Gastronomía</v>
      </c>
      <c r="J4927" s="26" t="s">
        <v>27</v>
      </c>
      <c r="K4927" s="17">
        <v>0.0</v>
      </c>
      <c r="L4927" s="51"/>
      <c r="M4927" s="31"/>
      <c r="N4927" s="83"/>
      <c r="O4927" s="83"/>
      <c r="P4927" s="20">
        <v>0.0</v>
      </c>
      <c r="Q4927" s="31"/>
      <c r="R4927" s="31"/>
      <c r="S4927" s="53"/>
      <c r="T4927" s="32"/>
    </row>
    <row r="4928">
      <c r="A4928" s="33" t="s">
        <v>34862</v>
      </c>
      <c r="B4928" s="76" t="s">
        <v>1602</v>
      </c>
      <c r="C4928" s="99">
        <v>45639.0</v>
      </c>
      <c r="D4928" s="40" t="s">
        <v>34863</v>
      </c>
      <c r="E4928" s="100" t="s">
        <v>28255</v>
      </c>
      <c r="F4928" s="101" t="s">
        <v>34864</v>
      </c>
      <c r="G4928" s="101" t="s">
        <v>28257</v>
      </c>
      <c r="H4928" s="61" t="s">
        <v>2591</v>
      </c>
      <c r="I4928" s="15" t="str">
        <f>IFERROR(__xludf.DUMMYFUNCTION("GOOGLETRANSLATE(H4928,""EN"",""ES"")"),"Negocio")</f>
        <v>Negocio</v>
      </c>
      <c r="J4928" s="16" t="s">
        <v>35</v>
      </c>
      <c r="K4928" s="48">
        <v>0.7</v>
      </c>
      <c r="L4928" s="49" t="s">
        <v>34865</v>
      </c>
      <c r="M4928" s="34" t="s">
        <v>34866</v>
      </c>
      <c r="N4928" s="86" t="s">
        <v>34867</v>
      </c>
      <c r="O4928" s="86" t="str">
        <f>IFERROR(__xludf.DUMMYFUNCTION("GOOGLETRANSLATE(N4928,""EN"",""ES"")"),"Sentimiento positivo, que proporciona información sobre inversiones.")</f>
        <v>Sentimiento positivo, que proporciona información sobre inversiones.</v>
      </c>
      <c r="P4928" s="30">
        <v>0.0</v>
      </c>
      <c r="Q4928" s="18"/>
      <c r="R4928" s="18"/>
      <c r="S4928" s="52" t="s">
        <v>34868</v>
      </c>
      <c r="T4928" s="22" t="s">
        <v>34869</v>
      </c>
    </row>
    <row r="4929">
      <c r="A4929" s="23" t="s">
        <v>34870</v>
      </c>
      <c r="B4929" s="77" t="s">
        <v>21</v>
      </c>
      <c r="C4929" s="96">
        <v>45639.0</v>
      </c>
      <c r="D4929" s="40" t="s">
        <v>34871</v>
      </c>
      <c r="E4929" s="97" t="s">
        <v>34872</v>
      </c>
      <c r="F4929" s="98" t="s">
        <v>34873</v>
      </c>
      <c r="G4929" s="98" t="s">
        <v>34874</v>
      </c>
      <c r="H4929" s="59" t="s">
        <v>148</v>
      </c>
      <c r="I4929" s="25" t="str">
        <f>IFERROR(__xludf.DUMMYFUNCTION("GOOGLETRANSLATE(H4929,""EN"",""ES"")"),"Gastronomía")</f>
        <v>Gastronomía</v>
      </c>
      <c r="J4929" s="26" t="s">
        <v>27</v>
      </c>
      <c r="K4929" s="17">
        <v>0.0</v>
      </c>
      <c r="L4929" s="51"/>
      <c r="M4929" s="31"/>
      <c r="N4929" s="83"/>
      <c r="O4929" s="83"/>
      <c r="P4929" s="20">
        <v>0.0</v>
      </c>
      <c r="Q4929" s="31"/>
      <c r="R4929" s="31"/>
      <c r="S4929" s="53"/>
      <c r="T4929" s="32"/>
    </row>
    <row r="4930">
      <c r="A4930" s="33" t="s">
        <v>34875</v>
      </c>
      <c r="B4930" s="76" t="s">
        <v>1768</v>
      </c>
      <c r="C4930" s="99">
        <v>45639.0</v>
      </c>
      <c r="D4930" s="40" t="s">
        <v>34876</v>
      </c>
      <c r="E4930" s="100" t="s">
        <v>34877</v>
      </c>
      <c r="F4930" s="101" t="s">
        <v>34878</v>
      </c>
      <c r="G4930" s="101" t="s">
        <v>34879</v>
      </c>
      <c r="H4930" s="61" t="s">
        <v>395</v>
      </c>
      <c r="I4930" s="15" t="str">
        <f>IFERROR(__xludf.DUMMYFUNCTION("GOOGLETRANSLATE(H4930,""EN"",""ES"")"),"Ambiente")</f>
        <v>Ambiente</v>
      </c>
      <c r="J4930" s="16" t="s">
        <v>35</v>
      </c>
      <c r="K4930" s="48">
        <v>-0.8</v>
      </c>
      <c r="L4930" s="49" t="s">
        <v>34880</v>
      </c>
      <c r="M4930" s="34" t="s">
        <v>34881</v>
      </c>
      <c r="N4930" s="86" t="s">
        <v>34882</v>
      </c>
      <c r="O4930" s="86" t="str">
        <f>IFERROR(__xludf.DUMMYFUNCTION("GOOGLETRANSLATE(N4930,""EN"",""ES"")"),"Sentimiento negativo, frente a los riesgos medioambientales que plantean los proyectos de Repsol.")</f>
        <v>Sentimiento negativo, frente a los riesgos medioambientales que plantean los proyectos de Repsol.</v>
      </c>
      <c r="P4930" s="30">
        <v>-0.6</v>
      </c>
      <c r="Q4930" s="18" t="str">
        <f>IFERROR(__xludf.DUMMYFUNCTION("GOOGLETRANSLATE(R4930,""ES"",""EN"")"),"threaten")</f>
        <v>threaten</v>
      </c>
      <c r="R4930" s="34" t="s">
        <v>29980</v>
      </c>
      <c r="S4930" s="52" t="s">
        <v>34883</v>
      </c>
      <c r="T4930" s="22" t="s">
        <v>34884</v>
      </c>
    </row>
    <row r="4931">
      <c r="A4931" s="23" t="s">
        <v>34885</v>
      </c>
      <c r="B4931" s="77" t="s">
        <v>21</v>
      </c>
      <c r="C4931" s="96">
        <v>45639.0</v>
      </c>
      <c r="D4931" s="40" t="s">
        <v>34886</v>
      </c>
      <c r="E4931" s="97" t="s">
        <v>34887</v>
      </c>
      <c r="F4931" s="98" t="s">
        <v>34888</v>
      </c>
      <c r="G4931" s="98" t="s">
        <v>34889</v>
      </c>
      <c r="H4931" s="59" t="s">
        <v>34815</v>
      </c>
      <c r="I4931" s="25" t="str">
        <f>IFERROR(__xludf.DUMMYFUNCTION("GOOGLETRANSLATE(H4931,""EN"",""ES"")"),"Eventos/Gastronomía")</f>
        <v>Eventos/Gastronomía</v>
      </c>
      <c r="J4931" s="26" t="s">
        <v>27</v>
      </c>
      <c r="K4931" s="17">
        <v>0.0</v>
      </c>
      <c r="L4931" s="51"/>
      <c r="M4931" s="31"/>
      <c r="N4931" s="83"/>
      <c r="O4931" s="83"/>
      <c r="P4931" s="20">
        <v>0.0</v>
      </c>
      <c r="Q4931" s="31"/>
      <c r="R4931" s="31"/>
      <c r="S4931" s="53"/>
      <c r="T4931" s="32"/>
    </row>
    <row r="4932">
      <c r="A4932" s="33" t="s">
        <v>34890</v>
      </c>
      <c r="B4932" s="76" t="s">
        <v>1602</v>
      </c>
      <c r="C4932" s="99">
        <v>45639.0</v>
      </c>
      <c r="D4932" s="40" t="s">
        <v>34891</v>
      </c>
      <c r="E4932" s="100" t="s">
        <v>34892</v>
      </c>
      <c r="F4932" s="101" t="s">
        <v>34893</v>
      </c>
      <c r="G4932" s="101" t="s">
        <v>34894</v>
      </c>
      <c r="H4932" s="61" t="s">
        <v>2591</v>
      </c>
      <c r="I4932" s="15" t="str">
        <f>IFERROR(__xludf.DUMMYFUNCTION("GOOGLETRANSLATE(H4932,""EN"",""ES"")"),"Negocio")</f>
        <v>Negocio</v>
      </c>
      <c r="J4932" s="16" t="s">
        <v>35</v>
      </c>
      <c r="K4932" s="48">
        <v>0.9</v>
      </c>
      <c r="L4932" s="49" t="s">
        <v>34895</v>
      </c>
      <c r="M4932" s="34" t="s">
        <v>34896</v>
      </c>
      <c r="N4932" s="86" t="s">
        <v>34897</v>
      </c>
      <c r="O4932" s="86" t="str">
        <f>IFERROR(__xludf.DUMMYFUNCTION("GOOGLETRANSLATE(N4932,""EN"",""ES"")"),"Sentimiento fuertemente positivo, reconociendo los logros de Repsol.")</f>
        <v>Sentimiento fuertemente positivo, reconociendo los logros de Repsol.</v>
      </c>
      <c r="P4932" s="30">
        <v>0.8</v>
      </c>
      <c r="Q4932" s="18" t="str">
        <f>IFERROR(__xludf.DUMMYFUNCTION("GOOGLETRANSLATE(R4932,""ES"",""EN"")"),"winner, ""awards""")</f>
        <v>winner, "awards"</v>
      </c>
      <c r="R4932" s="34" t="s">
        <v>34898</v>
      </c>
      <c r="S4932" s="52" t="s">
        <v>34899</v>
      </c>
      <c r="T4932" s="22" t="s">
        <v>34900</v>
      </c>
    </row>
    <row r="4933">
      <c r="A4933" s="23" t="s">
        <v>34901</v>
      </c>
      <c r="B4933" s="77" t="s">
        <v>21</v>
      </c>
      <c r="C4933" s="96">
        <v>45639.0</v>
      </c>
      <c r="D4933" s="40" t="s">
        <v>34902</v>
      </c>
      <c r="E4933" s="97" t="s">
        <v>34903</v>
      </c>
      <c r="F4933" s="98" t="s">
        <v>34904</v>
      </c>
      <c r="G4933" s="98" t="s">
        <v>34905</v>
      </c>
      <c r="H4933" s="59" t="s">
        <v>148</v>
      </c>
      <c r="I4933" s="25" t="str">
        <f>IFERROR(__xludf.DUMMYFUNCTION("GOOGLETRANSLATE(H4933,""EN"",""ES"")"),"Gastronomía")</f>
        <v>Gastronomía</v>
      </c>
      <c r="J4933" s="26" t="s">
        <v>27</v>
      </c>
      <c r="K4933" s="17">
        <v>0.0</v>
      </c>
      <c r="L4933" s="51"/>
      <c r="M4933" s="31"/>
      <c r="N4933" s="83"/>
      <c r="O4933" s="83"/>
      <c r="P4933" s="20">
        <v>0.0</v>
      </c>
      <c r="Q4933" s="31"/>
      <c r="R4933" s="31"/>
      <c r="S4933" s="53"/>
      <c r="T4933" s="32"/>
    </row>
    <row r="4934">
      <c r="A4934" s="33" t="s">
        <v>34906</v>
      </c>
      <c r="B4934" s="76" t="s">
        <v>21</v>
      </c>
      <c r="C4934" s="99">
        <v>45639.0</v>
      </c>
      <c r="D4934" s="40" t="s">
        <v>34907</v>
      </c>
      <c r="E4934" s="100" t="s">
        <v>34908</v>
      </c>
      <c r="F4934" s="101" t="s">
        <v>34909</v>
      </c>
      <c r="G4934" s="101" t="s">
        <v>34910</v>
      </c>
      <c r="H4934" s="61" t="s">
        <v>969</v>
      </c>
      <c r="I4934" s="15" t="str">
        <f>IFERROR(__xludf.DUMMYFUNCTION("GOOGLETRANSLATE(H4934,""EN"",""ES"")"),"Turismo")</f>
        <v>Turismo</v>
      </c>
      <c r="J4934" s="16" t="s">
        <v>27</v>
      </c>
      <c r="K4934" s="17">
        <v>0.0</v>
      </c>
      <c r="L4934" s="49"/>
      <c r="M4934" s="18"/>
      <c r="N4934" s="86"/>
      <c r="O4934" s="86"/>
      <c r="P4934" s="20">
        <v>0.0</v>
      </c>
      <c r="Q4934" s="18"/>
      <c r="R4934" s="18"/>
      <c r="S4934" s="52"/>
      <c r="T4934" s="22"/>
    </row>
    <row r="4935">
      <c r="A4935" s="23" t="s">
        <v>34911</v>
      </c>
      <c r="B4935" s="77" t="s">
        <v>21</v>
      </c>
      <c r="C4935" s="96">
        <v>45639.0</v>
      </c>
      <c r="D4935" s="40" t="s">
        <v>34912</v>
      </c>
      <c r="E4935" s="97" t="s">
        <v>34913</v>
      </c>
      <c r="F4935" s="98" t="s">
        <v>34914</v>
      </c>
      <c r="G4935" s="98" t="s">
        <v>34915</v>
      </c>
      <c r="H4935" s="59" t="s">
        <v>969</v>
      </c>
      <c r="I4935" s="25" t="str">
        <f>IFERROR(__xludf.DUMMYFUNCTION("GOOGLETRANSLATE(H4935,""EN"",""ES"")"),"Turismo")</f>
        <v>Turismo</v>
      </c>
      <c r="J4935" s="26" t="s">
        <v>27</v>
      </c>
      <c r="K4935" s="17">
        <v>0.0</v>
      </c>
      <c r="L4935" s="51"/>
      <c r="M4935" s="31"/>
      <c r="N4935" s="83"/>
      <c r="O4935" s="83"/>
      <c r="P4935" s="20">
        <v>0.0</v>
      </c>
      <c r="Q4935" s="31"/>
      <c r="R4935" s="31"/>
      <c r="S4935" s="53"/>
      <c r="T4935" s="32"/>
    </row>
    <row r="4936">
      <c r="A4936" s="33" t="s">
        <v>34916</v>
      </c>
      <c r="B4936" s="76" t="s">
        <v>21</v>
      </c>
      <c r="C4936" s="99">
        <v>45639.0</v>
      </c>
      <c r="D4936" s="40" t="s">
        <v>34917</v>
      </c>
      <c r="E4936" s="100" t="s">
        <v>34918</v>
      </c>
      <c r="F4936" s="101" t="s">
        <v>34919</v>
      </c>
      <c r="G4936" s="101" t="s">
        <v>34920</v>
      </c>
      <c r="H4936" s="61" t="s">
        <v>148</v>
      </c>
      <c r="I4936" s="15" t="str">
        <f>IFERROR(__xludf.DUMMYFUNCTION("GOOGLETRANSLATE(H4936,""EN"",""ES"")"),"Gastronomía")</f>
        <v>Gastronomía</v>
      </c>
      <c r="J4936" s="16" t="s">
        <v>27</v>
      </c>
      <c r="K4936" s="17">
        <v>0.0</v>
      </c>
      <c r="L4936" s="49"/>
      <c r="M4936" s="18"/>
      <c r="N4936" s="86"/>
      <c r="O4936" s="86"/>
      <c r="P4936" s="20">
        <v>0.0</v>
      </c>
      <c r="Q4936" s="18"/>
      <c r="R4936" s="18"/>
      <c r="S4936" s="52"/>
      <c r="T4936" s="22"/>
    </row>
    <row r="4937">
      <c r="A4937" s="23" t="s">
        <v>34921</v>
      </c>
      <c r="B4937" s="77" t="s">
        <v>21</v>
      </c>
      <c r="C4937" s="96">
        <v>45639.0</v>
      </c>
      <c r="D4937" s="40" t="s">
        <v>34922</v>
      </c>
      <c r="E4937" s="97" t="s">
        <v>34923</v>
      </c>
      <c r="F4937" s="98" t="s">
        <v>34924</v>
      </c>
      <c r="G4937" s="98" t="s">
        <v>34925</v>
      </c>
      <c r="H4937" s="59" t="s">
        <v>148</v>
      </c>
      <c r="I4937" s="25" t="str">
        <f>IFERROR(__xludf.DUMMYFUNCTION("GOOGLETRANSLATE(H4937,""EN"",""ES"")"),"Gastronomía")</f>
        <v>Gastronomía</v>
      </c>
      <c r="J4937" s="26" t="s">
        <v>27</v>
      </c>
      <c r="K4937" s="17">
        <v>0.0</v>
      </c>
      <c r="L4937" s="51"/>
      <c r="M4937" s="31"/>
      <c r="N4937" s="83"/>
      <c r="O4937" s="83"/>
      <c r="P4937" s="20">
        <v>0.0</v>
      </c>
      <c r="Q4937" s="31"/>
      <c r="R4937" s="31"/>
      <c r="S4937" s="53"/>
      <c r="T4937" s="32"/>
    </row>
    <row r="4938">
      <c r="A4938" s="33" t="s">
        <v>34926</v>
      </c>
      <c r="B4938" s="76" t="s">
        <v>21</v>
      </c>
      <c r="C4938" s="99">
        <v>45639.0</v>
      </c>
      <c r="D4938" s="40" t="s">
        <v>20698</v>
      </c>
      <c r="E4938" s="100" t="s">
        <v>34927</v>
      </c>
      <c r="F4938" s="101" t="s">
        <v>20700</v>
      </c>
      <c r="G4938" s="101" t="s">
        <v>34928</v>
      </c>
      <c r="H4938" s="61" t="s">
        <v>148</v>
      </c>
      <c r="I4938" s="15" t="str">
        <f>IFERROR(__xludf.DUMMYFUNCTION("GOOGLETRANSLATE(H4938,""EN"",""ES"")"),"Gastronomía")</f>
        <v>Gastronomía</v>
      </c>
      <c r="J4938" s="16" t="s">
        <v>27</v>
      </c>
      <c r="K4938" s="17">
        <v>0.0</v>
      </c>
      <c r="L4938" s="49"/>
      <c r="M4938" s="18"/>
      <c r="N4938" s="86"/>
      <c r="O4938" s="86"/>
      <c r="P4938" s="20">
        <v>0.0</v>
      </c>
      <c r="Q4938" s="18"/>
      <c r="R4938" s="18"/>
      <c r="S4938" s="52"/>
      <c r="T4938" s="22"/>
    </row>
    <row r="4939">
      <c r="A4939" s="23" t="s">
        <v>34929</v>
      </c>
      <c r="B4939" s="77" t="s">
        <v>21</v>
      </c>
      <c r="C4939" s="96">
        <v>45639.0</v>
      </c>
      <c r="D4939" s="40" t="s">
        <v>34930</v>
      </c>
      <c r="E4939" s="97" t="s">
        <v>34931</v>
      </c>
      <c r="F4939" s="98" t="s">
        <v>34932</v>
      </c>
      <c r="G4939" s="98" t="s">
        <v>34933</v>
      </c>
      <c r="H4939" s="59" t="s">
        <v>148</v>
      </c>
      <c r="I4939" s="25" t="str">
        <f>IFERROR(__xludf.DUMMYFUNCTION("GOOGLETRANSLATE(H4939,""EN"",""ES"")"),"Gastronomía")</f>
        <v>Gastronomía</v>
      </c>
      <c r="J4939" s="26" t="s">
        <v>27</v>
      </c>
      <c r="K4939" s="17">
        <v>0.0</v>
      </c>
      <c r="L4939" s="51"/>
      <c r="M4939" s="31"/>
      <c r="N4939" s="83"/>
      <c r="O4939" s="83"/>
      <c r="P4939" s="20">
        <v>0.0</v>
      </c>
      <c r="Q4939" s="31"/>
      <c r="R4939" s="31"/>
      <c r="S4939" s="53"/>
      <c r="T4939" s="32"/>
    </row>
    <row r="4940">
      <c r="A4940" s="33" t="s">
        <v>34934</v>
      </c>
      <c r="B4940" s="76" t="s">
        <v>21</v>
      </c>
      <c r="C4940" s="99">
        <v>45639.0</v>
      </c>
      <c r="D4940" s="40" t="s">
        <v>34935</v>
      </c>
      <c r="E4940" s="100" t="s">
        <v>34936</v>
      </c>
      <c r="F4940" s="101" t="s">
        <v>34937</v>
      </c>
      <c r="G4940" s="101" t="s">
        <v>34938</v>
      </c>
      <c r="H4940" s="61" t="s">
        <v>148</v>
      </c>
      <c r="I4940" s="15" t="str">
        <f>IFERROR(__xludf.DUMMYFUNCTION("GOOGLETRANSLATE(H4940,""EN"",""ES"")"),"Gastronomía")</f>
        <v>Gastronomía</v>
      </c>
      <c r="J4940" s="16" t="s">
        <v>27</v>
      </c>
      <c r="K4940" s="17">
        <v>0.0</v>
      </c>
      <c r="L4940" s="49"/>
      <c r="M4940" s="18"/>
      <c r="N4940" s="86"/>
      <c r="O4940" s="86"/>
      <c r="P4940" s="20">
        <v>0.0</v>
      </c>
      <c r="Q4940" s="18"/>
      <c r="R4940" s="18"/>
      <c r="S4940" s="52"/>
      <c r="T4940" s="22"/>
    </row>
    <row r="4941">
      <c r="A4941" s="23" t="s">
        <v>34939</v>
      </c>
      <c r="B4941" s="77" t="s">
        <v>21</v>
      </c>
      <c r="C4941" s="96">
        <v>45639.0</v>
      </c>
      <c r="D4941" s="40" t="s">
        <v>34940</v>
      </c>
      <c r="E4941" s="97" t="s">
        <v>34941</v>
      </c>
      <c r="F4941" s="98" t="s">
        <v>34942</v>
      </c>
      <c r="G4941" s="98" t="s">
        <v>34943</v>
      </c>
      <c r="H4941" s="59" t="s">
        <v>148</v>
      </c>
      <c r="I4941" s="25" t="str">
        <f>IFERROR(__xludf.DUMMYFUNCTION("GOOGLETRANSLATE(H4941,""EN"",""ES"")"),"Gastronomía")</f>
        <v>Gastronomía</v>
      </c>
      <c r="J4941" s="26" t="s">
        <v>27</v>
      </c>
      <c r="K4941" s="17">
        <v>0.0</v>
      </c>
      <c r="L4941" s="51"/>
      <c r="M4941" s="31"/>
      <c r="N4941" s="83"/>
      <c r="O4941" s="83"/>
      <c r="P4941" s="20">
        <v>0.0</v>
      </c>
      <c r="Q4941" s="31"/>
      <c r="R4941" s="31"/>
      <c r="S4941" s="53"/>
      <c r="T4941" s="32"/>
    </row>
    <row r="4942">
      <c r="A4942" s="33" t="s">
        <v>34944</v>
      </c>
      <c r="B4942" s="76" t="s">
        <v>21</v>
      </c>
      <c r="C4942" s="99">
        <v>45639.0</v>
      </c>
      <c r="D4942" s="40" t="s">
        <v>34945</v>
      </c>
      <c r="E4942" s="100" t="s">
        <v>34946</v>
      </c>
      <c r="F4942" s="101" t="s">
        <v>34947</v>
      </c>
      <c r="G4942" s="101" t="s">
        <v>34948</v>
      </c>
      <c r="H4942" s="61" t="s">
        <v>148</v>
      </c>
      <c r="I4942" s="15" t="str">
        <f>IFERROR(__xludf.DUMMYFUNCTION("GOOGLETRANSLATE(H4942,""EN"",""ES"")"),"Gastronomía")</f>
        <v>Gastronomía</v>
      </c>
      <c r="J4942" s="16" t="s">
        <v>27</v>
      </c>
      <c r="K4942" s="17">
        <v>0.0</v>
      </c>
      <c r="L4942" s="49"/>
      <c r="M4942" s="18"/>
      <c r="N4942" s="86"/>
      <c r="O4942" s="86"/>
      <c r="P4942" s="20">
        <v>0.0</v>
      </c>
      <c r="Q4942" s="18"/>
      <c r="R4942" s="18"/>
      <c r="S4942" s="52"/>
      <c r="T4942" s="22"/>
    </row>
    <row r="4943">
      <c r="A4943" s="23" t="s">
        <v>34949</v>
      </c>
      <c r="B4943" s="77" t="s">
        <v>21</v>
      </c>
      <c r="C4943" s="96">
        <v>45639.0</v>
      </c>
      <c r="D4943" s="40" t="s">
        <v>34950</v>
      </c>
      <c r="E4943" s="97" t="s">
        <v>34951</v>
      </c>
      <c r="F4943" s="98" t="s">
        <v>34952</v>
      </c>
      <c r="G4943" s="98" t="s">
        <v>34953</v>
      </c>
      <c r="H4943" s="59" t="s">
        <v>148</v>
      </c>
      <c r="I4943" s="25" t="str">
        <f>IFERROR(__xludf.DUMMYFUNCTION("GOOGLETRANSLATE(H4943,""EN"",""ES"")"),"Gastronomía")</f>
        <v>Gastronomía</v>
      </c>
      <c r="J4943" s="26" t="s">
        <v>27</v>
      </c>
      <c r="K4943" s="17">
        <v>0.0</v>
      </c>
      <c r="L4943" s="51"/>
      <c r="M4943" s="31"/>
      <c r="N4943" s="83"/>
      <c r="O4943" s="83"/>
      <c r="P4943" s="20">
        <v>0.0</v>
      </c>
      <c r="Q4943" s="31"/>
      <c r="R4943" s="31"/>
      <c r="S4943" s="53"/>
      <c r="T4943" s="32"/>
    </row>
    <row r="4944">
      <c r="A4944" s="33" t="s">
        <v>34954</v>
      </c>
      <c r="B4944" s="76" t="s">
        <v>21</v>
      </c>
      <c r="C4944" s="99">
        <v>45639.0</v>
      </c>
      <c r="D4944" s="40" t="s">
        <v>34955</v>
      </c>
      <c r="E4944" s="100" t="s">
        <v>34956</v>
      </c>
      <c r="F4944" s="101" t="s">
        <v>34957</v>
      </c>
      <c r="G4944" s="101" t="s">
        <v>34958</v>
      </c>
      <c r="H4944" s="61" t="s">
        <v>969</v>
      </c>
      <c r="I4944" s="15" t="str">
        <f>IFERROR(__xludf.DUMMYFUNCTION("GOOGLETRANSLATE(H4944,""EN"",""ES"")"),"Turismo")</f>
        <v>Turismo</v>
      </c>
      <c r="J4944" s="16" t="s">
        <v>27</v>
      </c>
      <c r="K4944" s="17">
        <v>0.0</v>
      </c>
      <c r="L4944" s="49"/>
      <c r="M4944" s="18"/>
      <c r="N4944" s="86"/>
      <c r="O4944" s="86"/>
      <c r="P4944" s="20">
        <v>0.0</v>
      </c>
      <c r="Q4944" s="18"/>
      <c r="R4944" s="18"/>
      <c r="S4944" s="52"/>
      <c r="T4944" s="22"/>
    </row>
    <row r="4945">
      <c r="A4945" s="23" t="s">
        <v>34959</v>
      </c>
      <c r="B4945" s="77" t="s">
        <v>21</v>
      </c>
      <c r="C4945" s="96">
        <v>45639.0</v>
      </c>
      <c r="D4945" s="40" t="s">
        <v>34960</v>
      </c>
      <c r="E4945" s="97" t="s">
        <v>34961</v>
      </c>
      <c r="F4945" s="98" t="s">
        <v>34962</v>
      </c>
      <c r="G4945" s="98" t="s">
        <v>34963</v>
      </c>
      <c r="H4945" s="59" t="s">
        <v>34765</v>
      </c>
      <c r="I4945" s="25" t="str">
        <f>IFERROR(__xludf.DUMMYFUNCTION("GOOGLETRANSLATE(H4945,""EN"",""ES"")"),"Eventos")</f>
        <v>Eventos</v>
      </c>
      <c r="J4945" s="26" t="s">
        <v>27</v>
      </c>
      <c r="K4945" s="17">
        <v>0.0</v>
      </c>
      <c r="L4945" s="51"/>
      <c r="M4945" s="31"/>
      <c r="N4945" s="83"/>
      <c r="O4945" s="83"/>
      <c r="P4945" s="20">
        <v>0.0</v>
      </c>
      <c r="Q4945" s="31"/>
      <c r="R4945" s="31"/>
      <c r="S4945" s="53"/>
      <c r="T4945" s="32"/>
    </row>
    <row r="4946">
      <c r="A4946" s="33" t="s">
        <v>34964</v>
      </c>
      <c r="B4946" s="76" t="s">
        <v>21</v>
      </c>
      <c r="C4946" s="99">
        <v>45639.0</v>
      </c>
      <c r="D4946" s="40" t="s">
        <v>34965</v>
      </c>
      <c r="E4946" s="100" t="s">
        <v>34966</v>
      </c>
      <c r="F4946" s="101" t="s">
        <v>34967</v>
      </c>
      <c r="G4946" s="101" t="s">
        <v>34968</v>
      </c>
      <c r="H4946" s="61" t="s">
        <v>969</v>
      </c>
      <c r="I4946" s="15" t="str">
        <f>IFERROR(__xludf.DUMMYFUNCTION("GOOGLETRANSLATE(H4946,""EN"",""ES"")"),"Turismo")</f>
        <v>Turismo</v>
      </c>
      <c r="J4946" s="16" t="s">
        <v>27</v>
      </c>
      <c r="K4946" s="17">
        <v>0.0</v>
      </c>
      <c r="L4946" s="49"/>
      <c r="M4946" s="18"/>
      <c r="N4946" s="86"/>
      <c r="O4946" s="86"/>
      <c r="P4946" s="20">
        <v>0.0</v>
      </c>
      <c r="Q4946" s="18"/>
      <c r="R4946" s="18"/>
      <c r="S4946" s="52"/>
      <c r="T4946" s="22"/>
    </row>
    <row r="4947">
      <c r="A4947" s="23" t="s">
        <v>34969</v>
      </c>
      <c r="B4947" s="77" t="s">
        <v>21</v>
      </c>
      <c r="C4947" s="96">
        <v>45639.0</v>
      </c>
      <c r="D4947" s="40" t="s">
        <v>34970</v>
      </c>
      <c r="E4947" s="97" t="s">
        <v>34971</v>
      </c>
      <c r="F4947" s="98" t="s">
        <v>34972</v>
      </c>
      <c r="G4947" s="98" t="s">
        <v>34973</v>
      </c>
      <c r="H4947" s="59" t="s">
        <v>148</v>
      </c>
      <c r="I4947" s="25" t="str">
        <f>IFERROR(__xludf.DUMMYFUNCTION("GOOGLETRANSLATE(H4947,""EN"",""ES"")"),"Gastronomía")</f>
        <v>Gastronomía</v>
      </c>
      <c r="J4947" s="26" t="s">
        <v>27</v>
      </c>
      <c r="K4947" s="17">
        <v>0.0</v>
      </c>
      <c r="L4947" s="51"/>
      <c r="M4947" s="31"/>
      <c r="N4947" s="83"/>
      <c r="O4947" s="83"/>
      <c r="P4947" s="20">
        <v>0.0</v>
      </c>
      <c r="Q4947" s="31"/>
      <c r="R4947" s="31"/>
      <c r="S4947" s="53"/>
      <c r="T4947" s="32"/>
    </row>
    <row r="4948">
      <c r="A4948" s="33" t="s">
        <v>34974</v>
      </c>
      <c r="B4948" s="76" t="s">
        <v>21</v>
      </c>
      <c r="C4948" s="99">
        <v>45639.0</v>
      </c>
      <c r="D4948" s="40" t="s">
        <v>34975</v>
      </c>
      <c r="E4948" s="100" t="s">
        <v>34976</v>
      </c>
      <c r="F4948" s="101" t="s">
        <v>34977</v>
      </c>
      <c r="G4948" s="101" t="s">
        <v>34978</v>
      </c>
      <c r="H4948" s="61" t="s">
        <v>969</v>
      </c>
      <c r="I4948" s="15" t="str">
        <f>IFERROR(__xludf.DUMMYFUNCTION("GOOGLETRANSLATE(H4948,""EN"",""ES"")"),"Turismo")</f>
        <v>Turismo</v>
      </c>
      <c r="J4948" s="16" t="s">
        <v>27</v>
      </c>
      <c r="K4948" s="17">
        <v>0.0</v>
      </c>
      <c r="L4948" s="49"/>
      <c r="M4948" s="18"/>
      <c r="N4948" s="86"/>
      <c r="O4948" s="86"/>
      <c r="P4948" s="20">
        <v>0.0</v>
      </c>
      <c r="Q4948" s="18"/>
      <c r="R4948" s="18"/>
      <c r="S4948" s="52"/>
      <c r="T4948" s="22"/>
    </row>
    <row r="4949">
      <c r="A4949" s="23" t="s">
        <v>34979</v>
      </c>
      <c r="B4949" s="77" t="s">
        <v>21</v>
      </c>
      <c r="C4949" s="96">
        <v>45639.0</v>
      </c>
      <c r="D4949" s="40" t="s">
        <v>34980</v>
      </c>
      <c r="E4949" s="97" t="s">
        <v>34981</v>
      </c>
      <c r="F4949" s="24" t="s">
        <v>34982</v>
      </c>
      <c r="G4949" s="24" t="s">
        <v>34983</v>
      </c>
      <c r="H4949" s="108" t="s">
        <v>34984</v>
      </c>
      <c r="I4949" s="25" t="str">
        <f>IFERROR(__xludf.DUMMYFUNCTION("GOOGLETRANSLATE(H4949,""EN"",""ES"")"),"Comida/Gastronomía")</f>
        <v>Comida/Gastronomía</v>
      </c>
      <c r="J4949" s="26" t="s">
        <v>27</v>
      </c>
      <c r="K4949" s="17">
        <v>0.0</v>
      </c>
      <c r="L4949" s="25"/>
      <c r="M4949" s="31"/>
      <c r="N4949" s="108"/>
      <c r="O4949" s="29"/>
      <c r="P4949" s="20">
        <v>0.0</v>
      </c>
      <c r="Q4949" s="31"/>
      <c r="R4949" s="31"/>
      <c r="S4949" s="53"/>
      <c r="T4949" s="32"/>
    </row>
    <row r="4950">
      <c r="A4950" s="33" t="s">
        <v>34985</v>
      </c>
      <c r="B4950" s="76" t="s">
        <v>21</v>
      </c>
      <c r="C4950" s="99">
        <v>45639.0</v>
      </c>
      <c r="D4950" s="40" t="s">
        <v>34986</v>
      </c>
      <c r="E4950" s="100" t="s">
        <v>34987</v>
      </c>
      <c r="F4950" s="101" t="s">
        <v>34988</v>
      </c>
      <c r="G4950" s="101" t="s">
        <v>34989</v>
      </c>
      <c r="H4950" s="61" t="s">
        <v>969</v>
      </c>
      <c r="I4950" s="15" t="str">
        <f>IFERROR(__xludf.DUMMYFUNCTION("GOOGLETRANSLATE(H4950,""EN"",""ES"")"),"Turismo")</f>
        <v>Turismo</v>
      </c>
      <c r="J4950" s="16" t="s">
        <v>27</v>
      </c>
      <c r="K4950" s="17">
        <v>0.0</v>
      </c>
      <c r="L4950" s="49"/>
      <c r="M4950" s="18"/>
      <c r="N4950" s="44"/>
      <c r="O4950" s="44"/>
      <c r="P4950" s="20">
        <v>0.0</v>
      </c>
      <c r="Q4950" s="18"/>
      <c r="R4950" s="18"/>
      <c r="S4950" s="52"/>
      <c r="T4950" s="22"/>
    </row>
    <row r="4951">
      <c r="A4951" s="23" t="s">
        <v>34990</v>
      </c>
      <c r="B4951" s="77" t="s">
        <v>21</v>
      </c>
      <c r="C4951" s="96">
        <v>45639.0</v>
      </c>
      <c r="D4951" s="40" t="s">
        <v>34991</v>
      </c>
      <c r="E4951" s="97" t="s">
        <v>34992</v>
      </c>
      <c r="F4951" s="107" t="s">
        <v>34993</v>
      </c>
      <c r="G4951" s="107" t="s">
        <v>34994</v>
      </c>
      <c r="H4951" s="59" t="s">
        <v>148</v>
      </c>
      <c r="I4951" s="25" t="str">
        <f>IFERROR(__xludf.DUMMYFUNCTION("GOOGLETRANSLATE(H4951,""EN"",""ES"")"),"Gastronomía")</f>
        <v>Gastronomía</v>
      </c>
      <c r="J4951" s="26" t="s">
        <v>27</v>
      </c>
      <c r="K4951" s="17">
        <v>0.0</v>
      </c>
      <c r="L4951" s="51"/>
      <c r="M4951" s="31"/>
      <c r="N4951" s="47"/>
      <c r="O4951" s="47"/>
      <c r="P4951" s="20">
        <v>0.0</v>
      </c>
      <c r="Q4951" s="31"/>
      <c r="R4951" s="31"/>
      <c r="S4951" s="53"/>
      <c r="T4951" s="32"/>
    </row>
    <row r="4952">
      <c r="A4952" s="33" t="s">
        <v>34995</v>
      </c>
      <c r="B4952" s="76" t="s">
        <v>21</v>
      </c>
      <c r="C4952" s="99">
        <v>45639.0</v>
      </c>
      <c r="D4952" s="40" t="s">
        <v>34996</v>
      </c>
      <c r="E4952" s="100" t="s">
        <v>34997</v>
      </c>
      <c r="F4952" s="101" t="s">
        <v>34998</v>
      </c>
      <c r="G4952" s="101" t="s">
        <v>34999</v>
      </c>
      <c r="H4952" s="61" t="s">
        <v>34765</v>
      </c>
      <c r="I4952" s="15" t="str">
        <f>IFERROR(__xludf.DUMMYFUNCTION("GOOGLETRANSLATE(H4952,""EN"",""ES"")"),"Eventos")</f>
        <v>Eventos</v>
      </c>
      <c r="J4952" s="16" t="s">
        <v>27</v>
      </c>
      <c r="K4952" s="17">
        <v>0.0</v>
      </c>
      <c r="L4952" s="49"/>
      <c r="M4952" s="18"/>
      <c r="N4952" s="44"/>
      <c r="O4952" s="44"/>
      <c r="P4952" s="20">
        <v>0.0</v>
      </c>
      <c r="Q4952" s="18"/>
      <c r="R4952" s="18"/>
      <c r="S4952" s="52"/>
      <c r="T4952" s="22"/>
    </row>
    <row r="4953">
      <c r="A4953" s="23" t="s">
        <v>35000</v>
      </c>
      <c r="B4953" s="77" t="s">
        <v>21</v>
      </c>
      <c r="C4953" s="96">
        <v>45639.0</v>
      </c>
      <c r="D4953" s="40" t="s">
        <v>35001</v>
      </c>
      <c r="E4953" s="97" t="s">
        <v>35002</v>
      </c>
      <c r="F4953" s="98" t="s">
        <v>35003</v>
      </c>
      <c r="G4953" s="98" t="s">
        <v>35004</v>
      </c>
      <c r="H4953" s="59" t="s">
        <v>969</v>
      </c>
      <c r="I4953" s="25" t="str">
        <f>IFERROR(__xludf.DUMMYFUNCTION("GOOGLETRANSLATE(H4953,""EN"",""ES"")"),"Turismo")</f>
        <v>Turismo</v>
      </c>
      <c r="J4953" s="26" t="s">
        <v>27</v>
      </c>
      <c r="K4953" s="17">
        <v>0.0</v>
      </c>
      <c r="L4953" s="51"/>
      <c r="M4953" s="31"/>
      <c r="N4953" s="47"/>
      <c r="O4953" s="47"/>
      <c r="P4953" s="20">
        <v>0.0</v>
      </c>
      <c r="Q4953" s="31"/>
      <c r="R4953" s="31"/>
      <c r="S4953" s="53"/>
      <c r="T4953" s="32"/>
    </row>
    <row r="4954">
      <c r="A4954" s="33" t="s">
        <v>35005</v>
      </c>
      <c r="B4954" s="76" t="s">
        <v>21</v>
      </c>
      <c r="C4954" s="99">
        <v>45639.0</v>
      </c>
      <c r="D4954" s="40" t="s">
        <v>35006</v>
      </c>
      <c r="E4954" s="100" t="s">
        <v>35007</v>
      </c>
      <c r="F4954" s="101" t="s">
        <v>35008</v>
      </c>
      <c r="G4954" s="101" t="s">
        <v>35009</v>
      </c>
      <c r="H4954" s="61" t="s">
        <v>35010</v>
      </c>
      <c r="I4954" s="15" t="str">
        <f>IFERROR(__xludf.DUMMYFUNCTION("GOOGLETRANSLATE(H4954,""EN"",""ES"")"),"Historia/Turismo")</f>
        <v>Historia/Turismo</v>
      </c>
      <c r="J4954" s="16" t="s">
        <v>27</v>
      </c>
      <c r="K4954" s="17">
        <v>0.0</v>
      </c>
      <c r="L4954" s="49"/>
      <c r="M4954" s="18"/>
      <c r="N4954" s="44"/>
      <c r="O4954" s="44"/>
      <c r="P4954" s="20">
        <v>0.0</v>
      </c>
      <c r="Q4954" s="18"/>
      <c r="R4954" s="18"/>
      <c r="S4954" s="52"/>
      <c r="T4954" s="22"/>
    </row>
    <row r="4955">
      <c r="A4955" s="23" t="s">
        <v>35011</v>
      </c>
      <c r="B4955" s="77" t="s">
        <v>21</v>
      </c>
      <c r="C4955" s="96">
        <v>45639.0</v>
      </c>
      <c r="D4955" s="40" t="s">
        <v>35012</v>
      </c>
      <c r="E4955" s="97" t="s">
        <v>35013</v>
      </c>
      <c r="F4955" s="98" t="s">
        <v>35014</v>
      </c>
      <c r="G4955" s="98" t="s">
        <v>35015</v>
      </c>
      <c r="H4955" s="59" t="s">
        <v>34765</v>
      </c>
      <c r="I4955" s="25" t="str">
        <f>IFERROR(__xludf.DUMMYFUNCTION("GOOGLETRANSLATE(H4955,""EN"",""ES"")"),"Eventos")</f>
        <v>Eventos</v>
      </c>
      <c r="J4955" s="26" t="s">
        <v>27</v>
      </c>
      <c r="K4955" s="17">
        <v>0.0</v>
      </c>
      <c r="L4955" s="51"/>
      <c r="M4955" s="31"/>
      <c r="N4955" s="47"/>
      <c r="O4955" s="47"/>
      <c r="P4955" s="20">
        <v>0.0</v>
      </c>
      <c r="Q4955" s="31"/>
      <c r="R4955" s="31"/>
      <c r="S4955" s="53"/>
      <c r="T4955" s="32"/>
    </row>
    <row r="4956">
      <c r="A4956" s="33" t="s">
        <v>35016</v>
      </c>
      <c r="B4956" s="76" t="s">
        <v>21</v>
      </c>
      <c r="C4956" s="99">
        <v>45639.0</v>
      </c>
      <c r="D4956" s="40" t="s">
        <v>35017</v>
      </c>
      <c r="E4956" s="100" t="s">
        <v>35018</v>
      </c>
      <c r="F4956" s="101" t="s">
        <v>35019</v>
      </c>
      <c r="G4956" s="101" t="s">
        <v>35020</v>
      </c>
      <c r="H4956" s="61" t="s">
        <v>148</v>
      </c>
      <c r="I4956" s="15" t="str">
        <f>IFERROR(__xludf.DUMMYFUNCTION("GOOGLETRANSLATE(H4956,""EN"",""ES"")"),"Gastronomía")</f>
        <v>Gastronomía</v>
      </c>
      <c r="J4956" s="16" t="s">
        <v>27</v>
      </c>
      <c r="K4956" s="17">
        <v>0.0</v>
      </c>
      <c r="L4956" s="49"/>
      <c r="M4956" s="18"/>
      <c r="N4956" s="44"/>
      <c r="O4956" s="44"/>
      <c r="P4956" s="20">
        <v>0.0</v>
      </c>
      <c r="Q4956" s="18"/>
      <c r="R4956" s="18"/>
      <c r="S4956" s="52"/>
      <c r="T4956" s="22"/>
    </row>
    <row r="4957">
      <c r="A4957" s="23" t="s">
        <v>35021</v>
      </c>
      <c r="B4957" s="77" t="s">
        <v>21</v>
      </c>
      <c r="C4957" s="96">
        <v>45639.0</v>
      </c>
      <c r="D4957" s="40" t="s">
        <v>35022</v>
      </c>
      <c r="E4957" s="97" t="s">
        <v>35023</v>
      </c>
      <c r="F4957" s="98" t="s">
        <v>35024</v>
      </c>
      <c r="G4957" s="98" t="s">
        <v>35025</v>
      </c>
      <c r="H4957" s="59" t="s">
        <v>148</v>
      </c>
      <c r="I4957" s="25" t="str">
        <f>IFERROR(__xludf.DUMMYFUNCTION("GOOGLETRANSLATE(H4957,""EN"",""ES"")"),"Gastronomía")</f>
        <v>Gastronomía</v>
      </c>
      <c r="J4957" s="26" t="s">
        <v>27</v>
      </c>
      <c r="K4957" s="17">
        <v>0.0</v>
      </c>
      <c r="L4957" s="51"/>
      <c r="M4957" s="31"/>
      <c r="N4957" s="47"/>
      <c r="O4957" s="47"/>
      <c r="P4957" s="20">
        <v>0.0</v>
      </c>
      <c r="Q4957" s="31"/>
      <c r="R4957" s="31"/>
      <c r="S4957" s="53"/>
      <c r="T4957" s="32"/>
    </row>
    <row r="4958">
      <c r="A4958" s="33" t="s">
        <v>35026</v>
      </c>
      <c r="B4958" s="76" t="s">
        <v>21</v>
      </c>
      <c r="C4958" s="99">
        <v>45639.0</v>
      </c>
      <c r="D4958" s="40" t="s">
        <v>35027</v>
      </c>
      <c r="E4958" s="100" t="s">
        <v>35028</v>
      </c>
      <c r="F4958" s="101" t="s">
        <v>35029</v>
      </c>
      <c r="G4958" s="106" t="s">
        <v>35030</v>
      </c>
      <c r="H4958" s="61" t="s">
        <v>148</v>
      </c>
      <c r="I4958" s="15" t="str">
        <f>IFERROR(__xludf.DUMMYFUNCTION("GOOGLETRANSLATE(H4958,""EN"",""ES"")"),"Gastronomía")</f>
        <v>Gastronomía</v>
      </c>
      <c r="J4958" s="16" t="s">
        <v>27</v>
      </c>
      <c r="K4958" s="17">
        <v>0.0</v>
      </c>
      <c r="L4958" s="49"/>
      <c r="M4958" s="18"/>
      <c r="N4958" s="44"/>
      <c r="O4958" s="44"/>
      <c r="P4958" s="20">
        <v>0.0</v>
      </c>
      <c r="Q4958" s="18"/>
      <c r="R4958" s="18"/>
      <c r="S4958" s="52"/>
      <c r="T4958" s="22"/>
    </row>
    <row r="4959">
      <c r="A4959" s="23" t="s">
        <v>35031</v>
      </c>
      <c r="B4959" s="77" t="s">
        <v>21</v>
      </c>
      <c r="C4959" s="96">
        <v>45639.0</v>
      </c>
      <c r="D4959" s="40" t="s">
        <v>35032</v>
      </c>
      <c r="E4959" s="97" t="s">
        <v>35033</v>
      </c>
      <c r="F4959" s="98" t="s">
        <v>35034</v>
      </c>
      <c r="G4959" s="98" t="s">
        <v>35035</v>
      </c>
      <c r="H4959" s="59" t="s">
        <v>35036</v>
      </c>
      <c r="I4959" s="25" t="str">
        <f>IFERROR(__xludf.DUMMYFUNCTION("GOOGLETRANSLATE(H4959,""EN"",""ES"")"),"Gastronomía/Medio Ambiente")</f>
        <v>Gastronomía/Medio Ambiente</v>
      </c>
      <c r="J4959" s="26" t="s">
        <v>27</v>
      </c>
      <c r="K4959" s="17">
        <v>0.0</v>
      </c>
      <c r="L4959" s="51"/>
      <c r="M4959" s="31"/>
      <c r="N4959" s="47"/>
      <c r="O4959" s="47"/>
      <c r="P4959" s="20">
        <v>0.0</v>
      </c>
      <c r="Q4959" s="31"/>
      <c r="R4959" s="31"/>
      <c r="S4959" s="53"/>
      <c r="T4959" s="32"/>
    </row>
    <row r="4960">
      <c r="A4960" s="33" t="s">
        <v>35037</v>
      </c>
      <c r="B4960" s="76" t="s">
        <v>21</v>
      </c>
      <c r="C4960" s="99">
        <v>45639.0</v>
      </c>
      <c r="D4960" s="40" t="s">
        <v>35038</v>
      </c>
      <c r="E4960" s="100" t="s">
        <v>35039</v>
      </c>
      <c r="F4960" s="106" t="s">
        <v>35040</v>
      </c>
      <c r="G4960" s="101" t="s">
        <v>35041</v>
      </c>
      <c r="H4960" s="61" t="s">
        <v>148</v>
      </c>
      <c r="I4960" s="15" t="str">
        <f>IFERROR(__xludf.DUMMYFUNCTION("GOOGLETRANSLATE(H4960,""EN"",""ES"")"),"Gastronomía")</f>
        <v>Gastronomía</v>
      </c>
      <c r="J4960" s="16" t="s">
        <v>27</v>
      </c>
      <c r="K4960" s="17">
        <v>0.0</v>
      </c>
      <c r="L4960" s="49"/>
      <c r="M4960" s="18"/>
      <c r="N4960" s="44"/>
      <c r="O4960" s="44"/>
      <c r="P4960" s="20">
        <v>0.0</v>
      </c>
      <c r="Q4960" s="18"/>
      <c r="R4960" s="18"/>
      <c r="S4960" s="52"/>
      <c r="T4960" s="22"/>
    </row>
    <row r="4961">
      <c r="A4961" s="23" t="s">
        <v>35042</v>
      </c>
      <c r="B4961" s="77" t="s">
        <v>21</v>
      </c>
      <c r="C4961" s="96">
        <v>45639.0</v>
      </c>
      <c r="D4961" s="40" t="s">
        <v>35043</v>
      </c>
      <c r="E4961" s="97" t="s">
        <v>35044</v>
      </c>
      <c r="F4961" s="98" t="s">
        <v>35045</v>
      </c>
      <c r="G4961" s="98" t="s">
        <v>35046</v>
      </c>
      <c r="H4961" s="59" t="s">
        <v>148</v>
      </c>
      <c r="I4961" s="25" t="str">
        <f>IFERROR(__xludf.DUMMYFUNCTION("GOOGLETRANSLATE(H4961,""EN"",""ES"")"),"Gastronomía")</f>
        <v>Gastronomía</v>
      </c>
      <c r="J4961" s="26" t="s">
        <v>27</v>
      </c>
      <c r="K4961" s="17">
        <v>0.0</v>
      </c>
      <c r="L4961" s="51"/>
      <c r="M4961" s="31"/>
      <c r="N4961" s="47"/>
      <c r="O4961" s="47"/>
      <c r="P4961" s="20">
        <v>0.0</v>
      </c>
      <c r="Q4961" s="31"/>
      <c r="R4961" s="31"/>
      <c r="S4961" s="53"/>
      <c r="T4961" s="32"/>
    </row>
    <row r="4962">
      <c r="A4962" s="33" t="s">
        <v>35047</v>
      </c>
      <c r="B4962" s="76" t="s">
        <v>21</v>
      </c>
      <c r="C4962" s="99">
        <v>45639.0</v>
      </c>
      <c r="D4962" s="40" t="s">
        <v>35048</v>
      </c>
      <c r="E4962" s="100" t="s">
        <v>35049</v>
      </c>
      <c r="F4962" s="101" t="s">
        <v>35050</v>
      </c>
      <c r="G4962" s="101" t="s">
        <v>35051</v>
      </c>
      <c r="H4962" s="61" t="s">
        <v>148</v>
      </c>
      <c r="I4962" s="15" t="str">
        <f>IFERROR(__xludf.DUMMYFUNCTION("GOOGLETRANSLATE(H4962,""EN"",""ES"")"),"Gastronomía")</f>
        <v>Gastronomía</v>
      </c>
      <c r="J4962" s="16" t="s">
        <v>27</v>
      </c>
      <c r="K4962" s="17">
        <v>0.0</v>
      </c>
      <c r="L4962" s="49"/>
      <c r="M4962" s="18"/>
      <c r="N4962" s="44"/>
      <c r="O4962" s="44"/>
      <c r="P4962" s="20">
        <v>0.0</v>
      </c>
      <c r="Q4962" s="18"/>
      <c r="R4962" s="18"/>
      <c r="S4962" s="52"/>
      <c r="T4962" s="22"/>
    </row>
    <row r="4963">
      <c r="A4963" s="23" t="s">
        <v>35052</v>
      </c>
      <c r="B4963" s="77" t="s">
        <v>21</v>
      </c>
      <c r="C4963" s="96">
        <v>45639.0</v>
      </c>
      <c r="D4963" s="40" t="s">
        <v>35053</v>
      </c>
      <c r="E4963" s="97" t="s">
        <v>35054</v>
      </c>
      <c r="F4963" s="98" t="s">
        <v>35055</v>
      </c>
      <c r="G4963" s="98" t="s">
        <v>35056</v>
      </c>
      <c r="H4963" s="59" t="s">
        <v>969</v>
      </c>
      <c r="I4963" s="25" t="str">
        <f>IFERROR(__xludf.DUMMYFUNCTION("GOOGLETRANSLATE(H4963,""EN"",""ES"")"),"Turismo")</f>
        <v>Turismo</v>
      </c>
      <c r="J4963" s="26" t="s">
        <v>27</v>
      </c>
      <c r="K4963" s="17">
        <v>0.0</v>
      </c>
      <c r="L4963" s="51"/>
      <c r="M4963" s="31"/>
      <c r="N4963" s="47"/>
      <c r="O4963" s="47"/>
      <c r="P4963" s="20">
        <v>0.0</v>
      </c>
      <c r="Q4963" s="31"/>
      <c r="R4963" s="31"/>
      <c r="S4963" s="53"/>
      <c r="T4963" s="32"/>
    </row>
    <row r="4964">
      <c r="A4964" s="33" t="s">
        <v>35057</v>
      </c>
      <c r="B4964" s="76" t="s">
        <v>91</v>
      </c>
      <c r="C4964" s="99">
        <v>45639.0</v>
      </c>
      <c r="D4964" s="40" t="s">
        <v>35058</v>
      </c>
      <c r="E4964" s="100" t="s">
        <v>35059</v>
      </c>
      <c r="F4964" s="101" t="s">
        <v>35060</v>
      </c>
      <c r="G4964" s="101" t="s">
        <v>35061</v>
      </c>
      <c r="H4964" s="61" t="s">
        <v>148</v>
      </c>
      <c r="I4964" s="15" t="str">
        <f>IFERROR(__xludf.DUMMYFUNCTION("GOOGLETRANSLATE(H4964,""EN"",""ES"")"),"Gastronomía")</f>
        <v>Gastronomía</v>
      </c>
      <c r="J4964" s="16" t="s">
        <v>27</v>
      </c>
      <c r="K4964" s="17">
        <v>0.0</v>
      </c>
      <c r="L4964" s="49"/>
      <c r="M4964" s="18"/>
      <c r="N4964" s="44"/>
      <c r="O4964" s="44"/>
      <c r="P4964" s="20">
        <v>0.0</v>
      </c>
      <c r="Q4964" s="18"/>
      <c r="R4964" s="18"/>
      <c r="S4964" s="52"/>
      <c r="T4964" s="22"/>
    </row>
    <row r="4965">
      <c r="A4965" s="23" t="s">
        <v>35062</v>
      </c>
      <c r="B4965" s="77" t="s">
        <v>21</v>
      </c>
      <c r="C4965" s="96">
        <v>45639.0</v>
      </c>
      <c r="D4965" s="40" t="s">
        <v>35063</v>
      </c>
      <c r="E4965" s="97" t="s">
        <v>35064</v>
      </c>
      <c r="F4965" s="98" t="s">
        <v>35065</v>
      </c>
      <c r="G4965" s="98" t="s">
        <v>35066</v>
      </c>
      <c r="H4965" s="59" t="s">
        <v>148</v>
      </c>
      <c r="I4965" s="25" t="str">
        <f>IFERROR(__xludf.DUMMYFUNCTION("GOOGLETRANSLATE(H4965,""EN"",""ES"")"),"Gastronomía")</f>
        <v>Gastronomía</v>
      </c>
      <c r="J4965" s="26" t="s">
        <v>27</v>
      </c>
      <c r="K4965" s="17">
        <v>0.0</v>
      </c>
      <c r="L4965" s="51"/>
      <c r="M4965" s="31"/>
      <c r="N4965" s="47"/>
      <c r="O4965" s="47"/>
      <c r="P4965" s="20">
        <v>0.0</v>
      </c>
      <c r="Q4965" s="31"/>
      <c r="R4965" s="31"/>
      <c r="S4965" s="53"/>
      <c r="T4965" s="32"/>
    </row>
    <row r="4966">
      <c r="A4966" s="33" t="s">
        <v>35067</v>
      </c>
      <c r="B4966" s="76" t="s">
        <v>21</v>
      </c>
      <c r="C4966" s="99">
        <v>45639.0</v>
      </c>
      <c r="D4966" s="40" t="s">
        <v>35068</v>
      </c>
      <c r="E4966" s="100" t="s">
        <v>35069</v>
      </c>
      <c r="F4966" s="101" t="s">
        <v>35070</v>
      </c>
      <c r="G4966" s="101" t="s">
        <v>35071</v>
      </c>
      <c r="H4966" s="61" t="s">
        <v>148</v>
      </c>
      <c r="I4966" s="15" t="str">
        <f>IFERROR(__xludf.DUMMYFUNCTION("GOOGLETRANSLATE(H4966,""EN"",""ES"")"),"Gastronomía")</f>
        <v>Gastronomía</v>
      </c>
      <c r="J4966" s="16" t="s">
        <v>27</v>
      </c>
      <c r="K4966" s="17">
        <v>0.0</v>
      </c>
      <c r="L4966" s="49"/>
      <c r="M4966" s="18"/>
      <c r="N4966" s="44"/>
      <c r="O4966" s="44"/>
      <c r="P4966" s="20">
        <v>0.0</v>
      </c>
      <c r="Q4966" s="18"/>
      <c r="R4966" s="18"/>
      <c r="S4966" s="52"/>
      <c r="T4966" s="22"/>
    </row>
    <row r="4967">
      <c r="A4967" s="23" t="s">
        <v>35072</v>
      </c>
      <c r="B4967" s="77" t="s">
        <v>21</v>
      </c>
      <c r="C4967" s="96">
        <v>45639.0</v>
      </c>
      <c r="D4967" s="40" t="s">
        <v>35073</v>
      </c>
      <c r="E4967" s="97" t="s">
        <v>35074</v>
      </c>
      <c r="F4967" s="98" t="s">
        <v>35075</v>
      </c>
      <c r="G4967" s="98" t="s">
        <v>35076</v>
      </c>
      <c r="H4967" s="59" t="s">
        <v>35077</v>
      </c>
      <c r="I4967" s="25" t="str">
        <f>IFERROR(__xludf.DUMMYFUNCTION("GOOGLETRANSLATE(H4967,""EN"",""ES"")"),"Medio Ambiente/Gastronomía")</f>
        <v>Medio Ambiente/Gastronomía</v>
      </c>
      <c r="J4967" s="26" t="s">
        <v>27</v>
      </c>
      <c r="K4967" s="17">
        <v>0.0</v>
      </c>
      <c r="L4967" s="51"/>
      <c r="M4967" s="31"/>
      <c r="N4967" s="47"/>
      <c r="O4967" s="47"/>
      <c r="P4967" s="20">
        <v>0.0</v>
      </c>
      <c r="Q4967" s="31"/>
      <c r="R4967" s="31"/>
      <c r="S4967" s="53"/>
      <c r="T4967" s="32"/>
    </row>
    <row r="4968">
      <c r="A4968" s="33" t="s">
        <v>35078</v>
      </c>
      <c r="B4968" s="76" t="s">
        <v>21</v>
      </c>
      <c r="C4968" s="99">
        <v>45639.0</v>
      </c>
      <c r="D4968" s="40" t="s">
        <v>35079</v>
      </c>
      <c r="E4968" s="100" t="s">
        <v>35080</v>
      </c>
      <c r="F4968" s="101" t="s">
        <v>35081</v>
      </c>
      <c r="G4968" s="101" t="s">
        <v>35082</v>
      </c>
      <c r="H4968" s="61" t="s">
        <v>148</v>
      </c>
      <c r="I4968" s="15" t="str">
        <f>IFERROR(__xludf.DUMMYFUNCTION("GOOGLETRANSLATE(H4968,""EN"",""ES"")"),"Gastronomía")</f>
        <v>Gastronomía</v>
      </c>
      <c r="J4968" s="16" t="s">
        <v>27</v>
      </c>
      <c r="K4968" s="17">
        <v>0.0</v>
      </c>
      <c r="L4968" s="49"/>
      <c r="M4968" s="18"/>
      <c r="N4968" s="44"/>
      <c r="O4968" s="44"/>
      <c r="P4968" s="20">
        <v>0.0</v>
      </c>
      <c r="Q4968" s="18"/>
      <c r="R4968" s="18"/>
      <c r="S4968" s="52"/>
      <c r="T4968" s="22"/>
    </row>
    <row r="4969">
      <c r="A4969" s="23" t="s">
        <v>35083</v>
      </c>
      <c r="B4969" s="77" t="s">
        <v>21</v>
      </c>
      <c r="C4969" s="96">
        <v>45639.0</v>
      </c>
      <c r="D4969" s="40" t="s">
        <v>35084</v>
      </c>
      <c r="E4969" s="97" t="s">
        <v>35085</v>
      </c>
      <c r="F4969" s="107" t="s">
        <v>35086</v>
      </c>
      <c r="G4969" s="98" t="s">
        <v>35087</v>
      </c>
      <c r="H4969" s="59" t="s">
        <v>148</v>
      </c>
      <c r="I4969" s="25" t="str">
        <f>IFERROR(__xludf.DUMMYFUNCTION("GOOGLETRANSLATE(H4969,""EN"",""ES"")"),"Gastronomía")</f>
        <v>Gastronomía</v>
      </c>
      <c r="J4969" s="26" t="s">
        <v>27</v>
      </c>
      <c r="K4969" s="17">
        <v>0.0</v>
      </c>
      <c r="L4969" s="51"/>
      <c r="M4969" s="31"/>
      <c r="N4969" s="47"/>
      <c r="O4969" s="47"/>
      <c r="P4969" s="20">
        <v>0.0</v>
      </c>
      <c r="Q4969" s="31"/>
      <c r="R4969" s="31"/>
      <c r="S4969" s="53"/>
      <c r="T4969" s="32"/>
    </row>
    <row r="4970">
      <c r="A4970" s="33" t="s">
        <v>35088</v>
      </c>
      <c r="B4970" s="76" t="s">
        <v>21</v>
      </c>
      <c r="C4970" s="99">
        <v>45639.0</v>
      </c>
      <c r="D4970" s="40" t="s">
        <v>35089</v>
      </c>
      <c r="E4970" s="100" t="s">
        <v>35090</v>
      </c>
      <c r="F4970" s="101" t="s">
        <v>35091</v>
      </c>
      <c r="G4970" s="101" t="s">
        <v>35092</v>
      </c>
      <c r="H4970" s="61" t="s">
        <v>34765</v>
      </c>
      <c r="I4970" s="15" t="str">
        <f>IFERROR(__xludf.DUMMYFUNCTION("GOOGLETRANSLATE(H4970,""EN"",""ES"")"),"Eventos")</f>
        <v>Eventos</v>
      </c>
      <c r="J4970" s="16" t="s">
        <v>27</v>
      </c>
      <c r="K4970" s="17">
        <v>0.0</v>
      </c>
      <c r="L4970" s="49"/>
      <c r="M4970" s="18"/>
      <c r="N4970" s="44"/>
      <c r="O4970" s="44"/>
      <c r="P4970" s="20">
        <v>0.0</v>
      </c>
      <c r="Q4970" s="18"/>
      <c r="R4970" s="18"/>
      <c r="S4970" s="52"/>
      <c r="T4970" s="22"/>
    </row>
    <row r="4971">
      <c r="A4971" s="23" t="s">
        <v>35093</v>
      </c>
      <c r="B4971" s="77" t="s">
        <v>21</v>
      </c>
      <c r="C4971" s="96">
        <v>45639.0</v>
      </c>
      <c r="D4971" s="40" t="s">
        <v>35094</v>
      </c>
      <c r="E4971" s="97" t="s">
        <v>35095</v>
      </c>
      <c r="F4971" s="98" t="s">
        <v>35096</v>
      </c>
      <c r="G4971" s="98" t="s">
        <v>35097</v>
      </c>
      <c r="H4971" s="59" t="s">
        <v>148</v>
      </c>
      <c r="I4971" s="25" t="str">
        <f>IFERROR(__xludf.DUMMYFUNCTION("GOOGLETRANSLATE(H4971,""EN"",""ES"")"),"Gastronomía")</f>
        <v>Gastronomía</v>
      </c>
      <c r="J4971" s="26" t="s">
        <v>27</v>
      </c>
      <c r="K4971" s="17">
        <v>0.0</v>
      </c>
      <c r="L4971" s="51"/>
      <c r="M4971" s="31"/>
      <c r="N4971" s="47"/>
      <c r="O4971" s="47"/>
      <c r="P4971" s="20">
        <v>0.0</v>
      </c>
      <c r="Q4971" s="31"/>
      <c r="R4971" s="31"/>
      <c r="S4971" s="53"/>
      <c r="T4971" s="32"/>
    </row>
    <row r="4972">
      <c r="A4972" s="33" t="s">
        <v>35098</v>
      </c>
      <c r="B4972" s="76" t="s">
        <v>21</v>
      </c>
      <c r="C4972" s="99">
        <v>45639.0</v>
      </c>
      <c r="D4972" s="40" t="s">
        <v>35099</v>
      </c>
      <c r="E4972" s="100" t="s">
        <v>35100</v>
      </c>
      <c r="F4972" s="101" t="s">
        <v>35101</v>
      </c>
      <c r="G4972" s="101" t="s">
        <v>35102</v>
      </c>
      <c r="H4972" s="61" t="s">
        <v>34765</v>
      </c>
      <c r="I4972" s="15" t="str">
        <f>IFERROR(__xludf.DUMMYFUNCTION("GOOGLETRANSLATE(H4972,""EN"",""ES"")"),"Eventos")</f>
        <v>Eventos</v>
      </c>
      <c r="J4972" s="16" t="s">
        <v>27</v>
      </c>
      <c r="K4972" s="17">
        <v>0.0</v>
      </c>
      <c r="L4972" s="49"/>
      <c r="M4972" s="18"/>
      <c r="N4972" s="44"/>
      <c r="O4972" s="44"/>
      <c r="P4972" s="20">
        <v>0.0</v>
      </c>
      <c r="Q4972" s="18"/>
      <c r="R4972" s="18"/>
      <c r="S4972" s="52"/>
      <c r="T4972" s="22"/>
    </row>
    <row r="4973">
      <c r="A4973" s="23" t="s">
        <v>35103</v>
      </c>
      <c r="B4973" s="77" t="s">
        <v>2696</v>
      </c>
      <c r="C4973" s="96">
        <v>45639.0</v>
      </c>
      <c r="D4973" s="40" t="s">
        <v>35104</v>
      </c>
      <c r="E4973" s="97" t="s">
        <v>35105</v>
      </c>
      <c r="F4973" s="98" t="s">
        <v>35106</v>
      </c>
      <c r="G4973" s="98" t="s">
        <v>35107</v>
      </c>
      <c r="H4973" s="59" t="s">
        <v>3985</v>
      </c>
      <c r="I4973" s="25" t="str">
        <f>IFERROR(__xludf.DUMMYFUNCTION("GOOGLETRANSLATE(H4973,""EN"",""ES"")"),"Deportes")</f>
        <v>Deportes</v>
      </c>
      <c r="J4973" s="26" t="s">
        <v>27</v>
      </c>
      <c r="K4973" s="17">
        <v>0.0</v>
      </c>
      <c r="L4973" s="51"/>
      <c r="M4973" s="31"/>
      <c r="N4973" s="47"/>
      <c r="O4973" s="47"/>
      <c r="P4973" s="20">
        <v>0.0</v>
      </c>
      <c r="Q4973" s="31"/>
      <c r="R4973" s="31"/>
      <c r="S4973" s="53"/>
      <c r="T4973" s="32"/>
    </row>
    <row r="4974">
      <c r="A4974" s="33" t="s">
        <v>35108</v>
      </c>
      <c r="B4974" s="76" t="s">
        <v>21</v>
      </c>
      <c r="C4974" s="99">
        <v>45639.0</v>
      </c>
      <c r="D4974" s="40" t="s">
        <v>35109</v>
      </c>
      <c r="E4974" s="100" t="s">
        <v>35110</v>
      </c>
      <c r="F4974" s="101" t="s">
        <v>35111</v>
      </c>
      <c r="G4974" s="101" t="s">
        <v>35112</v>
      </c>
      <c r="H4974" s="61" t="s">
        <v>148</v>
      </c>
      <c r="I4974" s="15" t="str">
        <f>IFERROR(__xludf.DUMMYFUNCTION("GOOGLETRANSLATE(H4974,""EN"",""ES"")"),"Gastronomía")</f>
        <v>Gastronomía</v>
      </c>
      <c r="J4974" s="16" t="s">
        <v>27</v>
      </c>
      <c r="K4974" s="17">
        <v>0.0</v>
      </c>
      <c r="L4974" s="49"/>
      <c r="M4974" s="18"/>
      <c r="N4974" s="44"/>
      <c r="O4974" s="44"/>
      <c r="P4974" s="20">
        <v>0.0</v>
      </c>
      <c r="Q4974" s="18"/>
      <c r="R4974" s="18"/>
      <c r="S4974" s="52"/>
      <c r="T4974" s="22"/>
    </row>
    <row r="4975">
      <c r="A4975" s="23" t="s">
        <v>35113</v>
      </c>
      <c r="B4975" s="77" t="s">
        <v>21</v>
      </c>
      <c r="C4975" s="96">
        <v>45639.0</v>
      </c>
      <c r="D4975" s="40" t="s">
        <v>35114</v>
      </c>
      <c r="E4975" s="97" t="s">
        <v>35115</v>
      </c>
      <c r="F4975" s="98" t="s">
        <v>35116</v>
      </c>
      <c r="G4975" s="98" t="s">
        <v>35117</v>
      </c>
      <c r="H4975" s="59" t="s">
        <v>17454</v>
      </c>
      <c r="I4975" s="25" t="str">
        <f>IFERROR(__xludf.DUMMYFUNCTION("GOOGLETRANSLATE(H4975,""EN"",""ES"")"),"Estilo de vida")</f>
        <v>Estilo de vida</v>
      </c>
      <c r="J4975" s="26" t="s">
        <v>27</v>
      </c>
      <c r="K4975" s="17">
        <v>0.0</v>
      </c>
      <c r="L4975" s="51"/>
      <c r="M4975" s="31"/>
      <c r="N4975" s="47"/>
      <c r="O4975" s="47"/>
      <c r="P4975" s="20">
        <v>0.0</v>
      </c>
      <c r="Q4975" s="31"/>
      <c r="R4975" s="31"/>
      <c r="S4975" s="53"/>
      <c r="T4975" s="32"/>
    </row>
    <row r="4976">
      <c r="A4976" s="33" t="s">
        <v>35118</v>
      </c>
      <c r="B4976" s="76" t="s">
        <v>21</v>
      </c>
      <c r="C4976" s="99">
        <v>45639.0</v>
      </c>
      <c r="D4976" s="40" t="s">
        <v>35119</v>
      </c>
      <c r="E4976" s="100" t="s">
        <v>35120</v>
      </c>
      <c r="F4976" s="101" t="s">
        <v>35121</v>
      </c>
      <c r="G4976" s="101" t="s">
        <v>35122</v>
      </c>
      <c r="H4976" s="61" t="s">
        <v>8777</v>
      </c>
      <c r="I4976" s="15" t="str">
        <f>IFERROR(__xludf.DUMMYFUNCTION("GOOGLETRANSLATE(H4976,""EN"",""ES"")"),"Cultura")</f>
        <v>Cultura</v>
      </c>
      <c r="J4976" s="16" t="s">
        <v>27</v>
      </c>
      <c r="K4976" s="17">
        <v>0.0</v>
      </c>
      <c r="L4976" s="49"/>
      <c r="M4976" s="18"/>
      <c r="N4976" s="44"/>
      <c r="O4976" s="44"/>
      <c r="P4976" s="20">
        <v>0.0</v>
      </c>
      <c r="Q4976" s="18"/>
      <c r="R4976" s="18"/>
      <c r="S4976" s="52"/>
      <c r="T4976" s="22"/>
    </row>
    <row r="4977">
      <c r="A4977" s="23" t="s">
        <v>35123</v>
      </c>
      <c r="B4977" s="77" t="s">
        <v>21</v>
      </c>
      <c r="C4977" s="96">
        <v>45639.0</v>
      </c>
      <c r="D4977" s="40" t="s">
        <v>35124</v>
      </c>
      <c r="E4977" s="97" t="s">
        <v>35125</v>
      </c>
      <c r="F4977" s="98" t="s">
        <v>35126</v>
      </c>
      <c r="G4977" s="98" t="s">
        <v>35127</v>
      </c>
      <c r="H4977" s="59" t="s">
        <v>34765</v>
      </c>
      <c r="I4977" s="25" t="str">
        <f>IFERROR(__xludf.DUMMYFUNCTION("GOOGLETRANSLATE(H4977,""EN"",""ES"")"),"Eventos")</f>
        <v>Eventos</v>
      </c>
      <c r="J4977" s="26" t="s">
        <v>27</v>
      </c>
      <c r="K4977" s="17">
        <v>0.0</v>
      </c>
      <c r="L4977" s="51"/>
      <c r="M4977" s="31"/>
      <c r="N4977" s="47"/>
      <c r="O4977" s="47"/>
      <c r="P4977" s="20">
        <v>0.0</v>
      </c>
      <c r="Q4977" s="31"/>
      <c r="R4977" s="31"/>
      <c r="S4977" s="53"/>
      <c r="T4977" s="32"/>
    </row>
    <row r="4978">
      <c r="A4978" s="33" t="s">
        <v>35128</v>
      </c>
      <c r="B4978" s="76" t="s">
        <v>21</v>
      </c>
      <c r="C4978" s="99">
        <v>45639.0</v>
      </c>
      <c r="D4978" s="40" t="s">
        <v>35129</v>
      </c>
      <c r="E4978" s="100" t="s">
        <v>35130</v>
      </c>
      <c r="F4978" s="101" t="s">
        <v>35131</v>
      </c>
      <c r="G4978" s="101" t="s">
        <v>35132</v>
      </c>
      <c r="H4978" s="61" t="s">
        <v>969</v>
      </c>
      <c r="I4978" s="15" t="str">
        <f>IFERROR(__xludf.DUMMYFUNCTION("GOOGLETRANSLATE(H4978,""EN"",""ES"")"),"Turismo")</f>
        <v>Turismo</v>
      </c>
      <c r="J4978" s="16" t="s">
        <v>27</v>
      </c>
      <c r="K4978" s="17">
        <v>0.0</v>
      </c>
      <c r="L4978" s="49"/>
      <c r="M4978" s="18"/>
      <c r="N4978" s="44"/>
      <c r="O4978" s="44"/>
      <c r="P4978" s="20">
        <v>0.0</v>
      </c>
      <c r="Q4978" s="18"/>
      <c r="R4978" s="18"/>
      <c r="S4978" s="52"/>
      <c r="T4978" s="22"/>
    </row>
    <row r="4979">
      <c r="A4979" s="23" t="s">
        <v>35133</v>
      </c>
      <c r="B4979" s="77" t="s">
        <v>964</v>
      </c>
      <c r="C4979" s="96">
        <v>45639.0</v>
      </c>
      <c r="D4979" s="40" t="s">
        <v>35134</v>
      </c>
      <c r="E4979" s="97" t="s">
        <v>35135</v>
      </c>
      <c r="F4979" s="98" t="s">
        <v>35136</v>
      </c>
      <c r="G4979" s="98" t="s">
        <v>35137</v>
      </c>
      <c r="H4979" s="59" t="s">
        <v>395</v>
      </c>
      <c r="I4979" s="25" t="str">
        <f>IFERROR(__xludf.DUMMYFUNCTION("GOOGLETRANSLATE(H4979,""EN"",""ES"")"),"Ambiente")</f>
        <v>Ambiente</v>
      </c>
      <c r="J4979" s="26" t="s">
        <v>35</v>
      </c>
      <c r="K4979" s="48">
        <v>-0.6</v>
      </c>
      <c r="L4979" s="51" t="s">
        <v>35138</v>
      </c>
      <c r="M4979" s="28" t="s">
        <v>35139</v>
      </c>
      <c r="N4979" s="47" t="s">
        <v>35140</v>
      </c>
      <c r="O4979" s="47" t="str">
        <f>IFERROR(__xludf.DUMMYFUNCTION("GOOGLETRANSLATE(N4979,""EN"",""ES"")"),"Negativo, destaca las preocupaciones sobre el impacto ambiental y la pérdida de biodiversidad.")</f>
        <v>Negativo, destaca las preocupaciones sobre el impacto ambiental y la pérdida de biodiversidad.</v>
      </c>
      <c r="P4979" s="30">
        <v>-0.5</v>
      </c>
      <c r="Q4979" s="31" t="str">
        <f>IFERROR(__xludf.DUMMYFUNCTION("GOOGLETRANSLATE(R4979,""ES"",""EN"")"),"affect")</f>
        <v>affect</v>
      </c>
      <c r="R4979" s="28" t="s">
        <v>35141</v>
      </c>
      <c r="S4979" s="53" t="s">
        <v>34883</v>
      </c>
      <c r="T4979" s="32" t="s">
        <v>34884</v>
      </c>
    </row>
    <row r="4980">
      <c r="A4980" s="33" t="s">
        <v>35142</v>
      </c>
      <c r="B4980" s="76" t="s">
        <v>35143</v>
      </c>
      <c r="C4980" s="99">
        <v>45639.0</v>
      </c>
      <c r="D4980" s="40" t="s">
        <v>35144</v>
      </c>
      <c r="E4980" s="100" t="s">
        <v>35145</v>
      </c>
      <c r="F4980" s="101" t="s">
        <v>35146</v>
      </c>
      <c r="G4980" s="101" t="s">
        <v>35147</v>
      </c>
      <c r="H4980" s="61" t="s">
        <v>2591</v>
      </c>
      <c r="I4980" s="15" t="str">
        <f>IFERROR(__xludf.DUMMYFUNCTION("GOOGLETRANSLATE(H4980,""EN"",""ES"")"),"Negocio")</f>
        <v>Negocio</v>
      </c>
      <c r="J4980" s="16" t="s">
        <v>35</v>
      </c>
      <c r="K4980" s="48">
        <v>0.7</v>
      </c>
      <c r="L4980" s="49" t="s">
        <v>35148</v>
      </c>
      <c r="M4980" s="34" t="s">
        <v>35149</v>
      </c>
      <c r="N4980" s="44" t="s">
        <v>35150</v>
      </c>
      <c r="O4980" s="44" t="str">
        <f>IFERROR(__xludf.DUMMYFUNCTION("GOOGLETRANSLATE(N4980,""EN"",""ES"")"),"Neutral-positivo, se centra en una transacción comercial importante en el sector energético.")</f>
        <v>Neutral-positivo, se centra en una transacción comercial importante en el sector energético.</v>
      </c>
      <c r="P4980" s="30">
        <v>0.0</v>
      </c>
      <c r="Q4980" s="18"/>
      <c r="R4980" s="18"/>
      <c r="S4980" s="52" t="s">
        <v>35151</v>
      </c>
      <c r="T4980" s="22" t="s">
        <v>35152</v>
      </c>
    </row>
    <row r="4981">
      <c r="A4981" s="23" t="s">
        <v>35153</v>
      </c>
      <c r="B4981" s="77" t="s">
        <v>21</v>
      </c>
      <c r="C4981" s="96">
        <v>45639.0</v>
      </c>
      <c r="D4981" s="40" t="s">
        <v>35154</v>
      </c>
      <c r="E4981" s="97" t="s">
        <v>35155</v>
      </c>
      <c r="F4981" s="98" t="s">
        <v>35156</v>
      </c>
      <c r="G4981" s="98" t="s">
        <v>35157</v>
      </c>
      <c r="H4981" s="59" t="s">
        <v>8777</v>
      </c>
      <c r="I4981" s="25" t="str">
        <f>IFERROR(__xludf.DUMMYFUNCTION("GOOGLETRANSLATE(H4981,""EN"",""ES"")"),"Cultura")</f>
        <v>Cultura</v>
      </c>
      <c r="J4981" s="26" t="s">
        <v>27</v>
      </c>
      <c r="K4981" s="17">
        <v>0.0</v>
      </c>
      <c r="L4981" s="51"/>
      <c r="M4981" s="31"/>
      <c r="N4981" s="47"/>
      <c r="O4981" s="47"/>
      <c r="P4981" s="20">
        <v>0.0</v>
      </c>
      <c r="Q4981" s="31"/>
      <c r="R4981" s="31"/>
      <c r="S4981" s="53"/>
      <c r="T4981" s="32"/>
    </row>
    <row r="4982">
      <c r="A4982" s="33" t="s">
        <v>35158</v>
      </c>
      <c r="B4982" s="76" t="s">
        <v>21</v>
      </c>
      <c r="C4982" s="99">
        <v>45639.0</v>
      </c>
      <c r="D4982" s="40" t="s">
        <v>35159</v>
      </c>
      <c r="E4982" s="100" t="s">
        <v>35160</v>
      </c>
      <c r="F4982" s="106" t="s">
        <v>35161</v>
      </c>
      <c r="G4982" s="101" t="s">
        <v>35162</v>
      </c>
      <c r="H4982" s="61" t="s">
        <v>969</v>
      </c>
      <c r="I4982" s="15" t="str">
        <f>IFERROR(__xludf.DUMMYFUNCTION("GOOGLETRANSLATE(H4982,""EN"",""ES"")"),"Turismo")</f>
        <v>Turismo</v>
      </c>
      <c r="J4982" s="16" t="s">
        <v>27</v>
      </c>
      <c r="K4982" s="17">
        <v>0.0</v>
      </c>
      <c r="L4982" s="49"/>
      <c r="M4982" s="18"/>
      <c r="N4982" s="44"/>
      <c r="O4982" s="44"/>
      <c r="P4982" s="20">
        <v>0.0</v>
      </c>
      <c r="Q4982" s="18"/>
      <c r="R4982" s="18"/>
      <c r="S4982" s="52"/>
      <c r="T4982" s="22"/>
    </row>
    <row r="4983">
      <c r="A4983" s="23" t="s">
        <v>35163</v>
      </c>
      <c r="B4983" s="77" t="s">
        <v>21</v>
      </c>
      <c r="C4983" s="96">
        <v>45639.0</v>
      </c>
      <c r="D4983" s="40" t="s">
        <v>35164</v>
      </c>
      <c r="E4983" s="97" t="s">
        <v>35165</v>
      </c>
      <c r="F4983" s="98" t="s">
        <v>35166</v>
      </c>
      <c r="G4983" s="98" t="s">
        <v>35167</v>
      </c>
      <c r="H4983" s="59" t="s">
        <v>148</v>
      </c>
      <c r="I4983" s="25" t="str">
        <f>IFERROR(__xludf.DUMMYFUNCTION("GOOGLETRANSLATE(H4983,""EN"",""ES"")"),"Gastronomía")</f>
        <v>Gastronomía</v>
      </c>
      <c r="J4983" s="26" t="s">
        <v>27</v>
      </c>
      <c r="K4983" s="17">
        <v>0.0</v>
      </c>
      <c r="L4983" s="51"/>
      <c r="M4983" s="31"/>
      <c r="N4983" s="47"/>
      <c r="O4983" s="47"/>
      <c r="P4983" s="20">
        <v>0.0</v>
      </c>
      <c r="Q4983" s="31"/>
      <c r="R4983" s="31"/>
      <c r="S4983" s="53"/>
      <c r="T4983" s="32"/>
    </row>
    <row r="4984">
      <c r="A4984" s="33" t="s">
        <v>35168</v>
      </c>
      <c r="B4984" s="76" t="s">
        <v>19521</v>
      </c>
      <c r="C4984" s="99">
        <v>45639.0</v>
      </c>
      <c r="D4984" s="40" t="s">
        <v>35169</v>
      </c>
      <c r="E4984" s="100" t="s">
        <v>35170</v>
      </c>
      <c r="F4984" s="101" t="s">
        <v>35171</v>
      </c>
      <c r="G4984" s="101" t="s">
        <v>35172</v>
      </c>
      <c r="H4984" s="61" t="s">
        <v>2591</v>
      </c>
      <c r="I4984" s="15" t="str">
        <f>IFERROR(__xludf.DUMMYFUNCTION("GOOGLETRANSLATE(H4984,""EN"",""ES"")"),"Negocio")</f>
        <v>Negocio</v>
      </c>
      <c r="J4984" s="16" t="s">
        <v>27</v>
      </c>
      <c r="K4984" s="17">
        <v>0.0</v>
      </c>
      <c r="L4984" s="49"/>
      <c r="M4984" s="18"/>
      <c r="N4984" s="44"/>
      <c r="O4984" s="44"/>
      <c r="P4984" s="20">
        <v>0.0</v>
      </c>
      <c r="Q4984" s="18"/>
      <c r="R4984" s="18"/>
      <c r="S4984" s="52"/>
      <c r="T4984" s="22"/>
    </row>
    <row r="4985">
      <c r="A4985" s="23" t="s">
        <v>35173</v>
      </c>
      <c r="B4985" s="77" t="s">
        <v>35174</v>
      </c>
      <c r="C4985" s="96">
        <v>45639.0</v>
      </c>
      <c r="D4985" s="40" t="s">
        <v>35175</v>
      </c>
      <c r="E4985" s="97" t="s">
        <v>35176</v>
      </c>
      <c r="F4985" s="98" t="s">
        <v>35177</v>
      </c>
      <c r="G4985" s="98" t="s">
        <v>35178</v>
      </c>
      <c r="H4985" s="59" t="s">
        <v>2591</v>
      </c>
      <c r="I4985" s="25" t="str">
        <f>IFERROR(__xludf.DUMMYFUNCTION("GOOGLETRANSLATE(H4985,""EN"",""ES"")"),"Negocio")</f>
        <v>Negocio</v>
      </c>
      <c r="J4985" s="26" t="s">
        <v>35</v>
      </c>
      <c r="K4985" s="48">
        <v>0.7</v>
      </c>
      <c r="L4985" s="51" t="s">
        <v>35179</v>
      </c>
      <c r="M4985" s="28" t="s">
        <v>35180</v>
      </c>
      <c r="N4985" s="47" t="s">
        <v>35181</v>
      </c>
      <c r="O4985" s="47" t="str">
        <f>IFERROR(__xludf.DUMMYFUNCTION("GOOGLETRANSLATE(N4985,""EN"",""ES"")"),"Neutral-positivo, se centra en la adquisición estratégica dentro del sector energético.")</f>
        <v>Neutral-positivo, se centra en la adquisición estratégica dentro del sector energético.</v>
      </c>
      <c r="P4985" s="30">
        <v>0.0</v>
      </c>
      <c r="Q4985" s="31"/>
      <c r="R4985" s="31"/>
      <c r="S4985" s="53" t="s">
        <v>35182</v>
      </c>
      <c r="T4985" s="32" t="s">
        <v>35183</v>
      </c>
    </row>
    <row r="4986">
      <c r="A4986" s="33" t="s">
        <v>35184</v>
      </c>
      <c r="B4986" s="76" t="s">
        <v>499</v>
      </c>
      <c r="C4986" s="99">
        <v>45640.0</v>
      </c>
      <c r="D4986" s="40" t="s">
        <v>34891</v>
      </c>
      <c r="E4986" s="100" t="s">
        <v>35185</v>
      </c>
      <c r="F4986" s="101" t="s">
        <v>34893</v>
      </c>
      <c r="G4986" s="101" t="s">
        <v>35186</v>
      </c>
      <c r="H4986" s="61" t="s">
        <v>2591</v>
      </c>
      <c r="I4986" s="15" t="str">
        <f>IFERROR(__xludf.DUMMYFUNCTION("GOOGLETRANSLATE(H4986,""EN"",""ES"")"),"Negocio")</f>
        <v>Negocio</v>
      </c>
      <c r="J4986" s="16" t="s">
        <v>35</v>
      </c>
      <c r="K4986" s="48">
        <v>0.9</v>
      </c>
      <c r="L4986" s="49" t="s">
        <v>35187</v>
      </c>
      <c r="M4986" s="34" t="s">
        <v>35188</v>
      </c>
      <c r="N4986" s="44" t="s">
        <v>35189</v>
      </c>
      <c r="O4986" s="44" t="str">
        <f>IFERROR(__xludf.DUMMYFUNCTION("GOOGLETRANSLATE(N4986,""EN"",""ES"")"),"Positivo, celebra los logros de Repsol en el sector energético.")</f>
        <v>Positivo, celebra los logros de Repsol en el sector energético.</v>
      </c>
      <c r="P4986" s="30">
        <v>0.8</v>
      </c>
      <c r="Q4986" s="18" t="str">
        <f>IFERROR(__xludf.DUMMYFUNCTION("GOOGLETRANSLATE(R4986,""ES"",""EN"")"),"winner, ""awards""")</f>
        <v>winner, "awards"</v>
      </c>
      <c r="R4986" s="34" t="s">
        <v>34898</v>
      </c>
      <c r="S4986" s="52" t="s">
        <v>35190</v>
      </c>
      <c r="T4986" s="22" t="s">
        <v>35191</v>
      </c>
    </row>
    <row r="4987">
      <c r="A4987" s="23" t="s">
        <v>35192</v>
      </c>
      <c r="B4987" s="77" t="s">
        <v>5525</v>
      </c>
      <c r="C4987" s="96">
        <v>45640.0</v>
      </c>
      <c r="D4987" s="40" t="s">
        <v>35193</v>
      </c>
      <c r="E4987" s="97" t="s">
        <v>35194</v>
      </c>
      <c r="F4987" s="98" t="s">
        <v>35195</v>
      </c>
      <c r="G4987" s="98" t="s">
        <v>35196</v>
      </c>
      <c r="H4987" s="59" t="s">
        <v>2591</v>
      </c>
      <c r="I4987" s="25" t="str">
        <f>IFERROR(__xludf.DUMMYFUNCTION("GOOGLETRANSLATE(H4987,""EN"",""ES"")"),"Negocio")</f>
        <v>Negocio</v>
      </c>
      <c r="J4987" s="26" t="s">
        <v>27</v>
      </c>
      <c r="K4987" s="17">
        <v>0.0</v>
      </c>
      <c r="L4987" s="51"/>
      <c r="M4987" s="31"/>
      <c r="N4987" s="47"/>
      <c r="O4987" s="47"/>
      <c r="P4987" s="20">
        <v>0.0</v>
      </c>
      <c r="Q4987" s="31"/>
      <c r="R4987" s="31"/>
      <c r="S4987" s="53"/>
      <c r="T4987" s="32"/>
    </row>
    <row r="4988">
      <c r="A4988" s="33" t="s">
        <v>35197</v>
      </c>
      <c r="B4988" s="76" t="s">
        <v>2008</v>
      </c>
      <c r="C4988" s="99">
        <v>45640.0</v>
      </c>
      <c r="D4988" s="40" t="s">
        <v>35198</v>
      </c>
      <c r="E4988" s="100" t="s">
        <v>35199</v>
      </c>
      <c r="F4988" s="101" t="s">
        <v>35200</v>
      </c>
      <c r="G4988" s="101" t="s">
        <v>35201</v>
      </c>
      <c r="H4988" s="61" t="s">
        <v>1975</v>
      </c>
      <c r="I4988" s="15" t="str">
        <f>IFERROR(__xludf.DUMMYFUNCTION("GOOGLETRANSLATE(H4988,""EN"",""ES"")"),"Política")</f>
        <v>Política</v>
      </c>
      <c r="J4988" s="16" t="s">
        <v>27</v>
      </c>
      <c r="K4988" s="17">
        <v>0.0</v>
      </c>
      <c r="L4988" s="49"/>
      <c r="M4988" s="18"/>
      <c r="N4988" s="44"/>
      <c r="O4988" s="44"/>
      <c r="P4988" s="20">
        <v>0.0</v>
      </c>
      <c r="Q4988" s="18"/>
      <c r="R4988" s="18"/>
      <c r="S4988" s="52"/>
      <c r="T4988" s="22"/>
    </row>
    <row r="4989">
      <c r="A4989" s="23" t="s">
        <v>35202</v>
      </c>
      <c r="B4989" s="77" t="s">
        <v>35203</v>
      </c>
      <c r="C4989" s="96">
        <v>45640.0</v>
      </c>
      <c r="D4989" s="40" t="s">
        <v>35204</v>
      </c>
      <c r="E4989" s="97" t="s">
        <v>35205</v>
      </c>
      <c r="F4989" s="98" t="s">
        <v>35206</v>
      </c>
      <c r="G4989" s="98" t="s">
        <v>35207</v>
      </c>
      <c r="H4989" s="59" t="s">
        <v>395</v>
      </c>
      <c r="I4989" s="25" t="str">
        <f>IFERROR(__xludf.DUMMYFUNCTION("GOOGLETRANSLATE(H4989,""EN"",""ES"")"),"Ambiente")</f>
        <v>Ambiente</v>
      </c>
      <c r="J4989" s="26" t="s">
        <v>35</v>
      </c>
      <c r="K4989" s="48">
        <v>0.9</v>
      </c>
      <c r="L4989" s="51" t="s">
        <v>35208</v>
      </c>
      <c r="M4989" s="28" t="s">
        <v>35209</v>
      </c>
      <c r="N4989" s="47" t="s">
        <v>35210</v>
      </c>
      <c r="O4989" s="47" t="str">
        <f>IFERROR(__xludf.DUMMYFUNCTION("GOOGLETRANSLATE(N4989,""EN"",""ES"")"),"Positivo, destaca un gran avance energético con potencial para la sostenibilidad.")</f>
        <v>Positivo, destaca un gran avance energético con potencial para la sostenibilidad.</v>
      </c>
      <c r="P4989" s="30">
        <v>0.0</v>
      </c>
      <c r="Q4989" s="31"/>
      <c r="R4989" s="31"/>
      <c r="S4989" s="53" t="s">
        <v>35182</v>
      </c>
      <c r="T4989" s="32" t="s">
        <v>35183</v>
      </c>
    </row>
    <row r="4990">
      <c r="A4990" s="33" t="s">
        <v>35211</v>
      </c>
      <c r="B4990" s="76" t="s">
        <v>35212</v>
      </c>
      <c r="C4990" s="99">
        <v>45640.0</v>
      </c>
      <c r="D4990" s="40" t="s">
        <v>35213</v>
      </c>
      <c r="E4990" s="100" t="s">
        <v>35214</v>
      </c>
      <c r="F4990" s="101" t="s">
        <v>35215</v>
      </c>
      <c r="G4990" s="101" t="s">
        <v>35216</v>
      </c>
      <c r="H4990" s="61" t="s">
        <v>34765</v>
      </c>
      <c r="I4990" s="15" t="str">
        <f>IFERROR(__xludf.DUMMYFUNCTION("GOOGLETRANSLATE(H4990,""EN"",""ES"")"),"Eventos")</f>
        <v>Eventos</v>
      </c>
      <c r="J4990" s="16" t="s">
        <v>27</v>
      </c>
      <c r="K4990" s="17">
        <v>0.0</v>
      </c>
      <c r="L4990" s="49"/>
      <c r="M4990" s="18"/>
      <c r="N4990" s="61"/>
      <c r="O4990" s="44"/>
      <c r="P4990" s="20">
        <v>0.0</v>
      </c>
      <c r="Q4990" s="18"/>
      <c r="R4990" s="18"/>
      <c r="S4990" s="52"/>
      <c r="T4990" s="22"/>
    </row>
    <row r="4991">
      <c r="A4991" s="23" t="s">
        <v>35217</v>
      </c>
      <c r="B4991" s="77" t="s">
        <v>6747</v>
      </c>
      <c r="C4991" s="96">
        <v>45640.0</v>
      </c>
      <c r="D4991" s="40" t="s">
        <v>35218</v>
      </c>
      <c r="E4991" s="97" t="s">
        <v>35219</v>
      </c>
      <c r="F4991" s="98" t="s">
        <v>35220</v>
      </c>
      <c r="G4991" s="98" t="s">
        <v>35221</v>
      </c>
      <c r="H4991" s="59" t="s">
        <v>395</v>
      </c>
      <c r="I4991" s="25" t="str">
        <f>IFERROR(__xludf.DUMMYFUNCTION("GOOGLETRANSLATE(H4991,""EN"",""ES"")"),"Ambiente")</f>
        <v>Ambiente</v>
      </c>
      <c r="J4991" s="26" t="s">
        <v>35</v>
      </c>
      <c r="K4991" s="48">
        <v>-0.7</v>
      </c>
      <c r="L4991" s="51" t="s">
        <v>35222</v>
      </c>
      <c r="M4991" s="28" t="s">
        <v>35223</v>
      </c>
      <c r="N4991" s="59" t="s">
        <v>35224</v>
      </c>
      <c r="O4991" s="47" t="str">
        <f>IFERROR(__xludf.DUMMYFUNCTION("GOOGLETRANSLATE(N4991,""EN"",""ES"")"),"Negativo, se centra en la contaminación ambiental.")</f>
        <v>Negativo, se centra en la contaminación ambiental.</v>
      </c>
      <c r="P4991" s="30">
        <v>-0.3</v>
      </c>
      <c r="Q4991" s="31" t="str">
        <f>IFERROR(__xludf.DUMMYFUNCTION("GOOGLETRANSLATE(R4991,""ES"",""EN"")"),"contaminated")</f>
        <v>contaminated</v>
      </c>
      <c r="R4991" s="28" t="s">
        <v>35225</v>
      </c>
      <c r="S4991" s="53" t="s">
        <v>35226</v>
      </c>
      <c r="T4991" s="32" t="s">
        <v>35227</v>
      </c>
    </row>
    <row r="4992">
      <c r="A4992" s="33" t="s">
        <v>35228</v>
      </c>
      <c r="B4992" s="76" t="s">
        <v>977</v>
      </c>
      <c r="C4992" s="99">
        <v>45640.0</v>
      </c>
      <c r="D4992" s="40" t="s">
        <v>35229</v>
      </c>
      <c r="E4992" s="100" t="s">
        <v>35230</v>
      </c>
      <c r="F4992" s="101" t="s">
        <v>35231</v>
      </c>
      <c r="G4992" s="101" t="s">
        <v>35232</v>
      </c>
      <c r="H4992" s="61" t="s">
        <v>1975</v>
      </c>
      <c r="I4992" s="15" t="str">
        <f>IFERROR(__xludf.DUMMYFUNCTION("GOOGLETRANSLATE(H4992,""EN"",""ES"")"),"Política")</f>
        <v>Política</v>
      </c>
      <c r="J4992" s="16" t="s">
        <v>27</v>
      </c>
      <c r="K4992" s="17">
        <v>0.0</v>
      </c>
      <c r="L4992" s="49"/>
      <c r="M4992" s="18"/>
      <c r="N4992" s="61"/>
      <c r="O4992" s="44"/>
      <c r="P4992" s="20">
        <v>0.0</v>
      </c>
      <c r="Q4992" s="18"/>
      <c r="R4992" s="18"/>
      <c r="S4992" s="52"/>
      <c r="T4992" s="22"/>
    </row>
    <row r="4993">
      <c r="A4993" s="23" t="s">
        <v>35233</v>
      </c>
      <c r="B4993" s="77" t="s">
        <v>9569</v>
      </c>
      <c r="C4993" s="96">
        <v>45641.0</v>
      </c>
      <c r="D4993" s="40" t="s">
        <v>35234</v>
      </c>
      <c r="E4993" s="97" t="s">
        <v>35235</v>
      </c>
      <c r="F4993" s="98" t="s">
        <v>35236</v>
      </c>
      <c r="G4993" s="98" t="s">
        <v>35237</v>
      </c>
      <c r="H4993" s="59" t="s">
        <v>2591</v>
      </c>
      <c r="I4993" s="25" t="str">
        <f>IFERROR(__xludf.DUMMYFUNCTION("GOOGLETRANSLATE(H4993,""EN"",""ES"")"),"Negocio")</f>
        <v>Negocio</v>
      </c>
      <c r="J4993" s="26" t="s">
        <v>35</v>
      </c>
      <c r="K4993" s="48">
        <v>0.7</v>
      </c>
      <c r="L4993" s="51" t="s">
        <v>35238</v>
      </c>
      <c r="M4993" s="28" t="s">
        <v>35239</v>
      </c>
      <c r="N4993" s="59" t="s">
        <v>35240</v>
      </c>
      <c r="O4993" s="47" t="str">
        <f>IFERROR(__xludf.DUMMYFUNCTION("GOOGLETRANSLATE(N4993,""EN"",""ES"")"),"Neutral-positivo, analiza los crecientes canales de distribución para las principales marcas.")</f>
        <v>Neutral-positivo, analiza los crecientes canales de distribución para las principales marcas.</v>
      </c>
      <c r="P4993" s="30">
        <v>0.0</v>
      </c>
      <c r="Q4993" s="31"/>
      <c r="R4993" s="31"/>
      <c r="S4993" s="53" t="s">
        <v>35241</v>
      </c>
      <c r="T4993" s="32" t="s">
        <v>35242</v>
      </c>
    </row>
    <row r="4994">
      <c r="A4994" s="33" t="s">
        <v>35243</v>
      </c>
      <c r="B4994" s="76" t="s">
        <v>85</v>
      </c>
      <c r="C4994" s="99">
        <v>45641.0</v>
      </c>
      <c r="D4994" s="40" t="s">
        <v>35244</v>
      </c>
      <c r="E4994" s="100" t="s">
        <v>35245</v>
      </c>
      <c r="F4994" s="101" t="s">
        <v>35246</v>
      </c>
      <c r="G4994" s="101" t="s">
        <v>35247</v>
      </c>
      <c r="H4994" s="61" t="s">
        <v>148</v>
      </c>
      <c r="I4994" s="15" t="str">
        <f>IFERROR(__xludf.DUMMYFUNCTION("GOOGLETRANSLATE(H4994,""EN"",""ES"")"),"Gastronomía")</f>
        <v>Gastronomía</v>
      </c>
      <c r="J4994" s="16" t="s">
        <v>27</v>
      </c>
      <c r="K4994" s="17">
        <v>0.0</v>
      </c>
      <c r="L4994" s="49"/>
      <c r="M4994" s="18"/>
      <c r="N4994" s="61"/>
      <c r="O4994" s="44"/>
      <c r="P4994" s="20">
        <v>0.0</v>
      </c>
      <c r="Q4994" s="18"/>
      <c r="R4994" s="18"/>
      <c r="S4994" s="52"/>
      <c r="T4994" s="22"/>
    </row>
    <row r="4995">
      <c r="A4995" s="23" t="s">
        <v>35248</v>
      </c>
      <c r="B4995" s="77" t="s">
        <v>35249</v>
      </c>
      <c r="C4995" s="96">
        <v>45641.0</v>
      </c>
      <c r="D4995" s="40" t="s">
        <v>35250</v>
      </c>
      <c r="E4995" s="97" t="s">
        <v>35251</v>
      </c>
      <c r="F4995" s="98" t="s">
        <v>35252</v>
      </c>
      <c r="G4995" s="98" t="s">
        <v>35253</v>
      </c>
      <c r="H4995" s="59" t="s">
        <v>2591</v>
      </c>
      <c r="I4995" s="25" t="str">
        <f>IFERROR(__xludf.DUMMYFUNCTION("GOOGLETRANSLATE(H4995,""EN"",""ES"")"),"Negocio")</f>
        <v>Negocio</v>
      </c>
      <c r="J4995" s="26" t="s">
        <v>35</v>
      </c>
      <c r="K4995" s="48">
        <v>-0.6</v>
      </c>
      <c r="L4995" s="51" t="s">
        <v>35254</v>
      </c>
      <c r="M4995" s="28" t="s">
        <v>35255</v>
      </c>
      <c r="N4995" s="59" t="s">
        <v>35256</v>
      </c>
      <c r="O4995" s="47" t="str">
        <f>IFERROR(__xludf.DUMMYFUNCTION("GOOGLETRANSLATE(N4995,""EN"",""ES"")"),"Negativo, critica malas decisiones de Ecopetrol respecto al acuerdo con Repsol.")</f>
        <v>Negativo, critica malas decisiones de Ecopetrol respecto al acuerdo con Repsol.</v>
      </c>
      <c r="P4995" s="30">
        <v>-0.1</v>
      </c>
      <c r="Q4995" s="31" t="str">
        <f>IFERROR(__xludf.DUMMYFUNCTION("GOOGLETRANSLATE(R4995,""ES"",""EN"")"),"bad decisions")</f>
        <v>bad decisions</v>
      </c>
      <c r="R4995" s="28" t="s">
        <v>35257</v>
      </c>
      <c r="S4995" s="53" t="s">
        <v>35258</v>
      </c>
      <c r="T4995" s="32" t="s">
        <v>35259</v>
      </c>
    </row>
    <row r="4996">
      <c r="A4996" s="33" t="s">
        <v>35260</v>
      </c>
      <c r="B4996" s="76" t="s">
        <v>7469</v>
      </c>
      <c r="C4996" s="99">
        <v>45641.0</v>
      </c>
      <c r="D4996" s="40" t="s">
        <v>35261</v>
      </c>
      <c r="E4996" s="100" t="s">
        <v>35262</v>
      </c>
      <c r="F4996" s="101" t="s">
        <v>35263</v>
      </c>
      <c r="G4996" s="101" t="s">
        <v>35264</v>
      </c>
      <c r="H4996" s="61" t="s">
        <v>35265</v>
      </c>
      <c r="I4996" s="15" t="str">
        <f>IFERROR(__xludf.DUMMYFUNCTION("GOOGLETRANSLATE(H4996,""EN"",""ES"")"),"Legal/Regulatorio")</f>
        <v>Legal/Regulatorio</v>
      </c>
      <c r="J4996" s="16" t="s">
        <v>35</v>
      </c>
      <c r="K4996" s="48">
        <v>-0.5</v>
      </c>
      <c r="L4996" s="49" t="s">
        <v>35266</v>
      </c>
      <c r="M4996" s="34" t="s">
        <v>35267</v>
      </c>
      <c r="N4996" s="61" t="s">
        <v>35268</v>
      </c>
      <c r="O4996" s="44" t="str">
        <f>IFERROR(__xludf.DUMMYFUNCTION("GOOGLETRANSLATE(N4996,""EN"",""ES"")"),"Negativo, analiza la imposición de multas por autoabastecimiento de combustible.")</f>
        <v>Negativo, analiza la imposición de multas por autoabastecimiento de combustible.</v>
      </c>
      <c r="P4996" s="30">
        <v>-0.3</v>
      </c>
      <c r="Q4996" s="18" t="str">
        <f>IFERROR(__xludf.DUMMYFUNCTION("GOOGLETRANSLATE(R4996,""ES"",""EN"")"),"fines")</f>
        <v>fines</v>
      </c>
      <c r="R4996" s="34" t="s">
        <v>35269</v>
      </c>
      <c r="S4996" s="52" t="s">
        <v>35270</v>
      </c>
      <c r="T4996" s="22" t="s">
        <v>35271</v>
      </c>
    </row>
    <row r="4997">
      <c r="A4997" s="23" t="s">
        <v>35272</v>
      </c>
      <c r="B4997" s="77" t="s">
        <v>43</v>
      </c>
      <c r="C4997" s="96">
        <v>45641.0</v>
      </c>
      <c r="D4997" s="40" t="s">
        <v>35273</v>
      </c>
      <c r="E4997" s="97" t="s">
        <v>35274</v>
      </c>
      <c r="F4997" s="98" t="s">
        <v>35275</v>
      </c>
      <c r="G4997" s="98" t="s">
        <v>35276</v>
      </c>
      <c r="H4997" s="59" t="s">
        <v>35277</v>
      </c>
      <c r="I4997" s="25" t="str">
        <f>IFERROR(__xludf.DUMMYFUNCTION("GOOGLETRANSLATE(H4997,""EN"",""ES"")"),"Mercado")</f>
        <v>Mercado</v>
      </c>
      <c r="J4997" s="26" t="s">
        <v>35</v>
      </c>
      <c r="K4997" s="48">
        <v>-0.5</v>
      </c>
      <c r="L4997" s="51" t="s">
        <v>35278</v>
      </c>
      <c r="M4997" s="28" t="s">
        <v>35279</v>
      </c>
      <c r="N4997" s="59" t="s">
        <v>35280</v>
      </c>
      <c r="O4997" s="47" t="str">
        <f>IFERROR(__xludf.DUMMYFUNCTION("GOOGLETRANSLATE(N4997,""EN"",""ES"")"),"Neutral-negativo, describe los posibles desafíos para el índice bursátil español.")</f>
        <v>Neutral-negativo, describe los posibles desafíos para el índice bursátil español.</v>
      </c>
      <c r="P4997" s="30">
        <v>0.0</v>
      </c>
      <c r="Q4997" s="31"/>
      <c r="R4997" s="31"/>
      <c r="S4997" s="53" t="s">
        <v>34868</v>
      </c>
      <c r="T4997" s="32" t="s">
        <v>34869</v>
      </c>
    </row>
    <row r="4998">
      <c r="A4998" s="33" t="s">
        <v>35281</v>
      </c>
      <c r="B4998" s="76" t="s">
        <v>2726</v>
      </c>
      <c r="C4998" s="99">
        <v>45641.0</v>
      </c>
      <c r="D4998" s="40" t="s">
        <v>35282</v>
      </c>
      <c r="E4998" s="100" t="s">
        <v>35283</v>
      </c>
      <c r="F4998" s="101" t="s">
        <v>35284</v>
      </c>
      <c r="G4998" s="101" t="s">
        <v>35285</v>
      </c>
      <c r="H4998" s="61" t="s">
        <v>148</v>
      </c>
      <c r="I4998" s="15" t="str">
        <f>IFERROR(__xludf.DUMMYFUNCTION("GOOGLETRANSLATE(H4998,""EN"",""ES"")"),"Gastronomía")</f>
        <v>Gastronomía</v>
      </c>
      <c r="J4998" s="16" t="s">
        <v>27</v>
      </c>
      <c r="K4998" s="17">
        <v>0.0</v>
      </c>
      <c r="L4998" s="49"/>
      <c r="M4998" s="18"/>
      <c r="N4998" s="61"/>
      <c r="O4998" s="44"/>
      <c r="P4998" s="20">
        <v>0.0</v>
      </c>
      <c r="Q4998" s="18"/>
      <c r="R4998" s="18"/>
      <c r="S4998" s="52"/>
      <c r="T4998" s="22"/>
    </row>
    <row r="4999">
      <c r="A4999" s="23" t="s">
        <v>35286</v>
      </c>
      <c r="B4999" s="77" t="s">
        <v>614</v>
      </c>
      <c r="C4999" s="96">
        <v>45641.0</v>
      </c>
      <c r="D4999" s="40" t="s">
        <v>35287</v>
      </c>
      <c r="E4999" s="97" t="s">
        <v>35288</v>
      </c>
      <c r="F4999" s="98" t="s">
        <v>35289</v>
      </c>
      <c r="G4999" s="98" t="s">
        <v>35290</v>
      </c>
      <c r="H4999" s="59" t="s">
        <v>11677</v>
      </c>
      <c r="I4999" s="25" t="str">
        <f>IFERROR(__xludf.DUMMYFUNCTION("GOOGLETRANSLATE(H4999,""EN"",""ES"")"),"Obituario")</f>
        <v>Obituario</v>
      </c>
      <c r="J4999" s="26" t="s">
        <v>27</v>
      </c>
      <c r="K4999" s="17">
        <v>0.0</v>
      </c>
      <c r="L4999" s="51"/>
      <c r="M4999" s="31"/>
      <c r="N4999" s="59"/>
      <c r="O4999" s="47"/>
      <c r="P4999" s="20">
        <v>0.0</v>
      </c>
      <c r="Q4999" s="31"/>
      <c r="R4999" s="31"/>
      <c r="S4999" s="53"/>
      <c r="T4999" s="32"/>
    </row>
    <row r="5000">
      <c r="A5000" s="33" t="s">
        <v>35291</v>
      </c>
      <c r="B5000" s="76" t="s">
        <v>15611</v>
      </c>
      <c r="C5000" s="99">
        <v>45641.0</v>
      </c>
      <c r="D5000" s="40" t="s">
        <v>35292</v>
      </c>
      <c r="E5000" s="100" t="s">
        <v>35293</v>
      </c>
      <c r="F5000" s="101" t="s">
        <v>35294</v>
      </c>
      <c r="G5000" s="101" t="s">
        <v>35295</v>
      </c>
      <c r="H5000" s="61" t="s">
        <v>11677</v>
      </c>
      <c r="I5000" s="15" t="str">
        <f>IFERROR(__xludf.DUMMYFUNCTION("GOOGLETRANSLATE(H5000,""EN"",""ES"")"),"Obituario")</f>
        <v>Obituario</v>
      </c>
      <c r="J5000" s="16" t="s">
        <v>27</v>
      </c>
      <c r="K5000" s="17">
        <v>0.0</v>
      </c>
      <c r="L5000" s="49"/>
      <c r="M5000" s="18"/>
      <c r="N5000" s="61"/>
      <c r="O5000" s="44"/>
      <c r="P5000" s="20">
        <v>0.0</v>
      </c>
      <c r="Q5000" s="18"/>
      <c r="R5000" s="18"/>
      <c r="S5000" s="52"/>
      <c r="T5000" s="22"/>
    </row>
    <row r="5001">
      <c r="A5001" s="23" t="s">
        <v>35296</v>
      </c>
      <c r="B5001" s="77" t="s">
        <v>35297</v>
      </c>
      <c r="C5001" s="96">
        <v>45641.0</v>
      </c>
      <c r="D5001" s="40" t="s">
        <v>35298</v>
      </c>
      <c r="E5001" s="97" t="s">
        <v>35299</v>
      </c>
      <c r="F5001" s="98" t="s">
        <v>35300</v>
      </c>
      <c r="G5001" s="98" t="s">
        <v>35301</v>
      </c>
      <c r="H5001" s="59" t="s">
        <v>11677</v>
      </c>
      <c r="I5001" s="25" t="str">
        <f>IFERROR(__xludf.DUMMYFUNCTION("GOOGLETRANSLATE(H5001,""EN"",""ES"")"),"Obituario")</f>
        <v>Obituario</v>
      </c>
      <c r="J5001" s="26" t="s">
        <v>27</v>
      </c>
      <c r="K5001" s="17">
        <v>0.0</v>
      </c>
      <c r="L5001" s="51"/>
      <c r="M5001" s="31"/>
      <c r="N5001" s="59"/>
      <c r="O5001" s="47"/>
      <c r="P5001" s="20">
        <v>0.0</v>
      </c>
      <c r="Q5001" s="31"/>
      <c r="R5001" s="31"/>
      <c r="S5001" s="53"/>
      <c r="T5001" s="32"/>
    </row>
    <row r="5002">
      <c r="A5002" s="33" t="s">
        <v>35302</v>
      </c>
      <c r="B5002" s="76" t="s">
        <v>881</v>
      </c>
      <c r="C5002" s="99">
        <v>45641.0</v>
      </c>
      <c r="D5002" s="40" t="s">
        <v>35303</v>
      </c>
      <c r="E5002" s="100" t="s">
        <v>35304</v>
      </c>
      <c r="F5002" s="101" t="s">
        <v>35305</v>
      </c>
      <c r="G5002" s="101" t="s">
        <v>35306</v>
      </c>
      <c r="H5002" s="61" t="s">
        <v>11677</v>
      </c>
      <c r="I5002" s="15" t="str">
        <f>IFERROR(__xludf.DUMMYFUNCTION("GOOGLETRANSLATE(H5002,""EN"",""ES"")"),"Obituario")</f>
        <v>Obituario</v>
      </c>
      <c r="J5002" s="16" t="s">
        <v>27</v>
      </c>
      <c r="K5002" s="17">
        <v>0.0</v>
      </c>
      <c r="L5002" s="49"/>
      <c r="M5002" s="18"/>
      <c r="N5002" s="61"/>
      <c r="O5002" s="44"/>
      <c r="P5002" s="20">
        <v>0.0</v>
      </c>
      <c r="Q5002" s="18"/>
      <c r="R5002" s="18"/>
      <c r="S5002" s="52"/>
      <c r="T5002" s="22"/>
    </row>
    <row r="5003">
      <c r="A5003" s="23" t="s">
        <v>35307</v>
      </c>
      <c r="B5003" s="77" t="s">
        <v>2099</v>
      </c>
      <c r="C5003" s="96">
        <v>45642.0</v>
      </c>
      <c r="D5003" s="40" t="s">
        <v>35308</v>
      </c>
      <c r="E5003" s="97" t="s">
        <v>35309</v>
      </c>
      <c r="F5003" s="98" t="s">
        <v>35310</v>
      </c>
      <c r="G5003" s="98" t="s">
        <v>35311</v>
      </c>
      <c r="H5003" s="59" t="s">
        <v>35312</v>
      </c>
      <c r="I5003" s="25" t="str">
        <f>IFERROR(__xludf.DUMMYFUNCTION("GOOGLETRANSLATE(H5003,""EN"",""ES"")"),"RSE/Empresa")</f>
        <v>RSE/Empresa</v>
      </c>
      <c r="J5003" s="26" t="s">
        <v>35</v>
      </c>
      <c r="K5003" s="48">
        <v>0.8</v>
      </c>
      <c r="L5003" s="51" t="s">
        <v>35313</v>
      </c>
      <c r="M5003" s="28" t="s">
        <v>35314</v>
      </c>
      <c r="N5003" s="59" t="s">
        <v>35315</v>
      </c>
      <c r="O5003" s="47" t="str">
        <f>IFERROR(__xludf.DUMMYFUNCTION("GOOGLETRANSLATE(N5003,""EN"",""ES"")"),"Positivo, destaca el apoyo de Repsol a los damnificados del temporal a través de ayudas económicas.")</f>
        <v>Positivo, destaca el apoyo de Repsol a los damnificados del temporal a través de ayudas económicas.</v>
      </c>
      <c r="P5003" s="30">
        <v>0.6</v>
      </c>
      <c r="Q5003" s="31" t="str">
        <f>IFERROR(__xludf.DUMMYFUNCTION("GOOGLETRANSLATE(R5003,""ES"",""EN"")"),"gives up to 150 euros")</f>
        <v>gives up to 150 euros</v>
      </c>
      <c r="R5003" s="28" t="s">
        <v>34577</v>
      </c>
      <c r="S5003" s="53" t="s">
        <v>34578</v>
      </c>
      <c r="T5003" s="32" t="s">
        <v>34579</v>
      </c>
    </row>
    <row r="5004">
      <c r="A5004" s="33" t="s">
        <v>35316</v>
      </c>
      <c r="B5004" s="76" t="s">
        <v>21</v>
      </c>
      <c r="C5004" s="99">
        <v>45642.0</v>
      </c>
      <c r="D5004" s="40" t="s">
        <v>35317</v>
      </c>
      <c r="E5004" s="100" t="s">
        <v>35318</v>
      </c>
      <c r="F5004" s="101" t="s">
        <v>35319</v>
      </c>
      <c r="G5004" s="101" t="s">
        <v>35320</v>
      </c>
      <c r="H5004" s="61" t="s">
        <v>35321</v>
      </c>
      <c r="I5004" s="15" t="str">
        <f>IFERROR(__xludf.DUMMYFUNCTION("GOOGLETRANSLATE(H5004,""EN"",""ES"")"),"Comercio minorista/Gastronomía")</f>
        <v>Comercio minorista/Gastronomía</v>
      </c>
      <c r="J5004" s="16" t="s">
        <v>27</v>
      </c>
      <c r="K5004" s="17">
        <v>0.0</v>
      </c>
      <c r="L5004" s="49"/>
      <c r="M5004" s="18"/>
      <c r="N5004" s="61"/>
      <c r="O5004" s="44"/>
      <c r="P5004" s="20">
        <v>0.0</v>
      </c>
      <c r="Q5004" s="18"/>
      <c r="R5004" s="18"/>
      <c r="S5004" s="52"/>
      <c r="T5004" s="22"/>
    </row>
    <row r="5005">
      <c r="A5005" s="23" t="s">
        <v>35322</v>
      </c>
      <c r="B5005" s="77" t="s">
        <v>1768</v>
      </c>
      <c r="C5005" s="96">
        <v>45642.0</v>
      </c>
      <c r="D5005" s="40" t="s">
        <v>35323</v>
      </c>
      <c r="E5005" s="97" t="s">
        <v>35324</v>
      </c>
      <c r="F5005" s="98" t="s">
        <v>35325</v>
      </c>
      <c r="G5005" s="98" t="s">
        <v>35326</v>
      </c>
      <c r="H5005" s="59" t="s">
        <v>35327</v>
      </c>
      <c r="I5005" s="25" t="str">
        <f>IFERROR(__xludf.DUMMYFUNCTION("GOOGLETRANSLATE(H5005,""EN"",""ES"")"),"Política/Medio Ambiente")</f>
        <v>Política/Medio Ambiente</v>
      </c>
      <c r="J5005" s="26" t="s">
        <v>35</v>
      </c>
      <c r="K5005" s="48">
        <v>-0.7</v>
      </c>
      <c r="L5005" s="51" t="s">
        <v>35328</v>
      </c>
      <c r="M5005" s="28" t="s">
        <v>35329</v>
      </c>
      <c r="N5005" s="59" t="s">
        <v>35330</v>
      </c>
      <c r="O5005" s="47" t="str">
        <f>IFERROR(__xludf.DUMMYFUNCTION("GOOGLETRANSLATE(N5005,""EN"",""ES"")"),"Negativo, destaca el compromiso medioambiental para obtener beneficios económicos.")</f>
        <v>Negativo, destaca el compromiso medioambiental para obtener beneficios económicos.</v>
      </c>
      <c r="P5005" s="30">
        <v>-0.5</v>
      </c>
      <c r="Q5005" s="31" t="str">
        <f>IFERROR(__xludf.DUMMYFUNCTION("GOOGLETRANSLATE(R5005,""ES"",""EN"")"),"sacrifice, ""Repsol money""")</f>
        <v>sacrifice, "Repsol money"</v>
      </c>
      <c r="R5005" s="28" t="s">
        <v>35331</v>
      </c>
      <c r="S5005" s="53" t="s">
        <v>35332</v>
      </c>
      <c r="T5005" s="32" t="s">
        <v>35333</v>
      </c>
    </row>
    <row r="5006">
      <c r="A5006" s="33" t="s">
        <v>35334</v>
      </c>
      <c r="B5006" s="76" t="s">
        <v>24252</v>
      </c>
      <c r="C5006" s="99">
        <v>45642.0</v>
      </c>
      <c r="D5006" s="40" t="s">
        <v>35335</v>
      </c>
      <c r="E5006" s="100" t="s">
        <v>35336</v>
      </c>
      <c r="F5006" s="101" t="s">
        <v>35337</v>
      </c>
      <c r="G5006" s="101" t="s">
        <v>35338</v>
      </c>
      <c r="H5006" s="61" t="s">
        <v>35339</v>
      </c>
      <c r="I5006" s="15" t="str">
        <f>IFERROR(__xludf.DUMMYFUNCTION("GOOGLETRANSLATE(H5006,""EN"",""ES"")"),"Política/Negocios")</f>
        <v>Política/Negocios</v>
      </c>
      <c r="J5006" s="16" t="s">
        <v>35</v>
      </c>
      <c r="K5006" s="48">
        <v>0.6</v>
      </c>
      <c r="L5006" s="49" t="s">
        <v>35340</v>
      </c>
      <c r="M5006" s="34" t="s">
        <v>35341</v>
      </c>
      <c r="N5006" s="61" t="s">
        <v>35342</v>
      </c>
      <c r="O5006" s="44" t="str">
        <f>IFERROR(__xludf.DUMMYFUNCTION("GOOGLETRANSLATE(N5006,""EN"",""ES"")"),"Neutral-positivo, presenta apoyo local al proyecto con expectativas económicas.")</f>
        <v>Neutral-positivo, presenta apoyo local al proyecto con expectativas económicas.</v>
      </c>
      <c r="P5006" s="30">
        <v>0.4</v>
      </c>
      <c r="Q5006" s="18" t="str">
        <f>IFERROR(__xludf.DUMMYFUNCTION("GOOGLETRANSLATE(R5006,""ES"",""EN"")"),"an opportunity")</f>
        <v>an opportunity</v>
      </c>
      <c r="R5006" s="34" t="s">
        <v>35343</v>
      </c>
      <c r="S5006" s="52" t="s">
        <v>35344</v>
      </c>
      <c r="T5006" s="22" t="s">
        <v>35345</v>
      </c>
    </row>
    <row r="5007">
      <c r="A5007" s="23" t="s">
        <v>35346</v>
      </c>
      <c r="B5007" s="77" t="s">
        <v>35347</v>
      </c>
      <c r="C5007" s="96">
        <v>45642.0</v>
      </c>
      <c r="D5007" s="40" t="s">
        <v>35348</v>
      </c>
      <c r="E5007" s="97" t="s">
        <v>35349</v>
      </c>
      <c r="F5007" s="98" t="s">
        <v>35350</v>
      </c>
      <c r="G5007" s="98" t="s">
        <v>35351</v>
      </c>
      <c r="H5007" s="59" t="s">
        <v>35327</v>
      </c>
      <c r="I5007" s="25" t="str">
        <f>IFERROR(__xludf.DUMMYFUNCTION("GOOGLETRANSLATE(H5007,""EN"",""ES"")"),"Política/Medio Ambiente")</f>
        <v>Política/Medio Ambiente</v>
      </c>
      <c r="J5007" s="26" t="s">
        <v>35</v>
      </c>
      <c r="K5007" s="48">
        <v>0.6</v>
      </c>
      <c r="L5007" s="51" t="s">
        <v>35352</v>
      </c>
      <c r="M5007" s="28" t="s">
        <v>35353</v>
      </c>
      <c r="N5007" s="59" t="s">
        <v>35354</v>
      </c>
      <c r="O5007" s="47" t="str">
        <f>IFERROR(__xludf.DUMMYFUNCTION("GOOGLETRANSLATE(N5007,""EN"",""ES"")"),"Neutral-positivo, enfatiza el apoyo al desarrollo económico a través del parque eólico.")</f>
        <v>Neutral-positivo, enfatiza el apoyo al desarrollo económico a través del parque eólico.</v>
      </c>
      <c r="P5007" s="30">
        <v>0.5</v>
      </c>
      <c r="Q5007" s="31" t="str">
        <f>IFERROR(__xludf.DUMMYFUNCTION("GOOGLETRANSLATE(R5007,""ES"",""EN"")"),"support")</f>
        <v>support</v>
      </c>
      <c r="R5007" s="28" t="s">
        <v>35355</v>
      </c>
      <c r="S5007" s="53" t="s">
        <v>35356</v>
      </c>
      <c r="T5007" s="32" t="s">
        <v>35357</v>
      </c>
    </row>
    <row r="5008">
      <c r="A5008" s="33" t="s">
        <v>35358</v>
      </c>
      <c r="B5008" s="76" t="s">
        <v>977</v>
      </c>
      <c r="C5008" s="99">
        <v>45642.0</v>
      </c>
      <c r="D5008" s="40" t="s">
        <v>35359</v>
      </c>
      <c r="E5008" s="100" t="s">
        <v>35360</v>
      </c>
      <c r="F5008" s="101" t="s">
        <v>35361</v>
      </c>
      <c r="G5008" s="101" t="s">
        <v>35362</v>
      </c>
      <c r="H5008" s="61" t="s">
        <v>148</v>
      </c>
      <c r="I5008" s="15" t="str">
        <f>IFERROR(__xludf.DUMMYFUNCTION("GOOGLETRANSLATE(H5008,""EN"",""ES"")"),"Gastronomía")</f>
        <v>Gastronomía</v>
      </c>
      <c r="J5008" s="16" t="s">
        <v>27</v>
      </c>
      <c r="K5008" s="17">
        <v>0.0</v>
      </c>
      <c r="L5008" s="49"/>
      <c r="M5008" s="18"/>
      <c r="N5008" s="61"/>
      <c r="O5008" s="44"/>
      <c r="P5008" s="20">
        <v>0.0</v>
      </c>
      <c r="Q5008" s="18"/>
      <c r="R5008" s="18"/>
      <c r="S5008" s="52"/>
      <c r="T5008" s="22"/>
    </row>
    <row r="5009">
      <c r="A5009" s="23" t="s">
        <v>35363</v>
      </c>
      <c r="B5009" s="77" t="s">
        <v>8029</v>
      </c>
      <c r="C5009" s="96">
        <v>45642.0</v>
      </c>
      <c r="D5009" s="40" t="s">
        <v>35364</v>
      </c>
      <c r="E5009" s="97" t="s">
        <v>35365</v>
      </c>
      <c r="F5009" s="98" t="s">
        <v>35366</v>
      </c>
      <c r="G5009" s="98" t="s">
        <v>35367</v>
      </c>
      <c r="H5009" s="59" t="s">
        <v>35277</v>
      </c>
      <c r="I5009" s="25" t="str">
        <f>IFERROR(__xludf.DUMMYFUNCTION("GOOGLETRANSLATE(H5009,""EN"",""ES"")"),"Mercado")</f>
        <v>Mercado</v>
      </c>
      <c r="J5009" s="26" t="s">
        <v>35</v>
      </c>
      <c r="K5009" s="48">
        <v>-0.5</v>
      </c>
      <c r="L5009" s="51" t="s">
        <v>35368</v>
      </c>
      <c r="M5009" s="28" t="s">
        <v>35369</v>
      </c>
      <c r="N5009" s="59" t="s">
        <v>35370</v>
      </c>
      <c r="O5009" s="47" t="str">
        <f>IFERROR(__xludf.DUMMYFUNCTION("GOOGLETRANSLATE(N5009,""EN"",""ES"")"),"Negativo, refleja un descenso en la evolución de la acción de Repsol.")</f>
        <v>Negativo, refleja un descenso en la evolución de la acción de Repsol.</v>
      </c>
      <c r="P5009" s="30">
        <v>0.0</v>
      </c>
      <c r="Q5009" s="31"/>
      <c r="R5009" s="31"/>
      <c r="S5009" s="53" t="s">
        <v>27387</v>
      </c>
      <c r="T5009" s="32" t="s">
        <v>27388</v>
      </c>
    </row>
    <row r="5010">
      <c r="A5010" s="33" t="s">
        <v>35371</v>
      </c>
      <c r="B5010" s="76" t="s">
        <v>881</v>
      </c>
      <c r="C5010" s="99">
        <v>45642.0</v>
      </c>
      <c r="D5010" s="40" t="s">
        <v>35372</v>
      </c>
      <c r="E5010" s="100" t="s">
        <v>35373</v>
      </c>
      <c r="F5010" s="101" t="s">
        <v>35374</v>
      </c>
      <c r="G5010" s="101" t="s">
        <v>35375</v>
      </c>
      <c r="H5010" s="61" t="s">
        <v>2591</v>
      </c>
      <c r="I5010" s="15" t="str">
        <f>IFERROR(__xludf.DUMMYFUNCTION("GOOGLETRANSLATE(H5010,""EN"",""ES"")"),"Negocio")</f>
        <v>Negocio</v>
      </c>
      <c r="J5010" s="16" t="s">
        <v>35</v>
      </c>
      <c r="K5010" s="48">
        <v>0.7</v>
      </c>
      <c r="L5010" s="49" t="s">
        <v>35376</v>
      </c>
      <c r="M5010" s="34" t="s">
        <v>35377</v>
      </c>
      <c r="N5010" s="44" t="s">
        <v>35378</v>
      </c>
      <c r="O5010" s="44" t="str">
        <f>IFERROR(__xludf.DUMMYFUNCTION("GOOGLETRANSLATE(N5010,""EN"",""ES"")"),"Positivo, destaca las inversiones sostenidas en Tarragona a pesar de los retos.")</f>
        <v>Positivo, destaca las inversiones sostenidas en Tarragona a pesar de los retos.</v>
      </c>
      <c r="P5010" s="30">
        <v>0.5</v>
      </c>
      <c r="Q5010" s="18" t="str">
        <f>IFERROR(__xludf.DUMMYFUNCTION("GOOGLETRANSLATE(R5010,""ES"",""EN"")"),"big investments")</f>
        <v>big investments</v>
      </c>
      <c r="R5010" s="34" t="s">
        <v>35379</v>
      </c>
      <c r="S5010" s="52" t="s">
        <v>35380</v>
      </c>
      <c r="T5010" s="22" t="s">
        <v>35381</v>
      </c>
    </row>
    <row r="5011">
      <c r="A5011" s="23" t="s">
        <v>35382</v>
      </c>
      <c r="B5011" s="77" t="s">
        <v>666</v>
      </c>
      <c r="C5011" s="96">
        <v>45642.0</v>
      </c>
      <c r="D5011" s="40" t="s">
        <v>35383</v>
      </c>
      <c r="E5011" s="97" t="s">
        <v>35384</v>
      </c>
      <c r="F5011" s="98" t="s">
        <v>35385</v>
      </c>
      <c r="G5011" s="98" t="s">
        <v>35386</v>
      </c>
      <c r="H5011" s="59" t="s">
        <v>35327</v>
      </c>
      <c r="I5011" s="25" t="str">
        <f>IFERROR(__xludf.DUMMYFUNCTION("GOOGLETRANSLATE(H5011,""EN"",""ES"")"),"Política/Medio Ambiente")</f>
        <v>Política/Medio Ambiente</v>
      </c>
      <c r="J5011" s="26" t="s">
        <v>35</v>
      </c>
      <c r="K5011" s="48">
        <v>0.5</v>
      </c>
      <c r="L5011" s="51" t="s">
        <v>35387</v>
      </c>
      <c r="M5011" s="28" t="s">
        <v>35388</v>
      </c>
      <c r="N5011" s="47" t="s">
        <v>35389</v>
      </c>
      <c r="O5011" s="47" t="str">
        <f>IFERROR(__xludf.DUMMYFUNCTION("GOOGLETRANSLATE(N5011,""EN"",""ES"")"),"Neutral, presenta tanto apoyo como oposición al proyecto eólico de Repsol.")</f>
        <v>Neutral, presenta tanto apoyo como oposición al proyecto eólico de Repsol.</v>
      </c>
      <c r="P5011" s="30">
        <v>0.4</v>
      </c>
      <c r="Q5011" s="31" t="str">
        <f>IFERROR(__xludf.DUMMYFUNCTION("GOOGLETRANSLATE(R5011,""ES"",""EN"")"),"in favor")</f>
        <v>in favor</v>
      </c>
      <c r="R5011" s="28" t="s">
        <v>24619</v>
      </c>
      <c r="S5011" s="53" t="s">
        <v>35344</v>
      </c>
      <c r="T5011" s="32" t="s">
        <v>35345</v>
      </c>
    </row>
    <row r="5012">
      <c r="A5012" s="33" t="s">
        <v>35390</v>
      </c>
      <c r="B5012" s="76" t="s">
        <v>35391</v>
      </c>
      <c r="C5012" s="99">
        <v>45642.0</v>
      </c>
      <c r="D5012" s="40" t="s">
        <v>35392</v>
      </c>
      <c r="E5012" s="100" t="s">
        <v>35393</v>
      </c>
      <c r="F5012" s="101" t="s">
        <v>35394</v>
      </c>
      <c r="G5012" s="101" t="s">
        <v>35395</v>
      </c>
      <c r="H5012" s="61" t="s">
        <v>148</v>
      </c>
      <c r="I5012" s="15" t="str">
        <f>IFERROR(__xludf.DUMMYFUNCTION("GOOGLETRANSLATE(H5012,""EN"",""ES"")"),"Gastronomía")</f>
        <v>Gastronomía</v>
      </c>
      <c r="J5012" s="16" t="s">
        <v>27</v>
      </c>
      <c r="K5012" s="17">
        <v>0.0</v>
      </c>
      <c r="L5012" s="49"/>
      <c r="M5012" s="18"/>
      <c r="N5012" s="44"/>
      <c r="O5012" s="44"/>
      <c r="P5012" s="20">
        <v>0.0</v>
      </c>
      <c r="Q5012" s="18"/>
      <c r="R5012" s="18"/>
      <c r="S5012" s="52"/>
      <c r="T5012" s="22"/>
    </row>
    <row r="5013">
      <c r="A5013" s="23" t="s">
        <v>35396</v>
      </c>
      <c r="B5013" s="77" t="s">
        <v>43</v>
      </c>
      <c r="C5013" s="96">
        <v>45642.0</v>
      </c>
      <c r="D5013" s="40" t="s">
        <v>35397</v>
      </c>
      <c r="E5013" s="97" t="s">
        <v>35398</v>
      </c>
      <c r="F5013" s="98" t="s">
        <v>35399</v>
      </c>
      <c r="G5013" s="98" t="s">
        <v>35400</v>
      </c>
      <c r="H5013" s="59" t="s">
        <v>148</v>
      </c>
      <c r="I5013" s="25" t="str">
        <f>IFERROR(__xludf.DUMMYFUNCTION("GOOGLETRANSLATE(H5013,""EN"",""ES"")"),"Gastronomía")</f>
        <v>Gastronomía</v>
      </c>
      <c r="J5013" s="26" t="s">
        <v>27</v>
      </c>
      <c r="K5013" s="17">
        <v>0.0</v>
      </c>
      <c r="L5013" s="51"/>
      <c r="M5013" s="31"/>
      <c r="N5013" s="47"/>
      <c r="O5013" s="47"/>
      <c r="P5013" s="20">
        <v>0.0</v>
      </c>
      <c r="Q5013" s="31"/>
      <c r="R5013" s="31"/>
      <c r="S5013" s="53"/>
      <c r="T5013" s="32"/>
    </row>
    <row r="5014">
      <c r="A5014" s="33" t="s">
        <v>35401</v>
      </c>
      <c r="B5014" s="76" t="s">
        <v>16100</v>
      </c>
      <c r="C5014" s="99">
        <v>45642.0</v>
      </c>
      <c r="D5014" s="40" t="s">
        <v>35402</v>
      </c>
      <c r="E5014" s="100" t="s">
        <v>35403</v>
      </c>
      <c r="F5014" s="101" t="s">
        <v>35404</v>
      </c>
      <c r="G5014" s="101" t="s">
        <v>35405</v>
      </c>
      <c r="H5014" s="61" t="s">
        <v>2591</v>
      </c>
      <c r="I5014" s="15" t="str">
        <f>IFERROR(__xludf.DUMMYFUNCTION("GOOGLETRANSLATE(H5014,""EN"",""ES"")"),"Negocio")</f>
        <v>Negocio</v>
      </c>
      <c r="J5014" s="16" t="s">
        <v>35</v>
      </c>
      <c r="K5014" s="48">
        <v>0.7</v>
      </c>
      <c r="L5014" s="49" t="s">
        <v>35406</v>
      </c>
      <c r="M5014" s="34" t="s">
        <v>35407</v>
      </c>
      <c r="N5014" s="44" t="s">
        <v>35408</v>
      </c>
      <c r="O5014" s="44" t="str">
        <f>IFERROR(__xludf.DUMMYFUNCTION("GOOGLETRANSLATE(N5014,""EN"",""ES"")"),"Positivo, destaca el éxito financiero de las grandes empresas españolas.")</f>
        <v>Positivo, destaca el éxito financiero de las grandes empresas españolas.</v>
      </c>
      <c r="P5014" s="30">
        <v>0.3</v>
      </c>
      <c r="Q5014" s="18" t="str">
        <f>IFERROR(__xludf.DUMMYFUNCTION("GOOGLETRANSLATE(R5014,""ES"",""EN"")"),"they billed more")</f>
        <v>they billed more</v>
      </c>
      <c r="R5014" s="34" t="s">
        <v>35409</v>
      </c>
      <c r="S5014" s="52" t="s">
        <v>35410</v>
      </c>
      <c r="T5014" s="22" t="s">
        <v>35411</v>
      </c>
    </row>
    <row r="5015">
      <c r="A5015" s="23" t="s">
        <v>35412</v>
      </c>
      <c r="B5015" s="77" t="s">
        <v>23299</v>
      </c>
      <c r="C5015" s="96">
        <v>45642.0</v>
      </c>
      <c r="D5015" s="40" t="s">
        <v>35413</v>
      </c>
      <c r="E5015" s="97" t="s">
        <v>35414</v>
      </c>
      <c r="F5015" s="98" t="s">
        <v>35415</v>
      </c>
      <c r="G5015" s="98" t="s">
        <v>35416</v>
      </c>
      <c r="H5015" s="59" t="s">
        <v>148</v>
      </c>
      <c r="I5015" s="25" t="str">
        <f>IFERROR(__xludf.DUMMYFUNCTION("GOOGLETRANSLATE(H5015,""EN"",""ES"")"),"Gastronomía")</f>
        <v>Gastronomía</v>
      </c>
      <c r="J5015" s="26" t="s">
        <v>27</v>
      </c>
      <c r="K5015" s="17">
        <v>0.0</v>
      </c>
      <c r="L5015" s="51"/>
      <c r="M5015" s="31"/>
      <c r="N5015" s="47"/>
      <c r="O5015" s="47"/>
      <c r="P5015" s="20">
        <v>0.0</v>
      </c>
      <c r="Q5015" s="31"/>
      <c r="R5015" s="31"/>
      <c r="S5015" s="53"/>
      <c r="T5015" s="32"/>
    </row>
    <row r="5016">
      <c r="A5016" s="33" t="s">
        <v>35417</v>
      </c>
      <c r="B5016" s="76" t="s">
        <v>13305</v>
      </c>
      <c r="C5016" s="99">
        <v>45642.0</v>
      </c>
      <c r="D5016" s="40" t="s">
        <v>35418</v>
      </c>
      <c r="E5016" s="100" t="s">
        <v>35419</v>
      </c>
      <c r="F5016" s="101" t="s">
        <v>35420</v>
      </c>
      <c r="G5016" s="101" t="s">
        <v>35421</v>
      </c>
      <c r="H5016" s="61" t="s">
        <v>35339</v>
      </c>
      <c r="I5016" s="15" t="str">
        <f>IFERROR(__xludf.DUMMYFUNCTION("GOOGLETRANSLATE(H5016,""EN"",""ES"")"),"Política/Negocios")</f>
        <v>Política/Negocios</v>
      </c>
      <c r="J5016" s="16" t="s">
        <v>35</v>
      </c>
      <c r="K5016" s="48">
        <v>0.6</v>
      </c>
      <c r="L5016" s="49" t="s">
        <v>35422</v>
      </c>
      <c r="M5016" s="34" t="s">
        <v>35423</v>
      </c>
      <c r="N5016" s="44" t="s">
        <v>35424</v>
      </c>
      <c r="O5016" s="44" t="str">
        <f>IFERROR(__xludf.DUMMYFUNCTION("GOOGLETRANSLATE(N5016,""EN"",""ES"")"),"Neutral-positivo, presenta apoyo local para beneficios económicos a través de energías renovables.")</f>
        <v>Neutral-positivo, presenta apoyo local para beneficios económicos a través de energías renovables.</v>
      </c>
      <c r="P5016" s="30">
        <v>0.6</v>
      </c>
      <c r="Q5016" s="18" t="str">
        <f>IFERROR(__xludf.DUMMYFUNCTION("GOOGLETRANSLATE(R5016,""ES"",""EN"")"),"economic opportunity")</f>
        <v>economic opportunity</v>
      </c>
      <c r="R5016" s="34" t="s">
        <v>35425</v>
      </c>
      <c r="S5016" s="52" t="s">
        <v>35426</v>
      </c>
      <c r="T5016" s="22" t="s">
        <v>35427</v>
      </c>
    </row>
    <row r="5017">
      <c r="A5017" s="23" t="s">
        <v>35428</v>
      </c>
      <c r="B5017" s="77" t="s">
        <v>2442</v>
      </c>
      <c r="C5017" s="96">
        <v>45642.0</v>
      </c>
      <c r="D5017" s="40" t="s">
        <v>35429</v>
      </c>
      <c r="E5017" s="97" t="s">
        <v>35430</v>
      </c>
      <c r="F5017" s="98" t="s">
        <v>35431</v>
      </c>
      <c r="G5017" s="98" t="s">
        <v>35432</v>
      </c>
      <c r="H5017" s="59" t="s">
        <v>2591</v>
      </c>
      <c r="I5017" s="25" t="str">
        <f>IFERROR(__xludf.DUMMYFUNCTION("GOOGLETRANSLATE(H5017,""EN"",""ES"")"),"Negocio")</f>
        <v>Negocio</v>
      </c>
      <c r="J5017" s="26" t="s">
        <v>27</v>
      </c>
      <c r="K5017" s="17">
        <v>0.0</v>
      </c>
      <c r="L5017" s="51"/>
      <c r="M5017" s="31"/>
      <c r="N5017" s="47"/>
      <c r="O5017" s="47"/>
      <c r="P5017" s="20">
        <v>0.0</v>
      </c>
      <c r="Q5017" s="31"/>
      <c r="R5017" s="31"/>
      <c r="S5017" s="53"/>
      <c r="T5017" s="32"/>
    </row>
    <row r="5018">
      <c r="A5018" s="33" t="s">
        <v>35433</v>
      </c>
      <c r="B5018" s="76" t="s">
        <v>21</v>
      </c>
      <c r="C5018" s="99">
        <v>45642.0</v>
      </c>
      <c r="D5018" s="40" t="s">
        <v>35434</v>
      </c>
      <c r="E5018" s="100" t="s">
        <v>35435</v>
      </c>
      <c r="F5018" s="101" t="s">
        <v>35436</v>
      </c>
      <c r="G5018" s="101" t="s">
        <v>35437</v>
      </c>
      <c r="H5018" s="61" t="s">
        <v>148</v>
      </c>
      <c r="I5018" s="15" t="str">
        <f>IFERROR(__xludf.DUMMYFUNCTION("GOOGLETRANSLATE(H5018,""EN"",""ES"")"),"Gastronomía")</f>
        <v>Gastronomía</v>
      </c>
      <c r="J5018" s="16" t="s">
        <v>27</v>
      </c>
      <c r="K5018" s="17">
        <v>0.0</v>
      </c>
      <c r="L5018" s="49"/>
      <c r="M5018" s="18"/>
      <c r="N5018" s="44"/>
      <c r="O5018" s="44"/>
      <c r="P5018" s="20">
        <v>0.0</v>
      </c>
      <c r="Q5018" s="18"/>
      <c r="R5018" s="18"/>
      <c r="S5018" s="52"/>
      <c r="T5018" s="22"/>
    </row>
    <row r="5019">
      <c r="A5019" s="23" t="s">
        <v>35438</v>
      </c>
      <c r="B5019" s="77" t="s">
        <v>1768</v>
      </c>
      <c r="C5019" s="96">
        <v>45642.0</v>
      </c>
      <c r="D5019" s="40" t="s">
        <v>35439</v>
      </c>
      <c r="E5019" s="97" t="s">
        <v>35440</v>
      </c>
      <c r="F5019" s="98" t="s">
        <v>35441</v>
      </c>
      <c r="G5019" s="98" t="s">
        <v>35442</v>
      </c>
      <c r="H5019" s="59" t="s">
        <v>35327</v>
      </c>
      <c r="I5019" s="25" t="str">
        <f>IFERROR(__xludf.DUMMYFUNCTION("GOOGLETRANSLATE(H5019,""EN"",""ES"")"),"Política/Medio Ambiente")</f>
        <v>Política/Medio Ambiente</v>
      </c>
      <c r="J5019" s="26" t="s">
        <v>35</v>
      </c>
      <c r="K5019" s="48">
        <v>-0.6</v>
      </c>
      <c r="L5019" s="51" t="s">
        <v>35443</v>
      </c>
      <c r="M5019" s="28" t="s">
        <v>35444</v>
      </c>
      <c r="N5019" s="47" t="s">
        <v>35445</v>
      </c>
      <c r="O5019" s="47" t="str">
        <f>IFERROR(__xludf.DUMMYFUNCTION("GOOGLETRANSLATE(N5019,""EN"",""ES"")"),"Negativo, analiza las acusaciones de trato preferencial para la aprobación de parques eólicos.")</f>
        <v>Negativo, analiza las acusaciones de trato preferencial para la aprobación de parques eólicos.</v>
      </c>
      <c r="P5019" s="30">
        <v>-0.6</v>
      </c>
      <c r="Q5019" s="31" t="str">
        <f>IFERROR(__xludf.DUMMYFUNCTION("GOOGLETRANSLATE(R5019,""ES"",""EN"")"),"favor treatment, ""complaint""")</f>
        <v>favor treatment, "complaint"</v>
      </c>
      <c r="R5019" s="28" t="s">
        <v>35446</v>
      </c>
      <c r="S5019" s="53" t="s">
        <v>35447</v>
      </c>
      <c r="T5019" s="32" t="s">
        <v>35448</v>
      </c>
    </row>
    <row r="5020">
      <c r="A5020" s="33" t="s">
        <v>35449</v>
      </c>
      <c r="B5020" s="76" t="s">
        <v>1005</v>
      </c>
      <c r="C5020" s="99">
        <v>45642.0</v>
      </c>
      <c r="D5020" s="40" t="s">
        <v>35450</v>
      </c>
      <c r="E5020" s="100" t="s">
        <v>35451</v>
      </c>
      <c r="F5020" s="101" t="s">
        <v>35452</v>
      </c>
      <c r="G5020" s="101" t="s">
        <v>35453</v>
      </c>
      <c r="H5020" s="61" t="s">
        <v>148</v>
      </c>
      <c r="I5020" s="15" t="str">
        <f>IFERROR(__xludf.DUMMYFUNCTION("GOOGLETRANSLATE(H5020,""EN"",""ES"")"),"Gastronomía")</f>
        <v>Gastronomía</v>
      </c>
      <c r="J5020" s="16" t="s">
        <v>27</v>
      </c>
      <c r="K5020" s="17">
        <v>0.0</v>
      </c>
      <c r="L5020" s="49"/>
      <c r="M5020" s="18"/>
      <c r="N5020" s="44"/>
      <c r="O5020" s="44"/>
      <c r="P5020" s="20">
        <v>0.0</v>
      </c>
      <c r="Q5020" s="18"/>
      <c r="R5020" s="18"/>
      <c r="S5020" s="52"/>
      <c r="T5020" s="22"/>
    </row>
    <row r="5021">
      <c r="A5021" s="23" t="s">
        <v>35454</v>
      </c>
      <c r="B5021" s="77" t="s">
        <v>21</v>
      </c>
      <c r="C5021" s="96">
        <v>45642.0</v>
      </c>
      <c r="D5021" s="40" t="s">
        <v>35455</v>
      </c>
      <c r="E5021" s="97" t="s">
        <v>35456</v>
      </c>
      <c r="F5021" s="98" t="s">
        <v>35457</v>
      </c>
      <c r="G5021" s="98" t="s">
        <v>35458</v>
      </c>
      <c r="H5021" s="59" t="s">
        <v>148</v>
      </c>
      <c r="I5021" s="25" t="str">
        <f>IFERROR(__xludf.DUMMYFUNCTION("GOOGLETRANSLATE(H5021,""EN"",""ES"")"),"Gastronomía")</f>
        <v>Gastronomía</v>
      </c>
      <c r="J5021" s="26" t="s">
        <v>27</v>
      </c>
      <c r="K5021" s="17">
        <v>0.0</v>
      </c>
      <c r="L5021" s="51"/>
      <c r="M5021" s="31"/>
      <c r="N5021" s="47"/>
      <c r="O5021" s="47"/>
      <c r="P5021" s="20">
        <v>0.0</v>
      </c>
      <c r="Q5021" s="31"/>
      <c r="R5021" s="31"/>
      <c r="S5021" s="53"/>
      <c r="T5021" s="32"/>
    </row>
    <row r="5022">
      <c r="A5022" s="33" t="s">
        <v>35459</v>
      </c>
      <c r="B5022" s="76" t="s">
        <v>21</v>
      </c>
      <c r="C5022" s="99">
        <v>45643.0</v>
      </c>
      <c r="D5022" s="40" t="s">
        <v>35460</v>
      </c>
      <c r="E5022" s="100" t="s">
        <v>35461</v>
      </c>
      <c r="F5022" s="101" t="s">
        <v>35462</v>
      </c>
      <c r="G5022" s="101" t="s">
        <v>35463</v>
      </c>
      <c r="H5022" s="61" t="s">
        <v>148</v>
      </c>
      <c r="I5022" s="15" t="str">
        <f>IFERROR(__xludf.DUMMYFUNCTION("GOOGLETRANSLATE(H5022,""EN"",""ES"")"),"Gastronomía")</f>
        <v>Gastronomía</v>
      </c>
      <c r="J5022" s="16" t="s">
        <v>27</v>
      </c>
      <c r="K5022" s="17">
        <v>0.0</v>
      </c>
      <c r="L5022" s="49"/>
      <c r="M5022" s="18"/>
      <c r="N5022" s="44"/>
      <c r="O5022" s="44"/>
      <c r="P5022" s="20">
        <v>0.0</v>
      </c>
      <c r="Q5022" s="18"/>
      <c r="R5022" s="18"/>
      <c r="S5022" s="52"/>
      <c r="T5022" s="22"/>
    </row>
    <row r="5023">
      <c r="A5023" s="23" t="s">
        <v>35464</v>
      </c>
      <c r="B5023" s="77" t="s">
        <v>18525</v>
      </c>
      <c r="C5023" s="96">
        <v>45643.0</v>
      </c>
      <c r="D5023" s="40" t="s">
        <v>35465</v>
      </c>
      <c r="E5023" s="97" t="s">
        <v>35466</v>
      </c>
      <c r="F5023" s="98" t="s">
        <v>35467</v>
      </c>
      <c r="G5023" s="98" t="s">
        <v>35468</v>
      </c>
      <c r="H5023" s="59" t="s">
        <v>35469</v>
      </c>
      <c r="I5023" s="25" t="str">
        <f>IFERROR(__xludf.DUMMYFUNCTION("GOOGLETRANSLATE(H5023,""EN"",""ES"")"),"Fraude/Negocios")</f>
        <v>Fraude/Negocios</v>
      </c>
      <c r="J5023" s="26" t="s">
        <v>35</v>
      </c>
      <c r="K5023" s="48">
        <v>-0.7</v>
      </c>
      <c r="L5023" s="51" t="s">
        <v>35470</v>
      </c>
      <c r="M5023" s="28" t="s">
        <v>35471</v>
      </c>
      <c r="N5023" s="47" t="s">
        <v>35472</v>
      </c>
      <c r="O5023" s="47" t="str">
        <f>IFERROR(__xludf.DUMMYFUNCTION("GOOGLETRANSLATE(N5023,""EN"",""ES"")"),"Negativo, destaca una estafa haciéndose pasar por Repsol.")</f>
        <v>Negativo, destaca una estafa haciéndose pasar por Repsol.</v>
      </c>
      <c r="P5023" s="30">
        <v>-0.3</v>
      </c>
      <c r="Q5023" s="31" t="str">
        <f>IFERROR(__xludf.DUMMYFUNCTION("GOOGLETRANSLATE(R5023,""ES"",""EN"")"),"does not give away")</f>
        <v>does not give away</v>
      </c>
      <c r="R5023" s="28" t="s">
        <v>35473</v>
      </c>
      <c r="S5023" s="53" t="s">
        <v>35474</v>
      </c>
      <c r="T5023" s="32" t="s">
        <v>35475</v>
      </c>
    </row>
    <row r="5024">
      <c r="A5024" s="33" t="s">
        <v>35476</v>
      </c>
      <c r="B5024" s="76" t="s">
        <v>2199</v>
      </c>
      <c r="C5024" s="99">
        <v>45643.0</v>
      </c>
      <c r="D5024" s="40" t="s">
        <v>35477</v>
      </c>
      <c r="E5024" s="100" t="s">
        <v>35478</v>
      </c>
      <c r="F5024" s="101" t="s">
        <v>35479</v>
      </c>
      <c r="G5024" s="101" t="s">
        <v>35480</v>
      </c>
      <c r="H5024" s="61" t="s">
        <v>35327</v>
      </c>
      <c r="I5024" s="15" t="str">
        <f>IFERROR(__xludf.DUMMYFUNCTION("GOOGLETRANSLATE(H5024,""EN"",""ES"")"),"Política/Medio Ambiente")</f>
        <v>Política/Medio Ambiente</v>
      </c>
      <c r="J5024" s="16" t="s">
        <v>35</v>
      </c>
      <c r="K5024" s="48">
        <v>-0.6</v>
      </c>
      <c r="L5024" s="49" t="s">
        <v>35481</v>
      </c>
      <c r="M5024" s="34" t="s">
        <v>35482</v>
      </c>
      <c r="N5024" s="44" t="s">
        <v>35483</v>
      </c>
      <c r="O5024" s="44" t="str">
        <f>IFERROR(__xludf.DUMMYFUNCTION("GOOGLETRANSLATE(N5024,""EN"",""ES"")"),"Negativo, muestra división entre los municipios locales en cuanto a preocupaciones ambientales.")</f>
        <v>Negativo, muestra división entre los municipios locales en cuanto a preocupaciones ambientales.</v>
      </c>
      <c r="P5024" s="30">
        <v>-0.4</v>
      </c>
      <c r="Q5024" s="18" t="str">
        <f>IFERROR(__xludf.DUMMYFUNCTION("GOOGLETRANSLATE(R5024,""ES"",""EN"")"),"divide")</f>
        <v>divide</v>
      </c>
      <c r="R5024" s="34" t="s">
        <v>35484</v>
      </c>
      <c r="S5024" s="52" t="s">
        <v>11013</v>
      </c>
      <c r="T5024" s="22" t="s">
        <v>11014</v>
      </c>
    </row>
    <row r="5025">
      <c r="A5025" s="23" t="s">
        <v>35485</v>
      </c>
      <c r="B5025" s="77" t="s">
        <v>1768</v>
      </c>
      <c r="C5025" s="96">
        <v>45643.0</v>
      </c>
      <c r="D5025" s="40" t="s">
        <v>35486</v>
      </c>
      <c r="E5025" s="97" t="s">
        <v>35487</v>
      </c>
      <c r="F5025" s="98" t="s">
        <v>35488</v>
      </c>
      <c r="G5025" s="98" t="s">
        <v>35489</v>
      </c>
      <c r="H5025" s="59" t="s">
        <v>395</v>
      </c>
      <c r="I5025" s="25" t="str">
        <f>IFERROR(__xludf.DUMMYFUNCTION("GOOGLETRANSLATE(H5025,""EN"",""ES"")"),"Ambiente")</f>
        <v>Ambiente</v>
      </c>
      <c r="J5025" s="26" t="s">
        <v>35</v>
      </c>
      <c r="K5025" s="48">
        <v>-0.8</v>
      </c>
      <c r="L5025" s="51" t="s">
        <v>35490</v>
      </c>
      <c r="M5025" s="28" t="s">
        <v>35491</v>
      </c>
      <c r="N5025" s="47" t="s">
        <v>35492</v>
      </c>
      <c r="O5025" s="47" t="str">
        <f>IFERROR(__xludf.DUMMYFUNCTION("GOOGLETRANSLATE(N5025,""EN"",""ES"")"),"Negativo, destaca las preocupaciones sobre el impacto en la vida silvestre debido a las instalaciones de parques eólicos.")</f>
        <v>Negativo, destaca las preocupaciones sobre el impacto en la vida silvestre debido a las instalaciones de parques eólicos.</v>
      </c>
      <c r="P5025" s="30">
        <v>-0.8</v>
      </c>
      <c r="Q5025" s="31" t="str">
        <f>IFERROR(__xludf.DUMMYFUNCTION("GOOGLETRANSLATE(R5025,""ES"",""EN"")"),"serious impact")</f>
        <v>serious impact</v>
      </c>
      <c r="R5025" s="28" t="s">
        <v>35493</v>
      </c>
      <c r="S5025" s="53" t="s">
        <v>35494</v>
      </c>
      <c r="T5025" s="32" t="s">
        <v>35495</v>
      </c>
    </row>
    <row r="5026">
      <c r="A5026" s="33" t="s">
        <v>35496</v>
      </c>
      <c r="B5026" s="76" t="s">
        <v>13305</v>
      </c>
      <c r="C5026" s="99">
        <v>45643.0</v>
      </c>
      <c r="D5026" s="40" t="s">
        <v>35497</v>
      </c>
      <c r="E5026" s="100" t="s">
        <v>35498</v>
      </c>
      <c r="F5026" s="101" t="s">
        <v>35499</v>
      </c>
      <c r="G5026" s="101" t="s">
        <v>35500</v>
      </c>
      <c r="H5026" s="61" t="s">
        <v>1975</v>
      </c>
      <c r="I5026" s="15" t="str">
        <f>IFERROR(__xludf.DUMMYFUNCTION("GOOGLETRANSLATE(H5026,""EN"",""ES"")"),"Política")</f>
        <v>Política</v>
      </c>
      <c r="J5026" s="16" t="s">
        <v>35</v>
      </c>
      <c r="K5026" s="48">
        <v>0.5</v>
      </c>
      <c r="L5026" s="49" t="s">
        <v>35501</v>
      </c>
      <c r="M5026" s="34" t="s">
        <v>35502</v>
      </c>
      <c r="N5026" s="44" t="s">
        <v>35503</v>
      </c>
      <c r="O5026" s="44" t="str">
        <f>IFERROR(__xludf.DUMMYFUNCTION("GOOGLETRANSLATE(N5026,""EN"",""ES"")"),"Neutral, señala opiniones divergentes sobre el proyecto del parque eólico de Repsol.")</f>
        <v>Neutral, señala opiniones divergentes sobre el proyecto del parque eólico de Repsol.</v>
      </c>
      <c r="P5026" s="30">
        <v>0.2</v>
      </c>
      <c r="Q5026" s="18" t="str">
        <f>IFERROR(__xludf.DUMMYFUNCTION("GOOGLETRANSLATE(R5026,""ES"",""EN"")"),"compatible")</f>
        <v>compatible</v>
      </c>
      <c r="R5026" s="34" t="s">
        <v>35504</v>
      </c>
      <c r="S5026" s="52" t="s">
        <v>35505</v>
      </c>
      <c r="T5026" s="22" t="s">
        <v>35506</v>
      </c>
    </row>
    <row r="5027">
      <c r="A5027" s="23" t="s">
        <v>35507</v>
      </c>
      <c r="B5027" s="77" t="s">
        <v>1602</v>
      </c>
      <c r="C5027" s="96">
        <v>45643.0</v>
      </c>
      <c r="D5027" s="40" t="s">
        <v>35508</v>
      </c>
      <c r="E5027" s="97" t="s">
        <v>35509</v>
      </c>
      <c r="F5027" s="98" t="s">
        <v>35510</v>
      </c>
      <c r="G5027" s="98" t="s">
        <v>35511</v>
      </c>
      <c r="H5027" s="59" t="s">
        <v>2591</v>
      </c>
      <c r="I5027" s="25" t="str">
        <f>IFERROR(__xludf.DUMMYFUNCTION("GOOGLETRANSLATE(H5027,""EN"",""ES"")"),"Negocio")</f>
        <v>Negocio</v>
      </c>
      <c r="J5027" s="26" t="s">
        <v>35</v>
      </c>
      <c r="K5027" s="48">
        <v>-0.5</v>
      </c>
      <c r="L5027" s="51" t="s">
        <v>35512</v>
      </c>
      <c r="M5027" s="28" t="s">
        <v>35513</v>
      </c>
      <c r="N5027" s="47" t="s">
        <v>35514</v>
      </c>
      <c r="O5027" s="47" t="str">
        <f>IFERROR(__xludf.DUMMYFUNCTION("GOOGLETRANSLATE(N5027,""EN"",""ES"")"),"Negativo, analiza la mala evolución bursátil de Repsol y el análisis técnico del mercado.")</f>
        <v>Negativo, analiza la mala evolución bursátil de Repsol y el análisis técnico del mercado.</v>
      </c>
      <c r="P5027" s="30">
        <v>-0.5</v>
      </c>
      <c r="Q5027" s="31" t="str">
        <f>IFERROR(__xludf.DUMMYFUNCTION("GOOGLETRANSLATE(R5027,""ES"",""EN"")"),"perforated brackets")</f>
        <v>perforated brackets</v>
      </c>
      <c r="R5027" s="28" t="s">
        <v>35515</v>
      </c>
      <c r="S5027" s="53" t="s">
        <v>25999</v>
      </c>
      <c r="T5027" s="32" t="s">
        <v>26000</v>
      </c>
    </row>
    <row r="5028">
      <c r="A5028" s="33" t="s">
        <v>35516</v>
      </c>
      <c r="B5028" s="76" t="s">
        <v>26360</v>
      </c>
      <c r="C5028" s="99">
        <v>45643.0</v>
      </c>
      <c r="D5028" s="40" t="s">
        <v>35517</v>
      </c>
      <c r="E5028" s="100" t="s">
        <v>35518</v>
      </c>
      <c r="F5028" s="101" t="s">
        <v>35519</v>
      </c>
      <c r="G5028" s="101" t="s">
        <v>35520</v>
      </c>
      <c r="H5028" s="61" t="s">
        <v>35521</v>
      </c>
      <c r="I5028" s="15" t="str">
        <f>IFERROR(__xludf.DUMMYFUNCTION("GOOGLETRANSLATE(H5028,""EN"",""ES"")"),"Tecnología/Negocios")</f>
        <v>Tecnología/Negocios</v>
      </c>
      <c r="J5028" s="16" t="s">
        <v>35</v>
      </c>
      <c r="K5028" s="48">
        <v>0.7</v>
      </c>
      <c r="L5028" s="49" t="s">
        <v>35522</v>
      </c>
      <c r="M5028" s="34" t="s">
        <v>35523</v>
      </c>
      <c r="N5028" s="44" t="s">
        <v>35524</v>
      </c>
      <c r="O5028" s="44" t="str">
        <f>IFERROR(__xludf.DUMMYFUNCTION("GOOGLETRANSLATE(N5028,""EN"",""ES"")"),"Positivo, promueve la facilidad y utilidad de la aplicación Waylet para los consumidores.")</f>
        <v>Positivo, promueve la facilidad y utilidad de la aplicación Waylet para los consumidores.</v>
      </c>
      <c r="P5028" s="30">
        <v>0.5</v>
      </c>
      <c r="Q5028" s="18" t="str">
        <f>IFERROR(__xludf.DUMMYFUNCTION("GOOGLETRANSLATE(R5028,""ES"",""EN"")"),"best ally")</f>
        <v>best ally</v>
      </c>
      <c r="R5028" s="34" t="s">
        <v>33698</v>
      </c>
      <c r="S5028" s="52" t="s">
        <v>35525</v>
      </c>
      <c r="T5028" s="22" t="s">
        <v>35526</v>
      </c>
    </row>
    <row r="5029">
      <c r="A5029" s="23" t="s">
        <v>35527</v>
      </c>
      <c r="B5029" s="77" t="s">
        <v>1072</v>
      </c>
      <c r="C5029" s="96">
        <v>45643.0</v>
      </c>
      <c r="D5029" s="40" t="s">
        <v>35528</v>
      </c>
      <c r="E5029" s="97" t="s">
        <v>35529</v>
      </c>
      <c r="F5029" s="98" t="s">
        <v>35530</v>
      </c>
      <c r="G5029" s="98" t="s">
        <v>35531</v>
      </c>
      <c r="H5029" s="59" t="s">
        <v>35532</v>
      </c>
      <c r="I5029" s="25" t="str">
        <f>IFERROR(__xludf.DUMMYFUNCTION("GOOGLETRANSLATE(H5029,""EN"",""ES"")"),"Negocios/Finanzas")</f>
        <v>Negocios/Finanzas</v>
      </c>
      <c r="J5029" s="26" t="s">
        <v>35</v>
      </c>
      <c r="K5029" s="48">
        <v>0.5</v>
      </c>
      <c r="L5029" s="51" t="s">
        <v>35533</v>
      </c>
      <c r="M5029" s="28" t="s">
        <v>35534</v>
      </c>
      <c r="N5029" s="47" t="s">
        <v>35535</v>
      </c>
      <c r="O5029" s="47" t="str">
        <f>IFERROR(__xludf.DUMMYFUNCTION("GOOGLETRANSLATE(N5029,""EN"",""ES"")"),"Neutral, cubre un amplio espectro de negocios y temas económicos sin una opinión fuerte.")</f>
        <v>Neutral, cubre un amplio espectro de negocios y temas económicos sin una opinión fuerte.</v>
      </c>
      <c r="P5029" s="30">
        <v>0.0</v>
      </c>
      <c r="Q5029" s="31"/>
      <c r="R5029" s="31"/>
      <c r="S5029" s="53" t="s">
        <v>469</v>
      </c>
      <c r="T5029" s="32" t="s">
        <v>470</v>
      </c>
    </row>
    <row r="5030">
      <c r="A5030" s="33" t="s">
        <v>35536</v>
      </c>
      <c r="B5030" s="76" t="s">
        <v>2210</v>
      </c>
      <c r="C5030" s="99">
        <v>45643.0</v>
      </c>
      <c r="D5030" s="40" t="s">
        <v>35537</v>
      </c>
      <c r="E5030" s="100" t="s">
        <v>35538</v>
      </c>
      <c r="F5030" s="101" t="s">
        <v>35539</v>
      </c>
      <c r="G5030" s="101" t="s">
        <v>35540</v>
      </c>
      <c r="H5030" s="61" t="s">
        <v>148</v>
      </c>
      <c r="I5030" s="15" t="str">
        <f>IFERROR(__xludf.DUMMYFUNCTION("GOOGLETRANSLATE(H5030,""EN"",""ES"")"),"Gastronomía")</f>
        <v>Gastronomía</v>
      </c>
      <c r="J5030" s="16" t="s">
        <v>27</v>
      </c>
      <c r="K5030" s="17">
        <v>0.0</v>
      </c>
      <c r="L5030" s="49"/>
      <c r="M5030" s="18"/>
      <c r="N5030" s="44"/>
      <c r="O5030" s="44"/>
      <c r="P5030" s="20">
        <v>0.0</v>
      </c>
      <c r="Q5030" s="18"/>
      <c r="R5030" s="18"/>
      <c r="S5030" s="52"/>
      <c r="T5030" s="22"/>
    </row>
    <row r="5031">
      <c r="A5031" s="23" t="s">
        <v>35541</v>
      </c>
      <c r="B5031" s="77" t="s">
        <v>35542</v>
      </c>
      <c r="C5031" s="96">
        <v>45643.0</v>
      </c>
      <c r="D5031" s="40" t="s">
        <v>35543</v>
      </c>
      <c r="E5031" s="97" t="s">
        <v>35544</v>
      </c>
      <c r="F5031" s="98" t="s">
        <v>35545</v>
      </c>
      <c r="G5031" s="98" t="s">
        <v>35546</v>
      </c>
      <c r="H5031" s="59" t="s">
        <v>395</v>
      </c>
      <c r="I5031" s="25" t="str">
        <f>IFERROR(__xludf.DUMMYFUNCTION("GOOGLETRANSLATE(H5031,""EN"",""ES"")"),"Ambiente")</f>
        <v>Ambiente</v>
      </c>
      <c r="J5031" s="26" t="s">
        <v>35</v>
      </c>
      <c r="K5031" s="48">
        <v>-0.4</v>
      </c>
      <c r="L5031" s="51" t="s">
        <v>35547</v>
      </c>
      <c r="M5031" s="31" t="s">
        <v>35548</v>
      </c>
      <c r="N5031" s="47" t="s">
        <v>35549</v>
      </c>
      <c r="O5031" s="47" t="str">
        <f>IFERROR(__xludf.DUMMYFUNCTION("GOOGLETRANSLATE(N5031,""EN"",""ES"")"),"Neutral-negativo, discutiendo las deficiencias de la comunicación sostenible.")</f>
        <v>Neutral-negativo, discutiendo las deficiencias de la comunicación sostenible.</v>
      </c>
      <c r="P5031" s="30">
        <v>-0.4</v>
      </c>
      <c r="Q5031" s="31" t="str">
        <f>IFERROR(__xludf.DUMMYFUNCTION("GOOGLETRANSLATE(R5031,""ES"",""EN"")"),"ecopostureo")</f>
        <v>ecopostureo</v>
      </c>
      <c r="R5031" s="28" t="s">
        <v>32071</v>
      </c>
      <c r="S5031" s="53" t="s">
        <v>10934</v>
      </c>
      <c r="T5031" s="32" t="s">
        <v>10935</v>
      </c>
    </row>
    <row r="5032">
      <c r="A5032" s="33" t="s">
        <v>35550</v>
      </c>
      <c r="B5032" s="76" t="s">
        <v>35551</v>
      </c>
      <c r="C5032" s="99">
        <v>45643.0</v>
      </c>
      <c r="D5032" s="40" t="s">
        <v>35552</v>
      </c>
      <c r="E5032" s="100" t="s">
        <v>35553</v>
      </c>
      <c r="F5032" s="101" t="s">
        <v>35554</v>
      </c>
      <c r="G5032" s="101" t="s">
        <v>35555</v>
      </c>
      <c r="H5032" s="61" t="s">
        <v>782</v>
      </c>
      <c r="I5032" s="15" t="str">
        <f>IFERROR(__xludf.DUMMYFUNCTION("GOOGLETRANSLATE(H5032,""EN"",""ES"")"),"Tecnología")</f>
        <v>Tecnología</v>
      </c>
      <c r="J5032" s="16" t="s">
        <v>35</v>
      </c>
      <c r="K5032" s="48">
        <v>0.5</v>
      </c>
      <c r="L5032" s="49" t="s">
        <v>35556</v>
      </c>
      <c r="M5032" s="34" t="s">
        <v>35557</v>
      </c>
      <c r="N5032" s="44" t="s">
        <v>35558</v>
      </c>
      <c r="O5032" s="44" t="str">
        <f>IFERROR(__xludf.DUMMYFUNCTION("GOOGLETRANSLATE(N5032,""EN"",""ES"")"),"Neutral-positivo, presenta una nueva vida potencial para los coches diésel.")</f>
        <v>Neutral-positivo, presenta una nueva vida potencial para los coches diésel.</v>
      </c>
      <c r="P5032" s="30">
        <v>0.0</v>
      </c>
      <c r="Q5032" s="18"/>
      <c r="R5032" s="18"/>
      <c r="S5032" s="52" t="s">
        <v>469</v>
      </c>
      <c r="T5032" s="22" t="s">
        <v>470</v>
      </c>
    </row>
    <row r="5033">
      <c r="A5033" s="23" t="s">
        <v>35559</v>
      </c>
      <c r="B5033" s="77" t="s">
        <v>24252</v>
      </c>
      <c r="C5033" s="96">
        <v>45643.0</v>
      </c>
      <c r="D5033" s="40" t="s">
        <v>35560</v>
      </c>
      <c r="E5033" s="97" t="s">
        <v>35561</v>
      </c>
      <c r="F5033" s="98" t="s">
        <v>35562</v>
      </c>
      <c r="G5033" s="98" t="s">
        <v>35563</v>
      </c>
      <c r="H5033" s="59" t="s">
        <v>395</v>
      </c>
      <c r="I5033" s="25" t="str">
        <f>IFERROR(__xludf.DUMMYFUNCTION("GOOGLETRANSLATE(H5033,""EN"",""ES"")"),"Ambiente")</f>
        <v>Ambiente</v>
      </c>
      <c r="J5033" s="26" t="s">
        <v>35</v>
      </c>
      <c r="K5033" s="48">
        <v>-0.8</v>
      </c>
      <c r="L5033" s="51" t="s">
        <v>35564</v>
      </c>
      <c r="M5033" s="28" t="s">
        <v>35565</v>
      </c>
      <c r="N5033" s="47" t="s">
        <v>35566</v>
      </c>
      <c r="O5033" s="47" t="str">
        <f>IFERROR(__xludf.DUMMYFUNCTION("GOOGLETRANSLATE(N5033,""EN"",""ES"")"),"Preocupaciones ambientales negativas sobre los proyectos eólicos.")</f>
        <v>Preocupaciones ambientales negativas sobre los proyectos eólicos.</v>
      </c>
      <c r="P5033" s="30">
        <v>-0.7</v>
      </c>
      <c r="Q5033" s="31" t="str">
        <f>IFERROR(__xludf.DUMMYFUNCTION("GOOGLETRANSLATE(R5033,""ES"",""EN"")"),"advises against")</f>
        <v>advises against</v>
      </c>
      <c r="R5033" s="28" t="s">
        <v>35567</v>
      </c>
      <c r="S5033" s="53" t="s">
        <v>35568</v>
      </c>
      <c r="T5033" s="32" t="s">
        <v>35569</v>
      </c>
    </row>
    <row r="5034">
      <c r="A5034" s="33" t="s">
        <v>35570</v>
      </c>
      <c r="B5034" s="76" t="s">
        <v>3045</v>
      </c>
      <c r="C5034" s="99">
        <v>45643.0</v>
      </c>
      <c r="D5034" s="40" t="s">
        <v>35571</v>
      </c>
      <c r="E5034" s="100" t="s">
        <v>35572</v>
      </c>
      <c r="F5034" s="101" t="s">
        <v>35573</v>
      </c>
      <c r="G5034" s="101" t="s">
        <v>35574</v>
      </c>
      <c r="H5034" s="61" t="s">
        <v>148</v>
      </c>
      <c r="I5034" s="15" t="str">
        <f>IFERROR(__xludf.DUMMYFUNCTION("GOOGLETRANSLATE(H5034,""EN"",""ES"")"),"Gastronomía")</f>
        <v>Gastronomía</v>
      </c>
      <c r="J5034" s="16" t="s">
        <v>27</v>
      </c>
      <c r="K5034" s="17">
        <v>0.0</v>
      </c>
      <c r="L5034" s="49"/>
      <c r="M5034" s="18"/>
      <c r="N5034" s="44"/>
      <c r="O5034" s="44"/>
      <c r="P5034" s="20">
        <v>0.0</v>
      </c>
      <c r="Q5034" s="18"/>
      <c r="R5034" s="18"/>
      <c r="S5034" s="52"/>
      <c r="T5034" s="22"/>
    </row>
    <row r="5035">
      <c r="A5035" s="23" t="s">
        <v>35575</v>
      </c>
      <c r="B5035" s="77" t="s">
        <v>21</v>
      </c>
      <c r="C5035" s="96">
        <v>45643.0</v>
      </c>
      <c r="D5035" s="40" t="s">
        <v>35576</v>
      </c>
      <c r="E5035" s="97" t="s">
        <v>35577</v>
      </c>
      <c r="F5035" s="98" t="s">
        <v>35578</v>
      </c>
      <c r="G5035" s="98" t="s">
        <v>35579</v>
      </c>
      <c r="H5035" s="59" t="s">
        <v>35580</v>
      </c>
      <c r="I5035" s="25" t="str">
        <f>IFERROR(__xludf.DUMMYFUNCTION("GOOGLETRANSLATE(H5035,""EN"",""ES"")"),"Eventos comunitarios")</f>
        <v>Eventos comunitarios</v>
      </c>
      <c r="J5035" s="26" t="s">
        <v>27</v>
      </c>
      <c r="K5035" s="17">
        <v>0.0</v>
      </c>
      <c r="L5035" s="51"/>
      <c r="M5035" s="31"/>
      <c r="N5035" s="47"/>
      <c r="O5035" s="47"/>
      <c r="P5035" s="20">
        <v>0.0</v>
      </c>
      <c r="Q5035" s="31"/>
      <c r="R5035" s="31"/>
      <c r="S5035" s="53"/>
      <c r="T5035" s="32"/>
    </row>
    <row r="5036">
      <c r="A5036" s="33" t="s">
        <v>35581</v>
      </c>
      <c r="B5036" s="76" t="s">
        <v>50</v>
      </c>
      <c r="C5036" s="99">
        <v>45643.0</v>
      </c>
      <c r="D5036" s="40" t="s">
        <v>35582</v>
      </c>
      <c r="E5036" s="100" t="s">
        <v>35583</v>
      </c>
      <c r="F5036" s="101" t="s">
        <v>35584</v>
      </c>
      <c r="G5036" s="101" t="s">
        <v>35585</v>
      </c>
      <c r="H5036" s="61" t="s">
        <v>32513</v>
      </c>
      <c r="I5036" s="15" t="str">
        <f>IFERROR(__xludf.DUMMYFUNCTION("GOOGLETRANSLATE(H5036,""EN"",""ES"")"),"Impacto Social")</f>
        <v>Impacto Social</v>
      </c>
      <c r="J5036" s="16" t="s">
        <v>27</v>
      </c>
      <c r="K5036" s="17">
        <v>0.0</v>
      </c>
      <c r="L5036" s="49"/>
      <c r="M5036" s="18"/>
      <c r="N5036" s="44"/>
      <c r="O5036" s="44"/>
      <c r="P5036" s="20">
        <v>0.0</v>
      </c>
      <c r="Q5036" s="18"/>
      <c r="R5036" s="18"/>
      <c r="S5036" s="52"/>
      <c r="T5036" s="22"/>
    </row>
    <row r="5037">
      <c r="A5037" s="23" t="s">
        <v>35586</v>
      </c>
      <c r="B5037" s="77" t="s">
        <v>21</v>
      </c>
      <c r="C5037" s="96">
        <v>45643.0</v>
      </c>
      <c r="D5037" s="40" t="s">
        <v>35587</v>
      </c>
      <c r="E5037" s="97" t="s">
        <v>35588</v>
      </c>
      <c r="F5037" s="98" t="s">
        <v>35589</v>
      </c>
      <c r="G5037" s="98" t="s">
        <v>35590</v>
      </c>
      <c r="H5037" s="59" t="s">
        <v>148</v>
      </c>
      <c r="I5037" s="25" t="str">
        <f>IFERROR(__xludf.DUMMYFUNCTION("GOOGLETRANSLATE(H5037,""EN"",""ES"")"),"Gastronomía")</f>
        <v>Gastronomía</v>
      </c>
      <c r="J5037" s="26" t="s">
        <v>27</v>
      </c>
      <c r="K5037" s="17">
        <v>0.0</v>
      </c>
      <c r="L5037" s="51"/>
      <c r="M5037" s="31"/>
      <c r="N5037" s="47"/>
      <c r="O5037" s="47"/>
      <c r="P5037" s="20">
        <v>0.0</v>
      </c>
      <c r="Q5037" s="31"/>
      <c r="R5037" s="31"/>
      <c r="S5037" s="53"/>
      <c r="T5037" s="32"/>
    </row>
    <row r="5038">
      <c r="A5038" s="33" t="s">
        <v>35591</v>
      </c>
      <c r="B5038" s="76" t="s">
        <v>21</v>
      </c>
      <c r="C5038" s="99">
        <v>45643.0</v>
      </c>
      <c r="D5038" s="40" t="s">
        <v>35592</v>
      </c>
      <c r="E5038" s="100" t="s">
        <v>35593</v>
      </c>
      <c r="F5038" s="101" t="s">
        <v>35594</v>
      </c>
      <c r="G5038" s="101" t="s">
        <v>35595</v>
      </c>
      <c r="H5038" s="61" t="s">
        <v>148</v>
      </c>
      <c r="I5038" s="15" t="str">
        <f>IFERROR(__xludf.DUMMYFUNCTION("GOOGLETRANSLATE(H5038,""EN"",""ES"")"),"Gastronomía")</f>
        <v>Gastronomía</v>
      </c>
      <c r="J5038" s="16" t="s">
        <v>27</v>
      </c>
      <c r="K5038" s="17">
        <v>0.0</v>
      </c>
      <c r="L5038" s="49"/>
      <c r="M5038" s="18"/>
      <c r="N5038" s="44"/>
      <c r="O5038" s="44"/>
      <c r="P5038" s="20">
        <v>0.0</v>
      </c>
      <c r="Q5038" s="18"/>
      <c r="R5038" s="18"/>
      <c r="S5038" s="52"/>
      <c r="T5038" s="22"/>
    </row>
    <row r="5039">
      <c r="A5039" s="23" t="s">
        <v>35596</v>
      </c>
      <c r="B5039" s="77" t="s">
        <v>21</v>
      </c>
      <c r="C5039" s="96">
        <v>45643.0</v>
      </c>
      <c r="D5039" s="40" t="s">
        <v>35597</v>
      </c>
      <c r="E5039" s="97" t="s">
        <v>35598</v>
      </c>
      <c r="F5039" s="98" t="s">
        <v>35599</v>
      </c>
      <c r="G5039" s="98" t="s">
        <v>35600</v>
      </c>
      <c r="H5039" s="59" t="s">
        <v>969</v>
      </c>
      <c r="I5039" s="25" t="str">
        <f>IFERROR(__xludf.DUMMYFUNCTION("GOOGLETRANSLATE(H5039,""EN"",""ES"")"),"Turismo")</f>
        <v>Turismo</v>
      </c>
      <c r="J5039" s="26" t="s">
        <v>27</v>
      </c>
      <c r="K5039" s="17">
        <v>0.0</v>
      </c>
      <c r="L5039" s="51"/>
      <c r="M5039" s="31"/>
      <c r="N5039" s="47"/>
      <c r="O5039" s="47"/>
      <c r="P5039" s="20">
        <v>0.0</v>
      </c>
      <c r="Q5039" s="31"/>
      <c r="R5039" s="31"/>
      <c r="S5039" s="53"/>
      <c r="T5039" s="32"/>
    </row>
    <row r="5040">
      <c r="A5040" s="33" t="s">
        <v>35601</v>
      </c>
      <c r="B5040" s="76" t="s">
        <v>1072</v>
      </c>
      <c r="C5040" s="99">
        <v>45644.0</v>
      </c>
      <c r="D5040" s="40" t="s">
        <v>35602</v>
      </c>
      <c r="E5040" s="100" t="s">
        <v>35603</v>
      </c>
      <c r="F5040" s="101" t="s">
        <v>35604</v>
      </c>
      <c r="G5040" s="101" t="s">
        <v>35605</v>
      </c>
      <c r="H5040" s="61" t="s">
        <v>2591</v>
      </c>
      <c r="I5040" s="15" t="str">
        <f>IFERROR(__xludf.DUMMYFUNCTION("GOOGLETRANSLATE(H5040,""EN"",""ES"")"),"Negocio")</f>
        <v>Negocio</v>
      </c>
      <c r="J5040" s="16" t="s">
        <v>35</v>
      </c>
      <c r="K5040" s="48">
        <v>-0.6</v>
      </c>
      <c r="L5040" s="49" t="s">
        <v>35606</v>
      </c>
      <c r="M5040" s="34" t="s">
        <v>35607</v>
      </c>
      <c r="N5040" s="44" t="s">
        <v>35608</v>
      </c>
      <c r="O5040" s="44" t="str">
        <f>IFERROR(__xludf.DUMMYFUNCTION("GOOGLETRANSLATE(N5040,""EN"",""ES"")"),"Negativos, informes sobre la pérdida de clientes de Repsol ante la competencia.")</f>
        <v>Negativos, informes sobre la pérdida de clientes de Repsol ante la competencia.</v>
      </c>
      <c r="P5040" s="30">
        <v>0.6</v>
      </c>
      <c r="Q5040" s="18" t="str">
        <f>IFERROR(__xludf.DUMMYFUNCTION("GOOGLETRANSLATE(R5040,""ES"",""EN"")"),"shoot your clients")</f>
        <v>shoot your clients</v>
      </c>
      <c r="R5040" s="34" t="s">
        <v>35609</v>
      </c>
      <c r="S5040" s="52" t="s">
        <v>20870</v>
      </c>
      <c r="T5040" s="22" t="s">
        <v>20871</v>
      </c>
    </row>
    <row r="5041">
      <c r="A5041" s="23" t="s">
        <v>35610</v>
      </c>
      <c r="B5041" s="77" t="s">
        <v>339</v>
      </c>
      <c r="C5041" s="96">
        <v>45644.0</v>
      </c>
      <c r="D5041" s="40" t="s">
        <v>35611</v>
      </c>
      <c r="E5041" s="97" t="s">
        <v>35612</v>
      </c>
      <c r="F5041" s="98" t="s">
        <v>35613</v>
      </c>
      <c r="G5041" s="98" t="s">
        <v>35614</v>
      </c>
      <c r="H5041" s="59" t="s">
        <v>2591</v>
      </c>
      <c r="I5041" s="25" t="str">
        <f>IFERROR(__xludf.DUMMYFUNCTION("GOOGLETRANSLATE(H5041,""EN"",""ES"")"),"Negocio")</f>
        <v>Negocio</v>
      </c>
      <c r="J5041" s="26" t="s">
        <v>35</v>
      </c>
      <c r="K5041" s="48">
        <v>0.5</v>
      </c>
      <c r="L5041" s="51" t="s">
        <v>35615</v>
      </c>
      <c r="M5041" s="28" t="s">
        <v>35616</v>
      </c>
      <c r="N5041" s="47" t="s">
        <v>35617</v>
      </c>
      <c r="O5041" s="47" t="str">
        <f>IFERROR(__xludf.DUMMYFUNCTION("GOOGLETRANSLATE(N5041,""EN"",""ES"")"),"Neutral-positivo, analiza el enfoque innovador de Repsol hacia las estaciones de servicio.")</f>
        <v>Neutral-positivo, analiza el enfoque innovador de Repsol hacia las estaciones de servicio.</v>
      </c>
      <c r="P5041" s="30">
        <v>0.5</v>
      </c>
      <c r="Q5041" s="31" t="str">
        <f>IFERROR(__xludf.DUMMYFUNCTION("GOOGLETRANSLATE(R5041,""ES"",""EN"")"),"new model")</f>
        <v>new model</v>
      </c>
      <c r="R5041" s="28" t="s">
        <v>35618</v>
      </c>
      <c r="S5041" s="53" t="s">
        <v>28729</v>
      </c>
      <c r="T5041" s="32" t="s">
        <v>28730</v>
      </c>
    </row>
    <row r="5042">
      <c r="A5042" s="33" t="s">
        <v>35619</v>
      </c>
      <c r="B5042" s="76" t="s">
        <v>217</v>
      </c>
      <c r="C5042" s="99">
        <v>45644.0</v>
      </c>
      <c r="D5042" s="40" t="s">
        <v>35620</v>
      </c>
      <c r="E5042" s="100" t="s">
        <v>35621</v>
      </c>
      <c r="F5042" s="101" t="s">
        <v>35622</v>
      </c>
      <c r="G5042" s="101" t="s">
        <v>35623</v>
      </c>
      <c r="H5042" s="61" t="s">
        <v>35624</v>
      </c>
      <c r="I5042" s="15" t="str">
        <f>IFERROR(__xludf.DUMMYFUNCTION("GOOGLETRANSLATE(H5042,""EN"",""ES"")"),"Negocios/Jurídico")</f>
        <v>Negocios/Jurídico</v>
      </c>
      <c r="J5042" s="16" t="s">
        <v>35</v>
      </c>
      <c r="K5042" s="48">
        <v>-0.7</v>
      </c>
      <c r="L5042" s="49" t="s">
        <v>35625</v>
      </c>
      <c r="M5042" s="34" t="s">
        <v>35626</v>
      </c>
      <c r="N5042" s="44" t="s">
        <v>35627</v>
      </c>
      <c r="O5042" s="44" t="str">
        <f>IFERROR(__xludf.DUMMYFUNCTION("GOOGLETRANSLATE(N5042,""EN"",""ES"")"),"Negativos, informes sobre los litigios que involucran a las principales compañías petroleras.")</f>
        <v>Negativos, informes sobre los litigios que involucran a las principales compañías petroleras.</v>
      </c>
      <c r="P5042" s="30">
        <v>-0.7</v>
      </c>
      <c r="Q5042" s="18" t="str">
        <f>IFERROR(__xludf.DUMMYFUNCTION("GOOGLETRANSLATE(R5042,""ES"",""EN"")"),"demand")</f>
        <v>demand</v>
      </c>
      <c r="R5042" s="34" t="s">
        <v>31618</v>
      </c>
      <c r="S5042" s="52" t="s">
        <v>35628</v>
      </c>
      <c r="T5042" s="22" t="s">
        <v>35629</v>
      </c>
    </row>
    <row r="5043">
      <c r="A5043" s="23" t="s">
        <v>35630</v>
      </c>
      <c r="B5043" s="77" t="s">
        <v>1768</v>
      </c>
      <c r="C5043" s="96">
        <v>45644.0</v>
      </c>
      <c r="D5043" s="40" t="s">
        <v>35631</v>
      </c>
      <c r="E5043" s="97" t="s">
        <v>35632</v>
      </c>
      <c r="F5043" s="98" t="s">
        <v>35633</v>
      </c>
      <c r="G5043" s="98" t="s">
        <v>35634</v>
      </c>
      <c r="H5043" s="59" t="s">
        <v>35635</v>
      </c>
      <c r="I5043" s="25" t="str">
        <f>IFERROR(__xludf.DUMMYFUNCTION("GOOGLETRANSLATE(H5043,""EN"",""ES"")"),"Negocios/Medio Ambiente")</f>
        <v>Negocios/Medio Ambiente</v>
      </c>
      <c r="J5043" s="26" t="s">
        <v>35</v>
      </c>
      <c r="K5043" s="48">
        <v>0.6</v>
      </c>
      <c r="L5043" s="51" t="s">
        <v>35636</v>
      </c>
      <c r="M5043" s="28" t="s">
        <v>35637</v>
      </c>
      <c r="N5043" s="47" t="s">
        <v>35638</v>
      </c>
      <c r="O5043" s="47" t="str">
        <f>IFERROR(__xludf.DUMMYFUNCTION("GOOGLETRANSLATE(N5043,""EN"",""ES"")"),"Neutral-positivo, analiza la futura colaboración en torno a parques eólicos.")</f>
        <v>Neutral-positivo, analiza la futura colaboración en torno a parques eólicos.</v>
      </c>
      <c r="P5043" s="30">
        <v>-0.4</v>
      </c>
      <c r="Q5043" s="31" t="str">
        <f>IFERROR(__xludf.DUMMYFUNCTION("GOOGLETRANSLATE(R5043,""ES"",""EN"")"),"conditions your support")</f>
        <v>conditions your support</v>
      </c>
      <c r="R5043" s="28" t="s">
        <v>35639</v>
      </c>
      <c r="S5043" s="53" t="s">
        <v>35640</v>
      </c>
      <c r="T5043" s="32" t="s">
        <v>35641</v>
      </c>
    </row>
    <row r="5044">
      <c r="A5044" s="33" t="s">
        <v>35642</v>
      </c>
      <c r="B5044" s="76" t="s">
        <v>21</v>
      </c>
      <c r="C5044" s="99">
        <v>45644.0</v>
      </c>
      <c r="D5044" s="40" t="s">
        <v>35643</v>
      </c>
      <c r="E5044" s="100" t="s">
        <v>35644</v>
      </c>
      <c r="F5044" s="101" t="s">
        <v>35645</v>
      </c>
      <c r="G5044" s="101" t="s">
        <v>35646</v>
      </c>
      <c r="H5044" s="61" t="s">
        <v>17454</v>
      </c>
      <c r="I5044" s="15" t="str">
        <f>IFERROR(__xludf.DUMMYFUNCTION("GOOGLETRANSLATE(H5044,""EN"",""ES"")"),"Estilo de vida")</f>
        <v>Estilo de vida</v>
      </c>
      <c r="J5044" s="16" t="s">
        <v>27</v>
      </c>
      <c r="K5044" s="17">
        <v>0.0</v>
      </c>
      <c r="L5044" s="49"/>
      <c r="M5044" s="18"/>
      <c r="N5044" s="44"/>
      <c r="O5044" s="44"/>
      <c r="P5044" s="20">
        <v>0.0</v>
      </c>
      <c r="Q5044" s="18"/>
      <c r="R5044" s="18"/>
      <c r="S5044" s="52"/>
      <c r="T5044" s="22"/>
    </row>
    <row r="5045">
      <c r="A5045" s="23" t="s">
        <v>35647</v>
      </c>
      <c r="B5045" s="77" t="s">
        <v>3490</v>
      </c>
      <c r="C5045" s="96">
        <v>45644.0</v>
      </c>
      <c r="D5045" s="40" t="s">
        <v>35648</v>
      </c>
      <c r="E5045" s="97" t="s">
        <v>35649</v>
      </c>
      <c r="F5045" s="98" t="s">
        <v>35650</v>
      </c>
      <c r="G5045" s="98" t="s">
        <v>35651</v>
      </c>
      <c r="H5045" s="59" t="s">
        <v>35339</v>
      </c>
      <c r="I5045" s="25" t="str">
        <f>IFERROR(__xludf.DUMMYFUNCTION("GOOGLETRANSLATE(H5045,""EN"",""ES"")"),"Política/Negocios")</f>
        <v>Política/Negocios</v>
      </c>
      <c r="J5045" s="26" t="s">
        <v>35</v>
      </c>
      <c r="K5045" s="48">
        <v>0.5</v>
      </c>
      <c r="L5045" s="51" t="s">
        <v>35652</v>
      </c>
      <c r="M5045" s="28" t="s">
        <v>35653</v>
      </c>
      <c r="N5045" s="47" t="s">
        <v>35654</v>
      </c>
      <c r="O5045" s="47" t="str">
        <f>IFERROR(__xludf.DUMMYFUNCTION("GOOGLETRANSLATE(N5045,""EN"",""ES"")"),"Neutral, analiza comentarios políticos y la estrategia de Repsol en la transición energética.")</f>
        <v>Neutral, analiza comentarios políticos y la estrategia de Repsol en la transición energética.</v>
      </c>
      <c r="P5045" s="30">
        <v>0.8</v>
      </c>
      <c r="Q5045" s="31" t="str">
        <f>IFERROR(__xludf.DUMMYFUNCTION("GOOGLETRANSLATE(R5045,""ES"",""EN"")"),"example of energy transition")</f>
        <v>example of energy transition</v>
      </c>
      <c r="R5045" s="28" t="s">
        <v>35655</v>
      </c>
      <c r="S5045" s="53" t="s">
        <v>35656</v>
      </c>
      <c r="T5045" s="32" t="s">
        <v>35657</v>
      </c>
    </row>
    <row r="5046">
      <c r="A5046" s="33" t="s">
        <v>35658</v>
      </c>
      <c r="B5046" s="76" t="s">
        <v>1072</v>
      </c>
      <c r="C5046" s="99">
        <v>45644.0</v>
      </c>
      <c r="D5046" s="40" t="s">
        <v>35659</v>
      </c>
      <c r="E5046" s="100" t="s">
        <v>35660</v>
      </c>
      <c r="F5046" s="101" t="s">
        <v>35661</v>
      </c>
      <c r="G5046" s="101" t="s">
        <v>35662</v>
      </c>
      <c r="H5046" s="61" t="s">
        <v>2591</v>
      </c>
      <c r="I5046" s="15" t="str">
        <f>IFERROR(__xludf.DUMMYFUNCTION("GOOGLETRANSLATE(H5046,""EN"",""ES"")"),"Negocio")</f>
        <v>Negocio</v>
      </c>
      <c r="J5046" s="16" t="s">
        <v>35</v>
      </c>
      <c r="K5046" s="48">
        <v>0.7</v>
      </c>
      <c r="L5046" s="49" t="s">
        <v>35606</v>
      </c>
      <c r="M5046" s="34" t="s">
        <v>35607</v>
      </c>
      <c r="N5046" s="44" t="s">
        <v>35663</v>
      </c>
      <c r="O5046" s="44" t="str">
        <f>IFERROR(__xludf.DUMMYFUNCTION("GOOGLETRANSLATE(N5046,""EN"",""ES"")"),"Positivo, centrado en el crecimiento de clientes de Repsol en medio de la competencia.")</f>
        <v>Positivo, centrado en el crecimiento de clientes de Repsol en medio de la competencia.</v>
      </c>
      <c r="P5046" s="30">
        <v>0.6</v>
      </c>
      <c r="Q5046" s="18" t="str">
        <f>IFERROR(__xludf.DUMMYFUNCTION("GOOGLETRANSLATE(R5046,""ES"",""EN"")"),"skyrocket your number of clients")</f>
        <v>skyrocket your number of clients</v>
      </c>
      <c r="R5046" s="34" t="s">
        <v>35664</v>
      </c>
      <c r="S5046" s="52" t="s">
        <v>20870</v>
      </c>
      <c r="T5046" s="22" t="s">
        <v>20871</v>
      </c>
    </row>
    <row r="5047">
      <c r="A5047" s="23" t="s">
        <v>35665</v>
      </c>
      <c r="B5047" s="77" t="s">
        <v>881</v>
      </c>
      <c r="C5047" s="96">
        <v>45644.0</v>
      </c>
      <c r="D5047" s="40" t="s">
        <v>35666</v>
      </c>
      <c r="E5047" s="97" t="s">
        <v>35667</v>
      </c>
      <c r="F5047" s="98" t="s">
        <v>35668</v>
      </c>
      <c r="G5047" s="98" t="s">
        <v>35669</v>
      </c>
      <c r="H5047" s="59" t="s">
        <v>2591</v>
      </c>
      <c r="I5047" s="25" t="str">
        <f>IFERROR(__xludf.DUMMYFUNCTION("GOOGLETRANSLATE(H5047,""EN"",""ES"")"),"Negocio")</f>
        <v>Negocio</v>
      </c>
      <c r="J5047" s="26" t="s">
        <v>35</v>
      </c>
      <c r="K5047" s="48">
        <v>-0.5</v>
      </c>
      <c r="L5047" s="51" t="s">
        <v>35670</v>
      </c>
      <c r="M5047" s="28" t="s">
        <v>35671</v>
      </c>
      <c r="N5047" s="47" t="s">
        <v>35672</v>
      </c>
      <c r="O5047" s="47" t="str">
        <f>IFERROR(__xludf.DUMMYFUNCTION("GOOGLETRANSLATE(N5047,""EN"",""ES"")"),"Negativo, advierte sobre un impacto negativo en el sector por la falta de inversión.")</f>
        <v>Negativo, advierte sobre un impacto negativo en el sector por la falta de inversión.</v>
      </c>
      <c r="P5047" s="30">
        <v>-0.5</v>
      </c>
      <c r="Q5047" s="31" t="str">
        <f>IFERROR(__xludf.DUMMYFUNCTION("GOOGLETRANSLATE(R5047,""ES"",""EN"")"),"domino effect")</f>
        <v>domino effect</v>
      </c>
      <c r="R5047" s="28" t="s">
        <v>35673</v>
      </c>
      <c r="S5047" s="53" t="s">
        <v>26935</v>
      </c>
      <c r="T5047" s="32" t="s">
        <v>26936</v>
      </c>
    </row>
    <row r="5048">
      <c r="A5048" s="33" t="s">
        <v>35674</v>
      </c>
      <c r="B5048" s="76" t="s">
        <v>21</v>
      </c>
      <c r="C5048" s="99">
        <v>45644.0</v>
      </c>
      <c r="D5048" s="40" t="s">
        <v>35675</v>
      </c>
      <c r="E5048" s="100" t="s">
        <v>35676</v>
      </c>
      <c r="F5048" s="101" t="s">
        <v>35677</v>
      </c>
      <c r="G5048" s="101" t="s">
        <v>35678</v>
      </c>
      <c r="H5048" s="61" t="s">
        <v>969</v>
      </c>
      <c r="I5048" s="15" t="str">
        <f>IFERROR(__xludf.DUMMYFUNCTION("GOOGLETRANSLATE(H5048,""EN"",""ES"")"),"Turismo")</f>
        <v>Turismo</v>
      </c>
      <c r="J5048" s="16" t="s">
        <v>27</v>
      </c>
      <c r="K5048" s="17">
        <v>0.0</v>
      </c>
      <c r="L5048" s="49"/>
      <c r="M5048" s="18"/>
      <c r="N5048" s="44"/>
      <c r="O5048" s="44"/>
      <c r="P5048" s="20">
        <v>0.0</v>
      </c>
      <c r="Q5048" s="18"/>
      <c r="R5048" s="18"/>
      <c r="S5048" s="52"/>
      <c r="T5048" s="22"/>
    </row>
    <row r="5049">
      <c r="A5049" s="23" t="s">
        <v>35679</v>
      </c>
      <c r="B5049" s="77" t="s">
        <v>33350</v>
      </c>
      <c r="C5049" s="96">
        <v>45644.0</v>
      </c>
      <c r="D5049" s="40" t="s">
        <v>35680</v>
      </c>
      <c r="E5049" s="97" t="s">
        <v>35681</v>
      </c>
      <c r="F5049" s="107" t="s">
        <v>35682</v>
      </c>
      <c r="G5049" s="98" t="s">
        <v>35683</v>
      </c>
      <c r="H5049" s="59" t="s">
        <v>2591</v>
      </c>
      <c r="I5049" s="25" t="str">
        <f>IFERROR(__xludf.DUMMYFUNCTION("GOOGLETRANSLATE(H5049,""EN"",""ES"")"),"Negocio")</f>
        <v>Negocio</v>
      </c>
      <c r="J5049" s="26" t="s">
        <v>27</v>
      </c>
      <c r="K5049" s="17">
        <v>0.0</v>
      </c>
      <c r="L5049" s="51"/>
      <c r="M5049" s="31"/>
      <c r="N5049" s="47"/>
      <c r="O5049" s="47"/>
      <c r="P5049" s="20">
        <v>0.0</v>
      </c>
      <c r="Q5049" s="31"/>
      <c r="R5049" s="31"/>
      <c r="S5049" s="53"/>
      <c r="T5049" s="32"/>
    </row>
    <row r="5050">
      <c r="A5050" s="33" t="s">
        <v>35684</v>
      </c>
      <c r="B5050" s="76" t="s">
        <v>21</v>
      </c>
      <c r="C5050" s="99">
        <v>45644.0</v>
      </c>
      <c r="D5050" s="40" t="s">
        <v>35685</v>
      </c>
      <c r="E5050" s="100" t="s">
        <v>35686</v>
      </c>
      <c r="F5050" s="101" t="s">
        <v>35687</v>
      </c>
      <c r="G5050" s="101" t="s">
        <v>35688</v>
      </c>
      <c r="H5050" s="61" t="s">
        <v>17454</v>
      </c>
      <c r="I5050" s="15" t="str">
        <f>IFERROR(__xludf.DUMMYFUNCTION("GOOGLETRANSLATE(H5050,""EN"",""ES"")"),"Estilo de vida")</f>
        <v>Estilo de vida</v>
      </c>
      <c r="J5050" s="16" t="s">
        <v>27</v>
      </c>
      <c r="K5050" s="17">
        <v>0.0</v>
      </c>
      <c r="L5050" s="49"/>
      <c r="M5050" s="18"/>
      <c r="N5050" s="44"/>
      <c r="O5050" s="44"/>
      <c r="P5050" s="20">
        <v>0.0</v>
      </c>
      <c r="Q5050" s="18"/>
      <c r="R5050" s="18"/>
      <c r="S5050" s="52"/>
      <c r="T5050" s="22"/>
    </row>
    <row r="5051">
      <c r="A5051" s="23" t="s">
        <v>35689</v>
      </c>
      <c r="B5051" s="77" t="s">
        <v>21</v>
      </c>
      <c r="C5051" s="96">
        <v>45644.0</v>
      </c>
      <c r="D5051" s="40" t="s">
        <v>35690</v>
      </c>
      <c r="E5051" s="97" t="s">
        <v>35691</v>
      </c>
      <c r="F5051" s="98" t="s">
        <v>35692</v>
      </c>
      <c r="G5051" s="98" t="s">
        <v>35693</v>
      </c>
      <c r="H5051" s="59" t="s">
        <v>8777</v>
      </c>
      <c r="I5051" s="25" t="str">
        <f>IFERROR(__xludf.DUMMYFUNCTION("GOOGLETRANSLATE(H5051,""EN"",""ES"")"),"Cultura")</f>
        <v>Cultura</v>
      </c>
      <c r="J5051" s="26" t="s">
        <v>27</v>
      </c>
      <c r="K5051" s="17">
        <v>0.0</v>
      </c>
      <c r="L5051" s="51"/>
      <c r="M5051" s="31"/>
      <c r="N5051" s="47"/>
      <c r="O5051" s="47"/>
      <c r="P5051" s="20">
        <v>0.0</v>
      </c>
      <c r="Q5051" s="31"/>
      <c r="R5051" s="31"/>
      <c r="S5051" s="53"/>
      <c r="T5051" s="32"/>
    </row>
    <row r="5052">
      <c r="A5052" s="33" t="s">
        <v>35694</v>
      </c>
      <c r="B5052" s="76" t="s">
        <v>11267</v>
      </c>
      <c r="C5052" s="99">
        <v>45645.0</v>
      </c>
      <c r="D5052" s="40" t="s">
        <v>35695</v>
      </c>
      <c r="E5052" s="100" t="s">
        <v>35696</v>
      </c>
      <c r="F5052" s="101" t="s">
        <v>35697</v>
      </c>
      <c r="G5052" s="101" t="s">
        <v>35698</v>
      </c>
      <c r="H5052" s="61" t="s">
        <v>2591</v>
      </c>
      <c r="I5052" s="15" t="str">
        <f>IFERROR(__xludf.DUMMYFUNCTION("GOOGLETRANSLATE(H5052,""EN"",""ES"")"),"Negocio")</f>
        <v>Negocio</v>
      </c>
      <c r="J5052" s="16" t="s">
        <v>35</v>
      </c>
      <c r="K5052" s="48">
        <v>0.5</v>
      </c>
      <c r="L5052" s="49" t="s">
        <v>35699</v>
      </c>
      <c r="M5052" s="34" t="s">
        <v>35700</v>
      </c>
      <c r="N5052" s="44" t="s">
        <v>35701</v>
      </c>
      <c r="O5052" s="44" t="str">
        <f>IFERROR(__xludf.DUMMYFUNCTION("GOOGLETRANSLATE(N5052,""EN"",""ES"")"),"Neutral, un cambio en la estrategia de medios de Repsol.")</f>
        <v>Neutral, un cambio en la estrategia de medios de Repsol.</v>
      </c>
      <c r="P5052" s="30">
        <v>0.0</v>
      </c>
      <c r="Q5052" s="18"/>
      <c r="R5052" s="18"/>
      <c r="S5052" s="52" t="s">
        <v>10501</v>
      </c>
      <c r="T5052" s="22" t="s">
        <v>10502</v>
      </c>
    </row>
    <row r="5053">
      <c r="A5053" s="23" t="s">
        <v>35702</v>
      </c>
      <c r="B5053" s="77" t="s">
        <v>499</v>
      </c>
      <c r="C5053" s="96">
        <v>45645.0</v>
      </c>
      <c r="D5053" s="40" t="s">
        <v>35703</v>
      </c>
      <c r="E5053" s="97" t="s">
        <v>35704</v>
      </c>
      <c r="F5053" s="98" t="s">
        <v>35705</v>
      </c>
      <c r="G5053" s="98" t="s">
        <v>35706</v>
      </c>
      <c r="H5053" s="59" t="s">
        <v>35635</v>
      </c>
      <c r="I5053" s="25" t="str">
        <f>IFERROR(__xludf.DUMMYFUNCTION("GOOGLETRANSLATE(H5053,""EN"",""ES"")"),"Negocios/Medio Ambiente")</f>
        <v>Negocios/Medio Ambiente</v>
      </c>
      <c r="J5053" s="26" t="s">
        <v>35</v>
      </c>
      <c r="K5053" s="48">
        <v>0.7</v>
      </c>
      <c r="L5053" s="51" t="s">
        <v>35707</v>
      </c>
      <c r="M5053" s="28" t="s">
        <v>35708</v>
      </c>
      <c r="N5053" s="47" t="s">
        <v>35709</v>
      </c>
      <c r="O5053" s="47" t="str">
        <f>IFERROR(__xludf.DUMMYFUNCTION("GOOGLETRANSLATE(N5053,""EN"",""ES"")"),"Positiva, la inversión de Repsol en energías renovables.")</f>
        <v>Positiva, la inversión de Repsol en energías renovables.</v>
      </c>
      <c r="P5053" s="30">
        <v>0.8</v>
      </c>
      <c r="Q5053" s="31" t="str">
        <f>IFERROR(__xludf.DUMMYFUNCTION("GOOGLETRANSLATE(R5053,""ES"",""EN"")"),"financing, ""renewable projects""")</f>
        <v>financing, "renewable projects"</v>
      </c>
      <c r="R5053" s="28" t="s">
        <v>35710</v>
      </c>
      <c r="S5053" s="53" t="s">
        <v>35711</v>
      </c>
      <c r="T5053" s="32" t="s">
        <v>35712</v>
      </c>
    </row>
    <row r="5054">
      <c r="A5054" s="33" t="s">
        <v>35713</v>
      </c>
      <c r="B5054" s="76" t="s">
        <v>5525</v>
      </c>
      <c r="C5054" s="99">
        <v>45645.0</v>
      </c>
      <c r="D5054" s="40" t="s">
        <v>35714</v>
      </c>
      <c r="E5054" s="100" t="s">
        <v>35715</v>
      </c>
      <c r="F5054" s="101" t="s">
        <v>35716</v>
      </c>
      <c r="G5054" s="101" t="s">
        <v>35717</v>
      </c>
      <c r="H5054" s="61" t="s">
        <v>2591</v>
      </c>
      <c r="I5054" s="15" t="str">
        <f>IFERROR(__xludf.DUMMYFUNCTION("GOOGLETRANSLATE(H5054,""EN"",""ES"")"),"Negocio")</f>
        <v>Negocio</v>
      </c>
      <c r="J5054" s="16" t="s">
        <v>35</v>
      </c>
      <c r="K5054" s="48">
        <v>0.7</v>
      </c>
      <c r="L5054" s="49" t="s">
        <v>35718</v>
      </c>
      <c r="M5054" s="34" t="s">
        <v>35719</v>
      </c>
      <c r="N5054" s="44" t="s">
        <v>35720</v>
      </c>
      <c r="O5054" s="44" t="str">
        <f>IFERROR(__xludf.DUMMYFUNCTION("GOOGLETRANSLATE(N5054,""EN"",""ES"")"),"Positivo, detalles sobre el pago de dividendo de Repsol.")</f>
        <v>Positivo, detalles sobre el pago de dividendo de Repsol.</v>
      </c>
      <c r="P5054" s="30">
        <v>0.4</v>
      </c>
      <c r="Q5054" s="18" t="str">
        <f>IFERROR(__xludf.DUMMYFUNCTION("GOOGLETRANSLATE(R5054,""ES"",""EN"")"),"dividend")</f>
        <v>dividend</v>
      </c>
      <c r="R5054" s="34" t="s">
        <v>12532</v>
      </c>
      <c r="S5054" s="52" t="s">
        <v>35721</v>
      </c>
      <c r="T5054" s="22" t="s">
        <v>35722</v>
      </c>
    </row>
    <row r="5055">
      <c r="A5055" s="23" t="s">
        <v>35723</v>
      </c>
      <c r="B5055" s="77" t="s">
        <v>192</v>
      </c>
      <c r="C5055" s="96">
        <v>45645.0</v>
      </c>
      <c r="D5055" s="40" t="s">
        <v>35724</v>
      </c>
      <c r="E5055" s="97" t="s">
        <v>35725</v>
      </c>
      <c r="F5055" s="98" t="s">
        <v>35726</v>
      </c>
      <c r="G5055" s="98" t="s">
        <v>35727</v>
      </c>
      <c r="H5055" s="59" t="s">
        <v>34777</v>
      </c>
      <c r="I5055" s="25" t="str">
        <f>IFERROR(__xludf.DUMMYFUNCTION("GOOGLETRANSLATE(H5055,""EN"",""ES"")"),"Negocios/Tecnología")</f>
        <v>Negocios/Tecnología</v>
      </c>
      <c r="J5055" s="26" t="s">
        <v>35</v>
      </c>
      <c r="K5055" s="48">
        <v>0.6</v>
      </c>
      <c r="L5055" s="51" t="s">
        <v>35728</v>
      </c>
      <c r="M5055" s="28" t="s">
        <v>35729</v>
      </c>
      <c r="N5055" s="47" t="s">
        <v>35730</v>
      </c>
      <c r="O5055" s="47" t="str">
        <f>IFERROR(__xludf.DUMMYFUNCTION("GOOGLETRANSLATE(N5055,""EN"",""ES"")"),"Positiva la apuesta de Repsol por avanzar en IA.")</f>
        <v>Positiva la apuesta de Repsol por avanzar en IA.</v>
      </c>
      <c r="P5055" s="30">
        <v>0.6</v>
      </c>
      <c r="Q5055" s="31" t="str">
        <f>IFERROR(__xludf.DUMMYFUNCTION("GOOGLETRANSLATE(R5055,""ES"",""EN"")"),"Pact for AI")</f>
        <v>Pact for AI</v>
      </c>
      <c r="R5055" s="28" t="s">
        <v>35731</v>
      </c>
      <c r="S5055" s="53" t="s">
        <v>35732</v>
      </c>
      <c r="T5055" s="32" t="s">
        <v>35733</v>
      </c>
    </row>
    <row r="5056">
      <c r="A5056" s="33" t="s">
        <v>35734</v>
      </c>
      <c r="B5056" s="76" t="s">
        <v>1602</v>
      </c>
      <c r="C5056" s="99">
        <v>45645.0</v>
      </c>
      <c r="D5056" s="40" t="s">
        <v>35735</v>
      </c>
      <c r="E5056" s="100" t="s">
        <v>35736</v>
      </c>
      <c r="F5056" s="101" t="s">
        <v>35737</v>
      </c>
      <c r="G5056" s="101" t="s">
        <v>35738</v>
      </c>
      <c r="H5056" s="61" t="s">
        <v>2591</v>
      </c>
      <c r="I5056" s="15" t="str">
        <f>IFERROR(__xludf.DUMMYFUNCTION("GOOGLETRANSLATE(H5056,""EN"",""ES"")"),"Negocio")</f>
        <v>Negocio</v>
      </c>
      <c r="J5056" s="16" t="s">
        <v>35</v>
      </c>
      <c r="K5056" s="48">
        <v>0.6</v>
      </c>
      <c r="L5056" s="49" t="s">
        <v>35739</v>
      </c>
      <c r="M5056" s="34" t="s">
        <v>35740</v>
      </c>
      <c r="N5056" s="44" t="s">
        <v>35741</v>
      </c>
      <c r="O5056" s="44" t="str">
        <f>IFERROR(__xludf.DUMMYFUNCTION("GOOGLETRANSLATE(N5056,""EN"",""ES"")"),"Positivo, se centra en las decisiones del consejo de Repsol en materia de dividendos.")</f>
        <v>Positivo, se centra en las decisiones del consejo de Repsol en materia de dividendos.</v>
      </c>
      <c r="P5056" s="30">
        <v>0.4</v>
      </c>
      <c r="Q5056" s="18" t="str">
        <f>IFERROR(__xludf.DUMMYFUNCTION("GOOGLETRANSLATE(R5056,""ES"",""EN"")"),"dividend")</f>
        <v>dividend</v>
      </c>
      <c r="R5056" s="34" t="s">
        <v>12532</v>
      </c>
      <c r="S5056" s="52" t="s">
        <v>35721</v>
      </c>
      <c r="T5056" s="22" t="s">
        <v>35722</v>
      </c>
    </row>
    <row r="5057">
      <c r="A5057" s="23" t="s">
        <v>35742</v>
      </c>
      <c r="B5057" s="77" t="s">
        <v>558</v>
      </c>
      <c r="C5057" s="96">
        <v>45305.0</v>
      </c>
      <c r="D5057" s="40" t="s">
        <v>35743</v>
      </c>
      <c r="E5057" s="97" t="s">
        <v>35744</v>
      </c>
      <c r="F5057" s="98" t="s">
        <v>35745</v>
      </c>
      <c r="G5057" s="98" t="s">
        <v>35746</v>
      </c>
      <c r="H5057" s="59" t="s">
        <v>2591</v>
      </c>
      <c r="I5057" s="25" t="str">
        <f>IFERROR(__xludf.DUMMYFUNCTION("GOOGLETRANSLATE(H5057,""EN"",""ES"")"),"Negocio")</f>
        <v>Negocio</v>
      </c>
      <c r="J5057" s="26" t="s">
        <v>35</v>
      </c>
      <c r="K5057" s="48">
        <v>0.7</v>
      </c>
      <c r="L5057" s="51" t="s">
        <v>35718</v>
      </c>
      <c r="M5057" s="28" t="s">
        <v>35719</v>
      </c>
      <c r="N5057" s="47" t="s">
        <v>35747</v>
      </c>
      <c r="O5057" s="47" t="str">
        <f>IFERROR(__xludf.DUMMYFUNCTION("GOOGLETRANSLATE(N5057,""EN"",""ES"")"),"Positivo, detalles sobre el mayor dividendo de Repsol.")</f>
        <v>Positivo, detalles sobre el mayor dividendo de Repsol.</v>
      </c>
      <c r="P5057" s="30">
        <v>0.4</v>
      </c>
      <c r="Q5057" s="31" t="str">
        <f>IFERROR(__xludf.DUMMYFUNCTION("GOOGLETRANSLATE(R5057,""ES"",""EN"")"),"dividend")</f>
        <v>dividend</v>
      </c>
      <c r="R5057" s="28" t="s">
        <v>12532</v>
      </c>
      <c r="S5057" s="53" t="s">
        <v>35721</v>
      </c>
      <c r="T5057" s="32" t="s">
        <v>35722</v>
      </c>
    </row>
    <row r="5058">
      <c r="A5058" s="33" t="s">
        <v>35748</v>
      </c>
      <c r="B5058" s="76" t="s">
        <v>35749</v>
      </c>
      <c r="C5058" s="99">
        <v>45645.0</v>
      </c>
      <c r="D5058" s="40" t="s">
        <v>35750</v>
      </c>
      <c r="E5058" s="100" t="s">
        <v>35751</v>
      </c>
      <c r="F5058" s="101" t="s">
        <v>35752</v>
      </c>
      <c r="G5058" s="101" t="s">
        <v>35753</v>
      </c>
      <c r="H5058" s="61" t="s">
        <v>2591</v>
      </c>
      <c r="I5058" s="15" t="str">
        <f>IFERROR(__xludf.DUMMYFUNCTION("GOOGLETRANSLATE(H5058,""EN"",""ES"")"),"Negocio")</f>
        <v>Negocio</v>
      </c>
      <c r="J5058" s="16" t="s">
        <v>35</v>
      </c>
      <c r="K5058" s="48">
        <v>0.7</v>
      </c>
      <c r="L5058" s="49" t="s">
        <v>35754</v>
      </c>
      <c r="M5058" s="34" t="s">
        <v>35755</v>
      </c>
      <c r="N5058" s="44" t="s">
        <v>35756</v>
      </c>
      <c r="O5058" s="44" t="str">
        <f>IFERROR(__xludf.DUMMYFUNCTION("GOOGLETRANSLATE(N5058,""EN"",""ES"")"),"Positivo, destaca el mayor pago de dividendos de Repsol.")</f>
        <v>Positivo, destaca el mayor pago de dividendos de Repsol.</v>
      </c>
      <c r="P5058" s="30">
        <v>0.5</v>
      </c>
      <c r="Q5058" s="18" t="str">
        <f>IFERROR(__xludf.DUMMYFUNCTION("GOOGLETRANSLATE(R5058,""ES"",""EN"")"),"increases dividend")</f>
        <v>increases dividend</v>
      </c>
      <c r="R5058" s="34" t="s">
        <v>35757</v>
      </c>
      <c r="S5058" s="52" t="s">
        <v>35758</v>
      </c>
      <c r="T5058" s="22" t="s">
        <v>35759</v>
      </c>
    </row>
    <row r="5059">
      <c r="A5059" s="23" t="s">
        <v>35760</v>
      </c>
      <c r="B5059" s="77" t="s">
        <v>881</v>
      </c>
      <c r="C5059" s="96">
        <v>45645.0</v>
      </c>
      <c r="D5059" s="40" t="s">
        <v>35761</v>
      </c>
      <c r="E5059" s="97" t="s">
        <v>35762</v>
      </c>
      <c r="F5059" s="98" t="s">
        <v>35763</v>
      </c>
      <c r="G5059" s="98" t="s">
        <v>35764</v>
      </c>
      <c r="H5059" s="59" t="s">
        <v>2591</v>
      </c>
      <c r="I5059" s="25" t="str">
        <f>IFERROR(__xludf.DUMMYFUNCTION("GOOGLETRANSLATE(H5059,""EN"",""ES"")"),"Negocio")</f>
        <v>Negocio</v>
      </c>
      <c r="J5059" s="26" t="s">
        <v>27</v>
      </c>
      <c r="K5059" s="17">
        <v>0.0</v>
      </c>
      <c r="L5059" s="51"/>
      <c r="M5059" s="31"/>
      <c r="N5059" s="47"/>
      <c r="O5059" s="47"/>
      <c r="P5059" s="20">
        <v>0.0</v>
      </c>
      <c r="Q5059" s="31"/>
      <c r="R5059" s="31"/>
      <c r="S5059" s="53"/>
      <c r="T5059" s="32"/>
    </row>
    <row r="5060">
      <c r="A5060" s="33" t="s">
        <v>35765</v>
      </c>
      <c r="B5060" s="76" t="s">
        <v>1768</v>
      </c>
      <c r="C5060" s="99">
        <v>45645.0</v>
      </c>
      <c r="D5060" s="40" t="s">
        <v>35766</v>
      </c>
      <c r="E5060" s="100" t="s">
        <v>35767</v>
      </c>
      <c r="F5060" s="101" t="s">
        <v>35768</v>
      </c>
      <c r="G5060" s="101" t="s">
        <v>35769</v>
      </c>
      <c r="H5060" s="61" t="s">
        <v>24419</v>
      </c>
      <c r="I5060" s="15" t="str">
        <f>IFERROR(__xludf.DUMMYFUNCTION("GOOGLETRANSLATE(H5060,""EN"",""ES"")"),"Negocios/Política")</f>
        <v>Negocios/Política</v>
      </c>
      <c r="J5060" s="16" t="s">
        <v>35</v>
      </c>
      <c r="K5060" s="48">
        <v>-0.5</v>
      </c>
      <c r="L5060" s="49" t="s">
        <v>35770</v>
      </c>
      <c r="M5060" s="34" t="s">
        <v>35771</v>
      </c>
      <c r="N5060" s="44" t="s">
        <v>35772</v>
      </c>
      <c r="O5060" s="44" t="str">
        <f>IFERROR(__xludf.DUMMYFUNCTION("GOOGLETRANSLATE(N5060,""EN"",""ES"")"),"Negativo, analiza las condiciones de inversión de Repsol.")</f>
        <v>Negativo, analiza las condiciones de inversión de Repsol.</v>
      </c>
      <c r="P5060" s="30">
        <v>-0.5</v>
      </c>
      <c r="Q5060" s="18" t="str">
        <f>IFERROR(__xludf.DUMMYFUNCTION("GOOGLETRANSLATE(R5060,""ES"",""EN"")"),"does not accept, ""condition""")</f>
        <v>does not accept, "condition"</v>
      </c>
      <c r="R5060" s="34" t="s">
        <v>35773</v>
      </c>
      <c r="S5060" s="52" t="s">
        <v>35774</v>
      </c>
      <c r="T5060" s="22" t="s">
        <v>35775</v>
      </c>
    </row>
    <row r="5061">
      <c r="A5061" s="23" t="s">
        <v>35776</v>
      </c>
      <c r="B5061" s="77" t="s">
        <v>35777</v>
      </c>
      <c r="C5061" s="96">
        <v>45645.0</v>
      </c>
      <c r="D5061" s="40" t="s">
        <v>35778</v>
      </c>
      <c r="E5061" s="97" t="s">
        <v>35779</v>
      </c>
      <c r="F5061" s="98" t="s">
        <v>35780</v>
      </c>
      <c r="G5061" s="98" t="s">
        <v>35781</v>
      </c>
      <c r="H5061" s="59" t="s">
        <v>32513</v>
      </c>
      <c r="I5061" s="25" t="str">
        <f>IFERROR(__xludf.DUMMYFUNCTION("GOOGLETRANSLATE(H5061,""EN"",""ES"")"),"Impacto Social")</f>
        <v>Impacto Social</v>
      </c>
      <c r="J5061" s="26" t="s">
        <v>35</v>
      </c>
      <c r="K5061" s="48">
        <v>0.8</v>
      </c>
      <c r="L5061" s="51" t="s">
        <v>35782</v>
      </c>
      <c r="M5061" s="28" t="s">
        <v>35783</v>
      </c>
      <c r="N5061" s="47" t="s">
        <v>35784</v>
      </c>
      <c r="O5061" s="47" t="str">
        <f>IFERROR(__xludf.DUMMYFUNCTION("GOOGLETRANSLATE(N5061,""EN"",""ES"")"),"Positivo, destaca colaboración por causa humanitaria.")</f>
        <v>Positivo, destaca colaboración por causa humanitaria.</v>
      </c>
      <c r="P5061" s="30">
        <v>0.6</v>
      </c>
      <c r="Q5061" s="31" t="str">
        <f>IFERROR(__xludf.DUMMYFUNCTION("GOOGLETRANSLATE(R5061,""ES"",""EN"")"),"collaborate, ""support""")</f>
        <v>collaborate, "support"</v>
      </c>
      <c r="R5061" s="28" t="s">
        <v>35785</v>
      </c>
      <c r="S5061" s="53" t="s">
        <v>34578</v>
      </c>
      <c r="T5061" s="32" t="s">
        <v>34579</v>
      </c>
    </row>
    <row r="5062">
      <c r="A5062" s="33" t="s">
        <v>35786</v>
      </c>
      <c r="B5062" s="76" t="s">
        <v>614</v>
      </c>
      <c r="C5062" s="99">
        <v>45645.0</v>
      </c>
      <c r="D5062" s="40" t="s">
        <v>35787</v>
      </c>
      <c r="E5062" s="100" t="s">
        <v>35788</v>
      </c>
      <c r="F5062" s="101" t="s">
        <v>35789</v>
      </c>
      <c r="G5062" s="101" t="s">
        <v>35790</v>
      </c>
      <c r="H5062" s="61" t="s">
        <v>2591</v>
      </c>
      <c r="I5062" s="15" t="str">
        <f>IFERROR(__xludf.DUMMYFUNCTION("GOOGLETRANSLATE(H5062,""EN"",""ES"")"),"Negocio")</f>
        <v>Negocio</v>
      </c>
      <c r="J5062" s="16" t="s">
        <v>35</v>
      </c>
      <c r="K5062" s="48">
        <v>0.7</v>
      </c>
      <c r="L5062" s="49" t="s">
        <v>35791</v>
      </c>
      <c r="M5062" s="34" t="s">
        <v>35792</v>
      </c>
      <c r="N5062" s="44" t="s">
        <v>35793</v>
      </c>
      <c r="O5062" s="44" t="str">
        <f>IFERROR(__xludf.DUMMYFUNCTION("GOOGLETRANSLATE(N5062,""EN"",""ES"")"),"Positivo, confirma detalles del pago de dividendos.")</f>
        <v>Positivo, confirma detalles del pago de dividendos.</v>
      </c>
      <c r="P5062" s="30">
        <v>0.4</v>
      </c>
      <c r="Q5062" s="18" t="str">
        <f>IFERROR(__xludf.DUMMYFUNCTION("GOOGLETRANSLATE(R5062,""ES"",""EN"")"),"dividend")</f>
        <v>dividend</v>
      </c>
      <c r="R5062" s="34" t="s">
        <v>12532</v>
      </c>
      <c r="S5062" s="52" t="s">
        <v>35721</v>
      </c>
      <c r="T5062" s="22" t="s">
        <v>35722</v>
      </c>
    </row>
    <row r="5063">
      <c r="A5063" s="23" t="s">
        <v>35794</v>
      </c>
      <c r="B5063" s="77" t="s">
        <v>21</v>
      </c>
      <c r="C5063" s="96">
        <v>45645.0</v>
      </c>
      <c r="D5063" s="40" t="s">
        <v>35795</v>
      </c>
      <c r="E5063" s="97" t="s">
        <v>35796</v>
      </c>
      <c r="F5063" s="98" t="s">
        <v>35797</v>
      </c>
      <c r="G5063" s="98" t="s">
        <v>35798</v>
      </c>
      <c r="H5063" s="59" t="s">
        <v>148</v>
      </c>
      <c r="I5063" s="25" t="str">
        <f>IFERROR(__xludf.DUMMYFUNCTION("GOOGLETRANSLATE(H5063,""EN"",""ES"")"),"Gastronomía")</f>
        <v>Gastronomía</v>
      </c>
      <c r="J5063" s="26" t="s">
        <v>27</v>
      </c>
      <c r="K5063" s="17">
        <v>0.0</v>
      </c>
      <c r="L5063" s="51"/>
      <c r="M5063" s="31"/>
      <c r="N5063" s="47"/>
      <c r="O5063" s="47"/>
      <c r="P5063" s="20">
        <v>0.0</v>
      </c>
      <c r="Q5063" s="31"/>
      <c r="R5063" s="31"/>
      <c r="S5063" s="53"/>
      <c r="T5063" s="32"/>
    </row>
    <row r="5064">
      <c r="A5064" s="33" t="s">
        <v>35799</v>
      </c>
      <c r="B5064" s="76" t="s">
        <v>35800</v>
      </c>
      <c r="C5064" s="99">
        <v>45645.0</v>
      </c>
      <c r="D5064" s="40" t="s">
        <v>35801</v>
      </c>
      <c r="E5064" s="100" t="s">
        <v>35802</v>
      </c>
      <c r="F5064" s="101" t="s">
        <v>35803</v>
      </c>
      <c r="G5064" s="101" t="s">
        <v>35804</v>
      </c>
      <c r="H5064" s="61" t="s">
        <v>2591</v>
      </c>
      <c r="I5064" s="15" t="str">
        <f>IFERROR(__xludf.DUMMYFUNCTION("GOOGLETRANSLATE(H5064,""EN"",""ES"")"),"Negocio")</f>
        <v>Negocio</v>
      </c>
      <c r="J5064" s="16" t="s">
        <v>35</v>
      </c>
      <c r="K5064" s="48">
        <v>0.5</v>
      </c>
      <c r="L5064" s="49" t="s">
        <v>35805</v>
      </c>
      <c r="M5064" s="34" t="s">
        <v>35806</v>
      </c>
      <c r="N5064" s="44" t="s">
        <v>35807</v>
      </c>
      <c r="O5064" s="44" t="str">
        <f>IFERROR(__xludf.DUMMYFUNCTION("GOOGLETRANSLATE(N5064,""EN"",""ES"")"),"Neutral, informa sobre la victoria de Carat en el concurso de agencias de medios.")</f>
        <v>Neutral, informa sobre la victoria de Carat en el concurso de agencias de medios.</v>
      </c>
      <c r="P5064" s="30">
        <v>0.0</v>
      </c>
      <c r="Q5064" s="18"/>
      <c r="R5064" s="18"/>
      <c r="S5064" s="52" t="s">
        <v>10501</v>
      </c>
      <c r="T5064" s="22" t="s">
        <v>10502</v>
      </c>
    </row>
    <row r="5065">
      <c r="A5065" s="23" t="s">
        <v>35808</v>
      </c>
      <c r="B5065" s="77" t="s">
        <v>17169</v>
      </c>
      <c r="C5065" s="96">
        <v>45645.0</v>
      </c>
      <c r="D5065" s="40" t="s">
        <v>35809</v>
      </c>
      <c r="E5065" s="97" t="s">
        <v>35810</v>
      </c>
      <c r="F5065" s="98" t="s">
        <v>35811</v>
      </c>
      <c r="G5065" s="98" t="s">
        <v>35812</v>
      </c>
      <c r="H5065" s="59" t="s">
        <v>35635</v>
      </c>
      <c r="I5065" s="25" t="str">
        <f>IFERROR(__xludf.DUMMYFUNCTION("GOOGLETRANSLATE(H5065,""EN"",""ES"")"),"Negocios/Medio Ambiente")</f>
        <v>Negocios/Medio Ambiente</v>
      </c>
      <c r="J5065" s="26" t="s">
        <v>35</v>
      </c>
      <c r="K5065" s="48">
        <v>0.7</v>
      </c>
      <c r="L5065" s="51" t="s">
        <v>35813</v>
      </c>
      <c r="M5065" s="28" t="s">
        <v>35814</v>
      </c>
      <c r="N5065" s="47" t="s">
        <v>35815</v>
      </c>
      <c r="O5065" s="47" t="str">
        <f>IFERROR(__xludf.DUMMYFUNCTION("GOOGLETRANSLATE(N5065,""EN"",""ES"")"),"Positivo, analiza la financiación de Repsol para proyectos renovables.")</f>
        <v>Positivo, analiza la financiación de Repsol para proyectos renovables.</v>
      </c>
      <c r="P5065" s="30">
        <v>0.7</v>
      </c>
      <c r="Q5065" s="31" t="str">
        <f>IFERROR(__xludf.DUMMYFUNCTION("GOOGLETRANSLATE(R5065,""ES"",""EN"")"),"renewable projects")</f>
        <v>renewable projects</v>
      </c>
      <c r="R5065" s="28" t="s">
        <v>35816</v>
      </c>
      <c r="S5065" s="53" t="s">
        <v>32110</v>
      </c>
      <c r="T5065" s="32" t="s">
        <v>32111</v>
      </c>
    </row>
    <row r="5066">
      <c r="A5066" s="33" t="s">
        <v>35817</v>
      </c>
      <c r="B5066" s="76" t="s">
        <v>35818</v>
      </c>
      <c r="C5066" s="99">
        <v>45645.0</v>
      </c>
      <c r="D5066" s="40" t="s">
        <v>35819</v>
      </c>
      <c r="E5066" s="100" t="s">
        <v>35820</v>
      </c>
      <c r="F5066" s="101" t="s">
        <v>35821</v>
      </c>
      <c r="G5066" s="101" t="s">
        <v>35822</v>
      </c>
      <c r="H5066" s="61" t="s">
        <v>2591</v>
      </c>
      <c r="I5066" s="15" t="str">
        <f>IFERROR(__xludf.DUMMYFUNCTION("GOOGLETRANSLATE(H5066,""EN"",""ES"")"),"Negocio")</f>
        <v>Negocio</v>
      </c>
      <c r="J5066" s="16" t="s">
        <v>27</v>
      </c>
      <c r="K5066" s="17">
        <v>0.0</v>
      </c>
      <c r="L5066" s="49"/>
      <c r="M5066" s="18"/>
      <c r="N5066" s="44"/>
      <c r="O5066" s="44"/>
      <c r="P5066" s="20">
        <v>0.0</v>
      </c>
      <c r="Q5066" s="18"/>
      <c r="R5066" s="18"/>
      <c r="S5066" s="52"/>
      <c r="T5066" s="22"/>
    </row>
    <row r="5067">
      <c r="A5067" s="23" t="s">
        <v>35823</v>
      </c>
      <c r="B5067" s="77" t="s">
        <v>35347</v>
      </c>
      <c r="C5067" s="96">
        <v>45645.0</v>
      </c>
      <c r="D5067" s="40" t="s">
        <v>35824</v>
      </c>
      <c r="E5067" s="97" t="s">
        <v>35825</v>
      </c>
      <c r="F5067" s="98" t="s">
        <v>35826</v>
      </c>
      <c r="G5067" s="98" t="s">
        <v>35827</v>
      </c>
      <c r="H5067" s="59" t="s">
        <v>395</v>
      </c>
      <c r="I5067" s="25" t="str">
        <f>IFERROR(__xludf.DUMMYFUNCTION("GOOGLETRANSLATE(H5067,""EN"",""ES"")"),"Ambiente")</f>
        <v>Ambiente</v>
      </c>
      <c r="J5067" s="26" t="s">
        <v>35</v>
      </c>
      <c r="K5067" s="48">
        <v>-0.7</v>
      </c>
      <c r="L5067" s="51" t="s">
        <v>35828</v>
      </c>
      <c r="M5067" s="28" t="s">
        <v>35829</v>
      </c>
      <c r="N5067" s="47" t="s">
        <v>35830</v>
      </c>
      <c r="O5067" s="47" t="str">
        <f>IFERROR(__xludf.DUMMYFUNCTION("GOOGLETRANSLATE(N5067,""EN"",""ES"")"),"Negativo, expresa oposición a los proyectos eólicos de Repsol.")</f>
        <v>Negativo, expresa oposición a los proyectos eólicos de Repsol.</v>
      </c>
      <c r="P5067" s="30">
        <v>-0.6</v>
      </c>
      <c r="Q5067" s="31" t="str">
        <f>IFERROR(__xludf.DUMMYFUNCTION("GOOGLETRANSLATE(R5067,""ES"",""EN"")"),"rejection")</f>
        <v>rejection</v>
      </c>
      <c r="R5067" s="28" t="s">
        <v>35831</v>
      </c>
      <c r="S5067" s="53" t="s">
        <v>35832</v>
      </c>
      <c r="T5067" s="32" t="s">
        <v>35833</v>
      </c>
    </row>
    <row r="5068">
      <c r="A5068" s="33" t="s">
        <v>35834</v>
      </c>
      <c r="B5068" s="76" t="s">
        <v>7334</v>
      </c>
      <c r="C5068" s="99">
        <v>45645.0</v>
      </c>
      <c r="D5068" s="40" t="s">
        <v>35835</v>
      </c>
      <c r="E5068" s="100" t="s">
        <v>35836</v>
      </c>
      <c r="F5068" s="101" t="s">
        <v>35837</v>
      </c>
      <c r="G5068" s="101" t="s">
        <v>35838</v>
      </c>
      <c r="H5068" s="61" t="s">
        <v>24419</v>
      </c>
      <c r="I5068" s="15" t="str">
        <f>IFERROR(__xludf.DUMMYFUNCTION("GOOGLETRANSLATE(H5068,""EN"",""ES"")"),"Negocios/Política")</f>
        <v>Negocios/Política</v>
      </c>
      <c r="J5068" s="16" t="s">
        <v>35</v>
      </c>
      <c r="K5068" s="48">
        <v>-0.5</v>
      </c>
      <c r="L5068" s="49" t="s">
        <v>35839</v>
      </c>
      <c r="M5068" s="34" t="s">
        <v>35840</v>
      </c>
      <c r="N5068" s="44" t="s">
        <v>35841</v>
      </c>
      <c r="O5068" s="44" t="str">
        <f>IFERROR(__xludf.DUMMYFUNCTION("GOOGLETRANSLATE(N5068,""EN"",""ES"")"),"Negativo, preocupaciones sobre las estrategias de inversión condicionales.")</f>
        <v>Negativo, preocupaciones sobre las estrategias de inversión condicionales.</v>
      </c>
      <c r="P5068" s="30">
        <v>-0.4</v>
      </c>
      <c r="Q5068" s="18" t="str">
        <f>IFERROR(__xludf.DUMMYFUNCTION("GOOGLETRANSLATE(R5068,""ES"",""EN"")"),"conditions")</f>
        <v>conditions</v>
      </c>
      <c r="R5068" s="34" t="s">
        <v>35842</v>
      </c>
      <c r="S5068" s="52" t="s">
        <v>35640</v>
      </c>
      <c r="T5068" s="22" t="s">
        <v>35641</v>
      </c>
    </row>
    <row r="5069">
      <c r="A5069" s="23" t="s">
        <v>35843</v>
      </c>
      <c r="B5069" s="77" t="s">
        <v>192</v>
      </c>
      <c r="C5069" s="96">
        <v>45645.0</v>
      </c>
      <c r="D5069" s="40" t="s">
        <v>35844</v>
      </c>
      <c r="E5069" s="97" t="s">
        <v>35845</v>
      </c>
      <c r="F5069" s="98" t="s">
        <v>35846</v>
      </c>
      <c r="G5069" s="98" t="s">
        <v>35847</v>
      </c>
      <c r="H5069" s="59" t="s">
        <v>32513</v>
      </c>
      <c r="I5069" s="25" t="str">
        <f>IFERROR(__xludf.DUMMYFUNCTION("GOOGLETRANSLATE(H5069,""EN"",""ES"")"),"Impacto Social")</f>
        <v>Impacto Social</v>
      </c>
      <c r="J5069" s="26" t="s">
        <v>35</v>
      </c>
      <c r="K5069" s="48">
        <v>0.8</v>
      </c>
      <c r="L5069" s="51" t="s">
        <v>35848</v>
      </c>
      <c r="M5069" s="28" t="s">
        <v>35849</v>
      </c>
      <c r="N5069" s="47" t="s">
        <v>35850</v>
      </c>
      <c r="O5069" s="47" t="str">
        <f>IFERROR(__xludf.DUMMYFUNCTION("GOOGLETRANSLATE(N5069,""EN"",""ES"")"),"Positivo, se centra en la colaboración humanitaria para el socorro en casos de desastre.")</f>
        <v>Positivo, se centra en la colaboración humanitaria para el socorro en casos de desastre.</v>
      </c>
      <c r="P5069" s="30">
        <v>0.6</v>
      </c>
      <c r="Q5069" s="31" t="str">
        <f>IFERROR(__xludf.DUMMYFUNCTION("GOOGLETRANSLATE(R5069,""ES"",""EN"")"),"collaborate, ""support""")</f>
        <v>collaborate, "support"</v>
      </c>
      <c r="R5069" s="28" t="s">
        <v>35785</v>
      </c>
      <c r="S5069" s="53" t="s">
        <v>34578</v>
      </c>
      <c r="T5069" s="32" t="s">
        <v>34579</v>
      </c>
    </row>
    <row r="5070">
      <c r="A5070" s="33" t="s">
        <v>35851</v>
      </c>
      <c r="B5070" s="76" t="s">
        <v>1602</v>
      </c>
      <c r="C5070" s="99">
        <v>45645.0</v>
      </c>
      <c r="D5070" s="40" t="s">
        <v>35852</v>
      </c>
      <c r="E5070" s="100" t="s">
        <v>35853</v>
      </c>
      <c r="F5070" s="101" t="s">
        <v>35854</v>
      </c>
      <c r="G5070" s="101" t="s">
        <v>35855</v>
      </c>
      <c r="H5070" s="61" t="s">
        <v>35635</v>
      </c>
      <c r="I5070" s="15" t="str">
        <f>IFERROR(__xludf.DUMMYFUNCTION("GOOGLETRANSLATE(H5070,""EN"",""ES"")"),"Negocios/Medio Ambiente")</f>
        <v>Negocios/Medio Ambiente</v>
      </c>
      <c r="J5070" s="16" t="s">
        <v>35</v>
      </c>
      <c r="K5070" s="48">
        <v>0.7</v>
      </c>
      <c r="L5070" s="49" t="s">
        <v>35856</v>
      </c>
      <c r="M5070" s="34" t="s">
        <v>35857</v>
      </c>
      <c r="N5070" s="44" t="s">
        <v>35858</v>
      </c>
      <c r="O5070" s="44" t="str">
        <f>IFERROR(__xludf.DUMMYFUNCTION("GOOGLETRANSLATE(N5070,""EN"",""ES"")"),"Positivo, muestra la apuesta de Repsol por la inversión en energías renovables.")</f>
        <v>Positivo, muestra la apuesta de Repsol por la inversión en energías renovables.</v>
      </c>
      <c r="P5070" s="30">
        <v>0.7</v>
      </c>
      <c r="Q5070" s="18" t="str">
        <f>IFERROR(__xludf.DUMMYFUNCTION("GOOGLETRANSLATE(R5070,""ES"",""EN"")"),"loan, ""renewable""")</f>
        <v>loan, "renewable"</v>
      </c>
      <c r="R5070" s="34" t="s">
        <v>35859</v>
      </c>
      <c r="S5070" s="52" t="s">
        <v>32110</v>
      </c>
      <c r="T5070" s="22" t="s">
        <v>32111</v>
      </c>
    </row>
    <row r="5071">
      <c r="A5071" s="23" t="s">
        <v>35860</v>
      </c>
      <c r="B5071" s="77" t="s">
        <v>23454</v>
      </c>
      <c r="C5071" s="96">
        <v>45645.0</v>
      </c>
      <c r="D5071" s="40" t="s">
        <v>35861</v>
      </c>
      <c r="E5071" s="97" t="s">
        <v>35862</v>
      </c>
      <c r="F5071" s="98" t="s">
        <v>35863</v>
      </c>
      <c r="G5071" s="98" t="s">
        <v>35864</v>
      </c>
      <c r="H5071" s="59" t="s">
        <v>1975</v>
      </c>
      <c r="I5071" s="25" t="str">
        <f>IFERROR(__xludf.DUMMYFUNCTION("GOOGLETRANSLATE(H5071,""EN"",""ES"")"),"Política")</f>
        <v>Política</v>
      </c>
      <c r="J5071" s="26" t="s">
        <v>35</v>
      </c>
      <c r="K5071" s="48">
        <v>-0.5</v>
      </c>
      <c r="L5071" s="51" t="s">
        <v>35865</v>
      </c>
      <c r="M5071" s="28" t="s">
        <v>35866</v>
      </c>
      <c r="N5071" s="47" t="s">
        <v>35867</v>
      </c>
      <c r="O5071" s="47" t="str">
        <f>IFERROR(__xludf.DUMMYFUNCTION("GOOGLETRANSLATE(N5071,""EN"",""ES"")"),"Negativo, habla de las consecuencias políticas de las decisiones fiscales sobre Repsol.")</f>
        <v>Negativo, habla de las consecuencias políticas de las decisiones fiscales sobre Repsol.</v>
      </c>
      <c r="P5071" s="30">
        <v>0.5</v>
      </c>
      <c r="Q5071" s="31" t="str">
        <f>IFERROR(__xludf.DUMMYFUNCTION("GOOGLETRANSLATE(R5071,""ES"",""EN"")"),"tax, ""encumbrance""")</f>
        <v>tax, "encumbrance"</v>
      </c>
      <c r="R5071" s="28" t="s">
        <v>35868</v>
      </c>
      <c r="S5071" s="53" t="s">
        <v>35869</v>
      </c>
      <c r="T5071" s="32" t="s">
        <v>35870</v>
      </c>
    </row>
    <row r="5072">
      <c r="A5072" s="33" t="s">
        <v>35871</v>
      </c>
      <c r="B5072" s="76" t="s">
        <v>2560</v>
      </c>
      <c r="C5072" s="99">
        <v>45645.0</v>
      </c>
      <c r="D5072" s="40" t="s">
        <v>35872</v>
      </c>
      <c r="E5072" s="100" t="s">
        <v>35873</v>
      </c>
      <c r="F5072" s="101" t="s">
        <v>35874</v>
      </c>
      <c r="G5072" s="101" t="s">
        <v>35875</v>
      </c>
      <c r="H5072" s="61" t="s">
        <v>32513</v>
      </c>
      <c r="I5072" s="15" t="str">
        <f>IFERROR(__xludf.DUMMYFUNCTION("GOOGLETRANSLATE(H5072,""EN"",""ES"")"),"Impacto Social")</f>
        <v>Impacto Social</v>
      </c>
      <c r="J5072" s="16" t="s">
        <v>35</v>
      </c>
      <c r="K5072" s="48">
        <v>0.8</v>
      </c>
      <c r="L5072" s="49" t="s">
        <v>35876</v>
      </c>
      <c r="M5072" s="34" t="s">
        <v>35877</v>
      </c>
      <c r="N5072" s="44" t="s">
        <v>35878</v>
      </c>
      <c r="O5072" s="44" t="str">
        <f>IFERROR(__xludf.DUMMYFUNCTION("GOOGLETRANSLATE(N5072,""EN"",""ES"")"),"Positivo, destaca esfuerzos humanitarios para apoyar a afectados por DANA.")</f>
        <v>Positivo, destaca esfuerzos humanitarios para apoyar a afectados por DANA.</v>
      </c>
      <c r="P5072" s="30">
        <v>0.6</v>
      </c>
      <c r="Q5072" s="18" t="str">
        <f>IFERROR(__xludf.DUMMYFUNCTION("GOOGLETRANSLATE(R5072,""ES"",""EN"")"),"collaborate, ""support""")</f>
        <v>collaborate, "support"</v>
      </c>
      <c r="R5072" s="34" t="s">
        <v>35785</v>
      </c>
      <c r="S5072" s="52" t="s">
        <v>34578</v>
      </c>
      <c r="T5072" s="22" t="s">
        <v>34579</v>
      </c>
    </row>
    <row r="5073">
      <c r="A5073" s="23" t="s">
        <v>35879</v>
      </c>
      <c r="B5073" s="77" t="s">
        <v>7334</v>
      </c>
      <c r="C5073" s="96">
        <v>45645.0</v>
      </c>
      <c r="D5073" s="40" t="s">
        <v>35880</v>
      </c>
      <c r="E5073" s="97" t="s">
        <v>35881</v>
      </c>
      <c r="F5073" s="98" t="s">
        <v>35882</v>
      </c>
      <c r="G5073" s="98" t="s">
        <v>35883</v>
      </c>
      <c r="H5073" s="59" t="s">
        <v>395</v>
      </c>
      <c r="I5073" s="25" t="str">
        <f>IFERROR(__xludf.DUMMYFUNCTION("GOOGLETRANSLATE(H5073,""EN"",""ES"")"),"Ambiente")</f>
        <v>Ambiente</v>
      </c>
      <c r="J5073" s="26" t="s">
        <v>35</v>
      </c>
      <c r="K5073" s="48">
        <v>-0.7</v>
      </c>
      <c r="L5073" s="51" t="s">
        <v>35884</v>
      </c>
      <c r="M5073" s="28" t="s">
        <v>35885</v>
      </c>
      <c r="N5073" s="47" t="s">
        <v>35886</v>
      </c>
      <c r="O5073" s="47" t="str">
        <f>IFERROR(__xludf.DUMMYFUNCTION("GOOGLETRANSLATE(N5073,""EN"",""ES"")"),"Oposición local negativa a los proyectos eólicos de Repsol.")</f>
        <v>Oposición local negativa a los proyectos eólicos de Repsol.</v>
      </c>
      <c r="P5073" s="30">
        <v>-0.8</v>
      </c>
      <c r="Q5073" s="31" t="str">
        <f>IFERROR(__xludf.DUMMYFUNCTION("GOOGLETRANSLATE(R5073,""ES"",""EN"")"),"reject, ""threaten""")</f>
        <v>reject, "threaten"</v>
      </c>
      <c r="R5073" s="28" t="s">
        <v>35887</v>
      </c>
      <c r="S5073" s="53" t="s">
        <v>35568</v>
      </c>
      <c r="T5073" s="32" t="s">
        <v>35569</v>
      </c>
    </row>
    <row r="5074">
      <c r="A5074" s="33" t="s">
        <v>35888</v>
      </c>
      <c r="B5074" s="76" t="s">
        <v>1768</v>
      </c>
      <c r="C5074" s="99">
        <v>45645.0</v>
      </c>
      <c r="D5074" s="40" t="s">
        <v>35889</v>
      </c>
      <c r="E5074" s="100" t="s">
        <v>35890</v>
      </c>
      <c r="F5074" s="101" t="s">
        <v>35891</v>
      </c>
      <c r="G5074" s="101" t="s">
        <v>35892</v>
      </c>
      <c r="H5074" s="61" t="s">
        <v>1975</v>
      </c>
      <c r="I5074" s="15" t="str">
        <f>IFERROR(__xludf.DUMMYFUNCTION("GOOGLETRANSLATE(H5074,""EN"",""ES"")"),"Política")</f>
        <v>Política</v>
      </c>
      <c r="J5074" s="16" t="s">
        <v>27</v>
      </c>
      <c r="K5074" s="17">
        <v>0.0</v>
      </c>
      <c r="L5074" s="49"/>
      <c r="M5074" s="18"/>
      <c r="N5074" s="44"/>
      <c r="O5074" s="44"/>
      <c r="P5074" s="20">
        <v>0.0</v>
      </c>
      <c r="Q5074" s="18"/>
      <c r="R5074" s="18"/>
      <c r="S5074" s="52"/>
      <c r="T5074" s="22"/>
    </row>
    <row r="5075">
      <c r="A5075" s="23" t="s">
        <v>35893</v>
      </c>
      <c r="B5075" s="77" t="s">
        <v>24252</v>
      </c>
      <c r="C5075" s="96">
        <v>45645.0</v>
      </c>
      <c r="D5075" s="40" t="s">
        <v>35894</v>
      </c>
      <c r="E5075" s="97" t="s">
        <v>35895</v>
      </c>
      <c r="F5075" s="98" t="s">
        <v>35896</v>
      </c>
      <c r="G5075" s="98" t="s">
        <v>35897</v>
      </c>
      <c r="H5075" s="59" t="s">
        <v>2591</v>
      </c>
      <c r="I5075" s="25" t="str">
        <f>IFERROR(__xludf.DUMMYFUNCTION("GOOGLETRANSLATE(H5075,""EN"",""ES"")"),"Negocio")</f>
        <v>Negocio</v>
      </c>
      <c r="J5075" s="26" t="s">
        <v>35</v>
      </c>
      <c r="K5075" s="48">
        <v>0.5</v>
      </c>
      <c r="L5075" s="51" t="s">
        <v>35898</v>
      </c>
      <c r="M5075" s="28" t="s">
        <v>35899</v>
      </c>
      <c r="N5075" s="47" t="s">
        <v>35900</v>
      </c>
      <c r="O5075" s="47" t="str">
        <f>IFERROR(__xludf.DUMMYFUNCTION("GOOGLETRANSLATE(N5075,""EN"",""ES"")"),"Neutral, analiza la posible colaboración futura entre Repsol y Ponfeblino.")</f>
        <v>Neutral, analiza la posible colaboración futura entre Repsol y Ponfeblino.</v>
      </c>
      <c r="P5075" s="30">
        <v>0.3</v>
      </c>
      <c r="Q5075" s="31" t="str">
        <f>IFERROR(__xludf.DUMMYFUNCTION("GOOGLETRANSLATE(R5075,""ES"",""EN"")"),"agree to speak")</f>
        <v>agree to speak</v>
      </c>
      <c r="R5075" s="28" t="s">
        <v>35901</v>
      </c>
      <c r="S5075" s="53" t="s">
        <v>35505</v>
      </c>
      <c r="T5075" s="32" t="s">
        <v>35506</v>
      </c>
    </row>
    <row r="5076">
      <c r="A5076" s="33" t="s">
        <v>35902</v>
      </c>
      <c r="B5076" s="76" t="s">
        <v>7334</v>
      </c>
      <c r="C5076" s="99">
        <v>45645.0</v>
      </c>
      <c r="D5076" s="40" t="s">
        <v>35903</v>
      </c>
      <c r="E5076" s="100" t="s">
        <v>35904</v>
      </c>
      <c r="F5076" s="101" t="s">
        <v>35905</v>
      </c>
      <c r="G5076" s="101" t="s">
        <v>35906</v>
      </c>
      <c r="H5076" s="61" t="s">
        <v>35327</v>
      </c>
      <c r="I5076" s="15" t="str">
        <f>IFERROR(__xludf.DUMMYFUNCTION("GOOGLETRANSLATE(H5076,""EN"",""ES"")"),"Política/Medio Ambiente")</f>
        <v>Política/Medio Ambiente</v>
      </c>
      <c r="J5076" s="16" t="s">
        <v>35</v>
      </c>
      <c r="K5076" s="48">
        <v>0.7</v>
      </c>
      <c r="L5076" s="49" t="s">
        <v>35907</v>
      </c>
      <c r="M5076" s="34" t="s">
        <v>35908</v>
      </c>
      <c r="N5076" s="44" t="s">
        <v>35909</v>
      </c>
      <c r="O5076" s="44" t="str">
        <f>IFERROR(__xludf.DUMMYFUNCTION("GOOGLETRANSLATE(N5076,""EN"",""ES"")"),"Positivo, muestra el apoyo a los proyectos renovables de Repsol por parte de las autoridades locales.")</f>
        <v>Positivo, muestra el apoyo a los proyectos renovables de Repsol por parte de las autoridades locales.</v>
      </c>
      <c r="P5076" s="30">
        <v>0.6</v>
      </c>
      <c r="Q5076" s="18" t="str">
        <f>IFERROR(__xludf.DUMMYFUNCTION("GOOGLETRANSLATE(R5076,""ES"",""EN"")"),"support")</f>
        <v>support</v>
      </c>
      <c r="R5076" s="34" t="s">
        <v>35910</v>
      </c>
      <c r="S5076" s="52" t="s">
        <v>35911</v>
      </c>
      <c r="T5076" s="22" t="s">
        <v>35912</v>
      </c>
    </row>
    <row r="5077">
      <c r="A5077" s="23" t="s">
        <v>35913</v>
      </c>
      <c r="B5077" s="77" t="s">
        <v>25384</v>
      </c>
      <c r="C5077" s="96">
        <v>45645.0</v>
      </c>
      <c r="D5077" s="40" t="s">
        <v>35914</v>
      </c>
      <c r="E5077" s="97" t="s">
        <v>35915</v>
      </c>
      <c r="F5077" s="98" t="s">
        <v>35916</v>
      </c>
      <c r="G5077" s="98" t="s">
        <v>35917</v>
      </c>
      <c r="H5077" s="59" t="s">
        <v>2591</v>
      </c>
      <c r="I5077" s="25" t="str">
        <f>IFERROR(__xludf.DUMMYFUNCTION("GOOGLETRANSLATE(H5077,""EN"",""ES"")"),"Negocio")</f>
        <v>Negocio</v>
      </c>
      <c r="J5077" s="26" t="s">
        <v>35</v>
      </c>
      <c r="K5077" s="48">
        <v>0.7</v>
      </c>
      <c r="L5077" s="51" t="s">
        <v>35918</v>
      </c>
      <c r="M5077" s="28" t="s">
        <v>35919</v>
      </c>
      <c r="N5077" s="47" t="s">
        <v>35720</v>
      </c>
      <c r="O5077" s="47" t="str">
        <f>IFERROR(__xludf.DUMMYFUNCTION("GOOGLETRANSLATE(N5077,""EN"",""ES"")"),"Positivo, detalles sobre el pago de dividendo de Repsol.")</f>
        <v>Positivo, detalles sobre el pago de dividendo de Repsol.</v>
      </c>
      <c r="P5077" s="30">
        <v>0.4</v>
      </c>
      <c r="Q5077" s="31" t="str">
        <f>IFERROR(__xludf.DUMMYFUNCTION("GOOGLETRANSLATE(R5077,""ES"",""EN"")"),"dividend")</f>
        <v>dividend</v>
      </c>
      <c r="R5077" s="28" t="s">
        <v>12532</v>
      </c>
      <c r="S5077" s="53" t="s">
        <v>35721</v>
      </c>
      <c r="T5077" s="32" t="s">
        <v>35722</v>
      </c>
    </row>
    <row r="5078">
      <c r="A5078" s="33" t="s">
        <v>35920</v>
      </c>
      <c r="B5078" s="76" t="s">
        <v>1577</v>
      </c>
      <c r="C5078" s="99">
        <v>45645.0</v>
      </c>
      <c r="D5078" s="40" t="s">
        <v>35921</v>
      </c>
      <c r="E5078" s="100" t="s">
        <v>35922</v>
      </c>
      <c r="F5078" s="101" t="s">
        <v>35923</v>
      </c>
      <c r="G5078" s="101" t="s">
        <v>35924</v>
      </c>
      <c r="H5078" s="61" t="s">
        <v>1975</v>
      </c>
      <c r="I5078" s="15" t="str">
        <f>IFERROR(__xludf.DUMMYFUNCTION("GOOGLETRANSLATE(H5078,""EN"",""ES"")"),"Política")</f>
        <v>Política</v>
      </c>
      <c r="J5078" s="16" t="s">
        <v>27</v>
      </c>
      <c r="K5078" s="17">
        <v>0.0</v>
      </c>
      <c r="L5078" s="49"/>
      <c r="M5078" s="18"/>
      <c r="N5078" s="44"/>
      <c r="O5078" s="44"/>
      <c r="P5078" s="20">
        <v>0.0</v>
      </c>
      <c r="Q5078" s="18"/>
      <c r="R5078" s="18"/>
      <c r="S5078" s="52"/>
      <c r="T5078" s="22"/>
    </row>
    <row r="5079">
      <c r="A5079" s="23" t="s">
        <v>35925</v>
      </c>
      <c r="B5079" s="77" t="s">
        <v>21</v>
      </c>
      <c r="C5079" s="96">
        <v>45645.0</v>
      </c>
      <c r="D5079" s="40" t="s">
        <v>35926</v>
      </c>
      <c r="E5079" s="97" t="s">
        <v>35927</v>
      </c>
      <c r="F5079" s="98" t="s">
        <v>35928</v>
      </c>
      <c r="G5079" s="98" t="s">
        <v>35929</v>
      </c>
      <c r="H5079" s="59" t="s">
        <v>17454</v>
      </c>
      <c r="I5079" s="25" t="str">
        <f>IFERROR(__xludf.DUMMYFUNCTION("GOOGLETRANSLATE(H5079,""EN"",""ES"")"),"Estilo de vida")</f>
        <v>Estilo de vida</v>
      </c>
      <c r="J5079" s="26" t="s">
        <v>27</v>
      </c>
      <c r="K5079" s="17">
        <v>0.0</v>
      </c>
      <c r="L5079" s="51"/>
      <c r="M5079" s="31"/>
      <c r="N5079" s="47"/>
      <c r="O5079" s="47"/>
      <c r="P5079" s="20">
        <v>0.0</v>
      </c>
      <c r="Q5079" s="31"/>
      <c r="R5079" s="31"/>
      <c r="S5079" s="53"/>
      <c r="T5079" s="32"/>
    </row>
    <row r="5080">
      <c r="A5080" s="33" t="s">
        <v>35930</v>
      </c>
      <c r="B5080" s="76" t="s">
        <v>7334</v>
      </c>
      <c r="C5080" s="99">
        <v>45645.0</v>
      </c>
      <c r="D5080" s="40" t="s">
        <v>35931</v>
      </c>
      <c r="E5080" s="100" t="s">
        <v>35932</v>
      </c>
      <c r="F5080" s="101" t="s">
        <v>35933</v>
      </c>
      <c r="G5080" s="101" t="s">
        <v>35934</v>
      </c>
      <c r="H5080" s="61" t="s">
        <v>35935</v>
      </c>
      <c r="I5080" s="15" t="str">
        <f>IFERROR(__xludf.DUMMYFUNCTION("GOOGLETRANSLATE(H5080,""EN"",""ES"")"),"Medio Ambiente/Política")</f>
        <v>Medio Ambiente/Política</v>
      </c>
      <c r="J5080" s="16" t="s">
        <v>35</v>
      </c>
      <c r="K5080" s="48">
        <v>0.7</v>
      </c>
      <c r="L5080" s="49" t="s">
        <v>35936</v>
      </c>
      <c r="M5080" s="34" t="s">
        <v>35937</v>
      </c>
      <c r="N5080" s="44" t="s">
        <v>35938</v>
      </c>
      <c r="O5080" s="44" t="str">
        <f>IFERROR(__xludf.DUMMYFUNCTION("GOOGLETRANSLATE(N5080,""EN"",""ES"")"),"Positivo, apoya la integración de las energías renovables con consideraciones medioambientales.")</f>
        <v>Positivo, apoya la integración de las energías renovables con consideraciones medioambientales.</v>
      </c>
      <c r="P5080" s="30">
        <v>0.0</v>
      </c>
      <c r="Q5080" s="18"/>
      <c r="R5080" s="18"/>
      <c r="S5080" s="52" t="s">
        <v>35505</v>
      </c>
      <c r="T5080" s="22" t="s">
        <v>35506</v>
      </c>
    </row>
    <row r="5081">
      <c r="A5081" s="23" t="s">
        <v>35939</v>
      </c>
      <c r="B5081" s="77" t="s">
        <v>217</v>
      </c>
      <c r="C5081" s="96">
        <v>45645.0</v>
      </c>
      <c r="D5081" s="40" t="s">
        <v>35940</v>
      </c>
      <c r="E5081" s="97" t="s">
        <v>35941</v>
      </c>
      <c r="F5081" s="98" t="s">
        <v>35942</v>
      </c>
      <c r="G5081" s="98" t="s">
        <v>35943</v>
      </c>
      <c r="H5081" s="59" t="s">
        <v>5878</v>
      </c>
      <c r="I5081" s="25" t="str">
        <f>IFERROR(__xludf.DUMMYFUNCTION("GOOGLETRANSLATE(H5081,""EN"",""ES"")"),"Entretenimiento")</f>
        <v>Entretenimiento</v>
      </c>
      <c r="J5081" s="26" t="s">
        <v>27</v>
      </c>
      <c r="K5081" s="17">
        <v>0.0</v>
      </c>
      <c r="L5081" s="51"/>
      <c r="M5081" s="31"/>
      <c r="N5081" s="47"/>
      <c r="O5081" s="47"/>
      <c r="P5081" s="20">
        <v>0.0</v>
      </c>
      <c r="Q5081" s="31"/>
      <c r="R5081" s="31"/>
      <c r="S5081" s="53"/>
      <c r="T5081" s="32"/>
    </row>
    <row r="5082">
      <c r="A5082" s="33" t="s">
        <v>35944</v>
      </c>
      <c r="B5082" s="76" t="s">
        <v>3045</v>
      </c>
      <c r="C5082" s="99">
        <v>45645.0</v>
      </c>
      <c r="D5082" s="40" t="s">
        <v>35945</v>
      </c>
      <c r="E5082" s="100" t="s">
        <v>35946</v>
      </c>
      <c r="F5082" s="101" t="s">
        <v>35947</v>
      </c>
      <c r="G5082" s="101" t="s">
        <v>35948</v>
      </c>
      <c r="H5082" s="61" t="s">
        <v>1975</v>
      </c>
      <c r="I5082" s="15" t="str">
        <f>IFERROR(__xludf.DUMMYFUNCTION("GOOGLETRANSLATE(H5082,""EN"",""ES"")"),"Política")</f>
        <v>Política</v>
      </c>
      <c r="J5082" s="16" t="s">
        <v>35</v>
      </c>
      <c r="K5082" s="48">
        <v>-0.6</v>
      </c>
      <c r="L5082" s="49" t="s">
        <v>35949</v>
      </c>
      <c r="M5082" s="34" t="s">
        <v>35950</v>
      </c>
      <c r="N5082" s="44" t="s">
        <v>35951</v>
      </c>
      <c r="O5082" s="44" t="str">
        <f>IFERROR(__xludf.DUMMYFUNCTION("GOOGLETRANSLATE(N5082,""EN"",""ES"")"),"Negativo, analiza el conflicto político por los impuestos energéticos que afecta a Repsol.")</f>
        <v>Negativo, analiza el conflicto político por los impuestos energéticos que afecta a Repsol.</v>
      </c>
      <c r="P5082" s="30">
        <v>0.5</v>
      </c>
      <c r="Q5082" s="18" t="str">
        <f>IFERROR(__xludf.DUMMYFUNCTION("GOOGLETRANSLATE(R5082,""ES"",""EN"")"),"knock down the tax")</f>
        <v>knock down the tax</v>
      </c>
      <c r="R5082" s="34" t="s">
        <v>35952</v>
      </c>
      <c r="S5082" s="52" t="s">
        <v>35869</v>
      </c>
      <c r="T5082" s="22" t="s">
        <v>35870</v>
      </c>
    </row>
    <row r="5083">
      <c r="A5083" s="23" t="s">
        <v>35953</v>
      </c>
      <c r="B5083" s="77" t="s">
        <v>7334</v>
      </c>
      <c r="C5083" s="96">
        <v>45645.0</v>
      </c>
      <c r="D5083" s="40" t="s">
        <v>35954</v>
      </c>
      <c r="E5083" s="97" t="s">
        <v>35955</v>
      </c>
      <c r="F5083" s="98" t="s">
        <v>35956</v>
      </c>
      <c r="G5083" s="98" t="s">
        <v>35957</v>
      </c>
      <c r="H5083" s="59" t="s">
        <v>35327</v>
      </c>
      <c r="I5083" s="25" t="str">
        <f>IFERROR(__xludf.DUMMYFUNCTION("GOOGLETRANSLATE(H5083,""EN"",""ES"")"),"Política/Medio Ambiente")</f>
        <v>Política/Medio Ambiente</v>
      </c>
      <c r="J5083" s="26" t="s">
        <v>35</v>
      </c>
      <c r="K5083" s="48">
        <v>0.5</v>
      </c>
      <c r="L5083" s="51" t="s">
        <v>35958</v>
      </c>
      <c r="M5083" s="28" t="s">
        <v>35959</v>
      </c>
      <c r="N5083" s="47" t="s">
        <v>35960</v>
      </c>
      <c r="O5083" s="47" t="str">
        <f>IFERROR(__xludf.DUMMYFUNCTION("GOOGLETRANSLATE(N5083,""EN"",""ES"")"),"Neutral, enfatiza el equilibrio en el desarrollo de energías renovables.")</f>
        <v>Neutral, enfatiza el equilibrio en el desarrollo de energías renovables.</v>
      </c>
      <c r="P5083" s="30">
        <v>0.0</v>
      </c>
      <c r="Q5083" s="31"/>
      <c r="R5083" s="31"/>
      <c r="S5083" s="53" t="s">
        <v>35505</v>
      </c>
      <c r="T5083" s="32" t="s">
        <v>35506</v>
      </c>
    </row>
    <row r="5084">
      <c r="A5084" s="33" t="s">
        <v>35961</v>
      </c>
      <c r="B5084" s="76" t="s">
        <v>35962</v>
      </c>
      <c r="C5084" s="99">
        <v>45645.0</v>
      </c>
      <c r="D5084" s="40" t="s">
        <v>35963</v>
      </c>
      <c r="E5084" s="100" t="s">
        <v>35964</v>
      </c>
      <c r="F5084" s="101" t="s">
        <v>35965</v>
      </c>
      <c r="G5084" s="101" t="s">
        <v>35966</v>
      </c>
      <c r="H5084" s="61" t="s">
        <v>1975</v>
      </c>
      <c r="I5084" s="15" t="str">
        <f>IFERROR(__xludf.DUMMYFUNCTION("GOOGLETRANSLATE(H5084,""EN"",""ES"")"),"Política")</f>
        <v>Política</v>
      </c>
      <c r="J5084" s="16" t="s">
        <v>27</v>
      </c>
      <c r="K5084" s="17">
        <v>0.0</v>
      </c>
      <c r="L5084" s="49"/>
      <c r="M5084" s="18"/>
      <c r="N5084" s="44"/>
      <c r="O5084" s="44"/>
      <c r="P5084" s="20">
        <v>0.0</v>
      </c>
      <c r="Q5084" s="18"/>
      <c r="R5084" s="18"/>
      <c r="S5084" s="52"/>
      <c r="T5084" s="22"/>
    </row>
    <row r="5085">
      <c r="A5085" s="23" t="s">
        <v>35967</v>
      </c>
      <c r="B5085" s="77" t="s">
        <v>881</v>
      </c>
      <c r="C5085" s="96">
        <v>45645.0</v>
      </c>
      <c r="D5085" s="40" t="s">
        <v>35968</v>
      </c>
      <c r="E5085" s="97" t="s">
        <v>35969</v>
      </c>
      <c r="F5085" s="98" t="s">
        <v>35970</v>
      </c>
      <c r="G5085" s="98" t="s">
        <v>35971</v>
      </c>
      <c r="H5085" s="59" t="s">
        <v>1975</v>
      </c>
      <c r="I5085" s="25" t="str">
        <f>IFERROR(__xludf.DUMMYFUNCTION("GOOGLETRANSLATE(H5085,""EN"",""ES"")"),"Política")</f>
        <v>Política</v>
      </c>
      <c r="J5085" s="26" t="s">
        <v>35</v>
      </c>
      <c r="K5085" s="48">
        <v>-0.5</v>
      </c>
      <c r="L5085" s="51" t="s">
        <v>35972</v>
      </c>
      <c r="M5085" s="28" t="s">
        <v>35973</v>
      </c>
      <c r="N5085" s="47" t="s">
        <v>35974</v>
      </c>
      <c r="O5085" s="47" t="str">
        <f>IFERROR(__xludf.DUMMYFUNCTION("GOOGLETRANSLATE(N5085,""EN"",""ES"")"),"Negativo, analiza la derogación del impuesto energético que afecta a Repsol.")</f>
        <v>Negativo, analiza la derogación del impuesto energético que afecta a Repsol.</v>
      </c>
      <c r="P5085" s="30">
        <v>0.6</v>
      </c>
      <c r="Q5085" s="31" t="str">
        <f>IFERROR(__xludf.DUMMYFUNCTION("GOOGLETRANSLATE(R5085,""ES"",""EN"")"),"repeals the tax")</f>
        <v>repeals the tax</v>
      </c>
      <c r="R5085" s="28" t="s">
        <v>35975</v>
      </c>
      <c r="S5085" s="53" t="s">
        <v>35869</v>
      </c>
      <c r="T5085" s="32" t="s">
        <v>35870</v>
      </c>
    </row>
    <row r="5086">
      <c r="A5086" s="33" t="s">
        <v>35976</v>
      </c>
      <c r="B5086" s="76" t="s">
        <v>713</v>
      </c>
      <c r="C5086" s="99">
        <v>45645.0</v>
      </c>
      <c r="D5086" s="40" t="s">
        <v>35977</v>
      </c>
      <c r="E5086" s="100" t="s">
        <v>35978</v>
      </c>
      <c r="F5086" s="101" t="s">
        <v>35979</v>
      </c>
      <c r="G5086" s="101" t="s">
        <v>35980</v>
      </c>
      <c r="H5086" s="61" t="s">
        <v>1975</v>
      </c>
      <c r="I5086" s="15" t="str">
        <f>IFERROR(__xludf.DUMMYFUNCTION("GOOGLETRANSLATE(H5086,""EN"",""ES"")"),"Política")</f>
        <v>Política</v>
      </c>
      <c r="J5086" s="16" t="s">
        <v>27</v>
      </c>
      <c r="K5086" s="17">
        <v>0.0</v>
      </c>
      <c r="L5086" s="49"/>
      <c r="M5086" s="18"/>
      <c r="N5086" s="44"/>
      <c r="O5086" s="44"/>
      <c r="P5086" s="20">
        <v>0.0</v>
      </c>
      <c r="Q5086" s="18"/>
      <c r="R5086" s="18"/>
      <c r="S5086" s="52"/>
      <c r="T5086" s="22"/>
    </row>
    <row r="5087">
      <c r="A5087" s="23" t="s">
        <v>35981</v>
      </c>
      <c r="B5087" s="77" t="s">
        <v>163</v>
      </c>
      <c r="C5087" s="96">
        <v>45646.0</v>
      </c>
      <c r="D5087" s="40" t="s">
        <v>35982</v>
      </c>
      <c r="E5087" s="97" t="s">
        <v>35982</v>
      </c>
      <c r="F5087" s="98" t="s">
        <v>35983</v>
      </c>
      <c r="G5087" s="98" t="s">
        <v>35983</v>
      </c>
      <c r="H5087" s="59" t="s">
        <v>17454</v>
      </c>
      <c r="I5087" s="25" t="str">
        <f>IFERROR(__xludf.DUMMYFUNCTION("GOOGLETRANSLATE(H5087,""EN"",""ES"")"),"Estilo de vida")</f>
        <v>Estilo de vida</v>
      </c>
      <c r="J5087" s="26" t="s">
        <v>27</v>
      </c>
      <c r="K5087" s="17">
        <v>0.0</v>
      </c>
      <c r="L5087" s="51"/>
      <c r="M5087" s="31"/>
      <c r="N5087" s="47"/>
      <c r="O5087" s="47"/>
      <c r="P5087" s="20">
        <v>0.0</v>
      </c>
      <c r="Q5087" s="31"/>
      <c r="R5087" s="31"/>
      <c r="S5087" s="53"/>
      <c r="T5087" s="32"/>
    </row>
    <row r="5088">
      <c r="A5088" s="33" t="s">
        <v>35984</v>
      </c>
      <c r="B5088" s="76" t="s">
        <v>35985</v>
      </c>
      <c r="C5088" s="99">
        <v>45646.0</v>
      </c>
      <c r="D5088" s="40" t="s">
        <v>35986</v>
      </c>
      <c r="E5088" s="100" t="s">
        <v>35987</v>
      </c>
      <c r="F5088" s="101" t="s">
        <v>35988</v>
      </c>
      <c r="G5088" s="101" t="s">
        <v>35989</v>
      </c>
      <c r="H5088" s="61" t="s">
        <v>395</v>
      </c>
      <c r="I5088" s="15" t="str">
        <f>IFERROR(__xludf.DUMMYFUNCTION("GOOGLETRANSLATE(H5088,""EN"",""ES"")"),"Ambiente")</f>
        <v>Ambiente</v>
      </c>
      <c r="J5088" s="16" t="s">
        <v>35</v>
      </c>
      <c r="K5088" s="48">
        <v>0.7</v>
      </c>
      <c r="L5088" s="49" t="s">
        <v>35990</v>
      </c>
      <c r="M5088" s="34" t="s">
        <v>35991</v>
      </c>
      <c r="N5088" s="44" t="s">
        <v>35992</v>
      </c>
      <c r="O5088" s="44" t="str">
        <f>IFERROR(__xludf.DUMMYFUNCTION("GOOGLETRANSLATE(N5088,""EN"",""ES"")"),"Positivo, destaca el esfuerzo de Repsol en la conservación del medio ambiente.")</f>
        <v>Positivo, destaca el esfuerzo de Repsol en la conservación del medio ambiente.</v>
      </c>
      <c r="P5088" s="30">
        <v>0.7</v>
      </c>
      <c r="Q5088" s="18" t="str">
        <f>IFERROR(__xludf.DUMMYFUNCTION("GOOGLETRANSLATE(R5088,""ES"",""EN"")"),"rehabilitates, ""biodiversity""")</f>
        <v>rehabilitates, "biodiversity"</v>
      </c>
      <c r="R5088" s="34" t="s">
        <v>35993</v>
      </c>
      <c r="S5088" s="52" t="s">
        <v>35994</v>
      </c>
      <c r="T5088" s="22" t="s">
        <v>35995</v>
      </c>
    </row>
    <row r="5089">
      <c r="A5089" s="23" t="s">
        <v>35996</v>
      </c>
      <c r="B5089" s="77" t="s">
        <v>8884</v>
      </c>
      <c r="C5089" s="96">
        <v>45646.0</v>
      </c>
      <c r="D5089" s="40" t="s">
        <v>35997</v>
      </c>
      <c r="E5089" s="97" t="s">
        <v>35997</v>
      </c>
      <c r="F5089" s="98" t="s">
        <v>35998</v>
      </c>
      <c r="G5089" s="98" t="s">
        <v>35998</v>
      </c>
      <c r="H5089" s="59" t="s">
        <v>24419</v>
      </c>
      <c r="I5089" s="25" t="str">
        <f>IFERROR(__xludf.DUMMYFUNCTION("GOOGLETRANSLATE(H5089,""EN"",""ES"")"),"Negocios/Política")</f>
        <v>Negocios/Política</v>
      </c>
      <c r="J5089" s="26" t="s">
        <v>35</v>
      </c>
      <c r="K5089" s="48">
        <v>0.6</v>
      </c>
      <c r="L5089" s="51" t="s">
        <v>35999</v>
      </c>
      <c r="M5089" s="28" t="s">
        <v>36000</v>
      </c>
      <c r="N5089" s="47" t="s">
        <v>36001</v>
      </c>
      <c r="O5089" s="47" t="str">
        <f>IFERROR(__xludf.DUMMYFUNCTION("GOOGLETRANSLATE(N5089,""EN"",""ES"")"),"Beneficio económico positivo para Repsol por la derogación de impuestos.")</f>
        <v>Beneficio económico positivo para Repsol por la derogación de impuestos.</v>
      </c>
      <c r="P5089" s="30">
        <v>0.6</v>
      </c>
      <c r="Q5089" s="31" t="str">
        <f>IFERROR(__xludf.DUMMYFUNCTION("GOOGLETRANSLATE(R5089,""ES"",""EN"")"),"are saved")</f>
        <v>are saved</v>
      </c>
      <c r="R5089" s="28" t="s">
        <v>36002</v>
      </c>
      <c r="S5089" s="53" t="s">
        <v>35869</v>
      </c>
      <c r="T5089" s="32" t="s">
        <v>35870</v>
      </c>
    </row>
    <row r="5090">
      <c r="A5090" s="33" t="s">
        <v>36003</v>
      </c>
      <c r="B5090" s="76" t="s">
        <v>4038</v>
      </c>
      <c r="C5090" s="99">
        <v>45646.0</v>
      </c>
      <c r="D5090" s="40" t="s">
        <v>36004</v>
      </c>
      <c r="E5090" s="100" t="s">
        <v>36005</v>
      </c>
      <c r="F5090" s="101" t="s">
        <v>36006</v>
      </c>
      <c r="G5090" s="101" t="s">
        <v>36007</v>
      </c>
      <c r="H5090" s="61" t="s">
        <v>35327</v>
      </c>
      <c r="I5090" s="15" t="str">
        <f>IFERROR(__xludf.DUMMYFUNCTION("GOOGLETRANSLATE(H5090,""EN"",""ES"")"),"Política/Medio Ambiente")</f>
        <v>Política/Medio Ambiente</v>
      </c>
      <c r="J5090" s="16" t="s">
        <v>35</v>
      </c>
      <c r="K5090" s="48">
        <v>-0.6</v>
      </c>
      <c r="L5090" s="49" t="s">
        <v>36008</v>
      </c>
      <c r="M5090" s="34" t="s">
        <v>36009</v>
      </c>
      <c r="N5090" s="44" t="s">
        <v>36010</v>
      </c>
      <c r="O5090" s="44" t="str">
        <f>IFERROR(__xludf.DUMMYFUNCTION("GOOGLETRANSLATE(N5090,""EN"",""ES"")"),"Negativa, cuestionamiento gubernamental al proyecto de Repsol.")</f>
        <v>Negativa, cuestionamiento gubernamental al proyecto de Repsol.</v>
      </c>
      <c r="P5090" s="30">
        <v>-0.4</v>
      </c>
      <c r="Q5090" s="18" t="str">
        <f>IFERROR(__xludf.DUMMYFUNCTION("GOOGLETRANSLATE(R5090,""ES"",""EN"")"),"questions")</f>
        <v>questions</v>
      </c>
      <c r="R5090" s="34" t="s">
        <v>36011</v>
      </c>
      <c r="S5090" s="52" t="s">
        <v>36012</v>
      </c>
      <c r="T5090" s="22" t="s">
        <v>36013</v>
      </c>
    </row>
    <row r="5091">
      <c r="A5091" s="23" t="s">
        <v>36014</v>
      </c>
      <c r="B5091" s="77" t="s">
        <v>666</v>
      </c>
      <c r="C5091" s="96">
        <v>45646.0</v>
      </c>
      <c r="D5091" s="40" t="s">
        <v>36015</v>
      </c>
      <c r="E5091" s="97" t="s">
        <v>35915</v>
      </c>
      <c r="F5091" s="98" t="s">
        <v>36016</v>
      </c>
      <c r="G5091" s="98" t="s">
        <v>35917</v>
      </c>
      <c r="H5091" s="59" t="s">
        <v>2591</v>
      </c>
      <c r="I5091" s="25" t="str">
        <f>IFERROR(__xludf.DUMMYFUNCTION("GOOGLETRANSLATE(H5091,""EN"",""ES"")"),"Negocio")</f>
        <v>Negocio</v>
      </c>
      <c r="J5091" s="26" t="s">
        <v>35</v>
      </c>
      <c r="K5091" s="48">
        <v>0.8</v>
      </c>
      <c r="L5091" s="51" t="s">
        <v>36017</v>
      </c>
      <c r="M5091" s="28" t="s">
        <v>36018</v>
      </c>
      <c r="N5091" s="47" t="s">
        <v>36019</v>
      </c>
      <c r="O5091" s="47" t="str">
        <f>IFERROR(__xludf.DUMMYFUNCTION("GOOGLETRANSLATE(N5091,""EN"",""ES"")"),"Positivo, pago de dividendos a los accionistas de Repsol.")</f>
        <v>Positivo, pago de dividendos a los accionistas de Repsol.</v>
      </c>
      <c r="P5091" s="30">
        <v>0.4</v>
      </c>
      <c r="Q5091" s="31" t="str">
        <f>IFERROR(__xludf.DUMMYFUNCTION("GOOGLETRANSLATE(R5091,""ES"",""EN"")"),"dividend")</f>
        <v>dividend</v>
      </c>
      <c r="R5091" s="28" t="s">
        <v>12532</v>
      </c>
      <c r="S5091" s="53" t="s">
        <v>35721</v>
      </c>
      <c r="T5091" s="32" t="s">
        <v>35722</v>
      </c>
    </row>
    <row r="5092">
      <c r="A5092" s="33" t="s">
        <v>36020</v>
      </c>
      <c r="B5092" s="76" t="s">
        <v>1970</v>
      </c>
      <c r="C5092" s="99">
        <v>45646.0</v>
      </c>
      <c r="D5092" s="40" t="s">
        <v>36021</v>
      </c>
      <c r="E5092" s="100" t="s">
        <v>36022</v>
      </c>
      <c r="F5092" s="101" t="s">
        <v>36023</v>
      </c>
      <c r="G5092" s="101" t="s">
        <v>36024</v>
      </c>
      <c r="H5092" s="61" t="s">
        <v>32513</v>
      </c>
      <c r="I5092" s="15" t="str">
        <f>IFERROR(__xludf.DUMMYFUNCTION("GOOGLETRANSLATE(H5092,""EN"",""ES"")"),"Impacto Social")</f>
        <v>Impacto Social</v>
      </c>
      <c r="J5092" s="16" t="s">
        <v>35</v>
      </c>
      <c r="K5092" s="48">
        <v>0.8</v>
      </c>
      <c r="L5092" s="49" t="s">
        <v>36025</v>
      </c>
      <c r="M5092" s="34" t="s">
        <v>36026</v>
      </c>
      <c r="N5092" s="44" t="s">
        <v>36027</v>
      </c>
      <c r="O5092" s="44" t="str">
        <f>IFERROR(__xludf.DUMMYFUNCTION("GOOGLETRANSLATE(N5092,""EN"",""ES"")"),"Apoyo financiero positivo para las personas afectadas por DANA.")</f>
        <v>Apoyo financiero positivo para las personas afectadas por DANA.</v>
      </c>
      <c r="P5092" s="30">
        <v>0.6</v>
      </c>
      <c r="Q5092" s="18" t="str">
        <f>IFERROR(__xludf.DUMMYFUNCTION("GOOGLETRANSLATE(R5092,""ES"",""EN"")"),"150 euros to refuel")</f>
        <v>150 euros to refuel</v>
      </c>
      <c r="R5092" s="34" t="s">
        <v>36028</v>
      </c>
      <c r="S5092" s="52" t="s">
        <v>34578</v>
      </c>
      <c r="T5092" s="22" t="s">
        <v>34579</v>
      </c>
    </row>
    <row r="5093">
      <c r="A5093" s="23" t="s">
        <v>36029</v>
      </c>
      <c r="B5093" s="77" t="s">
        <v>859</v>
      </c>
      <c r="C5093" s="96">
        <v>45646.0</v>
      </c>
      <c r="D5093" s="40" t="s">
        <v>36030</v>
      </c>
      <c r="E5093" s="97" t="s">
        <v>36031</v>
      </c>
      <c r="F5093" s="98" t="s">
        <v>36032</v>
      </c>
      <c r="G5093" s="98" t="s">
        <v>36033</v>
      </c>
      <c r="H5093" s="59" t="s">
        <v>36034</v>
      </c>
      <c r="I5093" s="25" t="str">
        <f>IFERROR(__xludf.DUMMYFUNCTION("GOOGLETRANSLATE(H5093,""EN"",""ES"")"),"Negocios/Deportes")</f>
        <v>Negocios/Deportes</v>
      </c>
      <c r="J5093" s="26" t="s">
        <v>27</v>
      </c>
      <c r="K5093" s="17">
        <v>0.0</v>
      </c>
      <c r="L5093" s="51"/>
      <c r="M5093" s="31"/>
      <c r="N5093" s="47"/>
      <c r="O5093" s="47"/>
      <c r="P5093" s="20">
        <v>0.0</v>
      </c>
      <c r="Q5093" s="31"/>
      <c r="R5093" s="31"/>
      <c r="S5093" s="53"/>
      <c r="T5093" s="32"/>
    </row>
    <row r="5094">
      <c r="A5094" s="33" t="s">
        <v>36035</v>
      </c>
      <c r="B5094" s="76" t="s">
        <v>24252</v>
      </c>
      <c r="C5094" s="99">
        <v>45646.0</v>
      </c>
      <c r="D5094" s="40" t="s">
        <v>36036</v>
      </c>
      <c r="E5094" s="100" t="s">
        <v>36037</v>
      </c>
      <c r="F5094" s="101" t="s">
        <v>36038</v>
      </c>
      <c r="G5094" s="101" t="s">
        <v>36039</v>
      </c>
      <c r="H5094" s="61" t="s">
        <v>35327</v>
      </c>
      <c r="I5094" s="15" t="str">
        <f>IFERROR(__xludf.DUMMYFUNCTION("GOOGLETRANSLATE(H5094,""EN"",""ES"")"),"Política/Medio Ambiente")</f>
        <v>Política/Medio Ambiente</v>
      </c>
      <c r="J5094" s="16" t="s">
        <v>35</v>
      </c>
      <c r="K5094" s="48">
        <v>-0.7</v>
      </c>
      <c r="L5094" s="49" t="s">
        <v>36040</v>
      </c>
      <c r="M5094" s="34" t="s">
        <v>36041</v>
      </c>
      <c r="N5094" s="44" t="s">
        <v>36042</v>
      </c>
      <c r="O5094" s="44" t="str">
        <f>IFERROR(__xludf.DUMMYFUNCTION("GOOGLETRANSLATE(N5094,""EN"",""ES"")"),"Oposición política negativa a los proyectos eólicos de Repsol.")</f>
        <v>Oposición política negativa a los proyectos eólicos de Repsol.</v>
      </c>
      <c r="P5094" s="30">
        <v>-0.6</v>
      </c>
      <c r="Q5094" s="18" t="str">
        <f>IFERROR(__xludf.DUMMYFUNCTION("GOOGLETRANSLATE(R5094,""ES"",""EN"")"),"fight against")</f>
        <v>fight against</v>
      </c>
      <c r="R5094" s="34" t="s">
        <v>14330</v>
      </c>
      <c r="S5094" s="52" t="s">
        <v>36043</v>
      </c>
      <c r="T5094" s="22" t="s">
        <v>36044</v>
      </c>
    </row>
    <row r="5095">
      <c r="A5095" s="23" t="s">
        <v>36045</v>
      </c>
      <c r="B5095" s="77" t="s">
        <v>50</v>
      </c>
      <c r="C5095" s="96">
        <v>45646.0</v>
      </c>
      <c r="D5095" s="40" t="s">
        <v>36046</v>
      </c>
      <c r="E5095" s="97" t="s">
        <v>36047</v>
      </c>
      <c r="F5095" s="98" t="s">
        <v>36048</v>
      </c>
      <c r="G5095" s="98" t="s">
        <v>36049</v>
      </c>
      <c r="H5095" s="59" t="s">
        <v>3985</v>
      </c>
      <c r="I5095" s="25" t="str">
        <f>IFERROR(__xludf.DUMMYFUNCTION("GOOGLETRANSLATE(H5095,""EN"",""ES"")"),"Deportes")</f>
        <v>Deportes</v>
      </c>
      <c r="J5095" s="26" t="s">
        <v>27</v>
      </c>
      <c r="K5095" s="17">
        <v>0.0</v>
      </c>
      <c r="L5095" s="51"/>
      <c r="M5095" s="31"/>
      <c r="N5095" s="47"/>
      <c r="O5095" s="47"/>
      <c r="P5095" s="20">
        <v>0.0</v>
      </c>
      <c r="Q5095" s="31"/>
      <c r="R5095" s="31"/>
      <c r="S5095" s="53"/>
      <c r="T5095" s="32"/>
    </row>
    <row r="5096">
      <c r="A5096" s="33" t="s">
        <v>36050</v>
      </c>
      <c r="B5096" s="76" t="s">
        <v>1602</v>
      </c>
      <c r="C5096" s="99">
        <v>45646.0</v>
      </c>
      <c r="D5096" s="40" t="s">
        <v>36051</v>
      </c>
      <c r="E5096" s="100" t="s">
        <v>36052</v>
      </c>
      <c r="F5096" s="101" t="s">
        <v>36053</v>
      </c>
      <c r="G5096" s="101" t="s">
        <v>36054</v>
      </c>
      <c r="H5096" s="61" t="s">
        <v>35532</v>
      </c>
      <c r="I5096" s="15" t="str">
        <f>IFERROR(__xludf.DUMMYFUNCTION("GOOGLETRANSLATE(H5096,""EN"",""ES"")"),"Negocios/Finanzas")</f>
        <v>Negocios/Finanzas</v>
      </c>
      <c r="J5096" s="16" t="s">
        <v>35</v>
      </c>
      <c r="K5096" s="48">
        <v>0.5</v>
      </c>
      <c r="L5096" s="49" t="s">
        <v>36055</v>
      </c>
      <c r="M5096" s="34" t="s">
        <v>36056</v>
      </c>
      <c r="N5096" s="44" t="s">
        <v>36057</v>
      </c>
      <c r="O5096" s="44" t="str">
        <f>IFERROR(__xludf.DUMMYFUNCTION("GOOGLETRANSLATE(N5096,""EN"",""ES"")"),"Análisis neutral del mercado de valores con participación de Repsol.")</f>
        <v>Análisis neutral del mercado de valores con participación de Repsol.</v>
      </c>
      <c r="P5096" s="30">
        <v>-0.5</v>
      </c>
      <c r="Q5096" s="18" t="str">
        <f>IFERROR(__xludf.DUMMYFUNCTION("GOOGLETRANSLATE(R5096,""ES"",""EN"")"),"perforated brackets")</f>
        <v>perforated brackets</v>
      </c>
      <c r="R5096" s="34" t="s">
        <v>35515</v>
      </c>
      <c r="S5096" s="52" t="s">
        <v>25999</v>
      </c>
      <c r="T5096" s="22" t="s">
        <v>26000</v>
      </c>
    </row>
    <row r="5097">
      <c r="A5097" s="23" t="s">
        <v>36058</v>
      </c>
      <c r="B5097" s="77" t="s">
        <v>1081</v>
      </c>
      <c r="C5097" s="96">
        <v>45646.0</v>
      </c>
      <c r="D5097" s="40" t="s">
        <v>36059</v>
      </c>
      <c r="E5097" s="97" t="s">
        <v>36060</v>
      </c>
      <c r="F5097" s="98" t="s">
        <v>36061</v>
      </c>
      <c r="G5097" s="98" t="s">
        <v>36062</v>
      </c>
      <c r="H5097" s="59" t="s">
        <v>3985</v>
      </c>
      <c r="I5097" s="25" t="str">
        <f>IFERROR(__xludf.DUMMYFUNCTION("GOOGLETRANSLATE(H5097,""EN"",""ES"")"),"Deportes")</f>
        <v>Deportes</v>
      </c>
      <c r="J5097" s="26" t="s">
        <v>27</v>
      </c>
      <c r="K5097" s="17">
        <v>0.0</v>
      </c>
      <c r="L5097" s="51"/>
      <c r="M5097" s="31"/>
      <c r="N5097" s="47"/>
      <c r="O5097" s="47"/>
      <c r="P5097" s="20">
        <v>0.0</v>
      </c>
      <c r="Q5097" s="31"/>
      <c r="R5097" s="31"/>
      <c r="S5097" s="53"/>
      <c r="T5097" s="32"/>
    </row>
    <row r="5098">
      <c r="A5098" s="33" t="s">
        <v>36063</v>
      </c>
      <c r="B5098" s="76" t="s">
        <v>28206</v>
      </c>
      <c r="C5098" s="99">
        <v>45646.0</v>
      </c>
      <c r="D5098" s="40" t="s">
        <v>36064</v>
      </c>
      <c r="E5098" s="100" t="s">
        <v>36064</v>
      </c>
      <c r="F5098" s="101" t="s">
        <v>36065</v>
      </c>
      <c r="G5098" s="101" t="s">
        <v>36065</v>
      </c>
      <c r="H5098" s="61" t="s">
        <v>2591</v>
      </c>
      <c r="I5098" s="15" t="str">
        <f>IFERROR(__xludf.DUMMYFUNCTION("GOOGLETRANSLATE(H5098,""EN"",""ES"")"),"Negocio")</f>
        <v>Negocio</v>
      </c>
      <c r="J5098" s="16" t="s">
        <v>35</v>
      </c>
      <c r="K5098" s="48">
        <v>0.8</v>
      </c>
      <c r="L5098" s="49" t="s">
        <v>36066</v>
      </c>
      <c r="M5098" s="34" t="s">
        <v>36067</v>
      </c>
      <c r="N5098" s="44" t="s">
        <v>36068</v>
      </c>
      <c r="O5098" s="44" t="str">
        <f>IFERROR(__xludf.DUMMYFUNCTION("GOOGLETRANSLATE(N5098,""EN"",""ES"")"),"Positivo, confirma el futuro pago de dividendos.")</f>
        <v>Positivo, confirma el futuro pago de dividendos.</v>
      </c>
      <c r="P5098" s="30">
        <v>0.4</v>
      </c>
      <c r="Q5098" s="18" t="str">
        <f>IFERROR(__xludf.DUMMYFUNCTION("GOOGLETRANSLATE(R5098,""ES"",""EN"")"),"dividend")</f>
        <v>dividend</v>
      </c>
      <c r="R5098" s="34" t="s">
        <v>12532</v>
      </c>
      <c r="S5098" s="52" t="s">
        <v>35721</v>
      </c>
      <c r="T5098" s="22" t="s">
        <v>35722</v>
      </c>
    </row>
    <row r="5099">
      <c r="A5099" s="23" t="s">
        <v>36069</v>
      </c>
      <c r="B5099" s="77" t="s">
        <v>35962</v>
      </c>
      <c r="C5099" s="96">
        <v>45646.0</v>
      </c>
      <c r="D5099" s="40" t="s">
        <v>36070</v>
      </c>
      <c r="E5099" s="97" t="s">
        <v>36071</v>
      </c>
      <c r="F5099" s="98" t="s">
        <v>36072</v>
      </c>
      <c r="G5099" s="98" t="s">
        <v>36073</v>
      </c>
      <c r="H5099" s="59" t="s">
        <v>48</v>
      </c>
      <c r="I5099" s="25" t="str">
        <f>IFERROR(__xludf.DUMMYFUNCTION("GOOGLETRANSLATE(H5099,""EN"",""ES"")"),"Finanzas")</f>
        <v>Finanzas</v>
      </c>
      <c r="J5099" s="26" t="s">
        <v>35</v>
      </c>
      <c r="K5099" s="48">
        <v>0.7</v>
      </c>
      <c r="L5099" s="51" t="s">
        <v>36074</v>
      </c>
      <c r="M5099" s="28" t="s">
        <v>36074</v>
      </c>
      <c r="N5099" s="47" t="s">
        <v>36075</v>
      </c>
      <c r="O5099" s="47" t="str">
        <f>IFERROR(__xludf.DUMMYFUNCTION("GOOGLETRANSLATE(N5099,""EN"",""ES"")"),"Positivo, menciona a Repsol entre las preferentes.")</f>
        <v>Positivo, menciona a Repsol entre las preferentes.</v>
      </c>
      <c r="P5099" s="30">
        <v>0.0</v>
      </c>
      <c r="Q5099" s="31"/>
      <c r="R5099" s="31"/>
      <c r="S5099" s="53" t="s">
        <v>24576</v>
      </c>
      <c r="T5099" s="32" t="s">
        <v>26845</v>
      </c>
    </row>
    <row r="5100">
      <c r="A5100" s="33" t="s">
        <v>36076</v>
      </c>
      <c r="B5100" s="76" t="s">
        <v>2199</v>
      </c>
      <c r="C5100" s="99">
        <v>45646.0</v>
      </c>
      <c r="D5100" s="40" t="s">
        <v>36077</v>
      </c>
      <c r="E5100" s="100" t="s">
        <v>36078</v>
      </c>
      <c r="F5100" s="101" t="s">
        <v>36079</v>
      </c>
      <c r="G5100" s="101" t="s">
        <v>36080</v>
      </c>
      <c r="H5100" s="61" t="s">
        <v>35327</v>
      </c>
      <c r="I5100" s="15" t="str">
        <f>IFERROR(__xludf.DUMMYFUNCTION("GOOGLETRANSLATE(H5100,""EN"",""ES"")"),"Política/Medio Ambiente")</f>
        <v>Política/Medio Ambiente</v>
      </c>
      <c r="J5100" s="16" t="s">
        <v>35</v>
      </c>
      <c r="K5100" s="48">
        <v>-0.6</v>
      </c>
      <c r="L5100" s="49" t="s">
        <v>36081</v>
      </c>
      <c r="M5100" s="34" t="s">
        <v>36082</v>
      </c>
      <c r="N5100" s="44" t="s">
        <v>36083</v>
      </c>
      <c r="O5100" s="44" t="str">
        <f>IFERROR(__xludf.DUMMYFUNCTION("GOOGLETRANSLATE(N5100,""EN"",""ES"")"),"Negativa oposición local a la estrategia eólica de Repsol.")</f>
        <v>Negativa oposición local a la estrategia eólica de Repsol.</v>
      </c>
      <c r="P5100" s="30">
        <v>-0.6</v>
      </c>
      <c r="Q5100" s="18" t="str">
        <f>IFERROR(__xludf.DUMMYFUNCTION("GOOGLETRANSLATE(R5100,""ES"",""EN"")"),"they reject")</f>
        <v>they reject</v>
      </c>
      <c r="R5100" s="34" t="s">
        <v>36084</v>
      </c>
      <c r="S5100" s="52" t="s">
        <v>36085</v>
      </c>
      <c r="T5100" s="22" t="s">
        <v>36086</v>
      </c>
    </row>
    <row r="5101">
      <c r="A5101" s="23" t="s">
        <v>36087</v>
      </c>
      <c r="B5101" s="77" t="s">
        <v>8029</v>
      </c>
      <c r="C5101" s="96">
        <v>45646.0</v>
      </c>
      <c r="D5101" s="40" t="s">
        <v>36088</v>
      </c>
      <c r="E5101" s="97" t="s">
        <v>36089</v>
      </c>
      <c r="F5101" s="98" t="s">
        <v>36090</v>
      </c>
      <c r="G5101" s="98" t="s">
        <v>36091</v>
      </c>
      <c r="H5101" s="59" t="s">
        <v>48</v>
      </c>
      <c r="I5101" s="25" t="str">
        <f>IFERROR(__xludf.DUMMYFUNCTION("GOOGLETRANSLATE(H5101,""EN"",""ES"")"),"Finanzas")</f>
        <v>Finanzas</v>
      </c>
      <c r="J5101" s="26" t="s">
        <v>35</v>
      </c>
      <c r="K5101" s="48">
        <v>0.5</v>
      </c>
      <c r="L5101" s="51" t="s">
        <v>36092</v>
      </c>
      <c r="M5101" s="28" t="s">
        <v>36093</v>
      </c>
      <c r="N5101" s="47" t="s">
        <v>36094</v>
      </c>
      <c r="O5101" s="47" t="str">
        <f>IFERROR(__xludf.DUMMYFUNCTION("GOOGLETRANSLATE(N5101,""EN"",""ES"")"),"Neutral, proporciona información del mercado de valores.")</f>
        <v>Neutral, proporciona información del mercado de valores.</v>
      </c>
      <c r="P5101" s="30">
        <v>0.0</v>
      </c>
      <c r="Q5101" s="31"/>
      <c r="R5101" s="31"/>
      <c r="S5101" s="53" t="s">
        <v>36095</v>
      </c>
      <c r="T5101" s="32" t="s">
        <v>36096</v>
      </c>
    </row>
    <row r="5102">
      <c r="A5102" s="33" t="s">
        <v>36097</v>
      </c>
      <c r="B5102" s="76" t="s">
        <v>85</v>
      </c>
      <c r="C5102" s="99">
        <v>45646.0</v>
      </c>
      <c r="D5102" s="40" t="s">
        <v>36098</v>
      </c>
      <c r="E5102" s="100" t="s">
        <v>36099</v>
      </c>
      <c r="F5102" s="101" t="s">
        <v>36100</v>
      </c>
      <c r="G5102" s="101" t="s">
        <v>36101</v>
      </c>
      <c r="H5102" s="61" t="s">
        <v>32513</v>
      </c>
      <c r="I5102" s="15" t="str">
        <f>IFERROR(__xludf.DUMMYFUNCTION("GOOGLETRANSLATE(H5102,""EN"",""ES"")"),"Impacto Social")</f>
        <v>Impacto Social</v>
      </c>
      <c r="J5102" s="16" t="s">
        <v>27</v>
      </c>
      <c r="K5102" s="17">
        <v>0.0</v>
      </c>
      <c r="L5102" s="49"/>
      <c r="M5102" s="18"/>
      <c r="N5102" s="44"/>
      <c r="O5102" s="44"/>
      <c r="P5102" s="20">
        <v>0.0</v>
      </c>
      <c r="Q5102" s="18"/>
      <c r="R5102" s="18"/>
      <c r="S5102" s="52"/>
      <c r="T5102" s="22"/>
    </row>
    <row r="5103">
      <c r="A5103" s="23" t="s">
        <v>36102</v>
      </c>
      <c r="B5103" s="77" t="s">
        <v>229</v>
      </c>
      <c r="C5103" s="96">
        <v>45646.0</v>
      </c>
      <c r="D5103" s="40" t="s">
        <v>36103</v>
      </c>
      <c r="E5103" s="97" t="s">
        <v>36104</v>
      </c>
      <c r="F5103" s="98" t="s">
        <v>36105</v>
      </c>
      <c r="G5103" s="98" t="s">
        <v>36106</v>
      </c>
      <c r="H5103" s="59" t="s">
        <v>32513</v>
      </c>
      <c r="I5103" s="25" t="str">
        <f>IFERROR(__xludf.DUMMYFUNCTION("GOOGLETRANSLATE(H5103,""EN"",""ES"")"),"Impacto Social")</f>
        <v>Impacto Social</v>
      </c>
      <c r="J5103" s="26" t="s">
        <v>35</v>
      </c>
      <c r="K5103" s="48">
        <v>0.8</v>
      </c>
      <c r="L5103" s="49" t="s">
        <v>36107</v>
      </c>
      <c r="M5103" s="28" t="s">
        <v>36108</v>
      </c>
      <c r="N5103" s="47" t="s">
        <v>36109</v>
      </c>
      <c r="O5103" s="47" t="str">
        <f>IFERROR(__xludf.DUMMYFUNCTION("GOOGLETRANSLATE(N5103,""EN"",""ES"")"),"Positivo, apoyando con ayuda económica a los afectados por DANA.")</f>
        <v>Positivo, apoyando con ayuda económica a los afectados por DANA.</v>
      </c>
      <c r="P5103" s="30">
        <v>0.5</v>
      </c>
      <c r="Q5103" s="31" t="str">
        <f>IFERROR(__xludf.DUMMYFUNCTION("GOOGLETRANSLATE(R5103,""ES"",""EN"")"),"give away")</f>
        <v>give away</v>
      </c>
      <c r="R5103" s="28" t="s">
        <v>14239</v>
      </c>
      <c r="S5103" s="53" t="s">
        <v>36110</v>
      </c>
      <c r="T5103" s="32" t="s">
        <v>36111</v>
      </c>
    </row>
    <row r="5104">
      <c r="A5104" s="33" t="s">
        <v>36112</v>
      </c>
      <c r="B5104" s="76" t="s">
        <v>1768</v>
      </c>
      <c r="C5104" s="99">
        <v>45646.0</v>
      </c>
      <c r="D5104" s="40" t="s">
        <v>36113</v>
      </c>
      <c r="E5104" s="100" t="s">
        <v>36114</v>
      </c>
      <c r="F5104" s="101" t="s">
        <v>36115</v>
      </c>
      <c r="G5104" s="101" t="s">
        <v>36116</v>
      </c>
      <c r="H5104" s="61" t="s">
        <v>1975</v>
      </c>
      <c r="I5104" s="15" t="str">
        <f>IFERROR(__xludf.DUMMYFUNCTION("GOOGLETRANSLATE(H5104,""EN"",""ES"")"),"Política")</f>
        <v>Política</v>
      </c>
      <c r="J5104" s="16" t="s">
        <v>27</v>
      </c>
      <c r="K5104" s="17">
        <v>0.0</v>
      </c>
      <c r="L5104" s="51"/>
      <c r="M5104" s="18"/>
      <c r="N5104" s="44"/>
      <c r="O5104" s="44"/>
      <c r="P5104" s="20">
        <v>0.0</v>
      </c>
      <c r="Q5104" s="18"/>
      <c r="R5104" s="18"/>
      <c r="S5104" s="52"/>
      <c r="T5104" s="22"/>
    </row>
    <row r="5105">
      <c r="A5105" s="23" t="s">
        <v>36117</v>
      </c>
      <c r="B5105" s="77" t="s">
        <v>2199</v>
      </c>
      <c r="C5105" s="96">
        <v>45646.0</v>
      </c>
      <c r="D5105" s="40" t="s">
        <v>36118</v>
      </c>
      <c r="E5105" s="97" t="s">
        <v>36119</v>
      </c>
      <c r="F5105" s="98" t="s">
        <v>36120</v>
      </c>
      <c r="G5105" s="98" t="s">
        <v>36121</v>
      </c>
      <c r="H5105" s="59" t="s">
        <v>1975</v>
      </c>
      <c r="I5105" s="25" t="str">
        <f>IFERROR(__xludf.DUMMYFUNCTION("GOOGLETRANSLATE(H5105,""EN"",""ES"")"),"Política")</f>
        <v>Política</v>
      </c>
      <c r="J5105" s="26" t="s">
        <v>35</v>
      </c>
      <c r="K5105" s="48">
        <v>-0.6</v>
      </c>
      <c r="L5105" s="49" t="s">
        <v>36122</v>
      </c>
      <c r="M5105" s="28" t="s">
        <v>36123</v>
      </c>
      <c r="N5105" s="47" t="s">
        <v>36124</v>
      </c>
      <c r="O5105" s="47" t="str">
        <f>IFERROR(__xludf.DUMMYFUNCTION("GOOGLETRANSLATE(N5105,""EN"",""ES"")"),"Negativo, oposición a la implicación de Repsol en proyectos locales.")</f>
        <v>Negativo, oposición a la implicación de Repsol en proyectos locales.</v>
      </c>
      <c r="P5105" s="30">
        <v>-0.7</v>
      </c>
      <c r="Q5105" s="31" t="str">
        <f>IFERROR(__xludf.DUMMYFUNCTION("GOOGLETRANSLATE(R5105,""ES"",""EN"")"),"demands, ""break""")</f>
        <v>demands, "break"</v>
      </c>
      <c r="R5105" s="28" t="s">
        <v>36125</v>
      </c>
      <c r="S5105" s="53" t="s">
        <v>36126</v>
      </c>
      <c r="T5105" s="32" t="s">
        <v>36127</v>
      </c>
    </row>
    <row r="5106">
      <c r="A5106" s="33" t="s">
        <v>36128</v>
      </c>
      <c r="B5106" s="76" t="s">
        <v>31253</v>
      </c>
      <c r="C5106" s="99">
        <v>45647.0</v>
      </c>
      <c r="D5106" s="40" t="s">
        <v>36129</v>
      </c>
      <c r="E5106" s="100" t="s">
        <v>36130</v>
      </c>
      <c r="F5106" s="101" t="s">
        <v>36131</v>
      </c>
      <c r="G5106" s="101" t="s">
        <v>36132</v>
      </c>
      <c r="H5106" s="61" t="s">
        <v>2591</v>
      </c>
      <c r="I5106" s="15" t="str">
        <f>IFERROR(__xludf.DUMMYFUNCTION("GOOGLETRANSLATE(H5106,""EN"",""ES"")"),"Negocio")</f>
        <v>Negocio</v>
      </c>
      <c r="J5106" s="16" t="s">
        <v>35</v>
      </c>
      <c r="K5106" s="48">
        <v>0.7</v>
      </c>
      <c r="L5106" s="51" t="s">
        <v>36133</v>
      </c>
      <c r="M5106" s="34" t="s">
        <v>36134</v>
      </c>
      <c r="N5106" s="44" t="s">
        <v>36135</v>
      </c>
      <c r="O5106" s="44" t="str">
        <f>IFERROR(__xludf.DUMMYFUNCTION("GOOGLETRANSLATE(N5106,""EN"",""ES"")"),"Positivo, asegurando financiación para futuras inversiones.")</f>
        <v>Positivo, asegurando financiación para futuras inversiones.</v>
      </c>
      <c r="P5106" s="30">
        <v>-0.4</v>
      </c>
      <c r="Q5106" s="18" t="str">
        <f>IFERROR(__xludf.DUMMYFUNCTION("GOOGLETRANSLATE(R5106,""ES"",""EN"")"),"threatened")</f>
        <v>threatened</v>
      </c>
      <c r="R5106" s="34" t="s">
        <v>36136</v>
      </c>
      <c r="S5106" s="52" t="s">
        <v>36137</v>
      </c>
      <c r="T5106" s="22" t="s">
        <v>36138</v>
      </c>
    </row>
    <row r="5107">
      <c r="A5107" s="23" t="s">
        <v>36139</v>
      </c>
      <c r="B5107" s="77" t="s">
        <v>1993</v>
      </c>
      <c r="C5107" s="96">
        <v>45647.0</v>
      </c>
      <c r="D5107" s="40" t="s">
        <v>36140</v>
      </c>
      <c r="E5107" s="97" t="s">
        <v>36141</v>
      </c>
      <c r="F5107" s="98" t="s">
        <v>36142</v>
      </c>
      <c r="G5107" s="98" t="s">
        <v>36143</v>
      </c>
      <c r="H5107" s="59" t="s">
        <v>32513</v>
      </c>
      <c r="I5107" s="25" t="str">
        <f>IFERROR(__xludf.DUMMYFUNCTION("GOOGLETRANSLATE(H5107,""EN"",""ES"")"),"Impacto Social")</f>
        <v>Impacto Social</v>
      </c>
      <c r="J5107" s="26" t="s">
        <v>35</v>
      </c>
      <c r="K5107" s="48">
        <v>0.8</v>
      </c>
      <c r="L5107" s="51" t="s">
        <v>36144</v>
      </c>
      <c r="M5107" s="28" t="s">
        <v>36145</v>
      </c>
      <c r="N5107" s="47" t="s">
        <v>36146</v>
      </c>
      <c r="O5107" s="47" t="str">
        <f>IFERROR(__xludf.DUMMYFUNCTION("GOOGLETRANSLATE(N5107,""EN"",""ES"")"),"Positivo, ayudando a víctimas de DANA con apoyo de combustible.")</f>
        <v>Positivo, ayudando a víctimas de DANA con apoyo de combustible.</v>
      </c>
      <c r="P5107" s="30">
        <v>0.5</v>
      </c>
      <c r="Q5107" s="31" t="str">
        <f>IFERROR(__xludf.DUMMYFUNCTION("GOOGLETRANSLATE(R5107,""ES"",""EN"")"),"will help")</f>
        <v>will help</v>
      </c>
      <c r="R5107" s="28" t="s">
        <v>36147</v>
      </c>
      <c r="S5107" s="53" t="s">
        <v>36148</v>
      </c>
      <c r="T5107" s="32" t="s">
        <v>36149</v>
      </c>
    </row>
    <row r="5108">
      <c r="A5108" s="33" t="s">
        <v>36150</v>
      </c>
      <c r="B5108" s="76" t="s">
        <v>2199</v>
      </c>
      <c r="C5108" s="99">
        <v>45647.0</v>
      </c>
      <c r="D5108" s="40" t="s">
        <v>36151</v>
      </c>
      <c r="E5108" s="100" t="s">
        <v>36152</v>
      </c>
      <c r="F5108" s="101" t="s">
        <v>36153</v>
      </c>
      <c r="G5108" s="101" t="s">
        <v>36154</v>
      </c>
      <c r="H5108" s="61" t="s">
        <v>36155</v>
      </c>
      <c r="I5108" s="15" t="str">
        <f>IFERROR(__xludf.DUMMYFUNCTION("GOOGLETRANSLATE(H5108,""EN"",""ES"")"),"Medio Ambiente/Negocios")</f>
        <v>Medio Ambiente/Negocios</v>
      </c>
      <c r="J5108" s="16" t="s">
        <v>35</v>
      </c>
      <c r="K5108" s="48">
        <v>0.7</v>
      </c>
      <c r="L5108" s="49" t="s">
        <v>36156</v>
      </c>
      <c r="M5108" s="34" t="s">
        <v>36157</v>
      </c>
      <c r="N5108" s="44" t="s">
        <v>36158</v>
      </c>
      <c r="O5108" s="44" t="str">
        <f>IFERROR(__xludf.DUMMYFUNCTION("GOOGLETRANSLATE(N5108,""EN"",""ES"")"),"Positivo, finalización de proyectos de energía eólica en el Bierzo.")</f>
        <v>Positivo, finalización de proyectos de energía eólica en el Bierzo.</v>
      </c>
      <c r="P5108" s="30">
        <v>0.1</v>
      </c>
      <c r="Q5108" s="18" t="str">
        <f>IFERROR(__xludf.DUMMYFUNCTION("GOOGLETRANSLATE(R5108,""ES"",""EN"")"),"None")</f>
        <v>None</v>
      </c>
      <c r="R5108" s="34" t="s">
        <v>14309</v>
      </c>
      <c r="S5108" s="52" t="s">
        <v>36159</v>
      </c>
      <c r="T5108" s="22" t="s">
        <v>36160</v>
      </c>
    </row>
    <row r="5109">
      <c r="A5109" s="23" t="s">
        <v>36161</v>
      </c>
      <c r="B5109" s="77" t="s">
        <v>1768</v>
      </c>
      <c r="C5109" s="96">
        <v>45647.0</v>
      </c>
      <c r="D5109" s="40" t="s">
        <v>36162</v>
      </c>
      <c r="E5109" s="97" t="s">
        <v>36163</v>
      </c>
      <c r="F5109" s="98" t="s">
        <v>36164</v>
      </c>
      <c r="G5109" s="98" t="s">
        <v>36165</v>
      </c>
      <c r="H5109" s="59" t="s">
        <v>1975</v>
      </c>
      <c r="I5109" s="25" t="str">
        <f>IFERROR(__xludf.DUMMYFUNCTION("GOOGLETRANSLATE(H5109,""EN"",""ES"")"),"Política")</f>
        <v>Política</v>
      </c>
      <c r="J5109" s="26" t="s">
        <v>35</v>
      </c>
      <c r="K5109" s="48">
        <v>-0.6</v>
      </c>
      <c r="L5109" s="51" t="s">
        <v>36166</v>
      </c>
      <c r="M5109" s="28" t="s">
        <v>36167</v>
      </c>
      <c r="N5109" s="47" t="s">
        <v>36168</v>
      </c>
      <c r="O5109" s="47" t="str">
        <f>IFERROR(__xludf.DUMMYFUNCTION("GOOGLETRANSLATE(N5109,""EN"",""ES"")"),"Negativa, crítica a las negociaciones con Repsol.")</f>
        <v>Negativa, crítica a las negociaciones con Repsol.</v>
      </c>
      <c r="P5109" s="30">
        <v>-0.7</v>
      </c>
      <c r="Q5109" s="31" t="str">
        <f>IFERROR(__xludf.DUMMYFUNCTION("GOOGLETRANSLATE(R5109,""ES"",""EN"")"),"attack")</f>
        <v>attack</v>
      </c>
      <c r="R5109" s="28" t="s">
        <v>36169</v>
      </c>
      <c r="S5109" s="53" t="s">
        <v>36170</v>
      </c>
      <c r="T5109" s="32" t="s">
        <v>36171</v>
      </c>
    </row>
    <row r="5110">
      <c r="A5110" s="33" t="s">
        <v>36172</v>
      </c>
      <c r="B5110" s="76" t="s">
        <v>91</v>
      </c>
      <c r="C5110" s="99">
        <v>45647.0</v>
      </c>
      <c r="D5110" s="40" t="s">
        <v>36173</v>
      </c>
      <c r="E5110" s="100" t="s">
        <v>36174</v>
      </c>
      <c r="F5110" s="101" t="s">
        <v>36175</v>
      </c>
      <c r="G5110" s="101" t="s">
        <v>36176</v>
      </c>
      <c r="H5110" s="61" t="s">
        <v>33554</v>
      </c>
      <c r="I5110" s="15" t="str">
        <f>IFERROR(__xludf.DUMMYFUNCTION("GOOGLETRANSLATE(H5110,""EN"",""ES"")"),"Alimento")</f>
        <v>Alimento</v>
      </c>
      <c r="J5110" s="16" t="s">
        <v>27</v>
      </c>
      <c r="K5110" s="17">
        <v>0.0</v>
      </c>
      <c r="L5110" s="49"/>
      <c r="M5110" s="18"/>
      <c r="N5110" s="44"/>
      <c r="O5110" s="44"/>
      <c r="P5110" s="20">
        <v>0.0</v>
      </c>
      <c r="Q5110" s="18"/>
      <c r="R5110" s="18"/>
      <c r="S5110" s="52"/>
      <c r="T5110" s="22"/>
    </row>
    <row r="5111">
      <c r="A5111" s="23" t="s">
        <v>36177</v>
      </c>
      <c r="B5111" s="77" t="s">
        <v>9569</v>
      </c>
      <c r="C5111" s="96">
        <v>45647.0</v>
      </c>
      <c r="D5111" s="40" t="s">
        <v>36129</v>
      </c>
      <c r="E5111" s="97" t="s">
        <v>36130</v>
      </c>
      <c r="F5111" s="98" t="s">
        <v>36131</v>
      </c>
      <c r="G5111" s="98" t="s">
        <v>36132</v>
      </c>
      <c r="H5111" s="59" t="s">
        <v>2591</v>
      </c>
      <c r="I5111" s="25" t="str">
        <f>IFERROR(__xludf.DUMMYFUNCTION("GOOGLETRANSLATE(H5111,""EN"",""ES"")"),"Negocio")</f>
        <v>Negocio</v>
      </c>
      <c r="J5111" s="26" t="s">
        <v>35</v>
      </c>
      <c r="K5111" s="48">
        <v>0.7</v>
      </c>
      <c r="L5111" s="51" t="s">
        <v>36178</v>
      </c>
      <c r="M5111" s="28" t="s">
        <v>36179</v>
      </c>
      <c r="N5111" s="47" t="s">
        <v>36135</v>
      </c>
      <c r="O5111" s="47" t="str">
        <f>IFERROR(__xludf.DUMMYFUNCTION("GOOGLETRANSLATE(N5111,""EN"",""ES"")"),"Positivo, asegurando financiación para futuras inversiones.")</f>
        <v>Positivo, asegurando financiación para futuras inversiones.</v>
      </c>
      <c r="P5111" s="30">
        <v>-0.4</v>
      </c>
      <c r="Q5111" s="31" t="str">
        <f>IFERROR(__xludf.DUMMYFUNCTION("GOOGLETRANSLATE(R5111,""ES"",""EN"")"),"threatened")</f>
        <v>threatened</v>
      </c>
      <c r="R5111" s="28" t="s">
        <v>36136</v>
      </c>
      <c r="S5111" s="53" t="s">
        <v>33444</v>
      </c>
      <c r="T5111" s="32" t="s">
        <v>33445</v>
      </c>
    </row>
    <row r="5112">
      <c r="A5112" s="33" t="s">
        <v>36180</v>
      </c>
      <c r="B5112" s="76" t="s">
        <v>23934</v>
      </c>
      <c r="C5112" s="99">
        <v>45647.0</v>
      </c>
      <c r="D5112" s="40" t="s">
        <v>36181</v>
      </c>
      <c r="E5112" s="100" t="s">
        <v>36182</v>
      </c>
      <c r="F5112" s="101" t="s">
        <v>36183</v>
      </c>
      <c r="G5112" s="101" t="s">
        <v>36184</v>
      </c>
      <c r="H5112" s="61" t="s">
        <v>1975</v>
      </c>
      <c r="I5112" s="15" t="str">
        <f>IFERROR(__xludf.DUMMYFUNCTION("GOOGLETRANSLATE(H5112,""EN"",""ES"")"),"Política")</f>
        <v>Política</v>
      </c>
      <c r="J5112" s="16" t="s">
        <v>27</v>
      </c>
      <c r="K5112" s="17">
        <v>0.0</v>
      </c>
      <c r="L5112" s="49"/>
      <c r="M5112" s="18"/>
      <c r="N5112" s="44"/>
      <c r="O5112" s="44"/>
      <c r="P5112" s="20">
        <v>0.0</v>
      </c>
      <c r="Q5112" s="18"/>
      <c r="R5112" s="18"/>
      <c r="S5112" s="52"/>
      <c r="T5112" s="22"/>
    </row>
    <row r="5113">
      <c r="A5113" s="23" t="s">
        <v>36185</v>
      </c>
      <c r="B5113" s="77" t="s">
        <v>163</v>
      </c>
      <c r="C5113" s="96">
        <v>45647.0</v>
      </c>
      <c r="D5113" s="40" t="s">
        <v>36186</v>
      </c>
      <c r="E5113" s="97" t="s">
        <v>36186</v>
      </c>
      <c r="F5113" s="98" t="s">
        <v>36187</v>
      </c>
      <c r="G5113" s="98" t="s">
        <v>36187</v>
      </c>
      <c r="H5113" s="59" t="s">
        <v>3985</v>
      </c>
      <c r="I5113" s="25" t="str">
        <f>IFERROR(__xludf.DUMMYFUNCTION("GOOGLETRANSLATE(H5113,""EN"",""ES"")"),"Deportes")</f>
        <v>Deportes</v>
      </c>
      <c r="J5113" s="26" t="s">
        <v>27</v>
      </c>
      <c r="K5113" s="17">
        <v>0.0</v>
      </c>
      <c r="L5113" s="51"/>
      <c r="M5113" s="31"/>
      <c r="N5113" s="47"/>
      <c r="O5113" s="47"/>
      <c r="P5113" s="20">
        <v>0.0</v>
      </c>
      <c r="Q5113" s="31"/>
      <c r="R5113" s="31"/>
      <c r="S5113" s="53"/>
      <c r="T5113" s="32"/>
    </row>
    <row r="5114">
      <c r="A5114" s="33" t="s">
        <v>36188</v>
      </c>
      <c r="B5114" s="76" t="s">
        <v>5525</v>
      </c>
      <c r="C5114" s="99">
        <v>45647.0</v>
      </c>
      <c r="D5114" s="40" t="s">
        <v>36189</v>
      </c>
      <c r="E5114" s="100" t="s">
        <v>36190</v>
      </c>
      <c r="F5114" s="101" t="s">
        <v>36191</v>
      </c>
      <c r="G5114" s="101" t="s">
        <v>36192</v>
      </c>
      <c r="H5114" s="61" t="s">
        <v>35532</v>
      </c>
      <c r="I5114" s="15" t="str">
        <f>IFERROR(__xludf.DUMMYFUNCTION("GOOGLETRANSLATE(H5114,""EN"",""ES"")"),"Negocios/Finanzas")</f>
        <v>Negocios/Finanzas</v>
      </c>
      <c r="J5114" s="16" t="s">
        <v>35</v>
      </c>
      <c r="K5114" s="48">
        <v>0.7</v>
      </c>
      <c r="L5114" s="49" t="s">
        <v>36193</v>
      </c>
      <c r="M5114" s="34" t="s">
        <v>36194</v>
      </c>
      <c r="N5114" s="44" t="s">
        <v>36195</v>
      </c>
      <c r="O5114" s="44" t="str">
        <f>IFERROR(__xludf.DUMMYFUNCTION("GOOGLETRANSLATE(N5114,""EN"",""ES"")"),"Positivo, recomendando Repsol como potencial pick de valores.")</f>
        <v>Positivo, recomendando Repsol como potencial pick de valores.</v>
      </c>
      <c r="P5114" s="30">
        <v>0.0</v>
      </c>
      <c r="Q5114" s="18"/>
      <c r="R5114" s="18"/>
      <c r="S5114" s="52" t="s">
        <v>34868</v>
      </c>
      <c r="T5114" s="22" t="s">
        <v>34869</v>
      </c>
    </row>
    <row r="5115">
      <c r="A5115" s="23" t="s">
        <v>36196</v>
      </c>
      <c r="B5115" s="77" t="s">
        <v>437</v>
      </c>
      <c r="C5115" s="96">
        <v>45647.0</v>
      </c>
      <c r="D5115" s="40" t="s">
        <v>36197</v>
      </c>
      <c r="E5115" s="97" t="s">
        <v>36198</v>
      </c>
      <c r="F5115" s="98" t="s">
        <v>36199</v>
      </c>
      <c r="G5115" s="98" t="s">
        <v>36200</v>
      </c>
      <c r="H5115" s="59" t="s">
        <v>36201</v>
      </c>
      <c r="I5115" s="25" t="str">
        <f>IFERROR(__xludf.DUMMYFUNCTION("GOOGLETRANSLATE(H5115,""EN"",""ES"")"),"Social")</f>
        <v>Social</v>
      </c>
      <c r="J5115" s="26" t="s">
        <v>27</v>
      </c>
      <c r="K5115" s="17">
        <v>0.0</v>
      </c>
      <c r="L5115" s="51"/>
      <c r="M5115" s="31"/>
      <c r="N5115" s="47"/>
      <c r="O5115" s="47"/>
      <c r="P5115" s="20">
        <v>0.0</v>
      </c>
      <c r="Q5115" s="31"/>
      <c r="R5115" s="31"/>
      <c r="S5115" s="53"/>
      <c r="T5115" s="32"/>
    </row>
    <row r="5116">
      <c r="A5116" s="33" t="s">
        <v>36202</v>
      </c>
      <c r="B5116" s="76" t="s">
        <v>614</v>
      </c>
      <c r="C5116" s="99">
        <v>45647.0</v>
      </c>
      <c r="D5116" s="40" t="s">
        <v>36203</v>
      </c>
      <c r="E5116" s="100" t="s">
        <v>36204</v>
      </c>
      <c r="F5116" s="101" t="s">
        <v>36205</v>
      </c>
      <c r="G5116" s="101" t="s">
        <v>36206</v>
      </c>
      <c r="H5116" s="61" t="s">
        <v>33554</v>
      </c>
      <c r="I5116" s="15" t="str">
        <f>IFERROR(__xludf.DUMMYFUNCTION("GOOGLETRANSLATE(H5116,""EN"",""ES"")"),"Alimento")</f>
        <v>Alimento</v>
      </c>
      <c r="J5116" s="16" t="s">
        <v>27</v>
      </c>
      <c r="K5116" s="17">
        <v>0.0</v>
      </c>
      <c r="L5116" s="49"/>
      <c r="M5116" s="18"/>
      <c r="N5116" s="44"/>
      <c r="O5116" s="44"/>
      <c r="P5116" s="20">
        <v>0.0</v>
      </c>
      <c r="Q5116" s="18"/>
      <c r="R5116" s="18"/>
      <c r="S5116" s="52"/>
      <c r="T5116" s="22"/>
    </row>
    <row r="5117">
      <c r="A5117" s="23" t="s">
        <v>36207</v>
      </c>
      <c r="B5117" s="77" t="s">
        <v>23934</v>
      </c>
      <c r="C5117" s="96">
        <v>45647.0</v>
      </c>
      <c r="D5117" s="40" t="s">
        <v>36208</v>
      </c>
      <c r="E5117" s="97" t="s">
        <v>36209</v>
      </c>
      <c r="F5117" s="98" t="s">
        <v>36210</v>
      </c>
      <c r="G5117" s="98" t="s">
        <v>36211</v>
      </c>
      <c r="H5117" s="59" t="s">
        <v>1975</v>
      </c>
      <c r="I5117" s="25" t="str">
        <f>IFERROR(__xludf.DUMMYFUNCTION("GOOGLETRANSLATE(H5117,""EN"",""ES"")"),"Política")</f>
        <v>Política</v>
      </c>
      <c r="J5117" s="26" t="s">
        <v>35</v>
      </c>
      <c r="K5117" s="48">
        <v>-0.7</v>
      </c>
      <c r="L5117" s="51" t="s">
        <v>36212</v>
      </c>
      <c r="M5117" s="28" t="s">
        <v>36213</v>
      </c>
      <c r="N5117" s="47" t="s">
        <v>36214</v>
      </c>
      <c r="O5117" s="47" t="str">
        <f>IFERROR(__xludf.DUMMYFUNCTION("GOOGLETRANSLATE(N5117,""EN"",""ES"")"),"Maniobras políticas negativas vinculadas a Repsol.")</f>
        <v>Maniobras políticas negativas vinculadas a Repsol.</v>
      </c>
      <c r="P5117" s="30">
        <v>-0.3</v>
      </c>
      <c r="Q5117" s="31" t="str">
        <f>IFERROR(__xludf.DUMMYFUNCTION("GOOGLETRANSLATE(R5117,""ES"",""EN"")"),"assessment")</f>
        <v>assessment</v>
      </c>
      <c r="R5117" s="28" t="s">
        <v>36215</v>
      </c>
      <c r="S5117" s="53" t="s">
        <v>36216</v>
      </c>
      <c r="T5117" s="32" t="s">
        <v>36217</v>
      </c>
    </row>
    <row r="5118">
      <c r="A5118" s="33" t="s">
        <v>36218</v>
      </c>
      <c r="B5118" s="76" t="s">
        <v>91</v>
      </c>
      <c r="C5118" s="99">
        <v>45647.0</v>
      </c>
      <c r="D5118" s="40" t="s">
        <v>36219</v>
      </c>
      <c r="E5118" s="100" t="s">
        <v>36220</v>
      </c>
      <c r="F5118" s="101" t="s">
        <v>36221</v>
      </c>
      <c r="G5118" s="101" t="s">
        <v>36222</v>
      </c>
      <c r="H5118" s="61" t="s">
        <v>33554</v>
      </c>
      <c r="I5118" s="15" t="str">
        <f>IFERROR(__xludf.DUMMYFUNCTION("GOOGLETRANSLATE(H5118,""EN"",""ES"")"),"Alimento")</f>
        <v>Alimento</v>
      </c>
      <c r="J5118" s="16" t="s">
        <v>27</v>
      </c>
      <c r="K5118" s="17">
        <v>0.0</v>
      </c>
      <c r="L5118" s="49"/>
      <c r="M5118" s="18"/>
      <c r="N5118" s="44"/>
      <c r="O5118" s="44"/>
      <c r="P5118" s="20">
        <v>0.0</v>
      </c>
      <c r="Q5118" s="18"/>
      <c r="R5118" s="18"/>
      <c r="S5118" s="52"/>
      <c r="T5118" s="22"/>
    </row>
    <row r="5119">
      <c r="A5119" s="23" t="s">
        <v>36223</v>
      </c>
      <c r="B5119" s="77" t="s">
        <v>5525</v>
      </c>
      <c r="C5119" s="96">
        <v>45648.0</v>
      </c>
      <c r="D5119" s="40" t="s">
        <v>36224</v>
      </c>
      <c r="E5119" s="97" t="s">
        <v>36225</v>
      </c>
      <c r="F5119" s="98" t="s">
        <v>36226</v>
      </c>
      <c r="G5119" s="98" t="s">
        <v>36227</v>
      </c>
      <c r="H5119" s="59" t="s">
        <v>2591</v>
      </c>
      <c r="I5119" s="25" t="str">
        <f>IFERROR(__xludf.DUMMYFUNCTION("GOOGLETRANSLATE(H5119,""EN"",""ES"")"),"Negocio")</f>
        <v>Negocio</v>
      </c>
      <c r="J5119" s="26" t="s">
        <v>35</v>
      </c>
      <c r="K5119" s="48">
        <v>0.8</v>
      </c>
      <c r="L5119" s="51" t="s">
        <v>36228</v>
      </c>
      <c r="M5119" s="28" t="s">
        <v>36229</v>
      </c>
      <c r="N5119" s="47" t="s">
        <v>36230</v>
      </c>
      <c r="O5119" s="47" t="str">
        <f>IFERROR(__xludf.DUMMYFUNCTION("GOOGLETRANSLATE(N5119,""EN"",""ES"")"),"Positivo, Repsol forma parte del importante pago de dividendos.")</f>
        <v>Positivo, Repsol forma parte del importante pago de dividendos.</v>
      </c>
      <c r="P5119" s="30">
        <v>0.1</v>
      </c>
      <c r="Q5119" s="31" t="str">
        <f>IFERROR(__xludf.DUMMYFUNCTION("GOOGLETRANSLATE(R5119,""ES"",""EN"")"),"None")</f>
        <v>None</v>
      </c>
      <c r="R5119" s="28" t="s">
        <v>14309</v>
      </c>
      <c r="S5119" s="53" t="s">
        <v>34868</v>
      </c>
      <c r="T5119" s="32" t="s">
        <v>34869</v>
      </c>
    </row>
    <row r="5120">
      <c r="A5120" s="33" t="s">
        <v>36231</v>
      </c>
      <c r="B5120" s="76" t="s">
        <v>558</v>
      </c>
      <c r="C5120" s="99">
        <v>45648.0</v>
      </c>
      <c r="D5120" s="40" t="s">
        <v>36232</v>
      </c>
      <c r="E5120" s="100" t="s">
        <v>36233</v>
      </c>
      <c r="F5120" s="101" t="s">
        <v>36234</v>
      </c>
      <c r="G5120" s="101" t="s">
        <v>36235</v>
      </c>
      <c r="H5120" s="61" t="s">
        <v>48</v>
      </c>
      <c r="I5120" s="15" t="str">
        <f>IFERROR(__xludf.DUMMYFUNCTION("GOOGLETRANSLATE(H5120,""EN"",""ES"")"),"Finanzas")</f>
        <v>Finanzas</v>
      </c>
      <c r="J5120" s="16" t="s">
        <v>35</v>
      </c>
      <c r="K5120" s="48">
        <v>0.7</v>
      </c>
      <c r="L5120" s="49" t="s">
        <v>36236</v>
      </c>
      <c r="M5120" s="34" t="s">
        <v>36237</v>
      </c>
      <c r="N5120" s="44" t="s">
        <v>36238</v>
      </c>
      <c r="O5120" s="44" t="str">
        <f>IFERROR(__xludf.DUMMYFUNCTION("GOOGLETRANSLATE(N5120,""EN"",""ES"")"),"Positivo, Repsol entre los valores recomendados.")</f>
        <v>Positivo, Repsol entre los valores recomendados.</v>
      </c>
      <c r="P5120" s="30">
        <v>0.0</v>
      </c>
      <c r="Q5120" s="18"/>
      <c r="R5120" s="18"/>
      <c r="S5120" s="52" t="s">
        <v>34868</v>
      </c>
      <c r="T5120" s="22" t="s">
        <v>34869</v>
      </c>
    </row>
    <row r="5121">
      <c r="A5121" s="23" t="s">
        <v>36239</v>
      </c>
      <c r="B5121" s="77" t="s">
        <v>11295</v>
      </c>
      <c r="C5121" s="96">
        <v>45648.0</v>
      </c>
      <c r="D5121" s="40" t="s">
        <v>36240</v>
      </c>
      <c r="E5121" s="97" t="s">
        <v>36241</v>
      </c>
      <c r="F5121" s="98" t="s">
        <v>36242</v>
      </c>
      <c r="G5121" s="98" t="s">
        <v>36243</v>
      </c>
      <c r="H5121" s="59" t="s">
        <v>395</v>
      </c>
      <c r="I5121" s="25" t="str">
        <f>IFERROR(__xludf.DUMMYFUNCTION("GOOGLETRANSLATE(H5121,""EN"",""ES"")"),"Ambiente")</f>
        <v>Ambiente</v>
      </c>
      <c r="J5121" s="26" t="s">
        <v>35</v>
      </c>
      <c r="K5121" s="48">
        <v>-0.6</v>
      </c>
      <c r="L5121" s="51" t="s">
        <v>36244</v>
      </c>
      <c r="M5121" s="28" t="s">
        <v>36245</v>
      </c>
      <c r="N5121" s="47" t="s">
        <v>36246</v>
      </c>
      <c r="O5121" s="47" t="str">
        <f>IFERROR(__xludf.DUMMYFUNCTION("GOOGLETRANSLATE(N5121,""EN"",""ES"")"),"Negativo, desastre ambiental relacionado con el petróleo.")</f>
        <v>Negativo, desastre ambiental relacionado con el petróleo.</v>
      </c>
      <c r="P5121" s="30">
        <v>-0.8</v>
      </c>
      <c r="Q5121" s="31" t="str">
        <f>IFERROR(__xludf.DUMMYFUNCTION("GOOGLETRANSLATE(R5121,""ES"",""EN"")"),"spill")</f>
        <v>spill</v>
      </c>
      <c r="R5121" s="28" t="s">
        <v>18452</v>
      </c>
      <c r="S5121" s="53" t="s">
        <v>36247</v>
      </c>
      <c r="T5121" s="32" t="s">
        <v>36248</v>
      </c>
    </row>
    <row r="5122">
      <c r="A5122" s="33" t="s">
        <v>36249</v>
      </c>
      <c r="B5122" s="76" t="s">
        <v>437</v>
      </c>
      <c r="C5122" s="99">
        <v>45648.0</v>
      </c>
      <c r="D5122" s="40" t="s">
        <v>36250</v>
      </c>
      <c r="E5122" s="100" t="s">
        <v>36251</v>
      </c>
      <c r="F5122" s="101" t="s">
        <v>36252</v>
      </c>
      <c r="G5122" s="101" t="s">
        <v>36253</v>
      </c>
      <c r="H5122" s="61" t="s">
        <v>36201</v>
      </c>
      <c r="I5122" s="15" t="str">
        <f>IFERROR(__xludf.DUMMYFUNCTION("GOOGLETRANSLATE(H5122,""EN"",""ES"")"),"Social")</f>
        <v>Social</v>
      </c>
      <c r="J5122" s="16" t="s">
        <v>27</v>
      </c>
      <c r="K5122" s="17">
        <v>0.0</v>
      </c>
      <c r="L5122" s="49"/>
      <c r="M5122" s="18"/>
      <c r="N5122" s="44"/>
      <c r="O5122" s="44"/>
      <c r="P5122" s="20">
        <v>0.0</v>
      </c>
      <c r="Q5122" s="18"/>
      <c r="R5122" s="18"/>
      <c r="S5122" s="52"/>
      <c r="T5122" s="22"/>
    </row>
    <row r="5123">
      <c r="A5123" s="23" t="s">
        <v>36254</v>
      </c>
      <c r="B5123" s="77" t="s">
        <v>2442</v>
      </c>
      <c r="C5123" s="96">
        <v>45648.0</v>
      </c>
      <c r="D5123" s="40" t="s">
        <v>36255</v>
      </c>
      <c r="E5123" s="97" t="s">
        <v>36256</v>
      </c>
      <c r="F5123" s="98" t="s">
        <v>36257</v>
      </c>
      <c r="G5123" s="98" t="s">
        <v>36258</v>
      </c>
      <c r="H5123" s="59" t="s">
        <v>1975</v>
      </c>
      <c r="I5123" s="25" t="str">
        <f>IFERROR(__xludf.DUMMYFUNCTION("GOOGLETRANSLATE(H5123,""EN"",""ES"")"),"Política")</f>
        <v>Política</v>
      </c>
      <c r="J5123" s="26" t="s">
        <v>27</v>
      </c>
      <c r="K5123" s="17">
        <v>0.0</v>
      </c>
      <c r="L5123" s="51"/>
      <c r="M5123" s="31"/>
      <c r="N5123" s="47"/>
      <c r="O5123" s="47"/>
      <c r="P5123" s="20">
        <v>0.0</v>
      </c>
      <c r="Q5123" s="31"/>
      <c r="R5123" s="31"/>
      <c r="S5123" s="53"/>
      <c r="T5123" s="32"/>
    </row>
    <row r="5124">
      <c r="A5124" s="33" t="s">
        <v>36259</v>
      </c>
      <c r="B5124" s="76" t="s">
        <v>74</v>
      </c>
      <c r="C5124" s="99">
        <v>45648.0</v>
      </c>
      <c r="D5124" s="40" t="s">
        <v>36260</v>
      </c>
      <c r="E5124" s="100" t="s">
        <v>36261</v>
      </c>
      <c r="F5124" s="101" t="s">
        <v>36262</v>
      </c>
      <c r="G5124" s="101" t="s">
        <v>36263</v>
      </c>
      <c r="H5124" s="61" t="s">
        <v>3985</v>
      </c>
      <c r="I5124" s="15" t="str">
        <f>IFERROR(__xludf.DUMMYFUNCTION("GOOGLETRANSLATE(H5124,""EN"",""ES"")"),"Deportes")</f>
        <v>Deportes</v>
      </c>
      <c r="J5124" s="16" t="s">
        <v>27</v>
      </c>
      <c r="K5124" s="17">
        <v>0.0</v>
      </c>
      <c r="L5124" s="49"/>
      <c r="M5124" s="18"/>
      <c r="N5124" s="44"/>
      <c r="O5124" s="44"/>
      <c r="P5124" s="20">
        <v>0.0</v>
      </c>
      <c r="Q5124" s="18"/>
      <c r="R5124" s="18"/>
      <c r="S5124" s="52"/>
      <c r="T5124" s="22"/>
    </row>
    <row r="5125">
      <c r="A5125" s="23" t="s">
        <v>36264</v>
      </c>
      <c r="B5125" s="77" t="s">
        <v>977</v>
      </c>
      <c r="C5125" s="96">
        <v>45648.0</v>
      </c>
      <c r="D5125" s="40" t="s">
        <v>36265</v>
      </c>
      <c r="E5125" s="97" t="s">
        <v>36266</v>
      </c>
      <c r="F5125" s="98" t="s">
        <v>36267</v>
      </c>
      <c r="G5125" s="98" t="s">
        <v>36268</v>
      </c>
      <c r="H5125" s="59" t="s">
        <v>395</v>
      </c>
      <c r="I5125" s="25" t="str">
        <f>IFERROR(__xludf.DUMMYFUNCTION("GOOGLETRANSLATE(H5125,""EN"",""ES"")"),"Ambiente")</f>
        <v>Ambiente</v>
      </c>
      <c r="J5125" s="26" t="s">
        <v>35</v>
      </c>
      <c r="K5125" s="48">
        <v>-0.7</v>
      </c>
      <c r="L5125" s="51" t="s">
        <v>36269</v>
      </c>
      <c r="M5125" s="28" t="s">
        <v>36270</v>
      </c>
      <c r="N5125" s="47" t="s">
        <v>36271</v>
      </c>
      <c r="O5125" s="47" t="str">
        <f>IFERROR(__xludf.DUMMYFUNCTION("GOOGLETRANSLATE(N5125,""EN"",""ES"")"),"Negativo, el derrame de petróleo y sus graves consecuencias ambientales.")</f>
        <v>Negativo, el derrame de petróleo y sus graves consecuencias ambientales.</v>
      </c>
      <c r="P5125" s="30">
        <v>-0.8</v>
      </c>
      <c r="Q5125" s="31" t="str">
        <f>IFERROR(__xludf.DUMMYFUNCTION("GOOGLETRANSLATE(R5125,""ES"",""EN"")"),"spill, ""emergency""")</f>
        <v>spill, "emergency"</v>
      </c>
      <c r="R5125" s="28" t="s">
        <v>36272</v>
      </c>
      <c r="S5125" s="53" t="s">
        <v>36273</v>
      </c>
      <c r="T5125" s="32" t="s">
        <v>36274</v>
      </c>
    </row>
    <row r="5126">
      <c r="A5126" s="33" t="s">
        <v>36275</v>
      </c>
      <c r="B5126" s="76" t="s">
        <v>2442</v>
      </c>
      <c r="C5126" s="99">
        <v>45648.0</v>
      </c>
      <c r="D5126" s="40" t="s">
        <v>36276</v>
      </c>
      <c r="E5126" s="100" t="s">
        <v>36277</v>
      </c>
      <c r="F5126" s="101" t="s">
        <v>36278</v>
      </c>
      <c r="G5126" s="101" t="s">
        <v>36279</v>
      </c>
      <c r="H5126" s="61" t="s">
        <v>3985</v>
      </c>
      <c r="I5126" s="15" t="str">
        <f>IFERROR(__xludf.DUMMYFUNCTION("GOOGLETRANSLATE(H5126,""EN"",""ES"")"),"Deportes")</f>
        <v>Deportes</v>
      </c>
      <c r="J5126" s="16" t="s">
        <v>27</v>
      </c>
      <c r="K5126" s="17">
        <v>0.0</v>
      </c>
      <c r="L5126" s="49"/>
      <c r="M5126" s="18"/>
      <c r="N5126" s="44"/>
      <c r="O5126" s="44"/>
      <c r="P5126" s="20">
        <v>0.0</v>
      </c>
      <c r="Q5126" s="18"/>
      <c r="R5126" s="18"/>
      <c r="S5126" s="52"/>
      <c r="T5126" s="22"/>
    </row>
    <row r="5127">
      <c r="A5127" s="23" t="s">
        <v>36280</v>
      </c>
      <c r="B5127" s="77" t="s">
        <v>207</v>
      </c>
      <c r="C5127" s="96">
        <v>45649.0</v>
      </c>
      <c r="D5127" s="40" t="s">
        <v>36281</v>
      </c>
      <c r="E5127" s="97" t="s">
        <v>36282</v>
      </c>
      <c r="F5127" s="98" t="s">
        <v>36283</v>
      </c>
      <c r="G5127" s="98" t="s">
        <v>36284</v>
      </c>
      <c r="H5127" s="59" t="s">
        <v>35339</v>
      </c>
      <c r="I5127" s="25" t="str">
        <f>IFERROR(__xludf.DUMMYFUNCTION("GOOGLETRANSLATE(H5127,""EN"",""ES"")"),"Política/Negocios")</f>
        <v>Política/Negocios</v>
      </c>
      <c r="J5127" s="26" t="s">
        <v>35</v>
      </c>
      <c r="K5127" s="48">
        <v>-0.8</v>
      </c>
      <c r="L5127" s="51" t="s">
        <v>36285</v>
      </c>
      <c r="M5127" s="28" t="s">
        <v>36286</v>
      </c>
      <c r="N5127" s="47" t="s">
        <v>36287</v>
      </c>
      <c r="O5127" s="47" t="str">
        <f>IFERROR(__xludf.DUMMYFUNCTION("GOOGLETRANSLATE(N5127,""EN"",""ES"")"),"Negativo, Repsol amenaza con deslocalizarse por impuestos.")</f>
        <v>Negativo, Repsol amenaza con deslocalizarse por impuestos.</v>
      </c>
      <c r="P5127" s="30">
        <v>-0.7</v>
      </c>
      <c r="Q5127" s="31" t="str">
        <f>IFERROR(__xludf.DUMMYFUNCTION("GOOGLETRANSLATE(R5127,""ES"",""EN"")"),"threat")</f>
        <v>threat</v>
      </c>
      <c r="R5127" s="28" t="s">
        <v>27945</v>
      </c>
      <c r="S5127" s="53" t="s">
        <v>36288</v>
      </c>
      <c r="T5127" s="32" t="s">
        <v>36289</v>
      </c>
    </row>
    <row r="5128">
      <c r="A5128" s="33" t="s">
        <v>36290</v>
      </c>
      <c r="B5128" s="76" t="s">
        <v>217</v>
      </c>
      <c r="C5128" s="99">
        <v>45649.0</v>
      </c>
      <c r="D5128" s="40" t="s">
        <v>36291</v>
      </c>
      <c r="E5128" s="100" t="s">
        <v>36292</v>
      </c>
      <c r="F5128" s="101" t="s">
        <v>36293</v>
      </c>
      <c r="G5128" s="101" t="s">
        <v>36294</v>
      </c>
      <c r="H5128" s="61" t="s">
        <v>2591</v>
      </c>
      <c r="I5128" s="15" t="str">
        <f>IFERROR(__xludf.DUMMYFUNCTION("GOOGLETRANSLATE(H5128,""EN"",""ES"")"),"Negocio")</f>
        <v>Negocio</v>
      </c>
      <c r="J5128" s="16" t="s">
        <v>35</v>
      </c>
      <c r="K5128" s="48">
        <v>-0.6</v>
      </c>
      <c r="L5128" s="49" t="s">
        <v>36295</v>
      </c>
      <c r="M5128" s="34" t="s">
        <v>36296</v>
      </c>
      <c r="N5128" s="44" t="s">
        <v>36297</v>
      </c>
      <c r="O5128" s="44" t="str">
        <f>IFERROR(__xludf.DUMMYFUNCTION("GOOGLETRANSLATE(N5128,""EN"",""ES"")"),"Negativo, abandono de proyecto de energía geotérmica.")</f>
        <v>Negativo, abandono de proyecto de energía geotérmica.</v>
      </c>
      <c r="P5128" s="30">
        <v>-0.4</v>
      </c>
      <c r="Q5128" s="18" t="str">
        <f>IFERROR(__xludf.DUMMYFUNCTION("GOOGLETRANSLATE(R5128,""ES"",""EN"")"),"abandon")</f>
        <v>abandon</v>
      </c>
      <c r="R5128" s="34" t="s">
        <v>36298</v>
      </c>
      <c r="S5128" s="52" t="s">
        <v>36299</v>
      </c>
      <c r="T5128" s="22" t="s">
        <v>36300</v>
      </c>
    </row>
    <row r="5129">
      <c r="A5129" s="23" t="s">
        <v>36301</v>
      </c>
      <c r="B5129" s="77" t="s">
        <v>36302</v>
      </c>
      <c r="C5129" s="96">
        <v>45649.0</v>
      </c>
      <c r="D5129" s="40" t="s">
        <v>36303</v>
      </c>
      <c r="E5129" s="97" t="s">
        <v>36304</v>
      </c>
      <c r="F5129" s="98" t="s">
        <v>36305</v>
      </c>
      <c r="G5129" s="98" t="s">
        <v>36306</v>
      </c>
      <c r="H5129" s="59" t="s">
        <v>395</v>
      </c>
      <c r="I5129" s="25" t="str">
        <f>IFERROR(__xludf.DUMMYFUNCTION("GOOGLETRANSLATE(H5129,""EN"",""ES"")"),"Ambiente")</f>
        <v>Ambiente</v>
      </c>
      <c r="J5129" s="26" t="s">
        <v>35</v>
      </c>
      <c r="K5129" s="48">
        <v>-0.7</v>
      </c>
      <c r="L5129" s="51" t="s">
        <v>36307</v>
      </c>
      <c r="M5129" s="28" t="s">
        <v>36308</v>
      </c>
      <c r="N5129" s="47" t="s">
        <v>36309</v>
      </c>
      <c r="O5129" s="47" t="str">
        <f>IFERROR(__xludf.DUMMYFUNCTION("GOOGLETRANSLATE(N5129,""EN"",""ES"")"),"Preocupaciones medioambientales negativas sobre el proyecto eólico de Repsol.")</f>
        <v>Preocupaciones medioambientales negativas sobre el proyecto eólico de Repsol.</v>
      </c>
      <c r="P5129" s="30">
        <v>-0.5</v>
      </c>
      <c r="Q5129" s="31" t="str">
        <f>IFERROR(__xludf.DUMMYFUNCTION("GOOGLETRANSLATE(R5129,""ES"",""EN"")"),"None")</f>
        <v>None</v>
      </c>
      <c r="R5129" s="28" t="s">
        <v>14309</v>
      </c>
      <c r="S5129" s="53" t="s">
        <v>34883</v>
      </c>
      <c r="T5129" s="32" t="s">
        <v>34884</v>
      </c>
    </row>
    <row r="5130">
      <c r="A5130" s="33" t="s">
        <v>36310</v>
      </c>
      <c r="B5130" s="76" t="s">
        <v>499</v>
      </c>
      <c r="C5130" s="99">
        <v>45649.0</v>
      </c>
      <c r="D5130" s="40" t="s">
        <v>36311</v>
      </c>
      <c r="E5130" s="100" t="s">
        <v>36312</v>
      </c>
      <c r="F5130" s="101" t="s">
        <v>36313</v>
      </c>
      <c r="G5130" s="101" t="s">
        <v>36314</v>
      </c>
      <c r="H5130" s="61" t="s">
        <v>2591</v>
      </c>
      <c r="I5130" s="15" t="str">
        <f>IFERROR(__xludf.DUMMYFUNCTION("GOOGLETRANSLATE(H5130,""EN"",""ES"")"),"Negocio")</f>
        <v>Negocio</v>
      </c>
      <c r="J5130" s="16" t="s">
        <v>35</v>
      </c>
      <c r="K5130" s="48">
        <v>0.7</v>
      </c>
      <c r="L5130" s="49" t="s">
        <v>36315</v>
      </c>
      <c r="M5130" s="34" t="s">
        <v>36316</v>
      </c>
      <c r="N5130" s="44" t="s">
        <v>36317</v>
      </c>
      <c r="O5130" s="44" t="str">
        <f>IFERROR(__xludf.DUMMYFUNCTION("GOOGLETRANSLATE(N5130,""EN"",""ES"")"),"Positivo, asegurando una importante financiación para proyectos renovables.")</f>
        <v>Positivo, asegurando una importante financiación para proyectos renovables.</v>
      </c>
      <c r="P5130" s="30">
        <v>0.2</v>
      </c>
      <c r="Q5130" s="18" t="str">
        <f>IFERROR(__xludf.DUMMYFUNCTION("GOOGLETRANSLATE(R5130,""ES"",""EN"")"),"None")</f>
        <v>None</v>
      </c>
      <c r="R5130" s="34" t="s">
        <v>14309</v>
      </c>
      <c r="S5130" s="52" t="s">
        <v>36318</v>
      </c>
      <c r="T5130" s="22" t="s">
        <v>36319</v>
      </c>
    </row>
    <row r="5131">
      <c r="A5131" s="23" t="s">
        <v>36320</v>
      </c>
      <c r="B5131" s="77" t="s">
        <v>35962</v>
      </c>
      <c r="C5131" s="96">
        <v>45649.0</v>
      </c>
      <c r="D5131" s="40" t="s">
        <v>36321</v>
      </c>
      <c r="E5131" s="97" t="s">
        <v>36322</v>
      </c>
      <c r="F5131" s="98" t="s">
        <v>36323</v>
      </c>
      <c r="G5131" s="98" t="s">
        <v>36324</v>
      </c>
      <c r="H5131" s="59" t="s">
        <v>2591</v>
      </c>
      <c r="I5131" s="25" t="str">
        <f>IFERROR(__xludf.DUMMYFUNCTION("GOOGLETRANSLATE(H5131,""EN"",""ES"")"),"Negocio")</f>
        <v>Negocio</v>
      </c>
      <c r="J5131" s="26" t="s">
        <v>35</v>
      </c>
      <c r="K5131" s="48">
        <v>0.7</v>
      </c>
      <c r="L5131" s="51" t="s">
        <v>36315</v>
      </c>
      <c r="M5131" s="28" t="s">
        <v>36316</v>
      </c>
      <c r="N5131" s="47" t="s">
        <v>36325</v>
      </c>
      <c r="O5131" s="47" t="str">
        <f>IFERROR(__xludf.DUMMYFUNCTION("GOOGLETRANSLATE(N5131,""EN"",""ES"")"),"Se ha conseguido una financiación importante y positiva para iniciativas renovables.")</f>
        <v>Se ha conseguido una financiación importante y positiva para iniciativas renovables.</v>
      </c>
      <c r="P5131" s="30">
        <v>0.2</v>
      </c>
      <c r="Q5131" s="31" t="str">
        <f>IFERROR(__xludf.DUMMYFUNCTION("GOOGLETRANSLATE(R5131,""ES"",""EN"")"),"None")</f>
        <v>None</v>
      </c>
      <c r="R5131" s="28" t="s">
        <v>14309</v>
      </c>
      <c r="S5131" s="53" t="s">
        <v>36326</v>
      </c>
      <c r="T5131" s="32" t="s">
        <v>36327</v>
      </c>
    </row>
    <row r="5132">
      <c r="A5132" s="33" t="s">
        <v>36328</v>
      </c>
      <c r="B5132" s="76" t="s">
        <v>1802</v>
      </c>
      <c r="C5132" s="99">
        <v>45649.0</v>
      </c>
      <c r="D5132" s="40" t="s">
        <v>36329</v>
      </c>
      <c r="E5132" s="100" t="s">
        <v>36330</v>
      </c>
      <c r="F5132" s="101" t="s">
        <v>36331</v>
      </c>
      <c r="G5132" s="101" t="s">
        <v>36332</v>
      </c>
      <c r="H5132" s="61" t="s">
        <v>2656</v>
      </c>
      <c r="I5132" s="15" t="str">
        <f>IFERROR(__xludf.DUMMYFUNCTION("GOOGLETRANSLATE(H5132,""EN"",""ES"")"),"Innovación")</f>
        <v>Innovación</v>
      </c>
      <c r="J5132" s="16" t="s">
        <v>27</v>
      </c>
      <c r="K5132" s="17">
        <v>0.0</v>
      </c>
      <c r="L5132" s="49"/>
      <c r="M5132" s="18"/>
      <c r="N5132" s="44"/>
      <c r="O5132" s="44"/>
      <c r="P5132" s="20">
        <v>0.0</v>
      </c>
      <c r="Q5132" s="18"/>
      <c r="R5132" s="18"/>
      <c r="S5132" s="52"/>
      <c r="T5132" s="22"/>
    </row>
    <row r="5133">
      <c r="A5133" s="23" t="s">
        <v>36333</v>
      </c>
      <c r="B5133" s="77" t="s">
        <v>21</v>
      </c>
      <c r="C5133" s="96">
        <v>45649.0</v>
      </c>
      <c r="D5133" s="40" t="s">
        <v>36334</v>
      </c>
      <c r="E5133" s="97" t="s">
        <v>36335</v>
      </c>
      <c r="F5133" s="98" t="s">
        <v>36336</v>
      </c>
      <c r="G5133" s="98" t="s">
        <v>36337</v>
      </c>
      <c r="H5133" s="59" t="s">
        <v>33554</v>
      </c>
      <c r="I5133" s="25" t="str">
        <f>IFERROR(__xludf.DUMMYFUNCTION("GOOGLETRANSLATE(H5133,""EN"",""ES"")"),"Alimento")</f>
        <v>Alimento</v>
      </c>
      <c r="J5133" s="26" t="s">
        <v>27</v>
      </c>
      <c r="K5133" s="17">
        <v>0.0</v>
      </c>
      <c r="L5133" s="51"/>
      <c r="M5133" s="31"/>
      <c r="N5133" s="47"/>
      <c r="O5133" s="47"/>
      <c r="P5133" s="20">
        <v>0.0</v>
      </c>
      <c r="Q5133" s="31"/>
      <c r="R5133" s="31"/>
      <c r="S5133" s="53"/>
      <c r="T5133" s="32"/>
    </row>
    <row r="5134">
      <c r="A5134" s="33" t="s">
        <v>36338</v>
      </c>
      <c r="B5134" s="76" t="s">
        <v>2918</v>
      </c>
      <c r="C5134" s="99">
        <v>45649.0</v>
      </c>
      <c r="D5134" s="40" t="s">
        <v>36339</v>
      </c>
      <c r="E5134" s="100" t="s">
        <v>36340</v>
      </c>
      <c r="F5134" s="101" t="s">
        <v>36341</v>
      </c>
      <c r="G5134" s="101" t="s">
        <v>36342</v>
      </c>
      <c r="H5134" s="61" t="s">
        <v>2656</v>
      </c>
      <c r="I5134" s="15" t="str">
        <f>IFERROR(__xludf.DUMMYFUNCTION("GOOGLETRANSLATE(H5134,""EN"",""ES"")"),"Innovación")</f>
        <v>Innovación</v>
      </c>
      <c r="J5134" s="16" t="s">
        <v>27</v>
      </c>
      <c r="K5134" s="17">
        <v>0.0</v>
      </c>
      <c r="L5134" s="49"/>
      <c r="M5134" s="18"/>
      <c r="N5134" s="44"/>
      <c r="O5134" s="44"/>
      <c r="P5134" s="20">
        <v>0.0</v>
      </c>
      <c r="Q5134" s="18"/>
      <c r="R5134" s="18"/>
      <c r="S5134" s="52"/>
      <c r="T5134" s="22"/>
    </row>
    <row r="5135">
      <c r="A5135" s="23" t="s">
        <v>36343</v>
      </c>
      <c r="B5135" s="77" t="s">
        <v>3273</v>
      </c>
      <c r="C5135" s="96">
        <v>45649.0</v>
      </c>
      <c r="D5135" s="40" t="s">
        <v>36046</v>
      </c>
      <c r="E5135" s="97" t="s">
        <v>36344</v>
      </c>
      <c r="F5135" s="98" t="s">
        <v>36048</v>
      </c>
      <c r="G5135" s="98" t="s">
        <v>36345</v>
      </c>
      <c r="H5135" s="59" t="s">
        <v>3985</v>
      </c>
      <c r="I5135" s="25" t="str">
        <f>IFERROR(__xludf.DUMMYFUNCTION("GOOGLETRANSLATE(H5135,""EN"",""ES"")"),"Deportes")</f>
        <v>Deportes</v>
      </c>
      <c r="J5135" s="26" t="s">
        <v>27</v>
      </c>
      <c r="K5135" s="17">
        <v>0.0</v>
      </c>
      <c r="L5135" s="51"/>
      <c r="M5135" s="31"/>
      <c r="N5135" s="47"/>
      <c r="O5135" s="47"/>
      <c r="P5135" s="20">
        <v>0.0</v>
      </c>
      <c r="Q5135" s="31"/>
      <c r="R5135" s="31"/>
      <c r="S5135" s="53"/>
      <c r="T5135" s="32"/>
    </row>
    <row r="5136">
      <c r="A5136" s="33" t="s">
        <v>36346</v>
      </c>
      <c r="B5136" s="76" t="s">
        <v>8029</v>
      </c>
      <c r="C5136" s="99">
        <v>45649.0</v>
      </c>
      <c r="D5136" s="40" t="s">
        <v>36347</v>
      </c>
      <c r="E5136" s="100" t="s">
        <v>36348</v>
      </c>
      <c r="F5136" s="101" t="s">
        <v>36349</v>
      </c>
      <c r="G5136" s="101" t="s">
        <v>36350</v>
      </c>
      <c r="H5136" s="61" t="s">
        <v>48</v>
      </c>
      <c r="I5136" s="15" t="str">
        <f>IFERROR(__xludf.DUMMYFUNCTION("GOOGLETRANSLATE(H5136,""EN"",""ES"")"),"Finanzas")</f>
        <v>Finanzas</v>
      </c>
      <c r="J5136" s="16" t="s">
        <v>35</v>
      </c>
      <c r="K5136" s="48">
        <v>0.6</v>
      </c>
      <c r="L5136" s="49" t="s">
        <v>36092</v>
      </c>
      <c r="M5136" s="34" t="s">
        <v>36093</v>
      </c>
      <c r="N5136" s="44" t="s">
        <v>36351</v>
      </c>
      <c r="O5136" s="44" t="str">
        <f>IFERROR(__xludf.DUMMYFUNCTION("GOOGLETRANSLATE(N5136,""EN"",""ES"")"),"Neutral, proporcionando detalles del mercado de valores.")</f>
        <v>Neutral, proporcionando detalles del mercado de valores.</v>
      </c>
      <c r="P5136" s="30">
        <v>0.0</v>
      </c>
      <c r="Q5136" s="18"/>
      <c r="R5136" s="18"/>
      <c r="S5136" s="52" t="s">
        <v>34868</v>
      </c>
      <c r="T5136" s="22" t="s">
        <v>34869</v>
      </c>
    </row>
    <row r="5137">
      <c r="A5137" s="23" t="s">
        <v>36352</v>
      </c>
      <c r="B5137" s="77" t="s">
        <v>21</v>
      </c>
      <c r="C5137" s="96">
        <v>45649.0</v>
      </c>
      <c r="D5137" s="40" t="s">
        <v>36353</v>
      </c>
      <c r="E5137" s="97" t="s">
        <v>6574</v>
      </c>
      <c r="F5137" s="98" t="s">
        <v>36354</v>
      </c>
      <c r="G5137" s="98" t="s">
        <v>6576</v>
      </c>
      <c r="H5137" s="59" t="s">
        <v>33554</v>
      </c>
      <c r="I5137" s="25" t="str">
        <f>IFERROR(__xludf.DUMMYFUNCTION("GOOGLETRANSLATE(H5137,""EN"",""ES"")"),"Alimento")</f>
        <v>Alimento</v>
      </c>
      <c r="J5137" s="26" t="s">
        <v>27</v>
      </c>
      <c r="K5137" s="17">
        <v>0.0</v>
      </c>
      <c r="L5137" s="51"/>
      <c r="M5137" s="31"/>
      <c r="N5137" s="47"/>
      <c r="O5137" s="47"/>
      <c r="P5137" s="20">
        <v>0.0</v>
      </c>
      <c r="Q5137" s="31"/>
      <c r="R5137" s="31"/>
      <c r="S5137" s="53"/>
      <c r="T5137" s="32"/>
    </row>
    <row r="5138">
      <c r="A5138" s="33" t="s">
        <v>36355</v>
      </c>
      <c r="B5138" s="76" t="s">
        <v>217</v>
      </c>
      <c r="C5138" s="99">
        <v>45649.0</v>
      </c>
      <c r="D5138" s="40" t="s">
        <v>36356</v>
      </c>
      <c r="E5138" s="100" t="s">
        <v>36357</v>
      </c>
      <c r="F5138" s="101" t="s">
        <v>36358</v>
      </c>
      <c r="G5138" s="101" t="s">
        <v>36359</v>
      </c>
      <c r="H5138" s="61" t="s">
        <v>2591</v>
      </c>
      <c r="I5138" s="15" t="str">
        <f>IFERROR(__xludf.DUMMYFUNCTION("GOOGLETRANSLATE(H5138,""EN"",""ES"")"),"Negocio")</f>
        <v>Negocio</v>
      </c>
      <c r="J5138" s="16" t="s">
        <v>35</v>
      </c>
      <c r="K5138" s="48">
        <v>0.7</v>
      </c>
      <c r="L5138" s="49" t="s">
        <v>36360</v>
      </c>
      <c r="M5138" s="34" t="s">
        <v>36361</v>
      </c>
      <c r="N5138" s="44" t="s">
        <v>36362</v>
      </c>
      <c r="O5138" s="44" t="str">
        <f>IFERROR(__xludf.DUMMYFUNCTION("GOOGLETRANSLATE(N5138,""EN"",""ES"")"),"Positivo, mostrando el buen comportamiento del dividendo de Repsol.")</f>
        <v>Positivo, mostrando el buen comportamiento del dividendo de Repsol.</v>
      </c>
      <c r="P5138" s="30">
        <v>0.0</v>
      </c>
      <c r="Q5138" s="18"/>
      <c r="R5138" s="18"/>
      <c r="S5138" s="52" t="s">
        <v>34868</v>
      </c>
      <c r="T5138" s="22" t="s">
        <v>34869</v>
      </c>
    </row>
    <row r="5139">
      <c r="A5139" s="23" t="s">
        <v>36363</v>
      </c>
      <c r="B5139" s="77" t="s">
        <v>3151</v>
      </c>
      <c r="C5139" s="96">
        <v>45649.0</v>
      </c>
      <c r="D5139" s="40" t="s">
        <v>36364</v>
      </c>
      <c r="E5139" s="97" t="s">
        <v>36365</v>
      </c>
      <c r="F5139" s="98" t="s">
        <v>36366</v>
      </c>
      <c r="G5139" s="98" t="s">
        <v>36367</v>
      </c>
      <c r="H5139" s="59" t="s">
        <v>8369</v>
      </c>
      <c r="I5139" s="25" t="str">
        <f>IFERROR(__xludf.DUMMYFUNCTION("GOOGLETRANSLATE(H5139,""EN"",""ES"")"),"Medios de comunicación")</f>
        <v>Medios de comunicación</v>
      </c>
      <c r="J5139" s="26" t="s">
        <v>27</v>
      </c>
      <c r="K5139" s="17">
        <v>0.0</v>
      </c>
      <c r="L5139" s="51"/>
      <c r="M5139" s="31"/>
      <c r="N5139" s="47"/>
      <c r="O5139" s="47"/>
      <c r="P5139" s="20">
        <v>0.0</v>
      </c>
      <c r="Q5139" s="31"/>
      <c r="R5139" s="31"/>
      <c r="S5139" s="53"/>
      <c r="T5139" s="32"/>
    </row>
    <row r="5140">
      <c r="A5140" s="33" t="s">
        <v>36368</v>
      </c>
      <c r="B5140" s="76" t="s">
        <v>21</v>
      </c>
      <c r="C5140" s="99">
        <v>45649.0</v>
      </c>
      <c r="D5140" s="40" t="s">
        <v>36369</v>
      </c>
      <c r="E5140" s="100" t="s">
        <v>36370</v>
      </c>
      <c r="F5140" s="101" t="s">
        <v>36371</v>
      </c>
      <c r="G5140" s="101" t="s">
        <v>36372</v>
      </c>
      <c r="H5140" s="61" t="s">
        <v>8762</v>
      </c>
      <c r="I5140" s="15" t="str">
        <f>IFERROR(__xludf.DUMMYFUNCTION("GOOGLETRANSLATE(H5140,""EN"",""ES"")"),"Viajar")</f>
        <v>Viajar</v>
      </c>
      <c r="J5140" s="16" t="s">
        <v>27</v>
      </c>
      <c r="K5140" s="17">
        <v>0.0</v>
      </c>
      <c r="L5140" s="49"/>
      <c r="M5140" s="18"/>
      <c r="N5140" s="44"/>
      <c r="O5140" s="44"/>
      <c r="P5140" s="20">
        <v>0.0</v>
      </c>
      <c r="Q5140" s="18"/>
      <c r="R5140" s="18"/>
      <c r="S5140" s="52"/>
      <c r="T5140" s="22"/>
    </row>
    <row r="5141">
      <c r="A5141" s="23" t="s">
        <v>36373</v>
      </c>
      <c r="B5141" s="77" t="s">
        <v>36374</v>
      </c>
      <c r="C5141" s="96">
        <v>45649.0</v>
      </c>
      <c r="D5141" s="40" t="s">
        <v>36375</v>
      </c>
      <c r="E5141" s="97" t="s">
        <v>36376</v>
      </c>
      <c r="F5141" s="98" t="s">
        <v>36377</v>
      </c>
      <c r="G5141" s="98" t="s">
        <v>36378</v>
      </c>
      <c r="H5141" s="59" t="s">
        <v>395</v>
      </c>
      <c r="I5141" s="25" t="str">
        <f>IFERROR(__xludf.DUMMYFUNCTION("GOOGLETRANSLATE(H5141,""EN"",""ES"")"),"Ambiente")</f>
        <v>Ambiente</v>
      </c>
      <c r="J5141" s="26" t="s">
        <v>35</v>
      </c>
      <c r="K5141" s="48">
        <v>-0.6</v>
      </c>
      <c r="L5141" s="51" t="s">
        <v>36379</v>
      </c>
      <c r="M5141" s="28" t="s">
        <v>36380</v>
      </c>
      <c r="N5141" s="47" t="s">
        <v>36381</v>
      </c>
      <c r="O5141" s="47" t="str">
        <f>IFERROR(__xludf.DUMMYFUNCTION("GOOGLETRANSLATE(N5141,""EN"",""ES"")"),"Negativo, discutiendo el impacto ambiental de un derrame de petróleo.")</f>
        <v>Negativo, discutiendo el impacto ambiental de un derrame de petróleo.</v>
      </c>
      <c r="P5141" s="30">
        <v>-0.8</v>
      </c>
      <c r="Q5141" s="31" t="str">
        <f>IFERROR(__xludf.DUMMYFUNCTION("GOOGLETRANSLATE(R5141,""ES"",""EN"")"),"spill, ""affected""")</f>
        <v>spill, "affected"</v>
      </c>
      <c r="R5141" s="28" t="s">
        <v>36382</v>
      </c>
      <c r="S5141" s="53" t="s">
        <v>36247</v>
      </c>
      <c r="T5141" s="32" t="s">
        <v>36248</v>
      </c>
    </row>
    <row r="5142">
      <c r="A5142" s="33" t="s">
        <v>36383</v>
      </c>
      <c r="B5142" s="76" t="s">
        <v>36384</v>
      </c>
      <c r="C5142" s="99">
        <v>45649.0</v>
      </c>
      <c r="D5142" s="40" t="s">
        <v>36385</v>
      </c>
      <c r="E5142" s="100" t="s">
        <v>36386</v>
      </c>
      <c r="F5142" s="101" t="s">
        <v>36387</v>
      </c>
      <c r="G5142" s="101" t="s">
        <v>36388</v>
      </c>
      <c r="H5142" s="61" t="s">
        <v>36201</v>
      </c>
      <c r="I5142" s="15" t="str">
        <f>IFERROR(__xludf.DUMMYFUNCTION("GOOGLETRANSLATE(H5142,""EN"",""ES"")"),"Social")</f>
        <v>Social</v>
      </c>
      <c r="J5142" s="16" t="s">
        <v>27</v>
      </c>
      <c r="K5142" s="17">
        <v>0.0</v>
      </c>
      <c r="L5142" s="49"/>
      <c r="M5142" s="18"/>
      <c r="N5142" s="44"/>
      <c r="O5142" s="44"/>
      <c r="P5142" s="20">
        <v>0.0</v>
      </c>
      <c r="Q5142" s="18"/>
      <c r="R5142" s="18"/>
      <c r="S5142" s="52"/>
      <c r="T5142" s="22"/>
    </row>
    <row r="5143">
      <c r="A5143" s="23" t="s">
        <v>36389</v>
      </c>
      <c r="B5143" s="77" t="s">
        <v>163</v>
      </c>
      <c r="C5143" s="96">
        <v>45650.0</v>
      </c>
      <c r="D5143" s="40" t="s">
        <v>36390</v>
      </c>
      <c r="E5143" s="97" t="s">
        <v>36391</v>
      </c>
      <c r="F5143" s="98" t="s">
        <v>36392</v>
      </c>
      <c r="G5143" s="98" t="s">
        <v>36393</v>
      </c>
      <c r="H5143" s="59" t="s">
        <v>2656</v>
      </c>
      <c r="I5143" s="25" t="str">
        <f>IFERROR(__xludf.DUMMYFUNCTION("GOOGLETRANSLATE(H5143,""EN"",""ES"")"),"Innovación")</f>
        <v>Innovación</v>
      </c>
      <c r="J5143" s="26" t="s">
        <v>27</v>
      </c>
      <c r="K5143" s="17">
        <v>0.0</v>
      </c>
      <c r="L5143" s="51"/>
      <c r="M5143" s="31"/>
      <c r="N5143" s="47"/>
      <c r="O5143" s="47"/>
      <c r="P5143" s="20">
        <v>0.0</v>
      </c>
      <c r="Q5143" s="31"/>
      <c r="R5143" s="31"/>
      <c r="S5143" s="53"/>
      <c r="T5143" s="32"/>
    </row>
    <row r="5144">
      <c r="A5144" s="33" t="s">
        <v>36394</v>
      </c>
      <c r="B5144" s="76" t="s">
        <v>16864</v>
      </c>
      <c r="C5144" s="99">
        <v>45650.0</v>
      </c>
      <c r="D5144" s="40" t="s">
        <v>36395</v>
      </c>
      <c r="E5144" s="100" t="s">
        <v>36396</v>
      </c>
      <c r="F5144" s="101" t="s">
        <v>36397</v>
      </c>
      <c r="G5144" s="101" t="s">
        <v>36398</v>
      </c>
      <c r="H5144" s="61" t="s">
        <v>2591</v>
      </c>
      <c r="I5144" s="15" t="str">
        <f>IFERROR(__xludf.DUMMYFUNCTION("GOOGLETRANSLATE(H5144,""EN"",""ES"")"),"Negocio")</f>
        <v>Negocio</v>
      </c>
      <c r="J5144" s="16" t="s">
        <v>27</v>
      </c>
      <c r="K5144" s="17">
        <v>0.0</v>
      </c>
      <c r="L5144" s="49"/>
      <c r="M5144" s="18"/>
      <c r="N5144" s="44"/>
      <c r="O5144" s="44"/>
      <c r="P5144" s="20">
        <v>0.0</v>
      </c>
      <c r="Q5144" s="18"/>
      <c r="R5144" s="18"/>
      <c r="S5144" s="52"/>
      <c r="T5144" s="22"/>
    </row>
    <row r="5145">
      <c r="A5145" s="23" t="s">
        <v>36399</v>
      </c>
      <c r="B5145" s="77" t="s">
        <v>7187</v>
      </c>
      <c r="C5145" s="96">
        <v>45650.0</v>
      </c>
      <c r="D5145" s="40" t="s">
        <v>36400</v>
      </c>
      <c r="E5145" s="97" t="s">
        <v>36401</v>
      </c>
      <c r="F5145" s="98" t="s">
        <v>36402</v>
      </c>
      <c r="G5145" s="98" t="s">
        <v>36403</v>
      </c>
      <c r="H5145" s="59" t="s">
        <v>395</v>
      </c>
      <c r="I5145" s="25" t="str">
        <f>IFERROR(__xludf.DUMMYFUNCTION("GOOGLETRANSLATE(H5145,""EN"",""ES"")"),"Ambiente")</f>
        <v>Ambiente</v>
      </c>
      <c r="J5145" s="26" t="s">
        <v>35</v>
      </c>
      <c r="K5145" s="48">
        <v>-0.5</v>
      </c>
      <c r="L5145" s="51" t="s">
        <v>36404</v>
      </c>
      <c r="M5145" s="28" t="s">
        <v>36405</v>
      </c>
      <c r="N5145" s="47" t="s">
        <v>36406</v>
      </c>
      <c r="O5145" s="47" t="str">
        <f>IFERROR(__xludf.DUMMYFUNCTION("GOOGLETRANSLATE(N5145,""EN"",""ES"")"),"Negativo, discutiendo la polémica por los proyectos de parques eólicos.")</f>
        <v>Negativo, discutiendo la polémica por los proyectos de parques eólicos.</v>
      </c>
      <c r="P5145" s="30">
        <v>0.2</v>
      </c>
      <c r="Q5145" s="31" t="str">
        <f>IFERROR(__xludf.DUMMYFUNCTION("GOOGLETRANSLATE(R5145,""ES"",""EN"")"),"defend")</f>
        <v>defend</v>
      </c>
      <c r="R5145" s="28" t="s">
        <v>12156</v>
      </c>
      <c r="S5145" s="53" t="s">
        <v>36407</v>
      </c>
      <c r="T5145" s="32" t="s">
        <v>36408</v>
      </c>
    </row>
    <row r="5146">
      <c r="A5146" s="33" t="s">
        <v>36409</v>
      </c>
      <c r="B5146" s="76" t="s">
        <v>7295</v>
      </c>
      <c r="C5146" s="99">
        <v>45650.0</v>
      </c>
      <c r="D5146" s="40" t="s">
        <v>36410</v>
      </c>
      <c r="E5146" s="100" t="s">
        <v>36411</v>
      </c>
      <c r="F5146" s="101" t="s">
        <v>36412</v>
      </c>
      <c r="G5146" s="101" t="s">
        <v>36413</v>
      </c>
      <c r="H5146" s="61" t="s">
        <v>33554</v>
      </c>
      <c r="I5146" s="15" t="str">
        <f>IFERROR(__xludf.DUMMYFUNCTION("GOOGLETRANSLATE(H5146,""EN"",""ES"")"),"Alimento")</f>
        <v>Alimento</v>
      </c>
      <c r="J5146" s="16" t="s">
        <v>27</v>
      </c>
      <c r="K5146" s="17">
        <v>0.0</v>
      </c>
      <c r="L5146" s="49"/>
      <c r="M5146" s="18"/>
      <c r="N5146" s="44"/>
      <c r="O5146" s="44"/>
      <c r="P5146" s="20">
        <v>0.0</v>
      </c>
      <c r="Q5146" s="18"/>
      <c r="R5146" s="18"/>
      <c r="S5146" s="52"/>
      <c r="T5146" s="22"/>
    </row>
    <row r="5147">
      <c r="A5147" s="23" t="s">
        <v>36414</v>
      </c>
      <c r="B5147" s="77" t="s">
        <v>2696</v>
      </c>
      <c r="C5147" s="96">
        <v>45650.0</v>
      </c>
      <c r="D5147" s="40" t="s">
        <v>36415</v>
      </c>
      <c r="E5147" s="97" t="s">
        <v>36416</v>
      </c>
      <c r="F5147" s="98" t="s">
        <v>36417</v>
      </c>
      <c r="G5147" s="98" t="s">
        <v>36418</v>
      </c>
      <c r="H5147" s="59" t="s">
        <v>36419</v>
      </c>
      <c r="I5147" s="25" t="str">
        <f>IFERROR(__xludf.DUMMYFUNCTION("GOOGLETRANSLATE(H5147,""EN"",""ES"")"),"Social/Medio Ambiente")</f>
        <v>Social/Medio Ambiente</v>
      </c>
      <c r="J5147" s="26" t="s">
        <v>27</v>
      </c>
      <c r="K5147" s="17">
        <v>0.0</v>
      </c>
      <c r="L5147" s="51"/>
      <c r="M5147" s="31"/>
      <c r="N5147" s="47"/>
      <c r="O5147" s="47"/>
      <c r="P5147" s="20">
        <v>0.0</v>
      </c>
      <c r="Q5147" s="31"/>
      <c r="R5147" s="31"/>
      <c r="S5147" s="53"/>
      <c r="T5147" s="32"/>
    </row>
    <row r="5148">
      <c r="A5148" s="33" t="s">
        <v>36420</v>
      </c>
      <c r="B5148" s="76" t="s">
        <v>403</v>
      </c>
      <c r="C5148" s="99">
        <v>45650.0</v>
      </c>
      <c r="D5148" s="40" t="s">
        <v>36421</v>
      </c>
      <c r="E5148" s="100" t="s">
        <v>36422</v>
      </c>
      <c r="F5148" s="101" t="s">
        <v>36423</v>
      </c>
      <c r="G5148" s="101" t="s">
        <v>36424</v>
      </c>
      <c r="H5148" s="61" t="s">
        <v>1975</v>
      </c>
      <c r="I5148" s="15" t="str">
        <f>IFERROR(__xludf.DUMMYFUNCTION("GOOGLETRANSLATE(H5148,""EN"",""ES"")"),"Política")</f>
        <v>Política</v>
      </c>
      <c r="J5148" s="16" t="s">
        <v>35</v>
      </c>
      <c r="K5148" s="48">
        <v>-0.6</v>
      </c>
      <c r="L5148" s="49" t="s">
        <v>36425</v>
      </c>
      <c r="M5148" s="34" t="s">
        <v>36426</v>
      </c>
      <c r="N5148" s="44" t="s">
        <v>36427</v>
      </c>
      <c r="O5148" s="44" t="str">
        <f>IFERROR(__xludf.DUMMYFUNCTION("GOOGLETRANSLATE(N5148,""EN"",""ES"")"),"Negativo, discutiendo impactos fiscales en Repsol y otros.")</f>
        <v>Negativo, discutiendo impactos fiscales en Repsol y otros.</v>
      </c>
      <c r="P5148" s="30">
        <v>0.1</v>
      </c>
      <c r="Q5148" s="18" t="str">
        <f>IFERROR(__xludf.DUMMYFUNCTION("GOOGLETRANSLATE(R5148,""ES"",""EN"")"),"None")</f>
        <v>None</v>
      </c>
      <c r="R5148" s="34" t="s">
        <v>14309</v>
      </c>
      <c r="S5148" s="52" t="s">
        <v>36428</v>
      </c>
      <c r="T5148" s="22" t="s">
        <v>36429</v>
      </c>
    </row>
    <row r="5149">
      <c r="A5149" s="23" t="s">
        <v>36430</v>
      </c>
      <c r="B5149" s="77" t="s">
        <v>1568</v>
      </c>
      <c r="C5149" s="96">
        <v>45650.0</v>
      </c>
      <c r="D5149" s="40" t="s">
        <v>36431</v>
      </c>
      <c r="E5149" s="97" t="s">
        <v>36432</v>
      </c>
      <c r="F5149" s="98" t="s">
        <v>36433</v>
      </c>
      <c r="G5149" s="98" t="s">
        <v>36434</v>
      </c>
      <c r="H5149" s="59" t="s">
        <v>2591</v>
      </c>
      <c r="I5149" s="25" t="str">
        <f>IFERROR(__xludf.DUMMYFUNCTION("GOOGLETRANSLATE(H5149,""EN"",""ES"")"),"Negocio")</f>
        <v>Negocio</v>
      </c>
      <c r="J5149" s="26" t="s">
        <v>35</v>
      </c>
      <c r="K5149" s="48">
        <v>-0.7</v>
      </c>
      <c r="L5149" s="51" t="s">
        <v>36435</v>
      </c>
      <c r="M5149" s="28" t="s">
        <v>36436</v>
      </c>
      <c r="N5149" s="47" t="s">
        <v>36437</v>
      </c>
      <c r="O5149" s="47" t="str">
        <f>IFERROR(__xludf.DUMMYFUNCTION("GOOGLETRANSLATE(N5149,""EN"",""ES"")"),"Negativo, discutiendo el retraso de importantes inversiones debido a políticas gubernamentales.")</f>
        <v>Negativo, discutiendo el retraso de importantes inversiones debido a políticas gubernamentales.</v>
      </c>
      <c r="P5149" s="30">
        <v>-0.3</v>
      </c>
      <c r="Q5149" s="31" t="str">
        <f>IFERROR(__xludf.DUMMYFUNCTION("GOOGLETRANSLATE(R5149,""ES"",""EN"")"),"standby")</f>
        <v>standby</v>
      </c>
      <c r="R5149" s="28" t="s">
        <v>36438</v>
      </c>
      <c r="S5149" s="53" t="s">
        <v>36439</v>
      </c>
      <c r="T5149" s="32" t="s">
        <v>36440</v>
      </c>
    </row>
    <row r="5150">
      <c r="A5150" s="33" t="s">
        <v>36441</v>
      </c>
      <c r="B5150" s="76" t="s">
        <v>21</v>
      </c>
      <c r="C5150" s="99">
        <v>45650.0</v>
      </c>
      <c r="D5150" s="40" t="s">
        <v>36442</v>
      </c>
      <c r="E5150" s="100" t="s">
        <v>36443</v>
      </c>
      <c r="F5150" s="101" t="s">
        <v>36444</v>
      </c>
      <c r="G5150" s="101" t="s">
        <v>36445</v>
      </c>
      <c r="H5150" s="61" t="s">
        <v>36201</v>
      </c>
      <c r="I5150" s="15" t="str">
        <f>IFERROR(__xludf.DUMMYFUNCTION("GOOGLETRANSLATE(H5150,""EN"",""ES"")"),"Social")</f>
        <v>Social</v>
      </c>
      <c r="J5150" s="16" t="s">
        <v>27</v>
      </c>
      <c r="K5150" s="17">
        <v>0.0</v>
      </c>
      <c r="L5150" s="49"/>
      <c r="M5150" s="18"/>
      <c r="N5150" s="44"/>
      <c r="O5150" s="44"/>
      <c r="P5150" s="20">
        <v>0.0</v>
      </c>
      <c r="Q5150" s="18"/>
      <c r="R5150" s="18"/>
      <c r="S5150" s="52"/>
      <c r="T5150" s="22"/>
    </row>
    <row r="5151">
      <c r="A5151" s="23" t="s">
        <v>36446</v>
      </c>
      <c r="B5151" s="77" t="s">
        <v>8029</v>
      </c>
      <c r="C5151" s="96">
        <v>45650.0</v>
      </c>
      <c r="D5151" s="40" t="s">
        <v>36447</v>
      </c>
      <c r="E5151" s="97" t="s">
        <v>36448</v>
      </c>
      <c r="F5151" s="98" t="s">
        <v>36449</v>
      </c>
      <c r="G5151" s="98" t="s">
        <v>36450</v>
      </c>
      <c r="H5151" s="59" t="s">
        <v>2591</v>
      </c>
      <c r="I5151" s="25" t="str">
        <f>IFERROR(__xludf.DUMMYFUNCTION("GOOGLETRANSLATE(H5151,""EN"",""ES"")"),"Negocio")</f>
        <v>Negocio</v>
      </c>
      <c r="J5151" s="26" t="s">
        <v>35</v>
      </c>
      <c r="K5151" s="48">
        <v>0.6</v>
      </c>
      <c r="L5151" s="51" t="s">
        <v>36092</v>
      </c>
      <c r="M5151" s="28" t="s">
        <v>36093</v>
      </c>
      <c r="N5151" s="47" t="s">
        <v>36451</v>
      </c>
      <c r="O5151" s="47" t="str">
        <f>IFERROR(__xludf.DUMMYFUNCTION("GOOGLETRANSLATE(N5151,""EN"",""ES"")"),"Neutral, facilitando datos bursátiles de Repsol.")</f>
        <v>Neutral, facilitando datos bursátiles de Repsol.</v>
      </c>
      <c r="P5151" s="30">
        <v>0.0</v>
      </c>
      <c r="Q5151" s="31"/>
      <c r="R5151" s="31"/>
      <c r="S5151" s="53" t="s">
        <v>34868</v>
      </c>
      <c r="T5151" s="32" t="s">
        <v>34869</v>
      </c>
    </row>
    <row r="5152">
      <c r="A5152" s="33" t="s">
        <v>36452</v>
      </c>
      <c r="B5152" s="76" t="s">
        <v>1831</v>
      </c>
      <c r="C5152" s="99">
        <v>45650.0</v>
      </c>
      <c r="D5152" s="40" t="s">
        <v>36453</v>
      </c>
      <c r="E5152" s="100" t="s">
        <v>36454</v>
      </c>
      <c r="F5152" s="101" t="s">
        <v>36455</v>
      </c>
      <c r="G5152" s="101" t="s">
        <v>36456</v>
      </c>
      <c r="H5152" s="61" t="s">
        <v>33554</v>
      </c>
      <c r="I5152" s="15" t="str">
        <f>IFERROR(__xludf.DUMMYFUNCTION("GOOGLETRANSLATE(H5152,""EN"",""ES"")"),"Alimento")</f>
        <v>Alimento</v>
      </c>
      <c r="J5152" s="16" t="s">
        <v>27</v>
      </c>
      <c r="K5152" s="17">
        <v>0.0</v>
      </c>
      <c r="L5152" s="49"/>
      <c r="M5152" s="18"/>
      <c r="N5152" s="44"/>
      <c r="O5152" s="44"/>
      <c r="P5152" s="20">
        <v>0.0</v>
      </c>
      <c r="Q5152" s="18"/>
      <c r="R5152" s="18"/>
      <c r="S5152" s="52"/>
      <c r="T5152" s="22"/>
    </row>
    <row r="5153">
      <c r="A5153" s="23" t="s">
        <v>36457</v>
      </c>
      <c r="B5153" s="77" t="s">
        <v>403</v>
      </c>
      <c r="C5153" s="96">
        <v>45650.0</v>
      </c>
      <c r="D5153" s="40" t="s">
        <v>36458</v>
      </c>
      <c r="E5153" s="97" t="s">
        <v>36459</v>
      </c>
      <c r="F5153" s="98" t="s">
        <v>36460</v>
      </c>
      <c r="G5153" s="98" t="s">
        <v>36461</v>
      </c>
      <c r="H5153" s="59" t="s">
        <v>2591</v>
      </c>
      <c r="I5153" s="25" t="str">
        <f>IFERROR(__xludf.DUMMYFUNCTION("GOOGLETRANSLATE(H5153,""EN"",""ES"")"),"Negocio")</f>
        <v>Negocio</v>
      </c>
      <c r="J5153" s="26" t="s">
        <v>35</v>
      </c>
      <c r="K5153" s="48">
        <v>0.6</v>
      </c>
      <c r="L5153" s="51" t="s">
        <v>36462</v>
      </c>
      <c r="M5153" s="28" t="s">
        <v>36463</v>
      </c>
      <c r="N5153" s="47" t="s">
        <v>36464</v>
      </c>
      <c r="O5153" s="47" t="str">
        <f>IFERROR(__xludf.DUMMYFUNCTION("GOOGLETRANSLATE(N5153,""EN"",""ES"")"),"Neutral, discutiendo deducciones fiscales para las empresas de energía.")</f>
        <v>Neutral, discutiendo deducciones fiscales para las empresas de energía.</v>
      </c>
      <c r="P5153" s="30">
        <v>0.1</v>
      </c>
      <c r="Q5153" s="31" t="str">
        <f>IFERROR(__xludf.DUMMYFUNCTION("GOOGLETRANSLATE(R5153,""ES"",""EN"")"),"None")</f>
        <v>None</v>
      </c>
      <c r="R5153" s="28" t="s">
        <v>14309</v>
      </c>
      <c r="S5153" s="53" t="s">
        <v>36428</v>
      </c>
      <c r="T5153" s="32" t="s">
        <v>36429</v>
      </c>
    </row>
    <row r="5154">
      <c r="A5154" s="33" t="s">
        <v>36465</v>
      </c>
      <c r="B5154" s="76" t="s">
        <v>85</v>
      </c>
      <c r="C5154" s="99">
        <v>45650.0</v>
      </c>
      <c r="D5154" s="40" t="s">
        <v>36466</v>
      </c>
      <c r="E5154" s="100" t="s">
        <v>36467</v>
      </c>
      <c r="F5154" s="101" t="s">
        <v>36468</v>
      </c>
      <c r="G5154" s="101" t="s">
        <v>36469</v>
      </c>
      <c r="H5154" s="61" t="s">
        <v>1975</v>
      </c>
      <c r="I5154" s="15" t="str">
        <f>IFERROR(__xludf.DUMMYFUNCTION("GOOGLETRANSLATE(H5154,""EN"",""ES"")"),"Política")</f>
        <v>Política</v>
      </c>
      <c r="J5154" s="16" t="s">
        <v>35</v>
      </c>
      <c r="K5154" s="48">
        <v>-0.6</v>
      </c>
      <c r="L5154" s="49" t="s">
        <v>36470</v>
      </c>
      <c r="M5154" s="34" t="s">
        <v>36471</v>
      </c>
      <c r="N5154" s="44" t="s">
        <v>36472</v>
      </c>
      <c r="O5154" s="44" t="str">
        <f>IFERROR(__xludf.DUMMYFUNCTION("GOOGLETRANSLATE(N5154,""EN"",""ES"")"),"Negativo, discutiendo los posibles impactos financieros del impuesto.")</f>
        <v>Negativo, discutiendo los posibles impactos financieros del impuesto.</v>
      </c>
      <c r="P5154" s="30">
        <v>-0.4</v>
      </c>
      <c r="Q5154" s="18" t="str">
        <f>IFERROR(__xludf.DUMMYFUNCTION("GOOGLETRANSLATE(R5154,""ES"",""EN"")"),"imposed")</f>
        <v>imposed</v>
      </c>
      <c r="R5154" s="34" t="s">
        <v>11706</v>
      </c>
      <c r="S5154" s="52" t="s">
        <v>36216</v>
      </c>
      <c r="T5154" s="22" t="s">
        <v>36217</v>
      </c>
    </row>
    <row r="5155">
      <c r="A5155" s="23" t="s">
        <v>36473</v>
      </c>
      <c r="B5155" s="77" t="s">
        <v>977</v>
      </c>
      <c r="C5155" s="96">
        <v>45650.0</v>
      </c>
      <c r="D5155" s="40" t="s">
        <v>36474</v>
      </c>
      <c r="E5155" s="97" t="s">
        <v>36475</v>
      </c>
      <c r="F5155" s="98" t="s">
        <v>36476</v>
      </c>
      <c r="G5155" s="98" t="s">
        <v>36477</v>
      </c>
      <c r="H5155" s="59" t="s">
        <v>395</v>
      </c>
      <c r="I5155" s="25" t="str">
        <f>IFERROR(__xludf.DUMMYFUNCTION("GOOGLETRANSLATE(H5155,""EN"",""ES"")"),"Ambiente")</f>
        <v>Ambiente</v>
      </c>
      <c r="J5155" s="26" t="s">
        <v>35</v>
      </c>
      <c r="K5155" s="48">
        <v>-0.8</v>
      </c>
      <c r="L5155" s="51" t="s">
        <v>36478</v>
      </c>
      <c r="M5155" s="28" t="s">
        <v>36479</v>
      </c>
      <c r="N5155" s="47" t="s">
        <v>36480</v>
      </c>
      <c r="O5155" s="47" t="str">
        <f>IFERROR(__xludf.DUMMYFUNCTION("GOOGLETRANSLATE(N5155,""EN"",""ES"")"),"Negativo, destacando el impacto ambiental y social de un derrame de petróleo.")</f>
        <v>Negativo, destacando el impacto ambiental y social de un derrame de petróleo.</v>
      </c>
      <c r="P5155" s="30">
        <v>-0.8</v>
      </c>
      <c r="Q5155" s="31" t="str">
        <f>IFERROR(__xludf.DUMMYFUNCTION("GOOGLETRANSLATE(R5155,""ES"",""EN"")"),"spill, ""affected""")</f>
        <v>spill, "affected"</v>
      </c>
      <c r="R5155" s="28" t="s">
        <v>36481</v>
      </c>
      <c r="S5155" s="53" t="s">
        <v>36482</v>
      </c>
      <c r="T5155" s="32" t="s">
        <v>36483</v>
      </c>
    </row>
    <row r="5156">
      <c r="A5156" s="33" t="s">
        <v>36484</v>
      </c>
      <c r="B5156" s="76" t="s">
        <v>36485</v>
      </c>
      <c r="C5156" s="99">
        <v>45651.0</v>
      </c>
      <c r="D5156" s="40" t="s">
        <v>36486</v>
      </c>
      <c r="E5156" s="100" t="s">
        <v>36487</v>
      </c>
      <c r="F5156" s="101" t="s">
        <v>36488</v>
      </c>
      <c r="G5156" s="101" t="s">
        <v>36489</v>
      </c>
      <c r="H5156" s="61" t="s">
        <v>33554</v>
      </c>
      <c r="I5156" s="15" t="str">
        <f>IFERROR(__xludf.DUMMYFUNCTION("GOOGLETRANSLATE(H5156,""EN"",""ES"")"),"Alimento")</f>
        <v>Alimento</v>
      </c>
      <c r="J5156" s="16" t="s">
        <v>27</v>
      </c>
      <c r="K5156" s="17">
        <v>0.0</v>
      </c>
      <c r="L5156" s="49"/>
      <c r="M5156" s="18"/>
      <c r="N5156" s="44"/>
      <c r="O5156" s="44"/>
      <c r="P5156" s="20">
        <v>0.0</v>
      </c>
      <c r="Q5156" s="18"/>
      <c r="R5156" s="18"/>
      <c r="S5156" s="52"/>
      <c r="T5156" s="22"/>
    </row>
    <row r="5157">
      <c r="A5157" s="23" t="s">
        <v>36490</v>
      </c>
      <c r="B5157" s="77" t="s">
        <v>9569</v>
      </c>
      <c r="C5157" s="96">
        <v>45651.0</v>
      </c>
      <c r="D5157" s="40" t="s">
        <v>36491</v>
      </c>
      <c r="E5157" s="97" t="s">
        <v>36492</v>
      </c>
      <c r="F5157" s="98" t="s">
        <v>36493</v>
      </c>
      <c r="G5157" s="98" t="s">
        <v>36494</v>
      </c>
      <c r="H5157" s="59" t="s">
        <v>48</v>
      </c>
      <c r="I5157" s="25" t="str">
        <f>IFERROR(__xludf.DUMMYFUNCTION("GOOGLETRANSLATE(H5157,""EN"",""ES"")"),"Finanzas")</f>
        <v>Finanzas</v>
      </c>
      <c r="J5157" s="26" t="s">
        <v>35</v>
      </c>
      <c r="K5157" s="48">
        <v>0.7</v>
      </c>
      <c r="L5157" s="51" t="s">
        <v>36495</v>
      </c>
      <c r="M5157" s="28" t="s">
        <v>36496</v>
      </c>
      <c r="N5157" s="47" t="s">
        <v>36497</v>
      </c>
      <c r="O5157" s="47" t="str">
        <f>IFERROR(__xludf.DUMMYFUNCTION("GOOGLETRANSLATE(N5157,""EN"",""ES"")"),"Positivo, destacando el papel de Repsol en la buena evolución del dividendo.")</f>
        <v>Positivo, destacando el papel de Repsol en la buena evolución del dividendo.</v>
      </c>
      <c r="P5157" s="30">
        <v>0.1</v>
      </c>
      <c r="Q5157" s="31" t="str">
        <f>IFERROR(__xludf.DUMMYFUNCTION("GOOGLETRANSLATE(R5157,""ES"",""EN"")"),"None")</f>
        <v>None</v>
      </c>
      <c r="R5157" s="28" t="s">
        <v>14309</v>
      </c>
      <c r="S5157" s="53" t="s">
        <v>34868</v>
      </c>
      <c r="T5157" s="32" t="s">
        <v>34869</v>
      </c>
    </row>
    <row r="5158">
      <c r="A5158" s="33" t="s">
        <v>36498</v>
      </c>
      <c r="B5158" s="76" t="s">
        <v>103</v>
      </c>
      <c r="C5158" s="99">
        <v>45651.0</v>
      </c>
      <c r="D5158" s="40" t="s">
        <v>36499</v>
      </c>
      <c r="E5158" s="100" t="s">
        <v>36500</v>
      </c>
      <c r="F5158" s="101" t="s">
        <v>36501</v>
      </c>
      <c r="G5158" s="101" t="s">
        <v>36502</v>
      </c>
      <c r="H5158" s="61" t="s">
        <v>395</v>
      </c>
      <c r="I5158" s="15" t="str">
        <f>IFERROR(__xludf.DUMMYFUNCTION("GOOGLETRANSLATE(H5158,""EN"",""ES"")"),"Ambiente")</f>
        <v>Ambiente</v>
      </c>
      <c r="J5158" s="16" t="s">
        <v>27</v>
      </c>
      <c r="K5158" s="17">
        <v>0.0</v>
      </c>
      <c r="L5158" s="49"/>
      <c r="M5158" s="18"/>
      <c r="N5158" s="44"/>
      <c r="O5158" s="44"/>
      <c r="P5158" s="20">
        <v>0.0</v>
      </c>
      <c r="Q5158" s="18"/>
      <c r="R5158" s="18"/>
      <c r="S5158" s="52"/>
      <c r="T5158" s="22"/>
    </row>
    <row r="5159">
      <c r="A5159" s="23" t="s">
        <v>36503</v>
      </c>
      <c r="B5159" s="77" t="s">
        <v>85</v>
      </c>
      <c r="C5159" s="96">
        <v>45651.0</v>
      </c>
      <c r="D5159" s="40" t="s">
        <v>36504</v>
      </c>
      <c r="E5159" s="97" t="s">
        <v>36505</v>
      </c>
      <c r="F5159" s="98" t="s">
        <v>36506</v>
      </c>
      <c r="G5159" s="98" t="s">
        <v>36507</v>
      </c>
      <c r="H5159" s="59" t="s">
        <v>33554</v>
      </c>
      <c r="I5159" s="25" t="str">
        <f>IFERROR(__xludf.DUMMYFUNCTION("GOOGLETRANSLATE(H5159,""EN"",""ES"")"),"Alimento")</f>
        <v>Alimento</v>
      </c>
      <c r="J5159" s="26" t="s">
        <v>27</v>
      </c>
      <c r="K5159" s="17">
        <v>0.0</v>
      </c>
      <c r="L5159" s="51"/>
      <c r="M5159" s="31"/>
      <c r="N5159" s="47"/>
      <c r="O5159" s="47"/>
      <c r="P5159" s="20">
        <v>0.0</v>
      </c>
      <c r="Q5159" s="31"/>
      <c r="R5159" s="31"/>
      <c r="S5159" s="53"/>
      <c r="T5159" s="32"/>
    </row>
    <row r="5160">
      <c r="A5160" s="33" t="s">
        <v>36508</v>
      </c>
      <c r="B5160" s="76" t="s">
        <v>36509</v>
      </c>
      <c r="C5160" s="99">
        <v>45651.0</v>
      </c>
      <c r="D5160" s="40" t="s">
        <v>36510</v>
      </c>
      <c r="E5160" s="100" t="s">
        <v>36511</v>
      </c>
      <c r="F5160" s="101" t="s">
        <v>36512</v>
      </c>
      <c r="G5160" s="101" t="s">
        <v>36513</v>
      </c>
      <c r="H5160" s="61" t="s">
        <v>3985</v>
      </c>
      <c r="I5160" s="15" t="str">
        <f>IFERROR(__xludf.DUMMYFUNCTION("GOOGLETRANSLATE(H5160,""EN"",""ES"")"),"Deportes")</f>
        <v>Deportes</v>
      </c>
      <c r="J5160" s="16" t="s">
        <v>27</v>
      </c>
      <c r="K5160" s="17">
        <v>0.0</v>
      </c>
      <c r="L5160" s="49"/>
      <c r="M5160" s="18"/>
      <c r="N5160" s="44"/>
      <c r="O5160" s="44"/>
      <c r="P5160" s="20">
        <v>0.0</v>
      </c>
      <c r="Q5160" s="18"/>
      <c r="R5160" s="18"/>
      <c r="S5160" s="52"/>
      <c r="T5160" s="22"/>
    </row>
    <row r="5161">
      <c r="A5161" s="23" t="s">
        <v>36514</v>
      </c>
      <c r="B5161" s="77" t="s">
        <v>6496</v>
      </c>
      <c r="C5161" s="96">
        <v>45651.0</v>
      </c>
      <c r="D5161" s="40" t="s">
        <v>36515</v>
      </c>
      <c r="E5161" s="97" t="s">
        <v>36516</v>
      </c>
      <c r="F5161" s="98" t="s">
        <v>36517</v>
      </c>
      <c r="G5161" s="98" t="s">
        <v>36518</v>
      </c>
      <c r="H5161" s="59" t="s">
        <v>1975</v>
      </c>
      <c r="I5161" s="25" t="str">
        <f>IFERROR(__xludf.DUMMYFUNCTION("GOOGLETRANSLATE(H5161,""EN"",""ES"")"),"Política")</f>
        <v>Política</v>
      </c>
      <c r="J5161" s="26" t="s">
        <v>35</v>
      </c>
      <c r="K5161" s="48">
        <v>-0.7</v>
      </c>
      <c r="L5161" s="51" t="s">
        <v>36519</v>
      </c>
      <c r="M5161" s="28" t="s">
        <v>36520</v>
      </c>
      <c r="N5161" s="47" t="s">
        <v>36521</v>
      </c>
      <c r="O5161" s="47" t="str">
        <f>IFERROR(__xludf.DUMMYFUNCTION("GOOGLETRANSLATE(N5161,""EN"",""ES"")"),"Negativo, discutiendo el impacto de los nuevos impuestos sobre las inversiones.")</f>
        <v>Negativo, discutiendo el impacto de los nuevos impuestos sobre las inversiones.</v>
      </c>
      <c r="P5161" s="30">
        <v>-0.5</v>
      </c>
      <c r="Q5161" s="31" t="str">
        <f>IFERROR(__xludf.DUMMYFUNCTION("GOOGLETRANSLATE(R5161,""ES"",""EN"")"),"rate, ""danger""")</f>
        <v>rate, "danger"</v>
      </c>
      <c r="R5161" s="28" t="s">
        <v>36522</v>
      </c>
      <c r="S5161" s="53" t="s">
        <v>36523</v>
      </c>
      <c r="T5161" s="32" t="s">
        <v>36524</v>
      </c>
    </row>
    <row r="5162">
      <c r="A5162" s="33" t="s">
        <v>36525</v>
      </c>
      <c r="B5162" s="76" t="s">
        <v>1142</v>
      </c>
      <c r="C5162" s="99">
        <v>45652.0</v>
      </c>
      <c r="D5162" s="40" t="s">
        <v>36526</v>
      </c>
      <c r="E5162" s="100" t="s">
        <v>36527</v>
      </c>
      <c r="F5162" s="101" t="s">
        <v>36528</v>
      </c>
      <c r="G5162" s="101" t="s">
        <v>36529</v>
      </c>
      <c r="H5162" s="61" t="s">
        <v>1975</v>
      </c>
      <c r="I5162" s="15" t="str">
        <f>IFERROR(__xludf.DUMMYFUNCTION("GOOGLETRANSLATE(H5162,""EN"",""ES"")"),"Política")</f>
        <v>Política</v>
      </c>
      <c r="J5162" s="16" t="s">
        <v>27</v>
      </c>
      <c r="K5162" s="17">
        <v>0.0</v>
      </c>
      <c r="L5162" s="49"/>
      <c r="M5162" s="18"/>
      <c r="N5162" s="44"/>
      <c r="O5162" s="44"/>
      <c r="P5162" s="20">
        <v>0.0</v>
      </c>
      <c r="Q5162" s="18"/>
      <c r="R5162" s="18"/>
      <c r="S5162" s="52"/>
      <c r="T5162" s="22"/>
    </row>
    <row r="5163">
      <c r="A5163" s="23" t="s">
        <v>36530</v>
      </c>
      <c r="B5163" s="77" t="s">
        <v>339</v>
      </c>
      <c r="C5163" s="96">
        <v>45652.0</v>
      </c>
      <c r="D5163" s="40" t="s">
        <v>36531</v>
      </c>
      <c r="E5163" s="97" t="s">
        <v>36532</v>
      </c>
      <c r="F5163" s="98" t="s">
        <v>36533</v>
      </c>
      <c r="G5163" s="98" t="s">
        <v>36534</v>
      </c>
      <c r="H5163" s="59" t="s">
        <v>36201</v>
      </c>
      <c r="I5163" s="25" t="str">
        <f>IFERROR(__xludf.DUMMYFUNCTION("GOOGLETRANSLATE(H5163,""EN"",""ES"")"),"Social")</f>
        <v>Social</v>
      </c>
      <c r="J5163" s="26" t="s">
        <v>35</v>
      </c>
      <c r="K5163" s="48">
        <v>0.8</v>
      </c>
      <c r="L5163" s="51" t="s">
        <v>36535</v>
      </c>
      <c r="M5163" s="28" t="s">
        <v>36536</v>
      </c>
      <c r="N5163" s="47" t="s">
        <v>36537</v>
      </c>
      <c r="O5163" s="47" t="str">
        <f>IFERROR(__xludf.DUMMYFUNCTION("GOOGLETRANSLATE(N5163,""EN"",""ES"")"),"Positivo, mostrando una iniciativa comunitaria para ayudar a los afectados por DANA.")</f>
        <v>Positivo, mostrando una iniciativa comunitaria para ayudar a los afectados por DANA.</v>
      </c>
      <c r="P5163" s="30">
        <v>0.5</v>
      </c>
      <c r="Q5163" s="31" t="str">
        <f>IFERROR(__xludf.DUMMYFUNCTION("GOOGLETRANSLATE(R5163,""ES"",""EN"")"),"support")</f>
        <v>support</v>
      </c>
      <c r="R5163" s="28" t="s">
        <v>36538</v>
      </c>
      <c r="S5163" s="53" t="s">
        <v>36539</v>
      </c>
      <c r="T5163" s="32" t="s">
        <v>36540</v>
      </c>
    </row>
    <row r="5164">
      <c r="A5164" s="33" t="s">
        <v>36541</v>
      </c>
      <c r="B5164" s="76" t="s">
        <v>43</v>
      </c>
      <c r="C5164" s="99">
        <v>45652.0</v>
      </c>
      <c r="D5164" s="40" t="s">
        <v>36542</v>
      </c>
      <c r="E5164" s="100" t="s">
        <v>36543</v>
      </c>
      <c r="F5164" s="101" t="s">
        <v>36544</v>
      </c>
      <c r="G5164" s="101" t="s">
        <v>36545</v>
      </c>
      <c r="H5164" s="61" t="s">
        <v>2591</v>
      </c>
      <c r="I5164" s="15" t="str">
        <f>IFERROR(__xludf.DUMMYFUNCTION("GOOGLETRANSLATE(H5164,""EN"",""ES"")"),"Negocio")</f>
        <v>Negocio</v>
      </c>
      <c r="J5164" s="16" t="s">
        <v>35</v>
      </c>
      <c r="K5164" s="48">
        <v>-0.7</v>
      </c>
      <c r="L5164" s="49" t="s">
        <v>36546</v>
      </c>
      <c r="M5164" s="34" t="s">
        <v>36547</v>
      </c>
      <c r="N5164" s="44" t="s">
        <v>36548</v>
      </c>
      <c r="O5164" s="44" t="str">
        <f>IFERROR(__xludf.DUMMYFUNCTION("GOOGLETRANSLATE(N5164,""EN"",""ES"")"),"Negativo, discutiendo la carga financiera del nuevo impuesto.")</f>
        <v>Negativo, discutiendo la carga financiera del nuevo impuesto.</v>
      </c>
      <c r="P5164" s="30">
        <v>-0.4</v>
      </c>
      <c r="Q5164" s="18" t="str">
        <f>IFERROR(__xludf.DUMMYFUNCTION("GOOGLETRANSLATE(R5164,""ES"",""EN"")"),"imposed")</f>
        <v>imposed</v>
      </c>
      <c r="R5164" s="34" t="s">
        <v>11706</v>
      </c>
      <c r="S5164" s="52" t="s">
        <v>36549</v>
      </c>
      <c r="T5164" s="22" t="s">
        <v>36550</v>
      </c>
    </row>
    <row r="5165">
      <c r="A5165" s="23" t="s">
        <v>36551</v>
      </c>
      <c r="B5165" s="77" t="s">
        <v>36552</v>
      </c>
      <c r="C5165" s="96">
        <v>45652.0</v>
      </c>
      <c r="D5165" s="40" t="s">
        <v>36553</v>
      </c>
      <c r="E5165" s="97" t="s">
        <v>36554</v>
      </c>
      <c r="F5165" s="98" t="s">
        <v>36555</v>
      </c>
      <c r="G5165" s="98" t="s">
        <v>36556</v>
      </c>
      <c r="H5165" s="59" t="s">
        <v>2656</v>
      </c>
      <c r="I5165" s="25" t="str">
        <f>IFERROR(__xludf.DUMMYFUNCTION("GOOGLETRANSLATE(H5165,""EN"",""ES"")"),"Innovación")</f>
        <v>Innovación</v>
      </c>
      <c r="J5165" s="26" t="s">
        <v>27</v>
      </c>
      <c r="K5165" s="17">
        <v>0.0</v>
      </c>
      <c r="L5165" s="51"/>
      <c r="M5165" s="31"/>
      <c r="N5165" s="47"/>
      <c r="O5165" s="47"/>
      <c r="P5165" s="20">
        <v>0.0</v>
      </c>
      <c r="Q5165" s="31"/>
      <c r="R5165" s="31"/>
      <c r="S5165" s="53"/>
      <c r="T5165" s="32"/>
    </row>
    <row r="5166">
      <c r="A5166" s="33" t="s">
        <v>36557</v>
      </c>
      <c r="B5166" s="76" t="s">
        <v>4450</v>
      </c>
      <c r="C5166" s="99">
        <v>45652.0</v>
      </c>
      <c r="D5166" s="40" t="s">
        <v>36558</v>
      </c>
      <c r="E5166" s="100" t="s">
        <v>36559</v>
      </c>
      <c r="F5166" s="101" t="s">
        <v>36560</v>
      </c>
      <c r="G5166" s="106" t="s">
        <v>36561</v>
      </c>
      <c r="H5166" s="61" t="s">
        <v>36201</v>
      </c>
      <c r="I5166" s="15" t="str">
        <f>IFERROR(__xludf.DUMMYFUNCTION("GOOGLETRANSLATE(H5166,""EN"",""ES"")"),"Social")</f>
        <v>Social</v>
      </c>
      <c r="J5166" s="16" t="s">
        <v>27</v>
      </c>
      <c r="K5166" s="17">
        <v>0.0</v>
      </c>
      <c r="L5166" s="49"/>
      <c r="M5166" s="18"/>
      <c r="N5166" s="44"/>
      <c r="O5166" s="44"/>
      <c r="P5166" s="20">
        <v>0.0</v>
      </c>
      <c r="Q5166" s="18"/>
      <c r="R5166" s="18"/>
      <c r="S5166" s="52"/>
      <c r="T5166" s="22"/>
    </row>
    <row r="5167">
      <c r="A5167" s="23" t="s">
        <v>36562</v>
      </c>
      <c r="B5167" s="77" t="s">
        <v>2696</v>
      </c>
      <c r="C5167" s="96">
        <v>45652.0</v>
      </c>
      <c r="D5167" s="40" t="s">
        <v>36563</v>
      </c>
      <c r="E5167" s="97" t="s">
        <v>36564</v>
      </c>
      <c r="F5167" s="107" t="s">
        <v>36565</v>
      </c>
      <c r="G5167" s="98" t="s">
        <v>36566</v>
      </c>
      <c r="H5167" s="59" t="s">
        <v>8369</v>
      </c>
      <c r="I5167" s="25" t="str">
        <f>IFERROR(__xludf.DUMMYFUNCTION("GOOGLETRANSLATE(H5167,""EN"",""ES"")"),"Medios de comunicación")</f>
        <v>Medios de comunicación</v>
      </c>
      <c r="J5167" s="26" t="s">
        <v>27</v>
      </c>
      <c r="K5167" s="17">
        <v>0.0</v>
      </c>
      <c r="L5167" s="51"/>
      <c r="M5167" s="31"/>
      <c r="N5167" s="47"/>
      <c r="O5167" s="47"/>
      <c r="P5167" s="20">
        <v>0.0</v>
      </c>
      <c r="Q5167" s="31"/>
      <c r="R5167" s="31"/>
      <c r="S5167" s="53"/>
      <c r="T5167" s="32"/>
    </row>
    <row r="5168">
      <c r="A5168" s="33" t="s">
        <v>36567</v>
      </c>
      <c r="B5168" s="76" t="s">
        <v>10492</v>
      </c>
      <c r="C5168" s="99">
        <v>45652.0</v>
      </c>
      <c r="D5168" s="40" t="s">
        <v>36568</v>
      </c>
      <c r="E5168" s="100" t="s">
        <v>36569</v>
      </c>
      <c r="F5168" s="101" t="s">
        <v>36570</v>
      </c>
      <c r="G5168" s="101" t="s">
        <v>36571</v>
      </c>
      <c r="H5168" s="61" t="s">
        <v>782</v>
      </c>
      <c r="I5168" s="15" t="str">
        <f>IFERROR(__xludf.DUMMYFUNCTION("GOOGLETRANSLATE(H5168,""EN"",""ES"")"),"Tecnología")</f>
        <v>Tecnología</v>
      </c>
      <c r="J5168" s="16" t="s">
        <v>35</v>
      </c>
      <c r="K5168" s="48">
        <v>0.7</v>
      </c>
      <c r="L5168" s="49" t="s">
        <v>36572</v>
      </c>
      <c r="M5168" s="34" t="s">
        <v>36573</v>
      </c>
      <c r="N5168" s="44" t="s">
        <v>36574</v>
      </c>
      <c r="O5168" s="44" t="str">
        <f>IFERROR(__xludf.DUMMYFUNCTION("GOOGLETRANSLATE(N5168,""EN"",""ES"")"),"Positivo, mostrando innovación con integración robótica en Petronor.")</f>
        <v>Positivo, mostrando innovación con integración robótica en Petronor.</v>
      </c>
      <c r="P5168" s="30">
        <v>0.2</v>
      </c>
      <c r="Q5168" s="18" t="str">
        <f>IFERROR(__xludf.DUMMYFUNCTION("GOOGLETRANSLATE(R5168,""ES"",""EN"")"),"None")</f>
        <v>None</v>
      </c>
      <c r="R5168" s="34" t="s">
        <v>14309</v>
      </c>
      <c r="S5168" s="52" t="s">
        <v>36575</v>
      </c>
      <c r="T5168" s="22" t="s">
        <v>36576</v>
      </c>
    </row>
    <row r="5169">
      <c r="A5169" s="23" t="s">
        <v>36577</v>
      </c>
      <c r="B5169" s="77" t="s">
        <v>125</v>
      </c>
      <c r="C5169" s="96">
        <v>45652.0</v>
      </c>
      <c r="D5169" s="40" t="s">
        <v>36578</v>
      </c>
      <c r="E5169" s="97" t="s">
        <v>36579</v>
      </c>
      <c r="F5169" s="107" t="s">
        <v>36580</v>
      </c>
      <c r="G5169" s="98" t="s">
        <v>36581</v>
      </c>
      <c r="H5169" s="59" t="s">
        <v>36201</v>
      </c>
      <c r="I5169" s="25" t="str">
        <f>IFERROR(__xludf.DUMMYFUNCTION("GOOGLETRANSLATE(H5169,""EN"",""ES"")"),"Social")</f>
        <v>Social</v>
      </c>
      <c r="J5169" s="26" t="s">
        <v>27</v>
      </c>
      <c r="K5169" s="17">
        <v>0.0</v>
      </c>
      <c r="L5169" s="51"/>
      <c r="M5169" s="31"/>
      <c r="N5169" s="47"/>
      <c r="O5169" s="47"/>
      <c r="P5169" s="20">
        <v>0.0</v>
      </c>
      <c r="Q5169" s="31"/>
      <c r="R5169" s="31"/>
      <c r="S5169" s="53"/>
      <c r="T5169" s="32"/>
    </row>
    <row r="5170">
      <c r="A5170" s="33" t="s">
        <v>36582</v>
      </c>
      <c r="B5170" s="76" t="s">
        <v>952</v>
      </c>
      <c r="C5170" s="99">
        <v>45652.0</v>
      </c>
      <c r="D5170" s="40" t="s">
        <v>36583</v>
      </c>
      <c r="E5170" s="100" t="s">
        <v>36584</v>
      </c>
      <c r="F5170" s="101" t="s">
        <v>36585</v>
      </c>
      <c r="G5170" s="101" t="s">
        <v>36586</v>
      </c>
      <c r="H5170" s="61" t="s">
        <v>36201</v>
      </c>
      <c r="I5170" s="15" t="str">
        <f>IFERROR(__xludf.DUMMYFUNCTION("GOOGLETRANSLATE(H5170,""EN"",""ES"")"),"Social")</f>
        <v>Social</v>
      </c>
      <c r="J5170" s="16" t="s">
        <v>27</v>
      </c>
      <c r="K5170" s="17">
        <v>0.0</v>
      </c>
      <c r="L5170" s="49"/>
      <c r="M5170" s="18"/>
      <c r="N5170" s="44"/>
      <c r="O5170" s="44"/>
      <c r="P5170" s="20">
        <v>0.0</v>
      </c>
      <c r="Q5170" s="18"/>
      <c r="R5170" s="18"/>
      <c r="S5170" s="52"/>
      <c r="T5170" s="22"/>
    </row>
    <row r="5171">
      <c r="A5171" s="23" t="s">
        <v>36587</v>
      </c>
      <c r="B5171" s="77" t="s">
        <v>674</v>
      </c>
      <c r="C5171" s="96">
        <v>45653.0</v>
      </c>
      <c r="D5171" s="40" t="s">
        <v>36588</v>
      </c>
      <c r="E5171" s="97" t="s">
        <v>36589</v>
      </c>
      <c r="F5171" s="98" t="s">
        <v>36590</v>
      </c>
      <c r="G5171" s="98" t="s">
        <v>36591</v>
      </c>
      <c r="H5171" s="59" t="s">
        <v>2591</v>
      </c>
      <c r="I5171" s="25" t="str">
        <f>IFERROR(__xludf.DUMMYFUNCTION("GOOGLETRANSLATE(H5171,""EN"",""ES"")"),"Negocio")</f>
        <v>Negocio</v>
      </c>
      <c r="J5171" s="26" t="s">
        <v>35</v>
      </c>
      <c r="K5171" s="48">
        <v>-0.6</v>
      </c>
      <c r="L5171" s="51" t="s">
        <v>36592</v>
      </c>
      <c r="M5171" s="28" t="s">
        <v>36593</v>
      </c>
      <c r="N5171" s="47" t="s">
        <v>36594</v>
      </c>
      <c r="O5171" s="47" t="str">
        <f>IFERROR(__xludf.DUMMYFUNCTION("GOOGLETRANSLATE(N5171,""EN"",""ES"")"),"Negativo, indicando competencia de Cepsa frente a Repsol.")</f>
        <v>Negativo, indicando competencia de Cepsa frente a Repsol.</v>
      </c>
      <c r="P5171" s="30">
        <v>-0.3</v>
      </c>
      <c r="Q5171" s="31" t="str">
        <f>IFERROR(__xludf.DUMMYFUNCTION("GOOGLETRANSLATE(R5171,""ES"",""EN"")"),"unseat")</f>
        <v>unseat</v>
      </c>
      <c r="R5171" s="28" t="s">
        <v>36595</v>
      </c>
      <c r="S5171" s="53" t="s">
        <v>36596</v>
      </c>
      <c r="T5171" s="32" t="s">
        <v>36597</v>
      </c>
    </row>
    <row r="5172">
      <c r="A5172" s="33" t="s">
        <v>36598</v>
      </c>
      <c r="B5172" s="76" t="s">
        <v>21</v>
      </c>
      <c r="C5172" s="99">
        <v>45653.0</v>
      </c>
      <c r="D5172" s="40" t="s">
        <v>36599</v>
      </c>
      <c r="E5172" s="100" t="s">
        <v>36600</v>
      </c>
      <c r="F5172" s="101" t="s">
        <v>36601</v>
      </c>
      <c r="G5172" s="101" t="s">
        <v>36602</v>
      </c>
      <c r="H5172" s="61" t="s">
        <v>33554</v>
      </c>
      <c r="I5172" s="15" t="str">
        <f>IFERROR(__xludf.DUMMYFUNCTION("GOOGLETRANSLATE(H5172,""EN"",""ES"")"),"Alimento")</f>
        <v>Alimento</v>
      </c>
      <c r="J5172" s="16" t="s">
        <v>27</v>
      </c>
      <c r="K5172" s="17">
        <v>0.0</v>
      </c>
      <c r="L5172" s="49"/>
      <c r="M5172" s="18"/>
      <c r="N5172" s="44"/>
      <c r="O5172" s="44"/>
      <c r="P5172" s="20">
        <v>0.0</v>
      </c>
      <c r="Q5172" s="18"/>
      <c r="R5172" s="18"/>
      <c r="S5172" s="52"/>
      <c r="T5172" s="22"/>
    </row>
    <row r="5173">
      <c r="A5173" s="23" t="s">
        <v>36603</v>
      </c>
      <c r="B5173" s="77" t="s">
        <v>403</v>
      </c>
      <c r="C5173" s="96">
        <v>45653.0</v>
      </c>
      <c r="D5173" s="40" t="s">
        <v>36604</v>
      </c>
      <c r="E5173" s="97" t="s">
        <v>36605</v>
      </c>
      <c r="F5173" s="98" t="s">
        <v>36606</v>
      </c>
      <c r="G5173" s="98" t="s">
        <v>36607</v>
      </c>
      <c r="H5173" s="59" t="s">
        <v>395</v>
      </c>
      <c r="I5173" s="25" t="str">
        <f>IFERROR(__xludf.DUMMYFUNCTION("GOOGLETRANSLATE(H5173,""EN"",""ES"")"),"Ambiente")</f>
        <v>Ambiente</v>
      </c>
      <c r="J5173" s="26" t="s">
        <v>35</v>
      </c>
      <c r="K5173" s="48">
        <v>0.8</v>
      </c>
      <c r="L5173" s="51" t="s">
        <v>36608</v>
      </c>
      <c r="M5173" s="28" t="s">
        <v>36609</v>
      </c>
      <c r="N5173" s="47" t="s">
        <v>36610</v>
      </c>
      <c r="O5173" s="47" t="str">
        <f>IFERROR(__xludf.DUMMYFUNCTION("GOOGLETRANSLATE(N5173,""EN"",""ES"")"),"Positivo, mostrando importantes inversiones en energías renovables.")</f>
        <v>Positivo, mostrando importantes inversiones en energías renovables.</v>
      </c>
      <c r="P5173" s="30">
        <v>0.4</v>
      </c>
      <c r="Q5173" s="31" t="str">
        <f>IFERROR(__xludf.DUMMYFUNCTION("GOOGLETRANSLATE(R5173,""ES"",""EN"")"),"None")</f>
        <v>None</v>
      </c>
      <c r="R5173" s="28" t="s">
        <v>14309</v>
      </c>
      <c r="S5173" s="53" t="s">
        <v>36611</v>
      </c>
      <c r="T5173" s="32" t="s">
        <v>36612</v>
      </c>
    </row>
    <row r="5174">
      <c r="A5174" s="33" t="s">
        <v>36613</v>
      </c>
      <c r="B5174" s="76" t="s">
        <v>25224</v>
      </c>
      <c r="C5174" s="99">
        <v>45653.0</v>
      </c>
      <c r="D5174" s="40" t="s">
        <v>36614</v>
      </c>
      <c r="E5174" s="100" t="s">
        <v>36615</v>
      </c>
      <c r="F5174" s="101" t="s">
        <v>36616</v>
      </c>
      <c r="G5174" s="101" t="s">
        <v>36617</v>
      </c>
      <c r="H5174" s="61" t="s">
        <v>3985</v>
      </c>
      <c r="I5174" s="15" t="str">
        <f>IFERROR(__xludf.DUMMYFUNCTION("GOOGLETRANSLATE(H5174,""EN"",""ES"")"),"Deportes")</f>
        <v>Deportes</v>
      </c>
      <c r="J5174" s="16" t="s">
        <v>27</v>
      </c>
      <c r="K5174" s="17">
        <v>0.0</v>
      </c>
      <c r="L5174" s="49"/>
      <c r="M5174" s="18"/>
      <c r="N5174" s="44"/>
      <c r="O5174" s="44"/>
      <c r="P5174" s="20">
        <v>0.0</v>
      </c>
      <c r="Q5174" s="18"/>
      <c r="R5174" s="18"/>
      <c r="S5174" s="52"/>
      <c r="T5174" s="22"/>
    </row>
    <row r="5175">
      <c r="A5175" s="23" t="s">
        <v>36618</v>
      </c>
      <c r="B5175" s="77" t="s">
        <v>8029</v>
      </c>
      <c r="C5175" s="96">
        <v>45653.0</v>
      </c>
      <c r="D5175" s="40" t="s">
        <v>36619</v>
      </c>
      <c r="E5175" s="97" t="s">
        <v>36620</v>
      </c>
      <c r="F5175" s="98" t="s">
        <v>36621</v>
      </c>
      <c r="G5175" s="98" t="s">
        <v>36622</v>
      </c>
      <c r="H5175" s="59" t="s">
        <v>2591</v>
      </c>
      <c r="I5175" s="25" t="str">
        <f>IFERROR(__xludf.DUMMYFUNCTION("GOOGLETRANSLATE(H5175,""EN"",""ES"")"),"Negocio")</f>
        <v>Negocio</v>
      </c>
      <c r="J5175" s="26" t="s">
        <v>35</v>
      </c>
      <c r="K5175" s="48">
        <v>0.6</v>
      </c>
      <c r="L5175" s="51" t="s">
        <v>36092</v>
      </c>
      <c r="M5175" s="28" t="s">
        <v>36093</v>
      </c>
      <c r="N5175" s="47" t="s">
        <v>36451</v>
      </c>
      <c r="O5175" s="47" t="str">
        <f>IFERROR(__xludf.DUMMYFUNCTION("GOOGLETRANSLATE(N5175,""EN"",""ES"")"),"Neutral, facilitando datos bursátiles de Repsol.")</f>
        <v>Neutral, facilitando datos bursátiles de Repsol.</v>
      </c>
      <c r="P5175" s="30">
        <v>0.0</v>
      </c>
      <c r="Q5175" s="31"/>
      <c r="R5175" s="31"/>
      <c r="S5175" s="53" t="s">
        <v>34868</v>
      </c>
      <c r="T5175" s="32" t="s">
        <v>34869</v>
      </c>
    </row>
    <row r="5176">
      <c r="A5176" s="33" t="s">
        <v>36623</v>
      </c>
      <c r="B5176" s="76" t="s">
        <v>4190</v>
      </c>
      <c r="C5176" s="99">
        <v>45653.0</v>
      </c>
      <c r="D5176" s="40" t="s">
        <v>36624</v>
      </c>
      <c r="E5176" s="100" t="s">
        <v>36625</v>
      </c>
      <c r="F5176" s="101" t="s">
        <v>36626</v>
      </c>
      <c r="G5176" s="101" t="s">
        <v>36627</v>
      </c>
      <c r="H5176" s="61" t="s">
        <v>3985</v>
      </c>
      <c r="I5176" s="15" t="str">
        <f>IFERROR(__xludf.DUMMYFUNCTION("GOOGLETRANSLATE(H5176,""EN"",""ES"")"),"Deportes")</f>
        <v>Deportes</v>
      </c>
      <c r="J5176" s="16" t="s">
        <v>35</v>
      </c>
      <c r="K5176" s="48">
        <v>0.9</v>
      </c>
      <c r="L5176" s="49" t="s">
        <v>36628</v>
      </c>
      <c r="M5176" s="34" t="s">
        <v>36629</v>
      </c>
      <c r="N5176" s="44" t="s">
        <v>36630</v>
      </c>
      <c r="O5176" s="44" t="str">
        <f>IFERROR(__xludf.DUMMYFUNCTION("GOOGLETRANSLATE(N5176,""EN"",""ES"")"),"Positivo, fomentando la innovación en la carrera Dakar.")</f>
        <v>Positivo, fomentando la innovación en la carrera Dakar.</v>
      </c>
      <c r="P5176" s="30">
        <v>0.3</v>
      </c>
      <c r="Q5176" s="18" t="str">
        <f>IFERROR(__xludf.DUMMYFUNCTION("GOOGLETRANSLATE(R5176,""ES"",""EN"")"),"None")</f>
        <v>None</v>
      </c>
      <c r="R5176" s="34" t="s">
        <v>14309</v>
      </c>
      <c r="S5176" s="52" t="s">
        <v>22842</v>
      </c>
      <c r="T5176" s="22" t="s">
        <v>22843</v>
      </c>
    </row>
    <row r="5177">
      <c r="A5177" s="23" t="s">
        <v>36631</v>
      </c>
      <c r="B5177" s="77" t="s">
        <v>1568</v>
      </c>
      <c r="C5177" s="96">
        <v>45653.0</v>
      </c>
      <c r="D5177" s="40" t="s">
        <v>36632</v>
      </c>
      <c r="E5177" s="97" t="s">
        <v>36633</v>
      </c>
      <c r="F5177" s="98" t="s">
        <v>36634</v>
      </c>
      <c r="G5177" s="98" t="s">
        <v>36635</v>
      </c>
      <c r="H5177" s="59" t="s">
        <v>33554</v>
      </c>
      <c r="I5177" s="25" t="str">
        <f>IFERROR(__xludf.DUMMYFUNCTION("GOOGLETRANSLATE(H5177,""EN"",""ES"")"),"Alimento")</f>
        <v>Alimento</v>
      </c>
      <c r="J5177" s="26" t="s">
        <v>27</v>
      </c>
      <c r="K5177" s="17">
        <v>0.0</v>
      </c>
      <c r="L5177" s="51"/>
      <c r="M5177" s="31"/>
      <c r="N5177" s="47"/>
      <c r="O5177" s="47"/>
      <c r="P5177" s="20">
        <v>0.0</v>
      </c>
      <c r="Q5177" s="31"/>
      <c r="R5177" s="31"/>
      <c r="S5177" s="53"/>
      <c r="T5177" s="32"/>
    </row>
    <row r="5178">
      <c r="A5178" s="33" t="s">
        <v>36636</v>
      </c>
      <c r="B5178" s="76" t="s">
        <v>50</v>
      </c>
      <c r="C5178" s="99">
        <v>45653.0</v>
      </c>
      <c r="D5178" s="40" t="s">
        <v>36637</v>
      </c>
      <c r="E5178" s="100" t="s">
        <v>36638</v>
      </c>
      <c r="F5178" s="101" t="s">
        <v>36639</v>
      </c>
      <c r="G5178" s="101" t="s">
        <v>36640</v>
      </c>
      <c r="H5178" s="61" t="s">
        <v>3985</v>
      </c>
      <c r="I5178" s="15" t="str">
        <f>IFERROR(__xludf.DUMMYFUNCTION("GOOGLETRANSLATE(H5178,""EN"",""ES"")"),"Deportes")</f>
        <v>Deportes</v>
      </c>
      <c r="J5178" s="16" t="s">
        <v>27</v>
      </c>
      <c r="K5178" s="17">
        <v>0.0</v>
      </c>
      <c r="L5178" s="49"/>
      <c r="M5178" s="18"/>
      <c r="N5178" s="44"/>
      <c r="O5178" s="44"/>
      <c r="P5178" s="20">
        <v>0.0</v>
      </c>
      <c r="Q5178" s="18"/>
      <c r="R5178" s="18"/>
      <c r="S5178" s="52"/>
      <c r="T5178" s="22"/>
    </row>
    <row r="5179">
      <c r="A5179" s="23" t="s">
        <v>36641</v>
      </c>
      <c r="B5179" s="77" t="s">
        <v>4151</v>
      </c>
      <c r="C5179" s="96">
        <v>45653.0</v>
      </c>
      <c r="D5179" s="40" t="s">
        <v>36642</v>
      </c>
      <c r="E5179" s="97" t="s">
        <v>36643</v>
      </c>
      <c r="F5179" s="98" t="s">
        <v>36644</v>
      </c>
      <c r="G5179" s="98" t="s">
        <v>36645</v>
      </c>
      <c r="H5179" s="59" t="s">
        <v>3985</v>
      </c>
      <c r="I5179" s="25" t="str">
        <f>IFERROR(__xludf.DUMMYFUNCTION("GOOGLETRANSLATE(H5179,""EN"",""ES"")"),"Deportes")</f>
        <v>Deportes</v>
      </c>
      <c r="J5179" s="26" t="s">
        <v>35</v>
      </c>
      <c r="K5179" s="48">
        <v>-0.7</v>
      </c>
      <c r="L5179" s="51" t="s">
        <v>36646</v>
      </c>
      <c r="M5179" s="28" t="s">
        <v>36647</v>
      </c>
      <c r="N5179" s="47" t="s">
        <v>36648</v>
      </c>
      <c r="O5179" s="47" t="str">
        <f>IFERROR(__xludf.DUMMYFUNCTION("GOOGLETRANSLATE(N5179,""EN"",""ES"")"),"Negativo, que marca el final de una asociación de larga data.")</f>
        <v>Negativo, que marca el final de una asociación de larga data.</v>
      </c>
      <c r="P5179" s="30">
        <v>-0.2</v>
      </c>
      <c r="Q5179" s="31" t="str">
        <f>IFERROR(__xludf.DUMMYFUNCTION("GOOGLETRANSLATE(R5179,""ES"",""EN"")"),"None")</f>
        <v>None</v>
      </c>
      <c r="R5179" s="28" t="s">
        <v>14309</v>
      </c>
      <c r="S5179" s="53" t="s">
        <v>36649</v>
      </c>
      <c r="T5179" s="32" t="s">
        <v>36650</v>
      </c>
    </row>
    <row r="5180">
      <c r="A5180" s="33" t="s">
        <v>36651</v>
      </c>
      <c r="B5180" s="76" t="s">
        <v>74</v>
      </c>
      <c r="C5180" s="99">
        <v>45653.0</v>
      </c>
      <c r="D5180" s="40" t="s">
        <v>36652</v>
      </c>
      <c r="E5180" s="100" t="s">
        <v>36653</v>
      </c>
      <c r="F5180" s="101" t="s">
        <v>36654</v>
      </c>
      <c r="G5180" s="101" t="s">
        <v>36655</v>
      </c>
      <c r="H5180" s="61" t="s">
        <v>8369</v>
      </c>
      <c r="I5180" s="15" t="str">
        <f>IFERROR(__xludf.DUMMYFUNCTION("GOOGLETRANSLATE(H5180,""EN"",""ES"")"),"Medios de comunicación")</f>
        <v>Medios de comunicación</v>
      </c>
      <c r="J5180" s="16" t="s">
        <v>27</v>
      </c>
      <c r="K5180" s="17">
        <v>0.0</v>
      </c>
      <c r="L5180" s="49"/>
      <c r="M5180" s="18"/>
      <c r="N5180" s="44"/>
      <c r="O5180" s="44"/>
      <c r="P5180" s="20">
        <v>0.0</v>
      </c>
      <c r="Q5180" s="18"/>
      <c r="R5180" s="18"/>
      <c r="S5180" s="52"/>
      <c r="T5180" s="22"/>
    </row>
    <row r="5181">
      <c r="A5181" s="23" t="s">
        <v>36656</v>
      </c>
      <c r="B5181" s="77" t="s">
        <v>3992</v>
      </c>
      <c r="C5181" s="96">
        <v>45654.0</v>
      </c>
      <c r="D5181" s="40" t="s">
        <v>36657</v>
      </c>
      <c r="E5181" s="97" t="s">
        <v>36658</v>
      </c>
      <c r="F5181" s="98" t="s">
        <v>36659</v>
      </c>
      <c r="G5181" s="98" t="s">
        <v>36660</v>
      </c>
      <c r="H5181" s="59" t="s">
        <v>2591</v>
      </c>
      <c r="I5181" s="25" t="str">
        <f>IFERROR(__xludf.DUMMYFUNCTION("GOOGLETRANSLATE(H5181,""EN"",""ES"")"),"Negocio")</f>
        <v>Negocio</v>
      </c>
      <c r="J5181" s="26" t="s">
        <v>35</v>
      </c>
      <c r="K5181" s="48">
        <v>-0.4</v>
      </c>
      <c r="L5181" s="51" t="s">
        <v>36661</v>
      </c>
      <c r="M5181" s="28" t="s">
        <v>36662</v>
      </c>
      <c r="N5181" s="47" t="s">
        <v>36663</v>
      </c>
      <c r="O5181" s="47" t="str">
        <f>IFERROR(__xludf.DUMMYFUNCTION("GOOGLETRANSLATE(N5181,""EN"",""ES"")"),"Neutral, citando a Imaz sobre las políticas fiscales.")</f>
        <v>Neutral, citando a Imaz sobre las políticas fiscales.</v>
      </c>
      <c r="P5181" s="30">
        <v>-0.5</v>
      </c>
      <c r="Q5181" s="31" t="str">
        <f>IFERROR(__xludf.DUMMYFUNCTION("GOOGLETRANSLATE(R5181,""ES"",""EN"")"),"bazaar")</f>
        <v>bazaar</v>
      </c>
      <c r="R5181" s="28" t="s">
        <v>36664</v>
      </c>
      <c r="S5181" s="53" t="s">
        <v>36665</v>
      </c>
      <c r="T5181" s="32" t="s">
        <v>36666</v>
      </c>
    </row>
    <row r="5182">
      <c r="A5182" s="33" t="s">
        <v>36667</v>
      </c>
      <c r="B5182" s="76" t="s">
        <v>284</v>
      </c>
      <c r="C5182" s="99">
        <v>45654.0</v>
      </c>
      <c r="D5182" s="40" t="s">
        <v>36614</v>
      </c>
      <c r="E5182" s="100" t="s">
        <v>36668</v>
      </c>
      <c r="F5182" s="101" t="s">
        <v>36616</v>
      </c>
      <c r="G5182" s="101" t="s">
        <v>36669</v>
      </c>
      <c r="H5182" s="61" t="s">
        <v>3985</v>
      </c>
      <c r="I5182" s="15" t="str">
        <f>IFERROR(__xludf.DUMMYFUNCTION("GOOGLETRANSLATE(H5182,""EN"",""ES"")"),"Deportes")</f>
        <v>Deportes</v>
      </c>
      <c r="J5182" s="16" t="s">
        <v>27</v>
      </c>
      <c r="K5182" s="17">
        <v>0.0</v>
      </c>
      <c r="L5182" s="49"/>
      <c r="M5182" s="18"/>
      <c r="N5182" s="44"/>
      <c r="O5182" s="44"/>
      <c r="P5182" s="20">
        <v>0.0</v>
      </c>
      <c r="Q5182" s="18"/>
      <c r="R5182" s="18"/>
      <c r="S5182" s="52"/>
      <c r="T5182" s="22"/>
    </row>
    <row r="5183">
      <c r="A5183" s="23" t="s">
        <v>36670</v>
      </c>
      <c r="B5183" s="77" t="s">
        <v>1602</v>
      </c>
      <c r="C5183" s="96">
        <v>45654.0</v>
      </c>
      <c r="D5183" s="40" t="s">
        <v>36671</v>
      </c>
      <c r="E5183" s="97" t="s">
        <v>36672</v>
      </c>
      <c r="F5183" s="98" t="s">
        <v>36673</v>
      </c>
      <c r="G5183" s="98" t="s">
        <v>36674</v>
      </c>
      <c r="H5183" s="59" t="s">
        <v>2591</v>
      </c>
      <c r="I5183" s="25" t="str">
        <f>IFERROR(__xludf.DUMMYFUNCTION("GOOGLETRANSLATE(H5183,""EN"",""ES"")"),"Negocio")</f>
        <v>Negocio</v>
      </c>
      <c r="J5183" s="26" t="s">
        <v>35</v>
      </c>
      <c r="K5183" s="48">
        <v>0.6</v>
      </c>
      <c r="L5183" s="51" t="s">
        <v>36675</v>
      </c>
      <c r="M5183" s="28" t="s">
        <v>36676</v>
      </c>
      <c r="N5183" s="47" t="s">
        <v>36677</v>
      </c>
      <c r="O5183" s="47" t="str">
        <f>IFERROR(__xludf.DUMMYFUNCTION("GOOGLETRANSLATE(N5183,""EN"",""ES"")"),"Positivo, mostrando el buen comportamiento de Repsol en Bolsa.")</f>
        <v>Positivo, mostrando el buen comportamiento de Repsol en Bolsa.</v>
      </c>
      <c r="P5183" s="30">
        <v>0.1</v>
      </c>
      <c r="Q5183" s="31" t="str">
        <f>IFERROR(__xludf.DUMMYFUNCTION("GOOGLETRANSLATE(R5183,""ES"",""EN"")"),"None")</f>
        <v>None</v>
      </c>
      <c r="R5183" s="28" t="s">
        <v>14309</v>
      </c>
      <c r="S5183" s="53" t="s">
        <v>34868</v>
      </c>
      <c r="T5183" s="32" t="s">
        <v>34869</v>
      </c>
    </row>
    <row r="5184">
      <c r="A5184" s="33" t="s">
        <v>36678</v>
      </c>
      <c r="B5184" s="76" t="s">
        <v>36679</v>
      </c>
      <c r="C5184" s="99">
        <v>45654.0</v>
      </c>
      <c r="D5184" s="40" t="s">
        <v>36680</v>
      </c>
      <c r="E5184" s="100" t="s">
        <v>36681</v>
      </c>
      <c r="F5184" s="101" t="s">
        <v>36682</v>
      </c>
      <c r="G5184" s="101" t="s">
        <v>36683</v>
      </c>
      <c r="H5184" s="61" t="s">
        <v>395</v>
      </c>
      <c r="I5184" s="15" t="str">
        <f>IFERROR(__xludf.DUMMYFUNCTION("GOOGLETRANSLATE(H5184,""EN"",""ES"")"),"Ambiente")</f>
        <v>Ambiente</v>
      </c>
      <c r="J5184" s="16" t="s">
        <v>35</v>
      </c>
      <c r="K5184" s="48">
        <v>-0.5</v>
      </c>
      <c r="L5184" s="49" t="s">
        <v>36684</v>
      </c>
      <c r="M5184" s="34" t="s">
        <v>36685</v>
      </c>
      <c r="N5184" s="44" t="s">
        <v>36686</v>
      </c>
      <c r="O5184" s="44" t="str">
        <f>IFERROR(__xludf.DUMMYFUNCTION("GOOGLETRANSLATE(N5184,""EN"",""ES"")"),"Negativa, se habla de oposición a los proyectos eólicos de Repsol.")</f>
        <v>Negativa, se habla de oposición a los proyectos eólicos de Repsol.</v>
      </c>
      <c r="P5184" s="30">
        <v>-0.4</v>
      </c>
      <c r="Q5184" s="18" t="str">
        <f>IFERROR(__xludf.DUMMYFUNCTION("GOOGLETRANSLATE(R5184,""ES"",""EN"")"),"allegations")</f>
        <v>allegations</v>
      </c>
      <c r="R5184" s="34" t="s">
        <v>36687</v>
      </c>
      <c r="S5184" s="52" t="s">
        <v>36688</v>
      </c>
      <c r="T5184" s="22" t="s">
        <v>36689</v>
      </c>
    </row>
    <row r="5185">
      <c r="A5185" s="23" t="s">
        <v>36690</v>
      </c>
      <c r="B5185" s="77" t="s">
        <v>43</v>
      </c>
      <c r="C5185" s="96">
        <v>45654.0</v>
      </c>
      <c r="D5185" s="40" t="s">
        <v>36691</v>
      </c>
      <c r="E5185" s="97" t="s">
        <v>36692</v>
      </c>
      <c r="F5185" s="98" t="s">
        <v>36693</v>
      </c>
      <c r="G5185" s="98" t="s">
        <v>36694</v>
      </c>
      <c r="H5185" s="59" t="s">
        <v>48</v>
      </c>
      <c r="I5185" s="25" t="str">
        <f>IFERROR(__xludf.DUMMYFUNCTION("GOOGLETRANSLATE(H5185,""EN"",""ES"")"),"Finanzas")</f>
        <v>Finanzas</v>
      </c>
      <c r="J5185" s="26" t="s">
        <v>35</v>
      </c>
      <c r="K5185" s="48">
        <v>0.8</v>
      </c>
      <c r="L5185" s="51" t="s">
        <v>36495</v>
      </c>
      <c r="M5185" s="28" t="s">
        <v>36496</v>
      </c>
      <c r="N5185" s="47" t="s">
        <v>36695</v>
      </c>
      <c r="O5185" s="47" t="str">
        <f>IFERROR(__xludf.DUMMYFUNCTION("GOOGLETRANSLATE(N5185,""EN"",""ES"")"),"Positivo, centrado en la buena evolución del dividendo de Repsol.")</f>
        <v>Positivo, centrado en la buena evolución del dividendo de Repsol.</v>
      </c>
      <c r="P5185" s="30">
        <v>0.0</v>
      </c>
      <c r="Q5185" s="31"/>
      <c r="R5185" s="31"/>
      <c r="S5185" s="53" t="s">
        <v>34868</v>
      </c>
      <c r="T5185" s="32" t="s">
        <v>34869</v>
      </c>
    </row>
    <row r="5186">
      <c r="A5186" s="33" t="s">
        <v>36696</v>
      </c>
      <c r="B5186" s="76" t="s">
        <v>2199</v>
      </c>
      <c r="C5186" s="99">
        <v>45654.0</v>
      </c>
      <c r="D5186" s="40" t="s">
        <v>36697</v>
      </c>
      <c r="E5186" s="100" t="s">
        <v>36698</v>
      </c>
      <c r="F5186" s="101" t="s">
        <v>36699</v>
      </c>
      <c r="G5186" s="101" t="s">
        <v>36700</v>
      </c>
      <c r="H5186" s="61" t="s">
        <v>1975</v>
      </c>
      <c r="I5186" s="15" t="str">
        <f>IFERROR(__xludf.DUMMYFUNCTION("GOOGLETRANSLATE(H5186,""EN"",""ES"")"),"Política")</f>
        <v>Política</v>
      </c>
      <c r="J5186" s="16" t="s">
        <v>35</v>
      </c>
      <c r="K5186" s="48">
        <v>-0.7</v>
      </c>
      <c r="L5186" s="49" t="s">
        <v>36701</v>
      </c>
      <c r="M5186" s="34" t="s">
        <v>36702</v>
      </c>
      <c r="N5186" s="44" t="s">
        <v>36703</v>
      </c>
      <c r="O5186" s="44" t="str">
        <f>IFERROR(__xludf.DUMMYFUNCTION("GOOGLETRANSLATE(N5186,""EN"",""ES"")"),"Negativo, centrado en el debate medioambiental en el Bierzo.")</f>
        <v>Negativo, centrado en el debate medioambiental en el Bierzo.</v>
      </c>
      <c r="P5186" s="30">
        <v>-0.6</v>
      </c>
      <c r="Q5186" s="18" t="str">
        <f>IFERROR(__xludf.DUMMYFUNCTION("GOOGLETRANSLATE(R5186,""ES"",""EN"")"),"predators")</f>
        <v>predators</v>
      </c>
      <c r="R5186" s="34" t="s">
        <v>36704</v>
      </c>
      <c r="S5186" s="52" t="s">
        <v>36705</v>
      </c>
      <c r="T5186" s="22" t="s">
        <v>36706</v>
      </c>
    </row>
    <row r="5187">
      <c r="A5187" s="23" t="s">
        <v>36707</v>
      </c>
      <c r="B5187" s="77" t="s">
        <v>57</v>
      </c>
      <c r="C5187" s="96">
        <v>45654.0</v>
      </c>
      <c r="D5187" s="40" t="s">
        <v>36708</v>
      </c>
      <c r="E5187" s="97" t="s">
        <v>36709</v>
      </c>
      <c r="F5187" s="98" t="s">
        <v>36710</v>
      </c>
      <c r="G5187" s="98" t="s">
        <v>36711</v>
      </c>
      <c r="H5187" s="59" t="s">
        <v>2591</v>
      </c>
      <c r="I5187" s="25" t="str">
        <f>IFERROR(__xludf.DUMMYFUNCTION("GOOGLETRANSLATE(H5187,""EN"",""ES"")"),"Negocio")</f>
        <v>Negocio</v>
      </c>
      <c r="J5187" s="26" t="s">
        <v>35</v>
      </c>
      <c r="K5187" s="48">
        <v>-0.5</v>
      </c>
      <c r="L5187" s="51" t="s">
        <v>36712</v>
      </c>
      <c r="M5187" s="28" t="s">
        <v>36713</v>
      </c>
      <c r="N5187" s="47" t="s">
        <v>36714</v>
      </c>
      <c r="O5187" s="47" t="str">
        <f>IFERROR(__xludf.DUMMYFUNCTION("GOOGLETRANSLATE(N5187,""EN"",""ES"")"),"Negativo, discutiendo cambios en la industria de las gasolineras.")</f>
        <v>Negativo, discutiendo cambios en la industria de las gasolineras.</v>
      </c>
      <c r="P5187" s="30">
        <v>0.0</v>
      </c>
      <c r="Q5187" s="31"/>
      <c r="R5187" s="31"/>
      <c r="S5187" s="53" t="s">
        <v>35241</v>
      </c>
      <c r="T5187" s="32" t="s">
        <v>35242</v>
      </c>
    </row>
    <row r="5188">
      <c r="A5188" s="33" t="s">
        <v>36715</v>
      </c>
      <c r="B5188" s="76" t="s">
        <v>217</v>
      </c>
      <c r="C5188" s="99">
        <v>45654.0</v>
      </c>
      <c r="D5188" s="40" t="s">
        <v>36716</v>
      </c>
      <c r="E5188" s="100" t="s">
        <v>36717</v>
      </c>
      <c r="F5188" s="101" t="s">
        <v>36718</v>
      </c>
      <c r="G5188" s="101" t="s">
        <v>36719</v>
      </c>
      <c r="H5188" s="61" t="s">
        <v>48</v>
      </c>
      <c r="I5188" s="15" t="str">
        <f>IFERROR(__xludf.DUMMYFUNCTION("GOOGLETRANSLATE(H5188,""EN"",""ES"")"),"Finanzas")</f>
        <v>Finanzas</v>
      </c>
      <c r="J5188" s="16" t="s">
        <v>35</v>
      </c>
      <c r="K5188" s="48">
        <v>0.6</v>
      </c>
      <c r="L5188" s="49" t="s">
        <v>36720</v>
      </c>
      <c r="M5188" s="34" t="s">
        <v>36721</v>
      </c>
      <c r="N5188" s="44" t="s">
        <v>36722</v>
      </c>
      <c r="O5188" s="44" t="str">
        <f>IFERROR(__xludf.DUMMYFUNCTION("GOOGLETRANSLATE(N5188,""EN"",""ES"")"),"Neutral, analizando la bolsa y los dividendos.")</f>
        <v>Neutral, analizando la bolsa y los dividendos.</v>
      </c>
      <c r="P5188" s="30">
        <v>0.0</v>
      </c>
      <c r="Q5188" s="18"/>
      <c r="R5188" s="18"/>
      <c r="S5188" s="52" t="s">
        <v>34868</v>
      </c>
      <c r="T5188" s="22" t="s">
        <v>34869</v>
      </c>
    </row>
    <row r="5189">
      <c r="A5189" s="23" t="s">
        <v>36723</v>
      </c>
      <c r="B5189" s="77" t="s">
        <v>23934</v>
      </c>
      <c r="C5189" s="96">
        <v>45654.0</v>
      </c>
      <c r="D5189" s="40" t="s">
        <v>36724</v>
      </c>
      <c r="E5189" s="97" t="s">
        <v>36725</v>
      </c>
      <c r="F5189" s="98" t="s">
        <v>36726</v>
      </c>
      <c r="G5189" s="98" t="s">
        <v>36727</v>
      </c>
      <c r="H5189" s="59" t="s">
        <v>395</v>
      </c>
      <c r="I5189" s="25" t="str">
        <f>IFERROR(__xludf.DUMMYFUNCTION("GOOGLETRANSLATE(H5189,""EN"",""ES"")"),"Ambiente")</f>
        <v>Ambiente</v>
      </c>
      <c r="J5189" s="26" t="s">
        <v>35</v>
      </c>
      <c r="K5189" s="48">
        <v>-0.8</v>
      </c>
      <c r="L5189" s="51" t="s">
        <v>36728</v>
      </c>
      <c r="M5189" s="28" t="s">
        <v>36729</v>
      </c>
      <c r="N5189" s="47" t="s">
        <v>36730</v>
      </c>
      <c r="O5189" s="47" t="str">
        <f>IFERROR(__xludf.DUMMYFUNCTION("GOOGLETRANSLATE(N5189,""EN"",""ES"")"),"Negativo, criticando las prácticas de greenwashing entre las petroleras.")</f>
        <v>Negativo, criticando las prácticas de greenwashing entre las petroleras.</v>
      </c>
      <c r="P5189" s="30">
        <v>-0.7</v>
      </c>
      <c r="Q5189" s="31" t="str">
        <f>IFERROR(__xludf.DUMMYFUNCTION("GOOGLETRANSLATE(R5189,""ES"",""EN"")"),"greenwashing")</f>
        <v>greenwashing</v>
      </c>
      <c r="R5189" s="28" t="s">
        <v>11135</v>
      </c>
      <c r="S5189" s="53" t="s">
        <v>18142</v>
      </c>
      <c r="T5189" s="32" t="s">
        <v>18143</v>
      </c>
    </row>
    <row r="5190">
      <c r="A5190" s="33" t="s">
        <v>36731</v>
      </c>
      <c r="B5190" s="76" t="s">
        <v>3151</v>
      </c>
      <c r="C5190" s="99">
        <v>45654.0</v>
      </c>
      <c r="D5190" s="40" t="s">
        <v>36732</v>
      </c>
      <c r="E5190" s="100" t="s">
        <v>36733</v>
      </c>
      <c r="F5190" s="101" t="s">
        <v>36734</v>
      </c>
      <c r="G5190" s="101" t="s">
        <v>36735</v>
      </c>
      <c r="H5190" s="61" t="s">
        <v>36736</v>
      </c>
      <c r="I5190" s="15" t="str">
        <f>IFERROR(__xludf.DUMMYFUNCTION("GOOGLETRANSLATE(H5190,""EN"",""ES"")"),"Asesoramiento al consumidor")</f>
        <v>Asesoramiento al consumidor</v>
      </c>
      <c r="J5190" s="16" t="s">
        <v>35</v>
      </c>
      <c r="K5190" s="48">
        <v>-0.5</v>
      </c>
      <c r="L5190" s="49" t="s">
        <v>36737</v>
      </c>
      <c r="M5190" s="34" t="s">
        <v>36738</v>
      </c>
      <c r="N5190" s="44" t="s">
        <v>36739</v>
      </c>
      <c r="O5190" s="44" t="str">
        <f>IFERROR(__xludf.DUMMYFUNCTION("GOOGLETRANSLATE(N5190,""EN"",""ES"")"),"Negativo, advirtiendo sobre los posibles inconvenientes del combustible de bajo coste.")</f>
        <v>Negativo, advirtiendo sobre los posibles inconvenientes del combustible de bajo coste.</v>
      </c>
      <c r="P5190" s="30">
        <v>-0.1</v>
      </c>
      <c r="Q5190" s="18" t="str">
        <f>IFERROR(__xludf.DUMMYFUNCTION("GOOGLETRANSLATE(R5190,""ES"",""EN"")"),"None")</f>
        <v>None</v>
      </c>
      <c r="R5190" s="34" t="s">
        <v>14309</v>
      </c>
      <c r="S5190" s="52" t="s">
        <v>36740</v>
      </c>
      <c r="T5190" s="22" t="s">
        <v>36741</v>
      </c>
    </row>
    <row r="5191">
      <c r="A5191" s="23" t="s">
        <v>36742</v>
      </c>
      <c r="B5191" s="77" t="s">
        <v>1072</v>
      </c>
      <c r="C5191" s="96">
        <v>45655.0</v>
      </c>
      <c r="D5191" s="40" t="s">
        <v>36743</v>
      </c>
      <c r="E5191" s="97" t="s">
        <v>36744</v>
      </c>
      <c r="F5191" s="98" t="s">
        <v>36745</v>
      </c>
      <c r="G5191" s="98" t="s">
        <v>36746</v>
      </c>
      <c r="H5191" s="59" t="s">
        <v>1975</v>
      </c>
      <c r="I5191" s="25" t="str">
        <f>IFERROR(__xludf.DUMMYFUNCTION("GOOGLETRANSLATE(H5191,""EN"",""ES"")"),"Política")</f>
        <v>Política</v>
      </c>
      <c r="J5191" s="26" t="s">
        <v>35</v>
      </c>
      <c r="K5191" s="48">
        <v>-0.6</v>
      </c>
      <c r="L5191" s="51" t="s">
        <v>36747</v>
      </c>
      <c r="M5191" s="28" t="s">
        <v>36748</v>
      </c>
      <c r="N5191" s="47" t="s">
        <v>36749</v>
      </c>
      <c r="O5191" s="47" t="str">
        <f>IFERROR(__xludf.DUMMYFUNCTION("GOOGLETRANSLATE(N5191,""EN"",""ES"")"),"Negativo, expresa frustración con las políticas fiscales.")</f>
        <v>Negativo, expresa frustración con las políticas fiscales.</v>
      </c>
      <c r="P5191" s="30">
        <v>-0.5</v>
      </c>
      <c r="Q5191" s="31" t="str">
        <f>IFERROR(__xludf.DUMMYFUNCTION("GOOGLETRANSLATE(R5191,""ES"",""EN"")"),"accuse")</f>
        <v>accuse</v>
      </c>
      <c r="R5191" s="28" t="s">
        <v>28003</v>
      </c>
      <c r="S5191" s="53" t="s">
        <v>28664</v>
      </c>
      <c r="T5191" s="32" t="s">
        <v>28665</v>
      </c>
    </row>
    <row r="5192">
      <c r="A5192" s="33" t="s">
        <v>36750</v>
      </c>
      <c r="B5192" s="76" t="s">
        <v>499</v>
      </c>
      <c r="C5192" s="99">
        <v>45655.0</v>
      </c>
      <c r="D5192" s="40" t="s">
        <v>36751</v>
      </c>
      <c r="E5192" s="100" t="s">
        <v>36752</v>
      </c>
      <c r="F5192" s="101" t="s">
        <v>36753</v>
      </c>
      <c r="G5192" s="101" t="s">
        <v>36754</v>
      </c>
      <c r="H5192" s="61" t="s">
        <v>1975</v>
      </c>
      <c r="I5192" s="15" t="str">
        <f>IFERROR(__xludf.DUMMYFUNCTION("GOOGLETRANSLATE(H5192,""EN"",""ES"")"),"Política")</f>
        <v>Política</v>
      </c>
      <c r="J5192" s="16" t="s">
        <v>35</v>
      </c>
      <c r="K5192" s="48">
        <v>-0.6</v>
      </c>
      <c r="L5192" s="49" t="s">
        <v>36747</v>
      </c>
      <c r="M5192" s="34" t="s">
        <v>36748</v>
      </c>
      <c r="N5192" s="44" t="s">
        <v>36755</v>
      </c>
      <c r="O5192" s="44" t="str">
        <f>IFERROR(__xludf.DUMMYFUNCTION("GOOGLETRANSLATE(N5192,""EN"",""ES"")"),"Negativo, reiterando el descontento de Imaz con las políticas fiscales del Gobierno.")</f>
        <v>Negativo, reiterando el descontento de Imaz con las políticas fiscales del Gobierno.</v>
      </c>
      <c r="P5192" s="30">
        <v>-0.5</v>
      </c>
      <c r="Q5192" s="18" t="str">
        <f>IFERROR(__xludf.DUMMYFUNCTION("GOOGLETRANSLATE(R5192,""ES"",""EN"")"),"accuse")</f>
        <v>accuse</v>
      </c>
      <c r="R5192" s="34" t="s">
        <v>28003</v>
      </c>
      <c r="S5192" s="52" t="s">
        <v>36756</v>
      </c>
      <c r="T5192" s="22" t="s">
        <v>36757</v>
      </c>
    </row>
    <row r="5193">
      <c r="A5193" s="23" t="s">
        <v>36758</v>
      </c>
      <c r="B5193" s="77" t="s">
        <v>666</v>
      </c>
      <c r="C5193" s="96">
        <v>45655.0</v>
      </c>
      <c r="D5193" s="40" t="s">
        <v>36759</v>
      </c>
      <c r="E5193" s="97" t="s">
        <v>36760</v>
      </c>
      <c r="F5193" s="98" t="s">
        <v>36761</v>
      </c>
      <c r="G5193" s="98" t="s">
        <v>36762</v>
      </c>
      <c r="H5193" s="59" t="s">
        <v>1975</v>
      </c>
      <c r="I5193" s="25" t="str">
        <f>IFERROR(__xludf.DUMMYFUNCTION("GOOGLETRANSLATE(H5193,""EN"",""ES"")"),"Política")</f>
        <v>Política</v>
      </c>
      <c r="J5193" s="26" t="s">
        <v>35</v>
      </c>
      <c r="K5193" s="48">
        <v>-0.7</v>
      </c>
      <c r="L5193" s="51" t="s">
        <v>36763</v>
      </c>
      <c r="M5193" s="28" t="s">
        <v>36764</v>
      </c>
      <c r="N5193" s="47" t="s">
        <v>36765</v>
      </c>
      <c r="O5193" s="47" t="str">
        <f>IFERROR(__xludf.DUMMYFUNCTION("GOOGLETRANSLATE(N5193,""EN"",""ES"")"),"Negativo, criticando las políticas gubernamentales que obstaculizan la inversión.")</f>
        <v>Negativo, criticando las políticas gubernamentales que obstaculizan la inversión.</v>
      </c>
      <c r="P5193" s="30">
        <v>-0.6</v>
      </c>
      <c r="Q5193" s="31" t="str">
        <f>IFERROR(__xludf.DUMMYFUNCTION("GOOGLETRANSLATE(R5193,""ES"",""EN"")"),"impossible")</f>
        <v>impossible</v>
      </c>
      <c r="R5193" s="28" t="s">
        <v>36766</v>
      </c>
      <c r="S5193" s="53" t="s">
        <v>36767</v>
      </c>
      <c r="T5193" s="32" t="s">
        <v>36768</v>
      </c>
    </row>
    <row r="5194">
      <c r="A5194" s="33" t="s">
        <v>36769</v>
      </c>
      <c r="B5194" s="76" t="s">
        <v>977</v>
      </c>
      <c r="C5194" s="99">
        <v>45655.0</v>
      </c>
      <c r="D5194" s="40" t="s">
        <v>36770</v>
      </c>
      <c r="E5194" s="100" t="s">
        <v>36771</v>
      </c>
      <c r="F5194" s="101" t="s">
        <v>36772</v>
      </c>
      <c r="G5194" s="101" t="s">
        <v>36773</v>
      </c>
      <c r="H5194" s="61" t="s">
        <v>2591</v>
      </c>
      <c r="I5194" s="15" t="str">
        <f>IFERROR(__xludf.DUMMYFUNCTION("GOOGLETRANSLATE(H5194,""EN"",""ES"")"),"Negocio")</f>
        <v>Negocio</v>
      </c>
      <c r="J5194" s="16" t="s">
        <v>35</v>
      </c>
      <c r="K5194" s="48">
        <v>0.7</v>
      </c>
      <c r="L5194" s="49" t="s">
        <v>36774</v>
      </c>
      <c r="M5194" s="34" t="s">
        <v>36775</v>
      </c>
      <c r="N5194" s="44" t="s">
        <v>36776</v>
      </c>
      <c r="O5194" s="44" t="str">
        <f>IFERROR(__xludf.DUMMYFUNCTION("GOOGLETRANSLATE(N5194,""EN"",""ES"")"),"Positivo, marcando una importante adquisición por parte de Ecopetrol.")</f>
        <v>Positivo, marcando una importante adquisición por parte de Ecopetrol.</v>
      </c>
      <c r="P5194" s="30">
        <v>0.0</v>
      </c>
      <c r="Q5194" s="18"/>
      <c r="R5194" s="18"/>
      <c r="S5194" s="52" t="s">
        <v>35151</v>
      </c>
      <c r="T5194" s="22" t="s">
        <v>35152</v>
      </c>
    </row>
    <row r="5195">
      <c r="A5195" s="23" t="s">
        <v>36777</v>
      </c>
      <c r="B5195" s="77" t="s">
        <v>4832</v>
      </c>
      <c r="C5195" s="96">
        <v>45655.0</v>
      </c>
      <c r="D5195" s="40" t="s">
        <v>36778</v>
      </c>
      <c r="E5195" s="97" t="s">
        <v>36779</v>
      </c>
      <c r="F5195" s="98" t="s">
        <v>36780</v>
      </c>
      <c r="G5195" s="98" t="s">
        <v>36781</v>
      </c>
      <c r="H5195" s="59" t="s">
        <v>2591</v>
      </c>
      <c r="I5195" s="25" t="str">
        <f>IFERROR(__xludf.DUMMYFUNCTION("GOOGLETRANSLATE(H5195,""EN"",""ES"")"),"Negocio")</f>
        <v>Negocio</v>
      </c>
      <c r="J5195" s="26" t="s">
        <v>35</v>
      </c>
      <c r="K5195" s="48">
        <v>0.7</v>
      </c>
      <c r="L5195" s="51" t="s">
        <v>36782</v>
      </c>
      <c r="M5195" s="28" t="s">
        <v>36783</v>
      </c>
      <c r="N5195" s="47" t="s">
        <v>36784</v>
      </c>
      <c r="O5195" s="47" t="str">
        <f>IFERROR(__xludf.DUMMYFUNCTION("GOOGLETRANSLATE(N5195,""EN"",""ES"")"),"Positivo, destacando la expansión de Ecopetrol en Colombia.")</f>
        <v>Positivo, destacando la expansión de Ecopetrol en Colombia.</v>
      </c>
      <c r="P5195" s="30">
        <v>0.0</v>
      </c>
      <c r="Q5195" s="31"/>
      <c r="R5195" s="31"/>
      <c r="S5195" s="53" t="s">
        <v>35151</v>
      </c>
      <c r="T5195" s="32" t="s">
        <v>35152</v>
      </c>
    </row>
    <row r="5196">
      <c r="A5196" s="33" t="s">
        <v>36785</v>
      </c>
      <c r="B5196" s="76" t="s">
        <v>16303</v>
      </c>
      <c r="C5196" s="99">
        <v>45655.0</v>
      </c>
      <c r="D5196" s="40" t="s">
        <v>36786</v>
      </c>
      <c r="E5196" s="100" t="s">
        <v>36787</v>
      </c>
      <c r="F5196" s="101" t="s">
        <v>36788</v>
      </c>
      <c r="G5196" s="101" t="s">
        <v>36789</v>
      </c>
      <c r="H5196" s="61" t="s">
        <v>26</v>
      </c>
      <c r="I5196" s="15" t="str">
        <f>IFERROR(__xludf.DUMMYFUNCTION("GOOGLETRANSLATE(H5196,""EN"",""ES"")"),"Otro")</f>
        <v>Otro</v>
      </c>
      <c r="J5196" s="16" t="s">
        <v>27</v>
      </c>
      <c r="K5196" s="17">
        <v>0.0</v>
      </c>
      <c r="L5196" s="49"/>
      <c r="M5196" s="18"/>
      <c r="N5196" s="44"/>
      <c r="O5196" s="44"/>
      <c r="P5196" s="20">
        <v>0.0</v>
      </c>
      <c r="Q5196" s="18"/>
      <c r="R5196" s="18"/>
      <c r="S5196" s="52"/>
      <c r="T5196" s="22"/>
    </row>
    <row r="5197">
      <c r="A5197" s="23" t="s">
        <v>36790</v>
      </c>
      <c r="B5197" s="77" t="s">
        <v>3490</v>
      </c>
      <c r="C5197" s="96">
        <v>45655.0</v>
      </c>
      <c r="D5197" s="40" t="s">
        <v>36791</v>
      </c>
      <c r="E5197" s="97" t="s">
        <v>36792</v>
      </c>
      <c r="F5197" s="98" t="s">
        <v>36793</v>
      </c>
      <c r="G5197" s="98" t="s">
        <v>36794</v>
      </c>
      <c r="H5197" s="59" t="s">
        <v>1975</v>
      </c>
      <c r="I5197" s="25" t="str">
        <f>IFERROR(__xludf.DUMMYFUNCTION("GOOGLETRANSLATE(H5197,""EN"",""ES"")"),"Política")</f>
        <v>Política</v>
      </c>
      <c r="J5197" s="26" t="s">
        <v>35</v>
      </c>
      <c r="K5197" s="48">
        <v>-0.5</v>
      </c>
      <c r="L5197" s="51" t="s">
        <v>36795</v>
      </c>
      <c r="M5197" s="28" t="s">
        <v>36796</v>
      </c>
      <c r="N5197" s="47" t="s">
        <v>36797</v>
      </c>
      <c r="O5197" s="47" t="str">
        <f>IFERROR(__xludf.DUMMYFUNCTION("GOOGLETRANSLATE(N5197,""EN"",""ES"")"),"Negativo, que describe la tensa situación en torno a los impuestos a la energía.")</f>
        <v>Negativo, que describe la tensa situación en torno a los impuestos a la energía.</v>
      </c>
      <c r="P5197" s="30">
        <v>-0.3</v>
      </c>
      <c r="Q5197" s="31" t="str">
        <f>IFERROR(__xludf.DUMMYFUNCTION("GOOGLETRANSLATE(R5197,""ES"",""EN"")"),"uncertainty")</f>
        <v>uncertainty</v>
      </c>
      <c r="R5197" s="28" t="s">
        <v>36798</v>
      </c>
      <c r="S5197" s="53" t="s">
        <v>36799</v>
      </c>
      <c r="T5197" s="32" t="s">
        <v>36800</v>
      </c>
    </row>
    <row r="5198">
      <c r="A5198" s="33" t="s">
        <v>36801</v>
      </c>
      <c r="B5198" s="76" t="s">
        <v>36802</v>
      </c>
      <c r="C5198" s="99">
        <v>45655.0</v>
      </c>
      <c r="D5198" s="40" t="s">
        <v>36803</v>
      </c>
      <c r="E5198" s="100" t="s">
        <v>36804</v>
      </c>
      <c r="F5198" s="101" t="s">
        <v>36805</v>
      </c>
      <c r="G5198" s="101" t="s">
        <v>36806</v>
      </c>
      <c r="H5198" s="61" t="s">
        <v>2591</v>
      </c>
      <c r="I5198" s="15" t="str">
        <f>IFERROR(__xludf.DUMMYFUNCTION("GOOGLETRANSLATE(H5198,""EN"",""ES"")"),"Negocio")</f>
        <v>Negocio</v>
      </c>
      <c r="J5198" s="16" t="s">
        <v>35</v>
      </c>
      <c r="K5198" s="48">
        <v>0.8</v>
      </c>
      <c r="L5198" s="49" t="s">
        <v>36807</v>
      </c>
      <c r="M5198" s="34" t="s">
        <v>36808</v>
      </c>
      <c r="N5198" s="44" t="s">
        <v>36809</v>
      </c>
      <c r="O5198" s="44" t="str">
        <f>IFERROR(__xludf.DUMMYFUNCTION("GOOGLETRANSLATE(N5198,""EN"",""ES"")"),"Positivo, destacando el aumento de las reservas de Ecopetrol.")</f>
        <v>Positivo, destacando el aumento de las reservas de Ecopetrol.</v>
      </c>
      <c r="P5198" s="30">
        <v>0.0</v>
      </c>
      <c r="Q5198" s="18"/>
      <c r="R5198" s="18"/>
      <c r="S5198" s="52" t="s">
        <v>35151</v>
      </c>
      <c r="T5198" s="22" t="s">
        <v>35152</v>
      </c>
    </row>
    <row r="5199">
      <c r="A5199" s="23" t="s">
        <v>36810</v>
      </c>
      <c r="B5199" s="77" t="s">
        <v>977</v>
      </c>
      <c r="C5199" s="96">
        <v>45655.0</v>
      </c>
      <c r="D5199" s="40" t="s">
        <v>36811</v>
      </c>
      <c r="E5199" s="97" t="s">
        <v>36812</v>
      </c>
      <c r="F5199" s="98" t="s">
        <v>36813</v>
      </c>
      <c r="G5199" s="98" t="s">
        <v>36814</v>
      </c>
      <c r="H5199" s="59" t="s">
        <v>2591</v>
      </c>
      <c r="I5199" s="25" t="str">
        <f>IFERROR(__xludf.DUMMYFUNCTION("GOOGLETRANSLATE(H5199,""EN"",""ES"")"),"Negocio")</f>
        <v>Negocio</v>
      </c>
      <c r="J5199" s="26" t="s">
        <v>35</v>
      </c>
      <c r="K5199" s="48">
        <v>0.7</v>
      </c>
      <c r="L5199" s="51" t="s">
        <v>36815</v>
      </c>
      <c r="M5199" s="28" t="s">
        <v>36816</v>
      </c>
      <c r="N5199" s="47" t="s">
        <v>36817</v>
      </c>
      <c r="O5199" s="47" t="str">
        <f>IFERROR(__xludf.DUMMYFUNCTION("GOOGLETRANSLATE(N5199,""EN"",""ES"")"),"Positivo, destacando la adquisición de Ecopetrol.")</f>
        <v>Positivo, destacando la adquisición de Ecopetrol.</v>
      </c>
      <c r="P5199" s="30">
        <v>0.0</v>
      </c>
      <c r="Q5199" s="31"/>
      <c r="R5199" s="31"/>
      <c r="S5199" s="53" t="s">
        <v>35151</v>
      </c>
      <c r="T5199" s="32" t="s">
        <v>35152</v>
      </c>
    </row>
    <row r="5200">
      <c r="A5200" s="33" t="s">
        <v>36818</v>
      </c>
      <c r="B5200" s="76" t="s">
        <v>36819</v>
      </c>
      <c r="C5200" s="99">
        <v>45655.0</v>
      </c>
      <c r="D5200" s="40" t="s">
        <v>36820</v>
      </c>
      <c r="E5200" s="100" t="s">
        <v>36821</v>
      </c>
      <c r="F5200" s="101" t="s">
        <v>36822</v>
      </c>
      <c r="G5200" s="101" t="s">
        <v>36823</v>
      </c>
      <c r="H5200" s="61" t="s">
        <v>2591</v>
      </c>
      <c r="I5200" s="15" t="str">
        <f>IFERROR(__xludf.DUMMYFUNCTION("GOOGLETRANSLATE(H5200,""EN"",""ES"")"),"Negocio")</f>
        <v>Negocio</v>
      </c>
      <c r="J5200" s="16" t="s">
        <v>35</v>
      </c>
      <c r="K5200" s="48">
        <v>0.8</v>
      </c>
      <c r="L5200" s="49" t="s">
        <v>36824</v>
      </c>
      <c r="M5200" s="34" t="s">
        <v>36825</v>
      </c>
      <c r="N5200" s="44" t="s">
        <v>36826</v>
      </c>
      <c r="O5200" s="44" t="str">
        <f>IFERROR(__xludf.DUMMYFUNCTION("GOOGLETRANSLATE(N5200,""EN"",""ES"")"),"Positivo, reforzando el mayor control de Ecopetrol sobre el bloque.")</f>
        <v>Positivo, reforzando el mayor control de Ecopetrol sobre el bloque.</v>
      </c>
      <c r="P5200" s="30">
        <v>-0.3</v>
      </c>
      <c r="Q5200" s="18" t="str">
        <f>IFERROR(__xludf.DUMMYFUNCTION("GOOGLETRANSLATE(R5200,""ES"",""EN"")"),"45% purchase")</f>
        <v>45% purchase</v>
      </c>
      <c r="R5200" s="34" t="s">
        <v>36827</v>
      </c>
      <c r="S5200" s="52" t="s">
        <v>36828</v>
      </c>
      <c r="T5200" s="22" t="s">
        <v>36829</v>
      </c>
    </row>
    <row r="5201">
      <c r="A5201" s="23" t="s">
        <v>36830</v>
      </c>
      <c r="B5201" s="77" t="s">
        <v>17342</v>
      </c>
      <c r="C5201" s="96">
        <v>45655.0</v>
      </c>
      <c r="D5201" s="40" t="s">
        <v>36831</v>
      </c>
      <c r="E5201" s="97" t="s">
        <v>36832</v>
      </c>
      <c r="F5201" s="98" t="s">
        <v>36833</v>
      </c>
      <c r="G5201" s="98" t="s">
        <v>36834</v>
      </c>
      <c r="H5201" s="59" t="s">
        <v>2591</v>
      </c>
      <c r="I5201" s="25" t="str">
        <f>IFERROR(__xludf.DUMMYFUNCTION("GOOGLETRANSLATE(H5201,""EN"",""ES"")"),"Negocio")</f>
        <v>Negocio</v>
      </c>
      <c r="J5201" s="26" t="s">
        <v>35</v>
      </c>
      <c r="K5201" s="48">
        <v>0.8</v>
      </c>
      <c r="L5201" s="51" t="s">
        <v>36835</v>
      </c>
      <c r="M5201" s="28" t="s">
        <v>36836</v>
      </c>
      <c r="N5201" s="47" t="s">
        <v>36837</v>
      </c>
      <c r="O5201" s="47" t="str">
        <f>IFERROR(__xludf.DUMMYFUNCTION("GOOGLETRANSLATE(N5201,""EN"",""ES"")"),"Positivo, enfocado en el crecimiento de Ecopetrol en producción y reservas.")</f>
        <v>Positivo, enfocado en el crecimiento de Ecopetrol en producción y reservas.</v>
      </c>
      <c r="P5201" s="30">
        <v>-0.3</v>
      </c>
      <c r="Q5201" s="31" t="str">
        <f>IFERROR(__xludf.DUMMYFUNCTION("GOOGLETRANSLATE(R5201,""ES"",""EN"")"),"45% purchase")</f>
        <v>45% purchase</v>
      </c>
      <c r="R5201" s="28" t="s">
        <v>36827</v>
      </c>
      <c r="S5201" s="53" t="s">
        <v>36828</v>
      </c>
      <c r="T5201" s="32" t="s">
        <v>36829</v>
      </c>
    </row>
    <row r="5202">
      <c r="A5202" s="33" t="s">
        <v>36838</v>
      </c>
      <c r="B5202" s="76" t="s">
        <v>36839</v>
      </c>
      <c r="C5202" s="99">
        <v>45655.0</v>
      </c>
      <c r="D5202" s="40" t="s">
        <v>36840</v>
      </c>
      <c r="E5202" s="100" t="s">
        <v>36841</v>
      </c>
      <c r="F5202" s="101" t="s">
        <v>36842</v>
      </c>
      <c r="G5202" s="101" t="s">
        <v>36843</v>
      </c>
      <c r="H5202" s="61" t="s">
        <v>2591</v>
      </c>
      <c r="I5202" s="15" t="str">
        <f>IFERROR(__xludf.DUMMYFUNCTION("GOOGLETRANSLATE(H5202,""EN"",""ES"")"),"Negocio")</f>
        <v>Negocio</v>
      </c>
      <c r="J5202" s="16" t="s">
        <v>35</v>
      </c>
      <c r="K5202" s="48">
        <v>0.8</v>
      </c>
      <c r="L5202" s="49" t="s">
        <v>36844</v>
      </c>
      <c r="M5202" s="34" t="s">
        <v>36845</v>
      </c>
      <c r="N5202" s="44" t="s">
        <v>36846</v>
      </c>
      <c r="O5202" s="44" t="str">
        <f>IFERROR(__xludf.DUMMYFUNCTION("GOOGLETRANSLATE(N5202,""EN"",""ES"")"),"Positivo, destacando la exitosa adquisición de Ecopetrol.")</f>
        <v>Positivo, destacando la exitosa adquisición de Ecopetrol.</v>
      </c>
      <c r="P5202" s="30">
        <v>-0.3</v>
      </c>
      <c r="Q5202" s="18" t="str">
        <f>IFERROR(__xludf.DUMMYFUNCTION("GOOGLETRANSLATE(R5202,""ES"",""EN"")"),"bought 45%")</f>
        <v>bought 45%</v>
      </c>
      <c r="R5202" s="34" t="s">
        <v>36847</v>
      </c>
      <c r="S5202" s="52" t="s">
        <v>36828</v>
      </c>
      <c r="T5202" s="22" t="s">
        <v>36829</v>
      </c>
    </row>
    <row r="5203">
      <c r="A5203" s="23" t="s">
        <v>36848</v>
      </c>
      <c r="B5203" s="77" t="s">
        <v>36849</v>
      </c>
      <c r="C5203" s="96">
        <v>45655.0</v>
      </c>
      <c r="D5203" s="40" t="s">
        <v>36850</v>
      </c>
      <c r="E5203" s="97" t="s">
        <v>36851</v>
      </c>
      <c r="F5203" s="98" t="s">
        <v>36852</v>
      </c>
      <c r="G5203" s="98" t="s">
        <v>36853</v>
      </c>
      <c r="H5203" s="59" t="s">
        <v>2591</v>
      </c>
      <c r="I5203" s="25" t="str">
        <f>IFERROR(__xludf.DUMMYFUNCTION("GOOGLETRANSLATE(H5203,""EN"",""ES"")"),"Negocio")</f>
        <v>Negocio</v>
      </c>
      <c r="J5203" s="26" t="s">
        <v>35</v>
      </c>
      <c r="K5203" s="48">
        <v>0.8</v>
      </c>
      <c r="L5203" s="51" t="s">
        <v>36807</v>
      </c>
      <c r="M5203" s="28" t="s">
        <v>36808</v>
      </c>
      <c r="N5203" s="47" t="s">
        <v>36854</v>
      </c>
      <c r="O5203" s="47" t="str">
        <f>IFERROR(__xludf.DUMMYFUNCTION("GOOGLETRANSLATE(N5203,""EN"",""ES"")"),"Positivo, destacando la adquisición estratégica y el crecimiento de Ecopetrol.")</f>
        <v>Positivo, destacando la adquisición estratégica y el crecimiento de Ecopetrol.</v>
      </c>
      <c r="P5203" s="30">
        <v>-0.3</v>
      </c>
      <c r="Q5203" s="31" t="str">
        <f>IFERROR(__xludf.DUMMYFUNCTION("GOOGLETRANSLATE(R5203,""ES"",""EN"")"),"acquired stake")</f>
        <v>acquired stake</v>
      </c>
      <c r="R5203" s="28" t="s">
        <v>36855</v>
      </c>
      <c r="S5203" s="53" t="s">
        <v>36828</v>
      </c>
      <c r="T5203" s="32" t="s">
        <v>36829</v>
      </c>
    </row>
    <row r="5204">
      <c r="A5204" s="33" t="s">
        <v>36856</v>
      </c>
      <c r="B5204" s="76" t="s">
        <v>36857</v>
      </c>
      <c r="C5204" s="99">
        <v>45655.0</v>
      </c>
      <c r="D5204" s="40" t="s">
        <v>36858</v>
      </c>
      <c r="E5204" s="100" t="s">
        <v>36859</v>
      </c>
      <c r="F5204" s="101" t="s">
        <v>36860</v>
      </c>
      <c r="G5204" s="101" t="s">
        <v>36861</v>
      </c>
      <c r="H5204" s="61" t="s">
        <v>2591</v>
      </c>
      <c r="I5204" s="15" t="str">
        <f>IFERROR(__xludf.DUMMYFUNCTION("GOOGLETRANSLATE(H5204,""EN"",""ES"")"),"Negocio")</f>
        <v>Negocio</v>
      </c>
      <c r="J5204" s="16" t="s">
        <v>35</v>
      </c>
      <c r="K5204" s="48">
        <v>0.8</v>
      </c>
      <c r="L5204" s="49" t="s">
        <v>36862</v>
      </c>
      <c r="M5204" s="34" t="s">
        <v>36863</v>
      </c>
      <c r="N5204" s="44" t="s">
        <v>36864</v>
      </c>
      <c r="O5204" s="44" t="str">
        <f>IFERROR(__xludf.DUMMYFUNCTION("GOOGLETRANSLATE(N5204,""EN"",""ES"")"),"Positivo, centrado en la adquisición de un activo importante.")</f>
        <v>Positivo, centrado en la adquisición de un activo importante.</v>
      </c>
      <c r="P5204" s="30">
        <v>-0.3</v>
      </c>
      <c r="Q5204" s="18" t="str">
        <f>IFERROR(__xludf.DUMMYFUNCTION("GOOGLETRANSLATE(R5204,""ES"",""EN"")"),"buy 45%")</f>
        <v>buy 45%</v>
      </c>
      <c r="R5204" s="34" t="s">
        <v>17026</v>
      </c>
      <c r="S5204" s="52" t="s">
        <v>36828</v>
      </c>
      <c r="T5204" s="22" t="s">
        <v>36829</v>
      </c>
    </row>
    <row r="5205">
      <c r="A5205" s="23" t="s">
        <v>36865</v>
      </c>
      <c r="B5205" s="77" t="s">
        <v>36866</v>
      </c>
      <c r="C5205" s="96">
        <v>45655.0</v>
      </c>
      <c r="D5205" s="40" t="s">
        <v>36867</v>
      </c>
      <c r="E5205" s="97" t="s">
        <v>36868</v>
      </c>
      <c r="F5205" s="98" t="s">
        <v>36869</v>
      </c>
      <c r="G5205" s="98" t="s">
        <v>36870</v>
      </c>
      <c r="H5205" s="59" t="s">
        <v>2591</v>
      </c>
      <c r="I5205" s="25" t="str">
        <f>IFERROR(__xludf.DUMMYFUNCTION("GOOGLETRANSLATE(H5205,""EN"",""ES"")"),"Negocio")</f>
        <v>Negocio</v>
      </c>
      <c r="J5205" s="26" t="s">
        <v>35</v>
      </c>
      <c r="K5205" s="48">
        <v>0.7</v>
      </c>
      <c r="L5205" s="51" t="s">
        <v>36871</v>
      </c>
      <c r="M5205" s="28" t="s">
        <v>36872</v>
      </c>
      <c r="N5205" s="47" t="s">
        <v>36873</v>
      </c>
      <c r="O5205" s="47" t="str">
        <f>IFERROR(__xludf.DUMMYFUNCTION("GOOGLETRANSLATE(N5205,""EN"",""ES"")"),"Positivo, destacando la celebración del acuerdo de compra.")</f>
        <v>Positivo, destacando la celebración del acuerdo de compra.</v>
      </c>
      <c r="P5205" s="30">
        <v>-0.3</v>
      </c>
      <c r="Q5205" s="31" t="str">
        <f>IFERROR(__xludf.DUMMYFUNCTION("GOOGLETRANSLATE(R5205,""ES"",""EN"")"),"45% purchase")</f>
        <v>45% purchase</v>
      </c>
      <c r="R5205" s="28" t="s">
        <v>36827</v>
      </c>
      <c r="S5205" s="53" t="s">
        <v>36828</v>
      </c>
      <c r="T5205" s="32" t="s">
        <v>36829</v>
      </c>
    </row>
    <row r="5206">
      <c r="A5206" s="33" t="s">
        <v>36874</v>
      </c>
      <c r="B5206" s="76" t="s">
        <v>36875</v>
      </c>
      <c r="C5206" s="99">
        <v>45655.0</v>
      </c>
      <c r="D5206" s="40" t="s">
        <v>36876</v>
      </c>
      <c r="E5206" s="100" t="s">
        <v>36877</v>
      </c>
      <c r="F5206" s="101" t="s">
        <v>36878</v>
      </c>
      <c r="G5206" s="101" t="s">
        <v>36879</v>
      </c>
      <c r="H5206" s="61" t="s">
        <v>2591</v>
      </c>
      <c r="I5206" s="15" t="str">
        <f>IFERROR(__xludf.DUMMYFUNCTION("GOOGLETRANSLATE(H5206,""EN"",""ES"")"),"Negocio")</f>
        <v>Negocio</v>
      </c>
      <c r="J5206" s="16" t="s">
        <v>35</v>
      </c>
      <c r="K5206" s="48">
        <v>0.7</v>
      </c>
      <c r="L5206" s="49" t="s">
        <v>36880</v>
      </c>
      <c r="M5206" s="34" t="s">
        <v>36881</v>
      </c>
      <c r="N5206" s="44" t="s">
        <v>36882</v>
      </c>
      <c r="O5206" s="44" t="str">
        <f>IFERROR(__xludf.DUMMYFUNCTION("GOOGLETRANSLATE(N5206,""EN"",""ES"")"),"Positivo, que marca la finalización de una transacción clave.")</f>
        <v>Positivo, que marca la finalización de una transacción clave.</v>
      </c>
      <c r="P5206" s="30">
        <v>-0.3</v>
      </c>
      <c r="Q5206" s="18" t="str">
        <f>IFERROR(__xludf.DUMMYFUNCTION("GOOGLETRANSLATE(R5206,""ES"",""EN"")"),"45% purchase")</f>
        <v>45% purchase</v>
      </c>
      <c r="R5206" s="34" t="s">
        <v>36827</v>
      </c>
      <c r="S5206" s="52" t="s">
        <v>36828</v>
      </c>
      <c r="T5206" s="22" t="s">
        <v>36829</v>
      </c>
    </row>
    <row r="5207">
      <c r="A5207" s="23" t="s">
        <v>36883</v>
      </c>
      <c r="B5207" s="77" t="s">
        <v>217</v>
      </c>
      <c r="C5207" s="96">
        <v>45656.0</v>
      </c>
      <c r="D5207" s="40" t="s">
        <v>36884</v>
      </c>
      <c r="E5207" s="97" t="s">
        <v>36885</v>
      </c>
      <c r="F5207" s="98" t="s">
        <v>36886</v>
      </c>
      <c r="G5207" s="98" t="s">
        <v>36887</v>
      </c>
      <c r="H5207" s="59" t="s">
        <v>2591</v>
      </c>
      <c r="I5207" s="25" t="str">
        <f>IFERROR(__xludf.DUMMYFUNCTION("GOOGLETRANSLATE(H5207,""EN"",""ES"")"),"Negocio")</f>
        <v>Negocio</v>
      </c>
      <c r="J5207" s="26" t="s">
        <v>35</v>
      </c>
      <c r="K5207" s="48">
        <v>0.7</v>
      </c>
      <c r="L5207" s="51" t="s">
        <v>36888</v>
      </c>
      <c r="M5207" s="28" t="s">
        <v>36889</v>
      </c>
      <c r="N5207" s="47" t="s">
        <v>36890</v>
      </c>
      <c r="O5207" s="47" t="str">
        <f>IFERROR(__xludf.DUMMYFUNCTION("GOOGLETRANSLATE(N5207,""EN"",""ES"")"),"Positivo, mostrando la adquisición de activos de Ecopetrol en Colombia.")</f>
        <v>Positivo, mostrando la adquisición de activos de Ecopetrol en Colombia.</v>
      </c>
      <c r="P5207" s="30">
        <v>-0.5</v>
      </c>
      <c r="Q5207" s="31" t="str">
        <f>IFERROR(__xludf.DUMMYFUNCTION("GOOGLETRANSLATE(R5207,""ES"",""EN"")"),"seizes assets")</f>
        <v>seizes assets</v>
      </c>
      <c r="R5207" s="28" t="s">
        <v>36891</v>
      </c>
      <c r="S5207" s="53" t="s">
        <v>36892</v>
      </c>
      <c r="T5207" s="32" t="s">
        <v>36893</v>
      </c>
    </row>
    <row r="5208">
      <c r="A5208" s="33" t="s">
        <v>36894</v>
      </c>
      <c r="B5208" s="76" t="s">
        <v>9516</v>
      </c>
      <c r="C5208" s="99">
        <v>45656.0</v>
      </c>
      <c r="D5208" s="40" t="s">
        <v>36895</v>
      </c>
      <c r="E5208" s="100" t="s">
        <v>36896</v>
      </c>
      <c r="F5208" s="101" t="s">
        <v>36897</v>
      </c>
      <c r="G5208" s="101" t="s">
        <v>36898</v>
      </c>
      <c r="H5208" s="61" t="s">
        <v>395</v>
      </c>
      <c r="I5208" s="15" t="str">
        <f>IFERROR(__xludf.DUMMYFUNCTION("GOOGLETRANSLATE(H5208,""EN"",""ES"")"),"Ambiente")</f>
        <v>Ambiente</v>
      </c>
      <c r="J5208" s="16" t="s">
        <v>35</v>
      </c>
      <c r="K5208" s="48">
        <v>0.9</v>
      </c>
      <c r="L5208" s="49" t="s">
        <v>36899</v>
      </c>
      <c r="M5208" s="34" t="s">
        <v>36900</v>
      </c>
      <c r="N5208" s="44" t="s">
        <v>36901</v>
      </c>
      <c r="O5208" s="44" t="str">
        <f>IFERROR(__xludf.DUMMYFUNCTION("GOOGLETRANSLATE(N5208,""EN"",""ES"")"),"Positivo, destacando el liderazgo de Repsol en energías renovables.")</f>
        <v>Positivo, destacando el liderazgo de Repsol en energías renovables.</v>
      </c>
      <c r="P5208" s="30">
        <v>0.8</v>
      </c>
      <c r="Q5208" s="18" t="str">
        <f>IFERROR(__xludf.DUMMYFUNCTION("GOOGLETRANSLATE(R5208,""ES"",""EN"")"),"leads energy transition, ""renewable fuel""")</f>
        <v>leads energy transition, "renewable fuel"</v>
      </c>
      <c r="R5208" s="34" t="s">
        <v>36902</v>
      </c>
      <c r="S5208" s="52" t="s">
        <v>11276</v>
      </c>
      <c r="T5208" s="22" t="s">
        <v>11277</v>
      </c>
    </row>
    <row r="5209">
      <c r="A5209" s="23" t="s">
        <v>36903</v>
      </c>
      <c r="B5209" s="77" t="s">
        <v>6759</v>
      </c>
      <c r="C5209" s="96">
        <v>45656.0</v>
      </c>
      <c r="D5209" s="40" t="s">
        <v>36904</v>
      </c>
      <c r="E5209" s="97" t="s">
        <v>36905</v>
      </c>
      <c r="F5209" s="98" t="s">
        <v>36906</v>
      </c>
      <c r="G5209" s="98" t="s">
        <v>36907</v>
      </c>
      <c r="H5209" s="59" t="s">
        <v>395</v>
      </c>
      <c r="I5209" s="25" t="str">
        <f>IFERROR(__xludf.DUMMYFUNCTION("GOOGLETRANSLATE(H5209,""EN"",""ES"")"),"Ambiente")</f>
        <v>Ambiente</v>
      </c>
      <c r="J5209" s="26" t="s">
        <v>35</v>
      </c>
      <c r="K5209" s="48">
        <v>0.9</v>
      </c>
      <c r="L5209" s="51" t="s">
        <v>36908</v>
      </c>
      <c r="M5209" s="28" t="s">
        <v>36909</v>
      </c>
      <c r="N5209" s="47" t="s">
        <v>36910</v>
      </c>
      <c r="O5209" s="47" t="str">
        <f>IFERROR(__xludf.DUMMYFUNCTION("GOOGLETRANSLATE(N5209,""EN"",""ES"")"),"Positivo, reforzando la posición de Repsol en el mercado de la energía sostenible.")</f>
        <v>Positivo, reforzando la posición de Repsol en el mercado de la energía sostenible.</v>
      </c>
      <c r="P5209" s="30">
        <v>0.9</v>
      </c>
      <c r="Q5209" s="31" t="str">
        <f>IFERROR(__xludf.DUMMYFUNCTION("GOOGLETRANSLATE(R5209,""ES"",""EN"")"),"European leader, ""sustainable fuels""")</f>
        <v>European leader, "sustainable fuels"</v>
      </c>
      <c r="R5209" s="28" t="s">
        <v>36911</v>
      </c>
      <c r="S5209" s="53" t="s">
        <v>36912</v>
      </c>
      <c r="T5209" s="32" t="s">
        <v>36913</v>
      </c>
    </row>
    <row r="5210">
      <c r="A5210" s="33" t="s">
        <v>36914</v>
      </c>
      <c r="B5210" s="76" t="s">
        <v>499</v>
      </c>
      <c r="C5210" s="99">
        <v>45656.0</v>
      </c>
      <c r="D5210" s="40" t="s">
        <v>36915</v>
      </c>
      <c r="E5210" s="100" t="s">
        <v>36916</v>
      </c>
      <c r="F5210" s="101" t="s">
        <v>36917</v>
      </c>
      <c r="G5210" s="101" t="s">
        <v>36918</v>
      </c>
      <c r="H5210" s="61" t="s">
        <v>2591</v>
      </c>
      <c r="I5210" s="15" t="str">
        <f>IFERROR(__xludf.DUMMYFUNCTION("GOOGLETRANSLATE(H5210,""EN"",""ES"")"),"Negocio")</f>
        <v>Negocio</v>
      </c>
      <c r="J5210" s="16" t="s">
        <v>35</v>
      </c>
      <c r="K5210" s="48">
        <v>0.8</v>
      </c>
      <c r="L5210" s="49" t="s">
        <v>36919</v>
      </c>
      <c r="M5210" s="18" t="s">
        <v>36920</v>
      </c>
      <c r="N5210" s="44" t="s">
        <v>36921</v>
      </c>
      <c r="O5210" s="44" t="str">
        <f>IFERROR(__xludf.DUMMYFUNCTION("GOOGLETRANSLATE(N5210,""EN"",""ES"")"),"Positivo, destacando el acuerdo entre Ecopetrol y Repsol.")</f>
        <v>Positivo, destacando el acuerdo entre Ecopetrol y Repsol.</v>
      </c>
      <c r="P5210" s="30">
        <v>-0.3</v>
      </c>
      <c r="Q5210" s="18" t="str">
        <f>IFERROR(__xludf.DUMMYFUNCTION("GOOGLETRANSLATE(R5210,""ES"",""EN"")"),"45% purchase")</f>
        <v>45% purchase</v>
      </c>
      <c r="R5210" s="34" t="s">
        <v>36827</v>
      </c>
      <c r="S5210" s="52" t="s">
        <v>36828</v>
      </c>
      <c r="T5210" s="22" t="s">
        <v>36829</v>
      </c>
    </row>
    <row r="5211">
      <c r="A5211" s="23" t="s">
        <v>36922</v>
      </c>
      <c r="B5211" s="77" t="s">
        <v>1192</v>
      </c>
      <c r="C5211" s="96">
        <v>45656.0</v>
      </c>
      <c r="D5211" s="40" t="s">
        <v>36923</v>
      </c>
      <c r="E5211" s="97" t="s">
        <v>36924</v>
      </c>
      <c r="F5211" s="98" t="s">
        <v>36925</v>
      </c>
      <c r="G5211" s="98" t="s">
        <v>36926</v>
      </c>
      <c r="H5211" s="59" t="s">
        <v>1975</v>
      </c>
      <c r="I5211" s="25" t="str">
        <f>IFERROR(__xludf.DUMMYFUNCTION("GOOGLETRANSLATE(H5211,""EN"",""ES"")"),"Política")</f>
        <v>Política</v>
      </c>
      <c r="J5211" s="26" t="s">
        <v>35</v>
      </c>
      <c r="K5211" s="48">
        <v>-0.7</v>
      </c>
      <c r="L5211" s="51" t="s">
        <v>36927</v>
      </c>
      <c r="M5211" s="28" t="s">
        <v>36928</v>
      </c>
      <c r="N5211" s="47" t="s">
        <v>36929</v>
      </c>
      <c r="O5211" s="47" t="str">
        <f>IFERROR(__xludf.DUMMYFUNCTION("GOOGLETRANSLATE(N5211,""EN"",""ES"")"),"Negativo, expresando preocupación por el impacto de la política tributaria en la inversión.")</f>
        <v>Negativo, expresando preocupación por el impacto de la política tributaria en la inversión.</v>
      </c>
      <c r="P5211" s="30">
        <v>-0.7</v>
      </c>
      <c r="Q5211" s="31" t="str">
        <f>IFERROR(__xludf.DUMMYFUNCTION("GOOGLETRANSLATE(R5211,""ES"",""EN"")"),"imposed, ""would make it impossible""")</f>
        <v>imposed, "would make it impossible"</v>
      </c>
      <c r="R5211" s="28" t="s">
        <v>36930</v>
      </c>
      <c r="S5211" s="53" t="s">
        <v>32728</v>
      </c>
      <c r="T5211" s="32" t="s">
        <v>32729</v>
      </c>
    </row>
    <row r="5212">
      <c r="A5212" s="33" t="s">
        <v>36931</v>
      </c>
      <c r="B5212" s="76" t="s">
        <v>4038</v>
      </c>
      <c r="C5212" s="99">
        <v>45656.0</v>
      </c>
      <c r="D5212" s="40" t="s">
        <v>36932</v>
      </c>
      <c r="E5212" s="100" t="s">
        <v>36933</v>
      </c>
      <c r="F5212" s="101" t="s">
        <v>36934</v>
      </c>
      <c r="G5212" s="101" t="s">
        <v>36935</v>
      </c>
      <c r="H5212" s="61" t="s">
        <v>33554</v>
      </c>
      <c r="I5212" s="15" t="str">
        <f>IFERROR(__xludf.DUMMYFUNCTION("GOOGLETRANSLATE(H5212,""EN"",""ES"")"),"Alimento")</f>
        <v>Alimento</v>
      </c>
      <c r="J5212" s="16" t="s">
        <v>27</v>
      </c>
      <c r="K5212" s="17">
        <v>0.0</v>
      </c>
      <c r="L5212" s="49"/>
      <c r="M5212" s="18"/>
      <c r="N5212" s="44"/>
      <c r="O5212" s="44"/>
      <c r="P5212" s="20">
        <v>0.0</v>
      </c>
      <c r="Q5212" s="18"/>
      <c r="R5212" s="18"/>
      <c r="S5212" s="52"/>
      <c r="T5212" s="22"/>
    </row>
    <row r="5213">
      <c r="A5213" s="23" t="s">
        <v>36936</v>
      </c>
      <c r="B5213" s="77" t="s">
        <v>4832</v>
      </c>
      <c r="C5213" s="96">
        <v>45656.0</v>
      </c>
      <c r="D5213" s="40" t="s">
        <v>36937</v>
      </c>
      <c r="E5213" s="97" t="s">
        <v>36938</v>
      </c>
      <c r="F5213" s="98" t="s">
        <v>36939</v>
      </c>
      <c r="G5213" s="98" t="s">
        <v>36940</v>
      </c>
      <c r="H5213" s="59" t="s">
        <v>48</v>
      </c>
      <c r="I5213" s="25" t="str">
        <f>IFERROR(__xludf.DUMMYFUNCTION("GOOGLETRANSLATE(H5213,""EN"",""ES"")"),"Finanzas")</f>
        <v>Finanzas</v>
      </c>
      <c r="J5213" s="26" t="s">
        <v>35</v>
      </c>
      <c r="K5213" s="48">
        <v>0.6</v>
      </c>
      <c r="L5213" s="51" t="s">
        <v>36941</v>
      </c>
      <c r="M5213" s="28" t="s">
        <v>36941</v>
      </c>
      <c r="N5213" s="47" t="s">
        <v>36942</v>
      </c>
      <c r="O5213" s="47" t="str">
        <f>IFERROR(__xludf.DUMMYFUNCTION("GOOGLETRANSLATE(N5213,""EN"",""ES"")"),"Positivo, destacando el buen comportamiento de Repsol en bolsa.")</f>
        <v>Positivo, destacando el buen comportamiento de Repsol en bolsa.</v>
      </c>
      <c r="P5213" s="30">
        <v>0.0</v>
      </c>
      <c r="Q5213" s="31"/>
      <c r="R5213" s="31"/>
      <c r="S5213" s="53" t="s">
        <v>27387</v>
      </c>
      <c r="T5213" s="32" t="s">
        <v>27388</v>
      </c>
    </row>
    <row r="5214">
      <c r="A5214" s="33" t="s">
        <v>36943</v>
      </c>
      <c r="B5214" s="76" t="s">
        <v>626</v>
      </c>
      <c r="C5214" s="99">
        <v>45656.0</v>
      </c>
      <c r="D5214" s="40" t="s">
        <v>36944</v>
      </c>
      <c r="E5214" s="100" t="s">
        <v>36945</v>
      </c>
      <c r="F5214" s="101" t="s">
        <v>36946</v>
      </c>
      <c r="G5214" s="101" t="s">
        <v>36947</v>
      </c>
      <c r="H5214" s="61" t="s">
        <v>1975</v>
      </c>
      <c r="I5214" s="15" t="str">
        <f>IFERROR(__xludf.DUMMYFUNCTION("GOOGLETRANSLATE(H5214,""EN"",""ES"")"),"Política")</f>
        <v>Política</v>
      </c>
      <c r="J5214" s="16" t="s">
        <v>35</v>
      </c>
      <c r="K5214" s="48">
        <v>-0.7</v>
      </c>
      <c r="L5214" s="49" t="s">
        <v>36948</v>
      </c>
      <c r="M5214" s="34" t="s">
        <v>36949</v>
      </c>
      <c r="N5214" s="44" t="s">
        <v>36950</v>
      </c>
      <c r="O5214" s="44" t="str">
        <f>IFERROR(__xludf.DUMMYFUNCTION("GOOGLETRANSLATE(N5214,""EN"",""ES"")"),"Negativo, destacando preocupaciones sobre las políticas fiscales.")</f>
        <v>Negativo, destacando preocupaciones sobre las políticas fiscales.</v>
      </c>
      <c r="P5214" s="30">
        <v>-0.6</v>
      </c>
      <c r="Q5214" s="18" t="str">
        <f>IFERROR(__xludf.DUMMYFUNCTION("GOOGLETRANSLATE(R5214,""ES"",""EN"")"),"investment impossible")</f>
        <v>investment impossible</v>
      </c>
      <c r="R5214" s="34" t="s">
        <v>36951</v>
      </c>
      <c r="S5214" s="52" t="s">
        <v>32728</v>
      </c>
      <c r="T5214" s="22" t="s">
        <v>32729</v>
      </c>
    </row>
    <row r="5215">
      <c r="A5215" s="23" t="s">
        <v>36952</v>
      </c>
      <c r="B5215" s="77" t="s">
        <v>36953</v>
      </c>
      <c r="C5215" s="96">
        <v>45656.0</v>
      </c>
      <c r="D5215" s="40" t="s">
        <v>36954</v>
      </c>
      <c r="E5215" s="97" t="s">
        <v>36955</v>
      </c>
      <c r="F5215" s="98" t="s">
        <v>36956</v>
      </c>
      <c r="G5215" s="98" t="s">
        <v>36957</v>
      </c>
      <c r="H5215" s="59" t="s">
        <v>1975</v>
      </c>
      <c r="I5215" s="25" t="str">
        <f>IFERROR(__xludf.DUMMYFUNCTION("GOOGLETRANSLATE(H5215,""EN"",""ES"")"),"Política")</f>
        <v>Política</v>
      </c>
      <c r="J5215" s="26" t="s">
        <v>35</v>
      </c>
      <c r="K5215" s="48">
        <v>-0.7</v>
      </c>
      <c r="L5215" s="51" t="s">
        <v>36958</v>
      </c>
      <c r="M5215" s="28" t="s">
        <v>36959</v>
      </c>
      <c r="N5215" s="47" t="s">
        <v>36960</v>
      </c>
      <c r="O5215" s="47" t="str">
        <f>IFERROR(__xludf.DUMMYFUNCTION("GOOGLETRANSLATE(N5215,""EN"",""ES"")"),"Negativo, criticando las políticas del Gobierno.")</f>
        <v>Negativo, criticando las políticas del Gobierno.</v>
      </c>
      <c r="P5215" s="30">
        <v>-0.7</v>
      </c>
      <c r="Q5215" s="31" t="str">
        <f>IFERROR(__xludf.DUMMYFUNCTION("GOOGLETRANSLATE(R5215,""ES"",""EN"")"),"criticizes, ""hindering investment""")</f>
        <v>criticizes, "hindering investment"</v>
      </c>
      <c r="R5215" s="28" t="s">
        <v>36961</v>
      </c>
      <c r="S5215" s="53" t="s">
        <v>34392</v>
      </c>
      <c r="T5215" s="32" t="s">
        <v>26998</v>
      </c>
    </row>
    <row r="5216">
      <c r="A5216" s="33" t="s">
        <v>36962</v>
      </c>
      <c r="B5216" s="76" t="s">
        <v>9569</v>
      </c>
      <c r="C5216" s="99">
        <v>45656.0</v>
      </c>
      <c r="D5216" s="40" t="s">
        <v>36963</v>
      </c>
      <c r="E5216" s="100" t="s">
        <v>36964</v>
      </c>
      <c r="F5216" s="101" t="s">
        <v>36965</v>
      </c>
      <c r="G5216" s="101" t="s">
        <v>36966</v>
      </c>
      <c r="H5216" s="61" t="s">
        <v>1975</v>
      </c>
      <c r="I5216" s="15" t="str">
        <f>IFERROR(__xludf.DUMMYFUNCTION("GOOGLETRANSLATE(H5216,""EN"",""ES"")"),"Política")</f>
        <v>Política</v>
      </c>
      <c r="J5216" s="16" t="s">
        <v>35</v>
      </c>
      <c r="K5216" s="48">
        <v>-0.6</v>
      </c>
      <c r="L5216" s="49" t="s">
        <v>36967</v>
      </c>
      <c r="M5216" s="34" t="s">
        <v>36967</v>
      </c>
      <c r="N5216" s="44" t="s">
        <v>36968</v>
      </c>
      <c r="O5216" s="44" t="str">
        <f>IFERROR(__xludf.DUMMYFUNCTION("GOOGLETRANSLATE(N5216,""EN"",""ES"")"),"Negativo, destacando la mayor carga financiera para las empresas energéticas.")</f>
        <v>Negativo, destacando la mayor carga financiera para las empresas energéticas.</v>
      </c>
      <c r="P5216" s="30">
        <v>-0.8</v>
      </c>
      <c r="Q5216" s="18" t="str">
        <f>IFERROR(__xludf.DUMMYFUNCTION("GOOGLETRANSLATE(R5216,""ES"",""EN"")"),"blow, ""contribution goes up""")</f>
        <v>blow, "contribution goes up"</v>
      </c>
      <c r="R5216" s="34" t="s">
        <v>36969</v>
      </c>
      <c r="S5216" s="52" t="s">
        <v>36970</v>
      </c>
      <c r="T5216" s="22" t="s">
        <v>36971</v>
      </c>
    </row>
    <row r="5217">
      <c r="A5217" s="23" t="s">
        <v>36972</v>
      </c>
      <c r="B5217" s="77" t="s">
        <v>18030</v>
      </c>
      <c r="C5217" s="96">
        <v>45656.0</v>
      </c>
      <c r="D5217" s="40" t="s">
        <v>36973</v>
      </c>
      <c r="E5217" s="97" t="s">
        <v>36974</v>
      </c>
      <c r="F5217" s="98" t="s">
        <v>36975</v>
      </c>
      <c r="G5217" s="98" t="s">
        <v>36976</v>
      </c>
      <c r="H5217" s="59" t="s">
        <v>2591</v>
      </c>
      <c r="I5217" s="25" t="str">
        <f>IFERROR(__xludf.DUMMYFUNCTION("GOOGLETRANSLATE(H5217,""EN"",""ES"")"),"Negocio")</f>
        <v>Negocio</v>
      </c>
      <c r="J5217" s="26" t="s">
        <v>35</v>
      </c>
      <c r="K5217" s="48">
        <v>0.8</v>
      </c>
      <c r="L5217" s="51" t="s">
        <v>36977</v>
      </c>
      <c r="M5217" s="28" t="s">
        <v>36978</v>
      </c>
      <c r="N5217" s="47" t="s">
        <v>36979</v>
      </c>
      <c r="O5217" s="47" t="str">
        <f>IFERROR(__xludf.DUMMYFUNCTION("GOOGLETRANSLATE(N5217,""EN"",""ES"")"),"Positivo, confirmando la adquisición de un importante activo por parte de Ecopetrol.")</f>
        <v>Positivo, confirmando la adquisición de un importante activo por parte de Ecopetrol.</v>
      </c>
      <c r="P5217" s="30">
        <v>-0.3</v>
      </c>
      <c r="Q5217" s="31" t="str">
        <f>IFERROR(__xludf.DUMMYFUNCTION("GOOGLETRANSLATE(R5217,""ES"",""EN"")"),"acquires participation")</f>
        <v>acquires participation</v>
      </c>
      <c r="R5217" s="28" t="s">
        <v>36980</v>
      </c>
      <c r="S5217" s="53" t="s">
        <v>36828</v>
      </c>
      <c r="T5217" s="32" t="s">
        <v>36829</v>
      </c>
    </row>
    <row r="5218">
      <c r="A5218" s="33" t="s">
        <v>36981</v>
      </c>
      <c r="B5218" s="76" t="s">
        <v>103</v>
      </c>
      <c r="C5218" s="99">
        <v>45656.0</v>
      </c>
      <c r="D5218" s="40" t="s">
        <v>36982</v>
      </c>
      <c r="E5218" s="100" t="s">
        <v>36983</v>
      </c>
      <c r="F5218" s="101" t="s">
        <v>36984</v>
      </c>
      <c r="G5218" s="101" t="s">
        <v>36985</v>
      </c>
      <c r="H5218" s="61" t="s">
        <v>48</v>
      </c>
      <c r="I5218" s="15" t="str">
        <f>IFERROR(__xludf.DUMMYFUNCTION("GOOGLETRANSLATE(H5218,""EN"",""ES"")"),"Finanzas")</f>
        <v>Finanzas</v>
      </c>
      <c r="J5218" s="16" t="s">
        <v>27</v>
      </c>
      <c r="K5218" s="17">
        <v>0.0</v>
      </c>
      <c r="L5218" s="49"/>
      <c r="M5218" s="18"/>
      <c r="N5218" s="44"/>
      <c r="O5218" s="44"/>
      <c r="P5218" s="20">
        <v>0.0</v>
      </c>
      <c r="Q5218" s="18"/>
      <c r="R5218" s="18"/>
      <c r="S5218" s="52"/>
      <c r="T5218" s="22"/>
    </row>
    <row r="5219">
      <c r="A5219" s="23" t="s">
        <v>36986</v>
      </c>
      <c r="B5219" s="77" t="s">
        <v>23934</v>
      </c>
      <c r="C5219" s="96">
        <v>45656.0</v>
      </c>
      <c r="D5219" s="40" t="s">
        <v>36987</v>
      </c>
      <c r="E5219" s="97" t="s">
        <v>36988</v>
      </c>
      <c r="F5219" s="98" t="s">
        <v>36989</v>
      </c>
      <c r="G5219" s="98" t="s">
        <v>36990</v>
      </c>
      <c r="H5219" s="59" t="s">
        <v>1975</v>
      </c>
      <c r="I5219" s="25" t="str">
        <f>IFERROR(__xludf.DUMMYFUNCTION("GOOGLETRANSLATE(H5219,""EN"",""ES"")"),"Política")</f>
        <v>Política</v>
      </c>
      <c r="J5219" s="26" t="s">
        <v>35</v>
      </c>
      <c r="K5219" s="48">
        <v>-0.7</v>
      </c>
      <c r="L5219" s="51" t="s">
        <v>36991</v>
      </c>
      <c r="M5219" s="28" t="s">
        <v>36992</v>
      </c>
      <c r="N5219" s="47" t="s">
        <v>36993</v>
      </c>
      <c r="O5219" s="47" t="str">
        <f>IFERROR(__xludf.DUMMYFUNCTION("GOOGLETRANSLATE(N5219,""EN"",""ES"")"),"Negativo, Imaz sigue oponiéndose al impuesto sobre la energía.")</f>
        <v>Negativo, Imaz sigue oponiéndose al impuesto sobre la energía.</v>
      </c>
      <c r="P5219" s="30">
        <v>-0.5</v>
      </c>
      <c r="Q5219" s="31" t="str">
        <f>IFERROR(__xludf.DUMMYFUNCTION("GOOGLETRANSLATE(R5219,""ES"",""EN"")"),"shoot against the tax")</f>
        <v>shoot against the tax</v>
      </c>
      <c r="R5219" s="28" t="s">
        <v>36994</v>
      </c>
      <c r="S5219" s="53" t="s">
        <v>34392</v>
      </c>
      <c r="T5219" s="32" t="s">
        <v>26998</v>
      </c>
    </row>
    <row r="5220">
      <c r="A5220" s="33" t="s">
        <v>36995</v>
      </c>
      <c r="B5220" s="76" t="s">
        <v>36996</v>
      </c>
      <c r="C5220" s="99">
        <v>45656.0</v>
      </c>
      <c r="D5220" s="40" t="s">
        <v>36997</v>
      </c>
      <c r="E5220" s="100" t="s">
        <v>36998</v>
      </c>
      <c r="F5220" s="101" t="s">
        <v>36999</v>
      </c>
      <c r="G5220" s="101" t="s">
        <v>37000</v>
      </c>
      <c r="H5220" s="61" t="s">
        <v>2591</v>
      </c>
      <c r="I5220" s="15" t="str">
        <f>IFERROR(__xludf.DUMMYFUNCTION("GOOGLETRANSLATE(H5220,""EN"",""ES"")"),"Negocio")</f>
        <v>Negocio</v>
      </c>
      <c r="J5220" s="16" t="s">
        <v>35</v>
      </c>
      <c r="K5220" s="48">
        <v>0.8</v>
      </c>
      <c r="L5220" s="49" t="s">
        <v>37001</v>
      </c>
      <c r="M5220" s="18" t="s">
        <v>37002</v>
      </c>
      <c r="N5220" s="44" t="s">
        <v>37003</v>
      </c>
      <c r="O5220" s="44" t="str">
        <f>IFERROR(__xludf.DUMMYFUNCTION("GOOGLETRANSLATE(N5220,""EN"",""ES"")"),"Positivo, destacando la adquisición de Ecopetrol.")</f>
        <v>Positivo, destacando la adquisición de Ecopetrol.</v>
      </c>
      <c r="P5220" s="30">
        <v>-0.3</v>
      </c>
      <c r="Q5220" s="18" t="str">
        <f>IFERROR(__xludf.DUMMYFUNCTION("GOOGLETRANSLATE(R5220,""ES"",""EN"")"),"45% purchase")</f>
        <v>45% purchase</v>
      </c>
      <c r="R5220" s="34" t="s">
        <v>36827</v>
      </c>
      <c r="S5220" s="52" t="s">
        <v>36828</v>
      </c>
      <c r="T5220" s="22" t="s">
        <v>36829</v>
      </c>
    </row>
    <row r="5221">
      <c r="A5221" s="23" t="s">
        <v>37004</v>
      </c>
      <c r="B5221" s="77" t="s">
        <v>163</v>
      </c>
      <c r="C5221" s="96">
        <v>45656.0</v>
      </c>
      <c r="D5221" s="40" t="s">
        <v>37005</v>
      </c>
      <c r="E5221" s="97" t="s">
        <v>37006</v>
      </c>
      <c r="F5221" s="98" t="s">
        <v>37007</v>
      </c>
      <c r="G5221" s="98" t="s">
        <v>37008</v>
      </c>
      <c r="H5221" s="59" t="s">
        <v>36736</v>
      </c>
      <c r="I5221" s="25" t="str">
        <f>IFERROR(__xludf.DUMMYFUNCTION("GOOGLETRANSLATE(H5221,""EN"",""ES"")"),"Asesoramiento al consumidor")</f>
        <v>Asesoramiento al consumidor</v>
      </c>
      <c r="J5221" s="26" t="s">
        <v>27</v>
      </c>
      <c r="K5221" s="17">
        <v>0.0</v>
      </c>
      <c r="L5221" s="51"/>
      <c r="M5221" s="31"/>
      <c r="N5221" s="47"/>
      <c r="O5221" s="47"/>
      <c r="P5221" s="20">
        <v>0.0</v>
      </c>
      <c r="Q5221" s="31"/>
      <c r="R5221" s="31"/>
      <c r="S5221" s="53"/>
      <c r="T5221" s="32"/>
    </row>
    <row r="5222">
      <c r="A5222" s="33" t="s">
        <v>37009</v>
      </c>
      <c r="B5222" s="76" t="s">
        <v>35249</v>
      </c>
      <c r="C5222" s="99">
        <v>45656.0</v>
      </c>
      <c r="D5222" s="40" t="s">
        <v>37010</v>
      </c>
      <c r="E5222" s="100" t="s">
        <v>37011</v>
      </c>
      <c r="F5222" s="101" t="s">
        <v>37012</v>
      </c>
      <c r="G5222" s="101" t="s">
        <v>37013</v>
      </c>
      <c r="H5222" s="61" t="s">
        <v>2591</v>
      </c>
      <c r="I5222" s="15" t="str">
        <f>IFERROR(__xludf.DUMMYFUNCTION("GOOGLETRANSLATE(H5222,""EN"",""ES"")"),"Negocio")</f>
        <v>Negocio</v>
      </c>
      <c r="J5222" s="16" t="s">
        <v>35</v>
      </c>
      <c r="K5222" s="48">
        <v>0.8</v>
      </c>
      <c r="L5222" s="49" t="s">
        <v>37014</v>
      </c>
      <c r="M5222" s="34" t="s">
        <v>37014</v>
      </c>
      <c r="N5222" s="44" t="s">
        <v>37015</v>
      </c>
      <c r="O5222" s="44" t="str">
        <f>IFERROR(__xludf.DUMMYFUNCTION("GOOGLETRANSLATE(N5222,""EN"",""ES"")"),"Positivo, detallando el crecimiento de Ecopetrol en reservas y producción.")</f>
        <v>Positivo, detallando el crecimiento de Ecopetrol en reservas y producción.</v>
      </c>
      <c r="P5222" s="30">
        <v>-0.4</v>
      </c>
      <c r="Q5222" s="18" t="str">
        <f>IFERROR(__xludf.DUMMYFUNCTION("GOOGLETRANSLATE(R5222,""ES"",""EN"")"),"stays with the whole")</f>
        <v>stays with the whole</v>
      </c>
      <c r="R5222" s="34" t="s">
        <v>37016</v>
      </c>
      <c r="S5222" s="52" t="s">
        <v>37017</v>
      </c>
      <c r="T5222" s="22" t="s">
        <v>37018</v>
      </c>
    </row>
    <row r="5223">
      <c r="A5223" s="23" t="s">
        <v>37019</v>
      </c>
      <c r="B5223" s="77" t="s">
        <v>14852</v>
      </c>
      <c r="C5223" s="96">
        <v>45656.0</v>
      </c>
      <c r="D5223" s="40" t="s">
        <v>37020</v>
      </c>
      <c r="E5223" s="97" t="s">
        <v>37021</v>
      </c>
      <c r="F5223" s="98" t="s">
        <v>37022</v>
      </c>
      <c r="G5223" s="98" t="s">
        <v>37023</v>
      </c>
      <c r="H5223" s="59" t="s">
        <v>2591</v>
      </c>
      <c r="I5223" s="25" t="str">
        <f>IFERROR(__xludf.DUMMYFUNCTION("GOOGLETRANSLATE(H5223,""EN"",""ES"")"),"Negocio")</f>
        <v>Negocio</v>
      </c>
      <c r="J5223" s="26" t="s">
        <v>35</v>
      </c>
      <c r="K5223" s="48">
        <v>0.7</v>
      </c>
      <c r="L5223" s="51" t="s">
        <v>37024</v>
      </c>
      <c r="M5223" s="28" t="s">
        <v>37025</v>
      </c>
      <c r="N5223" s="47" t="s">
        <v>37026</v>
      </c>
      <c r="O5223" s="47" t="str">
        <f>IFERROR(__xludf.DUMMYFUNCTION("GOOGLETRANSLATE(N5223,""EN"",""ES"")"),"Positivo, marcando la finalización de la transacción.")</f>
        <v>Positivo, marcando la finalización de la transacción.</v>
      </c>
      <c r="P5223" s="30">
        <v>-0.5</v>
      </c>
      <c r="Q5223" s="31" t="str">
        <f>IFERROR(__xludf.DUMMYFUNCTION("GOOGLETRANSLATE(R5223,""ES"",""EN"")"),"he kept the last")</f>
        <v>he kept the last</v>
      </c>
      <c r="R5223" s="28" t="s">
        <v>37027</v>
      </c>
      <c r="S5223" s="53" t="s">
        <v>37028</v>
      </c>
      <c r="T5223" s="32" t="s">
        <v>37029</v>
      </c>
    </row>
    <row r="5224">
      <c r="A5224" s="33" t="s">
        <v>37030</v>
      </c>
      <c r="B5224" s="76" t="s">
        <v>24117</v>
      </c>
      <c r="C5224" s="99">
        <v>45656.0</v>
      </c>
      <c r="D5224" s="40" t="s">
        <v>37031</v>
      </c>
      <c r="E5224" s="100" t="s">
        <v>37032</v>
      </c>
      <c r="F5224" s="101" t="s">
        <v>37033</v>
      </c>
      <c r="G5224" s="101" t="s">
        <v>37034</v>
      </c>
      <c r="H5224" s="61" t="s">
        <v>2591</v>
      </c>
      <c r="I5224" s="15" t="str">
        <f>IFERROR(__xludf.DUMMYFUNCTION("GOOGLETRANSLATE(H5224,""EN"",""ES"")"),"Negocio")</f>
        <v>Negocio</v>
      </c>
      <c r="J5224" s="16" t="s">
        <v>35</v>
      </c>
      <c r="K5224" s="48">
        <v>0.8</v>
      </c>
      <c r="L5224" s="49" t="s">
        <v>37035</v>
      </c>
      <c r="M5224" s="34" t="s">
        <v>37036</v>
      </c>
      <c r="N5224" s="44" t="s">
        <v>37037</v>
      </c>
      <c r="O5224" s="44" t="str">
        <f>IFERROR(__xludf.DUMMYFUNCTION("GOOGLETRANSLATE(N5224,""EN"",""ES"")"),"Positivo, reforzando la exitosa adquisición de Ecopetrol.")</f>
        <v>Positivo, reforzando la exitosa adquisición de Ecopetrol.</v>
      </c>
      <c r="P5224" s="30">
        <v>-0.3</v>
      </c>
      <c r="Q5224" s="18" t="str">
        <f>IFERROR(__xludf.DUMMYFUNCTION("GOOGLETRANSLATE(R5224,""ES"",""EN"")"),"bought 45%")</f>
        <v>bought 45%</v>
      </c>
      <c r="R5224" s="34" t="s">
        <v>36847</v>
      </c>
      <c r="S5224" s="52" t="s">
        <v>36828</v>
      </c>
      <c r="T5224" s="22" t="s">
        <v>36829</v>
      </c>
    </row>
    <row r="5225">
      <c r="A5225" s="23" t="s">
        <v>37038</v>
      </c>
      <c r="B5225" s="77" t="s">
        <v>37039</v>
      </c>
      <c r="C5225" s="96">
        <v>45656.0</v>
      </c>
      <c r="D5225" s="40" t="s">
        <v>37040</v>
      </c>
      <c r="E5225" s="97" t="s">
        <v>37041</v>
      </c>
      <c r="F5225" s="98" t="s">
        <v>37042</v>
      </c>
      <c r="G5225" s="98" t="s">
        <v>37043</v>
      </c>
      <c r="H5225" s="59" t="s">
        <v>2591</v>
      </c>
      <c r="I5225" s="25" t="str">
        <f>IFERROR(__xludf.DUMMYFUNCTION("GOOGLETRANSLATE(H5225,""EN"",""ES"")"),"Negocio")</f>
        <v>Negocio</v>
      </c>
      <c r="J5225" s="26" t="s">
        <v>35</v>
      </c>
      <c r="K5225" s="48">
        <v>0.8</v>
      </c>
      <c r="L5225" s="51" t="s">
        <v>37044</v>
      </c>
      <c r="M5225" s="28" t="s">
        <v>37045</v>
      </c>
      <c r="N5225" s="47" t="s">
        <v>37046</v>
      </c>
      <c r="O5225" s="47" t="str">
        <f>IFERROR(__xludf.DUMMYFUNCTION("GOOGLETRANSLATE(N5225,""EN"",""ES"")"),"Positivo, centrándose en las reservas añadidas mediante la adquisición.")</f>
        <v>Positivo, centrándose en las reservas añadidas mediante la adquisición.</v>
      </c>
      <c r="P5225" s="30">
        <v>-0.3</v>
      </c>
      <c r="Q5225" s="31" t="str">
        <f>IFERROR(__xludf.DUMMYFUNCTION("GOOGLETRANSLATE(R5225,""ES"",""EN"")"),"bought 45%")</f>
        <v>bought 45%</v>
      </c>
      <c r="R5225" s="28" t="s">
        <v>36847</v>
      </c>
      <c r="S5225" s="53" t="s">
        <v>36828</v>
      </c>
      <c r="T5225" s="32" t="s">
        <v>36829</v>
      </c>
    </row>
    <row r="5226">
      <c r="A5226" s="33" t="s">
        <v>37047</v>
      </c>
      <c r="B5226" s="76" t="s">
        <v>36839</v>
      </c>
      <c r="C5226" s="99">
        <v>45656.0</v>
      </c>
      <c r="D5226" s="40" t="s">
        <v>37048</v>
      </c>
      <c r="E5226" s="100" t="s">
        <v>37049</v>
      </c>
      <c r="F5226" s="101" t="s">
        <v>37050</v>
      </c>
      <c r="G5226" s="101" t="s">
        <v>37051</v>
      </c>
      <c r="H5226" s="61" t="s">
        <v>2591</v>
      </c>
      <c r="I5226" s="15" t="str">
        <f>IFERROR(__xludf.DUMMYFUNCTION("GOOGLETRANSLATE(H5226,""EN"",""ES"")"),"Negocio")</f>
        <v>Negocio</v>
      </c>
      <c r="J5226" s="16" t="s">
        <v>35</v>
      </c>
      <c r="K5226" s="48">
        <v>0.8</v>
      </c>
      <c r="L5226" s="49" t="s">
        <v>36807</v>
      </c>
      <c r="M5226" s="34" t="s">
        <v>36808</v>
      </c>
      <c r="N5226" s="44" t="s">
        <v>37052</v>
      </c>
      <c r="O5226" s="44" t="str">
        <f>IFERROR(__xludf.DUMMYFUNCTION("GOOGLETRANSLATE(N5226,""EN"",""ES"")"),"Positivo, lo que subraya el dominio de Ecopetrol sobre el bloque.")</f>
        <v>Positivo, lo que subraya el dominio de Ecopetrol sobre el bloque.</v>
      </c>
      <c r="P5226" s="30">
        <v>-0.5</v>
      </c>
      <c r="Q5226" s="18" t="str">
        <f>IFERROR(__xludf.DUMMYFUNCTION("GOOGLETRANSLATE(R5226,""ES"",""EN"")"),"acquires 100%")</f>
        <v>acquires 100%</v>
      </c>
      <c r="R5226" s="34" t="s">
        <v>37053</v>
      </c>
      <c r="S5226" s="52" t="s">
        <v>37028</v>
      </c>
      <c r="T5226" s="22" t="s">
        <v>37029</v>
      </c>
    </row>
    <row r="5227">
      <c r="A5227" s="37" t="s">
        <v>37054</v>
      </c>
      <c r="B5227" s="77" t="s">
        <v>36875</v>
      </c>
      <c r="C5227" s="96">
        <v>45656.0</v>
      </c>
      <c r="D5227" s="40" t="s">
        <v>37055</v>
      </c>
      <c r="E5227" s="97" t="s">
        <v>37056</v>
      </c>
      <c r="F5227" s="98" t="s">
        <v>37057</v>
      </c>
      <c r="G5227" s="98" t="s">
        <v>37058</v>
      </c>
      <c r="H5227" s="59" t="s">
        <v>2591</v>
      </c>
      <c r="I5227" s="25" t="str">
        <f>IFERROR(__xludf.DUMMYFUNCTION("GOOGLETRANSLATE(H5227,""EN"",""ES"")"),"Negocio")</f>
        <v>Negocio</v>
      </c>
      <c r="J5227" s="26" t="s">
        <v>35</v>
      </c>
      <c r="K5227" s="48">
        <v>0.7</v>
      </c>
      <c r="L5227" s="51" t="s">
        <v>37059</v>
      </c>
      <c r="M5227" s="28" t="s">
        <v>37060</v>
      </c>
      <c r="N5227" s="47" t="s">
        <v>37061</v>
      </c>
      <c r="O5227" s="47" t="str">
        <f>IFERROR(__xludf.DUMMYFUNCTION("GOOGLETRANSLATE(N5227,""EN"",""ES"")"),"Positivo, mostrando el rol de Ecopetrol en la seguridad energética.")</f>
        <v>Positivo, mostrando el rol de Ecopetrol en la seguridad energética.</v>
      </c>
      <c r="P5227" s="30">
        <v>0.0</v>
      </c>
      <c r="Q5227" s="31"/>
      <c r="R5227" s="31"/>
      <c r="S5227" s="53" t="s">
        <v>37062</v>
      </c>
      <c r="T5227" s="32" t="s">
        <v>37063</v>
      </c>
    </row>
    <row r="5228">
      <c r="A5228" s="33" t="s">
        <v>37064</v>
      </c>
      <c r="B5228" s="76" t="s">
        <v>1072</v>
      </c>
      <c r="C5228" s="99">
        <v>45657.0</v>
      </c>
      <c r="D5228" s="40" t="s">
        <v>37065</v>
      </c>
      <c r="E5228" s="100" t="s">
        <v>37066</v>
      </c>
      <c r="F5228" s="101" t="s">
        <v>37067</v>
      </c>
      <c r="G5228" s="101" t="s">
        <v>37068</v>
      </c>
      <c r="H5228" s="61" t="s">
        <v>2591</v>
      </c>
      <c r="I5228" s="15" t="str">
        <f>IFERROR(__xludf.DUMMYFUNCTION("GOOGLETRANSLATE(H5228,""EN"",""ES"")"),"Negocio")</f>
        <v>Negocio</v>
      </c>
      <c r="J5228" s="16" t="s">
        <v>35</v>
      </c>
      <c r="K5228" s="48">
        <v>0.6</v>
      </c>
      <c r="L5228" s="49" t="s">
        <v>37069</v>
      </c>
      <c r="M5228" s="34" t="s">
        <v>37070</v>
      </c>
      <c r="N5228" s="44" t="s">
        <v>37071</v>
      </c>
      <c r="O5228" s="44" t="str">
        <f>IFERROR(__xludf.DUMMYFUNCTION("GOOGLETRANSLATE(N5228,""EN"",""ES"")"),"Positivo, que supone el regreso de Repsol a Libia tras un largo paréntesis.")</f>
        <v>Positivo, que supone el regreso de Repsol a Libia tras un largo paréntesis.</v>
      </c>
      <c r="P5228" s="30">
        <v>0.5</v>
      </c>
      <c r="Q5228" s="18" t="str">
        <f>IFERROR(__xludf.DUMMYFUNCTION("GOOGLETRANSLATE(R5228,""ES"",""EN"")"),"resume activities")</f>
        <v>resume activities</v>
      </c>
      <c r="R5228" s="34" t="s">
        <v>37072</v>
      </c>
      <c r="S5228" s="52" t="s">
        <v>37073</v>
      </c>
      <c r="T5228" s="22" t="s">
        <v>37074</v>
      </c>
    </row>
    <row r="5229">
      <c r="A5229" s="23" t="s">
        <v>37075</v>
      </c>
      <c r="B5229" s="77" t="s">
        <v>74</v>
      </c>
      <c r="C5229" s="96">
        <v>45657.0</v>
      </c>
      <c r="D5229" s="40" t="s">
        <v>37076</v>
      </c>
      <c r="E5229" s="97" t="s">
        <v>37077</v>
      </c>
      <c r="F5229" s="98" t="s">
        <v>37078</v>
      </c>
      <c r="G5229" s="98" t="s">
        <v>37079</v>
      </c>
      <c r="H5229" s="59" t="s">
        <v>408</v>
      </c>
      <c r="I5229" s="25" t="str">
        <f>IFERROR(__xludf.DUMMYFUNCTION("GOOGLETRANSLATE(H5229,""EN"",""ES"")"),"Legal")</f>
        <v>Legal</v>
      </c>
      <c r="J5229" s="26" t="s">
        <v>35</v>
      </c>
      <c r="K5229" s="48">
        <v>-0.8</v>
      </c>
      <c r="L5229" s="51" t="s">
        <v>37080</v>
      </c>
      <c r="M5229" s="28" t="s">
        <v>37081</v>
      </c>
      <c r="N5229" s="47" t="s">
        <v>37082</v>
      </c>
      <c r="O5229" s="47" t="str">
        <f>IFERROR(__xludf.DUMMYFUNCTION("GOOGLETRANSLATE(N5229,""EN"",""ES"")"),"Negativo, destacando una demanda contra Repsol y otros del sector petrolero.")</f>
        <v>Negativo, destacando una demanda contra Repsol y otros del sector petrolero.</v>
      </c>
      <c r="P5229" s="30">
        <v>-0.8</v>
      </c>
      <c r="Q5229" s="31" t="str">
        <f>IFERROR(__xludf.DUMMYFUNCTION("GOOGLETRANSLATE(R5229,""ES"",""EN"")"),"they sue Repsol")</f>
        <v>they sue Repsol</v>
      </c>
      <c r="R5229" s="28" t="s">
        <v>37083</v>
      </c>
      <c r="S5229" s="53" t="s">
        <v>37084</v>
      </c>
      <c r="T5229" s="32" t="s">
        <v>37085</v>
      </c>
    </row>
    <row r="5230">
      <c r="A5230" s="33" t="s">
        <v>37086</v>
      </c>
      <c r="B5230" s="76" t="s">
        <v>192</v>
      </c>
      <c r="C5230" s="99">
        <v>45657.0</v>
      </c>
      <c r="D5230" s="40" t="s">
        <v>37076</v>
      </c>
      <c r="E5230" s="100" t="s">
        <v>37087</v>
      </c>
      <c r="F5230" s="101" t="s">
        <v>37078</v>
      </c>
      <c r="G5230" s="101" t="s">
        <v>37088</v>
      </c>
      <c r="H5230" s="61" t="s">
        <v>408</v>
      </c>
      <c r="I5230" s="15" t="str">
        <f>IFERROR(__xludf.DUMMYFUNCTION("GOOGLETRANSLATE(H5230,""EN"",""ES"")"),"Legal")</f>
        <v>Legal</v>
      </c>
      <c r="J5230" s="16" t="s">
        <v>35</v>
      </c>
      <c r="K5230" s="48">
        <v>-0.8</v>
      </c>
      <c r="L5230" s="49" t="s">
        <v>37089</v>
      </c>
      <c r="M5230" s="34" t="s">
        <v>37090</v>
      </c>
      <c r="N5230" s="44" t="s">
        <v>37091</v>
      </c>
      <c r="O5230" s="44" t="str">
        <f>IFERROR(__xludf.DUMMYFUNCTION("GOOGLETRANSLATE(N5230,""EN"",""ES"")"),"Negativo, destacando la disputa legal en curso.")</f>
        <v>Negativo, destacando la disputa legal en curso.</v>
      </c>
      <c r="P5230" s="30">
        <v>-0.8</v>
      </c>
      <c r="Q5230" s="18" t="str">
        <f>IFERROR(__xludf.DUMMYFUNCTION("GOOGLETRANSLATE(R5230,""ES"",""EN"")"),"they sue Repsol")</f>
        <v>they sue Repsol</v>
      </c>
      <c r="R5230" s="34" t="s">
        <v>37083</v>
      </c>
      <c r="S5230" s="52" t="s">
        <v>37092</v>
      </c>
      <c r="T5230" s="22" t="s">
        <v>37093</v>
      </c>
    </row>
    <row r="5231">
      <c r="A5231" s="23" t="s">
        <v>37094</v>
      </c>
      <c r="B5231" s="77" t="s">
        <v>43</v>
      </c>
      <c r="C5231" s="96">
        <v>45657.0</v>
      </c>
      <c r="D5231" s="40" t="s">
        <v>37095</v>
      </c>
      <c r="E5231" s="97" t="s">
        <v>37096</v>
      </c>
      <c r="F5231" s="98" t="s">
        <v>37097</v>
      </c>
      <c r="G5231" s="98" t="s">
        <v>37098</v>
      </c>
      <c r="H5231" s="59" t="s">
        <v>2591</v>
      </c>
      <c r="I5231" s="25" t="str">
        <f>IFERROR(__xludf.DUMMYFUNCTION("GOOGLETRANSLATE(H5231,""EN"",""ES"")"),"Negocio")</f>
        <v>Negocio</v>
      </c>
      <c r="J5231" s="26" t="s">
        <v>35</v>
      </c>
      <c r="K5231" s="48">
        <v>0.8</v>
      </c>
      <c r="L5231" s="51" t="s">
        <v>37099</v>
      </c>
      <c r="M5231" s="28" t="s">
        <v>37100</v>
      </c>
      <c r="N5231" s="47" t="s">
        <v>37101</v>
      </c>
      <c r="O5231" s="47" t="str">
        <f>IFERROR(__xludf.DUMMYFUNCTION("GOOGLETRANSLATE(N5231,""EN"",""ES"")"),"Positivo, mostrando el crecimiento de Repsol en energías renovables.")</f>
        <v>Positivo, mostrando el crecimiento de Repsol en energías renovables.</v>
      </c>
      <c r="P5231" s="30">
        <v>0.8</v>
      </c>
      <c r="Q5231" s="31" t="str">
        <f>IFERROR(__xludf.DUMMYFUNCTION("GOOGLETRANSLATE(R5231,""ES"",""EN"")"),"renewable power")</f>
        <v>renewable power</v>
      </c>
      <c r="R5231" s="28" t="s">
        <v>37102</v>
      </c>
      <c r="S5231" s="53" t="s">
        <v>32789</v>
      </c>
      <c r="T5231" s="32" t="s">
        <v>32790</v>
      </c>
    </row>
    <row r="5232">
      <c r="A5232" s="33" t="s">
        <v>37103</v>
      </c>
      <c r="B5232" s="76" t="s">
        <v>666</v>
      </c>
      <c r="C5232" s="99">
        <v>45657.0</v>
      </c>
      <c r="D5232" s="40" t="s">
        <v>37104</v>
      </c>
      <c r="E5232" s="100" t="s">
        <v>37105</v>
      </c>
      <c r="F5232" s="101" t="s">
        <v>37106</v>
      </c>
      <c r="G5232" s="101" t="s">
        <v>37107</v>
      </c>
      <c r="H5232" s="61" t="s">
        <v>408</v>
      </c>
      <c r="I5232" s="15" t="str">
        <f>IFERROR(__xludf.DUMMYFUNCTION("GOOGLETRANSLATE(H5232,""EN"",""ES"")"),"Legal")</f>
        <v>Legal</v>
      </c>
      <c r="J5232" s="16" t="s">
        <v>35</v>
      </c>
      <c r="K5232" s="48">
        <v>-0.7</v>
      </c>
      <c r="L5232" s="49" t="s">
        <v>37108</v>
      </c>
      <c r="M5232" s="34" t="s">
        <v>37109</v>
      </c>
      <c r="N5232" s="44" t="s">
        <v>37110</v>
      </c>
      <c r="O5232" s="44" t="str">
        <f>IFERROR(__xludf.DUMMYFUNCTION("GOOGLETRANSLATE(N5232,""EN"",""ES"")"),"Negativo, otra mención al proceso judicial en curso contra las compañías petroleras.")</f>
        <v>Negativo, otra mención al proceso judicial en curso contra las compañías petroleras.</v>
      </c>
      <c r="P5232" s="30">
        <v>-0.7</v>
      </c>
      <c r="Q5232" s="18" t="str">
        <f>IFERROR(__xludf.DUMMYFUNCTION("GOOGLETRANSLATE(R5232,""ES"",""EN"")"),"sue Repsol")</f>
        <v>sue Repsol</v>
      </c>
      <c r="R5232" s="34" t="s">
        <v>37111</v>
      </c>
      <c r="S5232" s="52" t="s">
        <v>35628</v>
      </c>
      <c r="T5232" s="22" t="s">
        <v>35629</v>
      </c>
    </row>
    <row r="5233">
      <c r="A5233" s="23" t="s">
        <v>37112</v>
      </c>
      <c r="B5233" s="77" t="s">
        <v>217</v>
      </c>
      <c r="C5233" s="96">
        <v>45657.0</v>
      </c>
      <c r="D5233" s="40" t="s">
        <v>37113</v>
      </c>
      <c r="E5233" s="97" t="s">
        <v>37114</v>
      </c>
      <c r="F5233" s="98" t="s">
        <v>37115</v>
      </c>
      <c r="G5233" s="98" t="s">
        <v>37116</v>
      </c>
      <c r="H5233" s="59" t="s">
        <v>408</v>
      </c>
      <c r="I5233" s="25" t="str">
        <f>IFERROR(__xludf.DUMMYFUNCTION("GOOGLETRANSLATE(H5233,""EN"",""ES"")"),"Legal")</f>
        <v>Legal</v>
      </c>
      <c r="J5233" s="26" t="s">
        <v>35</v>
      </c>
      <c r="K5233" s="48">
        <v>-0.8</v>
      </c>
      <c r="L5233" s="51" t="s">
        <v>37117</v>
      </c>
      <c r="M5233" s="28" t="s">
        <v>37118</v>
      </c>
      <c r="N5233" s="47" t="s">
        <v>37119</v>
      </c>
      <c r="O5233" s="47" t="str">
        <f>IFERROR(__xludf.DUMMYFUNCTION("GOOGLETRANSLATE(N5233,""EN"",""ES"")"),"Negativo, destacando las acciones legales emprendidas contra las empresas.")</f>
        <v>Negativo, destacando las acciones legales emprendidas contra las empresas.</v>
      </c>
      <c r="P5233" s="30">
        <v>-0.8</v>
      </c>
      <c r="Q5233" s="31" t="str">
        <f>IFERROR(__xludf.DUMMYFUNCTION("GOOGLETRANSLATE(R5233,""ES"",""EN"")"),"sue Repsol")</f>
        <v>sue Repsol</v>
      </c>
      <c r="R5233" s="28" t="s">
        <v>37111</v>
      </c>
      <c r="S5233" s="53" t="s">
        <v>37084</v>
      </c>
      <c r="T5233" s="32" t="s">
        <v>37085</v>
      </c>
    </row>
    <row r="5234">
      <c r="A5234" s="33" t="s">
        <v>37120</v>
      </c>
      <c r="B5234" s="76" t="s">
        <v>163</v>
      </c>
      <c r="C5234" s="99">
        <v>45657.0</v>
      </c>
      <c r="D5234" s="40" t="s">
        <v>37121</v>
      </c>
      <c r="E5234" s="100" t="s">
        <v>37122</v>
      </c>
      <c r="F5234" s="101" t="s">
        <v>37123</v>
      </c>
      <c r="G5234" s="101" t="s">
        <v>37124</v>
      </c>
      <c r="H5234" s="61" t="s">
        <v>2591</v>
      </c>
      <c r="I5234" s="15" t="str">
        <f>IFERROR(__xludf.DUMMYFUNCTION("GOOGLETRANSLATE(H5234,""EN"",""ES"")"),"Negocio")</f>
        <v>Negocio</v>
      </c>
      <c r="J5234" s="16" t="s">
        <v>35</v>
      </c>
      <c r="K5234" s="48">
        <v>0.8</v>
      </c>
      <c r="L5234" s="49" t="s">
        <v>37125</v>
      </c>
      <c r="M5234" s="34" t="s">
        <v>37126</v>
      </c>
      <c r="N5234" s="44" t="s">
        <v>37127</v>
      </c>
      <c r="O5234" s="44" t="str">
        <f>IFERROR(__xludf.DUMMYFUNCTION("GOOGLETRANSLATE(N5234,""EN"",""ES"")"),"Positivo, confirmando el fuerte posicionamiento de Repsol en energías renovables.")</f>
        <v>Positivo, confirmando el fuerte posicionamiento de Repsol en energías renovables.</v>
      </c>
      <c r="P5234" s="30">
        <v>0.8</v>
      </c>
      <c r="Q5234" s="18" t="str">
        <f>IFERROR(__xludf.DUMMYFUNCTION("GOOGLETRANSLATE(R5234,""ES"",""EN"")"),"renewable capacity")</f>
        <v>renewable capacity</v>
      </c>
      <c r="R5234" s="34" t="s">
        <v>37128</v>
      </c>
      <c r="S5234" s="52" t="s">
        <v>32789</v>
      </c>
      <c r="T5234" s="22" t="s">
        <v>32790</v>
      </c>
    </row>
    <row r="5235">
      <c r="A5235" s="23" t="s">
        <v>37129</v>
      </c>
      <c r="B5235" s="77" t="s">
        <v>85</v>
      </c>
      <c r="C5235" s="96">
        <v>45657.0</v>
      </c>
      <c r="D5235" s="40" t="s">
        <v>37130</v>
      </c>
      <c r="E5235" s="97" t="s">
        <v>37131</v>
      </c>
      <c r="F5235" s="98" t="s">
        <v>37078</v>
      </c>
      <c r="G5235" s="98" t="s">
        <v>37132</v>
      </c>
      <c r="H5235" s="59" t="s">
        <v>408</v>
      </c>
      <c r="I5235" s="25" t="str">
        <f>IFERROR(__xludf.DUMMYFUNCTION("GOOGLETRANSLATE(H5235,""EN"",""ES"")"),"Legal")</f>
        <v>Legal</v>
      </c>
      <c r="J5235" s="26" t="s">
        <v>35</v>
      </c>
      <c r="K5235" s="48">
        <v>-0.7</v>
      </c>
      <c r="L5235" s="51" t="s">
        <v>37133</v>
      </c>
      <c r="M5235" s="28" t="s">
        <v>37134</v>
      </c>
      <c r="N5235" s="47" t="s">
        <v>37135</v>
      </c>
      <c r="O5235" s="47" t="str">
        <f>IFERROR(__xludf.DUMMYFUNCTION("GOOGLETRANSLATE(N5235,""EN"",""ES"")"),"Negativo, centrándose en la demanda contra las empresas.")</f>
        <v>Negativo, centrándose en la demanda contra las empresas.</v>
      </c>
      <c r="P5235" s="30">
        <v>-0.8</v>
      </c>
      <c r="Q5235" s="31" t="str">
        <f>IFERROR(__xludf.DUMMYFUNCTION("GOOGLETRANSLATE(R5235,""ES"",""EN"")"),"sue Repsol")</f>
        <v>sue Repsol</v>
      </c>
      <c r="R5235" s="28" t="s">
        <v>37111</v>
      </c>
      <c r="S5235" s="53" t="s">
        <v>37092</v>
      </c>
      <c r="T5235" s="32" t="s">
        <v>37093</v>
      </c>
    </row>
    <row r="5236">
      <c r="A5236" s="33" t="s">
        <v>37136</v>
      </c>
      <c r="B5236" s="76" t="s">
        <v>9404</v>
      </c>
      <c r="C5236" s="99">
        <v>45657.0</v>
      </c>
      <c r="D5236" s="40" t="s">
        <v>37137</v>
      </c>
      <c r="E5236" s="100" t="s">
        <v>37138</v>
      </c>
      <c r="F5236" s="101" t="s">
        <v>37139</v>
      </c>
      <c r="G5236" s="101" t="s">
        <v>37140</v>
      </c>
      <c r="H5236" s="61" t="s">
        <v>408</v>
      </c>
      <c r="I5236" s="15" t="str">
        <f>IFERROR(__xludf.DUMMYFUNCTION("GOOGLETRANSLATE(H5236,""EN"",""ES"")"),"Legal")</f>
        <v>Legal</v>
      </c>
      <c r="J5236" s="16" t="s">
        <v>35</v>
      </c>
      <c r="K5236" s="48">
        <v>-0.7</v>
      </c>
      <c r="L5236" s="49" t="s">
        <v>37141</v>
      </c>
      <c r="M5236" s="34" t="s">
        <v>37142</v>
      </c>
      <c r="N5236" s="44" t="s">
        <v>37143</v>
      </c>
      <c r="O5236" s="44" t="str">
        <f>IFERROR(__xludf.DUMMYFUNCTION("GOOGLETRANSLATE(N5236,""EN"",""ES"")"),"Negativo, continúa la batalla legal con reclamaciones de precios fijos.")</f>
        <v>Negativo, continúa la batalla legal con reclamaciones de precios fijos.</v>
      </c>
      <c r="P5236" s="30">
        <v>-0.8</v>
      </c>
      <c r="Q5236" s="18" t="str">
        <f>IFERROR(__xludf.DUMMYFUNCTION("GOOGLETRANSLATE(R5236,""ES"",""EN"")"),"claims 600 million")</f>
        <v>claims 600 million</v>
      </c>
      <c r="R5236" s="34" t="s">
        <v>37144</v>
      </c>
      <c r="S5236" s="52" t="s">
        <v>37084</v>
      </c>
      <c r="T5236" s="22" t="s">
        <v>37085</v>
      </c>
    </row>
    <row r="5237">
      <c r="A5237" s="23" t="s">
        <v>37145</v>
      </c>
      <c r="B5237" s="77" t="s">
        <v>68</v>
      </c>
      <c r="C5237" s="96">
        <v>45657.0</v>
      </c>
      <c r="D5237" s="40" t="s">
        <v>37146</v>
      </c>
      <c r="E5237" s="97" t="s">
        <v>37147</v>
      </c>
      <c r="F5237" s="98" t="s">
        <v>37148</v>
      </c>
      <c r="G5237" s="98" t="s">
        <v>37149</v>
      </c>
      <c r="H5237" s="59" t="s">
        <v>2591</v>
      </c>
      <c r="I5237" s="25" t="str">
        <f>IFERROR(__xludf.DUMMYFUNCTION("GOOGLETRANSLATE(H5237,""EN"",""ES"")"),"Negocio")</f>
        <v>Negocio</v>
      </c>
      <c r="J5237" s="26" t="s">
        <v>27</v>
      </c>
      <c r="K5237" s="17">
        <v>0.0</v>
      </c>
      <c r="L5237" s="51"/>
      <c r="M5237" s="31"/>
      <c r="N5237" s="47"/>
      <c r="O5237" s="47"/>
      <c r="P5237" s="20">
        <v>0.0</v>
      </c>
      <c r="Q5237" s="31"/>
      <c r="R5237" s="31"/>
      <c r="S5237" s="53"/>
      <c r="T5237" s="32"/>
    </row>
    <row r="5238">
      <c r="A5238" s="33" t="s">
        <v>37150</v>
      </c>
      <c r="B5238" s="76" t="s">
        <v>37151</v>
      </c>
      <c r="C5238" s="99">
        <v>45657.0</v>
      </c>
      <c r="D5238" s="40" t="s">
        <v>37152</v>
      </c>
      <c r="E5238" s="100" t="s">
        <v>37153</v>
      </c>
      <c r="F5238" s="101" t="s">
        <v>37154</v>
      </c>
      <c r="G5238" s="101" t="s">
        <v>37155</v>
      </c>
      <c r="H5238" s="61" t="s">
        <v>2591</v>
      </c>
      <c r="I5238" s="15" t="str">
        <f>IFERROR(__xludf.DUMMYFUNCTION("GOOGLETRANSLATE(H5238,""EN"",""ES"")"),"Negocio")</f>
        <v>Negocio</v>
      </c>
      <c r="J5238" s="16" t="s">
        <v>35</v>
      </c>
      <c r="K5238" s="48">
        <v>0.7</v>
      </c>
      <c r="L5238" s="49" t="s">
        <v>37156</v>
      </c>
      <c r="M5238" s="34" t="s">
        <v>37157</v>
      </c>
      <c r="N5238" s="44" t="s">
        <v>37158</v>
      </c>
      <c r="O5238" s="44" t="str">
        <f>IFERROR(__xludf.DUMMYFUNCTION("GOOGLETRANSLATE(N5238,""EN"",""ES"")"),"Positivo, actualizando al público sobre el proyecto del parque eólico.")</f>
        <v>Positivo, actualizando al público sobre el proyecto del parque eólico.</v>
      </c>
      <c r="P5238" s="30">
        <v>0.5</v>
      </c>
      <c r="Q5238" s="18" t="str">
        <f>IFERROR(__xludf.DUMMYFUNCTION("GOOGLETRANSLATE(R5238,""ES"",""EN"")"),"wind farms")</f>
        <v>wind farms</v>
      </c>
      <c r="R5238" s="34" t="s">
        <v>37159</v>
      </c>
      <c r="S5238" s="52" t="s">
        <v>34549</v>
      </c>
      <c r="T5238" s="22" t="s">
        <v>34550</v>
      </c>
    </row>
    <row r="5239">
      <c r="A5239" s="23" t="s">
        <v>37160</v>
      </c>
      <c r="B5239" s="77" t="s">
        <v>8029</v>
      </c>
      <c r="C5239" s="96">
        <v>45657.0</v>
      </c>
      <c r="D5239" s="40" t="s">
        <v>37161</v>
      </c>
      <c r="E5239" s="97" t="s">
        <v>37162</v>
      </c>
      <c r="F5239" s="98" t="s">
        <v>37163</v>
      </c>
      <c r="G5239" s="98" t="s">
        <v>37164</v>
      </c>
      <c r="H5239" s="59" t="s">
        <v>48</v>
      </c>
      <c r="I5239" s="25" t="str">
        <f>IFERROR(__xludf.DUMMYFUNCTION("GOOGLETRANSLATE(H5239,""EN"",""ES"")"),"Finanzas")</f>
        <v>Finanzas</v>
      </c>
      <c r="J5239" s="26" t="s">
        <v>35</v>
      </c>
      <c r="K5239" s="48">
        <v>0.6</v>
      </c>
      <c r="L5239" s="51" t="s">
        <v>37165</v>
      </c>
      <c r="M5239" s="28" t="s">
        <v>37166</v>
      </c>
      <c r="N5239" s="47" t="s">
        <v>37167</v>
      </c>
      <c r="O5239" s="47" t="str">
        <f>IFERROR(__xludf.DUMMYFUNCTION("GOOGLETRANSLATE(N5239,""EN"",""ES"")"),"Positivo, destacando la evolución de Repsol en bolsa.")</f>
        <v>Positivo, destacando la evolución de Repsol en bolsa.</v>
      </c>
      <c r="P5239" s="30">
        <v>0.0</v>
      </c>
      <c r="Q5239" s="31"/>
      <c r="R5239" s="31"/>
      <c r="S5239" s="53" t="s">
        <v>27387</v>
      </c>
      <c r="T5239" s="32" t="s">
        <v>27388</v>
      </c>
    </row>
    <row r="5240">
      <c r="A5240" s="33" t="s">
        <v>37168</v>
      </c>
      <c r="B5240" s="76" t="s">
        <v>1768</v>
      </c>
      <c r="C5240" s="99">
        <v>45657.0</v>
      </c>
      <c r="D5240" s="40" t="s">
        <v>37169</v>
      </c>
      <c r="E5240" s="100" t="s">
        <v>37170</v>
      </c>
      <c r="F5240" s="101" t="s">
        <v>37171</v>
      </c>
      <c r="G5240" s="101" t="s">
        <v>37172</v>
      </c>
      <c r="H5240" s="61" t="s">
        <v>14999</v>
      </c>
      <c r="I5240" s="15" t="str">
        <f>IFERROR(__xludf.DUMMYFUNCTION("GOOGLETRANSLATE(H5240,""EN"",""ES"")"),"Ambiental")</f>
        <v>Ambiental</v>
      </c>
      <c r="J5240" s="16" t="s">
        <v>35</v>
      </c>
      <c r="K5240" s="48">
        <v>-0.6</v>
      </c>
      <c r="L5240" s="49" t="s">
        <v>37173</v>
      </c>
      <c r="M5240" s="34" t="s">
        <v>37174</v>
      </c>
      <c r="N5240" s="44" t="s">
        <v>37175</v>
      </c>
      <c r="O5240" s="44" t="str">
        <f>IFERROR(__xludf.DUMMYFUNCTION("GOOGLETRANSLATE(N5240,""EN"",""ES"")"),"Negativo, debido a preocupaciones sobre el impacto ambiental.")</f>
        <v>Negativo, debido a preocupaciones sobre el impacto ambiental.</v>
      </c>
      <c r="P5240" s="30">
        <v>-0.6</v>
      </c>
      <c r="Q5240" s="18" t="str">
        <f>IFERROR(__xludf.DUMMYFUNCTION("GOOGLETRANSLATE(R5240,""ES"",""EN"")"),"allegations against")</f>
        <v>allegations against</v>
      </c>
      <c r="R5240" s="34" t="s">
        <v>37176</v>
      </c>
      <c r="S5240" s="52" t="s">
        <v>35832</v>
      </c>
      <c r="T5240" s="22" t="s">
        <v>35833</v>
      </c>
    </row>
    <row r="5241">
      <c r="A5241" s="23" t="s">
        <v>37177</v>
      </c>
      <c r="B5241" s="77" t="s">
        <v>23996</v>
      </c>
      <c r="C5241" s="96">
        <v>45657.0</v>
      </c>
      <c r="D5241" s="40" t="s">
        <v>37178</v>
      </c>
      <c r="E5241" s="97" t="s">
        <v>37179</v>
      </c>
      <c r="F5241" s="98" t="s">
        <v>37180</v>
      </c>
      <c r="G5241" s="98" t="s">
        <v>37181</v>
      </c>
      <c r="H5241" s="59" t="s">
        <v>408</v>
      </c>
      <c r="I5241" s="25" t="str">
        <f>IFERROR(__xludf.DUMMYFUNCTION("GOOGLETRANSLATE(H5241,""EN"",""ES"")"),"Legal")</f>
        <v>Legal</v>
      </c>
      <c r="J5241" s="26" t="s">
        <v>35</v>
      </c>
      <c r="K5241" s="48">
        <v>-0.8</v>
      </c>
      <c r="L5241" s="51" t="s">
        <v>37182</v>
      </c>
      <c r="M5241" s="28" t="s">
        <v>37183</v>
      </c>
      <c r="N5241" s="47" t="s">
        <v>37184</v>
      </c>
      <c r="O5241" s="47" t="str">
        <f>IFERROR(__xludf.DUMMYFUNCTION("GOOGLETRANSLATE(N5241,""EN"",""ES"")"),"Negativo, centrándose en el pleito por fijación de precios.")</f>
        <v>Negativo, centrándose en el pleito por fijación de precios.</v>
      </c>
      <c r="P5241" s="30">
        <v>-0.8</v>
      </c>
      <c r="Q5241" s="31" t="str">
        <f>IFERROR(__xludf.DUMMYFUNCTION("GOOGLETRANSLATE(R5241,""ES"",""EN"")"),"they sue Repsol")</f>
        <v>they sue Repsol</v>
      </c>
      <c r="R5241" s="28" t="s">
        <v>37083</v>
      </c>
      <c r="S5241" s="53" t="s">
        <v>37084</v>
      </c>
      <c r="T5241" s="32" t="s">
        <v>37085</v>
      </c>
    </row>
    <row r="5242">
      <c r="A5242" s="33" t="s">
        <v>37185</v>
      </c>
      <c r="B5242" s="76" t="s">
        <v>487</v>
      </c>
      <c r="C5242" s="99">
        <v>45657.0</v>
      </c>
      <c r="D5242" s="40" t="s">
        <v>37186</v>
      </c>
      <c r="E5242" s="100" t="s">
        <v>37187</v>
      </c>
      <c r="F5242" s="101" t="s">
        <v>37188</v>
      </c>
      <c r="G5242" s="101" t="s">
        <v>37189</v>
      </c>
      <c r="H5242" s="61" t="s">
        <v>3985</v>
      </c>
      <c r="I5242" s="15" t="str">
        <f>IFERROR(__xludf.DUMMYFUNCTION("GOOGLETRANSLATE(H5242,""EN"",""ES"")"),"Deportes")</f>
        <v>Deportes</v>
      </c>
      <c r="J5242" s="16" t="s">
        <v>27</v>
      </c>
      <c r="K5242" s="17">
        <v>0.0</v>
      </c>
      <c r="L5242" s="49"/>
      <c r="M5242" s="18"/>
      <c r="N5242" s="44"/>
      <c r="O5242" s="44"/>
      <c r="P5242" s="20">
        <v>0.0</v>
      </c>
      <c r="Q5242" s="18"/>
      <c r="R5242" s="18"/>
      <c r="S5242" s="52"/>
      <c r="T5242" s="22"/>
    </row>
    <row r="5243">
      <c r="A5243" s="23" t="s">
        <v>37190</v>
      </c>
      <c r="B5243" s="77" t="s">
        <v>239</v>
      </c>
      <c r="C5243" s="96">
        <v>45657.0</v>
      </c>
      <c r="D5243" s="40" t="s">
        <v>37191</v>
      </c>
      <c r="E5243" s="97" t="s">
        <v>37192</v>
      </c>
      <c r="F5243" s="98" t="s">
        <v>37193</v>
      </c>
      <c r="G5243" s="98" t="s">
        <v>37194</v>
      </c>
      <c r="H5243" s="59" t="s">
        <v>3985</v>
      </c>
      <c r="I5243" s="25" t="str">
        <f>IFERROR(__xludf.DUMMYFUNCTION("GOOGLETRANSLATE(H5243,""EN"",""ES"")"),"Deportes")</f>
        <v>Deportes</v>
      </c>
      <c r="J5243" s="26" t="s">
        <v>27</v>
      </c>
      <c r="K5243" s="17">
        <v>0.0</v>
      </c>
      <c r="L5243" s="51"/>
      <c r="M5243" s="31"/>
      <c r="N5243" s="47"/>
      <c r="O5243" s="47"/>
      <c r="P5243" s="20">
        <v>0.0</v>
      </c>
      <c r="Q5243" s="31"/>
      <c r="R5243" s="31"/>
      <c r="S5243" s="53"/>
      <c r="T5243" s="32"/>
    </row>
    <row r="5244">
      <c r="A5244" s="33" t="s">
        <v>37195</v>
      </c>
      <c r="B5244" s="76" t="s">
        <v>1072</v>
      </c>
      <c r="C5244" s="99">
        <v>45657.0</v>
      </c>
      <c r="D5244" s="40" t="s">
        <v>37196</v>
      </c>
      <c r="E5244" s="100" t="s">
        <v>37197</v>
      </c>
      <c r="F5244" s="101" t="s">
        <v>37198</v>
      </c>
      <c r="G5244" s="101" t="s">
        <v>37199</v>
      </c>
      <c r="H5244" s="61" t="s">
        <v>48</v>
      </c>
      <c r="I5244" s="15" t="str">
        <f>IFERROR(__xludf.DUMMYFUNCTION("GOOGLETRANSLATE(H5244,""EN"",""ES"")"),"Finanzas")</f>
        <v>Finanzas</v>
      </c>
      <c r="J5244" s="16" t="s">
        <v>35</v>
      </c>
      <c r="K5244" s="48">
        <v>0.8</v>
      </c>
      <c r="L5244" s="49" t="s">
        <v>37200</v>
      </c>
      <c r="M5244" s="34" t="s">
        <v>37201</v>
      </c>
      <c r="N5244" s="44" t="s">
        <v>37202</v>
      </c>
      <c r="O5244" s="44" t="str">
        <f>IFERROR(__xludf.DUMMYFUNCTION("GOOGLETRANSLATE(N5244,""EN"",""ES"")"),"Positivo, destacando el fuerte pago de dividendos por parte de Repsol.")</f>
        <v>Positivo, destacando el fuerte pago de dividendos por parte de Repsol.</v>
      </c>
      <c r="P5244" s="30">
        <v>0.5</v>
      </c>
      <c r="Q5244" s="18" t="str">
        <f>IFERROR(__xludf.DUMMYFUNCTION("GOOGLETRANSLATE(R5244,""ES"",""EN"")"),"dividend kings")</f>
        <v>dividend kings</v>
      </c>
      <c r="R5244" s="34" t="s">
        <v>37203</v>
      </c>
      <c r="S5244" s="52" t="s">
        <v>35758</v>
      </c>
      <c r="T5244" s="22" t="s">
        <v>35759</v>
      </c>
    </row>
    <row r="5245">
      <c r="A5245" s="109" t="s">
        <v>37204</v>
      </c>
      <c r="B5245" s="110" t="s">
        <v>8029</v>
      </c>
      <c r="C5245" s="111">
        <v>45657.0</v>
      </c>
      <c r="D5245" s="40" t="s">
        <v>37205</v>
      </c>
      <c r="E5245" s="112" t="s">
        <v>37206</v>
      </c>
      <c r="F5245" s="113" t="s">
        <v>37207</v>
      </c>
      <c r="G5245" s="113" t="s">
        <v>37208</v>
      </c>
      <c r="H5245" s="114" t="s">
        <v>48</v>
      </c>
      <c r="I5245" s="115" t="str">
        <f>IFERROR(__xludf.DUMMYFUNCTION("GOOGLETRANSLATE(H5245,""EN"",""ES"")"),"Finanzas")</f>
        <v>Finanzas</v>
      </c>
      <c r="J5245" s="116" t="s">
        <v>35</v>
      </c>
      <c r="K5245" s="48">
        <v>0.6</v>
      </c>
      <c r="L5245" s="51" t="s">
        <v>33734</v>
      </c>
      <c r="M5245" s="117" t="s">
        <v>33735</v>
      </c>
      <c r="N5245" s="118" t="s">
        <v>37209</v>
      </c>
      <c r="O5245" s="118" t="str">
        <f>IFERROR(__xludf.DUMMYFUNCTION("GOOGLETRANSLATE(N5245,""EN"",""ES"")"),"Positivo, mostrando la evolución de la acción y la rentabilidad por dividendo de Repsol.")</f>
        <v>Positivo, mostrando la evolución de la acción y la rentabilidad por dividendo de Repsol.</v>
      </c>
      <c r="P5245" s="30">
        <v>0.0</v>
      </c>
      <c r="Q5245" s="119"/>
      <c r="R5245" s="119"/>
      <c r="S5245" s="120" t="s">
        <v>27387</v>
      </c>
      <c r="T5245" s="121" t="s">
        <v>27388</v>
      </c>
    </row>
  </sheetData>
  <dataValidations>
    <dataValidation type="custom" allowBlank="1" showDropDown="1" sqref="C2:C5245">
      <formula1>OR(NOT(ISERROR(DATEVALUE(C2))), AND(ISNUMBER(C2), LEFT(CELL("format", C2))="D"))</formula1>
    </dataValidation>
    <dataValidation type="custom" allowBlank="1" showDropDown="1" sqref="K2:K5245">
      <formula1>AND(ISNUMBER(K2),(NOT(OR(NOT(ISERROR(DATEVALUE(K2))), AND(ISNUMBER(K2), LEFT(CELL("format", K2))="D")))))</formula1>
    </dataValidation>
    <dataValidation allowBlank="1" showDropDown="1" sqref="F2:G5245"/>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B966"/>
    <hyperlink r:id="rId967" ref="A967"/>
    <hyperlink r:id="rId968" ref="A968"/>
    <hyperlink r:id="rId969" ref="A969"/>
    <hyperlink r:id="rId970" ref="A970"/>
    <hyperlink r:id="rId971" ref="A971"/>
    <hyperlink r:id="rId972" ref="A972"/>
    <hyperlink r:id="rId973" ref="A973"/>
    <hyperlink r:id="rId974" ref="A974"/>
    <hyperlink r:id="rId975" ref="A975"/>
    <hyperlink r:id="rId976" ref="A976"/>
    <hyperlink r:id="rId977" ref="A977"/>
    <hyperlink r:id="rId978" ref="A978"/>
    <hyperlink r:id="rId979" ref="A979"/>
    <hyperlink r:id="rId980" ref="A980"/>
    <hyperlink r:id="rId981" ref="A981"/>
    <hyperlink r:id="rId982" ref="A982"/>
    <hyperlink r:id="rId983" ref="A983"/>
    <hyperlink r:id="rId984" ref="A984"/>
    <hyperlink r:id="rId985" ref="A985"/>
    <hyperlink r:id="rId986" ref="A986"/>
    <hyperlink r:id="rId987" ref="A987"/>
    <hyperlink r:id="rId988" ref="A988"/>
    <hyperlink r:id="rId989" ref="A989"/>
    <hyperlink r:id="rId990" ref="A990"/>
    <hyperlink r:id="rId991" ref="A991"/>
    <hyperlink r:id="rId992" ref="A992"/>
    <hyperlink r:id="rId993" ref="A993"/>
    <hyperlink r:id="rId994" ref="A994"/>
    <hyperlink r:id="rId995" ref="A995"/>
    <hyperlink r:id="rId996" ref="A996"/>
    <hyperlink r:id="rId997" ref="A997"/>
    <hyperlink r:id="rId998" ref="A998"/>
    <hyperlink r:id="rId999" ref="A999"/>
    <hyperlink r:id="rId1000" ref="A1000"/>
    <hyperlink r:id="rId1001" ref="A1001"/>
    <hyperlink r:id="rId1002" ref="A1002"/>
    <hyperlink r:id="rId1003" ref="A1003"/>
    <hyperlink r:id="rId1004" ref="A1004"/>
    <hyperlink r:id="rId1005" ref="A1005"/>
    <hyperlink r:id="rId1006" ref="A1006"/>
    <hyperlink r:id="rId1007" ref="A1007"/>
    <hyperlink r:id="rId1008" ref="A1008"/>
    <hyperlink r:id="rId1009" ref="A1009"/>
    <hyperlink r:id="rId1010" ref="A1010"/>
    <hyperlink r:id="rId1011" ref="A1011"/>
    <hyperlink r:id="rId1012" ref="A1012"/>
    <hyperlink r:id="rId1013" ref="A1013"/>
    <hyperlink r:id="rId1014" ref="A1014"/>
    <hyperlink r:id="rId1015" ref="A1015"/>
    <hyperlink r:id="rId1016" ref="A1016"/>
    <hyperlink r:id="rId1017" ref="A1017"/>
    <hyperlink r:id="rId1018" ref="A1018"/>
    <hyperlink r:id="rId1019" ref="A1019"/>
    <hyperlink r:id="rId1020" ref="A1020"/>
    <hyperlink r:id="rId1021" ref="A1021"/>
    <hyperlink r:id="rId1022" ref="A1022"/>
    <hyperlink r:id="rId1023" ref="A1023"/>
    <hyperlink r:id="rId1024" ref="A1024"/>
    <hyperlink r:id="rId1025" ref="A1025"/>
    <hyperlink r:id="rId1026" ref="A1026"/>
    <hyperlink r:id="rId1027" ref="A1027"/>
    <hyperlink r:id="rId1028" ref="A1028"/>
    <hyperlink r:id="rId1029" ref="A1029"/>
    <hyperlink r:id="rId1030" ref="A1030"/>
    <hyperlink r:id="rId1031" ref="A1031"/>
    <hyperlink r:id="rId1032" ref="A1032"/>
    <hyperlink r:id="rId1033" ref="A1033"/>
    <hyperlink r:id="rId1034" ref="A1034"/>
    <hyperlink r:id="rId1035" ref="A1035"/>
    <hyperlink r:id="rId1036" ref="A1036"/>
    <hyperlink r:id="rId1037" ref="A1037"/>
    <hyperlink r:id="rId1038" ref="A1038"/>
    <hyperlink r:id="rId1039" ref="A1039"/>
    <hyperlink r:id="rId1040" ref="A1040"/>
    <hyperlink r:id="rId1041" ref="A1041"/>
    <hyperlink r:id="rId1042" ref="A1042"/>
    <hyperlink r:id="rId1043" ref="A1043"/>
    <hyperlink r:id="rId1044" ref="A1044"/>
    <hyperlink r:id="rId1045" ref="A1045"/>
    <hyperlink r:id="rId1046" ref="A1046"/>
    <hyperlink r:id="rId1047" ref="A1047"/>
    <hyperlink r:id="rId1048" ref="A1048"/>
    <hyperlink r:id="rId1049" ref="A1049"/>
    <hyperlink r:id="rId1050" ref="A1050"/>
    <hyperlink r:id="rId1051" ref="A1051"/>
    <hyperlink r:id="rId1052" ref="A1052"/>
    <hyperlink r:id="rId1053" ref="A1053"/>
    <hyperlink r:id="rId1054" ref="A1054"/>
    <hyperlink r:id="rId1055" ref="A1055"/>
    <hyperlink r:id="rId1056" ref="A1056"/>
    <hyperlink r:id="rId1057" ref="A1057"/>
    <hyperlink r:id="rId1058" ref="A1058"/>
    <hyperlink r:id="rId1059" ref="A1059"/>
    <hyperlink r:id="rId1060" ref="A1060"/>
    <hyperlink r:id="rId1061" ref="A1061"/>
    <hyperlink r:id="rId1062" ref="A1062"/>
    <hyperlink r:id="rId1063" ref="A1063"/>
    <hyperlink r:id="rId1064" ref="A1064"/>
    <hyperlink r:id="rId1065" ref="A1065"/>
    <hyperlink r:id="rId1066" ref="A1066"/>
    <hyperlink r:id="rId1067" ref="A1067"/>
    <hyperlink r:id="rId1068" ref="A1068"/>
    <hyperlink r:id="rId1069" ref="A1069"/>
    <hyperlink r:id="rId1070" ref="A1070"/>
    <hyperlink r:id="rId1071" ref="A1071"/>
    <hyperlink r:id="rId1072" ref="A1072"/>
    <hyperlink r:id="rId1073" ref="A1073"/>
    <hyperlink r:id="rId1074" ref="A1074"/>
    <hyperlink r:id="rId1075" ref="A1075"/>
    <hyperlink r:id="rId1076" ref="A1076"/>
    <hyperlink r:id="rId1077" ref="A1077"/>
    <hyperlink r:id="rId1078" ref="A1078"/>
    <hyperlink r:id="rId1079" ref="A1079"/>
    <hyperlink r:id="rId1080" ref="A1080"/>
    <hyperlink r:id="rId1081" ref="A1081"/>
    <hyperlink r:id="rId1082" ref="A1082"/>
    <hyperlink r:id="rId1083" ref="A1083"/>
    <hyperlink r:id="rId1084" ref="A1084"/>
    <hyperlink r:id="rId1085" ref="A1085"/>
    <hyperlink r:id="rId1086" ref="A1086"/>
    <hyperlink r:id="rId1087" ref="A1087"/>
    <hyperlink r:id="rId1088" ref="A1088"/>
    <hyperlink r:id="rId1089" ref="A1089"/>
    <hyperlink r:id="rId1090" ref="A1090"/>
    <hyperlink r:id="rId1091" ref="A1091"/>
    <hyperlink r:id="rId1092" ref="A1092"/>
    <hyperlink r:id="rId1093" ref="A1093"/>
    <hyperlink r:id="rId1094" ref="A1094"/>
    <hyperlink r:id="rId1095" ref="A1095"/>
    <hyperlink r:id="rId1096" ref="A1096"/>
    <hyperlink r:id="rId1097" ref="A1097"/>
    <hyperlink r:id="rId1098" ref="A1098"/>
    <hyperlink r:id="rId1099" ref="A1099"/>
    <hyperlink r:id="rId1100" ref="A1100"/>
    <hyperlink r:id="rId1101" ref="A1101"/>
    <hyperlink r:id="rId1102" ref="A1102"/>
    <hyperlink r:id="rId1103" ref="A1103"/>
    <hyperlink r:id="rId1104" ref="A1104"/>
    <hyperlink r:id="rId1105" ref="A1105"/>
    <hyperlink r:id="rId1106" ref="A1106"/>
    <hyperlink r:id="rId1107" ref="A1107"/>
    <hyperlink r:id="rId1108" ref="A1108"/>
    <hyperlink r:id="rId1109" ref="A1109"/>
    <hyperlink r:id="rId1110" ref="A1110"/>
    <hyperlink r:id="rId1111" ref="A1111"/>
    <hyperlink r:id="rId1112" ref="A1112"/>
    <hyperlink r:id="rId1113" ref="A1113"/>
    <hyperlink r:id="rId1114" ref="A1114"/>
    <hyperlink r:id="rId1115" ref="A1115"/>
    <hyperlink r:id="rId1116" ref="A1116"/>
    <hyperlink r:id="rId1117" ref="A1117"/>
    <hyperlink r:id="rId1118" ref="A1118"/>
    <hyperlink r:id="rId1119" ref="A1119"/>
    <hyperlink r:id="rId1120" ref="A1120"/>
    <hyperlink r:id="rId1121" ref="A1121"/>
    <hyperlink r:id="rId1122" ref="A1122"/>
    <hyperlink r:id="rId1123" ref="A1123"/>
    <hyperlink r:id="rId1124" ref="A1124"/>
    <hyperlink r:id="rId1125" ref="A1125"/>
    <hyperlink r:id="rId1126" ref="A1126"/>
    <hyperlink r:id="rId1127" ref="A1127"/>
    <hyperlink r:id="rId1128" ref="A1128"/>
    <hyperlink r:id="rId1129" ref="A1129"/>
    <hyperlink r:id="rId1130" ref="A1130"/>
    <hyperlink r:id="rId1131" ref="A1131"/>
    <hyperlink r:id="rId1132" ref="A1132"/>
    <hyperlink r:id="rId1133" ref="A1133"/>
    <hyperlink r:id="rId1134" ref="A1134"/>
    <hyperlink r:id="rId1135" ref="A1135"/>
    <hyperlink r:id="rId1136" ref="A1136"/>
    <hyperlink r:id="rId1137" ref="A1137"/>
    <hyperlink r:id="rId1138" ref="A1138"/>
    <hyperlink r:id="rId1139" ref="A1139"/>
    <hyperlink r:id="rId1140" ref="A1140"/>
    <hyperlink r:id="rId1141" ref="A1141"/>
    <hyperlink r:id="rId1142" ref="A1142"/>
    <hyperlink r:id="rId1143" ref="A1143"/>
    <hyperlink r:id="rId1144" ref="A1144"/>
    <hyperlink r:id="rId1145" ref="A1145"/>
    <hyperlink r:id="rId1146" ref="A1146"/>
    <hyperlink r:id="rId1147" ref="A1147"/>
    <hyperlink r:id="rId1148" ref="A1148"/>
    <hyperlink r:id="rId1149" ref="A1149"/>
    <hyperlink r:id="rId1150" ref="A1150"/>
    <hyperlink r:id="rId1151" ref="A1151"/>
    <hyperlink r:id="rId1152" ref="A1152"/>
    <hyperlink r:id="rId1153" ref="A1153"/>
    <hyperlink r:id="rId1154" ref="A1154"/>
    <hyperlink r:id="rId1155" ref="A1155"/>
    <hyperlink r:id="rId1156" ref="A1156"/>
    <hyperlink r:id="rId1157" ref="A1157"/>
    <hyperlink r:id="rId1158" ref="A1158"/>
    <hyperlink r:id="rId1159" ref="A1159"/>
    <hyperlink r:id="rId1160" ref="A1160"/>
    <hyperlink r:id="rId1161" ref="A1161"/>
    <hyperlink r:id="rId1162" ref="A1162"/>
    <hyperlink r:id="rId1163" ref="A1163"/>
    <hyperlink r:id="rId1164" ref="A1164"/>
    <hyperlink r:id="rId1165" ref="A1165"/>
    <hyperlink r:id="rId1166" ref="A1166"/>
    <hyperlink r:id="rId1167" ref="A1167"/>
    <hyperlink r:id="rId1168" ref="A1168"/>
    <hyperlink r:id="rId1169" ref="A1169"/>
    <hyperlink r:id="rId1170" ref="A1170"/>
    <hyperlink r:id="rId1171" ref="A1171"/>
    <hyperlink r:id="rId1172" ref="A1172"/>
    <hyperlink r:id="rId1173" ref="A1173"/>
    <hyperlink r:id="rId1174" ref="A1174"/>
    <hyperlink r:id="rId1175" ref="A1175"/>
    <hyperlink r:id="rId1176" ref="A1176"/>
    <hyperlink r:id="rId1177" ref="A1177"/>
    <hyperlink r:id="rId1178" ref="A1178"/>
    <hyperlink r:id="rId1179" ref="A1179"/>
    <hyperlink r:id="rId1180" ref="A1180"/>
    <hyperlink r:id="rId1181" ref="A1181"/>
    <hyperlink r:id="rId1182" ref="A1182"/>
    <hyperlink r:id="rId1183" ref="A1183"/>
    <hyperlink r:id="rId1184" ref="A1184"/>
    <hyperlink r:id="rId1185" ref="A1185"/>
    <hyperlink r:id="rId1186" ref="A1186"/>
    <hyperlink r:id="rId1187" ref="A1187"/>
    <hyperlink r:id="rId1188" ref="A1188"/>
    <hyperlink r:id="rId1189" ref="A1189"/>
    <hyperlink r:id="rId1190" ref="A1190"/>
    <hyperlink r:id="rId1191" ref="A1191"/>
    <hyperlink r:id="rId1192" ref="A1192"/>
    <hyperlink r:id="rId1193" ref="A1193"/>
    <hyperlink r:id="rId1194" ref="A1194"/>
    <hyperlink r:id="rId1195" ref="A1195"/>
    <hyperlink r:id="rId1196" ref="A1196"/>
    <hyperlink r:id="rId1197" ref="A1197"/>
    <hyperlink r:id="rId1198" ref="A1198"/>
    <hyperlink r:id="rId1199" ref="A1199"/>
    <hyperlink r:id="rId1200" ref="A1200"/>
    <hyperlink r:id="rId1201" ref="A1201"/>
    <hyperlink r:id="rId1202" ref="A1202"/>
    <hyperlink r:id="rId1203" ref="A1203"/>
    <hyperlink r:id="rId1204" ref="A1204"/>
    <hyperlink r:id="rId1205" ref="A1205"/>
    <hyperlink r:id="rId1206" ref="A1206"/>
    <hyperlink r:id="rId1207" ref="A1207"/>
    <hyperlink r:id="rId1208" ref="A1208"/>
    <hyperlink r:id="rId1209" ref="A1209"/>
    <hyperlink r:id="rId1210" ref="A1210"/>
    <hyperlink r:id="rId1211" ref="A1211"/>
    <hyperlink r:id="rId1212" ref="A1212"/>
    <hyperlink r:id="rId1213" ref="A1213"/>
    <hyperlink r:id="rId1214" ref="A1214"/>
    <hyperlink r:id="rId1215" ref="A1215"/>
    <hyperlink r:id="rId1216" ref="A1216"/>
    <hyperlink r:id="rId1217" ref="A1217"/>
    <hyperlink r:id="rId1218" ref="A1218"/>
    <hyperlink r:id="rId1219" ref="A1219"/>
    <hyperlink r:id="rId1220" ref="A1220"/>
    <hyperlink r:id="rId1221" ref="A1221"/>
    <hyperlink r:id="rId1222" ref="A1222"/>
    <hyperlink r:id="rId1223" ref="A1223"/>
    <hyperlink r:id="rId1224" ref="A1224"/>
    <hyperlink r:id="rId1225" ref="A1225"/>
    <hyperlink r:id="rId1226" ref="A1226"/>
    <hyperlink r:id="rId1227" ref="A1227"/>
    <hyperlink r:id="rId1228" ref="A1228"/>
    <hyperlink r:id="rId1229" ref="A1229"/>
    <hyperlink r:id="rId1230" ref="A1230"/>
    <hyperlink r:id="rId1231" ref="A1231"/>
    <hyperlink r:id="rId1232" ref="A1232"/>
    <hyperlink r:id="rId1233" ref="A1233"/>
    <hyperlink r:id="rId1234" ref="A1234"/>
    <hyperlink r:id="rId1235" ref="A1235"/>
    <hyperlink r:id="rId1236" ref="A1236"/>
    <hyperlink r:id="rId1237" ref="A1237"/>
    <hyperlink r:id="rId1238" ref="A1238"/>
    <hyperlink r:id="rId1239" ref="A1239"/>
    <hyperlink r:id="rId1240" ref="A1240"/>
    <hyperlink r:id="rId1241" ref="A1241"/>
    <hyperlink r:id="rId1242" ref="A1242"/>
    <hyperlink r:id="rId1243" ref="A1243"/>
    <hyperlink r:id="rId1244" ref="A1244"/>
    <hyperlink r:id="rId1245" ref="A1245"/>
    <hyperlink r:id="rId1246" ref="A1246"/>
    <hyperlink r:id="rId1247" ref="A1247"/>
    <hyperlink r:id="rId1248" ref="A1248"/>
    <hyperlink r:id="rId1249" ref="A1249"/>
    <hyperlink r:id="rId1250" ref="A1250"/>
    <hyperlink r:id="rId1251" ref="A1251"/>
    <hyperlink r:id="rId1252" ref="A1252"/>
    <hyperlink r:id="rId1253" ref="A1253"/>
    <hyperlink r:id="rId1254" ref="A1254"/>
    <hyperlink r:id="rId1255" ref="A1255"/>
    <hyperlink r:id="rId1256" ref="A1256"/>
    <hyperlink r:id="rId1257" ref="A1257"/>
    <hyperlink r:id="rId1258" ref="A1258"/>
    <hyperlink r:id="rId1259" ref="A1259"/>
    <hyperlink r:id="rId1260" ref="A1260"/>
    <hyperlink r:id="rId1261" ref="A1261"/>
    <hyperlink r:id="rId1262" ref="A1262"/>
    <hyperlink r:id="rId1263" ref="A1263"/>
    <hyperlink r:id="rId1264" ref="A1264"/>
    <hyperlink r:id="rId1265" ref="A1265"/>
    <hyperlink r:id="rId1266" ref="A1266"/>
    <hyperlink r:id="rId1267" ref="A1267"/>
    <hyperlink r:id="rId1268" ref="A1268"/>
    <hyperlink r:id="rId1269" ref="A1269"/>
    <hyperlink r:id="rId1270" ref="A1270"/>
    <hyperlink r:id="rId1271" ref="A1271"/>
    <hyperlink r:id="rId1272" ref="A1272"/>
    <hyperlink r:id="rId1273" ref="A1273"/>
    <hyperlink r:id="rId1274" ref="A1274"/>
    <hyperlink r:id="rId1275" ref="A1275"/>
    <hyperlink r:id="rId1276" ref="A1276"/>
    <hyperlink r:id="rId1277" ref="A1277"/>
    <hyperlink r:id="rId1278" ref="A1278"/>
    <hyperlink r:id="rId1279" ref="A1279"/>
    <hyperlink r:id="rId1280" ref="A1280"/>
    <hyperlink r:id="rId1281" ref="A1281"/>
    <hyperlink r:id="rId1282" ref="A1282"/>
    <hyperlink r:id="rId1283" ref="A1283"/>
    <hyperlink r:id="rId1284" ref="A1284"/>
    <hyperlink r:id="rId1285" ref="A1285"/>
    <hyperlink r:id="rId1286" ref="A1286"/>
    <hyperlink r:id="rId1287" ref="A1287"/>
    <hyperlink r:id="rId1288" ref="A1288"/>
    <hyperlink r:id="rId1289" ref="A1289"/>
    <hyperlink r:id="rId1290" ref="A1290"/>
    <hyperlink r:id="rId1291" ref="A1291"/>
    <hyperlink r:id="rId1292" ref="A1292"/>
    <hyperlink r:id="rId1293" ref="A1293"/>
    <hyperlink r:id="rId1294" ref="A1294"/>
    <hyperlink r:id="rId1295" ref="A1295"/>
    <hyperlink r:id="rId1296" ref="A1296"/>
    <hyperlink r:id="rId1297" ref="A1297"/>
    <hyperlink r:id="rId1298" ref="A1298"/>
    <hyperlink r:id="rId1299" ref="A1299"/>
    <hyperlink r:id="rId1300" ref="A1300"/>
    <hyperlink r:id="rId1301" ref="A1301"/>
    <hyperlink r:id="rId1302" ref="A1302"/>
    <hyperlink r:id="rId1303" ref="A1303"/>
    <hyperlink r:id="rId1304" ref="A1304"/>
    <hyperlink r:id="rId1305" ref="A1305"/>
    <hyperlink r:id="rId1306" ref="A1306"/>
    <hyperlink r:id="rId1307" ref="A1307"/>
    <hyperlink r:id="rId1308" ref="A1308"/>
    <hyperlink r:id="rId1309" ref="A1309"/>
    <hyperlink r:id="rId1310" ref="A1310"/>
    <hyperlink r:id="rId1311" ref="A1311"/>
    <hyperlink r:id="rId1312" ref="A1312"/>
    <hyperlink r:id="rId1313" ref="A1313"/>
    <hyperlink r:id="rId1314" ref="A1314"/>
    <hyperlink r:id="rId1315" ref="A1315"/>
    <hyperlink r:id="rId1316" ref="A1316"/>
    <hyperlink r:id="rId1317" ref="A1317"/>
    <hyperlink r:id="rId1318" ref="A1318"/>
    <hyperlink r:id="rId1319" ref="A1319"/>
    <hyperlink r:id="rId1320" ref="A1320"/>
    <hyperlink r:id="rId1321" ref="A1321"/>
    <hyperlink r:id="rId1322" ref="A1322"/>
    <hyperlink r:id="rId1323" ref="A1323"/>
    <hyperlink r:id="rId1324" ref="A1324"/>
    <hyperlink r:id="rId1325" ref="A1325"/>
    <hyperlink r:id="rId1326" ref="A1326"/>
    <hyperlink r:id="rId1327" ref="A1327"/>
    <hyperlink r:id="rId1328" ref="A1328"/>
    <hyperlink r:id="rId1329" ref="A1329"/>
    <hyperlink r:id="rId1330" ref="A1330"/>
    <hyperlink r:id="rId1331" ref="A1331"/>
    <hyperlink r:id="rId1332" ref="A1332"/>
    <hyperlink r:id="rId1333" ref="A1333"/>
    <hyperlink r:id="rId1334" ref="A1334"/>
    <hyperlink r:id="rId1335" ref="A1335"/>
    <hyperlink r:id="rId1336" ref="A1336"/>
    <hyperlink r:id="rId1337" ref="A1337"/>
    <hyperlink r:id="rId1338" ref="A1338"/>
    <hyperlink r:id="rId1339" ref="A1339"/>
    <hyperlink r:id="rId1340" ref="A1340"/>
    <hyperlink r:id="rId1341" ref="A1341"/>
    <hyperlink r:id="rId1342" ref="A1342"/>
    <hyperlink r:id="rId1343" ref="A1343"/>
    <hyperlink r:id="rId1344" ref="A1344"/>
    <hyperlink r:id="rId1345" ref="A1345"/>
    <hyperlink r:id="rId1346" ref="A1346"/>
    <hyperlink r:id="rId1347" ref="A1347"/>
    <hyperlink r:id="rId1348" ref="A1348"/>
    <hyperlink r:id="rId1349" ref="A1349"/>
    <hyperlink r:id="rId1350" ref="A1350"/>
    <hyperlink r:id="rId1351" ref="A1351"/>
    <hyperlink r:id="rId1352" ref="A1352"/>
    <hyperlink r:id="rId1353" ref="A1353"/>
    <hyperlink r:id="rId1354" ref="A1354"/>
    <hyperlink r:id="rId1355" ref="A1355"/>
    <hyperlink r:id="rId1356" ref="A1356"/>
    <hyperlink r:id="rId1357" ref="A1357"/>
    <hyperlink r:id="rId1358" ref="A1358"/>
    <hyperlink r:id="rId1359" ref="A1359"/>
    <hyperlink r:id="rId1360" ref="A1360"/>
    <hyperlink r:id="rId1361" ref="A1361"/>
    <hyperlink r:id="rId1362" ref="A1362"/>
    <hyperlink r:id="rId1363" ref="A1363"/>
    <hyperlink r:id="rId1364" ref="A1364"/>
    <hyperlink r:id="rId1365" ref="A1365"/>
    <hyperlink r:id="rId1366" ref="A1366"/>
    <hyperlink r:id="rId1367" ref="A1367"/>
    <hyperlink r:id="rId1368" ref="A1368"/>
    <hyperlink r:id="rId1369" ref="A1369"/>
    <hyperlink r:id="rId1370" ref="A1370"/>
    <hyperlink r:id="rId1371" ref="A1371"/>
    <hyperlink r:id="rId1372" ref="A1372"/>
    <hyperlink r:id="rId1373" ref="A1373"/>
    <hyperlink r:id="rId1374" ref="A1374"/>
    <hyperlink r:id="rId1375" ref="A1375"/>
    <hyperlink r:id="rId1376" ref="A1376"/>
    <hyperlink r:id="rId1377" ref="A1377"/>
    <hyperlink r:id="rId1378" ref="A1378"/>
    <hyperlink r:id="rId1379" ref="A1379"/>
    <hyperlink r:id="rId1380" ref="A1380"/>
    <hyperlink r:id="rId1381" ref="A1381"/>
    <hyperlink r:id="rId1382" ref="A1382"/>
    <hyperlink r:id="rId1383" ref="A1383"/>
    <hyperlink r:id="rId1384" ref="A1384"/>
    <hyperlink r:id="rId1385" ref="A1385"/>
    <hyperlink r:id="rId1386" ref="A1386"/>
    <hyperlink r:id="rId1387" ref="A1387"/>
    <hyperlink r:id="rId1388" ref="A1388"/>
    <hyperlink r:id="rId1389" ref="A1389"/>
    <hyperlink r:id="rId1390" ref="A1390"/>
    <hyperlink r:id="rId1391" ref="A1391"/>
    <hyperlink r:id="rId1392" ref="A1392"/>
    <hyperlink r:id="rId1393" ref="A1393"/>
    <hyperlink r:id="rId1394" ref="A1394"/>
    <hyperlink r:id="rId1395" ref="A1395"/>
    <hyperlink r:id="rId1396" ref="A1396"/>
    <hyperlink r:id="rId1397" ref="A1397"/>
    <hyperlink r:id="rId1398" ref="A1398"/>
    <hyperlink r:id="rId1399" ref="A1399"/>
    <hyperlink r:id="rId1400" ref="A1400"/>
    <hyperlink r:id="rId1401" ref="A1401"/>
    <hyperlink r:id="rId1402" ref="A1402"/>
    <hyperlink r:id="rId1403" ref="A1403"/>
    <hyperlink r:id="rId1404" ref="A1404"/>
    <hyperlink r:id="rId1405" ref="A1405"/>
    <hyperlink r:id="rId1406" ref="A1406"/>
    <hyperlink r:id="rId1407" ref="A1407"/>
    <hyperlink r:id="rId1408" ref="A1408"/>
    <hyperlink r:id="rId1409" ref="A1409"/>
    <hyperlink r:id="rId1410" ref="A1410"/>
    <hyperlink r:id="rId1411" ref="A1411"/>
    <hyperlink r:id="rId1412" ref="A1412"/>
    <hyperlink r:id="rId1413" ref="A1413"/>
    <hyperlink r:id="rId1414" ref="A1414"/>
    <hyperlink r:id="rId1415" ref="A1415"/>
    <hyperlink r:id="rId1416" ref="A1416"/>
    <hyperlink r:id="rId1417" ref="A1417"/>
    <hyperlink r:id="rId1418" ref="A1418"/>
    <hyperlink r:id="rId1419" ref="A1419"/>
    <hyperlink r:id="rId1420" ref="A1420"/>
    <hyperlink r:id="rId1421" ref="A1421"/>
    <hyperlink r:id="rId1422" ref="A1422"/>
    <hyperlink r:id="rId1423" ref="A1423"/>
    <hyperlink r:id="rId1424" ref="A1424"/>
    <hyperlink r:id="rId1425" ref="A1425"/>
    <hyperlink r:id="rId1426" ref="A1426"/>
    <hyperlink r:id="rId1427" ref="A1427"/>
    <hyperlink r:id="rId1428" ref="A1428"/>
    <hyperlink r:id="rId1429" ref="A1429"/>
    <hyperlink r:id="rId1430" ref="A1430"/>
    <hyperlink r:id="rId1431" ref="A1431"/>
    <hyperlink r:id="rId1432" ref="A1432"/>
    <hyperlink r:id="rId1433" ref="A1433"/>
    <hyperlink r:id="rId1434" ref="A1434"/>
    <hyperlink r:id="rId1435" ref="A1435"/>
    <hyperlink r:id="rId1436" ref="A1436"/>
    <hyperlink r:id="rId1437" ref="A1437"/>
    <hyperlink r:id="rId1438" ref="A1438"/>
    <hyperlink r:id="rId1439" ref="A1439"/>
    <hyperlink r:id="rId1440" ref="A1440"/>
    <hyperlink r:id="rId1441" ref="A1441"/>
    <hyperlink r:id="rId1442" ref="A1442"/>
    <hyperlink r:id="rId1443" ref="A1443"/>
    <hyperlink r:id="rId1444" ref="A1444"/>
    <hyperlink r:id="rId1445" ref="A1445"/>
    <hyperlink r:id="rId1446" ref="A1446"/>
    <hyperlink r:id="rId1447" ref="A1447"/>
    <hyperlink r:id="rId1448" ref="A1448"/>
    <hyperlink r:id="rId1449" ref="A1449"/>
    <hyperlink r:id="rId1450" ref="A1450"/>
    <hyperlink r:id="rId1451" ref="A1451"/>
    <hyperlink r:id="rId1452" ref="A1452"/>
    <hyperlink r:id="rId1453" ref="A1453"/>
    <hyperlink r:id="rId1454" ref="A1454"/>
    <hyperlink r:id="rId1455" ref="A1455"/>
    <hyperlink r:id="rId1456" ref="A1456"/>
    <hyperlink r:id="rId1457" ref="A1457"/>
    <hyperlink r:id="rId1458" ref="A1458"/>
    <hyperlink r:id="rId1459" ref="A1459"/>
    <hyperlink r:id="rId1460" ref="A1460"/>
    <hyperlink r:id="rId1461" ref="A1461"/>
    <hyperlink r:id="rId1462" ref="A1462"/>
    <hyperlink r:id="rId1463" ref="A1463"/>
    <hyperlink r:id="rId1464" ref="A1464"/>
    <hyperlink r:id="rId1465" ref="A1465"/>
    <hyperlink r:id="rId1466" ref="A1466"/>
    <hyperlink r:id="rId1467" ref="A1467"/>
    <hyperlink r:id="rId1468" ref="A1468"/>
    <hyperlink r:id="rId1469" ref="A1469"/>
    <hyperlink r:id="rId1470" ref="A1470"/>
    <hyperlink r:id="rId1471" ref="A1471"/>
    <hyperlink r:id="rId1472" ref="A1472"/>
    <hyperlink r:id="rId1473" ref="A1473"/>
    <hyperlink r:id="rId1474" ref="A1474"/>
    <hyperlink r:id="rId1475" ref="A1475"/>
    <hyperlink r:id="rId1476" ref="A1476"/>
    <hyperlink r:id="rId1477" ref="A1477"/>
    <hyperlink r:id="rId1478" ref="A1478"/>
    <hyperlink r:id="rId1479" ref="A1479"/>
    <hyperlink r:id="rId1480" ref="A1480"/>
    <hyperlink r:id="rId1481" ref="A1481"/>
    <hyperlink r:id="rId1482" ref="A1482"/>
    <hyperlink r:id="rId1483" ref="A1483"/>
    <hyperlink r:id="rId1484" ref="A1484"/>
    <hyperlink r:id="rId1485" ref="A1485"/>
    <hyperlink r:id="rId1486" ref="A1486"/>
    <hyperlink r:id="rId1487" ref="A1487"/>
    <hyperlink r:id="rId1488" ref="A1488"/>
    <hyperlink r:id="rId1489" ref="A1489"/>
    <hyperlink r:id="rId1490" ref="A1490"/>
    <hyperlink r:id="rId1491" ref="A1491"/>
    <hyperlink r:id="rId1492" ref="A1492"/>
    <hyperlink r:id="rId1493" ref="A1493"/>
    <hyperlink r:id="rId1494" ref="A1494"/>
    <hyperlink r:id="rId1495" ref="A1495"/>
    <hyperlink r:id="rId1496" ref="A1496"/>
    <hyperlink r:id="rId1497" ref="A1497"/>
    <hyperlink r:id="rId1498" ref="A1498"/>
    <hyperlink r:id="rId1499" ref="A1499"/>
    <hyperlink r:id="rId1500" ref="A1500"/>
    <hyperlink r:id="rId1501" ref="A1501"/>
    <hyperlink r:id="rId1502" ref="A1502"/>
    <hyperlink r:id="rId1503" ref="A1503"/>
    <hyperlink r:id="rId1504" ref="A1504"/>
    <hyperlink r:id="rId1505" ref="A1505"/>
    <hyperlink r:id="rId1506" ref="A1506"/>
    <hyperlink r:id="rId1507" ref="A1507"/>
    <hyperlink r:id="rId1508" ref="A1508"/>
    <hyperlink r:id="rId1509" ref="A1509"/>
    <hyperlink r:id="rId1510" ref="A1510"/>
    <hyperlink r:id="rId1511" ref="A1511"/>
    <hyperlink r:id="rId1512" ref="A1512"/>
    <hyperlink r:id="rId1513" ref="A1513"/>
    <hyperlink r:id="rId1514" ref="A1514"/>
    <hyperlink r:id="rId1515" ref="A1515"/>
    <hyperlink r:id="rId1516" ref="A1516"/>
    <hyperlink r:id="rId1517" ref="A1517"/>
    <hyperlink r:id="rId1518" ref="A1518"/>
    <hyperlink r:id="rId1519" ref="A1519"/>
    <hyperlink r:id="rId1520" ref="A1520"/>
    <hyperlink r:id="rId1521" ref="A1521"/>
    <hyperlink r:id="rId1522" ref="A1522"/>
    <hyperlink r:id="rId1523" ref="A1523"/>
    <hyperlink r:id="rId1524" ref="A1524"/>
    <hyperlink r:id="rId1525" ref="A1525"/>
    <hyperlink r:id="rId1526" ref="A1526"/>
    <hyperlink r:id="rId1527" ref="A1527"/>
    <hyperlink r:id="rId1528" ref="A1528"/>
    <hyperlink r:id="rId1529" ref="A1529"/>
    <hyperlink r:id="rId1530" ref="A1530"/>
    <hyperlink r:id="rId1531" ref="A1531"/>
    <hyperlink r:id="rId1532" ref="A1532"/>
    <hyperlink r:id="rId1533" ref="A1533"/>
    <hyperlink r:id="rId1534" ref="A1534"/>
    <hyperlink r:id="rId1535" ref="A1535"/>
    <hyperlink r:id="rId1536" ref="A1536"/>
    <hyperlink r:id="rId1537" ref="A1537"/>
    <hyperlink r:id="rId1538" ref="A1538"/>
    <hyperlink r:id="rId1539" ref="A1539"/>
    <hyperlink r:id="rId1540" ref="A1540"/>
    <hyperlink r:id="rId1541" ref="A1541"/>
    <hyperlink r:id="rId1542" ref="A1542"/>
    <hyperlink r:id="rId1543" ref="A1543"/>
    <hyperlink r:id="rId1544" ref="A1544"/>
    <hyperlink r:id="rId1545" ref="A1545"/>
    <hyperlink r:id="rId1546" ref="A1546"/>
    <hyperlink r:id="rId1547" ref="A1547"/>
    <hyperlink r:id="rId1548" ref="A1548"/>
    <hyperlink r:id="rId1549" ref="A1549"/>
    <hyperlink r:id="rId1550" ref="A1550"/>
    <hyperlink r:id="rId1551" ref="A1551"/>
    <hyperlink r:id="rId1552" ref="A1552"/>
    <hyperlink r:id="rId1553" ref="A1553"/>
    <hyperlink r:id="rId1554" ref="A1554"/>
    <hyperlink r:id="rId1555" ref="A1555"/>
    <hyperlink r:id="rId1556" ref="A1556"/>
    <hyperlink r:id="rId1557" ref="A1557"/>
    <hyperlink r:id="rId1558" ref="A1558"/>
    <hyperlink r:id="rId1559" ref="A1559"/>
    <hyperlink r:id="rId1560" ref="A1560"/>
    <hyperlink r:id="rId1561" ref="A1561"/>
    <hyperlink r:id="rId1562" ref="A1562"/>
    <hyperlink r:id="rId1563" ref="A1563"/>
    <hyperlink r:id="rId1564" ref="A1564"/>
    <hyperlink r:id="rId1565" ref="A1565"/>
    <hyperlink r:id="rId1566" ref="A1566"/>
    <hyperlink r:id="rId1567" ref="A1567"/>
    <hyperlink r:id="rId1568" ref="A1568"/>
    <hyperlink r:id="rId1569" ref="A1569"/>
    <hyperlink r:id="rId1570" ref="A1570"/>
    <hyperlink r:id="rId1571" ref="A1571"/>
    <hyperlink r:id="rId1572" ref="A1572"/>
    <hyperlink r:id="rId1573" ref="A1573"/>
    <hyperlink r:id="rId1574" ref="A1574"/>
    <hyperlink r:id="rId1575" ref="A1575"/>
    <hyperlink r:id="rId1576" ref="A1576"/>
    <hyperlink r:id="rId1577" ref="A1577"/>
    <hyperlink r:id="rId1578" ref="A1578"/>
    <hyperlink r:id="rId1579" ref="A1579"/>
    <hyperlink r:id="rId1580" ref="A1580"/>
    <hyperlink r:id="rId1581" ref="A1581"/>
    <hyperlink r:id="rId1582" ref="A1582"/>
    <hyperlink r:id="rId1583" ref="A1583"/>
    <hyperlink r:id="rId1584" ref="A1584"/>
    <hyperlink r:id="rId1585" ref="A1585"/>
    <hyperlink r:id="rId1586" ref="A1586"/>
    <hyperlink r:id="rId1587" ref="A1587"/>
    <hyperlink r:id="rId1588" ref="A1588"/>
    <hyperlink r:id="rId1589" ref="A1589"/>
    <hyperlink r:id="rId1590" ref="A1590"/>
    <hyperlink r:id="rId1591" ref="A1591"/>
    <hyperlink r:id="rId1592" ref="A1592"/>
    <hyperlink r:id="rId1593" ref="A1593"/>
    <hyperlink r:id="rId1594" ref="A1594"/>
    <hyperlink r:id="rId1595" ref="A1595"/>
    <hyperlink r:id="rId1596" ref="A1596"/>
    <hyperlink r:id="rId1597" ref="A1597"/>
    <hyperlink r:id="rId1598" ref="A1598"/>
    <hyperlink r:id="rId1599" ref="A1599"/>
    <hyperlink r:id="rId1600" ref="A1600"/>
    <hyperlink r:id="rId1601" ref="A1601"/>
    <hyperlink r:id="rId1602" ref="A1602"/>
    <hyperlink r:id="rId1603" ref="A1603"/>
    <hyperlink r:id="rId1604" ref="A1604"/>
    <hyperlink r:id="rId1605" ref="A1605"/>
    <hyperlink r:id="rId1606" ref="A1606"/>
    <hyperlink r:id="rId1607" ref="A1607"/>
    <hyperlink r:id="rId1608" ref="A1608"/>
    <hyperlink r:id="rId1609" ref="A1609"/>
    <hyperlink r:id="rId1610" ref="A1610"/>
    <hyperlink r:id="rId1611" ref="A1611"/>
    <hyperlink r:id="rId1612" ref="A1612"/>
    <hyperlink r:id="rId1613" ref="A1613"/>
    <hyperlink r:id="rId1614" ref="A1614"/>
    <hyperlink r:id="rId1615" ref="A1615"/>
    <hyperlink r:id="rId1616" ref="A1616"/>
    <hyperlink r:id="rId1617" ref="A1617"/>
    <hyperlink r:id="rId1618" ref="A1618"/>
    <hyperlink r:id="rId1619" ref="A1619"/>
    <hyperlink r:id="rId1620" ref="A1620"/>
    <hyperlink r:id="rId1621" ref="A1621"/>
    <hyperlink r:id="rId1622" ref="A1622"/>
    <hyperlink r:id="rId1623" ref="A1623"/>
    <hyperlink r:id="rId1624" ref="A1624"/>
    <hyperlink r:id="rId1625" ref="A1625"/>
    <hyperlink r:id="rId1626" ref="A1626"/>
    <hyperlink r:id="rId1627" ref="A1627"/>
    <hyperlink r:id="rId1628" ref="A1628"/>
    <hyperlink r:id="rId1629" ref="A1629"/>
    <hyperlink r:id="rId1630" ref="A1630"/>
    <hyperlink r:id="rId1631" ref="A1631"/>
    <hyperlink r:id="rId1632" ref="A1632"/>
    <hyperlink r:id="rId1633" ref="A1633"/>
    <hyperlink r:id="rId1634" ref="A1634"/>
    <hyperlink r:id="rId1635" ref="A1635"/>
    <hyperlink r:id="rId1636" ref="A1636"/>
    <hyperlink r:id="rId1637" ref="A1637"/>
    <hyperlink r:id="rId1638" ref="A1638"/>
    <hyperlink r:id="rId1639" ref="A1639"/>
    <hyperlink r:id="rId1640" ref="A1640"/>
    <hyperlink r:id="rId1641" ref="A1641"/>
    <hyperlink r:id="rId1642" ref="A1642"/>
    <hyperlink r:id="rId1643" ref="A1643"/>
    <hyperlink r:id="rId1644" ref="A1644"/>
    <hyperlink r:id="rId1645" ref="A1645"/>
    <hyperlink r:id="rId1646" ref="A1646"/>
    <hyperlink r:id="rId1647" ref="A1647"/>
    <hyperlink r:id="rId1648" ref="A1648"/>
    <hyperlink r:id="rId1649" ref="A1649"/>
    <hyperlink r:id="rId1650" ref="A1650"/>
    <hyperlink r:id="rId1651" ref="A1651"/>
    <hyperlink r:id="rId1652" ref="A1652"/>
    <hyperlink r:id="rId1653" ref="A1653"/>
    <hyperlink r:id="rId1654" ref="A1654"/>
    <hyperlink r:id="rId1655" ref="A1655"/>
    <hyperlink r:id="rId1656" ref="A1656"/>
    <hyperlink r:id="rId1657" ref="A1657"/>
    <hyperlink r:id="rId1658" ref="A1658"/>
    <hyperlink r:id="rId1659" ref="A1659"/>
    <hyperlink r:id="rId1660" ref="A1660"/>
    <hyperlink r:id="rId1661" ref="A1661"/>
    <hyperlink r:id="rId1662" ref="A1662"/>
    <hyperlink r:id="rId1663" ref="A1663"/>
    <hyperlink r:id="rId1664" ref="A1664"/>
    <hyperlink r:id="rId1665" ref="A1665"/>
    <hyperlink r:id="rId1666" ref="A1666"/>
    <hyperlink r:id="rId1667" ref="A1667"/>
    <hyperlink r:id="rId1668" ref="A1668"/>
    <hyperlink r:id="rId1669" ref="A1669"/>
    <hyperlink r:id="rId1670" ref="A1670"/>
    <hyperlink r:id="rId1671" ref="A1671"/>
    <hyperlink r:id="rId1672" ref="A1672"/>
    <hyperlink r:id="rId1673" ref="A1673"/>
    <hyperlink r:id="rId1674" ref="A1674"/>
    <hyperlink r:id="rId1675" ref="A1675"/>
    <hyperlink r:id="rId1676" ref="A1676"/>
    <hyperlink r:id="rId1677" ref="A1677"/>
    <hyperlink r:id="rId1678" ref="A1678"/>
    <hyperlink r:id="rId1679" ref="A1679"/>
    <hyperlink r:id="rId1680" ref="A1680"/>
    <hyperlink r:id="rId1681" ref="A1681"/>
    <hyperlink r:id="rId1682" ref="A1682"/>
    <hyperlink r:id="rId1683" ref="A1683"/>
    <hyperlink r:id="rId1684" ref="A1684"/>
    <hyperlink r:id="rId1685" ref="A1685"/>
    <hyperlink r:id="rId1686" ref="A1686"/>
    <hyperlink r:id="rId1687" ref="A1687"/>
    <hyperlink r:id="rId1688" ref="A1688"/>
    <hyperlink r:id="rId1689" ref="A1689"/>
    <hyperlink r:id="rId1690" ref="A1690"/>
    <hyperlink r:id="rId1691" ref="A1691"/>
    <hyperlink r:id="rId1692" ref="A1692"/>
    <hyperlink r:id="rId1693" ref="A1693"/>
    <hyperlink r:id="rId1694" ref="A1694"/>
    <hyperlink r:id="rId1695" ref="A1695"/>
    <hyperlink r:id="rId1696" ref="A1696"/>
    <hyperlink r:id="rId1697" ref="A1697"/>
    <hyperlink r:id="rId1698" ref="A1698"/>
    <hyperlink r:id="rId1699" ref="A1699"/>
    <hyperlink r:id="rId1700" ref="A1700"/>
    <hyperlink r:id="rId1701" ref="A1701"/>
    <hyperlink r:id="rId1702" ref="A1702"/>
    <hyperlink r:id="rId1703" ref="A1703"/>
    <hyperlink r:id="rId1704" ref="A1704"/>
    <hyperlink r:id="rId1705" ref="A1705"/>
    <hyperlink r:id="rId1706" ref="A1706"/>
    <hyperlink r:id="rId1707" ref="A1707"/>
    <hyperlink r:id="rId1708" ref="A1708"/>
    <hyperlink r:id="rId1709" ref="A1709"/>
    <hyperlink r:id="rId1710" ref="A1710"/>
    <hyperlink r:id="rId1711" ref="A1711"/>
    <hyperlink r:id="rId1712" ref="A1712"/>
    <hyperlink r:id="rId1713" ref="A1713"/>
    <hyperlink r:id="rId1714" ref="A1714"/>
    <hyperlink r:id="rId1715" ref="A1715"/>
    <hyperlink r:id="rId1716" ref="A1716"/>
    <hyperlink r:id="rId1717" ref="A1717"/>
    <hyperlink r:id="rId1718" ref="A1718"/>
    <hyperlink r:id="rId1719" ref="A1719"/>
    <hyperlink r:id="rId1720" ref="A1720"/>
    <hyperlink r:id="rId1721" ref="A1721"/>
    <hyperlink r:id="rId1722" ref="A1722"/>
    <hyperlink r:id="rId1723" ref="A1723"/>
    <hyperlink r:id="rId1724" ref="A1724"/>
    <hyperlink r:id="rId1725" ref="A1725"/>
    <hyperlink r:id="rId1726" ref="A1726"/>
    <hyperlink r:id="rId1727" ref="A1727"/>
    <hyperlink r:id="rId1728" ref="A1728"/>
    <hyperlink r:id="rId1729" ref="A1729"/>
    <hyperlink r:id="rId1730" ref="A1730"/>
    <hyperlink r:id="rId1731" ref="A1731"/>
    <hyperlink r:id="rId1732" ref="A1732"/>
    <hyperlink r:id="rId1733" ref="A1733"/>
    <hyperlink r:id="rId1734" ref="A1734"/>
    <hyperlink r:id="rId1735" ref="A1735"/>
    <hyperlink r:id="rId1736" ref="A1736"/>
    <hyperlink r:id="rId1737" ref="A1737"/>
    <hyperlink r:id="rId1738" ref="A1738"/>
    <hyperlink r:id="rId1739" ref="A1739"/>
    <hyperlink r:id="rId1740" ref="A1740"/>
    <hyperlink r:id="rId1741" ref="A1741"/>
    <hyperlink r:id="rId1742" ref="A1742"/>
    <hyperlink r:id="rId1743" ref="A1743"/>
    <hyperlink r:id="rId1744" ref="A1744"/>
    <hyperlink r:id="rId1745" ref="A1745"/>
    <hyperlink r:id="rId1746" ref="A1746"/>
    <hyperlink r:id="rId1747" ref="A1747"/>
    <hyperlink r:id="rId1748" ref="A1748"/>
    <hyperlink r:id="rId1749" ref="A1749"/>
    <hyperlink r:id="rId1750" ref="A1750"/>
    <hyperlink r:id="rId1751" ref="A1751"/>
    <hyperlink r:id="rId1752" ref="A1752"/>
    <hyperlink r:id="rId1753" ref="A1753"/>
    <hyperlink r:id="rId1754" ref="A1754"/>
    <hyperlink r:id="rId1755" ref="A1755"/>
    <hyperlink r:id="rId1756" ref="A1756"/>
    <hyperlink r:id="rId1757" ref="A1757"/>
    <hyperlink r:id="rId1758" ref="A1758"/>
    <hyperlink r:id="rId1759" ref="A1759"/>
    <hyperlink r:id="rId1760" ref="A1760"/>
    <hyperlink r:id="rId1761" ref="A1761"/>
    <hyperlink r:id="rId1762" ref="A1762"/>
    <hyperlink r:id="rId1763" ref="A1763"/>
    <hyperlink r:id="rId1764" ref="A1764"/>
    <hyperlink r:id="rId1765" ref="A1765"/>
    <hyperlink r:id="rId1766" ref="A1766"/>
    <hyperlink r:id="rId1767" ref="A1767"/>
    <hyperlink r:id="rId1768" ref="A1768"/>
    <hyperlink r:id="rId1769" ref="A1769"/>
    <hyperlink r:id="rId1770" ref="A1770"/>
    <hyperlink r:id="rId1771" ref="A1771"/>
    <hyperlink r:id="rId1772" ref="A1772"/>
    <hyperlink r:id="rId1773" ref="A1773"/>
    <hyperlink r:id="rId1774" ref="A1774"/>
    <hyperlink r:id="rId1775" ref="A1775"/>
    <hyperlink r:id="rId1776" ref="A1776"/>
    <hyperlink r:id="rId1777" ref="A1777"/>
    <hyperlink r:id="rId1778" ref="A1778"/>
    <hyperlink r:id="rId1779" ref="A1779"/>
    <hyperlink r:id="rId1780" ref="A1780"/>
    <hyperlink r:id="rId1781" ref="A1781"/>
    <hyperlink r:id="rId1782" ref="A1782"/>
    <hyperlink r:id="rId1783" ref="A1783"/>
    <hyperlink r:id="rId1784" ref="A1784"/>
    <hyperlink r:id="rId1785" ref="A1785"/>
    <hyperlink r:id="rId1786" ref="A1786"/>
    <hyperlink r:id="rId1787" ref="A1787"/>
    <hyperlink r:id="rId1788" ref="A1788"/>
    <hyperlink r:id="rId1789" ref="A1789"/>
    <hyperlink r:id="rId1790" ref="A1790"/>
    <hyperlink r:id="rId1791" ref="A1791"/>
    <hyperlink r:id="rId1792" ref="A1792"/>
    <hyperlink r:id="rId1793" ref="A1793"/>
    <hyperlink r:id="rId1794" ref="A1794"/>
    <hyperlink r:id="rId1795" ref="A1795"/>
    <hyperlink r:id="rId1796" ref="A1796"/>
    <hyperlink r:id="rId1797" ref="A1797"/>
    <hyperlink r:id="rId1798" ref="A1798"/>
    <hyperlink r:id="rId1799" ref="A1799"/>
    <hyperlink r:id="rId1800" ref="A1800"/>
    <hyperlink r:id="rId1801" ref="A1801"/>
    <hyperlink r:id="rId1802" ref="A1802"/>
    <hyperlink r:id="rId1803" ref="A1803"/>
    <hyperlink r:id="rId1804" ref="A1804"/>
    <hyperlink r:id="rId1805" ref="A1805"/>
    <hyperlink r:id="rId1806" ref="A1806"/>
    <hyperlink r:id="rId1807" ref="A1807"/>
    <hyperlink r:id="rId1808" ref="A1808"/>
    <hyperlink r:id="rId1809" ref="A1809"/>
    <hyperlink r:id="rId1810" ref="A1810"/>
    <hyperlink r:id="rId1811" ref="A1811"/>
    <hyperlink r:id="rId1812" ref="A1812"/>
    <hyperlink r:id="rId1813" ref="A1813"/>
    <hyperlink r:id="rId1814" ref="A1814"/>
    <hyperlink r:id="rId1815" ref="A1815"/>
    <hyperlink r:id="rId1816" ref="A1816"/>
    <hyperlink r:id="rId1817" ref="A1817"/>
    <hyperlink r:id="rId1818" ref="A1818"/>
    <hyperlink r:id="rId1819" ref="A1819"/>
    <hyperlink r:id="rId1820" ref="A1820"/>
    <hyperlink r:id="rId1821" ref="A1821"/>
    <hyperlink r:id="rId1822" ref="A1822"/>
    <hyperlink r:id="rId1823" ref="A1823"/>
    <hyperlink r:id="rId1824" ref="A1824"/>
    <hyperlink r:id="rId1825" ref="A1825"/>
    <hyperlink r:id="rId1826" ref="A1826"/>
    <hyperlink r:id="rId1827" ref="A1827"/>
    <hyperlink r:id="rId1828" ref="A1828"/>
    <hyperlink r:id="rId1829" ref="A1829"/>
    <hyperlink r:id="rId1830" ref="A1830"/>
    <hyperlink r:id="rId1831" ref="A1831"/>
    <hyperlink r:id="rId1832" ref="A1832"/>
    <hyperlink r:id="rId1833" ref="A1833"/>
    <hyperlink r:id="rId1834" ref="A1834"/>
    <hyperlink r:id="rId1835" ref="A1835"/>
    <hyperlink r:id="rId1836" ref="A1836"/>
    <hyperlink r:id="rId1837" ref="A1837"/>
    <hyperlink r:id="rId1838" ref="A1838"/>
    <hyperlink r:id="rId1839" ref="A1839"/>
    <hyperlink r:id="rId1840" ref="A1840"/>
    <hyperlink r:id="rId1841" ref="A1841"/>
    <hyperlink r:id="rId1842" ref="A1842"/>
    <hyperlink r:id="rId1843" ref="A1843"/>
    <hyperlink r:id="rId1844" ref="A1844"/>
    <hyperlink r:id="rId1845" ref="A1845"/>
    <hyperlink r:id="rId1846" ref="A1846"/>
    <hyperlink r:id="rId1847" ref="A1847"/>
    <hyperlink r:id="rId1848" ref="A1848"/>
    <hyperlink r:id="rId1849" ref="A1849"/>
    <hyperlink r:id="rId1850" ref="A1850"/>
    <hyperlink r:id="rId1851" ref="A1851"/>
    <hyperlink r:id="rId1852" ref="A1852"/>
    <hyperlink r:id="rId1853" ref="A1853"/>
    <hyperlink r:id="rId1854" ref="A1854"/>
    <hyperlink r:id="rId1855" ref="A1855"/>
    <hyperlink r:id="rId1856" ref="A1856"/>
    <hyperlink r:id="rId1857" ref="A1857"/>
    <hyperlink r:id="rId1858" ref="A1858"/>
    <hyperlink r:id="rId1859" ref="A1859"/>
    <hyperlink r:id="rId1860" ref="A1860"/>
    <hyperlink r:id="rId1861" ref="A1861"/>
    <hyperlink r:id="rId1862" ref="A1862"/>
    <hyperlink r:id="rId1863" ref="A1863"/>
    <hyperlink r:id="rId1864" ref="A1864"/>
    <hyperlink r:id="rId1865" ref="A1865"/>
    <hyperlink r:id="rId1866" ref="A1866"/>
    <hyperlink r:id="rId1867" ref="A1867"/>
    <hyperlink r:id="rId1868" ref="A1868"/>
    <hyperlink r:id="rId1869" ref="A1869"/>
    <hyperlink r:id="rId1870" ref="A1870"/>
    <hyperlink r:id="rId1871" ref="A1871"/>
    <hyperlink r:id="rId1872" ref="A1872"/>
    <hyperlink r:id="rId1873" ref="A1873"/>
    <hyperlink r:id="rId1874" ref="A1874"/>
    <hyperlink r:id="rId1875" ref="A1875"/>
    <hyperlink r:id="rId1876" ref="A1876"/>
    <hyperlink r:id="rId1877" ref="A1877"/>
    <hyperlink r:id="rId1878" ref="A1878"/>
    <hyperlink r:id="rId1879" ref="A1879"/>
    <hyperlink r:id="rId1880" ref="A1880"/>
    <hyperlink r:id="rId1881" ref="A1881"/>
    <hyperlink r:id="rId1882" ref="A1882"/>
    <hyperlink r:id="rId1883" ref="A1883"/>
    <hyperlink r:id="rId1884" ref="A1884"/>
    <hyperlink r:id="rId1885" ref="A1885"/>
    <hyperlink r:id="rId1886" ref="A1886"/>
    <hyperlink r:id="rId1887" ref="A1887"/>
    <hyperlink r:id="rId1888" ref="A1888"/>
    <hyperlink r:id="rId1889" ref="A1889"/>
    <hyperlink r:id="rId1890" ref="A1890"/>
    <hyperlink r:id="rId1891" ref="A1891"/>
    <hyperlink r:id="rId1892" ref="A1892"/>
    <hyperlink r:id="rId1893" ref="A1893"/>
    <hyperlink r:id="rId1894" ref="A1894"/>
    <hyperlink r:id="rId1895" ref="A1895"/>
    <hyperlink r:id="rId1896" ref="A1896"/>
    <hyperlink r:id="rId1897" ref="A1897"/>
    <hyperlink r:id="rId1898" ref="A1898"/>
    <hyperlink r:id="rId1899" ref="A1899"/>
    <hyperlink r:id="rId1900" ref="A1900"/>
    <hyperlink r:id="rId1901" ref="A1901"/>
    <hyperlink r:id="rId1902" ref="A1902"/>
    <hyperlink r:id="rId1903" ref="A1903"/>
    <hyperlink r:id="rId1904" ref="A1904"/>
    <hyperlink r:id="rId1905" ref="A1905"/>
    <hyperlink r:id="rId1906" ref="A1906"/>
    <hyperlink r:id="rId1907" ref="A1907"/>
    <hyperlink r:id="rId1908" ref="A1908"/>
    <hyperlink r:id="rId1909" ref="A1909"/>
    <hyperlink r:id="rId1910" ref="A1910"/>
    <hyperlink r:id="rId1911" ref="A1911"/>
    <hyperlink r:id="rId1912" ref="A1912"/>
    <hyperlink r:id="rId1913" ref="A1913"/>
    <hyperlink r:id="rId1914" ref="A1914"/>
    <hyperlink r:id="rId1915" ref="A1915"/>
    <hyperlink r:id="rId1916" ref="A1916"/>
    <hyperlink r:id="rId1917" ref="A1917"/>
    <hyperlink r:id="rId1918" ref="A1918"/>
    <hyperlink r:id="rId1919" ref="A1919"/>
    <hyperlink r:id="rId1920" ref="A1920"/>
    <hyperlink r:id="rId1921" ref="A1921"/>
    <hyperlink r:id="rId1922" ref="A1922"/>
    <hyperlink r:id="rId1923" ref="A1923"/>
    <hyperlink r:id="rId1924" ref="A1924"/>
    <hyperlink r:id="rId1925" ref="A1925"/>
    <hyperlink r:id="rId1926" ref="A1926"/>
    <hyperlink r:id="rId1927" ref="A1927"/>
    <hyperlink r:id="rId1928" ref="A1928"/>
    <hyperlink r:id="rId1929" ref="A1929"/>
    <hyperlink r:id="rId1930" ref="A1930"/>
    <hyperlink r:id="rId1931" ref="A1931"/>
    <hyperlink r:id="rId1932" ref="A1932"/>
    <hyperlink r:id="rId1933" ref="A1933"/>
    <hyperlink r:id="rId1934" ref="A1934"/>
    <hyperlink r:id="rId1935" ref="A1935"/>
    <hyperlink r:id="rId1936" ref="A1936"/>
    <hyperlink r:id="rId1937" ref="A1937"/>
    <hyperlink r:id="rId1938" ref="A1938"/>
    <hyperlink r:id="rId1939" ref="A1939"/>
    <hyperlink r:id="rId1940" ref="A1940"/>
    <hyperlink r:id="rId1941" ref="A1941"/>
    <hyperlink r:id="rId1942" ref="A1942"/>
    <hyperlink r:id="rId1943" ref="A1943"/>
    <hyperlink r:id="rId1944" ref="A1944"/>
    <hyperlink r:id="rId1945" ref="A1945"/>
    <hyperlink r:id="rId1946" ref="A1946"/>
    <hyperlink r:id="rId1947" ref="A1947"/>
    <hyperlink r:id="rId1948" ref="A1948"/>
    <hyperlink r:id="rId1949" ref="A1949"/>
    <hyperlink r:id="rId1950" ref="A1950"/>
    <hyperlink r:id="rId1951" ref="A1951"/>
    <hyperlink r:id="rId1952" ref="A1952"/>
    <hyperlink r:id="rId1953" ref="A1953"/>
    <hyperlink r:id="rId1954" ref="A1954"/>
    <hyperlink r:id="rId1955" ref="A1955"/>
    <hyperlink r:id="rId1956" ref="A1956"/>
    <hyperlink r:id="rId1957" ref="A1957"/>
    <hyperlink r:id="rId1958" ref="A1958"/>
    <hyperlink r:id="rId1959" ref="A1959"/>
    <hyperlink r:id="rId1960" ref="A1960"/>
    <hyperlink r:id="rId1961" ref="A1961"/>
    <hyperlink r:id="rId1962" ref="A1962"/>
    <hyperlink r:id="rId1963" ref="A1963"/>
    <hyperlink r:id="rId1964" ref="A1964"/>
    <hyperlink r:id="rId1965" ref="A1965"/>
    <hyperlink r:id="rId1966" ref="A1966"/>
    <hyperlink r:id="rId1967" ref="A1967"/>
    <hyperlink r:id="rId1968" ref="A1968"/>
    <hyperlink r:id="rId1969" ref="A1969"/>
    <hyperlink r:id="rId1970" ref="A1970"/>
    <hyperlink r:id="rId1971" ref="A1971"/>
    <hyperlink r:id="rId1972" ref="A1972"/>
    <hyperlink r:id="rId1973" ref="A1973"/>
    <hyperlink r:id="rId1974" ref="A1974"/>
    <hyperlink r:id="rId1975" ref="A1975"/>
    <hyperlink r:id="rId1976" ref="A1976"/>
    <hyperlink r:id="rId1977" ref="A1977"/>
    <hyperlink r:id="rId1978" ref="A1978"/>
    <hyperlink r:id="rId1979" ref="A1979"/>
    <hyperlink r:id="rId1980" ref="A1980"/>
    <hyperlink r:id="rId1981" ref="A1981"/>
    <hyperlink r:id="rId1982" ref="A1982"/>
    <hyperlink r:id="rId1983" ref="A1983"/>
    <hyperlink r:id="rId1984" ref="A1984"/>
    <hyperlink r:id="rId1985" ref="A1985"/>
    <hyperlink r:id="rId1986" ref="A1986"/>
    <hyperlink r:id="rId1987" ref="A1987"/>
    <hyperlink r:id="rId1988" ref="A1988"/>
    <hyperlink r:id="rId1989" ref="A1989"/>
    <hyperlink r:id="rId1990" ref="A1990"/>
    <hyperlink r:id="rId1991" ref="A1991"/>
    <hyperlink r:id="rId1992" ref="A1992"/>
    <hyperlink r:id="rId1993" ref="A1993"/>
    <hyperlink r:id="rId1994" ref="A1994"/>
    <hyperlink r:id="rId1995" ref="A1995"/>
    <hyperlink r:id="rId1996" ref="A1996"/>
    <hyperlink r:id="rId1997" ref="A1997"/>
    <hyperlink r:id="rId1998" ref="A1998"/>
    <hyperlink r:id="rId1999" ref="A1999"/>
    <hyperlink r:id="rId2000" ref="A2000"/>
    <hyperlink r:id="rId2001" ref="A2001"/>
    <hyperlink r:id="rId2002" ref="A2002"/>
    <hyperlink r:id="rId2003" ref="A2003"/>
    <hyperlink r:id="rId2004" ref="A2004"/>
    <hyperlink r:id="rId2005" ref="A2005"/>
    <hyperlink r:id="rId2006" ref="A2006"/>
    <hyperlink r:id="rId2007" ref="A2007"/>
    <hyperlink r:id="rId2008" ref="A2008"/>
    <hyperlink r:id="rId2009" ref="A2009"/>
    <hyperlink r:id="rId2010" ref="A2010"/>
    <hyperlink r:id="rId2011" ref="A2011"/>
    <hyperlink r:id="rId2012" ref="A2012"/>
    <hyperlink r:id="rId2013" ref="A2013"/>
    <hyperlink r:id="rId2014" ref="A2014"/>
    <hyperlink r:id="rId2015" ref="A2015"/>
    <hyperlink r:id="rId2016" ref="A2016"/>
    <hyperlink r:id="rId2017" ref="A2017"/>
    <hyperlink r:id="rId2018" ref="A2018"/>
    <hyperlink r:id="rId2019" ref="A2019"/>
    <hyperlink r:id="rId2020" ref="A2020"/>
    <hyperlink r:id="rId2021" ref="A2021"/>
    <hyperlink r:id="rId2022" ref="A2022"/>
    <hyperlink r:id="rId2023" ref="A2023"/>
    <hyperlink r:id="rId2024" ref="A2024"/>
    <hyperlink r:id="rId2025" ref="A2025"/>
    <hyperlink r:id="rId2026" ref="A2026"/>
    <hyperlink r:id="rId2027" ref="A2027"/>
    <hyperlink r:id="rId2028" ref="A2028"/>
    <hyperlink r:id="rId2029" ref="A2029"/>
    <hyperlink r:id="rId2030" ref="A2030"/>
    <hyperlink r:id="rId2031" ref="A2031"/>
    <hyperlink r:id="rId2032" ref="A2032"/>
    <hyperlink r:id="rId2033" ref="A2033"/>
    <hyperlink r:id="rId2034" ref="A2034"/>
    <hyperlink r:id="rId2035" ref="A2035"/>
    <hyperlink r:id="rId2036" ref="A2036"/>
    <hyperlink r:id="rId2037" ref="A2037"/>
    <hyperlink r:id="rId2038" ref="A2038"/>
    <hyperlink r:id="rId2039" ref="A2039"/>
    <hyperlink r:id="rId2040" ref="A2040"/>
    <hyperlink r:id="rId2041" ref="A2041"/>
    <hyperlink r:id="rId2042" ref="A2042"/>
    <hyperlink r:id="rId2043" ref="A2043"/>
    <hyperlink r:id="rId2044" ref="A2044"/>
    <hyperlink r:id="rId2045" ref="A2045"/>
    <hyperlink r:id="rId2046" ref="A2046"/>
    <hyperlink r:id="rId2047" ref="A2047"/>
    <hyperlink r:id="rId2048" ref="A2048"/>
    <hyperlink r:id="rId2049" ref="A2049"/>
    <hyperlink r:id="rId2050" ref="A2050"/>
    <hyperlink r:id="rId2051" ref="A2051"/>
    <hyperlink r:id="rId2052" ref="A2052"/>
    <hyperlink r:id="rId2053" ref="A2053"/>
    <hyperlink r:id="rId2054" ref="A2054"/>
    <hyperlink r:id="rId2055" ref="A2055"/>
    <hyperlink r:id="rId2056" ref="A2056"/>
    <hyperlink r:id="rId2057" ref="A2057"/>
    <hyperlink r:id="rId2058" ref="A2058"/>
    <hyperlink r:id="rId2059" ref="A2059"/>
    <hyperlink r:id="rId2060" ref="A2060"/>
    <hyperlink r:id="rId2061" ref="A2061"/>
    <hyperlink r:id="rId2062" ref="A2062"/>
    <hyperlink r:id="rId2063" ref="A2063"/>
    <hyperlink r:id="rId2064" ref="A2064"/>
    <hyperlink r:id="rId2065" ref="A2065"/>
    <hyperlink r:id="rId2066" ref="A2066"/>
    <hyperlink r:id="rId2067" ref="A2067"/>
    <hyperlink r:id="rId2068" ref="A2068"/>
    <hyperlink r:id="rId2069" ref="A2069"/>
    <hyperlink r:id="rId2070" ref="A2070"/>
    <hyperlink r:id="rId2071" ref="A2071"/>
    <hyperlink r:id="rId2072" ref="A2072"/>
    <hyperlink r:id="rId2073" ref="A2073"/>
    <hyperlink r:id="rId2074" ref="A2074"/>
    <hyperlink r:id="rId2075" ref="A2075"/>
    <hyperlink r:id="rId2076" ref="A2076"/>
    <hyperlink r:id="rId2077" ref="A2077"/>
    <hyperlink r:id="rId2078" ref="A2078"/>
    <hyperlink r:id="rId2079" ref="A2079"/>
    <hyperlink r:id="rId2080" ref="A2080"/>
    <hyperlink r:id="rId2081" ref="A2081"/>
    <hyperlink r:id="rId2082" ref="A2082"/>
    <hyperlink r:id="rId2083" ref="A2083"/>
    <hyperlink r:id="rId2084" ref="A2084"/>
    <hyperlink r:id="rId2085" ref="A2085"/>
    <hyperlink r:id="rId2086" ref="A2086"/>
    <hyperlink r:id="rId2087" ref="A2087"/>
    <hyperlink r:id="rId2088" ref="A2088"/>
    <hyperlink r:id="rId2089" ref="A2089"/>
    <hyperlink r:id="rId2090" ref="A2090"/>
    <hyperlink r:id="rId2091" ref="A2091"/>
    <hyperlink r:id="rId2092" ref="A2092"/>
    <hyperlink r:id="rId2093" ref="A2093"/>
    <hyperlink r:id="rId2094" ref="A2094"/>
    <hyperlink r:id="rId2095" ref="A2095"/>
    <hyperlink r:id="rId2096" ref="A2096"/>
    <hyperlink r:id="rId2097" ref="A2097"/>
    <hyperlink r:id="rId2098" ref="A2098"/>
    <hyperlink r:id="rId2099" ref="A2099"/>
    <hyperlink r:id="rId2100" ref="A2100"/>
    <hyperlink r:id="rId2101" ref="A2101"/>
    <hyperlink r:id="rId2102" ref="A2102"/>
    <hyperlink r:id="rId2103" ref="A2103"/>
    <hyperlink r:id="rId2104" ref="A2104"/>
    <hyperlink r:id="rId2105" ref="A2105"/>
    <hyperlink r:id="rId2106" ref="A2106"/>
    <hyperlink r:id="rId2107" ref="A2107"/>
    <hyperlink r:id="rId2108" ref="A2108"/>
    <hyperlink r:id="rId2109" ref="A2109"/>
    <hyperlink r:id="rId2110" ref="A2110"/>
    <hyperlink r:id="rId2111" ref="A2111"/>
    <hyperlink r:id="rId2112" ref="A2112"/>
    <hyperlink r:id="rId2113" ref="A2113"/>
    <hyperlink r:id="rId2114" ref="A2114"/>
    <hyperlink r:id="rId2115" ref="A2115"/>
    <hyperlink r:id="rId2116" ref="A2116"/>
    <hyperlink r:id="rId2117" ref="A2117"/>
    <hyperlink r:id="rId2118" ref="A2118"/>
    <hyperlink r:id="rId2119" ref="A2119"/>
    <hyperlink r:id="rId2120" ref="A2120"/>
    <hyperlink r:id="rId2121" ref="A2121"/>
    <hyperlink r:id="rId2122" ref="A2122"/>
    <hyperlink r:id="rId2123" ref="A2123"/>
    <hyperlink r:id="rId2124" ref="A2124"/>
    <hyperlink r:id="rId2125" ref="A2125"/>
    <hyperlink r:id="rId2126" ref="A2126"/>
    <hyperlink r:id="rId2127" ref="A2127"/>
    <hyperlink r:id="rId2128" ref="A2128"/>
    <hyperlink r:id="rId2129" ref="A2129"/>
    <hyperlink r:id="rId2130" ref="A2130"/>
    <hyperlink r:id="rId2131" ref="A2131"/>
    <hyperlink r:id="rId2132" ref="A2132"/>
    <hyperlink r:id="rId2133" ref="A2133"/>
    <hyperlink r:id="rId2134" ref="A2134"/>
    <hyperlink r:id="rId2135" ref="A2135"/>
    <hyperlink r:id="rId2136" ref="A2136"/>
    <hyperlink r:id="rId2137" ref="A2137"/>
    <hyperlink r:id="rId2138" ref="A2138"/>
    <hyperlink r:id="rId2139" ref="A2139"/>
    <hyperlink r:id="rId2140" ref="A2140"/>
    <hyperlink r:id="rId2141" ref="A2141"/>
    <hyperlink r:id="rId2142" ref="A2142"/>
    <hyperlink r:id="rId2143" ref="A2143"/>
    <hyperlink r:id="rId2144" ref="A2144"/>
    <hyperlink r:id="rId2145" ref="A2145"/>
    <hyperlink r:id="rId2146" ref="A2146"/>
    <hyperlink r:id="rId2147" ref="A2147"/>
    <hyperlink r:id="rId2148" ref="A2148"/>
    <hyperlink r:id="rId2149" ref="A2149"/>
    <hyperlink r:id="rId2150" ref="A2150"/>
    <hyperlink r:id="rId2151" ref="A2151"/>
    <hyperlink r:id="rId2152" ref="A2152"/>
    <hyperlink r:id="rId2153" ref="A2153"/>
    <hyperlink r:id="rId2154" ref="A2154"/>
    <hyperlink r:id="rId2155" ref="A2155"/>
    <hyperlink r:id="rId2156" ref="A2156"/>
    <hyperlink r:id="rId2157" ref="A2157"/>
    <hyperlink r:id="rId2158" ref="A2158"/>
    <hyperlink r:id="rId2159" ref="A2159"/>
    <hyperlink r:id="rId2160" ref="A2160"/>
    <hyperlink r:id="rId2161" ref="A2161"/>
    <hyperlink r:id="rId2162" ref="A2162"/>
    <hyperlink r:id="rId2163" ref="A2163"/>
    <hyperlink r:id="rId2164" ref="A2164"/>
    <hyperlink r:id="rId2165" ref="A2165"/>
    <hyperlink r:id="rId2166" ref="A2166"/>
    <hyperlink r:id="rId2167" ref="A2167"/>
    <hyperlink r:id="rId2168" ref="A2168"/>
    <hyperlink r:id="rId2169" ref="A2169"/>
    <hyperlink r:id="rId2170" ref="A2170"/>
    <hyperlink r:id="rId2171" ref="A2171"/>
    <hyperlink r:id="rId2172" ref="A2172"/>
    <hyperlink r:id="rId2173" ref="A2173"/>
    <hyperlink r:id="rId2174" ref="A2174"/>
    <hyperlink r:id="rId2175" ref="A2175"/>
    <hyperlink r:id="rId2176" ref="A2176"/>
    <hyperlink r:id="rId2177" ref="A2177"/>
    <hyperlink r:id="rId2178" ref="A2178"/>
    <hyperlink r:id="rId2179" ref="A2179"/>
    <hyperlink r:id="rId2180" ref="A2180"/>
    <hyperlink r:id="rId2181" ref="A2181"/>
    <hyperlink r:id="rId2182" ref="A2182"/>
    <hyperlink r:id="rId2183" ref="A2183"/>
    <hyperlink r:id="rId2184" ref="A2184"/>
    <hyperlink r:id="rId2185" ref="A2185"/>
    <hyperlink r:id="rId2186" ref="A2186"/>
    <hyperlink r:id="rId2187" ref="A2187"/>
    <hyperlink r:id="rId2188" ref="A2188"/>
    <hyperlink r:id="rId2189" ref="A2189"/>
    <hyperlink r:id="rId2190" ref="A2190"/>
    <hyperlink r:id="rId2191" ref="A2191"/>
    <hyperlink r:id="rId2192" ref="A2192"/>
    <hyperlink r:id="rId2193" ref="A2193"/>
    <hyperlink r:id="rId2194" ref="A2194"/>
    <hyperlink r:id="rId2195" ref="A2195"/>
    <hyperlink r:id="rId2196" ref="A2196"/>
    <hyperlink r:id="rId2197" ref="A2197"/>
    <hyperlink r:id="rId2198" ref="A2198"/>
    <hyperlink r:id="rId2199" ref="A2199"/>
    <hyperlink r:id="rId2200" ref="A2200"/>
    <hyperlink r:id="rId2201" ref="A2201"/>
    <hyperlink r:id="rId2202" ref="A2202"/>
    <hyperlink r:id="rId2203" ref="A2203"/>
    <hyperlink r:id="rId2204" ref="A2204"/>
    <hyperlink r:id="rId2205" ref="A2205"/>
    <hyperlink r:id="rId2206" ref="A2206"/>
    <hyperlink r:id="rId2207" ref="A2207"/>
    <hyperlink r:id="rId2208" ref="A2208"/>
    <hyperlink r:id="rId2209" ref="A2209"/>
    <hyperlink r:id="rId2210" ref="A2210"/>
    <hyperlink r:id="rId2211" ref="A2211"/>
    <hyperlink r:id="rId2212" ref="A2212"/>
    <hyperlink r:id="rId2213" ref="A2213"/>
    <hyperlink r:id="rId2214" ref="A2214"/>
    <hyperlink r:id="rId2215" ref="A2215"/>
    <hyperlink r:id="rId2216" ref="A2216"/>
    <hyperlink r:id="rId2217" ref="A2217"/>
    <hyperlink r:id="rId2218" ref="A2218"/>
    <hyperlink r:id="rId2219" ref="A2219"/>
    <hyperlink r:id="rId2220" ref="A2220"/>
    <hyperlink r:id="rId2221" ref="A2221"/>
    <hyperlink r:id="rId2222" ref="A2222"/>
    <hyperlink r:id="rId2223" ref="A2223"/>
    <hyperlink r:id="rId2224" ref="A2224"/>
    <hyperlink r:id="rId2225" ref="A2225"/>
    <hyperlink r:id="rId2226" ref="A2226"/>
    <hyperlink r:id="rId2227" ref="A2227"/>
    <hyperlink r:id="rId2228" ref="A2228"/>
    <hyperlink r:id="rId2229" ref="A2229"/>
    <hyperlink r:id="rId2230" ref="A2230"/>
    <hyperlink r:id="rId2231" ref="A2231"/>
    <hyperlink r:id="rId2232" ref="A2232"/>
    <hyperlink r:id="rId2233" ref="A2233"/>
    <hyperlink r:id="rId2234" ref="A2234"/>
    <hyperlink r:id="rId2235" ref="A2235"/>
    <hyperlink r:id="rId2236" ref="A2236"/>
    <hyperlink r:id="rId2237" ref="A2237"/>
    <hyperlink r:id="rId2238" ref="A2238"/>
    <hyperlink r:id="rId2239" ref="A2239"/>
    <hyperlink r:id="rId2240" ref="A2240"/>
    <hyperlink r:id="rId2241" ref="A2241"/>
    <hyperlink r:id="rId2242" ref="A2242"/>
    <hyperlink r:id="rId2243" ref="A2243"/>
    <hyperlink r:id="rId2244" ref="A2244"/>
    <hyperlink r:id="rId2245" ref="A2245"/>
    <hyperlink r:id="rId2246" ref="A2246"/>
    <hyperlink r:id="rId2247" ref="A2247"/>
    <hyperlink r:id="rId2248" ref="A2248"/>
    <hyperlink r:id="rId2249" ref="A2249"/>
    <hyperlink r:id="rId2250" ref="A2250"/>
    <hyperlink r:id="rId2251" ref="A2251"/>
    <hyperlink r:id="rId2252" ref="A2252"/>
    <hyperlink r:id="rId2253" ref="A2253"/>
    <hyperlink r:id="rId2254" ref="A2254"/>
    <hyperlink r:id="rId2255" ref="A2255"/>
    <hyperlink r:id="rId2256" ref="A2256"/>
    <hyperlink r:id="rId2257" ref="A2257"/>
    <hyperlink r:id="rId2258" ref="A2258"/>
    <hyperlink r:id="rId2259" ref="A2259"/>
    <hyperlink r:id="rId2260" ref="A2260"/>
    <hyperlink r:id="rId2261" ref="A2261"/>
    <hyperlink r:id="rId2262" ref="A2262"/>
    <hyperlink r:id="rId2263" ref="A2263"/>
    <hyperlink r:id="rId2264" ref="A2264"/>
    <hyperlink r:id="rId2265" ref="A2265"/>
    <hyperlink r:id="rId2266" ref="A2266"/>
    <hyperlink r:id="rId2267" ref="A2267"/>
    <hyperlink r:id="rId2268" ref="A2268"/>
    <hyperlink r:id="rId2269" ref="A2269"/>
    <hyperlink r:id="rId2270" ref="A2270"/>
    <hyperlink r:id="rId2271" ref="A2271"/>
    <hyperlink r:id="rId2272" ref="A2272"/>
    <hyperlink r:id="rId2273" ref="A2273"/>
    <hyperlink r:id="rId2274" ref="A2274"/>
    <hyperlink r:id="rId2275" ref="A2275"/>
    <hyperlink r:id="rId2276" ref="A2276"/>
    <hyperlink r:id="rId2277" ref="A2277"/>
    <hyperlink r:id="rId2278" ref="A2278"/>
    <hyperlink r:id="rId2279" ref="A2279"/>
    <hyperlink r:id="rId2280" ref="A2280"/>
    <hyperlink r:id="rId2281" ref="A2281"/>
    <hyperlink r:id="rId2282" ref="A2282"/>
    <hyperlink r:id="rId2283" ref="A2283"/>
    <hyperlink r:id="rId2284" ref="A2284"/>
    <hyperlink r:id="rId2285" ref="A2285"/>
    <hyperlink r:id="rId2286" ref="A2286"/>
    <hyperlink r:id="rId2287" ref="A2287"/>
    <hyperlink r:id="rId2288" ref="A2288"/>
    <hyperlink r:id="rId2289" ref="A2289"/>
    <hyperlink r:id="rId2290" ref="A2290"/>
    <hyperlink r:id="rId2291" ref="A2291"/>
    <hyperlink r:id="rId2292" ref="A2292"/>
    <hyperlink r:id="rId2293" ref="A2293"/>
    <hyperlink r:id="rId2294" ref="A2294"/>
    <hyperlink r:id="rId2295" ref="A2295"/>
    <hyperlink r:id="rId2296" ref="A2296"/>
    <hyperlink r:id="rId2297" ref="A2297"/>
    <hyperlink r:id="rId2298" ref="A2298"/>
    <hyperlink r:id="rId2299" ref="A2299"/>
    <hyperlink r:id="rId2300" ref="A2300"/>
    <hyperlink r:id="rId2301" ref="A2301"/>
    <hyperlink r:id="rId2302" ref="A2302"/>
    <hyperlink r:id="rId2303" ref="A2303"/>
    <hyperlink r:id="rId2304" ref="A2304"/>
    <hyperlink r:id="rId2305" ref="A2305"/>
    <hyperlink r:id="rId2306" ref="A2306"/>
    <hyperlink r:id="rId2307" ref="A2307"/>
    <hyperlink r:id="rId2308" ref="A2308"/>
    <hyperlink r:id="rId2309" ref="A2309"/>
    <hyperlink r:id="rId2310" ref="A2310"/>
    <hyperlink r:id="rId2311" ref="A2311"/>
    <hyperlink r:id="rId2312" ref="A2312"/>
    <hyperlink r:id="rId2313" ref="A2313"/>
    <hyperlink r:id="rId2314" ref="A2314"/>
    <hyperlink r:id="rId2315" ref="A2315"/>
    <hyperlink r:id="rId2316" ref="A2316"/>
    <hyperlink r:id="rId2317" ref="A2317"/>
    <hyperlink r:id="rId2318" ref="A2318"/>
    <hyperlink r:id="rId2319" ref="A2319"/>
    <hyperlink r:id="rId2320" ref="A2320"/>
    <hyperlink r:id="rId2321" ref="A2321"/>
    <hyperlink r:id="rId2322" ref="A2322"/>
    <hyperlink r:id="rId2323" ref="A2323"/>
    <hyperlink r:id="rId2324" ref="A2324"/>
    <hyperlink r:id="rId2325" ref="A2325"/>
    <hyperlink r:id="rId2326" ref="A2326"/>
    <hyperlink r:id="rId2327" ref="A2327"/>
    <hyperlink r:id="rId2328" ref="A2328"/>
    <hyperlink r:id="rId2329" ref="A2329"/>
    <hyperlink r:id="rId2330" ref="A2330"/>
    <hyperlink r:id="rId2331" ref="A2331"/>
    <hyperlink r:id="rId2332" ref="A2332"/>
    <hyperlink r:id="rId2333" ref="A2333"/>
    <hyperlink r:id="rId2334" ref="A2334"/>
    <hyperlink r:id="rId2335" ref="A2335"/>
    <hyperlink r:id="rId2336" ref="A2336"/>
    <hyperlink r:id="rId2337" ref="A2337"/>
    <hyperlink r:id="rId2338" ref="A2338"/>
    <hyperlink r:id="rId2339" ref="A2339"/>
    <hyperlink r:id="rId2340" ref="A2340"/>
    <hyperlink r:id="rId2341" ref="A2341"/>
    <hyperlink r:id="rId2342" ref="A2342"/>
    <hyperlink r:id="rId2343" ref="A2343"/>
    <hyperlink r:id="rId2344" ref="A2344"/>
    <hyperlink r:id="rId2345" ref="A2345"/>
    <hyperlink r:id="rId2346" ref="A2346"/>
    <hyperlink r:id="rId2347" ref="A2347"/>
    <hyperlink r:id="rId2348" ref="A2348"/>
    <hyperlink r:id="rId2349" ref="A2349"/>
    <hyperlink r:id="rId2350" ref="A2350"/>
    <hyperlink r:id="rId2351" ref="A2351"/>
    <hyperlink r:id="rId2352" ref="A2352"/>
    <hyperlink r:id="rId2353" ref="A2353"/>
    <hyperlink r:id="rId2354" ref="A2354"/>
    <hyperlink r:id="rId2355" ref="A2355"/>
    <hyperlink r:id="rId2356" ref="A2356"/>
    <hyperlink r:id="rId2357" ref="A2357"/>
    <hyperlink r:id="rId2358" ref="A2358"/>
    <hyperlink r:id="rId2359" ref="A2359"/>
    <hyperlink r:id="rId2360" ref="A2360"/>
    <hyperlink r:id="rId2361" ref="A2361"/>
    <hyperlink r:id="rId2362" ref="A2362"/>
    <hyperlink r:id="rId2363" ref="A2363"/>
    <hyperlink r:id="rId2364" ref="A2364"/>
    <hyperlink r:id="rId2365" ref="A2365"/>
    <hyperlink r:id="rId2366" ref="A2366"/>
    <hyperlink r:id="rId2367" ref="A2367"/>
    <hyperlink r:id="rId2368" ref="A2368"/>
    <hyperlink r:id="rId2369" ref="A2369"/>
    <hyperlink r:id="rId2370" ref="A2370"/>
    <hyperlink r:id="rId2371" ref="A2371"/>
    <hyperlink r:id="rId2372" ref="A2372"/>
    <hyperlink r:id="rId2373" ref="A2373"/>
    <hyperlink r:id="rId2374" ref="A2374"/>
    <hyperlink r:id="rId2375" ref="A2375"/>
    <hyperlink r:id="rId2376" ref="A2376"/>
    <hyperlink r:id="rId2377" ref="A2377"/>
    <hyperlink r:id="rId2378" ref="A2378"/>
    <hyperlink r:id="rId2379" ref="A2379"/>
    <hyperlink r:id="rId2380" ref="A2380"/>
    <hyperlink r:id="rId2381" ref="A2381"/>
    <hyperlink r:id="rId2382" ref="A2382"/>
    <hyperlink r:id="rId2383" ref="A2383"/>
    <hyperlink r:id="rId2384" ref="A2384"/>
    <hyperlink r:id="rId2385" ref="A2385"/>
    <hyperlink r:id="rId2386" ref="A2386"/>
    <hyperlink r:id="rId2387" ref="A2387"/>
    <hyperlink r:id="rId2388" ref="A2388"/>
    <hyperlink r:id="rId2389" ref="A2389"/>
    <hyperlink r:id="rId2390" ref="A2390"/>
    <hyperlink r:id="rId2391" ref="A2391"/>
    <hyperlink r:id="rId2392" ref="A2392"/>
    <hyperlink r:id="rId2393" ref="A2393"/>
    <hyperlink r:id="rId2394" ref="A2394"/>
    <hyperlink r:id="rId2395" ref="A2395"/>
    <hyperlink r:id="rId2396" ref="A2396"/>
    <hyperlink r:id="rId2397" ref="A2397"/>
    <hyperlink r:id="rId2398" ref="A2398"/>
    <hyperlink r:id="rId2399" ref="A2399"/>
    <hyperlink r:id="rId2400" ref="A2400"/>
    <hyperlink r:id="rId2401" ref="A2401"/>
    <hyperlink r:id="rId2402" ref="A2402"/>
    <hyperlink r:id="rId2403" ref="A2403"/>
    <hyperlink r:id="rId2404" ref="A2404"/>
    <hyperlink r:id="rId2405" ref="A2405"/>
    <hyperlink r:id="rId2406" ref="A2406"/>
    <hyperlink r:id="rId2407" ref="A2407"/>
    <hyperlink r:id="rId2408" ref="A2408"/>
    <hyperlink r:id="rId2409" ref="A2409"/>
    <hyperlink r:id="rId2410" ref="A2410"/>
    <hyperlink r:id="rId2411" ref="A2411"/>
    <hyperlink r:id="rId2412" ref="A2412"/>
    <hyperlink r:id="rId2413" ref="A2413"/>
    <hyperlink r:id="rId2414" ref="A2414"/>
    <hyperlink r:id="rId2415" ref="A2415"/>
    <hyperlink r:id="rId2416" ref="A2416"/>
    <hyperlink r:id="rId2417" ref="A2417"/>
    <hyperlink r:id="rId2418" ref="A2418"/>
    <hyperlink r:id="rId2419" ref="A2419"/>
    <hyperlink r:id="rId2420" ref="A2420"/>
    <hyperlink r:id="rId2421" ref="A2421"/>
    <hyperlink r:id="rId2422" ref="A2422"/>
    <hyperlink r:id="rId2423" ref="A2423"/>
    <hyperlink r:id="rId2424" ref="A2424"/>
    <hyperlink r:id="rId2425" ref="A2425"/>
    <hyperlink r:id="rId2426" ref="A2426"/>
    <hyperlink r:id="rId2427" ref="A2427"/>
    <hyperlink r:id="rId2428" ref="A2428"/>
    <hyperlink r:id="rId2429" ref="A2429"/>
    <hyperlink r:id="rId2430" ref="A2430"/>
    <hyperlink r:id="rId2431" ref="A2431"/>
    <hyperlink r:id="rId2432" ref="A2432"/>
    <hyperlink r:id="rId2433" ref="A2433"/>
    <hyperlink r:id="rId2434" ref="A2434"/>
    <hyperlink r:id="rId2435" ref="A2435"/>
    <hyperlink r:id="rId2436" ref="A2436"/>
    <hyperlink r:id="rId2437" ref="A2437"/>
    <hyperlink r:id="rId2438" ref="A2438"/>
    <hyperlink r:id="rId2439" ref="A2439"/>
    <hyperlink r:id="rId2440" ref="A2440"/>
    <hyperlink r:id="rId2441" ref="A2441"/>
    <hyperlink r:id="rId2442" ref="A2442"/>
    <hyperlink r:id="rId2443" ref="A2443"/>
    <hyperlink r:id="rId2444" ref="A2444"/>
    <hyperlink r:id="rId2445" ref="A2445"/>
    <hyperlink r:id="rId2446" ref="A2446"/>
    <hyperlink r:id="rId2447" ref="A2447"/>
    <hyperlink r:id="rId2448" ref="A2448"/>
    <hyperlink r:id="rId2449" ref="A2449"/>
    <hyperlink r:id="rId2450" ref="A2450"/>
    <hyperlink r:id="rId2451" ref="A2451"/>
    <hyperlink r:id="rId2452" ref="A2452"/>
    <hyperlink r:id="rId2453" ref="A2453"/>
    <hyperlink r:id="rId2454" ref="A2454"/>
    <hyperlink r:id="rId2455" ref="A2455"/>
    <hyperlink r:id="rId2456" ref="A2456"/>
    <hyperlink r:id="rId2457" ref="A2457"/>
    <hyperlink r:id="rId2458" ref="A2458"/>
    <hyperlink r:id="rId2459" ref="A2459"/>
    <hyperlink r:id="rId2460" ref="A2460"/>
    <hyperlink r:id="rId2461" ref="A2461"/>
    <hyperlink r:id="rId2462" ref="A2462"/>
    <hyperlink r:id="rId2463" ref="A2463"/>
    <hyperlink r:id="rId2464" ref="A2464"/>
    <hyperlink r:id="rId2465" ref="A2465"/>
    <hyperlink r:id="rId2466" ref="A2466"/>
    <hyperlink r:id="rId2467" ref="A2467"/>
    <hyperlink r:id="rId2468" ref="A2468"/>
    <hyperlink r:id="rId2469" ref="A2469"/>
    <hyperlink r:id="rId2470" ref="A2470"/>
    <hyperlink r:id="rId2471" ref="A2471"/>
    <hyperlink r:id="rId2472" ref="A2472"/>
    <hyperlink r:id="rId2473" ref="A2473"/>
    <hyperlink r:id="rId2474" ref="A2474"/>
    <hyperlink r:id="rId2475" ref="A2475"/>
    <hyperlink r:id="rId2476" ref="A2476"/>
    <hyperlink r:id="rId2477" ref="A2477"/>
    <hyperlink r:id="rId2478" ref="A2478"/>
    <hyperlink r:id="rId2479" ref="A2479"/>
    <hyperlink r:id="rId2480" ref="A2480"/>
    <hyperlink r:id="rId2481" ref="A2481"/>
    <hyperlink r:id="rId2482" ref="A2482"/>
    <hyperlink r:id="rId2483" ref="A2483"/>
    <hyperlink r:id="rId2484" ref="A2484"/>
    <hyperlink r:id="rId2485" ref="A2485"/>
    <hyperlink r:id="rId2486" ref="A2486"/>
    <hyperlink r:id="rId2487" ref="A2487"/>
    <hyperlink r:id="rId2488" ref="A2488"/>
    <hyperlink r:id="rId2489" ref="A2489"/>
    <hyperlink r:id="rId2490" ref="A2490"/>
    <hyperlink r:id="rId2491" ref="A2491"/>
    <hyperlink r:id="rId2492" ref="A2492"/>
    <hyperlink r:id="rId2493" ref="A2493"/>
    <hyperlink r:id="rId2494" ref="A2494"/>
    <hyperlink r:id="rId2495" ref="A2495"/>
    <hyperlink r:id="rId2496" ref="A2496"/>
    <hyperlink r:id="rId2497" ref="A2497"/>
    <hyperlink r:id="rId2498" ref="A2498"/>
    <hyperlink r:id="rId2499" ref="A2499"/>
    <hyperlink r:id="rId2500" ref="A2500"/>
    <hyperlink r:id="rId2501" ref="A2501"/>
    <hyperlink r:id="rId2502" ref="A2502"/>
    <hyperlink r:id="rId2503" ref="A2503"/>
    <hyperlink r:id="rId2504" ref="A2504"/>
    <hyperlink r:id="rId2505" ref="A2505"/>
    <hyperlink r:id="rId2506" ref="A2506"/>
    <hyperlink r:id="rId2507" ref="A2507"/>
    <hyperlink r:id="rId2508" ref="A2508"/>
    <hyperlink r:id="rId2509" ref="A2509"/>
    <hyperlink r:id="rId2510" ref="A2510"/>
    <hyperlink r:id="rId2511" ref="A2511"/>
    <hyperlink r:id="rId2512" ref="A2512"/>
    <hyperlink r:id="rId2513" ref="A2513"/>
    <hyperlink r:id="rId2514" ref="A2514"/>
    <hyperlink r:id="rId2515" ref="A2515"/>
    <hyperlink r:id="rId2516" ref="A2516"/>
    <hyperlink r:id="rId2517" ref="A2517"/>
    <hyperlink r:id="rId2518" ref="A2518"/>
    <hyperlink r:id="rId2519" ref="A2519"/>
    <hyperlink r:id="rId2520" ref="A2520"/>
    <hyperlink r:id="rId2521" ref="A2521"/>
    <hyperlink r:id="rId2522" ref="A2522"/>
    <hyperlink r:id="rId2523" ref="A2523"/>
    <hyperlink r:id="rId2524" ref="A2524"/>
    <hyperlink r:id="rId2525" ref="A2525"/>
    <hyperlink r:id="rId2526" ref="A2526"/>
    <hyperlink r:id="rId2527" ref="A2527"/>
    <hyperlink r:id="rId2528" ref="A2528"/>
    <hyperlink r:id="rId2529" ref="A2529"/>
    <hyperlink r:id="rId2530" ref="A2530"/>
    <hyperlink r:id="rId2531" ref="A2531"/>
    <hyperlink r:id="rId2532" ref="A2532"/>
    <hyperlink r:id="rId2533" ref="A2533"/>
    <hyperlink r:id="rId2534" ref="A2534"/>
    <hyperlink r:id="rId2535" ref="A2535"/>
    <hyperlink r:id="rId2536" ref="A2536"/>
    <hyperlink r:id="rId2537" ref="A2537"/>
    <hyperlink r:id="rId2538" ref="A2538"/>
    <hyperlink r:id="rId2539" ref="A2539"/>
    <hyperlink r:id="rId2540" ref="A2540"/>
    <hyperlink r:id="rId2541" ref="A2541"/>
    <hyperlink r:id="rId2542" ref="A2542"/>
    <hyperlink r:id="rId2543" ref="A2543"/>
    <hyperlink r:id="rId2544" ref="A2544"/>
    <hyperlink r:id="rId2545" ref="A2545"/>
    <hyperlink r:id="rId2546" ref="A2546"/>
    <hyperlink r:id="rId2547" ref="A2547"/>
    <hyperlink r:id="rId2548" ref="A2548"/>
    <hyperlink r:id="rId2549" ref="A2549"/>
    <hyperlink r:id="rId2550" ref="A2550"/>
    <hyperlink r:id="rId2551" ref="A2551"/>
    <hyperlink r:id="rId2552" ref="A2552"/>
    <hyperlink r:id="rId2553" ref="A2553"/>
    <hyperlink r:id="rId2554" ref="A2554"/>
    <hyperlink r:id="rId2555" ref="A2555"/>
    <hyperlink r:id="rId2556" ref="A2556"/>
    <hyperlink r:id="rId2557" ref="A2557"/>
    <hyperlink r:id="rId2558" ref="A2558"/>
    <hyperlink r:id="rId2559" ref="A2559"/>
    <hyperlink r:id="rId2560" ref="A2560"/>
    <hyperlink r:id="rId2561" ref="A2561"/>
    <hyperlink r:id="rId2562" ref="A2562"/>
    <hyperlink r:id="rId2563" ref="A2563"/>
    <hyperlink r:id="rId2564" ref="A2564"/>
    <hyperlink r:id="rId2565" ref="A2565"/>
    <hyperlink r:id="rId2566" ref="A2566"/>
    <hyperlink r:id="rId2567" ref="A2567"/>
    <hyperlink r:id="rId2568" ref="A2568"/>
    <hyperlink r:id="rId2569" ref="A2569"/>
    <hyperlink r:id="rId2570" ref="A2570"/>
    <hyperlink r:id="rId2571" ref="A2571"/>
    <hyperlink r:id="rId2572" ref="A2572"/>
    <hyperlink r:id="rId2573" ref="A2573"/>
    <hyperlink r:id="rId2574" ref="A2574"/>
    <hyperlink r:id="rId2575" ref="A2575"/>
    <hyperlink r:id="rId2576" ref="A2576"/>
    <hyperlink r:id="rId2577" ref="A2577"/>
    <hyperlink r:id="rId2578" ref="A2578"/>
    <hyperlink r:id="rId2579" ref="A2579"/>
    <hyperlink r:id="rId2580" ref="A2580"/>
    <hyperlink r:id="rId2581" ref="A2581"/>
    <hyperlink r:id="rId2582" ref="A2582"/>
    <hyperlink r:id="rId2583" ref="A2583"/>
    <hyperlink r:id="rId2584" ref="A2584"/>
    <hyperlink r:id="rId2585" ref="A2585"/>
    <hyperlink r:id="rId2586" ref="A2586"/>
    <hyperlink r:id="rId2587" ref="A2587"/>
    <hyperlink r:id="rId2588" ref="A2588"/>
    <hyperlink r:id="rId2589" ref="A2589"/>
    <hyperlink r:id="rId2590" ref="A2590"/>
    <hyperlink r:id="rId2591" ref="A2591"/>
    <hyperlink r:id="rId2592" ref="A2592"/>
    <hyperlink r:id="rId2593" ref="A2593"/>
    <hyperlink r:id="rId2594" ref="A2594"/>
    <hyperlink r:id="rId2595" ref="A2595"/>
    <hyperlink r:id="rId2596" ref="A2596"/>
    <hyperlink r:id="rId2597" ref="A2597"/>
    <hyperlink r:id="rId2598" ref="A2598"/>
    <hyperlink r:id="rId2599" ref="A2599"/>
    <hyperlink r:id="rId2600" ref="A2600"/>
    <hyperlink r:id="rId2601" ref="A2601"/>
    <hyperlink r:id="rId2602" ref="A2602"/>
    <hyperlink r:id="rId2603" ref="A2603"/>
    <hyperlink r:id="rId2604" ref="A2604"/>
    <hyperlink r:id="rId2605" ref="A2605"/>
    <hyperlink r:id="rId2606" ref="A2606"/>
    <hyperlink r:id="rId2607" ref="A2607"/>
    <hyperlink r:id="rId2608" ref="A2608"/>
    <hyperlink r:id="rId2609" ref="A2609"/>
    <hyperlink r:id="rId2610" ref="A2610"/>
    <hyperlink r:id="rId2611" ref="A2611"/>
    <hyperlink r:id="rId2612" ref="A2612"/>
    <hyperlink r:id="rId2613" ref="A2613"/>
    <hyperlink r:id="rId2614" ref="A2614"/>
    <hyperlink r:id="rId2615" ref="A2615"/>
    <hyperlink r:id="rId2616" ref="A2616"/>
    <hyperlink r:id="rId2617" ref="A2617"/>
    <hyperlink r:id="rId2618" ref="A2618"/>
    <hyperlink r:id="rId2619" ref="A2619"/>
    <hyperlink r:id="rId2620" ref="A2620"/>
    <hyperlink r:id="rId2621" ref="A2621"/>
    <hyperlink r:id="rId2622" ref="A2622"/>
    <hyperlink r:id="rId2623" ref="A2623"/>
    <hyperlink r:id="rId2624" ref="A2624"/>
    <hyperlink r:id="rId2625" ref="A2625"/>
    <hyperlink r:id="rId2626" ref="A2626"/>
    <hyperlink r:id="rId2627" ref="A2627"/>
    <hyperlink r:id="rId2628" ref="A2628"/>
    <hyperlink r:id="rId2629" ref="A2629"/>
    <hyperlink r:id="rId2630" ref="A2630"/>
    <hyperlink r:id="rId2631" ref="A2631"/>
    <hyperlink r:id="rId2632" ref="A2632"/>
    <hyperlink r:id="rId2633" ref="A2633"/>
    <hyperlink r:id="rId2634" ref="A2634"/>
    <hyperlink r:id="rId2635" ref="A2635"/>
    <hyperlink r:id="rId2636" ref="A2636"/>
    <hyperlink r:id="rId2637" ref="A2637"/>
    <hyperlink r:id="rId2638" ref="A2638"/>
    <hyperlink r:id="rId2639" ref="A2639"/>
    <hyperlink r:id="rId2640" ref="A2640"/>
    <hyperlink r:id="rId2641" ref="A2641"/>
    <hyperlink r:id="rId2642" ref="A2642"/>
    <hyperlink r:id="rId2643" ref="A2643"/>
    <hyperlink r:id="rId2644" ref="A2644"/>
    <hyperlink r:id="rId2645" ref="A2645"/>
    <hyperlink r:id="rId2646" ref="A2646"/>
    <hyperlink r:id="rId2647" ref="A2647"/>
    <hyperlink r:id="rId2648" ref="A2648"/>
    <hyperlink r:id="rId2649" ref="A2649"/>
    <hyperlink r:id="rId2650" ref="A2650"/>
    <hyperlink r:id="rId2651" ref="A2651"/>
    <hyperlink r:id="rId2652" ref="A2652"/>
    <hyperlink r:id="rId2653" ref="A2653"/>
    <hyperlink r:id="rId2654" ref="A2654"/>
    <hyperlink r:id="rId2655" ref="A2655"/>
    <hyperlink r:id="rId2656" ref="A2656"/>
    <hyperlink r:id="rId2657" ref="A2657"/>
    <hyperlink r:id="rId2658" ref="A2658"/>
    <hyperlink r:id="rId2659" ref="A2659"/>
    <hyperlink r:id="rId2660" ref="A2660"/>
    <hyperlink r:id="rId2661" ref="A2661"/>
    <hyperlink r:id="rId2662" ref="A2662"/>
    <hyperlink r:id="rId2663" ref="A2663"/>
    <hyperlink r:id="rId2664" ref="A2664"/>
    <hyperlink r:id="rId2665" ref="A2665"/>
    <hyperlink r:id="rId2666" ref="A2666"/>
    <hyperlink r:id="rId2667" ref="A2667"/>
    <hyperlink r:id="rId2668" ref="A2668"/>
    <hyperlink r:id="rId2669" ref="A2669"/>
    <hyperlink r:id="rId2670" ref="A2670"/>
    <hyperlink r:id="rId2671" ref="A2671"/>
    <hyperlink r:id="rId2672" ref="A2672"/>
    <hyperlink r:id="rId2673" ref="A2673"/>
    <hyperlink r:id="rId2674" ref="A2674"/>
    <hyperlink r:id="rId2675" ref="A2675"/>
    <hyperlink r:id="rId2676" ref="A2676"/>
    <hyperlink r:id="rId2677" ref="A2677"/>
    <hyperlink r:id="rId2678" ref="A2678"/>
    <hyperlink r:id="rId2679" ref="A2679"/>
    <hyperlink r:id="rId2680" ref="A2680"/>
    <hyperlink r:id="rId2681" ref="A2681"/>
    <hyperlink r:id="rId2682" ref="A2682"/>
    <hyperlink r:id="rId2683" ref="A2683"/>
    <hyperlink r:id="rId2684" ref="A2684"/>
    <hyperlink r:id="rId2685" ref="A2685"/>
    <hyperlink r:id="rId2686" ref="A2686"/>
    <hyperlink r:id="rId2687" ref="A2687"/>
    <hyperlink r:id="rId2688" ref="A2688"/>
    <hyperlink r:id="rId2689" ref="A2689"/>
    <hyperlink r:id="rId2690" ref="A2690"/>
    <hyperlink r:id="rId2691" ref="A2691"/>
    <hyperlink r:id="rId2692" ref="A2692"/>
    <hyperlink r:id="rId2693" ref="A2693"/>
    <hyperlink r:id="rId2694" ref="A2694"/>
    <hyperlink r:id="rId2695" ref="A2695"/>
    <hyperlink r:id="rId2696" ref="A2696"/>
    <hyperlink r:id="rId2697" ref="A2697"/>
    <hyperlink r:id="rId2698" ref="A2698"/>
    <hyperlink r:id="rId2699" ref="A2699"/>
    <hyperlink r:id="rId2700" ref="A2700"/>
    <hyperlink r:id="rId2701" ref="A2701"/>
    <hyperlink r:id="rId2702" ref="A2702"/>
    <hyperlink r:id="rId2703" ref="A2703"/>
    <hyperlink r:id="rId2704" ref="A2704"/>
    <hyperlink r:id="rId2705" ref="A2705"/>
    <hyperlink r:id="rId2706" ref="A2706"/>
    <hyperlink r:id="rId2707" ref="A2707"/>
    <hyperlink r:id="rId2708" ref="A2708"/>
    <hyperlink r:id="rId2709" ref="A2709"/>
    <hyperlink r:id="rId2710" ref="A2710"/>
    <hyperlink r:id="rId2711" ref="A2711"/>
    <hyperlink r:id="rId2712" ref="A2712"/>
    <hyperlink r:id="rId2713" ref="A2713"/>
    <hyperlink r:id="rId2714" ref="A2714"/>
    <hyperlink r:id="rId2715" ref="A2715"/>
    <hyperlink r:id="rId2716" ref="A2716"/>
    <hyperlink r:id="rId2717" ref="A2717"/>
    <hyperlink r:id="rId2718" ref="A2718"/>
    <hyperlink r:id="rId2719" ref="A2719"/>
    <hyperlink r:id="rId2720" ref="A2720"/>
    <hyperlink r:id="rId2721" ref="A2721"/>
    <hyperlink r:id="rId2722" ref="A2722"/>
    <hyperlink r:id="rId2723" ref="A2723"/>
    <hyperlink r:id="rId2724" ref="A2724"/>
    <hyperlink r:id="rId2725" ref="A2725"/>
    <hyperlink r:id="rId2726" ref="A2726"/>
    <hyperlink r:id="rId2727" ref="A2727"/>
    <hyperlink r:id="rId2728" ref="A2728"/>
    <hyperlink r:id="rId2729" ref="A2729"/>
    <hyperlink r:id="rId2730" ref="A2730"/>
    <hyperlink r:id="rId2731" ref="A2731"/>
    <hyperlink r:id="rId2732" ref="A2732"/>
    <hyperlink r:id="rId2733" ref="A2733"/>
    <hyperlink r:id="rId2734" ref="A2734"/>
    <hyperlink r:id="rId2735" ref="A2735"/>
    <hyperlink r:id="rId2736" ref="A2736"/>
    <hyperlink r:id="rId2737" ref="A2737"/>
    <hyperlink r:id="rId2738" ref="A2738"/>
    <hyperlink r:id="rId2739" ref="A2739"/>
    <hyperlink r:id="rId2740" ref="A2740"/>
    <hyperlink r:id="rId2741" ref="A2741"/>
    <hyperlink r:id="rId2742" ref="A2742"/>
    <hyperlink r:id="rId2743" ref="A2743"/>
    <hyperlink r:id="rId2744" ref="A2744"/>
    <hyperlink r:id="rId2745" ref="A2745"/>
    <hyperlink r:id="rId2746" ref="A2746"/>
    <hyperlink r:id="rId2747" ref="A2747"/>
    <hyperlink r:id="rId2748" ref="A2748"/>
    <hyperlink r:id="rId2749" ref="A2749"/>
    <hyperlink r:id="rId2750" ref="A2750"/>
    <hyperlink r:id="rId2751" ref="A2751"/>
    <hyperlink r:id="rId2752" ref="A2752"/>
    <hyperlink r:id="rId2753" ref="A2753"/>
    <hyperlink r:id="rId2754" ref="A2754"/>
    <hyperlink r:id="rId2755" ref="A2755"/>
    <hyperlink r:id="rId2756" ref="A2756"/>
    <hyperlink r:id="rId2757" ref="A2757"/>
    <hyperlink r:id="rId2758" ref="A2758"/>
    <hyperlink r:id="rId2759" ref="A2759"/>
    <hyperlink r:id="rId2760" ref="A2760"/>
    <hyperlink r:id="rId2761" ref="A2761"/>
    <hyperlink r:id="rId2762" ref="A2762"/>
    <hyperlink r:id="rId2763" ref="A2763"/>
    <hyperlink r:id="rId2764" ref="A2764"/>
    <hyperlink r:id="rId2765" ref="A2765"/>
    <hyperlink r:id="rId2766" ref="A2766"/>
    <hyperlink r:id="rId2767" ref="A2767"/>
    <hyperlink r:id="rId2768" ref="A2768"/>
    <hyperlink r:id="rId2769" ref="A2769"/>
    <hyperlink r:id="rId2770" ref="A2770"/>
    <hyperlink r:id="rId2771" ref="A2771"/>
    <hyperlink r:id="rId2772" ref="A2772"/>
    <hyperlink r:id="rId2773" ref="A2773"/>
    <hyperlink r:id="rId2774" ref="A2774"/>
    <hyperlink r:id="rId2775" ref="A2775"/>
    <hyperlink r:id="rId2776" ref="A2776"/>
    <hyperlink r:id="rId2777" ref="A2777"/>
    <hyperlink r:id="rId2778" ref="A2778"/>
    <hyperlink r:id="rId2779" ref="A2779"/>
    <hyperlink r:id="rId2780" ref="A2780"/>
    <hyperlink r:id="rId2781" ref="A2781"/>
    <hyperlink r:id="rId2782" ref="A2782"/>
    <hyperlink r:id="rId2783" ref="A2783"/>
    <hyperlink r:id="rId2784" ref="A2784"/>
    <hyperlink r:id="rId2785" ref="A2785"/>
    <hyperlink r:id="rId2786" ref="A2786"/>
    <hyperlink r:id="rId2787" ref="A2787"/>
    <hyperlink r:id="rId2788" ref="A2788"/>
    <hyperlink r:id="rId2789" ref="A2789"/>
    <hyperlink r:id="rId2790" ref="A2790"/>
    <hyperlink r:id="rId2791" ref="A2791"/>
    <hyperlink r:id="rId2792" ref="A2792"/>
    <hyperlink r:id="rId2793" ref="A2793"/>
    <hyperlink r:id="rId2794" ref="A2794"/>
    <hyperlink r:id="rId2795" ref="A2795"/>
    <hyperlink r:id="rId2796" ref="A2796"/>
    <hyperlink r:id="rId2797" ref="A2797"/>
    <hyperlink r:id="rId2798" ref="A2798"/>
    <hyperlink r:id="rId2799" ref="A2799"/>
    <hyperlink r:id="rId2800" ref="A2800"/>
    <hyperlink r:id="rId2801" ref="A2801"/>
    <hyperlink r:id="rId2802" ref="A2802"/>
    <hyperlink r:id="rId2803" ref="A2803"/>
    <hyperlink r:id="rId2804" ref="A2804"/>
    <hyperlink r:id="rId2805" ref="A2805"/>
    <hyperlink r:id="rId2806" ref="A2806"/>
    <hyperlink r:id="rId2807" ref="A2807"/>
    <hyperlink r:id="rId2808" ref="A2808"/>
    <hyperlink r:id="rId2809" ref="A2809"/>
    <hyperlink r:id="rId2810" ref="A2810"/>
    <hyperlink r:id="rId2811" ref="A2811"/>
    <hyperlink r:id="rId2812" ref="A2812"/>
    <hyperlink r:id="rId2813" ref="A2813"/>
    <hyperlink r:id="rId2814" ref="A2814"/>
    <hyperlink r:id="rId2815" ref="A2815"/>
    <hyperlink r:id="rId2816" ref="A2816"/>
    <hyperlink r:id="rId2817" ref="A2817"/>
    <hyperlink r:id="rId2818" ref="A2818"/>
    <hyperlink r:id="rId2819" ref="A2819"/>
    <hyperlink r:id="rId2820" ref="A2820"/>
    <hyperlink r:id="rId2821" ref="A2821"/>
    <hyperlink r:id="rId2822" ref="A2822"/>
    <hyperlink r:id="rId2823" ref="A2823"/>
    <hyperlink r:id="rId2824" ref="A2824"/>
    <hyperlink r:id="rId2825" ref="A2825"/>
    <hyperlink r:id="rId2826" ref="A2826"/>
    <hyperlink r:id="rId2827" ref="A2827"/>
    <hyperlink r:id="rId2828" ref="A2828"/>
    <hyperlink r:id="rId2829" ref="A2829"/>
    <hyperlink r:id="rId2830" ref="A2830"/>
    <hyperlink r:id="rId2831" ref="A2831"/>
    <hyperlink r:id="rId2832" ref="A2832"/>
    <hyperlink r:id="rId2833" ref="A2833"/>
    <hyperlink r:id="rId2834" ref="A2834"/>
    <hyperlink r:id="rId2835" ref="A2835"/>
    <hyperlink r:id="rId2836" ref="A2836"/>
    <hyperlink r:id="rId2837" ref="A2837"/>
    <hyperlink r:id="rId2838" ref="A2838"/>
    <hyperlink r:id="rId2839" ref="A2839"/>
    <hyperlink r:id="rId2840" ref="A2840"/>
    <hyperlink r:id="rId2841" ref="A2841"/>
    <hyperlink r:id="rId2842" ref="A2842"/>
    <hyperlink r:id="rId2843" ref="A2843"/>
    <hyperlink r:id="rId2844" ref="A2844"/>
    <hyperlink r:id="rId2845" ref="A2845"/>
    <hyperlink r:id="rId2846" ref="A2846"/>
    <hyperlink r:id="rId2847" ref="A2847"/>
    <hyperlink r:id="rId2848" ref="A2848"/>
    <hyperlink r:id="rId2849" ref="A2849"/>
    <hyperlink r:id="rId2850" ref="A2850"/>
    <hyperlink r:id="rId2851" ref="A2851"/>
    <hyperlink r:id="rId2852" ref="A2852"/>
    <hyperlink r:id="rId2853" ref="A2853"/>
    <hyperlink r:id="rId2854" ref="A2854"/>
    <hyperlink r:id="rId2855" ref="A2855"/>
    <hyperlink r:id="rId2856" ref="A2856"/>
    <hyperlink r:id="rId2857" ref="A2857"/>
    <hyperlink r:id="rId2858" ref="A2858"/>
    <hyperlink r:id="rId2859" ref="A2859"/>
    <hyperlink r:id="rId2860" ref="A2860"/>
    <hyperlink r:id="rId2861" ref="A2861"/>
    <hyperlink r:id="rId2862" ref="A2862"/>
    <hyperlink r:id="rId2863" ref="A2863"/>
    <hyperlink r:id="rId2864" ref="A2864"/>
    <hyperlink r:id="rId2865" ref="A2865"/>
    <hyperlink r:id="rId2866" ref="A2866"/>
    <hyperlink r:id="rId2867" ref="A2867"/>
    <hyperlink r:id="rId2868" ref="A2868"/>
    <hyperlink r:id="rId2869" ref="A2869"/>
    <hyperlink r:id="rId2870" ref="A2870"/>
    <hyperlink r:id="rId2871" ref="A2871"/>
    <hyperlink r:id="rId2872" ref="A2872"/>
    <hyperlink r:id="rId2873" ref="A2873"/>
    <hyperlink r:id="rId2874" ref="A2874"/>
    <hyperlink r:id="rId2875" ref="A2875"/>
    <hyperlink r:id="rId2876" ref="A2876"/>
    <hyperlink r:id="rId2877" ref="A2877"/>
    <hyperlink r:id="rId2878" ref="A2878"/>
    <hyperlink r:id="rId2879" ref="A2879"/>
    <hyperlink r:id="rId2880" ref="A2880"/>
    <hyperlink r:id="rId2881" ref="A2881"/>
    <hyperlink r:id="rId2882" ref="A2882"/>
    <hyperlink r:id="rId2883" ref="A2883"/>
    <hyperlink r:id="rId2884" ref="A2884"/>
    <hyperlink r:id="rId2885" ref="A2885"/>
    <hyperlink r:id="rId2886" ref="A2886"/>
    <hyperlink r:id="rId2887" ref="A2887"/>
    <hyperlink r:id="rId2888" ref="A2888"/>
    <hyperlink r:id="rId2889" ref="A2889"/>
    <hyperlink r:id="rId2890" ref="A2890"/>
    <hyperlink r:id="rId2891" ref="A2891"/>
    <hyperlink r:id="rId2892" ref="A2892"/>
    <hyperlink r:id="rId2893" ref="A2893"/>
    <hyperlink r:id="rId2894" ref="A2894"/>
    <hyperlink r:id="rId2895" ref="A2895"/>
    <hyperlink r:id="rId2896" ref="A2896"/>
    <hyperlink r:id="rId2897" ref="A2897"/>
    <hyperlink r:id="rId2898" ref="A2898"/>
    <hyperlink r:id="rId2899" ref="A2899"/>
    <hyperlink r:id="rId2900" ref="A2900"/>
    <hyperlink r:id="rId2901" ref="A2901"/>
    <hyperlink r:id="rId2902" ref="A2902"/>
    <hyperlink r:id="rId2903" ref="A2903"/>
    <hyperlink r:id="rId2904" ref="A2904"/>
    <hyperlink r:id="rId2905" ref="A2905"/>
    <hyperlink r:id="rId2906" ref="A2906"/>
    <hyperlink r:id="rId2907" ref="A2907"/>
    <hyperlink r:id="rId2908" ref="A2908"/>
    <hyperlink r:id="rId2909" ref="A2909"/>
    <hyperlink r:id="rId2910" ref="A2910"/>
    <hyperlink r:id="rId2911" ref="A2911"/>
    <hyperlink r:id="rId2912" ref="A2912"/>
    <hyperlink r:id="rId2913" ref="A2913"/>
    <hyperlink r:id="rId2914" ref="A2914"/>
    <hyperlink r:id="rId2915" ref="A2915"/>
    <hyperlink r:id="rId2916" ref="A2916"/>
    <hyperlink r:id="rId2917" ref="A2917"/>
    <hyperlink r:id="rId2918" ref="A2918"/>
    <hyperlink r:id="rId2919" ref="A2919"/>
    <hyperlink r:id="rId2920" ref="A2920"/>
    <hyperlink r:id="rId2921" ref="A2921"/>
    <hyperlink r:id="rId2922" ref="A2922"/>
    <hyperlink r:id="rId2923" ref="A2923"/>
    <hyperlink r:id="rId2924" ref="A2924"/>
    <hyperlink r:id="rId2925" ref="A2925"/>
    <hyperlink r:id="rId2926" ref="A2926"/>
    <hyperlink r:id="rId2927" ref="A2927"/>
    <hyperlink r:id="rId2928" ref="A2928"/>
    <hyperlink r:id="rId2929" ref="A2929"/>
    <hyperlink r:id="rId2930" ref="A2930"/>
    <hyperlink r:id="rId2931" ref="A2931"/>
    <hyperlink r:id="rId2932" ref="A2932"/>
    <hyperlink r:id="rId2933" ref="A2933"/>
    <hyperlink r:id="rId2934" ref="A2934"/>
    <hyperlink r:id="rId2935" ref="A2935"/>
    <hyperlink r:id="rId2936" ref="A2936"/>
    <hyperlink r:id="rId2937" ref="A2937"/>
    <hyperlink r:id="rId2938" ref="A2938"/>
    <hyperlink r:id="rId2939" ref="A2939"/>
    <hyperlink r:id="rId2940" ref="A2940"/>
    <hyperlink r:id="rId2941" ref="A2941"/>
    <hyperlink r:id="rId2942" ref="A2942"/>
    <hyperlink r:id="rId2943" ref="A2943"/>
    <hyperlink r:id="rId2944" ref="A2944"/>
    <hyperlink r:id="rId2945" ref="A2945"/>
    <hyperlink r:id="rId2946" ref="A2946"/>
    <hyperlink r:id="rId2947" ref="A2947"/>
    <hyperlink r:id="rId2948" ref="A2948"/>
    <hyperlink r:id="rId2949" ref="A2949"/>
    <hyperlink r:id="rId2950" ref="A2950"/>
    <hyperlink r:id="rId2951" ref="A2951"/>
    <hyperlink r:id="rId2952" ref="A2952"/>
    <hyperlink r:id="rId2953" ref="A2953"/>
    <hyperlink r:id="rId2954" ref="A2954"/>
    <hyperlink r:id="rId2955" ref="A2955"/>
    <hyperlink r:id="rId2956" ref="A2956"/>
    <hyperlink r:id="rId2957" ref="A2957"/>
    <hyperlink r:id="rId2958" ref="A2958"/>
    <hyperlink r:id="rId2959" ref="A2959"/>
    <hyperlink r:id="rId2960" ref="A2960"/>
    <hyperlink r:id="rId2961" ref="A2961"/>
    <hyperlink r:id="rId2962" ref="A2962"/>
    <hyperlink r:id="rId2963" ref="A2963"/>
    <hyperlink r:id="rId2964" ref="A2964"/>
    <hyperlink r:id="rId2965" ref="A2965"/>
    <hyperlink r:id="rId2966" ref="A2966"/>
    <hyperlink r:id="rId2967" ref="A2967"/>
    <hyperlink r:id="rId2968" ref="A2968"/>
    <hyperlink r:id="rId2969" ref="A2969"/>
    <hyperlink r:id="rId2970" ref="A2970"/>
    <hyperlink r:id="rId2971" ref="A2971"/>
    <hyperlink r:id="rId2972" ref="A2972"/>
    <hyperlink r:id="rId2973" ref="A2973"/>
    <hyperlink r:id="rId2974" ref="A2974"/>
    <hyperlink r:id="rId2975" ref="A2975"/>
    <hyperlink r:id="rId2976" ref="A2976"/>
    <hyperlink r:id="rId2977" ref="A2977"/>
    <hyperlink r:id="rId2978" ref="A2978"/>
    <hyperlink r:id="rId2979" ref="A2979"/>
    <hyperlink r:id="rId2980" ref="A2980"/>
    <hyperlink r:id="rId2981" ref="A2981"/>
    <hyperlink r:id="rId2982" ref="A2982"/>
    <hyperlink r:id="rId2983" ref="A2983"/>
    <hyperlink r:id="rId2984" ref="A2984"/>
    <hyperlink r:id="rId2985" ref="A2985"/>
    <hyperlink r:id="rId2986" ref="A2986"/>
    <hyperlink r:id="rId2987" ref="A2987"/>
    <hyperlink r:id="rId2988" ref="A2988"/>
    <hyperlink r:id="rId2989" ref="A2989"/>
    <hyperlink r:id="rId2990" ref="A2990"/>
    <hyperlink r:id="rId2991" ref="A2991"/>
    <hyperlink r:id="rId2992" ref="A2992"/>
    <hyperlink r:id="rId2993" ref="A2993"/>
    <hyperlink r:id="rId2994" ref="A2994"/>
    <hyperlink r:id="rId2995" ref="A2995"/>
    <hyperlink r:id="rId2996" ref="A2996"/>
    <hyperlink r:id="rId2997" ref="A2997"/>
    <hyperlink r:id="rId2998" ref="A2998"/>
    <hyperlink r:id="rId2999" ref="A2999"/>
    <hyperlink r:id="rId3000" ref="A3000"/>
    <hyperlink r:id="rId3001" ref="A3001"/>
    <hyperlink r:id="rId3002" ref="A3002"/>
    <hyperlink r:id="rId3003" ref="A3003"/>
    <hyperlink r:id="rId3004" ref="A3004"/>
    <hyperlink r:id="rId3005" ref="A3005"/>
    <hyperlink r:id="rId3006" ref="A3006"/>
    <hyperlink r:id="rId3007" ref="A3007"/>
    <hyperlink r:id="rId3008" ref="A3008"/>
    <hyperlink r:id="rId3009" ref="A3009"/>
    <hyperlink r:id="rId3010" ref="A3010"/>
    <hyperlink r:id="rId3011" ref="A3011"/>
    <hyperlink r:id="rId3012" ref="A3012"/>
    <hyperlink r:id="rId3013" ref="A3013"/>
    <hyperlink r:id="rId3014" ref="A3014"/>
    <hyperlink r:id="rId3015" ref="A3015"/>
    <hyperlink r:id="rId3016" ref="A3016"/>
    <hyperlink r:id="rId3017" ref="A3017"/>
    <hyperlink r:id="rId3018" ref="A3018"/>
    <hyperlink r:id="rId3019" ref="A3019"/>
    <hyperlink r:id="rId3020" ref="A3020"/>
    <hyperlink r:id="rId3021" ref="A3021"/>
    <hyperlink r:id="rId3022" ref="A3022"/>
    <hyperlink r:id="rId3023" ref="A3023"/>
    <hyperlink r:id="rId3024" ref="A3024"/>
    <hyperlink r:id="rId3025" ref="A3025"/>
    <hyperlink r:id="rId3026" ref="A3026"/>
    <hyperlink r:id="rId3027" ref="A3027"/>
    <hyperlink r:id="rId3028" ref="A3028"/>
    <hyperlink r:id="rId3029" ref="A3029"/>
    <hyperlink r:id="rId3030" ref="A3030"/>
    <hyperlink r:id="rId3031" ref="A3031"/>
    <hyperlink r:id="rId3032" ref="A3032"/>
    <hyperlink r:id="rId3033" ref="A3033"/>
    <hyperlink r:id="rId3034" ref="A3034"/>
    <hyperlink r:id="rId3035" ref="A3035"/>
    <hyperlink r:id="rId3036" ref="A3036"/>
    <hyperlink r:id="rId3037" ref="A3037"/>
    <hyperlink r:id="rId3038" ref="A3038"/>
    <hyperlink r:id="rId3039" ref="A3039"/>
    <hyperlink r:id="rId3040" ref="A3040"/>
    <hyperlink r:id="rId3041" ref="A3041"/>
    <hyperlink r:id="rId3042" ref="A3042"/>
    <hyperlink r:id="rId3043" ref="A3043"/>
    <hyperlink r:id="rId3044" ref="A3044"/>
    <hyperlink r:id="rId3045" ref="A3045"/>
    <hyperlink r:id="rId3046" ref="A3046"/>
    <hyperlink r:id="rId3047" ref="A3047"/>
    <hyperlink r:id="rId3048" ref="A3048"/>
    <hyperlink r:id="rId3049" ref="A3049"/>
    <hyperlink r:id="rId3050" ref="A3050"/>
    <hyperlink r:id="rId3051" ref="A3051"/>
    <hyperlink r:id="rId3052" ref="A3052"/>
    <hyperlink r:id="rId3053" ref="A3053"/>
    <hyperlink r:id="rId3054" ref="A3054"/>
    <hyperlink r:id="rId3055" ref="A3055"/>
    <hyperlink r:id="rId3056" ref="A3056"/>
    <hyperlink r:id="rId3057" ref="A3057"/>
    <hyperlink r:id="rId3058" ref="A3058"/>
    <hyperlink r:id="rId3059" ref="A3059"/>
    <hyperlink r:id="rId3060" ref="A3060"/>
    <hyperlink r:id="rId3061" ref="A3061"/>
    <hyperlink r:id="rId3062" ref="A3062"/>
    <hyperlink r:id="rId3063" ref="A3063"/>
    <hyperlink r:id="rId3064" ref="A3064"/>
    <hyperlink r:id="rId3065" ref="A3065"/>
    <hyperlink r:id="rId3066" ref="A3066"/>
    <hyperlink r:id="rId3067" ref="A3067"/>
    <hyperlink r:id="rId3068" ref="A3068"/>
    <hyperlink r:id="rId3069" ref="A3069"/>
    <hyperlink r:id="rId3070" ref="A3070"/>
    <hyperlink r:id="rId3071" ref="A3071"/>
    <hyperlink r:id="rId3072" ref="A3072"/>
    <hyperlink r:id="rId3073" ref="A3073"/>
    <hyperlink r:id="rId3074" ref="A3074"/>
    <hyperlink r:id="rId3075" ref="A3075"/>
    <hyperlink r:id="rId3076" ref="A3076"/>
    <hyperlink r:id="rId3077" ref="A3077"/>
    <hyperlink r:id="rId3078" ref="A3078"/>
    <hyperlink r:id="rId3079" ref="A3079"/>
    <hyperlink r:id="rId3080" ref="A3080"/>
    <hyperlink r:id="rId3081" ref="A3081"/>
    <hyperlink r:id="rId3082" ref="A3082"/>
    <hyperlink r:id="rId3083" ref="A3083"/>
    <hyperlink r:id="rId3084" ref="A3084"/>
    <hyperlink r:id="rId3085" ref="A3085"/>
    <hyperlink r:id="rId3086" ref="A3086"/>
    <hyperlink r:id="rId3087" ref="A3087"/>
    <hyperlink r:id="rId3088" ref="A3088"/>
    <hyperlink r:id="rId3089" ref="A3089"/>
    <hyperlink r:id="rId3090" ref="A3090"/>
    <hyperlink r:id="rId3091" ref="A3091"/>
    <hyperlink r:id="rId3092" ref="A3092"/>
    <hyperlink r:id="rId3093" ref="A3093"/>
    <hyperlink r:id="rId3094" ref="A3094"/>
    <hyperlink r:id="rId3095" ref="A3095"/>
    <hyperlink r:id="rId3096" ref="A3096"/>
    <hyperlink r:id="rId3097" ref="A3097"/>
    <hyperlink r:id="rId3098" ref="A3098"/>
    <hyperlink r:id="rId3099" ref="A3099"/>
    <hyperlink r:id="rId3100" ref="A3100"/>
    <hyperlink r:id="rId3101" ref="A3101"/>
    <hyperlink r:id="rId3102" ref="A3102"/>
    <hyperlink r:id="rId3103" ref="A3103"/>
    <hyperlink r:id="rId3104" ref="A3104"/>
    <hyperlink r:id="rId3105" ref="A3105"/>
    <hyperlink r:id="rId3106" ref="A3106"/>
    <hyperlink r:id="rId3107" ref="A3107"/>
    <hyperlink r:id="rId3108" ref="A3108"/>
    <hyperlink r:id="rId3109" ref="A3109"/>
    <hyperlink r:id="rId3110" ref="A3110"/>
    <hyperlink r:id="rId3111" ref="A3111"/>
    <hyperlink r:id="rId3112" ref="A3112"/>
    <hyperlink r:id="rId3113" ref="A3113"/>
    <hyperlink r:id="rId3114" ref="A3114"/>
    <hyperlink r:id="rId3115" ref="A3115"/>
    <hyperlink r:id="rId3116" ref="A3116"/>
    <hyperlink r:id="rId3117" ref="A3117"/>
    <hyperlink r:id="rId3118" ref="A3118"/>
    <hyperlink r:id="rId3119" ref="A3119"/>
    <hyperlink r:id="rId3120" ref="A3120"/>
    <hyperlink r:id="rId3121" ref="A3121"/>
    <hyperlink r:id="rId3122" ref="A3122"/>
    <hyperlink r:id="rId3123" ref="A3123"/>
    <hyperlink r:id="rId3124" ref="A3124"/>
    <hyperlink r:id="rId3125" ref="A3125"/>
    <hyperlink r:id="rId3126" ref="A3126"/>
    <hyperlink r:id="rId3127" ref="A3127"/>
    <hyperlink r:id="rId3128" ref="A3128"/>
    <hyperlink r:id="rId3129" ref="A3129"/>
    <hyperlink r:id="rId3130" ref="A3130"/>
    <hyperlink r:id="rId3131" ref="A3131"/>
    <hyperlink r:id="rId3132" ref="A3132"/>
    <hyperlink r:id="rId3133" ref="A3133"/>
    <hyperlink r:id="rId3134" ref="A3134"/>
    <hyperlink r:id="rId3135" ref="A3135"/>
    <hyperlink r:id="rId3136" ref="A3136"/>
    <hyperlink r:id="rId3137" ref="A3137"/>
    <hyperlink r:id="rId3138" ref="A3138"/>
    <hyperlink r:id="rId3139" ref="A3139"/>
    <hyperlink r:id="rId3140" ref="A3140"/>
    <hyperlink r:id="rId3141" ref="A3141"/>
    <hyperlink r:id="rId3142" ref="A3142"/>
    <hyperlink r:id="rId3143" ref="A3143"/>
    <hyperlink r:id="rId3144" ref="A3144"/>
    <hyperlink r:id="rId3145" ref="A3145"/>
    <hyperlink r:id="rId3146" ref="A3146"/>
    <hyperlink r:id="rId3147" ref="A3147"/>
    <hyperlink r:id="rId3148" ref="A3148"/>
    <hyperlink r:id="rId3149" ref="A3149"/>
    <hyperlink r:id="rId3150" ref="A3150"/>
    <hyperlink r:id="rId3151" ref="A3151"/>
    <hyperlink r:id="rId3152" ref="A3152"/>
    <hyperlink r:id="rId3153" ref="A3153"/>
    <hyperlink r:id="rId3154" ref="A3154"/>
    <hyperlink r:id="rId3155" ref="A3155"/>
    <hyperlink r:id="rId3156" ref="A3156"/>
    <hyperlink r:id="rId3157" ref="A3157"/>
    <hyperlink r:id="rId3158" ref="A3158"/>
    <hyperlink r:id="rId3159" ref="A3159"/>
    <hyperlink r:id="rId3160" ref="A3160"/>
    <hyperlink r:id="rId3161" ref="A3161"/>
    <hyperlink r:id="rId3162" ref="A3162"/>
    <hyperlink r:id="rId3163" ref="A3163"/>
    <hyperlink r:id="rId3164" ref="A3164"/>
    <hyperlink r:id="rId3165" ref="A3165"/>
    <hyperlink r:id="rId3166" ref="A3166"/>
    <hyperlink r:id="rId3167" ref="A3167"/>
    <hyperlink r:id="rId3168" ref="A3168"/>
    <hyperlink r:id="rId3169" ref="A3169"/>
    <hyperlink r:id="rId3170" ref="A3170"/>
    <hyperlink r:id="rId3171" ref="A3171"/>
    <hyperlink r:id="rId3172" ref="A3172"/>
    <hyperlink r:id="rId3173" ref="A3173"/>
    <hyperlink r:id="rId3174" ref="A3174"/>
    <hyperlink r:id="rId3175" ref="A3175"/>
    <hyperlink r:id="rId3176" ref="A3176"/>
    <hyperlink r:id="rId3177" ref="A3177"/>
    <hyperlink r:id="rId3178" ref="A3178"/>
    <hyperlink r:id="rId3179" ref="A3179"/>
    <hyperlink r:id="rId3180" ref="A3180"/>
    <hyperlink r:id="rId3181" ref="A3181"/>
    <hyperlink r:id="rId3182" ref="A3182"/>
    <hyperlink r:id="rId3183" ref="A3183"/>
    <hyperlink r:id="rId3184" ref="A3184"/>
    <hyperlink r:id="rId3185" ref="A3185"/>
    <hyperlink r:id="rId3186" ref="A3186"/>
    <hyperlink r:id="rId3187" ref="A3187"/>
    <hyperlink r:id="rId3188" ref="A3188"/>
    <hyperlink r:id="rId3189" ref="A3189"/>
    <hyperlink r:id="rId3190" ref="A3190"/>
    <hyperlink r:id="rId3191" ref="A3191"/>
    <hyperlink r:id="rId3192" ref="A3192"/>
    <hyperlink r:id="rId3193" ref="A3193"/>
    <hyperlink r:id="rId3194" ref="A3194"/>
    <hyperlink r:id="rId3195" ref="A3195"/>
    <hyperlink r:id="rId3196" ref="A3196"/>
    <hyperlink r:id="rId3197" ref="A3197"/>
    <hyperlink r:id="rId3198" ref="A3198"/>
    <hyperlink r:id="rId3199" ref="A3199"/>
    <hyperlink r:id="rId3200" ref="A3200"/>
    <hyperlink r:id="rId3201" ref="A3201"/>
    <hyperlink r:id="rId3202" ref="A3202"/>
    <hyperlink r:id="rId3203" ref="A3203"/>
    <hyperlink r:id="rId3204" ref="A3204"/>
    <hyperlink r:id="rId3205" ref="A3205"/>
    <hyperlink r:id="rId3206" ref="A3206"/>
    <hyperlink r:id="rId3207" ref="A3207"/>
    <hyperlink r:id="rId3208" ref="A3208"/>
    <hyperlink r:id="rId3209" ref="A3209"/>
    <hyperlink r:id="rId3210" ref="A3210"/>
    <hyperlink r:id="rId3211" ref="A3211"/>
    <hyperlink r:id="rId3212" ref="A3212"/>
    <hyperlink r:id="rId3213" ref="A3213"/>
    <hyperlink r:id="rId3214" ref="A3214"/>
    <hyperlink r:id="rId3215" ref="A3215"/>
    <hyperlink r:id="rId3216" ref="A3216"/>
    <hyperlink r:id="rId3217" ref="A3217"/>
    <hyperlink r:id="rId3218" ref="A3218"/>
    <hyperlink r:id="rId3219" ref="A3219"/>
    <hyperlink r:id="rId3220" ref="A3220"/>
    <hyperlink r:id="rId3221" ref="A3221"/>
    <hyperlink r:id="rId3222" ref="A3222"/>
    <hyperlink r:id="rId3223" ref="A3223"/>
    <hyperlink r:id="rId3224" ref="A3224"/>
    <hyperlink r:id="rId3225" ref="A3225"/>
    <hyperlink r:id="rId3226" ref="A3226"/>
    <hyperlink r:id="rId3227" ref="A3227"/>
    <hyperlink r:id="rId3228" ref="A3228"/>
    <hyperlink r:id="rId3229" ref="A3229"/>
    <hyperlink r:id="rId3230" ref="A3230"/>
    <hyperlink r:id="rId3231" ref="A3231"/>
    <hyperlink r:id="rId3232" ref="A3232"/>
    <hyperlink r:id="rId3233" ref="A3233"/>
    <hyperlink r:id="rId3234" ref="A3234"/>
    <hyperlink r:id="rId3235" ref="A3235"/>
    <hyperlink r:id="rId3236" ref="A3236"/>
    <hyperlink r:id="rId3237" ref="A3237"/>
    <hyperlink r:id="rId3238" ref="A3238"/>
    <hyperlink r:id="rId3239" ref="A3239"/>
    <hyperlink r:id="rId3240" ref="A3240"/>
    <hyperlink r:id="rId3241" ref="A3241"/>
    <hyperlink r:id="rId3242" ref="A3242"/>
    <hyperlink r:id="rId3243" ref="A3243"/>
    <hyperlink r:id="rId3244" ref="A3244"/>
    <hyperlink r:id="rId3245" ref="A3245"/>
    <hyperlink r:id="rId3246" ref="A3246"/>
    <hyperlink r:id="rId3247" ref="A3247"/>
    <hyperlink r:id="rId3248" ref="A3248"/>
    <hyperlink r:id="rId3249" ref="A3249"/>
    <hyperlink r:id="rId3250" ref="A3250"/>
    <hyperlink r:id="rId3251" ref="A3251"/>
    <hyperlink r:id="rId3252" ref="A3252"/>
    <hyperlink r:id="rId3253" ref="A3253"/>
    <hyperlink r:id="rId3254" ref="A3254"/>
    <hyperlink r:id="rId3255" ref="A3255"/>
    <hyperlink r:id="rId3256" ref="A3256"/>
    <hyperlink r:id="rId3257" ref="A3257"/>
    <hyperlink r:id="rId3258" ref="A3258"/>
    <hyperlink r:id="rId3259" ref="A3259"/>
    <hyperlink r:id="rId3260" ref="A3260"/>
    <hyperlink r:id="rId3261" ref="A3261"/>
    <hyperlink r:id="rId3262" ref="A3262"/>
    <hyperlink r:id="rId3263" ref="A3263"/>
    <hyperlink r:id="rId3264" ref="A3264"/>
    <hyperlink r:id="rId3265" ref="A3265"/>
    <hyperlink r:id="rId3266" ref="A3266"/>
    <hyperlink r:id="rId3267" ref="A3267"/>
    <hyperlink r:id="rId3268" ref="A3268"/>
    <hyperlink r:id="rId3269" ref="A3269"/>
    <hyperlink r:id="rId3270" ref="A3270"/>
    <hyperlink r:id="rId3271" ref="A3271"/>
    <hyperlink r:id="rId3272" ref="A3272"/>
    <hyperlink r:id="rId3273" ref="A3273"/>
    <hyperlink r:id="rId3274" ref="A3274"/>
    <hyperlink r:id="rId3275" ref="A3275"/>
    <hyperlink r:id="rId3276" ref="A3276"/>
    <hyperlink r:id="rId3277" ref="A3277"/>
    <hyperlink r:id="rId3278" ref="A3278"/>
    <hyperlink r:id="rId3279" ref="A3279"/>
    <hyperlink r:id="rId3280" ref="A3280"/>
    <hyperlink r:id="rId3281" ref="A3281"/>
    <hyperlink r:id="rId3282" ref="A3282"/>
    <hyperlink r:id="rId3283" ref="A3283"/>
    <hyperlink r:id="rId3284" ref="A3284"/>
    <hyperlink r:id="rId3285" ref="A3285"/>
    <hyperlink r:id="rId3286" ref="A3286"/>
    <hyperlink r:id="rId3287" ref="A3287"/>
    <hyperlink r:id="rId3288" ref="A3288"/>
    <hyperlink r:id="rId3289" ref="A3289"/>
    <hyperlink r:id="rId3290" ref="A3290"/>
    <hyperlink r:id="rId3291" ref="A3291"/>
    <hyperlink r:id="rId3292" ref="A3292"/>
    <hyperlink r:id="rId3293" ref="A3293"/>
    <hyperlink r:id="rId3294" ref="A3294"/>
    <hyperlink r:id="rId3295" ref="A3295"/>
    <hyperlink r:id="rId3296" ref="A3296"/>
    <hyperlink r:id="rId3297" ref="A3297"/>
    <hyperlink r:id="rId3298" ref="A3298"/>
    <hyperlink r:id="rId3299" ref="A3299"/>
    <hyperlink r:id="rId3300" ref="A3300"/>
    <hyperlink r:id="rId3301" ref="A3301"/>
    <hyperlink r:id="rId3302" ref="A3302"/>
    <hyperlink r:id="rId3303" ref="A3303"/>
    <hyperlink r:id="rId3304" ref="A3304"/>
    <hyperlink r:id="rId3305" ref="A3305"/>
    <hyperlink r:id="rId3306" ref="A3306"/>
    <hyperlink r:id="rId3307" ref="A3307"/>
    <hyperlink r:id="rId3308" ref="A3308"/>
    <hyperlink r:id="rId3309" ref="A3309"/>
    <hyperlink r:id="rId3310" ref="A3310"/>
    <hyperlink r:id="rId3311" ref="A3311"/>
    <hyperlink r:id="rId3312" ref="A3312"/>
    <hyperlink r:id="rId3313" ref="A3313"/>
    <hyperlink r:id="rId3314" ref="A3314"/>
    <hyperlink r:id="rId3315" ref="A3315"/>
    <hyperlink r:id="rId3316" ref="A3316"/>
    <hyperlink r:id="rId3317" ref="A3317"/>
    <hyperlink r:id="rId3318" ref="A3318"/>
    <hyperlink r:id="rId3319" ref="A3319"/>
    <hyperlink r:id="rId3320" ref="A3320"/>
    <hyperlink r:id="rId3321" ref="A3321"/>
    <hyperlink r:id="rId3322" ref="A3322"/>
    <hyperlink r:id="rId3323" ref="A3323"/>
    <hyperlink r:id="rId3324" ref="A3324"/>
    <hyperlink r:id="rId3325" ref="A3325"/>
    <hyperlink r:id="rId3326" ref="A3326"/>
    <hyperlink r:id="rId3327" ref="A3327"/>
    <hyperlink r:id="rId3328" ref="A3328"/>
    <hyperlink r:id="rId3329" ref="A3329"/>
    <hyperlink r:id="rId3330" ref="A3330"/>
    <hyperlink r:id="rId3331" ref="A3331"/>
    <hyperlink r:id="rId3332" ref="A3332"/>
    <hyperlink r:id="rId3333" ref="A3333"/>
    <hyperlink r:id="rId3334" ref="A3334"/>
    <hyperlink r:id="rId3335" ref="A3335"/>
    <hyperlink r:id="rId3336" ref="A3336"/>
    <hyperlink r:id="rId3337" ref="A3337"/>
    <hyperlink r:id="rId3338" ref="A3338"/>
    <hyperlink r:id="rId3339" ref="A3339"/>
    <hyperlink r:id="rId3340" ref="A3340"/>
    <hyperlink r:id="rId3341" ref="A3341"/>
    <hyperlink r:id="rId3342" ref="A3342"/>
    <hyperlink r:id="rId3343" ref="A3343"/>
    <hyperlink r:id="rId3344" ref="A3344"/>
    <hyperlink r:id="rId3345" ref="A3345"/>
    <hyperlink r:id="rId3346" ref="A3346"/>
    <hyperlink r:id="rId3347" ref="A3347"/>
    <hyperlink r:id="rId3348" ref="A3348"/>
    <hyperlink r:id="rId3349" ref="A3349"/>
    <hyperlink r:id="rId3350" ref="A3350"/>
    <hyperlink r:id="rId3351" ref="A3351"/>
    <hyperlink r:id="rId3352" ref="A3352"/>
    <hyperlink r:id="rId3353" ref="A3353"/>
    <hyperlink r:id="rId3354" ref="A3354"/>
    <hyperlink r:id="rId3355" ref="A3355"/>
    <hyperlink r:id="rId3356" ref="A3356"/>
    <hyperlink r:id="rId3357" ref="A3357"/>
    <hyperlink r:id="rId3358" ref="A3358"/>
    <hyperlink r:id="rId3359" ref="A3359"/>
    <hyperlink r:id="rId3360" ref="A3360"/>
    <hyperlink r:id="rId3361" ref="A3361"/>
    <hyperlink r:id="rId3362" ref="A3362"/>
    <hyperlink r:id="rId3363" ref="A3363"/>
    <hyperlink r:id="rId3364" ref="A3364"/>
    <hyperlink r:id="rId3365" ref="A3365"/>
    <hyperlink r:id="rId3366" ref="A3366"/>
    <hyperlink r:id="rId3367" ref="A3367"/>
    <hyperlink r:id="rId3368" ref="A3368"/>
    <hyperlink r:id="rId3369" ref="A3369"/>
    <hyperlink r:id="rId3370" ref="A3370"/>
    <hyperlink r:id="rId3371" ref="A3371"/>
    <hyperlink r:id="rId3372" ref="A3372"/>
    <hyperlink r:id="rId3373" ref="A3373"/>
    <hyperlink r:id="rId3374" ref="A3374"/>
    <hyperlink r:id="rId3375" ref="A3375"/>
    <hyperlink r:id="rId3376" ref="A3376"/>
    <hyperlink r:id="rId3377" ref="A3377"/>
    <hyperlink r:id="rId3378" ref="A3378"/>
    <hyperlink r:id="rId3379" ref="A3379"/>
    <hyperlink r:id="rId3380" ref="A3380"/>
    <hyperlink r:id="rId3381" ref="A3381"/>
    <hyperlink r:id="rId3382" ref="A3382"/>
    <hyperlink r:id="rId3383" ref="A3383"/>
    <hyperlink r:id="rId3384" ref="A3384"/>
    <hyperlink r:id="rId3385" ref="A3385"/>
    <hyperlink r:id="rId3386" ref="A3386"/>
    <hyperlink r:id="rId3387" ref="A3387"/>
    <hyperlink r:id="rId3388" ref="A3388"/>
    <hyperlink r:id="rId3389" ref="A3389"/>
    <hyperlink r:id="rId3390" ref="A3390"/>
    <hyperlink r:id="rId3391" ref="A3391"/>
    <hyperlink r:id="rId3392" ref="A3392"/>
    <hyperlink r:id="rId3393" ref="A3393"/>
    <hyperlink r:id="rId3394" ref="A3394"/>
    <hyperlink r:id="rId3395" ref="A3395"/>
    <hyperlink r:id="rId3396" ref="A3396"/>
    <hyperlink r:id="rId3397" ref="A3397"/>
    <hyperlink r:id="rId3398" ref="A3398"/>
    <hyperlink r:id="rId3399" ref="A3399"/>
    <hyperlink r:id="rId3400" ref="A3400"/>
    <hyperlink r:id="rId3401" ref="A3401"/>
    <hyperlink r:id="rId3402" ref="A3402"/>
    <hyperlink r:id="rId3403" ref="A3403"/>
    <hyperlink r:id="rId3404" ref="A3404"/>
    <hyperlink r:id="rId3405" ref="A3405"/>
    <hyperlink r:id="rId3406" ref="A3406"/>
    <hyperlink r:id="rId3407" ref="A3407"/>
    <hyperlink r:id="rId3408" ref="A3408"/>
    <hyperlink r:id="rId3409" ref="A3409"/>
    <hyperlink r:id="rId3410" ref="A3410"/>
    <hyperlink r:id="rId3411" ref="A3411"/>
    <hyperlink r:id="rId3412" ref="A3412"/>
    <hyperlink r:id="rId3413" ref="A3413"/>
    <hyperlink r:id="rId3414" ref="A3414"/>
    <hyperlink r:id="rId3415" ref="A3415"/>
    <hyperlink r:id="rId3416" ref="A3416"/>
    <hyperlink r:id="rId3417" ref="A3417"/>
    <hyperlink r:id="rId3418" ref="A3418"/>
    <hyperlink r:id="rId3419" ref="A3419"/>
    <hyperlink r:id="rId3420" ref="A3420"/>
    <hyperlink r:id="rId3421" ref="A3421"/>
    <hyperlink r:id="rId3422" ref="A3422"/>
    <hyperlink r:id="rId3423" ref="A3423"/>
    <hyperlink r:id="rId3424" ref="A3424"/>
    <hyperlink r:id="rId3425" ref="A3425"/>
    <hyperlink r:id="rId3426" ref="A3426"/>
    <hyperlink r:id="rId3427" ref="A3427"/>
    <hyperlink r:id="rId3428" ref="A3428"/>
    <hyperlink r:id="rId3429" ref="A3429"/>
    <hyperlink r:id="rId3430" ref="A3430"/>
    <hyperlink r:id="rId3431" ref="A3431"/>
    <hyperlink r:id="rId3432" ref="A3432"/>
    <hyperlink r:id="rId3433" ref="A3433"/>
    <hyperlink r:id="rId3434" ref="A3434"/>
    <hyperlink r:id="rId3435" ref="A3435"/>
    <hyperlink r:id="rId3436" ref="A3436"/>
    <hyperlink r:id="rId3437" ref="A3437"/>
    <hyperlink r:id="rId3438" ref="A3438"/>
    <hyperlink r:id="rId3439" ref="A3439"/>
    <hyperlink r:id="rId3440" ref="A3440"/>
    <hyperlink r:id="rId3441" ref="A3441"/>
    <hyperlink r:id="rId3442" ref="A3442"/>
    <hyperlink r:id="rId3443" ref="A3443"/>
    <hyperlink r:id="rId3444" ref="A3444"/>
    <hyperlink r:id="rId3445" ref="A3445"/>
    <hyperlink r:id="rId3446" ref="A3446"/>
    <hyperlink r:id="rId3447" ref="A3447"/>
    <hyperlink r:id="rId3448" ref="A3448"/>
    <hyperlink r:id="rId3449" ref="A3449"/>
    <hyperlink r:id="rId3450" ref="A3450"/>
    <hyperlink r:id="rId3451" ref="A3451"/>
    <hyperlink r:id="rId3452" ref="A3452"/>
    <hyperlink r:id="rId3453" ref="A3453"/>
    <hyperlink r:id="rId3454" ref="A3454"/>
    <hyperlink r:id="rId3455" ref="A3455"/>
    <hyperlink r:id="rId3456" ref="A3456"/>
    <hyperlink r:id="rId3457" ref="A3457"/>
    <hyperlink r:id="rId3458" ref="A3458"/>
    <hyperlink r:id="rId3459" ref="A3459"/>
    <hyperlink r:id="rId3460" ref="A3460"/>
    <hyperlink r:id="rId3461" ref="A3461"/>
    <hyperlink r:id="rId3462" ref="A3462"/>
    <hyperlink r:id="rId3463" ref="A3463"/>
    <hyperlink r:id="rId3464" ref="A3464"/>
    <hyperlink r:id="rId3465" ref="A3465"/>
    <hyperlink r:id="rId3466" ref="A3466"/>
    <hyperlink r:id="rId3467" ref="A3467"/>
    <hyperlink r:id="rId3468" ref="A3468"/>
    <hyperlink r:id="rId3469" ref="A3469"/>
    <hyperlink r:id="rId3470" ref="A3470"/>
    <hyperlink r:id="rId3471" ref="A3471"/>
    <hyperlink r:id="rId3472" ref="A3472"/>
    <hyperlink r:id="rId3473" ref="A3473"/>
    <hyperlink r:id="rId3474" ref="A3474"/>
    <hyperlink r:id="rId3475" ref="A3475"/>
    <hyperlink r:id="rId3476" ref="A3476"/>
    <hyperlink r:id="rId3477" ref="A3477"/>
    <hyperlink r:id="rId3478" ref="A3478"/>
    <hyperlink r:id="rId3479" ref="A3479"/>
    <hyperlink r:id="rId3480" ref="A3480"/>
    <hyperlink r:id="rId3481" ref="A3481"/>
    <hyperlink r:id="rId3482" ref="A3482"/>
    <hyperlink r:id="rId3483" ref="A3483"/>
    <hyperlink r:id="rId3484" ref="A3484"/>
    <hyperlink r:id="rId3485" ref="A3485"/>
    <hyperlink r:id="rId3486" ref="A3486"/>
    <hyperlink r:id="rId3487" ref="A3487"/>
    <hyperlink r:id="rId3488" ref="A3488"/>
    <hyperlink r:id="rId3489" ref="A3489"/>
    <hyperlink r:id="rId3490" ref="A3490"/>
    <hyperlink r:id="rId3491" ref="A3491"/>
    <hyperlink r:id="rId3492" ref="A3492"/>
    <hyperlink r:id="rId3493" ref="A3493"/>
    <hyperlink r:id="rId3494" ref="A3494"/>
    <hyperlink r:id="rId3495" ref="A3495"/>
    <hyperlink r:id="rId3496" ref="A3496"/>
    <hyperlink r:id="rId3497" ref="A3497"/>
    <hyperlink r:id="rId3498" ref="A3498"/>
    <hyperlink r:id="rId3499" ref="A3499"/>
    <hyperlink r:id="rId3500" ref="A3500"/>
    <hyperlink r:id="rId3501" ref="A3501"/>
    <hyperlink r:id="rId3502" ref="A3502"/>
    <hyperlink r:id="rId3503" ref="A3503"/>
    <hyperlink r:id="rId3504" ref="A3504"/>
    <hyperlink r:id="rId3505" ref="A3505"/>
    <hyperlink r:id="rId3506" ref="A3506"/>
    <hyperlink r:id="rId3507" ref="A3507"/>
    <hyperlink r:id="rId3508" ref="A3508"/>
    <hyperlink r:id="rId3509" ref="A3509"/>
    <hyperlink r:id="rId3510" ref="A3510"/>
    <hyperlink r:id="rId3511" ref="A3511"/>
    <hyperlink r:id="rId3512" ref="A3512"/>
    <hyperlink r:id="rId3513" ref="A3513"/>
    <hyperlink r:id="rId3514" ref="A3514"/>
    <hyperlink r:id="rId3515" ref="A3515"/>
    <hyperlink r:id="rId3516" ref="A3516"/>
    <hyperlink r:id="rId3517" ref="A3517"/>
    <hyperlink r:id="rId3518" ref="A3518"/>
    <hyperlink r:id="rId3519" ref="A3519"/>
    <hyperlink r:id="rId3520" ref="A3520"/>
    <hyperlink r:id="rId3521" ref="A3521"/>
    <hyperlink r:id="rId3522" ref="A3522"/>
    <hyperlink r:id="rId3523" ref="A3523"/>
    <hyperlink r:id="rId3524" ref="A3524"/>
    <hyperlink r:id="rId3525" ref="A3525"/>
    <hyperlink r:id="rId3526" ref="A3526"/>
    <hyperlink r:id="rId3527" ref="A3527"/>
    <hyperlink r:id="rId3528" ref="A3528"/>
    <hyperlink r:id="rId3529" ref="A3529"/>
    <hyperlink r:id="rId3530" ref="A3530"/>
    <hyperlink r:id="rId3531" ref="A3531"/>
    <hyperlink r:id="rId3532" ref="A3532"/>
    <hyperlink r:id="rId3533" ref="A3533"/>
    <hyperlink r:id="rId3534" ref="A3534"/>
    <hyperlink r:id="rId3535" ref="A3535"/>
    <hyperlink r:id="rId3536" ref="A3536"/>
    <hyperlink r:id="rId3537" ref="A3537"/>
    <hyperlink r:id="rId3538" ref="A3538"/>
    <hyperlink r:id="rId3539" ref="A3539"/>
    <hyperlink r:id="rId3540" ref="A3540"/>
    <hyperlink r:id="rId3541" ref="A3541"/>
    <hyperlink r:id="rId3542" ref="A3542"/>
    <hyperlink r:id="rId3543" ref="A3543"/>
    <hyperlink r:id="rId3544" ref="A3544"/>
    <hyperlink r:id="rId3545" ref="A3545"/>
    <hyperlink r:id="rId3546" ref="A3546"/>
    <hyperlink r:id="rId3547" ref="A3547"/>
    <hyperlink r:id="rId3548" ref="A3548"/>
    <hyperlink r:id="rId3549" ref="A3549"/>
    <hyperlink r:id="rId3550" ref="A3550"/>
    <hyperlink r:id="rId3551" ref="A3551"/>
    <hyperlink r:id="rId3552" ref="A3552"/>
    <hyperlink r:id="rId3553" ref="A3553"/>
    <hyperlink r:id="rId3554" ref="A3554"/>
    <hyperlink r:id="rId3555" ref="A3555"/>
    <hyperlink r:id="rId3556" ref="A3556"/>
    <hyperlink r:id="rId3557" ref="A3557"/>
    <hyperlink r:id="rId3558" ref="A3558"/>
    <hyperlink r:id="rId3559" ref="A3559"/>
    <hyperlink r:id="rId3560" ref="A3560"/>
    <hyperlink r:id="rId3561" ref="A3561"/>
    <hyperlink r:id="rId3562" ref="A3562"/>
    <hyperlink r:id="rId3563" ref="A3563"/>
    <hyperlink r:id="rId3564" ref="A3564"/>
    <hyperlink r:id="rId3565" ref="A3565"/>
    <hyperlink r:id="rId3566" ref="A3566"/>
    <hyperlink r:id="rId3567" ref="A3567"/>
    <hyperlink r:id="rId3568" ref="A3568"/>
    <hyperlink r:id="rId3569" ref="A3569"/>
    <hyperlink r:id="rId3570" ref="A3570"/>
    <hyperlink r:id="rId3571" ref="A3571"/>
    <hyperlink r:id="rId3572" ref="A3572"/>
    <hyperlink r:id="rId3573" ref="A3573"/>
    <hyperlink r:id="rId3574" ref="A3574"/>
    <hyperlink r:id="rId3575" ref="A3575"/>
    <hyperlink r:id="rId3576" ref="A3576"/>
    <hyperlink r:id="rId3577" ref="A3577"/>
    <hyperlink r:id="rId3578" ref="A3578"/>
    <hyperlink r:id="rId3579" ref="A3579"/>
    <hyperlink r:id="rId3580" ref="A3580"/>
    <hyperlink r:id="rId3581" ref="A3581"/>
    <hyperlink r:id="rId3582" ref="A3582"/>
    <hyperlink r:id="rId3583" ref="A3583"/>
    <hyperlink r:id="rId3584" ref="A3584"/>
    <hyperlink r:id="rId3585" ref="A3585"/>
    <hyperlink r:id="rId3586" ref="A3586"/>
    <hyperlink r:id="rId3587" ref="A3587"/>
    <hyperlink r:id="rId3588" ref="A3588"/>
    <hyperlink r:id="rId3589" ref="A3589"/>
    <hyperlink r:id="rId3590" ref="A3590"/>
    <hyperlink r:id="rId3591" ref="A3591"/>
    <hyperlink r:id="rId3592" ref="A3592"/>
    <hyperlink r:id="rId3593" ref="A3593"/>
    <hyperlink r:id="rId3594" ref="A3594"/>
    <hyperlink r:id="rId3595" ref="A3595"/>
    <hyperlink r:id="rId3596" ref="A3596"/>
    <hyperlink r:id="rId3597" ref="A3597"/>
    <hyperlink r:id="rId3598" ref="A3598"/>
    <hyperlink r:id="rId3599" ref="A3599"/>
    <hyperlink r:id="rId3600" ref="A3600"/>
    <hyperlink r:id="rId3601" ref="A3601"/>
    <hyperlink r:id="rId3602" ref="A3602"/>
    <hyperlink r:id="rId3603" ref="A3603"/>
    <hyperlink r:id="rId3604" ref="A3604"/>
    <hyperlink r:id="rId3605" ref="A3605"/>
    <hyperlink r:id="rId3606" ref="A3606"/>
    <hyperlink r:id="rId3607" ref="A3607"/>
    <hyperlink r:id="rId3608" ref="A3608"/>
    <hyperlink r:id="rId3609" ref="A3609"/>
    <hyperlink r:id="rId3610" ref="A3610"/>
    <hyperlink r:id="rId3611" ref="A3611"/>
    <hyperlink r:id="rId3612" ref="A3612"/>
    <hyperlink r:id="rId3613" ref="A3613"/>
    <hyperlink r:id="rId3614" ref="A3614"/>
    <hyperlink r:id="rId3615" ref="A3615"/>
    <hyperlink r:id="rId3616" ref="A3616"/>
    <hyperlink r:id="rId3617" ref="A3617"/>
    <hyperlink r:id="rId3618" ref="A3618"/>
    <hyperlink r:id="rId3619" ref="A3619"/>
    <hyperlink r:id="rId3620" ref="A3620"/>
    <hyperlink r:id="rId3621" ref="A3621"/>
    <hyperlink r:id="rId3622" ref="A3622"/>
    <hyperlink r:id="rId3623" ref="A3623"/>
    <hyperlink r:id="rId3624" ref="A3624"/>
    <hyperlink r:id="rId3625" ref="A3625"/>
    <hyperlink r:id="rId3626" ref="A3626"/>
    <hyperlink r:id="rId3627" ref="A3627"/>
    <hyperlink r:id="rId3628" ref="A3628"/>
    <hyperlink r:id="rId3629" ref="A3629"/>
    <hyperlink r:id="rId3630" ref="A3630"/>
    <hyperlink r:id="rId3631" ref="A3631"/>
    <hyperlink r:id="rId3632" ref="A3632"/>
    <hyperlink r:id="rId3633" ref="A3633"/>
    <hyperlink r:id="rId3634" ref="A3634"/>
    <hyperlink r:id="rId3635" ref="A3635"/>
    <hyperlink r:id="rId3636" ref="A3636"/>
    <hyperlink r:id="rId3637" ref="A3637"/>
    <hyperlink r:id="rId3638" ref="A3638"/>
    <hyperlink r:id="rId3639" ref="A3639"/>
    <hyperlink r:id="rId3640" ref="A3640"/>
    <hyperlink r:id="rId3641" ref="A3641"/>
    <hyperlink r:id="rId3642" ref="A3642"/>
    <hyperlink r:id="rId3643" ref="A3643"/>
    <hyperlink r:id="rId3644" ref="A3644"/>
    <hyperlink r:id="rId3645" ref="A3645"/>
    <hyperlink r:id="rId3646" ref="A3646"/>
    <hyperlink r:id="rId3647" ref="A3647"/>
    <hyperlink r:id="rId3648" ref="A3648"/>
    <hyperlink r:id="rId3649" ref="A3649"/>
    <hyperlink r:id="rId3650" ref="A3650"/>
    <hyperlink r:id="rId3651" ref="A3651"/>
    <hyperlink r:id="rId3652" ref="A3652"/>
    <hyperlink r:id="rId3653" ref="A3653"/>
    <hyperlink r:id="rId3654" ref="A3654"/>
    <hyperlink r:id="rId3655" ref="A3655"/>
    <hyperlink r:id="rId3656" ref="A3656"/>
    <hyperlink r:id="rId3657" ref="A3657"/>
    <hyperlink r:id="rId3658" ref="A3658"/>
    <hyperlink r:id="rId3659" ref="A3659"/>
    <hyperlink r:id="rId3660" ref="A3660"/>
    <hyperlink r:id="rId3661" ref="A3661"/>
    <hyperlink r:id="rId3662" ref="A3662"/>
    <hyperlink r:id="rId3663" ref="A3663"/>
    <hyperlink r:id="rId3664" ref="A3664"/>
    <hyperlink r:id="rId3665" ref="A3665"/>
    <hyperlink r:id="rId3666" ref="A3666"/>
    <hyperlink r:id="rId3667" ref="A3667"/>
    <hyperlink r:id="rId3668" ref="A3668"/>
    <hyperlink r:id="rId3669" ref="A3669"/>
    <hyperlink r:id="rId3670" ref="A3670"/>
    <hyperlink r:id="rId3671" ref="A3671"/>
    <hyperlink r:id="rId3672" ref="A3672"/>
    <hyperlink r:id="rId3673" ref="A3673"/>
    <hyperlink r:id="rId3674" ref="A3674"/>
    <hyperlink r:id="rId3675" ref="A3675"/>
    <hyperlink r:id="rId3676" ref="A3676"/>
    <hyperlink r:id="rId3677" ref="A3677"/>
    <hyperlink r:id="rId3678" ref="A3678"/>
    <hyperlink r:id="rId3679" ref="A3679"/>
    <hyperlink r:id="rId3680" ref="A3680"/>
    <hyperlink r:id="rId3681" ref="A3681"/>
    <hyperlink r:id="rId3682" ref="A3682"/>
    <hyperlink r:id="rId3683" ref="A3683"/>
    <hyperlink r:id="rId3684" ref="A3684"/>
    <hyperlink r:id="rId3685" ref="A3685"/>
    <hyperlink r:id="rId3686" ref="A3686"/>
    <hyperlink r:id="rId3687" ref="A3687"/>
    <hyperlink r:id="rId3688" ref="A3688"/>
    <hyperlink r:id="rId3689" ref="A3689"/>
    <hyperlink r:id="rId3690" ref="A3690"/>
    <hyperlink r:id="rId3691" ref="A3691"/>
    <hyperlink r:id="rId3692" ref="A3692"/>
    <hyperlink r:id="rId3693" ref="A3693"/>
    <hyperlink r:id="rId3694" ref="A3694"/>
    <hyperlink r:id="rId3695" ref="A3695"/>
    <hyperlink r:id="rId3696" ref="A3696"/>
    <hyperlink r:id="rId3697" ref="A3697"/>
    <hyperlink r:id="rId3698" ref="A3698"/>
    <hyperlink r:id="rId3699" ref="A3699"/>
    <hyperlink r:id="rId3700" ref="A3700"/>
    <hyperlink r:id="rId3701" ref="A3701"/>
    <hyperlink r:id="rId3702" ref="A3702"/>
    <hyperlink r:id="rId3703" ref="A3703"/>
    <hyperlink r:id="rId3704" ref="A3704"/>
    <hyperlink r:id="rId3705" ref="A3705"/>
    <hyperlink r:id="rId3706" ref="A3706"/>
    <hyperlink r:id="rId3707" ref="A3707"/>
    <hyperlink r:id="rId3708" ref="A3708"/>
    <hyperlink r:id="rId3709" ref="A3709"/>
    <hyperlink r:id="rId3710" ref="A3710"/>
    <hyperlink r:id="rId3711" ref="A3711"/>
    <hyperlink r:id="rId3712" ref="A3712"/>
    <hyperlink r:id="rId3713" ref="A3713"/>
    <hyperlink r:id="rId3714" ref="A3714"/>
    <hyperlink r:id="rId3715" ref="A3715"/>
    <hyperlink r:id="rId3716" ref="A3716"/>
    <hyperlink r:id="rId3717" ref="A3717"/>
    <hyperlink r:id="rId3718" ref="A3718"/>
    <hyperlink r:id="rId3719" ref="A3719"/>
    <hyperlink r:id="rId3720" ref="A3720"/>
    <hyperlink r:id="rId3721" ref="A3721"/>
    <hyperlink r:id="rId3722" ref="A3722"/>
    <hyperlink r:id="rId3723" ref="A3723"/>
    <hyperlink r:id="rId3724" ref="A3724"/>
    <hyperlink r:id="rId3725" ref="A3725"/>
    <hyperlink r:id="rId3726" ref="A3726"/>
    <hyperlink r:id="rId3727" ref="A3727"/>
    <hyperlink r:id="rId3728" ref="A3728"/>
    <hyperlink r:id="rId3729" ref="A3729"/>
    <hyperlink r:id="rId3730" ref="A3730"/>
    <hyperlink r:id="rId3731" ref="A3731"/>
    <hyperlink r:id="rId3732" ref="A3732"/>
    <hyperlink r:id="rId3733" ref="A3733"/>
    <hyperlink r:id="rId3734" ref="A3734"/>
    <hyperlink r:id="rId3735" ref="A3735"/>
    <hyperlink r:id="rId3736" ref="A3736"/>
    <hyperlink r:id="rId3737" ref="A3737"/>
    <hyperlink r:id="rId3738" ref="A3738"/>
    <hyperlink r:id="rId3739" ref="A3739"/>
    <hyperlink r:id="rId3740" ref="A3740"/>
    <hyperlink r:id="rId3741" ref="A3741"/>
    <hyperlink r:id="rId3742" ref="A3742"/>
    <hyperlink r:id="rId3743" ref="A3743"/>
    <hyperlink r:id="rId3744" ref="A3744"/>
    <hyperlink r:id="rId3745" ref="A3745"/>
    <hyperlink r:id="rId3746" ref="A3746"/>
    <hyperlink r:id="rId3747" ref="A3747"/>
    <hyperlink r:id="rId3748" ref="A3748"/>
    <hyperlink r:id="rId3749" ref="A3749"/>
    <hyperlink r:id="rId3750" ref="A3750"/>
    <hyperlink r:id="rId3751" ref="A3751"/>
    <hyperlink r:id="rId3752" ref="A3752"/>
    <hyperlink r:id="rId3753" ref="A3753"/>
    <hyperlink r:id="rId3754" ref="A3754"/>
    <hyperlink r:id="rId3755" ref="A3755"/>
    <hyperlink r:id="rId3756" ref="A3756"/>
    <hyperlink r:id="rId3757" ref="A3757"/>
    <hyperlink r:id="rId3758" ref="A3758"/>
    <hyperlink r:id="rId3759" ref="A3759"/>
    <hyperlink r:id="rId3760" ref="A3760"/>
    <hyperlink r:id="rId3761" ref="A3761"/>
    <hyperlink r:id="rId3762" ref="A3762"/>
    <hyperlink r:id="rId3763" ref="A3763"/>
    <hyperlink r:id="rId3764" ref="A3764"/>
    <hyperlink r:id="rId3765" ref="A3765"/>
    <hyperlink r:id="rId3766" ref="A3766"/>
    <hyperlink r:id="rId3767" ref="A3767"/>
    <hyperlink r:id="rId3768" ref="A3768"/>
    <hyperlink r:id="rId3769" ref="A3769"/>
    <hyperlink r:id="rId3770" ref="A3770"/>
    <hyperlink r:id="rId3771" ref="A3771"/>
    <hyperlink r:id="rId3772" ref="A3772"/>
    <hyperlink r:id="rId3773" ref="A3773"/>
    <hyperlink r:id="rId3774" ref="A3774"/>
    <hyperlink r:id="rId3775" ref="A3775"/>
    <hyperlink r:id="rId3776" ref="A3776"/>
    <hyperlink r:id="rId3777" ref="A3777"/>
    <hyperlink r:id="rId3778" ref="A3778"/>
    <hyperlink r:id="rId3779" ref="A3779"/>
    <hyperlink r:id="rId3780" ref="A3780"/>
    <hyperlink r:id="rId3781" ref="A3781"/>
    <hyperlink r:id="rId3782" ref="A3782"/>
    <hyperlink r:id="rId3783" ref="A3783"/>
    <hyperlink r:id="rId3784" ref="A3784"/>
    <hyperlink r:id="rId3785" ref="A3785"/>
    <hyperlink r:id="rId3786" ref="A3786"/>
    <hyperlink r:id="rId3787" ref="A3787"/>
    <hyperlink r:id="rId3788" ref="A3788"/>
    <hyperlink r:id="rId3789" ref="A3789"/>
    <hyperlink r:id="rId3790" ref="A3790"/>
    <hyperlink r:id="rId3791" ref="A3791"/>
    <hyperlink r:id="rId3792" ref="A3792"/>
    <hyperlink r:id="rId3793" ref="A3793"/>
    <hyperlink r:id="rId3794" ref="A3794"/>
    <hyperlink r:id="rId3795" ref="A3795"/>
    <hyperlink r:id="rId3796" ref="A3796"/>
    <hyperlink r:id="rId3797" ref="A3797"/>
    <hyperlink r:id="rId3798" ref="A3798"/>
    <hyperlink r:id="rId3799" ref="A3799"/>
    <hyperlink r:id="rId3800" ref="A3800"/>
    <hyperlink r:id="rId3801" ref="A3801"/>
    <hyperlink r:id="rId3802" ref="A3802"/>
    <hyperlink r:id="rId3803" ref="A3803"/>
    <hyperlink r:id="rId3804" ref="A3804"/>
    <hyperlink r:id="rId3805" ref="A3805"/>
    <hyperlink r:id="rId3806" ref="A3806"/>
    <hyperlink r:id="rId3807" ref="A3807"/>
    <hyperlink r:id="rId3808" ref="A3808"/>
    <hyperlink r:id="rId3809" ref="A3809"/>
    <hyperlink r:id="rId3810" ref="A3810"/>
    <hyperlink r:id="rId3811" ref="A3811"/>
    <hyperlink r:id="rId3812" ref="A3812"/>
    <hyperlink r:id="rId3813" ref="A3813"/>
    <hyperlink r:id="rId3814" ref="A3814"/>
    <hyperlink r:id="rId3815" ref="A3815"/>
    <hyperlink r:id="rId3816" ref="A3816"/>
    <hyperlink r:id="rId3817" ref="A3817"/>
    <hyperlink r:id="rId3818" ref="A3818"/>
    <hyperlink r:id="rId3819" ref="A3819"/>
    <hyperlink r:id="rId3820" ref="A3820"/>
    <hyperlink r:id="rId3821" ref="A3821"/>
    <hyperlink r:id="rId3822" ref="A3822"/>
    <hyperlink r:id="rId3823" ref="A3823"/>
    <hyperlink r:id="rId3824" ref="A3824"/>
    <hyperlink r:id="rId3825" ref="A3825"/>
    <hyperlink r:id="rId3826" ref="A3826"/>
    <hyperlink r:id="rId3827" ref="A3827"/>
    <hyperlink r:id="rId3828" ref="A3828"/>
    <hyperlink r:id="rId3829" ref="A3829"/>
    <hyperlink r:id="rId3830" ref="A3830"/>
    <hyperlink r:id="rId3831" ref="A3831"/>
    <hyperlink r:id="rId3832" ref="A3832"/>
    <hyperlink r:id="rId3833" ref="A3833"/>
    <hyperlink r:id="rId3834" ref="A3834"/>
    <hyperlink r:id="rId3835" ref="A3835"/>
    <hyperlink r:id="rId3836" ref="A3836"/>
    <hyperlink r:id="rId3837" ref="A3837"/>
    <hyperlink r:id="rId3838" ref="A3838"/>
    <hyperlink r:id="rId3839" ref="A3839"/>
    <hyperlink r:id="rId3840" ref="A3840"/>
    <hyperlink r:id="rId3841" ref="A3841"/>
    <hyperlink r:id="rId3842" ref="A3842"/>
    <hyperlink r:id="rId3843" ref="A3843"/>
    <hyperlink r:id="rId3844" ref="A3844"/>
    <hyperlink r:id="rId3845" ref="A3845"/>
    <hyperlink r:id="rId3846" ref="A3846"/>
    <hyperlink r:id="rId3847" ref="A3847"/>
    <hyperlink r:id="rId3848" ref="A3848"/>
    <hyperlink r:id="rId3849" ref="A3849"/>
    <hyperlink r:id="rId3850" ref="A3850"/>
    <hyperlink r:id="rId3851" ref="A3851"/>
    <hyperlink r:id="rId3852" ref="A3852"/>
    <hyperlink r:id="rId3853" ref="A3853"/>
    <hyperlink r:id="rId3854" ref="A3854"/>
    <hyperlink r:id="rId3855" ref="A3855"/>
    <hyperlink r:id="rId3856" ref="A3856"/>
    <hyperlink r:id="rId3857" ref="A3857"/>
    <hyperlink r:id="rId3858" ref="A3858"/>
    <hyperlink r:id="rId3859" ref="A3859"/>
    <hyperlink r:id="rId3860" ref="A3860"/>
    <hyperlink r:id="rId3861" ref="A3861"/>
    <hyperlink r:id="rId3862" ref="A3862"/>
    <hyperlink r:id="rId3863" ref="A3863"/>
    <hyperlink r:id="rId3864" ref="A3864"/>
    <hyperlink r:id="rId3865" ref="A3865"/>
    <hyperlink r:id="rId3866" ref="A3866"/>
    <hyperlink r:id="rId3867" ref="A3867"/>
    <hyperlink r:id="rId3868" ref="A3868"/>
    <hyperlink r:id="rId3869" ref="A3869"/>
    <hyperlink r:id="rId3870" ref="A3870"/>
    <hyperlink r:id="rId3871" ref="A3871"/>
    <hyperlink r:id="rId3872" ref="A3872"/>
    <hyperlink r:id="rId3873" ref="A3873"/>
    <hyperlink r:id="rId3874" ref="A3874"/>
    <hyperlink r:id="rId3875" ref="A3875"/>
    <hyperlink r:id="rId3876" ref="A3876"/>
    <hyperlink r:id="rId3877" ref="A3877"/>
    <hyperlink r:id="rId3878" ref="A3878"/>
    <hyperlink r:id="rId3879" ref="A3879"/>
    <hyperlink r:id="rId3880" ref="A3880"/>
    <hyperlink r:id="rId3881" ref="A3881"/>
    <hyperlink r:id="rId3882" ref="A3882"/>
    <hyperlink r:id="rId3883" ref="A3883"/>
    <hyperlink r:id="rId3884" ref="A3884"/>
    <hyperlink r:id="rId3885" ref="A3885"/>
    <hyperlink r:id="rId3886" ref="A3886"/>
    <hyperlink r:id="rId3887" ref="A3887"/>
    <hyperlink r:id="rId3888" ref="A3888"/>
    <hyperlink r:id="rId3889" ref="A3889"/>
    <hyperlink r:id="rId3890" ref="A3890"/>
    <hyperlink r:id="rId3891" ref="A3891"/>
    <hyperlink r:id="rId3892" ref="A3892"/>
    <hyperlink r:id="rId3893" ref="A3893"/>
    <hyperlink r:id="rId3894" ref="A3894"/>
    <hyperlink r:id="rId3895" ref="A3895"/>
    <hyperlink r:id="rId3896" ref="A3896"/>
    <hyperlink r:id="rId3897" ref="A3897"/>
    <hyperlink r:id="rId3898" ref="A3898"/>
    <hyperlink r:id="rId3899" ref="A3899"/>
    <hyperlink r:id="rId3900" ref="A3900"/>
    <hyperlink r:id="rId3901" ref="A3901"/>
    <hyperlink r:id="rId3902" ref="A3902"/>
    <hyperlink r:id="rId3903" ref="A3903"/>
    <hyperlink r:id="rId3904" ref="A3904"/>
    <hyperlink r:id="rId3905" ref="A3905"/>
    <hyperlink r:id="rId3906" ref="A3906"/>
    <hyperlink r:id="rId3907" ref="A3907"/>
    <hyperlink r:id="rId3908" ref="A3908"/>
    <hyperlink r:id="rId3909" ref="A3909"/>
    <hyperlink r:id="rId3910" ref="A3910"/>
    <hyperlink r:id="rId3911" ref="A3911"/>
    <hyperlink r:id="rId3912" ref="A3912"/>
    <hyperlink r:id="rId3913" ref="A3913"/>
    <hyperlink r:id="rId3914" ref="A3914"/>
    <hyperlink r:id="rId3915" ref="A3915"/>
    <hyperlink r:id="rId3916" ref="A3916"/>
    <hyperlink r:id="rId3917" ref="A3917"/>
    <hyperlink r:id="rId3918" ref="A3918"/>
    <hyperlink r:id="rId3919" ref="A3919"/>
    <hyperlink r:id="rId3920" ref="A3920"/>
    <hyperlink r:id="rId3921" ref="A3921"/>
    <hyperlink r:id="rId3922" ref="A3922"/>
    <hyperlink r:id="rId3923" ref="A3923"/>
    <hyperlink r:id="rId3924" ref="A3924"/>
    <hyperlink r:id="rId3925" ref="A3925"/>
    <hyperlink r:id="rId3926" ref="A3926"/>
    <hyperlink r:id="rId3927" ref="A3927"/>
    <hyperlink r:id="rId3928" ref="A3928"/>
    <hyperlink r:id="rId3929" ref="A3929"/>
    <hyperlink r:id="rId3930" ref="A3930"/>
    <hyperlink r:id="rId3931" ref="A3931"/>
    <hyperlink r:id="rId3932" ref="A3932"/>
    <hyperlink r:id="rId3933" ref="A3933"/>
    <hyperlink r:id="rId3934" ref="A3934"/>
    <hyperlink r:id="rId3935" ref="A3935"/>
    <hyperlink r:id="rId3936" ref="A3936"/>
    <hyperlink r:id="rId3937" ref="A3937"/>
    <hyperlink r:id="rId3938" ref="A3938"/>
    <hyperlink r:id="rId3939" ref="A3939"/>
    <hyperlink r:id="rId3940" ref="A3940"/>
    <hyperlink r:id="rId3941" ref="A3941"/>
    <hyperlink r:id="rId3942" ref="A3942"/>
    <hyperlink r:id="rId3943" ref="A3943"/>
    <hyperlink r:id="rId3944" ref="A3944"/>
    <hyperlink r:id="rId3945" ref="A3945"/>
    <hyperlink r:id="rId3946" ref="A3946"/>
    <hyperlink r:id="rId3947" ref="A3947"/>
    <hyperlink r:id="rId3948" ref="A3948"/>
    <hyperlink r:id="rId3949" ref="A3949"/>
    <hyperlink r:id="rId3950" ref="A3950"/>
    <hyperlink r:id="rId3951" ref="A3951"/>
    <hyperlink r:id="rId3952" ref="A3952"/>
    <hyperlink r:id="rId3953" ref="A3953"/>
    <hyperlink r:id="rId3954" ref="A3954"/>
    <hyperlink r:id="rId3955" ref="A3955"/>
    <hyperlink r:id="rId3956" ref="A3956"/>
    <hyperlink r:id="rId3957" ref="A3957"/>
    <hyperlink r:id="rId3958" ref="A3958"/>
    <hyperlink r:id="rId3959" ref="A3959"/>
    <hyperlink r:id="rId3960" ref="A3960"/>
    <hyperlink r:id="rId3961" ref="A3961"/>
    <hyperlink r:id="rId3962" ref="A3962"/>
    <hyperlink r:id="rId3963" ref="A3963"/>
    <hyperlink r:id="rId3964" ref="A3964"/>
    <hyperlink r:id="rId3965" ref="A3965"/>
    <hyperlink r:id="rId3966" ref="A3966"/>
    <hyperlink r:id="rId3967" ref="A3967"/>
    <hyperlink r:id="rId3968" ref="A3968"/>
    <hyperlink r:id="rId3969" ref="A3969"/>
    <hyperlink r:id="rId3970" ref="A3970"/>
    <hyperlink r:id="rId3971" ref="A3971"/>
    <hyperlink r:id="rId3972" ref="A3972"/>
    <hyperlink r:id="rId3973" ref="A3973"/>
    <hyperlink r:id="rId3974" ref="A3974"/>
    <hyperlink r:id="rId3975" ref="A3975"/>
    <hyperlink r:id="rId3976" ref="A3976"/>
    <hyperlink r:id="rId3977" ref="A3977"/>
    <hyperlink r:id="rId3978" ref="A3978"/>
    <hyperlink r:id="rId3979" ref="A3979"/>
    <hyperlink r:id="rId3980" ref="A3980"/>
    <hyperlink r:id="rId3981" ref="A3981"/>
    <hyperlink r:id="rId3982" ref="A3982"/>
    <hyperlink r:id="rId3983" ref="A3983"/>
    <hyperlink r:id="rId3984" ref="A3984"/>
    <hyperlink r:id="rId3985" ref="A3985"/>
    <hyperlink r:id="rId3986" ref="A3986"/>
    <hyperlink r:id="rId3987" ref="A3987"/>
    <hyperlink r:id="rId3988" ref="A3988"/>
    <hyperlink r:id="rId3989" ref="A3989"/>
    <hyperlink r:id="rId3990" ref="A3990"/>
    <hyperlink r:id="rId3991" ref="A3991"/>
    <hyperlink r:id="rId3992" ref="A3992"/>
    <hyperlink r:id="rId3993" ref="A3993"/>
    <hyperlink r:id="rId3994" ref="A3994"/>
    <hyperlink r:id="rId3995" ref="A3995"/>
    <hyperlink r:id="rId3996" ref="A3996"/>
    <hyperlink r:id="rId3997" ref="A3997"/>
    <hyperlink r:id="rId3998" ref="A3998"/>
    <hyperlink r:id="rId3999" ref="A3999"/>
    <hyperlink r:id="rId4000" ref="A4000"/>
    <hyperlink r:id="rId4001" ref="A4001"/>
    <hyperlink r:id="rId4002" ref="A4002"/>
    <hyperlink r:id="rId4003" ref="A4003"/>
    <hyperlink r:id="rId4004" ref="A4004"/>
    <hyperlink r:id="rId4005" ref="A4005"/>
    <hyperlink r:id="rId4006" ref="A4006"/>
    <hyperlink r:id="rId4007" ref="A4007"/>
    <hyperlink r:id="rId4008" ref="A4008"/>
    <hyperlink r:id="rId4009" ref="A4009"/>
    <hyperlink r:id="rId4010" ref="A4010"/>
    <hyperlink r:id="rId4011" ref="A4011"/>
    <hyperlink r:id="rId4012" ref="A4012"/>
    <hyperlink r:id="rId4013" ref="A4013"/>
    <hyperlink r:id="rId4014" ref="A4014"/>
    <hyperlink r:id="rId4015" ref="A4015"/>
    <hyperlink r:id="rId4016" ref="A4016"/>
    <hyperlink r:id="rId4017" ref="A4017"/>
    <hyperlink r:id="rId4018" ref="A4018"/>
    <hyperlink r:id="rId4019" ref="A4019"/>
    <hyperlink r:id="rId4020" ref="A4020"/>
    <hyperlink r:id="rId4021" ref="A4021"/>
    <hyperlink r:id="rId4022" ref="A4022"/>
    <hyperlink r:id="rId4023" ref="A4023"/>
    <hyperlink r:id="rId4024" ref="A4024"/>
    <hyperlink r:id="rId4025" ref="A4025"/>
    <hyperlink r:id="rId4026" ref="A4026"/>
    <hyperlink r:id="rId4027" ref="A4027"/>
    <hyperlink r:id="rId4028" ref="A4028"/>
    <hyperlink r:id="rId4029" ref="A4029"/>
    <hyperlink r:id="rId4030" ref="A4030"/>
    <hyperlink r:id="rId4031" ref="A4031"/>
    <hyperlink r:id="rId4032" ref="A4032"/>
    <hyperlink r:id="rId4033" ref="A4033"/>
    <hyperlink r:id="rId4034" ref="A4034"/>
    <hyperlink r:id="rId4035" ref="A4035"/>
    <hyperlink r:id="rId4036" ref="A4036"/>
    <hyperlink r:id="rId4037" ref="A4037"/>
    <hyperlink r:id="rId4038" ref="A4038"/>
    <hyperlink r:id="rId4039" ref="A4039"/>
    <hyperlink r:id="rId4040" ref="A4040"/>
    <hyperlink r:id="rId4041" ref="A4041"/>
    <hyperlink r:id="rId4042" ref="A4042"/>
    <hyperlink r:id="rId4043" ref="A4043"/>
    <hyperlink r:id="rId4044" ref="A4044"/>
    <hyperlink r:id="rId4045" ref="A4045"/>
    <hyperlink r:id="rId4046" ref="A4046"/>
    <hyperlink r:id="rId4047" ref="A4047"/>
    <hyperlink r:id="rId4048" ref="A4048"/>
    <hyperlink r:id="rId4049" ref="A4049"/>
    <hyperlink r:id="rId4050" ref="A4050"/>
    <hyperlink r:id="rId4051" ref="A4051"/>
    <hyperlink r:id="rId4052" ref="A4052"/>
    <hyperlink r:id="rId4053" ref="A4053"/>
    <hyperlink r:id="rId4054" ref="A4054"/>
    <hyperlink r:id="rId4055" ref="A4055"/>
    <hyperlink r:id="rId4056" ref="A4056"/>
    <hyperlink r:id="rId4057" ref="A4057"/>
    <hyperlink r:id="rId4058" ref="A4058"/>
    <hyperlink r:id="rId4059" ref="A4059"/>
    <hyperlink r:id="rId4060" ref="A4060"/>
    <hyperlink r:id="rId4061" ref="A4061"/>
    <hyperlink r:id="rId4062" ref="A4062"/>
    <hyperlink r:id="rId4063" ref="A4063"/>
    <hyperlink r:id="rId4064" ref="A4064"/>
    <hyperlink r:id="rId4065" ref="A4065"/>
    <hyperlink r:id="rId4066" ref="A4066"/>
    <hyperlink r:id="rId4067" ref="A4067"/>
    <hyperlink r:id="rId4068" ref="A4068"/>
    <hyperlink r:id="rId4069" ref="A4069"/>
    <hyperlink r:id="rId4070" ref="A4070"/>
    <hyperlink r:id="rId4071" ref="A4071"/>
    <hyperlink r:id="rId4072" ref="A4072"/>
    <hyperlink r:id="rId4073" ref="A4073"/>
    <hyperlink r:id="rId4074" ref="A4074"/>
    <hyperlink r:id="rId4075" ref="A4075"/>
    <hyperlink r:id="rId4076" ref="A4076"/>
    <hyperlink r:id="rId4077" ref="A4077"/>
    <hyperlink r:id="rId4078" ref="A4078"/>
    <hyperlink r:id="rId4079" ref="A4079"/>
    <hyperlink r:id="rId4080" ref="A4080"/>
    <hyperlink r:id="rId4081" ref="A4081"/>
    <hyperlink r:id="rId4082" ref="A4082"/>
    <hyperlink r:id="rId4083" ref="A4083"/>
    <hyperlink r:id="rId4084" ref="A4084"/>
    <hyperlink r:id="rId4085" ref="A4085"/>
    <hyperlink r:id="rId4086" ref="A4086"/>
    <hyperlink r:id="rId4087" ref="A4087"/>
    <hyperlink r:id="rId4088" ref="A4088"/>
    <hyperlink r:id="rId4089" ref="A4089"/>
    <hyperlink r:id="rId4090" ref="A4090"/>
    <hyperlink r:id="rId4091" ref="A4091"/>
    <hyperlink r:id="rId4092" ref="A4092"/>
    <hyperlink r:id="rId4093" ref="A4093"/>
    <hyperlink r:id="rId4094" ref="A4094"/>
    <hyperlink r:id="rId4095" ref="A4095"/>
    <hyperlink r:id="rId4096" ref="A4096"/>
    <hyperlink r:id="rId4097" ref="A4097"/>
    <hyperlink r:id="rId4098" ref="A4098"/>
    <hyperlink r:id="rId4099" ref="A4099"/>
    <hyperlink r:id="rId4100" ref="A4100"/>
    <hyperlink r:id="rId4101" ref="A4101"/>
    <hyperlink r:id="rId4102" ref="A4102"/>
    <hyperlink r:id="rId4103" ref="A4103"/>
    <hyperlink r:id="rId4104" ref="A4104"/>
    <hyperlink r:id="rId4105" ref="A4105"/>
    <hyperlink r:id="rId4106" ref="A4106"/>
    <hyperlink r:id="rId4107" ref="A4107"/>
    <hyperlink r:id="rId4108" ref="A4108"/>
    <hyperlink r:id="rId4109" ref="A4109"/>
    <hyperlink r:id="rId4110" ref="A4110"/>
    <hyperlink r:id="rId4111" ref="A4111"/>
    <hyperlink r:id="rId4112" ref="A4112"/>
    <hyperlink r:id="rId4113" ref="A4113"/>
    <hyperlink r:id="rId4114" ref="A4114"/>
    <hyperlink r:id="rId4115" ref="A4115"/>
    <hyperlink r:id="rId4116" ref="A4116"/>
    <hyperlink r:id="rId4117" ref="A4117"/>
    <hyperlink r:id="rId4118" ref="A4118"/>
    <hyperlink r:id="rId4119" ref="A4119"/>
    <hyperlink r:id="rId4120" ref="A4120"/>
    <hyperlink r:id="rId4121" ref="A4121"/>
    <hyperlink r:id="rId4122" ref="A4122"/>
    <hyperlink r:id="rId4123" ref="A4123"/>
    <hyperlink r:id="rId4124" ref="A4124"/>
    <hyperlink r:id="rId4125" ref="A4125"/>
    <hyperlink r:id="rId4126" ref="A4126"/>
    <hyperlink r:id="rId4127" ref="A4127"/>
    <hyperlink r:id="rId4128" ref="A4128"/>
    <hyperlink r:id="rId4129" ref="A4129"/>
    <hyperlink r:id="rId4130" ref="A4130"/>
    <hyperlink r:id="rId4131" ref="A4131"/>
    <hyperlink r:id="rId4132" ref="A4132"/>
    <hyperlink r:id="rId4133" ref="A4133"/>
    <hyperlink r:id="rId4134" ref="A4134"/>
    <hyperlink r:id="rId4135" ref="A4135"/>
    <hyperlink r:id="rId4136" ref="A4136"/>
    <hyperlink r:id="rId4137" ref="A4137"/>
    <hyperlink r:id="rId4138" ref="A4138"/>
    <hyperlink r:id="rId4139" ref="A4139"/>
    <hyperlink r:id="rId4140" ref="A4140"/>
    <hyperlink r:id="rId4141" ref="A4141"/>
    <hyperlink r:id="rId4142" ref="A4142"/>
    <hyperlink r:id="rId4143" ref="A4143"/>
    <hyperlink r:id="rId4144" ref="A4144"/>
    <hyperlink r:id="rId4145" ref="A4145"/>
    <hyperlink r:id="rId4146" ref="A4146"/>
    <hyperlink r:id="rId4147" ref="A4147"/>
    <hyperlink r:id="rId4148" ref="A4148"/>
    <hyperlink r:id="rId4149" ref="A4149"/>
    <hyperlink r:id="rId4150" ref="A4150"/>
    <hyperlink r:id="rId4151" ref="A4151"/>
    <hyperlink r:id="rId4152" ref="A4152"/>
    <hyperlink r:id="rId4153" ref="A4153"/>
    <hyperlink r:id="rId4154" ref="A4154"/>
    <hyperlink r:id="rId4155" ref="A4155"/>
    <hyperlink r:id="rId4156" ref="A4156"/>
    <hyperlink r:id="rId4157" ref="A4157"/>
    <hyperlink r:id="rId4158" ref="A4158"/>
    <hyperlink r:id="rId4159" ref="A4159"/>
    <hyperlink r:id="rId4160" ref="A4160"/>
    <hyperlink r:id="rId4161" ref="A4161"/>
    <hyperlink r:id="rId4162" ref="A4162"/>
    <hyperlink r:id="rId4163" ref="A4163"/>
    <hyperlink r:id="rId4164" ref="A4164"/>
    <hyperlink r:id="rId4165" ref="A4165"/>
    <hyperlink r:id="rId4166" ref="A4166"/>
    <hyperlink r:id="rId4167" ref="A4167"/>
    <hyperlink r:id="rId4168" ref="A4168"/>
    <hyperlink r:id="rId4169" ref="A4169"/>
    <hyperlink r:id="rId4170" ref="A4170"/>
    <hyperlink r:id="rId4171" ref="A4171"/>
    <hyperlink r:id="rId4172" ref="A4172"/>
    <hyperlink r:id="rId4173" ref="A4173"/>
    <hyperlink r:id="rId4174" ref="A4174"/>
    <hyperlink r:id="rId4175" ref="A4175"/>
    <hyperlink r:id="rId4176" ref="A4176"/>
    <hyperlink r:id="rId4177" ref="A4177"/>
    <hyperlink r:id="rId4178" ref="A4178"/>
    <hyperlink r:id="rId4179" ref="A4179"/>
    <hyperlink r:id="rId4180" ref="A4180"/>
    <hyperlink r:id="rId4181" ref="A4181"/>
    <hyperlink r:id="rId4182" ref="A4182"/>
    <hyperlink r:id="rId4183" ref="A4183"/>
    <hyperlink r:id="rId4184" ref="A4184"/>
    <hyperlink r:id="rId4185" ref="A4185"/>
    <hyperlink r:id="rId4186" ref="A4186"/>
    <hyperlink r:id="rId4187" ref="A4187"/>
    <hyperlink r:id="rId4188" ref="A4188"/>
    <hyperlink r:id="rId4189" ref="A4189"/>
    <hyperlink r:id="rId4190" ref="A4190"/>
    <hyperlink r:id="rId4191" ref="A4191"/>
    <hyperlink r:id="rId4192" ref="A4192"/>
    <hyperlink r:id="rId4193" ref="A4193"/>
    <hyperlink r:id="rId4194" ref="A4194"/>
    <hyperlink r:id="rId4195" ref="A4195"/>
    <hyperlink r:id="rId4196" ref="A4196"/>
    <hyperlink r:id="rId4197" ref="A4197"/>
    <hyperlink r:id="rId4198" ref="A4198"/>
    <hyperlink r:id="rId4199" ref="A4199"/>
    <hyperlink r:id="rId4200" ref="A4200"/>
    <hyperlink r:id="rId4201" ref="A4201"/>
    <hyperlink r:id="rId4202" ref="A4202"/>
    <hyperlink r:id="rId4203" ref="A4203"/>
    <hyperlink r:id="rId4204" ref="A4204"/>
    <hyperlink r:id="rId4205" ref="A4205"/>
    <hyperlink r:id="rId4206" ref="A4206"/>
    <hyperlink r:id="rId4207" ref="A4207"/>
    <hyperlink r:id="rId4208" ref="A4208"/>
    <hyperlink r:id="rId4209" ref="A4209"/>
    <hyperlink r:id="rId4210" ref="A4210"/>
    <hyperlink r:id="rId4211" ref="A4211"/>
    <hyperlink r:id="rId4212" ref="A4212"/>
    <hyperlink r:id="rId4213" ref="A4213"/>
    <hyperlink r:id="rId4214" ref="A4214"/>
    <hyperlink r:id="rId4215" ref="A4215"/>
    <hyperlink r:id="rId4216" ref="A4216"/>
    <hyperlink r:id="rId4217" ref="A4217"/>
    <hyperlink r:id="rId4218" ref="A4218"/>
    <hyperlink r:id="rId4219" ref="A4219"/>
    <hyperlink r:id="rId4220" ref="A4220"/>
    <hyperlink r:id="rId4221" ref="A4221"/>
    <hyperlink r:id="rId4222" ref="A4222"/>
    <hyperlink r:id="rId4223" ref="A4223"/>
    <hyperlink r:id="rId4224" ref="A4224"/>
    <hyperlink r:id="rId4225" ref="A4225"/>
    <hyperlink r:id="rId4226" ref="A4226"/>
    <hyperlink r:id="rId4227" ref="A4227"/>
    <hyperlink r:id="rId4228" ref="A4228"/>
    <hyperlink r:id="rId4229" ref="A4229"/>
    <hyperlink r:id="rId4230" ref="A4230"/>
    <hyperlink r:id="rId4231" ref="A4231"/>
    <hyperlink r:id="rId4232" ref="A4232"/>
    <hyperlink r:id="rId4233" ref="A4233"/>
    <hyperlink r:id="rId4234" ref="A4234"/>
    <hyperlink r:id="rId4235" ref="A4235"/>
    <hyperlink r:id="rId4236" ref="A4236"/>
    <hyperlink r:id="rId4237" ref="A4237"/>
    <hyperlink r:id="rId4238" ref="A4238"/>
    <hyperlink r:id="rId4239" ref="A4239"/>
    <hyperlink r:id="rId4240" ref="A4240"/>
    <hyperlink r:id="rId4241" ref="A4241"/>
    <hyperlink r:id="rId4242" ref="A4242"/>
    <hyperlink r:id="rId4243" ref="A4243"/>
    <hyperlink r:id="rId4244" ref="A4244"/>
    <hyperlink r:id="rId4245" ref="A4245"/>
    <hyperlink r:id="rId4246" ref="A4246"/>
    <hyperlink r:id="rId4247" ref="A4247"/>
    <hyperlink r:id="rId4248" ref="A4248"/>
    <hyperlink r:id="rId4249" ref="A4249"/>
    <hyperlink r:id="rId4250" ref="A4250"/>
    <hyperlink r:id="rId4251" ref="A4251"/>
    <hyperlink r:id="rId4252" ref="A4252"/>
    <hyperlink r:id="rId4253" ref="A4253"/>
    <hyperlink r:id="rId4254" ref="A4254"/>
    <hyperlink r:id="rId4255" ref="A4255"/>
    <hyperlink r:id="rId4256" ref="A4256"/>
    <hyperlink r:id="rId4257" ref="A4257"/>
    <hyperlink r:id="rId4258" ref="A4258"/>
    <hyperlink r:id="rId4259" ref="A4259"/>
    <hyperlink r:id="rId4260" ref="A4260"/>
    <hyperlink r:id="rId4261" ref="A4261"/>
    <hyperlink r:id="rId4262" ref="A4262"/>
    <hyperlink r:id="rId4263" ref="A4263"/>
    <hyperlink r:id="rId4264" ref="A4264"/>
    <hyperlink r:id="rId4265" ref="A4265"/>
    <hyperlink r:id="rId4266" ref="A4266"/>
    <hyperlink r:id="rId4267" ref="A4267"/>
    <hyperlink r:id="rId4268" ref="A4268"/>
    <hyperlink r:id="rId4269" ref="A4269"/>
    <hyperlink r:id="rId4270" ref="A4270"/>
    <hyperlink r:id="rId4271" ref="A4271"/>
    <hyperlink r:id="rId4272" ref="A4272"/>
    <hyperlink r:id="rId4273" ref="A4273"/>
    <hyperlink r:id="rId4274" ref="A4274"/>
    <hyperlink r:id="rId4275" ref="A4275"/>
    <hyperlink r:id="rId4276" ref="A4276"/>
    <hyperlink r:id="rId4277" ref="A4277"/>
    <hyperlink r:id="rId4278" ref="A4278"/>
    <hyperlink r:id="rId4279" ref="A4279"/>
    <hyperlink r:id="rId4280" ref="A4280"/>
    <hyperlink r:id="rId4281" ref="A4281"/>
    <hyperlink r:id="rId4282" ref="A4282"/>
    <hyperlink r:id="rId4283" ref="A4283"/>
    <hyperlink r:id="rId4284" ref="A4284"/>
    <hyperlink r:id="rId4285" ref="A4285"/>
    <hyperlink r:id="rId4286" ref="A4286"/>
    <hyperlink r:id="rId4287" ref="A4287"/>
    <hyperlink r:id="rId4288" ref="A4288"/>
    <hyperlink r:id="rId4289" ref="A4289"/>
    <hyperlink r:id="rId4290" ref="A4290"/>
    <hyperlink r:id="rId4291" ref="A4291"/>
    <hyperlink r:id="rId4292" ref="A4292"/>
    <hyperlink r:id="rId4293" ref="A4293"/>
    <hyperlink r:id="rId4294" ref="A4294"/>
    <hyperlink r:id="rId4295" ref="A4295"/>
    <hyperlink r:id="rId4296" ref="A4296"/>
    <hyperlink r:id="rId4297" ref="A4297"/>
    <hyperlink r:id="rId4298" ref="A4298"/>
    <hyperlink r:id="rId4299" ref="A4299"/>
    <hyperlink r:id="rId4300" ref="A4300"/>
    <hyperlink r:id="rId4301" ref="A4301"/>
    <hyperlink r:id="rId4302" ref="A4302"/>
    <hyperlink r:id="rId4303" ref="A4303"/>
    <hyperlink r:id="rId4304" ref="A4304"/>
    <hyperlink r:id="rId4305" ref="A4305"/>
    <hyperlink r:id="rId4306" ref="A4306"/>
    <hyperlink r:id="rId4307" ref="A4307"/>
    <hyperlink r:id="rId4308" ref="A4308"/>
    <hyperlink r:id="rId4309" ref="A4309"/>
    <hyperlink r:id="rId4310" ref="A4310"/>
    <hyperlink r:id="rId4311" ref="A4311"/>
    <hyperlink r:id="rId4312" ref="A4312"/>
    <hyperlink r:id="rId4313" ref="A4313"/>
    <hyperlink r:id="rId4314" ref="A4314"/>
    <hyperlink r:id="rId4315" ref="A4315"/>
    <hyperlink r:id="rId4316" ref="A4316"/>
    <hyperlink r:id="rId4317" ref="A4317"/>
    <hyperlink r:id="rId4318" ref="A4318"/>
    <hyperlink r:id="rId4319" ref="A4319"/>
    <hyperlink r:id="rId4320" ref="A4320"/>
    <hyperlink r:id="rId4321" ref="A4321"/>
    <hyperlink r:id="rId4322" ref="A4322"/>
    <hyperlink r:id="rId4323" ref="A4323"/>
    <hyperlink r:id="rId4324" ref="A4324"/>
    <hyperlink r:id="rId4325" ref="A4325"/>
    <hyperlink r:id="rId4326" ref="A4326"/>
    <hyperlink r:id="rId4327" ref="A4327"/>
    <hyperlink r:id="rId4328" ref="A4328"/>
    <hyperlink r:id="rId4329" ref="A4329"/>
    <hyperlink r:id="rId4330" ref="A4330"/>
    <hyperlink r:id="rId4331" ref="A4331"/>
    <hyperlink r:id="rId4332" ref="A4332"/>
    <hyperlink r:id="rId4333" ref="A4333"/>
    <hyperlink r:id="rId4334" ref="A4334"/>
    <hyperlink r:id="rId4335" ref="A4335"/>
    <hyperlink r:id="rId4336" ref="A4336"/>
    <hyperlink r:id="rId4337" ref="A4337"/>
    <hyperlink r:id="rId4338" ref="A4338"/>
    <hyperlink r:id="rId4339" ref="A4339"/>
    <hyperlink r:id="rId4340" ref="A4340"/>
    <hyperlink r:id="rId4341" ref="A4341"/>
    <hyperlink r:id="rId4342" ref="A4342"/>
    <hyperlink r:id="rId4343" ref="A4343"/>
    <hyperlink r:id="rId4344" ref="A4344"/>
    <hyperlink r:id="rId4345" ref="A4345"/>
    <hyperlink r:id="rId4346" ref="A4346"/>
    <hyperlink r:id="rId4347" ref="A4347"/>
    <hyperlink r:id="rId4348" ref="A4348"/>
    <hyperlink r:id="rId4349" ref="A4349"/>
    <hyperlink r:id="rId4350" ref="A4350"/>
    <hyperlink r:id="rId4351" ref="A4351"/>
    <hyperlink r:id="rId4352" ref="A4352"/>
    <hyperlink r:id="rId4353" ref="A4353"/>
    <hyperlink r:id="rId4354" ref="A4354"/>
    <hyperlink r:id="rId4355" ref="A4355"/>
    <hyperlink r:id="rId4356" ref="A4356"/>
    <hyperlink r:id="rId4357" ref="A4357"/>
    <hyperlink r:id="rId4358" ref="A4358"/>
    <hyperlink r:id="rId4359" ref="A4359"/>
    <hyperlink r:id="rId4360" ref="A4360"/>
    <hyperlink r:id="rId4361" ref="A4361"/>
    <hyperlink r:id="rId4362" ref="A4362"/>
    <hyperlink r:id="rId4363" ref="A4363"/>
    <hyperlink r:id="rId4364" ref="A4364"/>
    <hyperlink r:id="rId4365" ref="A4365"/>
    <hyperlink r:id="rId4366" ref="A4366"/>
    <hyperlink r:id="rId4367" ref="A4367"/>
    <hyperlink r:id="rId4368" ref="A4368"/>
    <hyperlink r:id="rId4369" ref="A4369"/>
    <hyperlink r:id="rId4370" ref="A4370"/>
    <hyperlink r:id="rId4371" ref="A4371"/>
    <hyperlink r:id="rId4372" ref="A4372"/>
    <hyperlink r:id="rId4373" ref="A4373"/>
    <hyperlink r:id="rId4374" ref="A4374"/>
    <hyperlink r:id="rId4375" ref="A4375"/>
    <hyperlink r:id="rId4376" ref="A4376"/>
    <hyperlink r:id="rId4377" ref="A4377"/>
    <hyperlink r:id="rId4378" ref="A4378"/>
    <hyperlink r:id="rId4379" ref="A4379"/>
    <hyperlink r:id="rId4380" ref="A4380"/>
    <hyperlink r:id="rId4381" ref="A4381"/>
    <hyperlink r:id="rId4382" ref="A4382"/>
    <hyperlink r:id="rId4383" ref="A4383"/>
    <hyperlink r:id="rId4384" ref="A4384"/>
    <hyperlink r:id="rId4385" ref="A4385"/>
    <hyperlink r:id="rId4386" ref="A4386"/>
    <hyperlink r:id="rId4387" ref="A4387"/>
    <hyperlink r:id="rId4388" ref="A4388"/>
    <hyperlink r:id="rId4389" ref="A4389"/>
    <hyperlink r:id="rId4390" ref="A4390"/>
    <hyperlink r:id="rId4391" ref="A4391"/>
    <hyperlink r:id="rId4392" ref="A4392"/>
    <hyperlink r:id="rId4393" ref="A4393"/>
    <hyperlink r:id="rId4394" ref="A4394"/>
    <hyperlink r:id="rId4395" ref="A4395"/>
    <hyperlink r:id="rId4396" ref="A4396"/>
    <hyperlink r:id="rId4397" ref="A4397"/>
    <hyperlink r:id="rId4398" ref="A4398"/>
    <hyperlink r:id="rId4399" ref="A4399"/>
    <hyperlink r:id="rId4400" ref="A4400"/>
    <hyperlink r:id="rId4401" ref="A4401"/>
    <hyperlink r:id="rId4402" ref="A4402"/>
    <hyperlink r:id="rId4403" ref="A4403"/>
    <hyperlink r:id="rId4404" ref="A4404"/>
    <hyperlink r:id="rId4405" ref="A4405"/>
    <hyperlink r:id="rId4406" ref="A4406"/>
    <hyperlink r:id="rId4407" ref="A4407"/>
    <hyperlink r:id="rId4408" ref="A4408"/>
    <hyperlink r:id="rId4409" ref="A4409"/>
    <hyperlink r:id="rId4410" ref="A4410"/>
    <hyperlink r:id="rId4411" ref="A4411"/>
    <hyperlink r:id="rId4412" ref="A4412"/>
    <hyperlink r:id="rId4413" ref="A4413"/>
    <hyperlink r:id="rId4414" ref="A4414"/>
    <hyperlink r:id="rId4415" ref="A4415"/>
    <hyperlink r:id="rId4416" ref="A4416"/>
    <hyperlink r:id="rId4417" ref="A4417"/>
    <hyperlink r:id="rId4418" ref="A4418"/>
    <hyperlink r:id="rId4419" ref="A4419"/>
    <hyperlink r:id="rId4420" ref="A4420"/>
    <hyperlink r:id="rId4421" ref="A4421"/>
    <hyperlink r:id="rId4422" ref="A4422"/>
    <hyperlink r:id="rId4423" ref="A4423"/>
    <hyperlink r:id="rId4424" ref="A4424"/>
    <hyperlink r:id="rId4425" ref="A4425"/>
    <hyperlink r:id="rId4426" ref="A4426"/>
    <hyperlink r:id="rId4427" ref="A4427"/>
    <hyperlink r:id="rId4428" ref="A4428"/>
    <hyperlink r:id="rId4429" ref="A4429"/>
    <hyperlink r:id="rId4430" ref="A4430"/>
    <hyperlink r:id="rId4431" ref="A4431"/>
    <hyperlink r:id="rId4432" ref="A4432"/>
    <hyperlink r:id="rId4433" ref="A4433"/>
    <hyperlink r:id="rId4434" ref="A4434"/>
    <hyperlink r:id="rId4435" ref="A4435"/>
    <hyperlink r:id="rId4436" ref="A4436"/>
    <hyperlink r:id="rId4437" ref="A4437"/>
    <hyperlink r:id="rId4438" ref="A4438"/>
    <hyperlink r:id="rId4439" ref="A4439"/>
    <hyperlink r:id="rId4440" ref="A4440"/>
    <hyperlink r:id="rId4441" ref="A4441"/>
    <hyperlink r:id="rId4442" ref="A4442"/>
    <hyperlink r:id="rId4443" ref="A4443"/>
    <hyperlink r:id="rId4444" ref="A4444"/>
    <hyperlink r:id="rId4445" ref="A4445"/>
    <hyperlink r:id="rId4446" ref="A4446"/>
    <hyperlink r:id="rId4447" ref="A4447"/>
    <hyperlink r:id="rId4448" ref="A4448"/>
    <hyperlink r:id="rId4449" ref="A4449"/>
    <hyperlink r:id="rId4450" ref="A4450"/>
    <hyperlink r:id="rId4451" ref="A4451"/>
    <hyperlink r:id="rId4452" ref="A4452"/>
    <hyperlink r:id="rId4453" ref="A4453"/>
    <hyperlink r:id="rId4454" ref="A4454"/>
    <hyperlink r:id="rId4455" ref="A4455"/>
    <hyperlink r:id="rId4456" ref="A4456"/>
    <hyperlink r:id="rId4457" ref="A4457"/>
    <hyperlink r:id="rId4458" ref="A4458"/>
    <hyperlink r:id="rId4459" ref="A4459"/>
    <hyperlink r:id="rId4460" ref="A4460"/>
    <hyperlink r:id="rId4461" ref="A4461"/>
    <hyperlink r:id="rId4462" ref="A4462"/>
    <hyperlink r:id="rId4463" ref="A4463"/>
    <hyperlink r:id="rId4464" ref="A4464"/>
    <hyperlink r:id="rId4465" ref="A4465"/>
    <hyperlink r:id="rId4466" ref="A4466"/>
    <hyperlink r:id="rId4467" ref="A4467"/>
    <hyperlink r:id="rId4468" ref="A4468"/>
    <hyperlink r:id="rId4469" ref="A4469"/>
    <hyperlink r:id="rId4470" ref="A4470"/>
    <hyperlink r:id="rId4471" ref="A4471"/>
    <hyperlink r:id="rId4472" ref="A4472"/>
    <hyperlink r:id="rId4473" ref="A4473"/>
    <hyperlink r:id="rId4474" ref="A4474"/>
    <hyperlink r:id="rId4475" ref="A4475"/>
    <hyperlink r:id="rId4476" ref="A4476"/>
    <hyperlink r:id="rId4477" ref="A4477"/>
    <hyperlink r:id="rId4478" ref="A4478"/>
    <hyperlink r:id="rId4479" ref="A4479"/>
    <hyperlink r:id="rId4480" ref="A4480"/>
    <hyperlink r:id="rId4481" ref="A4481"/>
    <hyperlink r:id="rId4482" ref="A4482"/>
    <hyperlink r:id="rId4483" ref="A4483"/>
    <hyperlink r:id="rId4484" ref="A4484"/>
    <hyperlink r:id="rId4485" ref="A4485"/>
    <hyperlink r:id="rId4486" ref="A4486"/>
    <hyperlink r:id="rId4487" ref="A4487"/>
    <hyperlink r:id="rId4488" ref="A4488"/>
    <hyperlink r:id="rId4489" ref="A4489"/>
    <hyperlink r:id="rId4490" ref="A4490"/>
    <hyperlink r:id="rId4491" ref="A4491"/>
    <hyperlink r:id="rId4492" ref="A4492"/>
    <hyperlink r:id="rId4493" ref="A4493"/>
    <hyperlink r:id="rId4494" ref="A4494"/>
    <hyperlink r:id="rId4495" ref="A4495"/>
    <hyperlink r:id="rId4496" ref="A4496"/>
    <hyperlink r:id="rId4497" ref="A4497"/>
    <hyperlink r:id="rId4498" ref="A4498"/>
    <hyperlink r:id="rId4499" ref="A4499"/>
    <hyperlink r:id="rId4500" ref="A4500"/>
    <hyperlink r:id="rId4501" ref="A4501"/>
    <hyperlink r:id="rId4502" ref="A4502"/>
    <hyperlink r:id="rId4503" ref="A4503"/>
    <hyperlink r:id="rId4504" ref="A4504"/>
    <hyperlink r:id="rId4505" ref="A4505"/>
    <hyperlink r:id="rId4506" ref="A4506"/>
    <hyperlink r:id="rId4507" ref="A4507"/>
    <hyperlink r:id="rId4508" ref="A4508"/>
    <hyperlink r:id="rId4509" ref="A4509"/>
    <hyperlink r:id="rId4510" ref="A4510"/>
    <hyperlink r:id="rId4511" ref="A4511"/>
    <hyperlink r:id="rId4512" ref="A4512"/>
    <hyperlink r:id="rId4513" ref="A4513"/>
    <hyperlink r:id="rId4514" ref="A4514"/>
    <hyperlink r:id="rId4515" ref="A4515"/>
    <hyperlink r:id="rId4516" ref="A4516"/>
    <hyperlink r:id="rId4517" ref="A4517"/>
    <hyperlink r:id="rId4518" ref="A4518"/>
    <hyperlink r:id="rId4519" ref="A4519"/>
    <hyperlink r:id="rId4520" ref="A4520"/>
    <hyperlink r:id="rId4521" ref="A4521"/>
    <hyperlink r:id="rId4522" ref="A4522"/>
    <hyperlink r:id="rId4523" ref="A4523"/>
    <hyperlink r:id="rId4524" ref="A4524"/>
    <hyperlink r:id="rId4525" ref="A4525"/>
    <hyperlink r:id="rId4526" ref="A4526"/>
    <hyperlink r:id="rId4527" ref="A4527"/>
    <hyperlink r:id="rId4528" ref="A4528"/>
    <hyperlink r:id="rId4529" ref="A4529"/>
    <hyperlink r:id="rId4530" ref="A4530"/>
    <hyperlink r:id="rId4531" ref="A4531"/>
    <hyperlink r:id="rId4532" ref="A4532"/>
    <hyperlink r:id="rId4533" ref="A4533"/>
    <hyperlink r:id="rId4534" ref="A4534"/>
    <hyperlink r:id="rId4535" ref="A4535"/>
    <hyperlink r:id="rId4536" ref="A4536"/>
    <hyperlink r:id="rId4537" ref="A4537"/>
    <hyperlink r:id="rId4538" ref="A4538"/>
    <hyperlink r:id="rId4539" ref="A4539"/>
    <hyperlink r:id="rId4540" ref="A4540"/>
    <hyperlink r:id="rId4541" ref="A4541"/>
    <hyperlink r:id="rId4542" ref="A4542"/>
    <hyperlink r:id="rId4543" ref="A4543"/>
    <hyperlink r:id="rId4544" ref="A4544"/>
    <hyperlink r:id="rId4545" ref="A4545"/>
    <hyperlink r:id="rId4546" ref="A4546"/>
    <hyperlink r:id="rId4547" ref="A4547"/>
    <hyperlink r:id="rId4548" ref="A4548"/>
    <hyperlink r:id="rId4549" ref="A4549"/>
    <hyperlink r:id="rId4550" ref="A4550"/>
    <hyperlink r:id="rId4551" ref="A4551"/>
    <hyperlink r:id="rId4552" ref="A4552"/>
    <hyperlink r:id="rId4553" ref="A4553"/>
    <hyperlink r:id="rId4554" ref="A4554"/>
    <hyperlink r:id="rId4555" ref="A4555"/>
    <hyperlink r:id="rId4556" ref="A4556"/>
    <hyperlink r:id="rId4557" ref="A4557"/>
    <hyperlink r:id="rId4558" ref="A4558"/>
    <hyperlink r:id="rId4559" ref="A4559"/>
    <hyperlink r:id="rId4560" ref="A4560"/>
    <hyperlink r:id="rId4561" ref="A4561"/>
    <hyperlink r:id="rId4562" ref="A4562"/>
    <hyperlink r:id="rId4563" ref="A4563"/>
    <hyperlink r:id="rId4564" ref="A4564"/>
    <hyperlink r:id="rId4565" ref="A4565"/>
    <hyperlink r:id="rId4566" ref="A4566"/>
    <hyperlink r:id="rId4567" ref="A4567"/>
    <hyperlink r:id="rId4568" ref="A4568"/>
    <hyperlink r:id="rId4569" ref="A4569"/>
    <hyperlink r:id="rId4570" ref="A4570"/>
    <hyperlink r:id="rId4571" ref="A4571"/>
    <hyperlink r:id="rId4572" ref="A4572"/>
    <hyperlink r:id="rId4573" ref="A4573"/>
    <hyperlink r:id="rId4574" ref="A4574"/>
    <hyperlink r:id="rId4575" ref="A4575"/>
    <hyperlink r:id="rId4576" ref="A4576"/>
    <hyperlink r:id="rId4577" ref="A4577"/>
    <hyperlink r:id="rId4578" ref="A4578"/>
    <hyperlink r:id="rId4579" ref="A4579"/>
    <hyperlink r:id="rId4580" ref="A4580"/>
    <hyperlink r:id="rId4581" ref="A4581"/>
    <hyperlink r:id="rId4582" ref="A4582"/>
    <hyperlink r:id="rId4583" ref="A4583"/>
    <hyperlink r:id="rId4584" ref="A4584"/>
    <hyperlink r:id="rId4585" ref="A4585"/>
    <hyperlink r:id="rId4586" ref="A4586"/>
    <hyperlink r:id="rId4587" ref="A4587"/>
    <hyperlink r:id="rId4588" ref="A4588"/>
    <hyperlink r:id="rId4589" ref="A4589"/>
    <hyperlink r:id="rId4590" ref="A4590"/>
    <hyperlink r:id="rId4591" ref="A4591"/>
    <hyperlink r:id="rId4592" ref="A4592"/>
    <hyperlink r:id="rId4593" ref="A4593"/>
    <hyperlink r:id="rId4594" ref="A4594"/>
    <hyperlink r:id="rId4595" ref="A4595"/>
    <hyperlink r:id="rId4596" ref="A4596"/>
    <hyperlink r:id="rId4597" ref="A4597"/>
    <hyperlink r:id="rId4598" ref="A4598"/>
    <hyperlink r:id="rId4599" ref="A4599"/>
    <hyperlink r:id="rId4600" ref="A4600"/>
    <hyperlink r:id="rId4601" ref="A4601"/>
    <hyperlink r:id="rId4602" ref="A4602"/>
    <hyperlink r:id="rId4603" ref="A4603"/>
    <hyperlink r:id="rId4604" ref="A4604"/>
    <hyperlink r:id="rId4605" ref="A4605"/>
    <hyperlink r:id="rId4606" ref="A4606"/>
    <hyperlink r:id="rId4607" ref="A4607"/>
    <hyperlink r:id="rId4608" ref="A4608"/>
    <hyperlink r:id="rId4609" ref="A4609"/>
    <hyperlink r:id="rId4610" ref="A4610"/>
    <hyperlink r:id="rId4611" ref="A4611"/>
    <hyperlink r:id="rId4612" ref="A4612"/>
    <hyperlink r:id="rId4613" ref="A4613"/>
    <hyperlink r:id="rId4614" ref="A4614"/>
    <hyperlink r:id="rId4615" ref="A4615"/>
    <hyperlink r:id="rId4616" ref="A4616"/>
    <hyperlink r:id="rId4617" ref="A4617"/>
    <hyperlink r:id="rId4618" ref="A4618"/>
    <hyperlink r:id="rId4619" ref="A4619"/>
    <hyperlink r:id="rId4620" ref="A4620"/>
    <hyperlink r:id="rId4621" ref="A4621"/>
    <hyperlink r:id="rId4622" ref="A4622"/>
    <hyperlink r:id="rId4623" ref="A4623"/>
    <hyperlink r:id="rId4624" ref="A4624"/>
    <hyperlink r:id="rId4625" ref="A4625"/>
    <hyperlink r:id="rId4626" ref="A4626"/>
    <hyperlink r:id="rId4627" ref="A4627"/>
    <hyperlink r:id="rId4628" ref="A4628"/>
    <hyperlink r:id="rId4629" ref="A4629"/>
    <hyperlink r:id="rId4630" ref="A4630"/>
    <hyperlink r:id="rId4631" ref="A4631"/>
    <hyperlink r:id="rId4632" ref="A4632"/>
    <hyperlink r:id="rId4633" ref="A4633"/>
    <hyperlink r:id="rId4634" ref="A4634"/>
    <hyperlink r:id="rId4635" ref="A4635"/>
    <hyperlink r:id="rId4636" ref="A4636"/>
    <hyperlink r:id="rId4637" ref="A4637"/>
    <hyperlink r:id="rId4638" ref="A4638"/>
    <hyperlink r:id="rId4639" ref="A4639"/>
    <hyperlink r:id="rId4640" ref="A4640"/>
    <hyperlink r:id="rId4641" ref="A4641"/>
    <hyperlink r:id="rId4642" ref="A4642"/>
    <hyperlink r:id="rId4643" ref="A4643"/>
    <hyperlink r:id="rId4644" ref="A4644"/>
    <hyperlink r:id="rId4645" ref="A4645"/>
    <hyperlink r:id="rId4646" ref="A4646"/>
    <hyperlink r:id="rId4647" ref="A4647"/>
    <hyperlink r:id="rId4648" ref="A4648"/>
    <hyperlink r:id="rId4649" ref="A4649"/>
    <hyperlink r:id="rId4650" ref="A4650"/>
    <hyperlink r:id="rId4651" ref="A4651"/>
    <hyperlink r:id="rId4652" ref="A4652"/>
    <hyperlink r:id="rId4653" ref="A4653"/>
    <hyperlink r:id="rId4654" ref="A4654"/>
    <hyperlink r:id="rId4655" ref="A4655"/>
    <hyperlink r:id="rId4656" ref="A4656"/>
    <hyperlink r:id="rId4657" ref="A4657"/>
    <hyperlink r:id="rId4658" ref="A4658"/>
    <hyperlink r:id="rId4659" ref="A4659"/>
    <hyperlink r:id="rId4660" ref="A4660"/>
    <hyperlink r:id="rId4661" ref="A4661"/>
    <hyperlink r:id="rId4662" ref="A4662"/>
    <hyperlink r:id="rId4663" ref="A4663"/>
    <hyperlink r:id="rId4664" ref="A4664"/>
    <hyperlink r:id="rId4665" ref="A4665"/>
    <hyperlink r:id="rId4666" ref="A4666"/>
    <hyperlink r:id="rId4667" ref="A4667"/>
    <hyperlink r:id="rId4668" ref="A4668"/>
    <hyperlink r:id="rId4669" ref="A4669"/>
    <hyperlink r:id="rId4670" ref="A4670"/>
    <hyperlink r:id="rId4671" ref="A4671"/>
    <hyperlink r:id="rId4672" ref="A4672"/>
    <hyperlink r:id="rId4673" ref="A4673"/>
    <hyperlink r:id="rId4674" ref="A4674"/>
    <hyperlink r:id="rId4675" ref="A4675"/>
    <hyperlink r:id="rId4676" ref="A4676"/>
    <hyperlink r:id="rId4677" ref="A4677"/>
    <hyperlink r:id="rId4678" ref="A4678"/>
    <hyperlink r:id="rId4679" ref="A4679"/>
    <hyperlink r:id="rId4680" ref="A4680"/>
    <hyperlink r:id="rId4681" ref="A4681"/>
    <hyperlink r:id="rId4682" ref="A4682"/>
    <hyperlink r:id="rId4683" ref="A4683"/>
    <hyperlink r:id="rId4684" ref="A4684"/>
    <hyperlink r:id="rId4685" ref="A4685"/>
    <hyperlink r:id="rId4686" ref="A4686"/>
    <hyperlink r:id="rId4687" ref="A4687"/>
    <hyperlink r:id="rId4688" ref="A4688"/>
    <hyperlink r:id="rId4689" ref="A4689"/>
    <hyperlink r:id="rId4690" ref="A4690"/>
    <hyperlink r:id="rId4691" ref="A4691"/>
    <hyperlink r:id="rId4692" ref="A4692"/>
    <hyperlink r:id="rId4693" ref="A4693"/>
    <hyperlink r:id="rId4694" ref="A4694"/>
    <hyperlink r:id="rId4695" ref="A4695"/>
    <hyperlink r:id="rId4696" ref="A4696"/>
    <hyperlink r:id="rId4697" ref="A4697"/>
    <hyperlink r:id="rId4698" ref="A4698"/>
    <hyperlink r:id="rId4699" ref="A4699"/>
    <hyperlink r:id="rId4700" ref="A4700"/>
    <hyperlink r:id="rId4701" ref="A4701"/>
    <hyperlink r:id="rId4702" ref="A4702"/>
    <hyperlink r:id="rId4703" ref="A4703"/>
    <hyperlink r:id="rId4704" ref="A4704"/>
    <hyperlink r:id="rId4705" ref="A4705"/>
    <hyperlink r:id="rId4706" ref="A4706"/>
    <hyperlink r:id="rId4707" ref="A4707"/>
    <hyperlink r:id="rId4708" ref="A4708"/>
    <hyperlink r:id="rId4709" ref="A4709"/>
    <hyperlink r:id="rId4710" ref="A4710"/>
    <hyperlink r:id="rId4711" ref="A4711"/>
    <hyperlink r:id="rId4712" ref="A4712"/>
    <hyperlink r:id="rId4713" ref="A4713"/>
    <hyperlink r:id="rId4714" ref="A4714"/>
    <hyperlink r:id="rId4715" ref="A4715"/>
    <hyperlink r:id="rId4716" ref="A4716"/>
    <hyperlink r:id="rId4717" ref="A4717"/>
    <hyperlink r:id="rId4718" ref="A4718"/>
    <hyperlink r:id="rId4719" ref="A4719"/>
    <hyperlink r:id="rId4720" ref="A4720"/>
    <hyperlink r:id="rId4721" ref="A4721"/>
    <hyperlink r:id="rId4722" ref="A4722"/>
    <hyperlink r:id="rId4723" ref="A4723"/>
    <hyperlink r:id="rId4724" ref="A4724"/>
    <hyperlink r:id="rId4725" ref="A4725"/>
    <hyperlink r:id="rId4726" ref="A4726"/>
    <hyperlink r:id="rId4727" ref="A4727"/>
    <hyperlink r:id="rId4728" ref="A4728"/>
    <hyperlink r:id="rId4729" ref="A4729"/>
    <hyperlink r:id="rId4730" ref="A4730"/>
    <hyperlink r:id="rId4731" ref="A4731"/>
    <hyperlink r:id="rId4732" ref="A4732"/>
    <hyperlink r:id="rId4733" ref="A4733"/>
    <hyperlink r:id="rId4734" ref="A4734"/>
    <hyperlink r:id="rId4735" ref="A4735"/>
    <hyperlink r:id="rId4736" ref="A4736"/>
    <hyperlink r:id="rId4737" ref="A4737"/>
    <hyperlink r:id="rId4738" ref="A4738"/>
    <hyperlink r:id="rId4739" ref="A4739"/>
    <hyperlink r:id="rId4740" ref="A4740"/>
    <hyperlink r:id="rId4741" ref="A4741"/>
    <hyperlink r:id="rId4742" ref="A4742"/>
    <hyperlink r:id="rId4743" ref="A4743"/>
    <hyperlink r:id="rId4744" ref="A4744"/>
    <hyperlink r:id="rId4745" ref="A4745"/>
    <hyperlink r:id="rId4746" ref="A4746"/>
    <hyperlink r:id="rId4747" ref="A4747"/>
    <hyperlink r:id="rId4748" ref="A4748"/>
    <hyperlink r:id="rId4749" ref="A4749"/>
    <hyperlink r:id="rId4750" ref="A4750"/>
    <hyperlink r:id="rId4751" ref="A4751"/>
    <hyperlink r:id="rId4752" ref="A4752"/>
    <hyperlink r:id="rId4753" ref="A4753"/>
    <hyperlink r:id="rId4754" ref="A4754"/>
    <hyperlink r:id="rId4755" ref="A4755"/>
    <hyperlink r:id="rId4756" ref="A4756"/>
    <hyperlink r:id="rId4757" ref="A4757"/>
    <hyperlink r:id="rId4758" ref="A4758"/>
    <hyperlink r:id="rId4759" ref="A4759"/>
    <hyperlink r:id="rId4760" ref="A4760"/>
    <hyperlink r:id="rId4761" ref="A4761"/>
    <hyperlink r:id="rId4762" ref="A4762"/>
    <hyperlink r:id="rId4763" ref="A4763"/>
    <hyperlink r:id="rId4764" ref="A4764"/>
    <hyperlink r:id="rId4765" ref="A4765"/>
    <hyperlink r:id="rId4766" ref="A4766"/>
    <hyperlink r:id="rId4767" ref="A4767"/>
    <hyperlink r:id="rId4768" ref="A4768"/>
    <hyperlink r:id="rId4769" ref="A4769"/>
    <hyperlink r:id="rId4770" ref="A4770"/>
    <hyperlink r:id="rId4771" ref="A4771"/>
    <hyperlink r:id="rId4772" ref="A4772"/>
    <hyperlink r:id="rId4773" ref="A4773"/>
    <hyperlink r:id="rId4774" ref="A4774"/>
    <hyperlink r:id="rId4775" ref="A4775"/>
    <hyperlink r:id="rId4776" ref="A4776"/>
    <hyperlink r:id="rId4777" ref="A4777"/>
    <hyperlink r:id="rId4778" ref="A4778"/>
    <hyperlink r:id="rId4779" ref="A4779"/>
    <hyperlink r:id="rId4780" ref="A4780"/>
    <hyperlink r:id="rId4781" ref="A4781"/>
    <hyperlink r:id="rId4782" ref="A4782"/>
    <hyperlink r:id="rId4783" ref="A4783"/>
    <hyperlink r:id="rId4784" ref="A4784"/>
    <hyperlink r:id="rId4785" ref="A4785"/>
    <hyperlink r:id="rId4786" ref="A4786"/>
    <hyperlink r:id="rId4787" ref="A4787"/>
    <hyperlink r:id="rId4788" ref="A4788"/>
    <hyperlink r:id="rId4789" ref="A4789"/>
    <hyperlink r:id="rId4790" ref="A4790"/>
    <hyperlink r:id="rId4791" ref="A4791"/>
    <hyperlink r:id="rId4792" ref="A4792"/>
    <hyperlink r:id="rId4793" ref="A4793"/>
    <hyperlink r:id="rId4794" ref="A4794"/>
    <hyperlink r:id="rId4795" ref="A4795"/>
    <hyperlink r:id="rId4796" ref="A4796"/>
    <hyperlink r:id="rId4797" ref="A4797"/>
    <hyperlink r:id="rId4798" ref="A4798"/>
    <hyperlink r:id="rId4799" ref="A4799"/>
    <hyperlink r:id="rId4800" ref="A4800"/>
    <hyperlink r:id="rId4801" ref="A4801"/>
    <hyperlink r:id="rId4802" ref="A4802"/>
    <hyperlink r:id="rId4803" ref="A4803"/>
    <hyperlink r:id="rId4804" ref="A4804"/>
    <hyperlink r:id="rId4805" ref="A4805"/>
    <hyperlink r:id="rId4806" ref="A4806"/>
    <hyperlink r:id="rId4807" ref="A4807"/>
    <hyperlink r:id="rId4808" ref="A4808"/>
    <hyperlink r:id="rId4809" ref="A4809"/>
    <hyperlink r:id="rId4810" ref="A4810"/>
    <hyperlink r:id="rId4811" ref="A4811"/>
    <hyperlink r:id="rId4812" ref="A4812"/>
    <hyperlink r:id="rId4813" ref="A4813"/>
    <hyperlink r:id="rId4814" ref="A4814"/>
    <hyperlink r:id="rId4815" ref="A4815"/>
    <hyperlink r:id="rId4816" ref="A4816"/>
    <hyperlink r:id="rId4817" ref="A4817"/>
    <hyperlink r:id="rId4818" ref="A4818"/>
    <hyperlink r:id="rId4819" ref="A4819"/>
    <hyperlink r:id="rId4820" ref="A4820"/>
    <hyperlink r:id="rId4821" ref="A4821"/>
    <hyperlink r:id="rId4822" ref="A4822"/>
    <hyperlink r:id="rId4823" ref="A4823"/>
    <hyperlink r:id="rId4824" ref="A4824"/>
    <hyperlink r:id="rId4825" ref="A4825"/>
    <hyperlink r:id="rId4826" ref="A4826"/>
    <hyperlink r:id="rId4827" ref="A4827"/>
    <hyperlink r:id="rId4828" ref="A4828"/>
    <hyperlink r:id="rId4829" ref="A4829"/>
    <hyperlink r:id="rId4830" ref="A4830"/>
    <hyperlink r:id="rId4831" ref="A4831"/>
    <hyperlink r:id="rId4832" ref="A4832"/>
    <hyperlink r:id="rId4833" ref="A4833"/>
    <hyperlink r:id="rId4834" ref="A4834"/>
    <hyperlink r:id="rId4835" ref="A4835"/>
    <hyperlink r:id="rId4836" ref="A4836"/>
    <hyperlink r:id="rId4837" ref="A4837"/>
    <hyperlink r:id="rId4838" ref="A4838"/>
    <hyperlink r:id="rId4839" ref="A4839"/>
    <hyperlink r:id="rId4840" ref="A4840"/>
    <hyperlink r:id="rId4841" ref="A4841"/>
    <hyperlink r:id="rId4842" ref="A4842"/>
    <hyperlink r:id="rId4843" ref="A4843"/>
    <hyperlink r:id="rId4844" ref="A4844"/>
    <hyperlink r:id="rId4845" ref="A4845"/>
    <hyperlink r:id="rId4846" ref="A4846"/>
    <hyperlink r:id="rId4847" ref="A4847"/>
    <hyperlink r:id="rId4848" ref="A4848"/>
    <hyperlink r:id="rId4849" ref="A4849"/>
    <hyperlink r:id="rId4850" ref="A4850"/>
    <hyperlink r:id="rId4851" ref="A4851"/>
    <hyperlink r:id="rId4852" ref="A4852"/>
    <hyperlink r:id="rId4853" ref="A4853"/>
    <hyperlink r:id="rId4854" ref="A4854"/>
    <hyperlink r:id="rId4855" ref="A4855"/>
    <hyperlink r:id="rId4856" ref="A4856"/>
    <hyperlink r:id="rId4857" ref="A4857"/>
    <hyperlink r:id="rId4858" ref="A4858"/>
    <hyperlink r:id="rId4859" ref="A4859"/>
    <hyperlink r:id="rId4860" ref="A4860"/>
    <hyperlink r:id="rId4861" ref="A4861"/>
    <hyperlink r:id="rId4862" ref="A4862"/>
    <hyperlink r:id="rId4863" ref="A4863"/>
    <hyperlink r:id="rId4864" ref="A4864"/>
    <hyperlink r:id="rId4865" ref="A4865"/>
    <hyperlink r:id="rId4866" ref="A4866"/>
    <hyperlink r:id="rId4867" ref="A4867"/>
    <hyperlink r:id="rId4868" ref="A4868"/>
    <hyperlink r:id="rId4869" ref="A4869"/>
    <hyperlink r:id="rId4870" ref="A4870"/>
    <hyperlink r:id="rId4871" ref="A4871"/>
    <hyperlink r:id="rId4872" ref="A4872"/>
    <hyperlink r:id="rId4873" ref="A4873"/>
    <hyperlink r:id="rId4874" ref="A4874"/>
    <hyperlink r:id="rId4875" ref="A4875"/>
    <hyperlink r:id="rId4876" ref="A4876"/>
    <hyperlink r:id="rId4877" ref="A4877"/>
    <hyperlink r:id="rId4878" ref="A4878"/>
    <hyperlink r:id="rId4879" ref="A4879"/>
    <hyperlink r:id="rId4880" ref="A4880"/>
    <hyperlink r:id="rId4881" ref="A4881"/>
    <hyperlink r:id="rId4882" ref="A4882"/>
    <hyperlink r:id="rId4883" ref="A4883"/>
    <hyperlink r:id="rId4884" ref="A4884"/>
    <hyperlink r:id="rId4885" ref="A4885"/>
    <hyperlink r:id="rId4886" ref="A4886"/>
    <hyperlink r:id="rId4887" ref="A4887"/>
    <hyperlink r:id="rId4888" ref="A4888"/>
    <hyperlink r:id="rId4889" ref="A4889"/>
    <hyperlink r:id="rId4890" ref="A4890"/>
    <hyperlink r:id="rId4891" ref="A4891"/>
    <hyperlink r:id="rId4892" ref="A4892"/>
    <hyperlink r:id="rId4893" ref="A4893"/>
    <hyperlink r:id="rId4894" ref="A4894"/>
    <hyperlink r:id="rId4895" ref="A4895"/>
    <hyperlink r:id="rId4896" ref="A4896"/>
    <hyperlink r:id="rId4897" ref="A4897"/>
    <hyperlink r:id="rId4898" ref="A4898"/>
    <hyperlink r:id="rId4899" ref="A4899"/>
    <hyperlink r:id="rId4900" ref="A4900"/>
    <hyperlink r:id="rId4901" ref="A4901"/>
    <hyperlink r:id="rId4902" ref="A4902"/>
    <hyperlink r:id="rId4903" ref="A4903"/>
    <hyperlink r:id="rId4904" ref="A4904"/>
    <hyperlink r:id="rId4905" ref="A4905"/>
    <hyperlink r:id="rId4906" ref="A4906"/>
    <hyperlink r:id="rId4907" ref="A4907"/>
    <hyperlink r:id="rId4908" ref="A4908"/>
    <hyperlink r:id="rId4909" ref="A4909"/>
    <hyperlink r:id="rId4910" ref="A4910"/>
    <hyperlink r:id="rId4911" ref="A4911"/>
    <hyperlink r:id="rId4912" ref="A4912"/>
    <hyperlink r:id="rId4913" ref="A4913"/>
    <hyperlink r:id="rId4914" ref="A4914"/>
    <hyperlink r:id="rId4915" ref="A4915"/>
    <hyperlink r:id="rId4916" ref="A4916"/>
    <hyperlink r:id="rId4917" ref="A4917"/>
    <hyperlink r:id="rId4918" ref="A4918"/>
    <hyperlink r:id="rId4919" ref="A4919"/>
    <hyperlink r:id="rId4920" ref="A4920"/>
    <hyperlink r:id="rId4921" ref="A4921"/>
    <hyperlink r:id="rId4922" ref="A4922"/>
    <hyperlink r:id="rId4923" ref="A4923"/>
    <hyperlink r:id="rId4924" ref="A4924"/>
    <hyperlink r:id="rId4925" ref="A4925"/>
    <hyperlink r:id="rId4926" ref="A4926"/>
    <hyperlink r:id="rId4927" ref="A4927"/>
    <hyperlink r:id="rId4928" ref="A4928"/>
    <hyperlink r:id="rId4929" ref="A4929"/>
    <hyperlink r:id="rId4930" ref="A4930"/>
    <hyperlink r:id="rId4931" ref="A4931"/>
    <hyperlink r:id="rId4932" ref="A4932"/>
    <hyperlink r:id="rId4933" ref="A4933"/>
    <hyperlink r:id="rId4934" ref="A4934"/>
    <hyperlink r:id="rId4935" ref="A4935"/>
    <hyperlink r:id="rId4936" ref="A4936"/>
    <hyperlink r:id="rId4937" ref="A4937"/>
    <hyperlink r:id="rId4938" ref="A4938"/>
    <hyperlink r:id="rId4939" ref="A4939"/>
    <hyperlink r:id="rId4940" ref="A4940"/>
    <hyperlink r:id="rId4941" ref="A4941"/>
    <hyperlink r:id="rId4942" ref="A4942"/>
    <hyperlink r:id="rId4943" ref="A4943"/>
    <hyperlink r:id="rId4944" ref="A4944"/>
    <hyperlink r:id="rId4945" ref="A4945"/>
    <hyperlink r:id="rId4946" ref="A4946"/>
    <hyperlink r:id="rId4947" ref="A4947"/>
    <hyperlink r:id="rId4948" ref="A4948"/>
    <hyperlink r:id="rId4949" ref="A4949"/>
    <hyperlink r:id="rId4950" ref="A4950"/>
    <hyperlink r:id="rId4951" ref="A4951"/>
    <hyperlink r:id="rId4952" ref="A4952"/>
    <hyperlink r:id="rId4953" ref="A4953"/>
    <hyperlink r:id="rId4954" ref="A4954"/>
    <hyperlink r:id="rId4955" ref="A4955"/>
    <hyperlink r:id="rId4956" ref="A4956"/>
    <hyperlink r:id="rId4957" ref="A4957"/>
    <hyperlink r:id="rId4958" ref="A4958"/>
    <hyperlink r:id="rId4959" ref="A4959"/>
    <hyperlink r:id="rId4960" ref="A4960"/>
    <hyperlink r:id="rId4961" ref="A4961"/>
    <hyperlink r:id="rId4962" ref="A4962"/>
    <hyperlink r:id="rId4963" ref="A4963"/>
    <hyperlink r:id="rId4964" ref="A4964"/>
    <hyperlink r:id="rId4965" ref="A4965"/>
    <hyperlink r:id="rId4966" ref="A4966"/>
    <hyperlink r:id="rId4967" ref="A4967"/>
    <hyperlink r:id="rId4968" ref="A4968"/>
    <hyperlink r:id="rId4969" ref="A4969"/>
    <hyperlink r:id="rId4970" ref="A4970"/>
    <hyperlink r:id="rId4971" ref="A4971"/>
    <hyperlink r:id="rId4972" ref="A4972"/>
    <hyperlink r:id="rId4973" ref="A4973"/>
    <hyperlink r:id="rId4974" ref="A4974"/>
    <hyperlink r:id="rId4975" ref="A4975"/>
    <hyperlink r:id="rId4976" ref="A4976"/>
    <hyperlink r:id="rId4977" ref="A4977"/>
    <hyperlink r:id="rId4978" ref="A4978"/>
    <hyperlink r:id="rId4979" ref="A4979"/>
    <hyperlink r:id="rId4980" ref="A4980"/>
    <hyperlink r:id="rId4981" ref="A4981"/>
    <hyperlink r:id="rId4982" ref="A4982"/>
    <hyperlink r:id="rId4983" ref="A4983"/>
    <hyperlink r:id="rId4984" ref="A4984"/>
    <hyperlink r:id="rId4985" ref="A4985"/>
    <hyperlink r:id="rId4986" ref="A4986"/>
    <hyperlink r:id="rId4987" ref="A4987"/>
    <hyperlink r:id="rId4988" ref="A4988"/>
    <hyperlink r:id="rId4989" ref="A4989"/>
    <hyperlink r:id="rId4990" ref="A4990"/>
    <hyperlink r:id="rId4991" ref="A4991"/>
    <hyperlink r:id="rId4992" ref="A4992"/>
    <hyperlink r:id="rId4993" ref="A4993"/>
    <hyperlink r:id="rId4994" ref="A4994"/>
    <hyperlink r:id="rId4995" ref="A4995"/>
    <hyperlink r:id="rId4996" ref="A4996"/>
    <hyperlink r:id="rId4997" ref="A4997"/>
    <hyperlink r:id="rId4998" ref="A4998"/>
    <hyperlink r:id="rId4999" ref="A4999"/>
    <hyperlink r:id="rId5000" ref="A5000"/>
    <hyperlink r:id="rId5001" ref="A5001"/>
    <hyperlink r:id="rId5002" ref="A5002"/>
    <hyperlink r:id="rId5003" ref="A5003"/>
    <hyperlink r:id="rId5004" ref="A5004"/>
    <hyperlink r:id="rId5005" ref="A5005"/>
    <hyperlink r:id="rId5006" ref="A5006"/>
    <hyperlink r:id="rId5007" ref="A5007"/>
    <hyperlink r:id="rId5008" ref="A5008"/>
    <hyperlink r:id="rId5009" ref="A5009"/>
    <hyperlink r:id="rId5010" ref="A5010"/>
    <hyperlink r:id="rId5011" ref="A5011"/>
    <hyperlink r:id="rId5012" ref="A5012"/>
    <hyperlink r:id="rId5013" ref="A5013"/>
    <hyperlink r:id="rId5014" ref="A5014"/>
    <hyperlink r:id="rId5015" ref="A5015"/>
    <hyperlink r:id="rId5016" ref="A5016"/>
    <hyperlink r:id="rId5017" ref="A5017"/>
    <hyperlink r:id="rId5018" ref="A5018"/>
    <hyperlink r:id="rId5019" ref="A5019"/>
    <hyperlink r:id="rId5020" ref="A5020"/>
    <hyperlink r:id="rId5021" ref="A5021"/>
    <hyperlink r:id="rId5022" ref="A5022"/>
    <hyperlink r:id="rId5023" ref="A5023"/>
    <hyperlink r:id="rId5024" ref="A5024"/>
    <hyperlink r:id="rId5025" ref="A5025"/>
    <hyperlink r:id="rId5026" ref="A5026"/>
    <hyperlink r:id="rId5027" ref="A5027"/>
    <hyperlink r:id="rId5028" ref="A5028"/>
    <hyperlink r:id="rId5029" ref="A5029"/>
    <hyperlink r:id="rId5030" ref="A5030"/>
    <hyperlink r:id="rId5031" ref="A5031"/>
    <hyperlink r:id="rId5032" ref="A5032"/>
    <hyperlink r:id="rId5033" ref="A5033"/>
    <hyperlink r:id="rId5034" ref="A5034"/>
    <hyperlink r:id="rId5035" ref="A5035"/>
    <hyperlink r:id="rId5036" ref="A5036"/>
    <hyperlink r:id="rId5037" ref="A5037"/>
    <hyperlink r:id="rId5038" ref="A5038"/>
    <hyperlink r:id="rId5039" ref="A5039"/>
    <hyperlink r:id="rId5040" ref="A5040"/>
    <hyperlink r:id="rId5041" ref="A5041"/>
    <hyperlink r:id="rId5042" ref="A5042"/>
    <hyperlink r:id="rId5043" ref="A5043"/>
    <hyperlink r:id="rId5044" ref="A5044"/>
    <hyperlink r:id="rId5045" ref="A5045"/>
    <hyperlink r:id="rId5046" ref="A5046"/>
    <hyperlink r:id="rId5047" ref="A5047"/>
    <hyperlink r:id="rId5048" ref="A5048"/>
    <hyperlink r:id="rId5049" ref="A5049"/>
    <hyperlink r:id="rId5050" ref="A5050"/>
    <hyperlink r:id="rId5051" ref="A5051"/>
    <hyperlink r:id="rId5052" ref="A5052"/>
    <hyperlink r:id="rId5053" ref="A5053"/>
    <hyperlink r:id="rId5054" ref="A5054"/>
    <hyperlink r:id="rId5055" ref="A5055"/>
    <hyperlink r:id="rId5056" ref="A5056"/>
    <hyperlink r:id="rId5057" ref="A5057"/>
    <hyperlink r:id="rId5058" ref="A5058"/>
    <hyperlink r:id="rId5059" ref="A5059"/>
    <hyperlink r:id="rId5060" ref="A5060"/>
    <hyperlink r:id="rId5061" ref="A5061"/>
    <hyperlink r:id="rId5062" ref="A5062"/>
    <hyperlink r:id="rId5063" ref="A5063"/>
    <hyperlink r:id="rId5064" ref="A5064"/>
    <hyperlink r:id="rId5065" ref="A5065"/>
    <hyperlink r:id="rId5066" ref="A5066"/>
    <hyperlink r:id="rId5067" ref="A5067"/>
    <hyperlink r:id="rId5068" ref="A5068"/>
    <hyperlink r:id="rId5069" ref="A5069"/>
    <hyperlink r:id="rId5070" ref="A5070"/>
    <hyperlink r:id="rId5071" ref="A5071"/>
    <hyperlink r:id="rId5072" ref="A5072"/>
    <hyperlink r:id="rId5073" ref="A5073"/>
    <hyperlink r:id="rId5074" ref="A5074"/>
    <hyperlink r:id="rId5075" ref="A5075"/>
    <hyperlink r:id="rId5076" ref="A5076"/>
    <hyperlink r:id="rId5077" ref="A5077"/>
    <hyperlink r:id="rId5078" ref="A5078"/>
    <hyperlink r:id="rId5079" ref="A5079"/>
    <hyperlink r:id="rId5080" ref="A5080"/>
    <hyperlink r:id="rId5081" ref="A5081"/>
    <hyperlink r:id="rId5082" ref="A5082"/>
    <hyperlink r:id="rId5083" ref="A5083"/>
    <hyperlink r:id="rId5084" ref="A5084"/>
    <hyperlink r:id="rId5085" ref="A5085"/>
    <hyperlink r:id="rId5086" ref="A5086"/>
    <hyperlink r:id="rId5087" ref="A5087"/>
    <hyperlink r:id="rId5088" ref="A5088"/>
    <hyperlink r:id="rId5089" ref="A5089"/>
    <hyperlink r:id="rId5090" ref="A5090"/>
    <hyperlink r:id="rId5091" ref="A5091"/>
    <hyperlink r:id="rId5092" ref="A5092"/>
    <hyperlink r:id="rId5093" ref="A5093"/>
    <hyperlink r:id="rId5094" ref="A5094"/>
    <hyperlink r:id="rId5095" ref="A5095"/>
    <hyperlink r:id="rId5096" ref="A5096"/>
    <hyperlink r:id="rId5097" ref="A5097"/>
    <hyperlink r:id="rId5098" ref="A5098"/>
    <hyperlink r:id="rId5099" ref="A5099"/>
    <hyperlink r:id="rId5100" ref="A5100"/>
    <hyperlink r:id="rId5101" ref="A5101"/>
    <hyperlink r:id="rId5102" ref="A5102"/>
    <hyperlink r:id="rId5103" ref="A5103"/>
    <hyperlink r:id="rId5104" ref="A5104"/>
    <hyperlink r:id="rId5105" ref="A5105"/>
    <hyperlink r:id="rId5106" ref="A5106"/>
    <hyperlink r:id="rId5107" ref="A5107"/>
    <hyperlink r:id="rId5108" ref="A5108"/>
    <hyperlink r:id="rId5109" ref="A5109"/>
    <hyperlink r:id="rId5110" ref="A5110"/>
    <hyperlink r:id="rId5111" ref="A5111"/>
    <hyperlink r:id="rId5112" ref="A5112"/>
    <hyperlink r:id="rId5113" ref="A5113"/>
    <hyperlink r:id="rId5114" ref="A5114"/>
    <hyperlink r:id="rId5115" ref="A5115"/>
    <hyperlink r:id="rId5116" ref="A5116"/>
    <hyperlink r:id="rId5117" ref="A5117"/>
    <hyperlink r:id="rId5118" ref="A5118"/>
    <hyperlink r:id="rId5119" ref="A5119"/>
    <hyperlink r:id="rId5120" ref="A5120"/>
    <hyperlink r:id="rId5121" ref="A5121"/>
    <hyperlink r:id="rId5122" ref="A5122"/>
    <hyperlink r:id="rId5123" ref="A5123"/>
    <hyperlink r:id="rId5124" ref="A5124"/>
    <hyperlink r:id="rId5125" ref="A5125"/>
    <hyperlink r:id="rId5126" ref="A5126"/>
    <hyperlink r:id="rId5127" ref="A5127"/>
    <hyperlink r:id="rId5128" ref="A5128"/>
    <hyperlink r:id="rId5129" ref="A5129"/>
    <hyperlink r:id="rId5130" ref="A5130"/>
    <hyperlink r:id="rId5131" ref="A5131"/>
    <hyperlink r:id="rId5132" ref="A5132"/>
    <hyperlink r:id="rId5133" ref="A5133"/>
    <hyperlink r:id="rId5134" ref="A5134"/>
    <hyperlink r:id="rId5135" ref="A5135"/>
    <hyperlink r:id="rId5136" ref="A5136"/>
    <hyperlink r:id="rId5137" ref="A5137"/>
    <hyperlink r:id="rId5138" ref="A5138"/>
    <hyperlink r:id="rId5139" ref="A5139"/>
    <hyperlink r:id="rId5140" ref="A5140"/>
    <hyperlink r:id="rId5141" ref="A5141"/>
    <hyperlink r:id="rId5142" ref="A5142"/>
    <hyperlink r:id="rId5143" ref="A5143"/>
    <hyperlink r:id="rId5144" ref="A5144"/>
    <hyperlink r:id="rId5145" ref="A5145"/>
    <hyperlink r:id="rId5146" ref="A5146"/>
    <hyperlink r:id="rId5147" ref="A5147"/>
    <hyperlink r:id="rId5148" ref="A5148"/>
    <hyperlink r:id="rId5149" ref="A5149"/>
    <hyperlink r:id="rId5150" ref="A5150"/>
    <hyperlink r:id="rId5151" ref="A5151"/>
    <hyperlink r:id="rId5152" ref="A5152"/>
    <hyperlink r:id="rId5153" ref="A5153"/>
    <hyperlink r:id="rId5154" ref="A5154"/>
    <hyperlink r:id="rId5155" ref="A5155"/>
    <hyperlink r:id="rId5156" ref="A5156"/>
    <hyperlink r:id="rId5157" ref="A5157"/>
    <hyperlink r:id="rId5158" ref="A5158"/>
    <hyperlink r:id="rId5159" ref="A5159"/>
    <hyperlink r:id="rId5160" ref="A5160"/>
    <hyperlink r:id="rId5161" ref="A5161"/>
    <hyperlink r:id="rId5162" ref="A5162"/>
    <hyperlink r:id="rId5163" ref="A5163"/>
    <hyperlink r:id="rId5164" ref="A5164"/>
    <hyperlink r:id="rId5165" ref="A5165"/>
    <hyperlink r:id="rId5166" ref="A5166"/>
    <hyperlink r:id="rId5167" ref="A5167"/>
    <hyperlink r:id="rId5168" ref="A5168"/>
    <hyperlink r:id="rId5169" ref="A5169"/>
    <hyperlink r:id="rId5170" ref="A5170"/>
    <hyperlink r:id="rId5171" ref="A5171"/>
    <hyperlink r:id="rId5172" ref="A5172"/>
    <hyperlink r:id="rId5173" ref="A5173"/>
    <hyperlink r:id="rId5174" ref="A5174"/>
    <hyperlink r:id="rId5175" ref="A5175"/>
    <hyperlink r:id="rId5176" ref="A5176"/>
    <hyperlink r:id="rId5177" ref="A5177"/>
    <hyperlink r:id="rId5178" ref="A5178"/>
    <hyperlink r:id="rId5179" ref="A5179"/>
    <hyperlink r:id="rId5180" ref="A5180"/>
    <hyperlink r:id="rId5181" ref="A5181"/>
    <hyperlink r:id="rId5182" ref="A5182"/>
    <hyperlink r:id="rId5183" ref="A5183"/>
    <hyperlink r:id="rId5184" ref="A5184"/>
    <hyperlink r:id="rId5185" ref="A5185"/>
    <hyperlink r:id="rId5186" ref="A5186"/>
    <hyperlink r:id="rId5187" ref="A5187"/>
    <hyperlink r:id="rId5188" ref="A5188"/>
    <hyperlink r:id="rId5189" ref="A5189"/>
    <hyperlink r:id="rId5190" ref="A5190"/>
    <hyperlink r:id="rId5191" ref="A5191"/>
    <hyperlink r:id="rId5192" ref="A5192"/>
    <hyperlink r:id="rId5193" ref="A5193"/>
    <hyperlink r:id="rId5194" ref="A5194"/>
    <hyperlink r:id="rId5195" ref="A5195"/>
    <hyperlink r:id="rId5196" ref="A5196"/>
    <hyperlink r:id="rId5197" ref="A5197"/>
    <hyperlink r:id="rId5198" ref="A5198"/>
    <hyperlink r:id="rId5199" ref="A5199"/>
    <hyperlink r:id="rId5200" ref="A5200"/>
    <hyperlink r:id="rId5201" ref="A5201"/>
    <hyperlink r:id="rId5202" ref="A5202"/>
    <hyperlink r:id="rId5203" ref="A5203"/>
    <hyperlink r:id="rId5204" ref="A5204"/>
    <hyperlink r:id="rId5205" ref="A5205"/>
    <hyperlink r:id="rId5206" ref="A5206"/>
    <hyperlink r:id="rId5207" ref="A5207"/>
    <hyperlink r:id="rId5208" ref="A5208"/>
    <hyperlink r:id="rId5209" ref="A5209"/>
    <hyperlink r:id="rId5210" ref="A5210"/>
    <hyperlink r:id="rId5211" ref="A5211"/>
    <hyperlink r:id="rId5212" ref="A5212"/>
    <hyperlink r:id="rId5213" ref="A5213"/>
    <hyperlink r:id="rId5214" ref="A5214"/>
    <hyperlink r:id="rId5215" ref="A5215"/>
    <hyperlink r:id="rId5216" ref="A5216"/>
    <hyperlink r:id="rId5217" ref="A5217"/>
    <hyperlink r:id="rId5218" ref="A5218"/>
    <hyperlink r:id="rId5219" ref="A5219"/>
    <hyperlink r:id="rId5220" ref="A5220"/>
    <hyperlink r:id="rId5221" ref="A5221"/>
    <hyperlink r:id="rId5222" ref="A5222"/>
    <hyperlink r:id="rId5223" ref="A5223"/>
    <hyperlink r:id="rId5224" ref="A5224"/>
    <hyperlink r:id="rId5225" ref="A5225"/>
    <hyperlink r:id="rId5226" ref="A5226"/>
    <hyperlink r:id="rId5227" ref="A5227"/>
    <hyperlink r:id="rId5228" ref="A5228"/>
    <hyperlink r:id="rId5229" ref="A5229"/>
    <hyperlink r:id="rId5230" ref="A5230"/>
    <hyperlink r:id="rId5231" ref="A5231"/>
    <hyperlink r:id="rId5232" ref="A5232"/>
    <hyperlink r:id="rId5233" ref="A5233"/>
    <hyperlink r:id="rId5234" ref="A5234"/>
    <hyperlink r:id="rId5235" ref="A5235"/>
    <hyperlink r:id="rId5236" ref="A5236"/>
    <hyperlink r:id="rId5237" ref="A5237"/>
    <hyperlink r:id="rId5238" ref="A5238"/>
    <hyperlink r:id="rId5239" ref="A5239"/>
    <hyperlink r:id="rId5240" ref="A5240"/>
    <hyperlink r:id="rId5241" ref="A5241"/>
    <hyperlink r:id="rId5242" ref="A5242"/>
    <hyperlink r:id="rId5243" ref="A5243"/>
    <hyperlink r:id="rId5244" ref="A5244"/>
    <hyperlink r:id="rId5245" ref="A5245"/>
  </hyperlinks>
  <drawing r:id="rId5246"/>
  <tableParts count="1">
    <tablePart r:id="rId524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13.0"/>
    <col customWidth="1" min="4" max="4" width="15.5"/>
    <col customWidth="1" min="5" max="5" width="26.88"/>
    <col customWidth="1" min="6" max="6" width="15.5"/>
    <col customWidth="1" min="7" max="7" width="13.0"/>
    <col customWidth="1" min="8" max="8" width="19.25"/>
    <col customWidth="1" min="9" max="10" width="16.25"/>
    <col customWidth="1" min="11" max="11" width="15.5"/>
    <col customWidth="1" min="12" max="12" width="25.5"/>
    <col customWidth="1" min="13" max="14" width="40.13"/>
    <col customWidth="1" min="15" max="16" width="23.75"/>
    <col customWidth="1" min="17" max="17" width="29.25"/>
  </cols>
  <sheetData>
    <row r="1">
      <c r="A1" s="122" t="s">
        <v>37210</v>
      </c>
      <c r="B1" s="123" t="s">
        <v>37211</v>
      </c>
      <c r="C1" s="124" t="s">
        <v>37212</v>
      </c>
      <c r="D1" s="124" t="s">
        <v>37213</v>
      </c>
      <c r="E1" s="124" t="s">
        <v>37214</v>
      </c>
      <c r="F1" s="125" t="s">
        <v>37215</v>
      </c>
      <c r="G1" s="124" t="s">
        <v>37216</v>
      </c>
      <c r="H1" s="124" t="s">
        <v>37217</v>
      </c>
      <c r="I1" s="126" t="s">
        <v>37218</v>
      </c>
      <c r="J1" s="127" t="s">
        <v>37219</v>
      </c>
      <c r="K1" s="128" t="s">
        <v>37220</v>
      </c>
      <c r="L1" s="128" t="s">
        <v>37221</v>
      </c>
      <c r="M1" s="128" t="s">
        <v>37222</v>
      </c>
      <c r="N1" s="126" t="s">
        <v>37223</v>
      </c>
      <c r="O1" s="126" t="s">
        <v>37224</v>
      </c>
      <c r="P1" s="128" t="s">
        <v>37225</v>
      </c>
      <c r="Q1" s="129" t="s">
        <v>37226</v>
      </c>
    </row>
    <row r="2">
      <c r="A2" s="130">
        <v>45292.0</v>
      </c>
      <c r="B2" s="131"/>
      <c r="C2" s="132"/>
      <c r="D2" s="132">
        <f t="shared" ref="D2:D5" si="1">C3</f>
        <v>0.0078</v>
      </c>
      <c r="E2" s="133">
        <f t="shared" ref="E2:E6" si="2">IF(D2&gt;0,1,0)</f>
        <v>1</v>
      </c>
      <c r="F2" s="134"/>
      <c r="G2" s="135"/>
      <c r="H2" s="135">
        <f t="shared" ref="H2:H5" si="3">D2-G3</f>
        <v>-0.0001</v>
      </c>
      <c r="I2" s="136"/>
      <c r="J2" s="137"/>
      <c r="K2" s="138"/>
      <c r="L2" s="139">
        <f>AVERAGEIFS(Sentiment!$K:$K, Sentiment!$C:$C, $A2, Sentiment!$J:$J, "YES")
</f>
        <v>0.3</v>
      </c>
      <c r="M2" s="139"/>
      <c r="N2" s="140">
        <f t="shared" ref="N2:N6" si="4">IF(M2&gt;0,1,0)</f>
        <v>0</v>
      </c>
      <c r="O2" s="139"/>
      <c r="P2" s="141"/>
      <c r="Q2" s="142">
        <f t="shared" ref="Q2:Q6" si="5">IF(P2&gt;0,1,0)</f>
        <v>0</v>
      </c>
    </row>
    <row r="3">
      <c r="A3" s="130">
        <v>45293.0</v>
      </c>
      <c r="B3" s="143">
        <v>13.56</v>
      </c>
      <c r="C3" s="144">
        <v>0.0078</v>
      </c>
      <c r="D3" s="144">
        <f t="shared" si="1"/>
        <v>0</v>
      </c>
      <c r="E3" s="145">
        <f t="shared" si="2"/>
        <v>0</v>
      </c>
      <c r="F3" s="146">
        <v>10182.1</v>
      </c>
      <c r="G3" s="147">
        <v>0.0079</v>
      </c>
      <c r="H3" s="147">
        <f t="shared" si="3"/>
        <v>0.01263982872</v>
      </c>
      <c r="I3" s="148">
        <v>75.89</v>
      </c>
      <c r="J3" s="149">
        <v>-0.0149</v>
      </c>
      <c r="K3" s="150" t="s">
        <v>27</v>
      </c>
      <c r="L3" s="151">
        <f>AVERAGEIFS(Sentiment!$K:$K, Sentiment!$C:$C, $A3, Sentiment!$J:$J, "YES")
</f>
        <v>0.6</v>
      </c>
      <c r="M3" s="152">
        <f>(Sentiment!K14+Sentiment!K13+Sentiment!K12+Sentiment!K11+Sentiment!K3)/5</f>
        <v>0.6</v>
      </c>
      <c r="N3" s="153">
        <f t="shared" si="4"/>
        <v>1</v>
      </c>
      <c r="O3" s="151">
        <f>AVERAGEIFS(Sentiment!P:P, Sentiment!C:C, A3, Sentiment!J:J, "YES")
</f>
        <v>0.875</v>
      </c>
      <c r="P3" s="152">
        <v>0.67</v>
      </c>
      <c r="Q3" s="154">
        <f t="shared" si="5"/>
        <v>1</v>
      </c>
    </row>
    <row r="4">
      <c r="A4" s="130">
        <v>45294.0</v>
      </c>
      <c r="B4" s="131">
        <v>13.56</v>
      </c>
      <c r="C4" s="132">
        <f t="shared" ref="C4:C6" si="6">B4/B3-1</f>
        <v>0</v>
      </c>
      <c r="D4" s="132">
        <f t="shared" si="1"/>
        <v>0.01179941003</v>
      </c>
      <c r="E4" s="133">
        <f t="shared" si="2"/>
        <v>1</v>
      </c>
      <c r="F4" s="134">
        <v>10053.4</v>
      </c>
      <c r="G4" s="135">
        <f t="shared" ref="G4:G6" si="7">F4/F3-1</f>
        <v>-0.01263982872</v>
      </c>
      <c r="H4" s="135">
        <f t="shared" si="3"/>
        <v>-0.001032069868</v>
      </c>
      <c r="I4" s="136">
        <v>78.25</v>
      </c>
      <c r="J4" s="155">
        <f t="shared" ref="J4:J6" si="8">I4/I3-1</f>
        <v>0.03109764132</v>
      </c>
      <c r="K4" s="138" t="s">
        <v>27</v>
      </c>
      <c r="L4" s="139">
        <f>AVERAGEIFS(Sentiment!$K:$K, Sentiment!$C:$C, $A4, Sentiment!$J:$J, "YES")
</f>
        <v>0.02857142857</v>
      </c>
      <c r="M4" s="139">
        <f>AVERAGEIFS(Sentiment!$K:$K, Sentiment!$C:$C, $A4, Sentiment!$J:$J, "YES")
</f>
        <v>0.02857142857</v>
      </c>
      <c r="N4" s="140">
        <f t="shared" si="4"/>
        <v>1</v>
      </c>
      <c r="O4" s="139">
        <f>AVERAGEIFS(Sentiment!P:P, Sentiment!C:C, A4, Sentiment!J:J, "YES")
</f>
        <v>-0.07142857143</v>
      </c>
      <c r="P4" s="141">
        <v>-0.07142857142857142</v>
      </c>
      <c r="Q4" s="142">
        <f t="shared" si="5"/>
        <v>0</v>
      </c>
    </row>
    <row r="5">
      <c r="A5" s="130">
        <v>45295.0</v>
      </c>
      <c r="B5" s="143">
        <v>13.72</v>
      </c>
      <c r="C5" s="144">
        <f t="shared" si="6"/>
        <v>0.01179941003</v>
      </c>
      <c r="D5" s="144">
        <f t="shared" si="1"/>
        <v>0.002915451895</v>
      </c>
      <c r="E5" s="145">
        <f t="shared" si="2"/>
        <v>1</v>
      </c>
      <c r="F5" s="146">
        <v>10182.4</v>
      </c>
      <c r="G5" s="147">
        <f t="shared" si="7"/>
        <v>0.0128314799</v>
      </c>
      <c r="H5" s="147">
        <f t="shared" si="3"/>
        <v>0.004673387156</v>
      </c>
      <c r="I5" s="148">
        <v>77.59</v>
      </c>
      <c r="J5" s="156">
        <f t="shared" si="8"/>
        <v>-0.008434504792</v>
      </c>
      <c r="K5" s="150" t="s">
        <v>27</v>
      </c>
      <c r="L5" s="151">
        <f>AVERAGEIFS(Sentiment!$K:$K, Sentiment!$C:$C, $A5, Sentiment!$J:$J, "YES")
</f>
        <v>0.675</v>
      </c>
      <c r="M5" s="151">
        <f>AVERAGEIFS(Sentiment!$K:$K, Sentiment!$C:$C, $A5, Sentiment!$J:$J, "YES")
</f>
        <v>0.675</v>
      </c>
      <c r="N5" s="157">
        <f t="shared" si="4"/>
        <v>1</v>
      </c>
      <c r="O5" s="151">
        <f>AVERAGEIFS(Sentiment!P:P, Sentiment!C:C, A5, Sentiment!J:J, "YES")
</f>
        <v>0.425</v>
      </c>
      <c r="P5" s="158">
        <v>0.425</v>
      </c>
      <c r="Q5" s="159">
        <f t="shared" si="5"/>
        <v>1</v>
      </c>
    </row>
    <row r="6">
      <c r="A6" s="130">
        <v>45296.0</v>
      </c>
      <c r="B6" s="131">
        <v>13.76</v>
      </c>
      <c r="C6" s="132">
        <f t="shared" si="6"/>
        <v>0.002915451895</v>
      </c>
      <c r="D6" s="132">
        <f>C9</f>
        <v>-0.01453488372</v>
      </c>
      <c r="E6" s="133">
        <f t="shared" si="2"/>
        <v>0</v>
      </c>
      <c r="F6" s="134">
        <v>10164.5</v>
      </c>
      <c r="G6" s="135">
        <f t="shared" si="7"/>
        <v>-0.001757935261</v>
      </c>
      <c r="H6" s="135">
        <f>D6-G9</f>
        <v>-0.01891286591</v>
      </c>
      <c r="I6" s="136">
        <v>78.76</v>
      </c>
      <c r="J6" s="155">
        <f t="shared" si="8"/>
        <v>0.01507926279</v>
      </c>
      <c r="K6" s="138" t="s">
        <v>27</v>
      </c>
      <c r="L6" s="139">
        <f>AVERAGEIFS(Sentiment!$K:$K, Sentiment!$C:$C, $A6, Sentiment!$J:$J, "YES")
</f>
        <v>0.12</v>
      </c>
      <c r="M6" s="139">
        <f>AVERAGEIFS(Sentiment!$K:$K, Sentiment!$C:$C, $A6, Sentiment!$J:$J, "YES")
</f>
        <v>0.12</v>
      </c>
      <c r="N6" s="140">
        <f t="shared" si="4"/>
        <v>1</v>
      </c>
      <c r="O6" s="139">
        <f>AVERAGEIFS(Sentiment!P:P, Sentiment!C:C, A6, Sentiment!J:J, "YES")
</f>
        <v>-0.06</v>
      </c>
      <c r="P6" s="141">
        <v>-0.05999999999999996</v>
      </c>
      <c r="Q6" s="142">
        <f t="shared" si="5"/>
        <v>0</v>
      </c>
    </row>
    <row r="7">
      <c r="A7" s="130">
        <v>45297.0</v>
      </c>
      <c r="B7" s="143"/>
      <c r="C7" s="144"/>
      <c r="D7" s="144"/>
      <c r="E7" s="145"/>
      <c r="F7" s="146"/>
      <c r="G7" s="147"/>
      <c r="H7" s="147"/>
      <c r="I7" s="148"/>
      <c r="J7" s="160"/>
      <c r="K7" s="150"/>
      <c r="L7" s="151">
        <f>AVERAGEIFS(Sentiment!$K:$K, Sentiment!$C:$C, $A7, Sentiment!$J:$J, "YES")
</f>
        <v>-0.7</v>
      </c>
      <c r="M7" s="151"/>
      <c r="N7" s="157"/>
      <c r="O7" s="151">
        <f>AVERAGEIFS(Sentiment!P:P, Sentiment!C:C, A7, Sentiment!J:J, "YES")
</f>
        <v>-0.6</v>
      </c>
      <c r="P7" s="158"/>
      <c r="Q7" s="159"/>
    </row>
    <row r="8">
      <c r="A8" s="130">
        <v>45298.0</v>
      </c>
      <c r="B8" s="131"/>
      <c r="C8" s="132"/>
      <c r="D8" s="132"/>
      <c r="E8" s="133"/>
      <c r="F8" s="134"/>
      <c r="G8" s="135"/>
      <c r="H8" s="135"/>
      <c r="I8" s="136"/>
      <c r="J8" s="137"/>
      <c r="K8" s="138"/>
      <c r="L8" s="139">
        <f>AVERAGEIFS(Sentiment!$K:$K, Sentiment!$C:$C, $A8, Sentiment!$J:$J, "YES")
</f>
        <v>0.25</v>
      </c>
      <c r="M8" s="139"/>
      <c r="N8" s="140"/>
      <c r="O8" s="139">
        <f>AVERAGEIFS(Sentiment!P:P, Sentiment!C:C, A8, Sentiment!J:J, "YES")
</f>
        <v>0</v>
      </c>
      <c r="P8" s="141"/>
      <c r="Q8" s="142"/>
    </row>
    <row r="9">
      <c r="A9" s="130">
        <v>45299.0</v>
      </c>
      <c r="B9" s="143">
        <v>13.56</v>
      </c>
      <c r="C9" s="144">
        <f>B9/B6-1</f>
        <v>-0.01453488372</v>
      </c>
      <c r="D9" s="144">
        <f t="shared" ref="D9:D12" si="9">C10</f>
        <v>-0.03466076696</v>
      </c>
      <c r="E9" s="145">
        <f t="shared" ref="E9:E13" si="10">IF(D9&gt;0,1,0)</f>
        <v>0</v>
      </c>
      <c r="F9" s="146">
        <v>10209.0</v>
      </c>
      <c r="G9" s="147">
        <f>F9/F6-1</f>
        <v>0.004377982193</v>
      </c>
      <c r="H9" s="147">
        <f t="shared" ref="H9:H12" si="11">D9-G10</f>
        <v>-0.02009518757</v>
      </c>
      <c r="I9" s="148">
        <v>76.12</v>
      </c>
      <c r="J9" s="156">
        <f>I9/I6-1</f>
        <v>-0.03351955307</v>
      </c>
      <c r="K9" s="150" t="s">
        <v>27</v>
      </c>
      <c r="L9" s="151">
        <f>AVERAGEIFS(Sentiment!$K:$K, Sentiment!$C:$C, $A9, Sentiment!$J:$J, "YES")
</f>
        <v>0.2166666667</v>
      </c>
      <c r="M9" s="152">
        <f>(Sentiment!K63+Sentiment!K67+Sentiment!K68+Sentiment!K69+Sentiment!K70+Sentiment!K72+Sentiment!K76+Sentiment!K77+Sentiment!K78+Sentiment!K79+Sentiment!K80+Sentiment!K81+Sentiment!K82+Sentiment!K83+Sentiment!K84+Sentiment!K85+Sentiment!K88+Sentiment!K90+Sentiment!K97)/19</f>
        <v>0.4789473684</v>
      </c>
      <c r="N9" s="153">
        <f t="shared" ref="N9:N13" si="12">IF(M9&gt;0,1,0)</f>
        <v>1</v>
      </c>
      <c r="O9" s="151">
        <f>AVERAGEIFS(Sentiment!P:P, Sentiment!C:C, A9, Sentiment!J:J, "YES")
</f>
        <v>0.2333333333</v>
      </c>
      <c r="P9" s="152">
        <v>0.02</v>
      </c>
      <c r="Q9" s="154">
        <f t="shared" ref="Q9:Q13" si="13">IF(P9&gt;0,1,0)</f>
        <v>1</v>
      </c>
    </row>
    <row r="10">
      <c r="A10" s="130">
        <v>45300.0</v>
      </c>
      <c r="B10" s="131">
        <v>13.09</v>
      </c>
      <c r="C10" s="132">
        <f t="shared" ref="C10:C13" si="14">B10/B9-1</f>
        <v>-0.03466076696</v>
      </c>
      <c r="D10" s="132">
        <f t="shared" si="9"/>
        <v>-0.01222307105</v>
      </c>
      <c r="E10" s="133">
        <f t="shared" si="10"/>
        <v>0</v>
      </c>
      <c r="F10" s="134">
        <v>10060.3</v>
      </c>
      <c r="G10" s="135">
        <f t="shared" ref="G10:G13" si="15">F10/F9-1</f>
        <v>-0.01456557939</v>
      </c>
      <c r="H10" s="135">
        <f t="shared" si="11"/>
        <v>-0.01289899522</v>
      </c>
      <c r="I10" s="136">
        <v>77.59</v>
      </c>
      <c r="J10" s="155">
        <f t="shared" ref="J10:J13" si="16">I10/I9-1</f>
        <v>0.01931161324</v>
      </c>
      <c r="K10" s="138" t="s">
        <v>27</v>
      </c>
      <c r="L10" s="139">
        <f>AVERAGEIFS(Sentiment!$K:$K, Sentiment!$C:$C, $A10, Sentiment!$J:$J, "YES")
</f>
        <v>0.6083333333</v>
      </c>
      <c r="M10" s="139">
        <f>AVERAGEIFS(Sentiment!$K:$K, Sentiment!$C:$C, $A10, Sentiment!$J:$J, "YES")
</f>
        <v>0.6083333333</v>
      </c>
      <c r="N10" s="140">
        <f t="shared" si="12"/>
        <v>1</v>
      </c>
      <c r="O10" s="139">
        <f>AVERAGEIFS(Sentiment!P:P, Sentiment!C:C, A10, Sentiment!J:J, "YES")
</f>
        <v>0.7083333333</v>
      </c>
      <c r="P10" s="141">
        <v>0.7083333333333334</v>
      </c>
      <c r="Q10" s="142">
        <f t="shared" si="13"/>
        <v>1</v>
      </c>
    </row>
    <row r="11">
      <c r="A11" s="130">
        <v>45301.0</v>
      </c>
      <c r="B11" s="143">
        <v>12.93</v>
      </c>
      <c r="C11" s="144">
        <f t="shared" si="14"/>
        <v>-0.01222307105</v>
      </c>
      <c r="D11" s="144">
        <f t="shared" si="9"/>
        <v>0.002320185615</v>
      </c>
      <c r="E11" s="145">
        <f t="shared" si="10"/>
        <v>1</v>
      </c>
      <c r="F11" s="146">
        <v>10067.1</v>
      </c>
      <c r="G11" s="147">
        <f t="shared" si="15"/>
        <v>0.0006759241772</v>
      </c>
      <c r="H11" s="147">
        <f t="shared" si="11"/>
        <v>0.008498727598</v>
      </c>
      <c r="I11" s="148">
        <v>76.8</v>
      </c>
      <c r="J11" s="156">
        <f t="shared" si="16"/>
        <v>-0.01018172445</v>
      </c>
      <c r="K11" s="150" t="s">
        <v>27</v>
      </c>
      <c r="L11" s="151">
        <f>AVERAGEIFS(Sentiment!$K:$K, Sentiment!$C:$C, $A11, Sentiment!$J:$J, "YES")
</f>
        <v>0.35</v>
      </c>
      <c r="M11" s="151">
        <f>AVERAGEIFS(Sentiment!$K:$K, Sentiment!$C:$C, $A11, Sentiment!$J:$J, "YES")
</f>
        <v>0.35</v>
      </c>
      <c r="N11" s="157">
        <f t="shared" si="12"/>
        <v>1</v>
      </c>
      <c r="O11" s="151">
        <f>AVERAGEIFS(Sentiment!P:P, Sentiment!C:C, A11, Sentiment!J:J, "YES")
</f>
        <v>0.725</v>
      </c>
      <c r="P11" s="158">
        <v>0.7249999999999999</v>
      </c>
      <c r="Q11" s="159">
        <f t="shared" si="13"/>
        <v>1</v>
      </c>
    </row>
    <row r="12">
      <c r="A12" s="130">
        <v>45302.0</v>
      </c>
      <c r="B12" s="131">
        <v>12.96</v>
      </c>
      <c r="C12" s="132">
        <f t="shared" si="14"/>
        <v>0.002320185615</v>
      </c>
      <c r="D12" s="132">
        <f t="shared" si="9"/>
        <v>0.01157407407</v>
      </c>
      <c r="E12" s="133">
        <f t="shared" si="10"/>
        <v>1</v>
      </c>
      <c r="F12" s="134">
        <v>10004.9</v>
      </c>
      <c r="G12" s="135">
        <f t="shared" si="15"/>
        <v>-0.006178541983</v>
      </c>
      <c r="H12" s="135">
        <f t="shared" si="11"/>
        <v>0.002588477017</v>
      </c>
      <c r="I12" s="136">
        <v>77.41</v>
      </c>
      <c r="J12" s="155">
        <f t="shared" si="16"/>
        <v>0.007942708333</v>
      </c>
      <c r="K12" s="138" t="s">
        <v>35</v>
      </c>
      <c r="L12" s="139">
        <f>AVERAGEIFS(Sentiment!$K:$K, Sentiment!$C:$C, $A12, Sentiment!$J:$J, "YES")
</f>
        <v>0.15</v>
      </c>
      <c r="M12" s="139">
        <f>AVERAGEIFS(Sentiment!$K:$K, Sentiment!$C:$C, $A12, Sentiment!$J:$J, "YES")
</f>
        <v>0.15</v>
      </c>
      <c r="N12" s="140">
        <f t="shared" si="12"/>
        <v>1</v>
      </c>
      <c r="O12" s="139">
        <f>AVERAGEIFS(Sentiment!P:P, Sentiment!C:C, A12, Sentiment!J:J, "YES")
</f>
        <v>0.4125</v>
      </c>
      <c r="P12" s="141">
        <v>0.4125000000000001</v>
      </c>
      <c r="Q12" s="142">
        <f t="shared" si="13"/>
        <v>1</v>
      </c>
    </row>
    <row r="13">
      <c r="A13" s="130">
        <v>45303.0</v>
      </c>
      <c r="B13" s="143">
        <v>13.11</v>
      </c>
      <c r="C13" s="144">
        <f t="shared" si="14"/>
        <v>0.01157407407</v>
      </c>
      <c r="D13" s="144">
        <f>C16</f>
        <v>0.009916094584</v>
      </c>
      <c r="E13" s="145">
        <f t="shared" si="10"/>
        <v>1</v>
      </c>
      <c r="F13" s="146">
        <v>10094.8</v>
      </c>
      <c r="G13" s="147">
        <f t="shared" si="15"/>
        <v>0.008985597057</v>
      </c>
      <c r="H13" s="147">
        <f>D13-G16</f>
        <v>0.01168928474</v>
      </c>
      <c r="I13" s="148">
        <v>78.29</v>
      </c>
      <c r="J13" s="156">
        <f t="shared" si="16"/>
        <v>0.0113680403</v>
      </c>
      <c r="K13" s="150" t="s">
        <v>27</v>
      </c>
      <c r="L13" s="151">
        <f>AVERAGEIFS(Sentiment!$K:$K, Sentiment!$C:$C, $A13, Sentiment!$J:$J, "YES")
</f>
        <v>-0.35</v>
      </c>
      <c r="M13" s="151">
        <f>AVERAGEIFS(Sentiment!$K:$K, Sentiment!$C:$C, $A13, Sentiment!$J:$J, "YES")
</f>
        <v>-0.35</v>
      </c>
      <c r="N13" s="157">
        <f t="shared" si="12"/>
        <v>0</v>
      </c>
      <c r="O13" s="151">
        <f>AVERAGEIFS(Sentiment!P:P, Sentiment!C:C, A13, Sentiment!J:J, "YES")
</f>
        <v>-0.25</v>
      </c>
      <c r="P13" s="158">
        <v>-0.25</v>
      </c>
      <c r="Q13" s="159">
        <f t="shared" si="13"/>
        <v>0</v>
      </c>
    </row>
    <row r="14">
      <c r="A14" s="130">
        <v>45304.0</v>
      </c>
      <c r="B14" s="131"/>
      <c r="C14" s="132"/>
      <c r="D14" s="132"/>
      <c r="E14" s="133"/>
      <c r="F14" s="134"/>
      <c r="G14" s="135"/>
      <c r="H14" s="135"/>
      <c r="I14" s="136"/>
      <c r="J14" s="137"/>
      <c r="K14" s="138"/>
      <c r="L14" s="139">
        <f>AVERAGEIFS(Sentiment!$K:$K, Sentiment!$C:$C, $A14, Sentiment!$J:$J, "YES")
</f>
        <v>-0.3111111111</v>
      </c>
      <c r="M14" s="139"/>
      <c r="N14" s="140"/>
      <c r="O14" s="139">
        <f>AVERAGEIFS(Sentiment!P:P, Sentiment!C:C, A14, Sentiment!J:J, "YES")
</f>
        <v>-0.2</v>
      </c>
      <c r="P14" s="141"/>
      <c r="Q14" s="142"/>
    </row>
    <row r="15">
      <c r="A15" s="130">
        <v>45305.0</v>
      </c>
      <c r="B15" s="143"/>
      <c r="C15" s="144"/>
      <c r="D15" s="144"/>
      <c r="E15" s="145"/>
      <c r="F15" s="146"/>
      <c r="G15" s="147"/>
      <c r="H15" s="147"/>
      <c r="I15" s="148"/>
      <c r="J15" s="160"/>
      <c r="K15" s="150"/>
      <c r="L15" s="151">
        <f>AVERAGEIFS(Sentiment!$K:$K, Sentiment!$C:$C, $A15, Sentiment!$J:$J, "YES")
</f>
        <v>-0.05</v>
      </c>
      <c r="M15" s="151"/>
      <c r="N15" s="157"/>
      <c r="O15" s="151">
        <f>AVERAGEIFS(Sentiment!P:P, Sentiment!C:C, A15, Sentiment!J:J, "YES")
</f>
        <v>-0.025</v>
      </c>
      <c r="P15" s="158"/>
      <c r="Q15" s="159"/>
    </row>
    <row r="16">
      <c r="A16" s="130">
        <v>45306.0</v>
      </c>
      <c r="B16" s="131">
        <v>13.24</v>
      </c>
      <c r="C16" s="132">
        <f>B16/B13-1</f>
        <v>0.009916094584</v>
      </c>
      <c r="D16" s="132">
        <f t="shared" ref="D16:D19" si="17">C17</f>
        <v>0.003021148036</v>
      </c>
      <c r="E16" s="133">
        <f t="shared" ref="E16:E20" si="18">IF(D16&gt;0,1,0)</f>
        <v>1</v>
      </c>
      <c r="F16" s="134">
        <v>10076.9</v>
      </c>
      <c r="G16" s="135">
        <f>F16/F13-1</f>
        <v>-0.001773190157</v>
      </c>
      <c r="H16" s="135">
        <f t="shared" ref="H16:H19" si="19">D16-G17</f>
        <v>0.01123796075</v>
      </c>
      <c r="I16" s="136">
        <v>78.15</v>
      </c>
      <c r="J16" s="155">
        <f>I16/I13-1</f>
        <v>-0.001788223272</v>
      </c>
      <c r="K16" s="138" t="s">
        <v>27</v>
      </c>
      <c r="L16" s="139">
        <f>AVERAGEIFS(Sentiment!$K:$K, Sentiment!$C:$C, $A16, Sentiment!$J:$J, "YES")
</f>
        <v>-0.6148148148</v>
      </c>
      <c r="M16" s="152">
        <v>-0.49</v>
      </c>
      <c r="N16" s="153">
        <f t="shared" ref="N16:N20" si="20">IF(M16&gt;0,1,0)</f>
        <v>0</v>
      </c>
      <c r="O16" s="139">
        <f>AVERAGEIFS(Sentiment!P:P, Sentiment!C:C, A16, Sentiment!J:J, "YES")
</f>
        <v>-0.637037037</v>
      </c>
      <c r="P16" s="152">
        <v>0.46</v>
      </c>
      <c r="Q16" s="154">
        <f t="shared" ref="Q16:Q20" si="21">IF(P16&gt;0,1,0)</f>
        <v>1</v>
      </c>
    </row>
    <row r="17">
      <c r="A17" s="130">
        <v>45307.0</v>
      </c>
      <c r="B17" s="143">
        <v>13.28</v>
      </c>
      <c r="C17" s="144">
        <f t="shared" ref="C17:C20" si="22">B17/B16-1</f>
        <v>0.003021148036</v>
      </c>
      <c r="D17" s="144">
        <f t="shared" si="17"/>
        <v>-0.01656626506</v>
      </c>
      <c r="E17" s="145">
        <f t="shared" si="18"/>
        <v>0</v>
      </c>
      <c r="F17" s="146">
        <v>9994.1</v>
      </c>
      <c r="G17" s="147">
        <f t="shared" ref="G17:G20" si="23">F17/F16-1</f>
        <v>-0.00821681271</v>
      </c>
      <c r="H17" s="147">
        <f t="shared" si="19"/>
        <v>-0.003928808961</v>
      </c>
      <c r="I17" s="148">
        <v>78.29</v>
      </c>
      <c r="J17" s="156">
        <f t="shared" ref="J17:J20" si="24">I17/I16-1</f>
        <v>0.001791426743</v>
      </c>
      <c r="K17" s="150" t="s">
        <v>27</v>
      </c>
      <c r="L17" s="151">
        <f>AVERAGEIFS(Sentiment!$K:$K, Sentiment!$C:$C, $A17, Sentiment!$J:$J, "YES")
</f>
        <v>0.18</v>
      </c>
      <c r="M17" s="151">
        <f>AVERAGEIFS(Sentiment!$K:$K, Sentiment!$C:$C, $A17, Sentiment!$J:$J, "YES")
</f>
        <v>0.18</v>
      </c>
      <c r="N17" s="157">
        <f t="shared" si="20"/>
        <v>1</v>
      </c>
      <c r="O17" s="151">
        <f>AVERAGEIFS(Sentiment!P:P, Sentiment!C:C, A17, Sentiment!J:J, "YES")
</f>
        <v>0.29</v>
      </c>
      <c r="P17" s="158">
        <v>0.2899999999999998</v>
      </c>
      <c r="Q17" s="159">
        <f t="shared" si="21"/>
        <v>1</v>
      </c>
    </row>
    <row r="18">
      <c r="A18" s="130">
        <v>45308.0</v>
      </c>
      <c r="B18" s="131">
        <v>13.06</v>
      </c>
      <c r="C18" s="132">
        <f t="shared" si="22"/>
        <v>-0.01656626506</v>
      </c>
      <c r="D18" s="132">
        <f t="shared" si="17"/>
        <v>0.01301684533</v>
      </c>
      <c r="E18" s="133">
        <f t="shared" si="18"/>
        <v>1</v>
      </c>
      <c r="F18" s="134">
        <v>9867.8</v>
      </c>
      <c r="G18" s="135">
        <f t="shared" si="23"/>
        <v>-0.0126374561</v>
      </c>
      <c r="H18" s="135">
        <f t="shared" si="19"/>
        <v>0.01175009894</v>
      </c>
      <c r="I18" s="136">
        <v>77.88</v>
      </c>
      <c r="J18" s="155">
        <f t="shared" si="24"/>
        <v>-0.005236939584</v>
      </c>
      <c r="K18" s="138" t="s">
        <v>27</v>
      </c>
      <c r="L18" s="139">
        <f>AVERAGEIFS(Sentiment!$K:$K, Sentiment!$C:$C, $A18, Sentiment!$J:$J, "YES")
</f>
        <v>0.4071428571</v>
      </c>
      <c r="M18" s="139">
        <f>AVERAGEIFS(Sentiment!$K:$K, Sentiment!$C:$C, $A18, Sentiment!$J:$J, "YES")
</f>
        <v>0.4071428571</v>
      </c>
      <c r="N18" s="140">
        <f t="shared" si="20"/>
        <v>1</v>
      </c>
      <c r="O18" s="139">
        <f>AVERAGEIFS(Sentiment!P:P, Sentiment!C:C, A18, Sentiment!J:J, "YES")
</f>
        <v>0.35</v>
      </c>
      <c r="P18" s="141">
        <v>0.35000000000000003</v>
      </c>
      <c r="Q18" s="142">
        <f t="shared" si="21"/>
        <v>1</v>
      </c>
    </row>
    <row r="19">
      <c r="A19" s="130">
        <v>45309.0</v>
      </c>
      <c r="B19" s="143">
        <v>13.23</v>
      </c>
      <c r="C19" s="144">
        <f t="shared" si="22"/>
        <v>0.01301684533</v>
      </c>
      <c r="D19" s="144">
        <f t="shared" si="17"/>
        <v>-0.01738473167</v>
      </c>
      <c r="E19" s="145">
        <f t="shared" si="18"/>
        <v>0</v>
      </c>
      <c r="F19" s="146">
        <v>9880.3</v>
      </c>
      <c r="G19" s="147">
        <f t="shared" si="23"/>
        <v>0.001266746387</v>
      </c>
      <c r="H19" s="147">
        <f t="shared" si="19"/>
        <v>-0.01515807863</v>
      </c>
      <c r="I19" s="148">
        <v>79.1</v>
      </c>
      <c r="J19" s="156">
        <f t="shared" si="24"/>
        <v>0.01566512583</v>
      </c>
      <c r="K19" s="150" t="s">
        <v>27</v>
      </c>
      <c r="L19" s="151">
        <f>AVERAGEIFS(Sentiment!$K:$K, Sentiment!$C:$C, $A19, Sentiment!$J:$J, "YES")
</f>
        <v>0.3333333333</v>
      </c>
      <c r="M19" s="151">
        <f>AVERAGEIFS(Sentiment!$K:$K, Sentiment!$C:$C, $A19, Sentiment!$J:$J, "YES")
</f>
        <v>0.3333333333</v>
      </c>
      <c r="N19" s="157">
        <f t="shared" si="20"/>
        <v>1</v>
      </c>
      <c r="O19" s="151">
        <f>AVERAGEIFS(Sentiment!P:P, Sentiment!C:C, A19, Sentiment!J:J, "YES")
</f>
        <v>0.2666666667</v>
      </c>
      <c r="P19" s="158">
        <v>0.2666666666666666</v>
      </c>
      <c r="Q19" s="159">
        <f t="shared" si="21"/>
        <v>1</v>
      </c>
    </row>
    <row r="20">
      <c r="A20" s="130">
        <v>45310.0</v>
      </c>
      <c r="B20" s="131">
        <v>13.0</v>
      </c>
      <c r="C20" s="132">
        <f t="shared" si="22"/>
        <v>-0.01738473167</v>
      </c>
      <c r="D20" s="132">
        <f>C23</f>
        <v>-0.001538461538</v>
      </c>
      <c r="E20" s="133">
        <f t="shared" si="18"/>
        <v>0</v>
      </c>
      <c r="F20" s="134">
        <v>9858.3</v>
      </c>
      <c r="G20" s="135">
        <f t="shared" si="23"/>
        <v>-0.002226653037</v>
      </c>
      <c r="H20" s="135">
        <f>D20-G23</f>
        <v>-0.01267628449</v>
      </c>
      <c r="I20" s="136">
        <v>78.56</v>
      </c>
      <c r="J20" s="155">
        <f t="shared" si="24"/>
        <v>-0.006826801517</v>
      </c>
      <c r="K20" s="138" t="s">
        <v>27</v>
      </c>
      <c r="L20" s="139">
        <f>AVERAGEIFS(Sentiment!$K:$K, Sentiment!$C:$C, $A20, Sentiment!$J:$J, "YES")
</f>
        <v>-0.1272727273</v>
      </c>
      <c r="M20" s="139">
        <f>AVERAGEIFS(Sentiment!$K:$K, Sentiment!$C:$C, $A20, Sentiment!$J:$J, "YES")
</f>
        <v>-0.1272727273</v>
      </c>
      <c r="N20" s="140">
        <f t="shared" si="20"/>
        <v>0</v>
      </c>
      <c r="O20" s="139">
        <f>AVERAGEIFS(Sentiment!P:P, Sentiment!C:C, A20, Sentiment!J:J, "YES")
</f>
        <v>-0.1</v>
      </c>
      <c r="P20" s="141">
        <v>-0.09999999999999996</v>
      </c>
      <c r="Q20" s="142">
        <f t="shared" si="21"/>
        <v>0</v>
      </c>
    </row>
    <row r="21">
      <c r="A21" s="130">
        <v>45311.0</v>
      </c>
      <c r="B21" s="143"/>
      <c r="C21" s="144"/>
      <c r="D21" s="144"/>
      <c r="E21" s="145"/>
      <c r="F21" s="146"/>
      <c r="G21" s="147"/>
      <c r="H21" s="147"/>
      <c r="I21" s="148"/>
      <c r="J21" s="160"/>
      <c r="K21" s="150"/>
      <c r="L21" s="151">
        <f>AVERAGEIFS(Sentiment!$K:$K, Sentiment!$C:$C, $A21, Sentiment!$J:$J, "YES")
</f>
        <v>-0.05</v>
      </c>
      <c r="M21" s="151"/>
      <c r="N21" s="157"/>
      <c r="O21" s="151">
        <f>AVERAGEIFS(Sentiment!P:P, Sentiment!C:C, A21, Sentiment!J:J, "YES")
</f>
        <v>-0.1</v>
      </c>
      <c r="P21" s="158"/>
      <c r="Q21" s="159"/>
    </row>
    <row r="22">
      <c r="A22" s="130">
        <v>45312.0</v>
      </c>
      <c r="B22" s="131"/>
      <c r="C22" s="132"/>
      <c r="D22" s="132"/>
      <c r="E22" s="133"/>
      <c r="F22" s="134"/>
      <c r="G22" s="135"/>
      <c r="H22" s="135"/>
      <c r="I22" s="136"/>
      <c r="J22" s="137"/>
      <c r="K22" s="138"/>
      <c r="L22" s="139">
        <f>AVERAGEIFS(Sentiment!$K:$K, Sentiment!$C:$C, $A22, Sentiment!$J:$J, "YES")
</f>
        <v>0.2</v>
      </c>
      <c r="M22" s="139"/>
      <c r="N22" s="140"/>
      <c r="O22" s="139">
        <f>AVERAGEIFS(Sentiment!P:P, Sentiment!C:C, A22, Sentiment!J:J, "YES")
</f>
        <v>0.1666666667</v>
      </c>
      <c r="P22" s="141"/>
      <c r="Q22" s="142"/>
    </row>
    <row r="23">
      <c r="A23" s="130">
        <v>45313.0</v>
      </c>
      <c r="B23" s="143">
        <v>12.98</v>
      </c>
      <c r="C23" s="144">
        <f>B23/B20-1</f>
        <v>-0.001538461538</v>
      </c>
      <c r="D23" s="144">
        <f t="shared" ref="D23:D26" si="25">C24</f>
        <v>-0.003081664099</v>
      </c>
      <c r="E23" s="145">
        <f t="shared" ref="E23:E27" si="26">IF(D23&gt;0,1,0)</f>
        <v>0</v>
      </c>
      <c r="F23" s="146">
        <v>9968.1</v>
      </c>
      <c r="G23" s="147">
        <f>F23/F20-1</f>
        <v>0.01113782295</v>
      </c>
      <c r="H23" s="147">
        <f t="shared" ref="H23:H26" si="27">D23-G24</f>
        <v>0.007843186174</v>
      </c>
      <c r="I23" s="148">
        <v>80.06</v>
      </c>
      <c r="J23" s="156">
        <f>I23/I20-1</f>
        <v>0.01909368635</v>
      </c>
      <c r="K23" s="150" t="s">
        <v>27</v>
      </c>
      <c r="L23" s="151">
        <f>AVERAGEIFS(Sentiment!$K:$K, Sentiment!$C:$C, $A23, Sentiment!$J:$J, "YES")
</f>
        <v>0.6</v>
      </c>
      <c r="M23" s="152">
        <v>0.44</v>
      </c>
      <c r="N23" s="153">
        <f t="shared" ref="N23:N27" si="28">IF(M23&gt;0,1,0)</f>
        <v>1</v>
      </c>
      <c r="O23" s="151">
        <f>AVERAGEIFS(Sentiment!P:P, Sentiment!C:C, A23, Sentiment!J:J, "YES")
</f>
        <v>0.6625</v>
      </c>
      <c r="P23" s="152">
        <v>0.43</v>
      </c>
      <c r="Q23" s="154">
        <f t="shared" ref="Q23:Q27" si="29">IF(P23&gt;0,1,0)</f>
        <v>1</v>
      </c>
    </row>
    <row r="24">
      <c r="A24" s="130">
        <v>45314.0</v>
      </c>
      <c r="B24" s="131">
        <v>12.94</v>
      </c>
      <c r="C24" s="132">
        <f t="shared" ref="C24:C27" si="30">B24/B23-1</f>
        <v>-0.003081664099</v>
      </c>
      <c r="D24" s="132">
        <f t="shared" si="25"/>
        <v>0.01622874807</v>
      </c>
      <c r="E24" s="133">
        <f t="shared" si="26"/>
        <v>1</v>
      </c>
      <c r="F24" s="134">
        <v>9859.2</v>
      </c>
      <c r="G24" s="135">
        <f t="shared" ref="G24:G27" si="31">F24/F23-1</f>
        <v>-0.01092485027</v>
      </c>
      <c r="H24" s="135">
        <f t="shared" si="27"/>
        <v>0.004584801297</v>
      </c>
      <c r="I24" s="136">
        <v>79.55</v>
      </c>
      <c r="J24" s="155">
        <f t="shared" ref="J24:J27" si="32">I24/I23-1</f>
        <v>-0.006370222333</v>
      </c>
      <c r="K24" s="138" t="s">
        <v>27</v>
      </c>
      <c r="L24" s="139">
        <f>AVERAGEIFS(Sentiment!$K:$K, Sentiment!$C:$C, $A24, Sentiment!$J:$J, "YES")
</f>
        <v>0.35</v>
      </c>
      <c r="M24" s="139">
        <f>AVERAGEIFS(Sentiment!$K:$K, Sentiment!$C:$C, $A24, Sentiment!$J:$J, "YES")
</f>
        <v>0.35</v>
      </c>
      <c r="N24" s="140">
        <f t="shared" si="28"/>
        <v>1</v>
      </c>
      <c r="O24" s="139">
        <f>AVERAGEIFS(Sentiment!P:P, Sentiment!C:C, A24, Sentiment!J:J, "YES")
</f>
        <v>0.3714285714</v>
      </c>
      <c r="P24" s="141">
        <v>0.37142857142857144</v>
      </c>
      <c r="Q24" s="142">
        <f t="shared" si="29"/>
        <v>1</v>
      </c>
    </row>
    <row r="25">
      <c r="A25" s="130">
        <v>45315.0</v>
      </c>
      <c r="B25" s="143">
        <v>13.15</v>
      </c>
      <c r="C25" s="144">
        <f t="shared" si="30"/>
        <v>0.01622874807</v>
      </c>
      <c r="D25" s="144">
        <f t="shared" si="25"/>
        <v>0.003802281369</v>
      </c>
      <c r="E25" s="145">
        <f t="shared" si="26"/>
        <v>1</v>
      </c>
      <c r="F25" s="146">
        <v>9974.0</v>
      </c>
      <c r="G25" s="147">
        <f t="shared" si="31"/>
        <v>0.01164394677</v>
      </c>
      <c r="H25" s="147">
        <f t="shared" si="27"/>
        <v>0.009557244272</v>
      </c>
      <c r="I25" s="148">
        <v>80.04</v>
      </c>
      <c r="J25" s="156">
        <f t="shared" si="32"/>
        <v>0.00615964802</v>
      </c>
      <c r="K25" s="150" t="s">
        <v>27</v>
      </c>
      <c r="L25" s="151">
        <f>AVERAGEIFS(Sentiment!$K:$K, Sentiment!$C:$C, $A25, Sentiment!$J:$J, "YES")
</f>
        <v>0.6428571429</v>
      </c>
      <c r="M25" s="151">
        <f>AVERAGEIFS(Sentiment!$K:$K, Sentiment!$C:$C, $A25, Sentiment!$J:$J, "YES")
</f>
        <v>0.6428571429</v>
      </c>
      <c r="N25" s="157">
        <f t="shared" si="28"/>
        <v>1</v>
      </c>
      <c r="O25" s="151">
        <f>AVERAGEIFS(Sentiment!P:P, Sentiment!C:C, A25, Sentiment!J:J, "YES")
</f>
        <v>0.6857142857</v>
      </c>
      <c r="P25" s="158">
        <v>0.6857142857142857</v>
      </c>
      <c r="Q25" s="159">
        <f t="shared" si="29"/>
        <v>1</v>
      </c>
    </row>
    <row r="26">
      <c r="A26" s="130">
        <v>45316.0</v>
      </c>
      <c r="B26" s="131">
        <v>13.2</v>
      </c>
      <c r="C26" s="132">
        <f t="shared" si="30"/>
        <v>0.003802281369</v>
      </c>
      <c r="D26" s="132">
        <f t="shared" si="25"/>
        <v>0.01893939394</v>
      </c>
      <c r="E26" s="133">
        <f t="shared" si="26"/>
        <v>1</v>
      </c>
      <c r="F26" s="134">
        <v>9916.6</v>
      </c>
      <c r="G26" s="135">
        <f t="shared" si="31"/>
        <v>-0.005754962904</v>
      </c>
      <c r="H26" s="135">
        <f t="shared" si="27"/>
        <v>0.01692257366</v>
      </c>
      <c r="I26" s="136">
        <v>82.43</v>
      </c>
      <c r="J26" s="155">
        <f t="shared" si="32"/>
        <v>0.02986006997</v>
      </c>
      <c r="K26" s="138" t="s">
        <v>27</v>
      </c>
      <c r="L26" s="139">
        <f>AVERAGEIFS(Sentiment!$K:$K, Sentiment!$C:$C, $A26, Sentiment!$J:$J, "YES")
</f>
        <v>0.01111111111</v>
      </c>
      <c r="M26" s="139">
        <f>AVERAGEIFS(Sentiment!$K:$K, Sentiment!$C:$C, $A26, Sentiment!$J:$J, "YES")
</f>
        <v>0.01111111111</v>
      </c>
      <c r="N26" s="140">
        <f t="shared" si="28"/>
        <v>1</v>
      </c>
      <c r="O26" s="139">
        <f>AVERAGEIFS(Sentiment!P:P, Sentiment!C:C, A26, Sentiment!J:J, "YES")
</f>
        <v>-0.03333333333</v>
      </c>
      <c r="P26" s="141">
        <v>-0.03333333333333331</v>
      </c>
      <c r="Q26" s="142">
        <f t="shared" si="29"/>
        <v>0</v>
      </c>
    </row>
    <row r="27">
      <c r="A27" s="130">
        <v>45317.0</v>
      </c>
      <c r="B27" s="143">
        <v>13.45</v>
      </c>
      <c r="C27" s="144">
        <f t="shared" si="30"/>
        <v>0.01893939394</v>
      </c>
      <c r="D27" s="144">
        <f>C30</f>
        <v>0.01635687732</v>
      </c>
      <c r="E27" s="145">
        <f t="shared" si="26"/>
        <v>1</v>
      </c>
      <c r="F27" s="146">
        <v>9936.6</v>
      </c>
      <c r="G27" s="147">
        <f t="shared" si="31"/>
        <v>0.002016820281</v>
      </c>
      <c r="H27" s="147">
        <f>D27-G30</f>
        <v>0.02101641882</v>
      </c>
      <c r="I27" s="148">
        <v>83.55</v>
      </c>
      <c r="J27" s="156">
        <f t="shared" si="32"/>
        <v>0.01358728618</v>
      </c>
      <c r="K27" s="150" t="s">
        <v>27</v>
      </c>
      <c r="L27" s="151">
        <f>AVERAGEIFS(Sentiment!$K:$K, Sentiment!$C:$C, $A27, Sentiment!$J:$J, "YES")
</f>
        <v>-0.12</v>
      </c>
      <c r="M27" s="151">
        <f>AVERAGEIFS(Sentiment!$K:$K, Sentiment!$C:$C, $A27, Sentiment!$J:$J, "YES")
</f>
        <v>-0.12</v>
      </c>
      <c r="N27" s="157">
        <f t="shared" si="28"/>
        <v>0</v>
      </c>
      <c r="O27" s="151">
        <f>AVERAGEIFS(Sentiment!P:P, Sentiment!C:C, A27, Sentiment!J:J, "YES")
</f>
        <v>-0.04</v>
      </c>
      <c r="P27" s="158">
        <v>-0.039999999999999994</v>
      </c>
      <c r="Q27" s="159">
        <f t="shared" si="29"/>
        <v>0</v>
      </c>
    </row>
    <row r="28">
      <c r="A28" s="130">
        <v>45318.0</v>
      </c>
      <c r="B28" s="131"/>
      <c r="C28" s="132"/>
      <c r="D28" s="132"/>
      <c r="E28" s="133"/>
      <c r="F28" s="134"/>
      <c r="G28" s="135"/>
      <c r="H28" s="135"/>
      <c r="I28" s="136"/>
      <c r="J28" s="137"/>
      <c r="K28" s="138"/>
      <c r="L28" s="139">
        <f>AVERAGEIFS(Sentiment!$K:$K, Sentiment!$C:$C, $A28, Sentiment!$J:$J, "YES")
</f>
        <v>0.7</v>
      </c>
      <c r="M28" s="139"/>
      <c r="N28" s="140"/>
      <c r="O28" s="139">
        <f>AVERAGEIFS(Sentiment!P:P, Sentiment!C:C, A28, Sentiment!J:J, "YES")
</f>
        <v>0.9</v>
      </c>
      <c r="P28" s="141"/>
      <c r="Q28" s="142"/>
    </row>
    <row r="29">
      <c r="A29" s="130">
        <v>45319.0</v>
      </c>
      <c r="B29" s="143"/>
      <c r="C29" s="144"/>
      <c r="D29" s="144"/>
      <c r="E29" s="145"/>
      <c r="F29" s="146"/>
      <c r="G29" s="147"/>
      <c r="H29" s="147"/>
      <c r="I29" s="148"/>
      <c r="J29" s="160"/>
      <c r="K29" s="150"/>
      <c r="L29" s="151">
        <f>AVERAGEIFS(Sentiment!$K:$K, Sentiment!$C:$C, $A29, Sentiment!$J:$J, "YES")
</f>
        <v>0.12</v>
      </c>
      <c r="M29" s="151"/>
      <c r="N29" s="157"/>
      <c r="O29" s="151">
        <f>AVERAGEIFS(Sentiment!P:P, Sentiment!C:C, A29, Sentiment!J:J, "YES")
</f>
        <v>0</v>
      </c>
      <c r="P29" s="158"/>
      <c r="Q29" s="159"/>
    </row>
    <row r="30">
      <c r="A30" s="130">
        <v>45320.0</v>
      </c>
      <c r="B30" s="131">
        <v>13.67</v>
      </c>
      <c r="C30" s="132">
        <f>B30/B27-1</f>
        <v>0.01635687732</v>
      </c>
      <c r="D30" s="132">
        <f t="shared" ref="D30:D33" si="33">C31</f>
        <v>0</v>
      </c>
      <c r="E30" s="133">
        <f t="shared" ref="E30:E34" si="34">IF(D30&gt;0,1,0)</f>
        <v>0</v>
      </c>
      <c r="F30" s="134">
        <v>9890.3</v>
      </c>
      <c r="G30" s="135">
        <f>F30/F27-1</f>
        <v>-0.004659541493</v>
      </c>
      <c r="H30" s="135">
        <f t="shared" ref="H30:H33" si="35">D30-G31</f>
        <v>-0.01506526597</v>
      </c>
      <c r="I30" s="136">
        <v>82.4</v>
      </c>
      <c r="J30" s="155">
        <f>I30/I27-1</f>
        <v>-0.01376421305</v>
      </c>
      <c r="K30" s="138" t="s">
        <v>27</v>
      </c>
      <c r="L30" s="139">
        <f>AVERAGEIFS(Sentiment!$K:$K, Sentiment!$C:$C, $A30, Sentiment!$J:$J, "YES")
</f>
        <v>-0.3</v>
      </c>
      <c r="M30" s="152">
        <v>-0.13</v>
      </c>
      <c r="N30" s="153">
        <f t="shared" ref="N30:N34" si="36">IF(M30&gt;0,1,0)</f>
        <v>0</v>
      </c>
      <c r="O30" s="139">
        <f>AVERAGEIFS(Sentiment!P:P, Sentiment!C:C, A30, Sentiment!J:J, "YES")
</f>
        <v>-0.3</v>
      </c>
      <c r="P30" s="152">
        <v>0.13</v>
      </c>
      <c r="Q30" s="154">
        <f t="shared" ref="Q30:Q34" si="37">IF(P30&gt;0,1,0)</f>
        <v>1</v>
      </c>
    </row>
    <row r="31">
      <c r="A31" s="130">
        <v>45321.0</v>
      </c>
      <c r="B31" s="143">
        <v>13.67</v>
      </c>
      <c r="C31" s="144">
        <f t="shared" ref="C31:C34" si="38">B31/B30-1</f>
        <v>0</v>
      </c>
      <c r="D31" s="144">
        <f t="shared" si="33"/>
        <v>0.005120702268</v>
      </c>
      <c r="E31" s="145">
        <f t="shared" si="34"/>
        <v>1</v>
      </c>
      <c r="F31" s="146">
        <v>10039.3</v>
      </c>
      <c r="G31" s="147">
        <f t="shared" ref="G31:G34" si="39">F31/F30-1</f>
        <v>0.01506526597</v>
      </c>
      <c r="H31" s="147">
        <f t="shared" si="35"/>
        <v>0.001295734391</v>
      </c>
      <c r="I31" s="148">
        <v>82.87</v>
      </c>
      <c r="J31" s="156">
        <f t="shared" ref="J31:J34" si="40">I31/I30-1</f>
        <v>0.005703883495</v>
      </c>
      <c r="K31" s="150" t="s">
        <v>27</v>
      </c>
      <c r="L31" s="151">
        <f>AVERAGEIFS(Sentiment!$K:$K, Sentiment!$C:$C, $A31, Sentiment!$J:$J, "YES")
</f>
        <v>0.5363636364</v>
      </c>
      <c r="M31" s="151">
        <f>AVERAGEIFS(Sentiment!$K:$K, Sentiment!$C:$C, $A31, Sentiment!$J:$J, "YES")
</f>
        <v>0.5363636364</v>
      </c>
      <c r="N31" s="157">
        <f t="shared" si="36"/>
        <v>1</v>
      </c>
      <c r="O31" s="151">
        <f>AVERAGEIFS(Sentiment!P:P, Sentiment!C:C, A31, Sentiment!J:J, "YES")
</f>
        <v>0.3181818182</v>
      </c>
      <c r="P31" s="158">
        <v>0.3181818181818182</v>
      </c>
      <c r="Q31" s="159">
        <f t="shared" si="37"/>
        <v>1</v>
      </c>
    </row>
    <row r="32">
      <c r="A32" s="130">
        <v>45322.0</v>
      </c>
      <c r="B32" s="131">
        <v>13.74</v>
      </c>
      <c r="C32" s="132">
        <f t="shared" si="38"/>
        <v>0.005120702268</v>
      </c>
      <c r="D32" s="132">
        <f t="shared" si="33"/>
        <v>0.009461426492</v>
      </c>
      <c r="E32" s="133">
        <f t="shared" si="34"/>
        <v>1</v>
      </c>
      <c r="F32" s="134">
        <v>10077.7</v>
      </c>
      <c r="G32" s="135">
        <f t="shared" si="39"/>
        <v>0.003824967876</v>
      </c>
      <c r="H32" s="135">
        <f t="shared" si="35"/>
        <v>0.0157823132</v>
      </c>
      <c r="I32" s="136">
        <v>81.71</v>
      </c>
      <c r="J32" s="155">
        <f t="shared" si="40"/>
        <v>-0.01399782792</v>
      </c>
      <c r="K32" s="138" t="s">
        <v>27</v>
      </c>
      <c r="L32" s="139">
        <f>AVERAGEIFS(Sentiment!$K:$K, Sentiment!$C:$C, $A32, Sentiment!$J:$J, "YES")
</f>
        <v>0.3166666667</v>
      </c>
      <c r="M32" s="139">
        <f>AVERAGEIFS(Sentiment!$K:$K, Sentiment!$C:$C, $A32, Sentiment!$J:$J, "YES")
</f>
        <v>0.3166666667</v>
      </c>
      <c r="N32" s="140">
        <f t="shared" si="36"/>
        <v>1</v>
      </c>
      <c r="O32" s="139">
        <f>AVERAGEIFS(Sentiment!P:P, Sentiment!C:C, A32, Sentiment!J:J, "YES")
</f>
        <v>0.1166666667</v>
      </c>
      <c r="P32" s="141">
        <v>0.11666666666666665</v>
      </c>
      <c r="Q32" s="142">
        <f t="shared" si="37"/>
        <v>1</v>
      </c>
    </row>
    <row r="33">
      <c r="A33" s="130">
        <v>45323.0</v>
      </c>
      <c r="B33" s="143">
        <v>13.87</v>
      </c>
      <c r="C33" s="144">
        <f t="shared" si="38"/>
        <v>0.009461426492</v>
      </c>
      <c r="D33" s="144">
        <f t="shared" si="33"/>
        <v>-0.02451333814</v>
      </c>
      <c r="E33" s="145">
        <f t="shared" si="34"/>
        <v>0</v>
      </c>
      <c r="F33" s="146">
        <v>10014.0</v>
      </c>
      <c r="G33" s="147">
        <f t="shared" si="39"/>
        <v>-0.00632088671</v>
      </c>
      <c r="H33" s="147">
        <f t="shared" si="35"/>
        <v>-0.02935655763</v>
      </c>
      <c r="I33" s="148">
        <v>78.7</v>
      </c>
      <c r="J33" s="156">
        <f t="shared" si="40"/>
        <v>-0.03683759638</v>
      </c>
      <c r="K33" s="150" t="s">
        <v>27</v>
      </c>
      <c r="L33" s="151">
        <f>AVERAGEIFS(Sentiment!$K:$K, Sentiment!$C:$C, $A33, Sentiment!$J:$J, "YES")
</f>
        <v>0.675</v>
      </c>
      <c r="M33" s="151">
        <f>AVERAGEIFS(Sentiment!$K:$K, Sentiment!$C:$C, $A33, Sentiment!$J:$J, "YES")
</f>
        <v>0.675</v>
      </c>
      <c r="N33" s="157">
        <f t="shared" si="36"/>
        <v>1</v>
      </c>
      <c r="O33" s="151">
        <f>AVERAGEIFS(Sentiment!P:P, Sentiment!C:C, A33, Sentiment!J:J, "YES")
</f>
        <v>0.6</v>
      </c>
      <c r="P33" s="158">
        <v>0.6</v>
      </c>
      <c r="Q33" s="159">
        <f t="shared" si="37"/>
        <v>1</v>
      </c>
    </row>
    <row r="34">
      <c r="A34" s="130">
        <v>45324.0</v>
      </c>
      <c r="B34" s="131">
        <v>13.53</v>
      </c>
      <c r="C34" s="132">
        <f t="shared" si="38"/>
        <v>-0.02451333814</v>
      </c>
      <c r="D34" s="132">
        <f>C37</f>
        <v>-0.0162601626</v>
      </c>
      <c r="E34" s="133">
        <f t="shared" si="34"/>
        <v>0</v>
      </c>
      <c r="F34" s="134">
        <v>10062.5</v>
      </c>
      <c r="G34" s="135">
        <f t="shared" si="39"/>
        <v>0.004843219493</v>
      </c>
      <c r="H34" s="135">
        <f>D34-G37</f>
        <v>-0.004215442105</v>
      </c>
      <c r="I34" s="136">
        <v>77.33</v>
      </c>
      <c r="J34" s="155">
        <f t="shared" si="40"/>
        <v>-0.01740787802</v>
      </c>
      <c r="K34" s="138" t="s">
        <v>27</v>
      </c>
      <c r="L34" s="139">
        <f>AVERAGEIFS(Sentiment!$K:$K, Sentiment!$C:$C, $A34, Sentiment!$J:$J, "YES")
</f>
        <v>0.3142857143</v>
      </c>
      <c r="M34" s="139">
        <f>AVERAGEIFS(Sentiment!$K:$K, Sentiment!$C:$C, $A34, Sentiment!$J:$J, "YES")
</f>
        <v>0.3142857143</v>
      </c>
      <c r="N34" s="140">
        <f t="shared" si="36"/>
        <v>1</v>
      </c>
      <c r="O34" s="139">
        <f>AVERAGEIFS(Sentiment!P:P, Sentiment!C:C, A34, Sentiment!J:J, "YES")
</f>
        <v>0.5428571429</v>
      </c>
      <c r="P34" s="141">
        <v>0.5428571428571428</v>
      </c>
      <c r="Q34" s="142">
        <f t="shared" si="37"/>
        <v>1</v>
      </c>
    </row>
    <row r="35">
      <c r="A35" s="130">
        <v>45325.0</v>
      </c>
      <c r="B35" s="143"/>
      <c r="C35" s="144"/>
      <c r="D35" s="144"/>
      <c r="E35" s="145"/>
      <c r="F35" s="146"/>
      <c r="G35" s="147"/>
      <c r="H35" s="147"/>
      <c r="I35" s="148"/>
      <c r="J35" s="160"/>
      <c r="K35" s="150" t="s">
        <v>27</v>
      </c>
      <c r="L35" s="151">
        <f>AVERAGEIFS(Sentiment!$K:$K, Sentiment!$C:$C, $A35, Sentiment!$J:$J, "YES")
</f>
        <v>0.25</v>
      </c>
      <c r="M35" s="151"/>
      <c r="N35" s="157"/>
      <c r="O35" s="151">
        <f>AVERAGEIFS(Sentiment!P:P, Sentiment!C:C, A35, Sentiment!J:J, "YES")
</f>
        <v>0.35</v>
      </c>
      <c r="P35" s="158"/>
      <c r="Q35" s="159"/>
    </row>
    <row r="36">
      <c r="A36" s="130">
        <v>45326.0</v>
      </c>
      <c r="B36" s="131"/>
      <c r="C36" s="132"/>
      <c r="D36" s="132"/>
      <c r="E36" s="133"/>
      <c r="F36" s="134"/>
      <c r="G36" s="135"/>
      <c r="H36" s="135"/>
      <c r="I36" s="136"/>
      <c r="J36" s="137"/>
      <c r="K36" s="138" t="s">
        <v>27</v>
      </c>
      <c r="L36" s="139">
        <f>AVERAGEIFS(Sentiment!$K:$K, Sentiment!$C:$C, $A36, Sentiment!$J:$J, "YES")
</f>
        <v>0.2</v>
      </c>
      <c r="M36" s="139"/>
      <c r="N36" s="140"/>
      <c r="O36" s="139">
        <f>AVERAGEIFS(Sentiment!P:P, Sentiment!C:C, A36, Sentiment!J:J, "YES")
</f>
        <v>0.3</v>
      </c>
      <c r="P36" s="141"/>
      <c r="Q36" s="142"/>
    </row>
    <row r="37">
      <c r="A37" s="130">
        <v>45327.0</v>
      </c>
      <c r="B37" s="143">
        <v>13.31</v>
      </c>
      <c r="C37" s="144">
        <f>B37/B34-1</f>
        <v>-0.0162601626</v>
      </c>
      <c r="D37" s="144">
        <f t="shared" ref="D37:D40" si="41">C38</f>
        <v>0.01803155522</v>
      </c>
      <c r="E37" s="145">
        <f t="shared" ref="E37:E41" si="42">IF(D37&gt;0,1,0)</f>
        <v>1</v>
      </c>
      <c r="F37" s="146">
        <v>9941.3</v>
      </c>
      <c r="G37" s="147">
        <f>F37/F34-1</f>
        <v>-0.0120447205</v>
      </c>
      <c r="H37" s="147">
        <f t="shared" ref="H37:H40" si="43">D37-G38</f>
        <v>0.01182512347</v>
      </c>
      <c r="I37" s="148">
        <v>77.99</v>
      </c>
      <c r="J37" s="156">
        <f>I37/I34-1</f>
        <v>0.00853485064</v>
      </c>
      <c r="K37" s="150" t="s">
        <v>27</v>
      </c>
      <c r="L37" s="151">
        <f>AVERAGEIFS(Sentiment!$K:$K, Sentiment!$C:$C, $A37, Sentiment!$J:$J, "YES")
</f>
        <v>0.06666666667</v>
      </c>
      <c r="M37" s="152">
        <v>0.16</v>
      </c>
      <c r="N37" s="153">
        <f t="shared" ref="N37:N41" si="44">IF(M37&gt;0,1,0)</f>
        <v>1</v>
      </c>
      <c r="O37" s="151">
        <f>AVERAGEIFS(Sentiment!P:P, Sentiment!C:C, A37, Sentiment!J:J, "YES")
</f>
        <v>0.1333333333</v>
      </c>
      <c r="P37" s="152">
        <v>0.25</v>
      </c>
      <c r="Q37" s="154">
        <f t="shared" ref="Q37:Q41" si="45">IF(P37&gt;0,1,0)</f>
        <v>1</v>
      </c>
      <c r="R37" s="161"/>
    </row>
    <row r="38">
      <c r="A38" s="130">
        <v>45328.0</v>
      </c>
      <c r="B38" s="131">
        <v>13.55</v>
      </c>
      <c r="C38" s="132">
        <f t="shared" ref="C38:C41" si="46">B38/B37-1</f>
        <v>0.01803155522</v>
      </c>
      <c r="D38" s="132">
        <f t="shared" si="41"/>
        <v>-0.0007380073801</v>
      </c>
      <c r="E38" s="133">
        <f t="shared" si="42"/>
        <v>0</v>
      </c>
      <c r="F38" s="134">
        <v>10003.0</v>
      </c>
      <c r="G38" s="135">
        <f t="shared" ref="G38:G41" si="47">F38/F37-1</f>
        <v>0.006206431754</v>
      </c>
      <c r="H38" s="135">
        <f t="shared" si="43"/>
        <v>0.01073854965</v>
      </c>
      <c r="I38" s="136">
        <v>78.59</v>
      </c>
      <c r="J38" s="155">
        <f t="shared" ref="J38:J41" si="48">I38/I37-1</f>
        <v>0.007693294012</v>
      </c>
      <c r="K38" s="138" t="s">
        <v>27</v>
      </c>
      <c r="L38" s="139">
        <f>AVERAGEIFS(Sentiment!$K:$K, Sentiment!$C:$C, $A38, Sentiment!$J:$J, "YES")
</f>
        <v>0.475</v>
      </c>
      <c r="M38" s="139">
        <f>AVERAGEIFS(Sentiment!$K:$K, Sentiment!$C:$C, $A38, Sentiment!$J:$J, "YES")
</f>
        <v>0.475</v>
      </c>
      <c r="N38" s="140">
        <f t="shared" si="44"/>
        <v>1</v>
      </c>
      <c r="O38" s="139">
        <f>AVERAGEIFS(Sentiment!P:P, Sentiment!C:C, A38, Sentiment!J:J, "YES")
</f>
        <v>0.65</v>
      </c>
      <c r="P38" s="141">
        <v>0.6499999999999999</v>
      </c>
      <c r="Q38" s="142">
        <f t="shared" si="45"/>
        <v>1</v>
      </c>
    </row>
    <row r="39">
      <c r="A39" s="130">
        <v>45329.0</v>
      </c>
      <c r="B39" s="143">
        <v>13.54</v>
      </c>
      <c r="C39" s="144">
        <f t="shared" si="46"/>
        <v>-0.0007380073801</v>
      </c>
      <c r="D39" s="144">
        <f t="shared" si="41"/>
        <v>0.01329394387</v>
      </c>
      <c r="E39" s="145">
        <f t="shared" si="42"/>
        <v>1</v>
      </c>
      <c r="F39" s="146">
        <v>9888.2</v>
      </c>
      <c r="G39" s="147">
        <f t="shared" si="47"/>
        <v>-0.01147655703</v>
      </c>
      <c r="H39" s="147">
        <f t="shared" si="43"/>
        <v>0.01155449685</v>
      </c>
      <c r="I39" s="148">
        <v>79.21</v>
      </c>
      <c r="J39" s="156">
        <f t="shared" si="48"/>
        <v>0.007889044408</v>
      </c>
      <c r="K39" s="150" t="s">
        <v>27</v>
      </c>
      <c r="L39" s="151">
        <f>AVERAGEIFS(Sentiment!$K:$K, Sentiment!$C:$C, $A39, Sentiment!$J:$J, "YES")
</f>
        <v>0.6555555556</v>
      </c>
      <c r="M39" s="151">
        <f>AVERAGEIFS(Sentiment!$K:$K, Sentiment!$C:$C, $A39, Sentiment!$J:$J, "YES")
</f>
        <v>0.6555555556</v>
      </c>
      <c r="N39" s="157">
        <f t="shared" si="44"/>
        <v>1</v>
      </c>
      <c r="O39" s="151">
        <f>AVERAGEIFS(Sentiment!P:P, Sentiment!C:C, A39, Sentiment!J:J, "YES")
</f>
        <v>0.5</v>
      </c>
      <c r="P39" s="158">
        <v>0.5</v>
      </c>
      <c r="Q39" s="159">
        <f t="shared" si="45"/>
        <v>1</v>
      </c>
    </row>
    <row r="40">
      <c r="A40" s="130">
        <v>45330.0</v>
      </c>
      <c r="B40" s="131">
        <v>13.72</v>
      </c>
      <c r="C40" s="132">
        <f t="shared" si="46"/>
        <v>0.01329394387</v>
      </c>
      <c r="D40" s="132">
        <f t="shared" si="41"/>
        <v>0.005102040816</v>
      </c>
      <c r="E40" s="133">
        <f t="shared" si="42"/>
        <v>1</v>
      </c>
      <c r="F40" s="134">
        <v>9905.4</v>
      </c>
      <c r="G40" s="135">
        <f t="shared" si="47"/>
        <v>0.001739447018</v>
      </c>
      <c r="H40" s="135">
        <f t="shared" si="43"/>
        <v>0.005990445121</v>
      </c>
      <c r="I40" s="136">
        <v>81.63</v>
      </c>
      <c r="J40" s="155">
        <f t="shared" si="48"/>
        <v>0.03055169802</v>
      </c>
      <c r="K40" s="138" t="s">
        <v>27</v>
      </c>
      <c r="L40" s="139">
        <f>AVERAGEIFS(Sentiment!$K:$K, Sentiment!$C:$C, $A40, Sentiment!$J:$J, "YES")
</f>
        <v>0.7</v>
      </c>
      <c r="M40" s="139">
        <f>AVERAGEIFS(Sentiment!$K:$K, Sentiment!$C:$C, $A40, Sentiment!$J:$J, "YES")
</f>
        <v>0.7</v>
      </c>
      <c r="N40" s="140">
        <f t="shared" si="44"/>
        <v>1</v>
      </c>
      <c r="O40" s="139">
        <f>AVERAGEIFS(Sentiment!P:P, Sentiment!C:C, A40, Sentiment!J:J, "YES")
</f>
        <v>0.65</v>
      </c>
      <c r="P40" s="141">
        <v>0.6499999999999999</v>
      </c>
      <c r="Q40" s="142">
        <f t="shared" si="45"/>
        <v>1</v>
      </c>
    </row>
    <row r="41">
      <c r="A41" s="130">
        <v>45331.0</v>
      </c>
      <c r="B41" s="143">
        <v>13.79</v>
      </c>
      <c r="C41" s="144">
        <f t="shared" si="46"/>
        <v>0.005102040816</v>
      </c>
      <c r="D41" s="144">
        <f>C44</f>
        <v>0.01160261059</v>
      </c>
      <c r="E41" s="145">
        <f t="shared" si="42"/>
        <v>1</v>
      </c>
      <c r="F41" s="146">
        <v>9896.6</v>
      </c>
      <c r="G41" s="147">
        <f t="shared" si="47"/>
        <v>-0.0008884043047</v>
      </c>
      <c r="H41" s="147">
        <f>D41-G44</f>
        <v>0.00270056342</v>
      </c>
      <c r="I41" s="148">
        <v>82.19</v>
      </c>
      <c r="J41" s="156">
        <f t="shared" si="48"/>
        <v>0.006860222957</v>
      </c>
      <c r="K41" s="150" t="s">
        <v>27</v>
      </c>
      <c r="L41" s="151">
        <f>AVERAGEIFS(Sentiment!$K:$K, Sentiment!$C:$C, $A41, Sentiment!$J:$J, "YES")
</f>
        <v>0.5272727273</v>
      </c>
      <c r="M41" s="151">
        <f>AVERAGEIFS(Sentiment!$K:$K, Sentiment!$C:$C, $A41, Sentiment!$J:$J, "YES")
</f>
        <v>0.5272727273</v>
      </c>
      <c r="N41" s="157">
        <f t="shared" si="44"/>
        <v>1</v>
      </c>
      <c r="O41" s="151">
        <f>AVERAGEIFS(Sentiment!P:P, Sentiment!C:C, A41, Sentiment!J:J, "YES")
</f>
        <v>0.5727272727</v>
      </c>
      <c r="P41" s="158">
        <v>0.5727272727272726</v>
      </c>
      <c r="Q41" s="159">
        <f t="shared" si="45"/>
        <v>1</v>
      </c>
    </row>
    <row r="42">
      <c r="A42" s="130">
        <v>45332.0</v>
      </c>
      <c r="B42" s="131"/>
      <c r="C42" s="132"/>
      <c r="D42" s="132"/>
      <c r="E42" s="133"/>
      <c r="F42" s="134"/>
      <c r="G42" s="135"/>
      <c r="H42" s="135"/>
      <c r="I42" s="136"/>
      <c r="J42" s="137"/>
      <c r="K42" s="138" t="s">
        <v>27</v>
      </c>
      <c r="L42" s="139">
        <f>AVERAGEIFS(Sentiment!$K:$K, Sentiment!$C:$C, $A42, Sentiment!$J:$J, "YES")
</f>
        <v>0.6</v>
      </c>
      <c r="M42" s="139"/>
      <c r="N42" s="140"/>
      <c r="O42" s="139">
        <f>AVERAGEIFS(Sentiment!P:P, Sentiment!C:C, A42, Sentiment!J:J, "YES")
</f>
        <v>0.6</v>
      </c>
      <c r="P42" s="141"/>
      <c r="Q42" s="142"/>
    </row>
    <row r="43">
      <c r="A43" s="130">
        <v>45333.0</v>
      </c>
      <c r="B43" s="143"/>
      <c r="C43" s="144"/>
      <c r="D43" s="144"/>
      <c r="E43" s="145"/>
      <c r="F43" s="146"/>
      <c r="G43" s="147"/>
      <c r="H43" s="147"/>
      <c r="I43" s="148"/>
      <c r="J43" s="160"/>
      <c r="K43" s="150" t="s">
        <v>27</v>
      </c>
      <c r="L43" s="151">
        <f>AVERAGEIFS(Sentiment!$K:$K, Sentiment!$C:$C, $A43, Sentiment!$J:$J, "YES")
</f>
        <v>0.65</v>
      </c>
      <c r="M43" s="151"/>
      <c r="N43" s="157"/>
      <c r="O43" s="151">
        <f>AVERAGEIFS(Sentiment!P:P, Sentiment!C:C, A43, Sentiment!J:J, "YES")
</f>
        <v>0.4</v>
      </c>
      <c r="P43" s="158"/>
      <c r="Q43" s="159"/>
    </row>
    <row r="44">
      <c r="A44" s="130">
        <v>45334.0</v>
      </c>
      <c r="B44" s="131">
        <v>13.95</v>
      </c>
      <c r="C44" s="132">
        <f>B44/B41-1</f>
        <v>0.01160261059</v>
      </c>
      <c r="D44" s="132">
        <f t="shared" ref="D44:D47" si="49">C45</f>
        <v>0.004301075269</v>
      </c>
      <c r="E44" s="133">
        <f t="shared" ref="E44:E48" si="50">IF(D44&gt;0,1,0)</f>
        <v>1</v>
      </c>
      <c r="F44" s="134">
        <v>9984.7</v>
      </c>
      <c r="G44" s="135">
        <f>F44/F41-1</f>
        <v>0.008902047168</v>
      </c>
      <c r="H44" s="135">
        <f t="shared" ref="H44:H47" si="51">D44-G45</f>
        <v>0.01024016207</v>
      </c>
      <c r="I44" s="136">
        <v>82.0</v>
      </c>
      <c r="J44" s="155">
        <f>I44/I41-1</f>
        <v>-0.002311716754</v>
      </c>
      <c r="K44" s="138" t="s">
        <v>27</v>
      </c>
      <c r="L44" s="139">
        <f>AVERAGEIFS(Sentiment!$K:$K, Sentiment!$C:$C, $A44, Sentiment!$J:$J, "YES")
</f>
        <v>0.01666666667</v>
      </c>
      <c r="M44" s="152">
        <v>0.22</v>
      </c>
      <c r="N44" s="153">
        <f t="shared" ref="N44:N48" si="52">IF(M44&gt;0,1,0)</f>
        <v>1</v>
      </c>
      <c r="O44" s="139">
        <f>AVERAGEIFS(Sentiment!P:P, Sentiment!C:C, A44, Sentiment!J:J, "YES")
</f>
        <v>0.03333333333</v>
      </c>
      <c r="P44" s="152">
        <v>0.18</v>
      </c>
      <c r="Q44" s="154">
        <f t="shared" ref="Q44:Q48" si="53">IF(P44&gt;0,1,0)</f>
        <v>1</v>
      </c>
    </row>
    <row r="45">
      <c r="A45" s="130">
        <v>45335.0</v>
      </c>
      <c r="B45" s="143">
        <v>14.01</v>
      </c>
      <c r="C45" s="144">
        <f t="shared" ref="C45:C48" si="54">B45/B44-1</f>
        <v>0.004301075269</v>
      </c>
      <c r="D45" s="144">
        <f t="shared" si="49"/>
        <v>-0.009279086367</v>
      </c>
      <c r="E45" s="145">
        <f t="shared" si="50"/>
        <v>0</v>
      </c>
      <c r="F45" s="146">
        <v>9925.4</v>
      </c>
      <c r="G45" s="147">
        <f t="shared" ref="G45:G48" si="55">F45/F44-1</f>
        <v>-0.005939086803</v>
      </c>
      <c r="H45" s="147">
        <f t="shared" si="51"/>
        <v>-0.008392472225</v>
      </c>
      <c r="I45" s="148">
        <v>82.77</v>
      </c>
      <c r="J45" s="156">
        <f t="shared" ref="J45:J48" si="56">I45/I44-1</f>
        <v>0.009390243902</v>
      </c>
      <c r="K45" s="150" t="s">
        <v>27</v>
      </c>
      <c r="L45" s="151">
        <f>AVERAGEIFS(Sentiment!$K:$K, Sentiment!$C:$C, $A45, Sentiment!$J:$J, "YES")
</f>
        <v>0.024</v>
      </c>
      <c r="M45" s="151">
        <f>AVERAGEIFS(Sentiment!$K:$K, Sentiment!$C:$C, $A45, Sentiment!$J:$J, "YES")
</f>
        <v>0.024</v>
      </c>
      <c r="N45" s="157">
        <f t="shared" si="52"/>
        <v>1</v>
      </c>
      <c r="O45" s="151">
        <f>AVERAGEIFS(Sentiment!P:P, Sentiment!C:C, A45, Sentiment!J:J, "YES")
</f>
        <v>0.464</v>
      </c>
      <c r="P45" s="158">
        <v>0.4639999999999999</v>
      </c>
      <c r="Q45" s="159">
        <f t="shared" si="53"/>
        <v>1</v>
      </c>
    </row>
    <row r="46">
      <c r="A46" s="130">
        <v>45336.0</v>
      </c>
      <c r="B46" s="131">
        <v>13.88</v>
      </c>
      <c r="C46" s="132">
        <f t="shared" si="54"/>
        <v>-0.009279086367</v>
      </c>
      <c r="D46" s="132">
        <f t="shared" si="49"/>
        <v>-0.005043227666</v>
      </c>
      <c r="E46" s="133">
        <f t="shared" si="50"/>
        <v>0</v>
      </c>
      <c r="F46" s="134">
        <v>9916.6</v>
      </c>
      <c r="G46" s="135">
        <f t="shared" si="55"/>
        <v>-0.0008866141415</v>
      </c>
      <c r="H46" s="135">
        <f t="shared" si="51"/>
        <v>-0.006122226516</v>
      </c>
      <c r="I46" s="136">
        <v>81.6</v>
      </c>
      <c r="J46" s="155">
        <f t="shared" si="56"/>
        <v>-0.01413555636</v>
      </c>
      <c r="K46" s="138" t="s">
        <v>27</v>
      </c>
      <c r="L46" s="139">
        <f>AVERAGEIFS(Sentiment!$K:$K, Sentiment!$C:$C, $A46, Sentiment!$J:$J, "YES")
</f>
        <v>0.04285714286</v>
      </c>
      <c r="M46" s="139">
        <f>AVERAGEIFS(Sentiment!$K:$K, Sentiment!$C:$C, $A46, Sentiment!$J:$J, "YES")
</f>
        <v>0.04285714286</v>
      </c>
      <c r="N46" s="140">
        <f t="shared" si="52"/>
        <v>1</v>
      </c>
      <c r="O46" s="139">
        <f>AVERAGEIFS(Sentiment!P:P, Sentiment!C:C, A46, Sentiment!J:J, "YES")
</f>
        <v>0.05714285714</v>
      </c>
      <c r="P46" s="141">
        <v>0.05714285714285711</v>
      </c>
      <c r="Q46" s="142">
        <f t="shared" si="53"/>
        <v>1</v>
      </c>
    </row>
    <row r="47">
      <c r="A47" s="130">
        <v>45337.0</v>
      </c>
      <c r="B47" s="143">
        <v>13.81</v>
      </c>
      <c r="C47" s="144">
        <f t="shared" si="54"/>
        <v>-0.005043227666</v>
      </c>
      <c r="D47" s="144">
        <f t="shared" si="49"/>
        <v>-0.01593048516</v>
      </c>
      <c r="E47" s="145">
        <f t="shared" si="50"/>
        <v>0</v>
      </c>
      <c r="F47" s="146">
        <v>9927.3</v>
      </c>
      <c r="G47" s="147">
        <f t="shared" si="55"/>
        <v>0.00107899885</v>
      </c>
      <c r="H47" s="147">
        <f t="shared" si="51"/>
        <v>-0.0118105331</v>
      </c>
      <c r="I47" s="148">
        <v>82.86</v>
      </c>
      <c r="J47" s="156">
        <f t="shared" si="56"/>
        <v>0.01544117647</v>
      </c>
      <c r="K47" s="150" t="s">
        <v>27</v>
      </c>
      <c r="L47" s="151">
        <f>AVERAGEIFS(Sentiment!$K:$K, Sentiment!$C:$C, $A47, Sentiment!$J:$J, "YES")
</f>
        <v>0</v>
      </c>
      <c r="M47" s="151">
        <f>AVERAGEIFS(Sentiment!$K:$K, Sentiment!$C:$C, $A47, Sentiment!$J:$J, "YES")
</f>
        <v>0</v>
      </c>
      <c r="N47" s="157">
        <f t="shared" si="52"/>
        <v>0</v>
      </c>
      <c r="O47" s="151">
        <f>AVERAGEIFS(Sentiment!P:P, Sentiment!C:C, A47, Sentiment!J:J, "YES")
</f>
        <v>0.1</v>
      </c>
      <c r="P47" s="158">
        <v>0.09999999999999998</v>
      </c>
      <c r="Q47" s="159">
        <f t="shared" si="53"/>
        <v>1</v>
      </c>
    </row>
    <row r="48">
      <c r="A48" s="130">
        <v>45338.0</v>
      </c>
      <c r="B48" s="131">
        <v>13.59</v>
      </c>
      <c r="C48" s="132">
        <f t="shared" si="54"/>
        <v>-0.01593048516</v>
      </c>
      <c r="D48" s="132">
        <f>C51</f>
        <v>0.0161883738</v>
      </c>
      <c r="E48" s="133">
        <f t="shared" si="50"/>
        <v>1</v>
      </c>
      <c r="F48" s="134">
        <v>9886.4</v>
      </c>
      <c r="G48" s="135">
        <f t="shared" si="55"/>
        <v>-0.004119952051</v>
      </c>
      <c r="H48" s="135">
        <f>D48-G51</f>
        <v>0.01028126909</v>
      </c>
      <c r="I48" s="136">
        <v>83.47</v>
      </c>
      <c r="J48" s="155">
        <f t="shared" si="56"/>
        <v>0.00736181511</v>
      </c>
      <c r="K48" s="138" t="s">
        <v>27</v>
      </c>
      <c r="L48" s="139">
        <f>AVERAGEIFS(Sentiment!$K:$K, Sentiment!$C:$C, $A48, Sentiment!$J:$J, "YES")
</f>
        <v>-0.2</v>
      </c>
      <c r="M48" s="139">
        <f>AVERAGEIFS(Sentiment!$K:$K, Sentiment!$C:$C, $A48, Sentiment!$J:$J, "YES")
</f>
        <v>-0.2</v>
      </c>
      <c r="N48" s="140">
        <f t="shared" si="52"/>
        <v>0</v>
      </c>
      <c r="O48" s="139">
        <f>AVERAGEIFS(Sentiment!P:P, Sentiment!C:C, A48, Sentiment!J:J, "YES")
</f>
        <v>-0.025</v>
      </c>
      <c r="P48" s="141">
        <v>-0.025000000000000022</v>
      </c>
      <c r="Q48" s="142">
        <f t="shared" si="53"/>
        <v>0</v>
      </c>
    </row>
    <row r="49">
      <c r="A49" s="130">
        <v>45339.0</v>
      </c>
      <c r="B49" s="143"/>
      <c r="C49" s="144"/>
      <c r="D49" s="144"/>
      <c r="E49" s="145"/>
      <c r="F49" s="146"/>
      <c r="G49" s="147"/>
      <c r="H49" s="147"/>
      <c r="I49" s="148"/>
      <c r="J49" s="160"/>
      <c r="K49" s="150" t="s">
        <v>27</v>
      </c>
      <c r="L49" s="151">
        <v>0.0</v>
      </c>
      <c r="M49" s="151"/>
      <c r="N49" s="157"/>
      <c r="O49" s="162">
        <v>0.0</v>
      </c>
      <c r="P49" s="163"/>
      <c r="Q49" s="164"/>
    </row>
    <row r="50">
      <c r="A50" s="130">
        <v>45340.0</v>
      </c>
      <c r="B50" s="131"/>
      <c r="C50" s="132"/>
      <c r="D50" s="132"/>
      <c r="E50" s="133"/>
      <c r="F50" s="134"/>
      <c r="G50" s="135"/>
      <c r="H50" s="135"/>
      <c r="I50" s="136"/>
      <c r="J50" s="137"/>
      <c r="K50" s="138" t="s">
        <v>27</v>
      </c>
      <c r="L50" s="139">
        <f>AVERAGEIFS(Sentiment!$K:$K, Sentiment!$C:$C, $A50, Sentiment!$J:$J, "YES")
</f>
        <v>0.65</v>
      </c>
      <c r="M50" s="139"/>
      <c r="N50" s="140"/>
      <c r="O50" s="139">
        <f>AVERAGEIFS(Sentiment!P:P, Sentiment!C:C, A50, Sentiment!J:J, "YES")
</f>
        <v>0.6</v>
      </c>
      <c r="P50" s="141"/>
      <c r="Q50" s="142"/>
    </row>
    <row r="51">
      <c r="A51" s="130">
        <v>45341.0</v>
      </c>
      <c r="B51" s="143">
        <v>13.81</v>
      </c>
      <c r="C51" s="144">
        <f>B51/B48-1</f>
        <v>0.0161883738</v>
      </c>
      <c r="D51" s="144">
        <f t="shared" ref="D51:D54" si="57">C52</f>
        <v>-0.01158580739</v>
      </c>
      <c r="E51" s="145">
        <f t="shared" ref="E51:E55" si="58">IF(D51&gt;0,1,0)</f>
        <v>0</v>
      </c>
      <c r="F51" s="146">
        <v>9944.8</v>
      </c>
      <c r="G51" s="147">
        <f>F51/F48-1</f>
        <v>0.005907104709</v>
      </c>
      <c r="H51" s="147">
        <f t="shared" ref="H51:H54" si="59">D51-G52</f>
        <v>-0.02097765036</v>
      </c>
      <c r="I51" s="148">
        <v>83.56</v>
      </c>
      <c r="J51" s="156">
        <f>I51/I48-1</f>
        <v>0.0010782317</v>
      </c>
      <c r="K51" s="150" t="s">
        <v>27</v>
      </c>
      <c r="L51" s="151">
        <f>AVERAGEIFS(Sentiment!$K:$K, Sentiment!$C:$C, $A51, Sentiment!$J:$J, "YES")
</f>
        <v>0.6333333333</v>
      </c>
      <c r="M51" s="152">
        <v>0.58</v>
      </c>
      <c r="N51" s="153">
        <f t="shared" ref="N51:N55" si="60">IF(M51&gt;0,1,0)</f>
        <v>1</v>
      </c>
      <c r="O51" s="151">
        <f>AVERAGEIFS(Sentiment!P:P, Sentiment!C:C, A51, Sentiment!J:J, "YES")
</f>
        <v>0.4333333333</v>
      </c>
      <c r="P51" s="152">
        <v>0.5</v>
      </c>
      <c r="Q51" s="154">
        <f t="shared" ref="Q51:Q55" si="61">IF(P51&gt;0,1,0)</f>
        <v>1</v>
      </c>
    </row>
    <row r="52">
      <c r="A52" s="130">
        <v>45342.0</v>
      </c>
      <c r="B52" s="131">
        <v>13.65</v>
      </c>
      <c r="C52" s="132">
        <f t="shared" ref="C52:C55" si="62">B52/B51-1</f>
        <v>-0.01158580739</v>
      </c>
      <c r="D52" s="132">
        <f t="shared" si="57"/>
        <v>0.002197802198</v>
      </c>
      <c r="E52" s="133">
        <f t="shared" si="58"/>
        <v>1</v>
      </c>
      <c r="F52" s="134">
        <v>10038.2</v>
      </c>
      <c r="G52" s="135">
        <f t="shared" ref="G52:G55" si="63">F52/F51-1</f>
        <v>0.009391842973</v>
      </c>
      <c r="H52" s="135">
        <f t="shared" si="59"/>
        <v>-0.004675940107</v>
      </c>
      <c r="I52" s="136">
        <v>82.34</v>
      </c>
      <c r="J52" s="155">
        <f t="shared" ref="J52:J55" si="64">I52/I51-1</f>
        <v>-0.01460028722</v>
      </c>
      <c r="K52" s="138" t="s">
        <v>27</v>
      </c>
      <c r="L52" s="139">
        <f>AVERAGEIFS(Sentiment!$K:$K, Sentiment!$C:$C, $A52, Sentiment!$J:$J, "YES")
</f>
        <v>0.2444444444</v>
      </c>
      <c r="M52" s="139">
        <f>AVERAGEIFS(Sentiment!$K:$K, Sentiment!$C:$C, $A52, Sentiment!$J:$J, "YES")
</f>
        <v>0.2444444444</v>
      </c>
      <c r="N52" s="140">
        <f t="shared" si="60"/>
        <v>1</v>
      </c>
      <c r="O52" s="139">
        <f>AVERAGEIFS(Sentiment!P:P, Sentiment!C:C, A52, Sentiment!J:J, "YES")
</f>
        <v>0.1777777778</v>
      </c>
      <c r="P52" s="141">
        <v>0.1777777777777778</v>
      </c>
      <c r="Q52" s="142">
        <f t="shared" si="61"/>
        <v>1</v>
      </c>
    </row>
    <row r="53">
      <c r="A53" s="130">
        <v>45343.0</v>
      </c>
      <c r="B53" s="143">
        <v>13.68</v>
      </c>
      <c r="C53" s="144">
        <f t="shared" si="62"/>
        <v>0.002197802198</v>
      </c>
      <c r="D53" s="144">
        <f t="shared" si="57"/>
        <v>0.0548245614</v>
      </c>
      <c r="E53" s="145">
        <f t="shared" si="58"/>
        <v>1</v>
      </c>
      <c r="F53" s="146">
        <v>10107.2</v>
      </c>
      <c r="G53" s="147">
        <f t="shared" si="63"/>
        <v>0.006873742304</v>
      </c>
      <c r="H53" s="147">
        <f t="shared" si="59"/>
        <v>0.05168818338</v>
      </c>
      <c r="I53" s="148">
        <v>83.03</v>
      </c>
      <c r="J53" s="156">
        <f t="shared" si="64"/>
        <v>0.008379888268</v>
      </c>
      <c r="K53" s="150" t="s">
        <v>27</v>
      </c>
      <c r="L53" s="151">
        <f>AVERAGEIFS(Sentiment!$K:$K, Sentiment!$C:$C, $A53, Sentiment!$J:$J, "YES")
</f>
        <v>0.2857142857</v>
      </c>
      <c r="M53" s="151">
        <f>AVERAGEIFS(Sentiment!$K:$K, Sentiment!$C:$C, $A53, Sentiment!$J:$J, "YES")
</f>
        <v>0.2857142857</v>
      </c>
      <c r="N53" s="157">
        <f t="shared" si="60"/>
        <v>1</v>
      </c>
      <c r="O53" s="151">
        <f>AVERAGEIFS(Sentiment!P:P, Sentiment!C:C, A53, Sentiment!J:J, "YES")
</f>
        <v>0.3714285714</v>
      </c>
      <c r="P53" s="158">
        <v>0.3714285714285714</v>
      </c>
      <c r="Q53" s="159">
        <f t="shared" si="61"/>
        <v>1</v>
      </c>
    </row>
    <row r="54">
      <c r="A54" s="130">
        <v>45344.0</v>
      </c>
      <c r="B54" s="131">
        <v>14.43</v>
      </c>
      <c r="C54" s="132">
        <f t="shared" si="62"/>
        <v>0.0548245614</v>
      </c>
      <c r="D54" s="132">
        <f t="shared" si="57"/>
        <v>0.009009009009</v>
      </c>
      <c r="E54" s="133">
        <f t="shared" si="58"/>
        <v>1</v>
      </c>
      <c r="F54" s="134">
        <v>10138.9</v>
      </c>
      <c r="G54" s="135">
        <f t="shared" si="63"/>
        <v>0.003136378028</v>
      </c>
      <c r="H54" s="135">
        <f t="shared" si="59"/>
        <v>0.009827638249</v>
      </c>
      <c r="I54" s="136">
        <v>83.67</v>
      </c>
      <c r="J54" s="155">
        <f t="shared" si="64"/>
        <v>0.007708057329</v>
      </c>
      <c r="K54" s="138" t="s">
        <v>27</v>
      </c>
      <c r="L54" s="139">
        <f>AVERAGEIFS(Sentiment!$K:$K, Sentiment!$C:$C, $A54, Sentiment!$J:$J, "YES")
</f>
        <v>0.3777777778</v>
      </c>
      <c r="M54" s="139">
        <f>AVERAGEIFS(Sentiment!$K:$K, Sentiment!$C:$C, $A54, Sentiment!$J:$J, "YES")
</f>
        <v>0.3777777778</v>
      </c>
      <c r="N54" s="140">
        <f t="shared" si="60"/>
        <v>1</v>
      </c>
      <c r="O54" s="139">
        <f>AVERAGEIFS(Sentiment!P:P, Sentiment!C:C, A54, Sentiment!J:J, "YES")
</f>
        <v>0.3472222222</v>
      </c>
      <c r="P54" s="141">
        <v>0.3472222222222221</v>
      </c>
      <c r="Q54" s="142">
        <f t="shared" si="61"/>
        <v>1</v>
      </c>
    </row>
    <row r="55">
      <c r="A55" s="130">
        <v>45345.0</v>
      </c>
      <c r="B55" s="143">
        <v>14.56</v>
      </c>
      <c r="C55" s="144">
        <f t="shared" si="62"/>
        <v>0.009009009009</v>
      </c>
      <c r="D55" s="144">
        <f>C58</f>
        <v>0.001373626374</v>
      </c>
      <c r="E55" s="145">
        <f t="shared" si="58"/>
        <v>1</v>
      </c>
      <c r="F55" s="146">
        <v>10130.6</v>
      </c>
      <c r="G55" s="147">
        <f t="shared" si="63"/>
        <v>-0.0008186292399</v>
      </c>
      <c r="H55" s="147">
        <f>D55-G58</f>
        <v>0.0006036818491</v>
      </c>
      <c r="I55" s="148">
        <v>81.62</v>
      </c>
      <c r="J55" s="156">
        <f t="shared" si="64"/>
        <v>-0.0245010159</v>
      </c>
      <c r="K55" s="150" t="s">
        <v>27</v>
      </c>
      <c r="L55" s="151">
        <f>AVERAGEIFS(Sentiment!$K:$K, Sentiment!$C:$C, $A55, Sentiment!$J:$J, "YES")
</f>
        <v>0.2</v>
      </c>
      <c r="M55" s="151">
        <f>AVERAGEIFS(Sentiment!$K:$K, Sentiment!$C:$C, $A55, Sentiment!$J:$J, "YES")
</f>
        <v>0.2</v>
      </c>
      <c r="N55" s="157">
        <f t="shared" si="60"/>
        <v>1</v>
      </c>
      <c r="O55" s="151">
        <f>AVERAGEIFS(Sentiment!P:P, Sentiment!C:C, A55, Sentiment!J:J, "YES")
</f>
        <v>0.02857142857</v>
      </c>
      <c r="P55" s="158">
        <v>0.028571428571428574</v>
      </c>
      <c r="Q55" s="159">
        <f t="shared" si="61"/>
        <v>1</v>
      </c>
    </row>
    <row r="56">
      <c r="A56" s="130">
        <v>45346.0</v>
      </c>
      <c r="B56" s="131"/>
      <c r="C56" s="132"/>
      <c r="D56" s="132"/>
      <c r="E56" s="133"/>
      <c r="F56" s="134"/>
      <c r="G56" s="135"/>
      <c r="H56" s="135"/>
      <c r="I56" s="136"/>
      <c r="J56" s="137"/>
      <c r="K56" s="138" t="s">
        <v>27</v>
      </c>
      <c r="L56" s="139">
        <f>AVERAGEIFS(Sentiment!$K:$K, Sentiment!$C:$C, $A56, Sentiment!$J:$J, "YES")
</f>
        <v>0.625</v>
      </c>
      <c r="M56" s="139"/>
      <c r="N56" s="140"/>
      <c r="O56" s="139">
        <f>AVERAGEIFS(Sentiment!P:P, Sentiment!C:C, A56, Sentiment!J:J, "YES")
</f>
        <v>0.0875</v>
      </c>
      <c r="P56" s="141"/>
      <c r="Q56" s="142"/>
    </row>
    <row r="57">
      <c r="A57" s="130">
        <v>45347.0</v>
      </c>
      <c r="B57" s="143"/>
      <c r="C57" s="144"/>
      <c r="D57" s="144"/>
      <c r="E57" s="145"/>
      <c r="F57" s="146"/>
      <c r="G57" s="147"/>
      <c r="H57" s="147"/>
      <c r="I57" s="148"/>
      <c r="J57" s="160"/>
      <c r="K57" s="150" t="s">
        <v>27</v>
      </c>
      <c r="L57" s="151">
        <f>AVERAGEIFS(Sentiment!$K:$K, Sentiment!$C:$C, $A57, Sentiment!$J:$J, "YES")
</f>
        <v>0.5333333333</v>
      </c>
      <c r="M57" s="151"/>
      <c r="N57" s="157"/>
      <c r="O57" s="151">
        <f>AVERAGEIFS(Sentiment!P:P, Sentiment!C:C, A57, Sentiment!J:J, "YES")
</f>
        <v>-0.06666666667</v>
      </c>
      <c r="P57" s="158"/>
      <c r="Q57" s="159"/>
    </row>
    <row r="58">
      <c r="A58" s="130">
        <v>45348.0</v>
      </c>
      <c r="B58" s="131">
        <v>14.58</v>
      </c>
      <c r="C58" s="132">
        <f>B58/B55-1</f>
        <v>0.001373626374</v>
      </c>
      <c r="D58" s="132">
        <f t="shared" ref="D58:D61" si="65">C59</f>
        <v>0.01234567901</v>
      </c>
      <c r="E58" s="133">
        <f t="shared" ref="E58:E62" si="66">IF(D58&gt;0,1,0)</f>
        <v>1</v>
      </c>
      <c r="F58" s="134">
        <v>10138.4</v>
      </c>
      <c r="G58" s="135">
        <f>F58/F55-1</f>
        <v>0.0007699445245</v>
      </c>
      <c r="H58" s="135">
        <f t="shared" ref="H58:H61" si="67">D58-G59</f>
        <v>0.01477209738</v>
      </c>
      <c r="I58" s="136">
        <v>82.53</v>
      </c>
      <c r="J58" s="155">
        <f>I58/I55-1</f>
        <v>0.01114922813</v>
      </c>
      <c r="K58" s="138" t="s">
        <v>27</v>
      </c>
      <c r="L58" s="139">
        <f>AVERAGEIFS(Sentiment!$K:$K, Sentiment!$C:$C, $A58, Sentiment!$J:$J, "YES")
</f>
        <v>0.54</v>
      </c>
      <c r="M58" s="152">
        <v>0.58</v>
      </c>
      <c r="N58" s="153">
        <f t="shared" ref="N58:N62" si="68">IF(M58&gt;0,1,0)</f>
        <v>1</v>
      </c>
      <c r="O58" s="139">
        <f>AVERAGEIFS(Sentiment!P:P, Sentiment!C:C, A58, Sentiment!J:J, "YES")
</f>
        <v>0.58</v>
      </c>
      <c r="P58" s="152">
        <v>0.21</v>
      </c>
      <c r="Q58" s="154">
        <f t="shared" ref="Q58:Q62" si="69">IF(P58&gt;0,1,0)</f>
        <v>1</v>
      </c>
    </row>
    <row r="59">
      <c r="A59" s="130">
        <v>45349.0</v>
      </c>
      <c r="B59" s="143">
        <v>14.76</v>
      </c>
      <c r="C59" s="144">
        <f t="shared" ref="C59:C62" si="70">B59/B58-1</f>
        <v>0.01234567901</v>
      </c>
      <c r="D59" s="144">
        <f t="shared" si="65"/>
        <v>-0.01016260163</v>
      </c>
      <c r="E59" s="145">
        <f t="shared" si="66"/>
        <v>0</v>
      </c>
      <c r="F59" s="146">
        <v>10113.8</v>
      </c>
      <c r="G59" s="147">
        <f t="shared" ref="G59:G62" si="71">F59/F58-1</f>
        <v>-0.00242641837</v>
      </c>
      <c r="H59" s="147">
        <f t="shared" si="67"/>
        <v>-0.005693460453</v>
      </c>
      <c r="I59" s="148">
        <v>83.65</v>
      </c>
      <c r="J59" s="156">
        <f t="shared" ref="J59:J62" si="72">I59/I58-1</f>
        <v>0.01357082273</v>
      </c>
      <c r="K59" s="150" t="s">
        <v>27</v>
      </c>
      <c r="L59" s="151">
        <f>AVERAGEIFS(Sentiment!$K:$K, Sentiment!$C:$C, $A59, Sentiment!$J:$J, "YES")
</f>
        <v>0</v>
      </c>
      <c r="M59" s="151">
        <f>AVERAGEIFS(Sentiment!$K:$K, Sentiment!$C:$C, $A59, Sentiment!$J:$J, "YES")
</f>
        <v>0</v>
      </c>
      <c r="N59" s="157">
        <f t="shared" si="68"/>
        <v>0</v>
      </c>
      <c r="O59" s="151">
        <f>AVERAGEIFS(Sentiment!P:P, Sentiment!C:C, A59, Sentiment!J:J, "YES")
</f>
        <v>0.02</v>
      </c>
      <c r="P59" s="158">
        <v>0.019999999999999973</v>
      </c>
      <c r="Q59" s="159">
        <f t="shared" si="69"/>
        <v>1</v>
      </c>
    </row>
    <row r="60">
      <c r="A60" s="130">
        <v>45350.0</v>
      </c>
      <c r="B60" s="131">
        <v>14.61</v>
      </c>
      <c r="C60" s="132">
        <f t="shared" si="70"/>
        <v>-0.01016260163</v>
      </c>
      <c r="D60" s="132">
        <f t="shared" si="65"/>
        <v>0.008213552361</v>
      </c>
      <c r="E60" s="133">
        <f t="shared" si="66"/>
        <v>1</v>
      </c>
      <c r="F60" s="134">
        <v>10068.6</v>
      </c>
      <c r="G60" s="135">
        <f t="shared" si="71"/>
        <v>-0.004469141173</v>
      </c>
      <c r="H60" s="135">
        <f t="shared" si="67"/>
        <v>0.01492749472</v>
      </c>
      <c r="I60" s="136">
        <v>83.68</v>
      </c>
      <c r="J60" s="155">
        <f t="shared" si="72"/>
        <v>0.0003586371787</v>
      </c>
      <c r="K60" s="138" t="s">
        <v>27</v>
      </c>
      <c r="L60" s="139">
        <f>AVERAGEIFS(Sentiment!$K:$K, Sentiment!$C:$C, $A60, Sentiment!$J:$J, "YES")
</f>
        <v>0.6666666667</v>
      </c>
      <c r="M60" s="139">
        <f>AVERAGEIFS(Sentiment!$K:$K, Sentiment!$C:$C, $A60, Sentiment!$J:$J, "YES")
</f>
        <v>0.6666666667</v>
      </c>
      <c r="N60" s="140">
        <f t="shared" si="68"/>
        <v>1</v>
      </c>
      <c r="O60" s="139">
        <f>AVERAGEIFS(Sentiment!P:P, Sentiment!C:C, A60, Sentiment!J:J, "YES")
</f>
        <v>0.6333333333</v>
      </c>
      <c r="P60" s="141">
        <v>0.6333333333333333</v>
      </c>
      <c r="Q60" s="142">
        <f t="shared" si="69"/>
        <v>1</v>
      </c>
    </row>
    <row r="61">
      <c r="A61" s="130">
        <v>45351.0</v>
      </c>
      <c r="B61" s="143">
        <v>14.73</v>
      </c>
      <c r="C61" s="144">
        <f t="shared" si="70"/>
        <v>0.008213552361</v>
      </c>
      <c r="D61" s="144">
        <f t="shared" si="65"/>
        <v>-0.002036659878</v>
      </c>
      <c r="E61" s="145">
        <f t="shared" si="66"/>
        <v>0</v>
      </c>
      <c r="F61" s="146">
        <v>10001.0</v>
      </c>
      <c r="G61" s="147">
        <f t="shared" si="71"/>
        <v>-0.006713942355</v>
      </c>
      <c r="H61" s="147">
        <f t="shared" si="67"/>
        <v>-0.008406022941</v>
      </c>
      <c r="I61" s="148">
        <v>83.62</v>
      </c>
      <c r="J61" s="156">
        <f t="shared" si="72"/>
        <v>-0.0007170172084</v>
      </c>
      <c r="K61" s="150" t="s">
        <v>27</v>
      </c>
      <c r="L61" s="151">
        <f>AVERAGEIFS(Sentiment!$K:$K, Sentiment!$C:$C, $A61, Sentiment!$J:$J, "YES")
</f>
        <v>0.4875</v>
      </c>
      <c r="M61" s="151">
        <f>AVERAGEIFS(Sentiment!$K:$K, Sentiment!$C:$C, $A61, Sentiment!$J:$J, "YES")
</f>
        <v>0.4875</v>
      </c>
      <c r="N61" s="157">
        <f t="shared" si="68"/>
        <v>1</v>
      </c>
      <c r="O61" s="151">
        <f>AVERAGEIFS(Sentiment!P:P, Sentiment!C:C, A61, Sentiment!J:J, "YES")
</f>
        <v>0.5375</v>
      </c>
      <c r="P61" s="158">
        <v>0.5375000000000001</v>
      </c>
      <c r="Q61" s="159">
        <f t="shared" si="69"/>
        <v>1</v>
      </c>
    </row>
    <row r="62">
      <c r="A62" s="130">
        <v>45352.0</v>
      </c>
      <c r="B62" s="131">
        <v>14.7</v>
      </c>
      <c r="C62" s="132">
        <f t="shared" si="70"/>
        <v>-0.002036659878</v>
      </c>
      <c r="D62" s="132">
        <f>C65</f>
        <v>-0.01020408163</v>
      </c>
      <c r="E62" s="133">
        <f t="shared" si="66"/>
        <v>0</v>
      </c>
      <c r="F62" s="134">
        <v>10064.7</v>
      </c>
      <c r="G62" s="135">
        <f t="shared" si="71"/>
        <v>0.006369363064</v>
      </c>
      <c r="H62" s="135">
        <f>D62-G65</f>
        <v>-0.01071080314</v>
      </c>
      <c r="I62" s="136">
        <v>83.55</v>
      </c>
      <c r="J62" s="155">
        <f t="shared" si="72"/>
        <v>-0.0008371203061</v>
      </c>
      <c r="K62" s="138" t="s">
        <v>27</v>
      </c>
      <c r="L62" s="139">
        <f>AVERAGEIFS(Sentiment!$K:$K, Sentiment!$C:$C, $A62, Sentiment!$J:$J, "YES")
</f>
        <v>0.61</v>
      </c>
      <c r="M62" s="139">
        <f>AVERAGEIFS(Sentiment!$K:$K, Sentiment!$C:$C, $A62, Sentiment!$J:$J, "YES")
</f>
        <v>0.61</v>
      </c>
      <c r="N62" s="140">
        <f t="shared" si="68"/>
        <v>1</v>
      </c>
      <c r="O62" s="139">
        <f>AVERAGEIFS(Sentiment!P:P, Sentiment!C:C, A62, Sentiment!J:J, "YES")
</f>
        <v>0.49</v>
      </c>
      <c r="P62" s="141">
        <v>0.48999999999999994</v>
      </c>
      <c r="Q62" s="142">
        <f t="shared" si="69"/>
        <v>1</v>
      </c>
    </row>
    <row r="63">
      <c r="A63" s="130">
        <v>45353.0</v>
      </c>
      <c r="B63" s="143"/>
      <c r="C63" s="144"/>
      <c r="D63" s="144"/>
      <c r="E63" s="145"/>
      <c r="F63" s="146"/>
      <c r="G63" s="147"/>
      <c r="H63" s="147"/>
      <c r="I63" s="148"/>
      <c r="J63" s="160"/>
      <c r="K63" s="150" t="s">
        <v>27</v>
      </c>
      <c r="L63" s="151">
        <f>AVERAGEIFS(Sentiment!$K:$K, Sentiment!$C:$C, $A63, Sentiment!$J:$J, "YES")
</f>
        <v>0</v>
      </c>
      <c r="M63" s="151"/>
      <c r="N63" s="157"/>
      <c r="O63" s="151">
        <f>AVERAGEIFS(Sentiment!P:P, Sentiment!C:C, A63, Sentiment!J:J, "YES")
</f>
        <v>0.06666666667</v>
      </c>
      <c r="P63" s="158"/>
      <c r="Q63" s="159"/>
    </row>
    <row r="64">
      <c r="A64" s="130">
        <v>45354.0</v>
      </c>
      <c r="B64" s="131"/>
      <c r="C64" s="132"/>
      <c r="D64" s="132"/>
      <c r="E64" s="133"/>
      <c r="F64" s="134"/>
      <c r="G64" s="135"/>
      <c r="H64" s="135"/>
      <c r="I64" s="136"/>
      <c r="J64" s="137"/>
      <c r="K64" s="138" t="s">
        <v>27</v>
      </c>
      <c r="L64" s="139">
        <f>AVERAGEIFS(Sentiment!$K:$K, Sentiment!$C:$C, $A64, Sentiment!$J:$J, "YES")
</f>
        <v>0.475</v>
      </c>
      <c r="M64" s="139"/>
      <c r="N64" s="140"/>
      <c r="O64" s="139">
        <f>AVERAGEIFS(Sentiment!P:P, Sentiment!C:C, A64, Sentiment!J:J, "YES")
</f>
        <v>0.425</v>
      </c>
      <c r="P64" s="141"/>
      <c r="Q64" s="142"/>
    </row>
    <row r="65">
      <c r="A65" s="130">
        <v>45355.0</v>
      </c>
      <c r="B65" s="143">
        <v>14.55</v>
      </c>
      <c r="C65" s="144">
        <f>B65/B62-1</f>
        <v>-0.01020408163</v>
      </c>
      <c r="D65" s="144">
        <f t="shared" ref="D65:D68" si="73">C66</f>
        <v>-0.005498281787</v>
      </c>
      <c r="E65" s="145">
        <f t="shared" ref="E65:E69" si="74">IF(D65&gt;0,1,0)</f>
        <v>0</v>
      </c>
      <c r="F65" s="146">
        <v>10069.8</v>
      </c>
      <c r="G65" s="147">
        <f>F65/F62-1</f>
        <v>0.0005067215118</v>
      </c>
      <c r="H65" s="147">
        <f t="shared" ref="H65:H68" si="75">D65-G66</f>
        <v>-0.01019549524</v>
      </c>
      <c r="I65" s="148">
        <v>82.8</v>
      </c>
      <c r="J65" s="156">
        <f>I65/I62-1</f>
        <v>-0.008976660682</v>
      </c>
      <c r="K65" s="150" t="s">
        <v>27</v>
      </c>
      <c r="L65" s="151">
        <f>AVERAGEIFS(Sentiment!$K:$K, Sentiment!$C:$C, $A65, Sentiment!$J:$J, "YES")
</f>
        <v>0.68</v>
      </c>
      <c r="M65" s="152">
        <v>0.44</v>
      </c>
      <c r="N65" s="153">
        <f t="shared" ref="N65:N69" si="76">IF(M65&gt;0,1,0)</f>
        <v>1</v>
      </c>
      <c r="O65" s="151">
        <f>AVERAGEIFS(Sentiment!P:P, Sentiment!C:C, A65, Sentiment!J:J, "YES")
</f>
        <v>0.62</v>
      </c>
      <c r="P65" s="152">
        <v>0.42</v>
      </c>
      <c r="Q65" s="154">
        <f t="shared" ref="Q65:Q69" si="77">IF(P65&gt;0,1,0)</f>
        <v>1</v>
      </c>
    </row>
    <row r="66">
      <c r="A66" s="130">
        <v>45356.0</v>
      </c>
      <c r="B66" s="131">
        <v>14.47</v>
      </c>
      <c r="C66" s="132">
        <f t="shared" ref="C66:C69" si="78">B66/B65-1</f>
        <v>-0.005498281787</v>
      </c>
      <c r="D66" s="132">
        <f t="shared" si="73"/>
        <v>0</v>
      </c>
      <c r="E66" s="133">
        <f t="shared" si="74"/>
        <v>0</v>
      </c>
      <c r="F66" s="134">
        <v>10117.1</v>
      </c>
      <c r="G66" s="135">
        <f t="shared" ref="G66:G69" si="79">F66/F65-1</f>
        <v>0.00469721345</v>
      </c>
      <c r="H66" s="135">
        <f t="shared" si="75"/>
        <v>-0.007917288551</v>
      </c>
      <c r="I66" s="136">
        <v>82.04</v>
      </c>
      <c r="J66" s="155">
        <f t="shared" ref="J66:J69" si="80">I66/I65-1</f>
        <v>-0.009178743961</v>
      </c>
      <c r="K66" s="138" t="s">
        <v>27</v>
      </c>
      <c r="L66" s="139">
        <f>AVERAGEIFS(Sentiment!$K:$K, Sentiment!$C:$C, $A66, Sentiment!$J:$J, "YES")
</f>
        <v>0.725</v>
      </c>
      <c r="M66" s="139">
        <f>AVERAGEIFS(Sentiment!$K:$K, Sentiment!$C:$C, $A66, Sentiment!$J:$J, "YES")
</f>
        <v>0.725</v>
      </c>
      <c r="N66" s="140">
        <f t="shared" si="76"/>
        <v>1</v>
      </c>
      <c r="O66" s="139">
        <f>AVERAGEIFS(Sentiment!P:P, Sentiment!C:C, A66, Sentiment!J:J, "YES")
</f>
        <v>0.525</v>
      </c>
      <c r="P66" s="141">
        <v>0.5249999999999999</v>
      </c>
      <c r="Q66" s="142">
        <f t="shared" si="77"/>
        <v>1</v>
      </c>
    </row>
    <row r="67">
      <c r="A67" s="130">
        <v>45357.0</v>
      </c>
      <c r="B67" s="143">
        <v>14.47</v>
      </c>
      <c r="C67" s="144">
        <f t="shared" si="78"/>
        <v>0</v>
      </c>
      <c r="D67" s="144">
        <f t="shared" si="73"/>
        <v>-0.00207325501</v>
      </c>
      <c r="E67" s="145">
        <f t="shared" si="74"/>
        <v>0</v>
      </c>
      <c r="F67" s="146">
        <v>10197.2</v>
      </c>
      <c r="G67" s="147">
        <f t="shared" si="79"/>
        <v>0.007917288551</v>
      </c>
      <c r="H67" s="147">
        <f t="shared" si="75"/>
        <v>-0.01407655003</v>
      </c>
      <c r="I67" s="148">
        <v>82.96</v>
      </c>
      <c r="J67" s="156">
        <f t="shared" si="80"/>
        <v>0.01121404193</v>
      </c>
      <c r="K67" s="150" t="s">
        <v>27</v>
      </c>
      <c r="L67" s="151">
        <f>AVERAGEIFS(Sentiment!$K:$K, Sentiment!$C:$C, $A67, Sentiment!$J:$J, "YES")
</f>
        <v>0.7</v>
      </c>
      <c r="M67" s="151">
        <f>AVERAGEIFS(Sentiment!$K:$K, Sentiment!$C:$C, $A67, Sentiment!$J:$J, "YES")
</f>
        <v>0.7</v>
      </c>
      <c r="N67" s="157">
        <f t="shared" si="76"/>
        <v>1</v>
      </c>
      <c r="O67" s="151">
        <f>AVERAGEIFS(Sentiment!P:P, Sentiment!C:C, A67, Sentiment!J:J, "YES")
</f>
        <v>0.7</v>
      </c>
      <c r="P67" s="158">
        <v>0.7</v>
      </c>
      <c r="Q67" s="159">
        <f t="shared" si="77"/>
        <v>1</v>
      </c>
    </row>
    <row r="68">
      <c r="A68" s="130">
        <v>45358.0</v>
      </c>
      <c r="B68" s="131">
        <v>14.44</v>
      </c>
      <c r="C68" s="132">
        <f t="shared" si="78"/>
        <v>-0.00207325501</v>
      </c>
      <c r="D68" s="132">
        <f t="shared" si="73"/>
        <v>-0.001385041551</v>
      </c>
      <c r="E68" s="133">
        <f t="shared" si="74"/>
        <v>0</v>
      </c>
      <c r="F68" s="134">
        <v>10319.6</v>
      </c>
      <c r="G68" s="135">
        <f t="shared" si="79"/>
        <v>0.01200329502</v>
      </c>
      <c r="H68" s="135">
        <f t="shared" si="75"/>
        <v>-0.00003809011902</v>
      </c>
      <c r="I68" s="136">
        <v>82.96</v>
      </c>
      <c r="J68" s="155">
        <f t="shared" si="80"/>
        <v>0</v>
      </c>
      <c r="K68" s="138" t="s">
        <v>27</v>
      </c>
      <c r="L68" s="139">
        <f>AVERAGEIFS(Sentiment!$K:$K, Sentiment!$C:$C, $A68, Sentiment!$J:$J, "YES")
</f>
        <v>0.35</v>
      </c>
      <c r="M68" s="139">
        <f>AVERAGEIFS(Sentiment!$K:$K, Sentiment!$C:$C, $A68, Sentiment!$J:$J, "YES")
</f>
        <v>0.35</v>
      </c>
      <c r="N68" s="140">
        <f t="shared" si="76"/>
        <v>1</v>
      </c>
      <c r="O68" s="139">
        <f>AVERAGEIFS(Sentiment!P:P, Sentiment!C:C, A68, Sentiment!J:J, "YES")
</f>
        <v>0.6</v>
      </c>
      <c r="P68" s="141">
        <v>0.6</v>
      </c>
      <c r="Q68" s="142">
        <f t="shared" si="77"/>
        <v>1</v>
      </c>
    </row>
    <row r="69">
      <c r="A69" s="130">
        <v>45359.0</v>
      </c>
      <c r="B69" s="143">
        <v>14.42</v>
      </c>
      <c r="C69" s="144">
        <f t="shared" si="78"/>
        <v>-0.001385041551</v>
      </c>
      <c r="D69" s="144">
        <f>C72</f>
        <v>0.00693481276</v>
      </c>
      <c r="E69" s="145">
        <f t="shared" si="74"/>
        <v>1</v>
      </c>
      <c r="F69" s="146">
        <v>10305.7</v>
      </c>
      <c r="G69" s="147">
        <f t="shared" si="79"/>
        <v>-0.001346951432</v>
      </c>
      <c r="H69" s="147">
        <f>D69-G72</f>
        <v>0.004994139152</v>
      </c>
      <c r="I69" s="148">
        <v>82.08</v>
      </c>
      <c r="J69" s="156">
        <f t="shared" si="80"/>
        <v>-0.0106075217</v>
      </c>
      <c r="K69" s="150" t="s">
        <v>27</v>
      </c>
      <c r="L69" s="151">
        <f>AVERAGEIFS(Sentiment!$K:$K, Sentiment!$C:$C, $A69, Sentiment!$J:$J, "YES")
</f>
        <v>0.3666666667</v>
      </c>
      <c r="M69" s="151">
        <f>AVERAGEIFS(Sentiment!$K:$K, Sentiment!$C:$C, $A69, Sentiment!$J:$J, "YES")
</f>
        <v>0.3666666667</v>
      </c>
      <c r="N69" s="157">
        <f t="shared" si="76"/>
        <v>1</v>
      </c>
      <c r="O69" s="151">
        <f>AVERAGEIFS(Sentiment!P:P, Sentiment!C:C, A69, Sentiment!J:J, "YES")
</f>
        <v>0.3666666667</v>
      </c>
      <c r="P69" s="158">
        <v>0.36666666666666664</v>
      </c>
      <c r="Q69" s="159">
        <f t="shared" si="77"/>
        <v>1</v>
      </c>
    </row>
    <row r="70">
      <c r="A70" s="130">
        <v>45360.0</v>
      </c>
      <c r="B70" s="131"/>
      <c r="C70" s="132"/>
      <c r="D70" s="132"/>
      <c r="E70" s="133"/>
      <c r="F70" s="134"/>
      <c r="G70" s="135"/>
      <c r="H70" s="135"/>
      <c r="I70" s="136"/>
      <c r="J70" s="137"/>
      <c r="K70" s="138" t="s">
        <v>27</v>
      </c>
      <c r="L70" s="139">
        <f>AVERAGEIFS(Sentiment!$K:$K, Sentiment!$C:$C, $A70, Sentiment!$J:$J, "YES")
</f>
        <v>0.8</v>
      </c>
      <c r="M70" s="139"/>
      <c r="N70" s="140"/>
      <c r="O70" s="139">
        <f>AVERAGEIFS(Sentiment!P:P, Sentiment!C:C, A70, Sentiment!J:J, "YES")
</f>
        <v>0.6</v>
      </c>
      <c r="P70" s="141"/>
      <c r="Q70" s="142"/>
    </row>
    <row r="71">
      <c r="A71" s="130">
        <v>45361.0</v>
      </c>
      <c r="B71" s="143"/>
      <c r="C71" s="144"/>
      <c r="D71" s="144"/>
      <c r="E71" s="145"/>
      <c r="F71" s="146"/>
      <c r="G71" s="147"/>
      <c r="H71" s="147"/>
      <c r="I71" s="148"/>
      <c r="J71" s="160"/>
      <c r="K71" s="150" t="s">
        <v>27</v>
      </c>
      <c r="L71" s="151">
        <f>AVERAGEIFS(Sentiment!$K:$K, Sentiment!$C:$C, $A71, Sentiment!$J:$J, "YES")
</f>
        <v>0</v>
      </c>
      <c r="M71" s="151"/>
      <c r="N71" s="157"/>
      <c r="O71" s="151">
        <f>AVERAGEIFS(Sentiment!P:P, Sentiment!C:C, A71, Sentiment!J:J, "YES")
</f>
        <v>0.3</v>
      </c>
      <c r="P71" s="158"/>
      <c r="Q71" s="159"/>
    </row>
    <row r="72">
      <c r="A72" s="130">
        <v>45362.0</v>
      </c>
      <c r="B72" s="131">
        <v>14.52</v>
      </c>
      <c r="C72" s="132">
        <f>B72/B69-1</f>
        <v>0.00693481276</v>
      </c>
      <c r="D72" s="132">
        <f t="shared" ref="D72:D75" si="81">C73</f>
        <v>0.01033057851</v>
      </c>
      <c r="E72" s="133">
        <f t="shared" ref="E72:E76" si="82">IF(D72&gt;0,1,0)</f>
        <v>1</v>
      </c>
      <c r="F72" s="134">
        <v>10325.7</v>
      </c>
      <c r="G72" s="135">
        <f>F72/F69-1</f>
        <v>0.001940673608</v>
      </c>
      <c r="H72" s="135">
        <f t="shared" ref="H72:H75" si="83">D72-G73</f>
        <v>0.004209928096</v>
      </c>
      <c r="I72" s="136">
        <v>82.21</v>
      </c>
      <c r="J72" s="155">
        <f>I72/I69-1</f>
        <v>0.001583820663</v>
      </c>
      <c r="K72" s="138" t="s">
        <v>27</v>
      </c>
      <c r="L72" s="139">
        <f>AVERAGEIFS(Sentiment!$K:$K, Sentiment!$C:$C, $A72, Sentiment!$J:$J, "YES")
</f>
        <v>0.2333333333</v>
      </c>
      <c r="M72" s="152">
        <v>0.25</v>
      </c>
      <c r="N72" s="153">
        <f t="shared" ref="N72:N76" si="84">IF(M72&gt;0,1,0)</f>
        <v>1</v>
      </c>
      <c r="O72" s="139">
        <f>AVERAGEIFS(Sentiment!P:P, Sentiment!C:C, A72, Sentiment!J:J, "YES")
</f>
        <v>0.4333333333</v>
      </c>
      <c r="P72" s="152">
        <v>0.42</v>
      </c>
      <c r="Q72" s="154">
        <f t="shared" ref="Q72:Q76" si="85">IF(P72&gt;0,1,0)</f>
        <v>1</v>
      </c>
    </row>
    <row r="73">
      <c r="A73" s="130">
        <v>45363.0</v>
      </c>
      <c r="B73" s="143">
        <v>14.67</v>
      </c>
      <c r="C73" s="144">
        <f t="shared" ref="C73:C76" si="86">B73/B72-1</f>
        <v>0.01033057851</v>
      </c>
      <c r="D73" s="144">
        <f t="shared" si="81"/>
        <v>0.02385821404</v>
      </c>
      <c r="E73" s="145">
        <f t="shared" si="82"/>
        <v>1</v>
      </c>
      <c r="F73" s="146">
        <v>10388.9</v>
      </c>
      <c r="G73" s="147">
        <f t="shared" ref="G73:G76" si="87">F73/F72-1</f>
        <v>0.006120650416</v>
      </c>
      <c r="H73" s="147">
        <f t="shared" si="83"/>
        <v>0.007340584649</v>
      </c>
      <c r="I73" s="148">
        <v>81.92</v>
      </c>
      <c r="J73" s="156">
        <f t="shared" ref="J73:J76" si="88">I73/I72-1</f>
        <v>-0.003527551393</v>
      </c>
      <c r="K73" s="150" t="s">
        <v>27</v>
      </c>
      <c r="L73" s="151">
        <f>AVERAGEIFS(Sentiment!$K:$K, Sentiment!$C:$C, $A73, Sentiment!$J:$J, "YES")
</f>
        <v>0.6714285714</v>
      </c>
      <c r="M73" s="151">
        <f>AVERAGEIFS(Sentiment!$K:$K, Sentiment!$C:$C, $A73, Sentiment!$J:$J, "YES")
</f>
        <v>0.6714285714</v>
      </c>
      <c r="N73" s="157">
        <f t="shared" si="84"/>
        <v>1</v>
      </c>
      <c r="O73" s="151">
        <f>AVERAGEIFS(Sentiment!P:P, Sentiment!C:C, A73, Sentiment!J:J, "YES")
</f>
        <v>0.5285714286</v>
      </c>
      <c r="P73" s="158">
        <v>0.5285714285714286</v>
      </c>
      <c r="Q73" s="159">
        <f t="shared" si="85"/>
        <v>1</v>
      </c>
    </row>
    <row r="74">
      <c r="A74" s="130">
        <v>45364.0</v>
      </c>
      <c r="B74" s="131">
        <v>15.02</v>
      </c>
      <c r="C74" s="132">
        <f t="shared" si="86"/>
        <v>0.02385821404</v>
      </c>
      <c r="D74" s="132">
        <f t="shared" si="81"/>
        <v>0.005326231691</v>
      </c>
      <c r="E74" s="133">
        <f t="shared" si="82"/>
        <v>1</v>
      </c>
      <c r="F74" s="134">
        <v>10560.5</v>
      </c>
      <c r="G74" s="135">
        <f t="shared" si="87"/>
        <v>0.01651762939</v>
      </c>
      <c r="H74" s="135">
        <f t="shared" si="83"/>
        <v>0.01195470572</v>
      </c>
      <c r="I74" s="136">
        <v>84.03</v>
      </c>
      <c r="J74" s="155">
        <f t="shared" si="88"/>
        <v>0.02575683594</v>
      </c>
      <c r="K74" s="138" t="s">
        <v>27</v>
      </c>
      <c r="L74" s="139">
        <f>AVERAGEIFS(Sentiment!$K:$K, Sentiment!$C:$C, $A74, Sentiment!$J:$J, "YES")
</f>
        <v>-0.2</v>
      </c>
      <c r="M74" s="139">
        <f>AVERAGEIFS(Sentiment!$K:$K, Sentiment!$C:$C, $A74, Sentiment!$J:$J, "YES")
</f>
        <v>-0.2</v>
      </c>
      <c r="N74" s="140">
        <f t="shared" si="84"/>
        <v>0</v>
      </c>
      <c r="O74" s="139">
        <f>AVERAGEIFS(Sentiment!P:P, Sentiment!C:C, A74, Sentiment!J:J, "YES")
</f>
        <v>0.06666666667</v>
      </c>
      <c r="P74" s="141">
        <v>0.06666666666666665</v>
      </c>
      <c r="Q74" s="142">
        <f t="shared" si="85"/>
        <v>1</v>
      </c>
    </row>
    <row r="75">
      <c r="A75" s="130">
        <v>45365.0</v>
      </c>
      <c r="B75" s="143">
        <v>15.1</v>
      </c>
      <c r="C75" s="144">
        <f t="shared" si="86"/>
        <v>0.005326231691</v>
      </c>
      <c r="D75" s="144">
        <f t="shared" si="81"/>
        <v>-0.004635761589</v>
      </c>
      <c r="E75" s="145">
        <f t="shared" si="82"/>
        <v>0</v>
      </c>
      <c r="F75" s="146">
        <v>10490.5</v>
      </c>
      <c r="G75" s="147">
        <f t="shared" si="87"/>
        <v>-0.006628474031</v>
      </c>
      <c r="H75" s="147">
        <f t="shared" si="83"/>
        <v>-0.01487359582</v>
      </c>
      <c r="I75" s="148">
        <v>85.42</v>
      </c>
      <c r="J75" s="156">
        <f t="shared" si="88"/>
        <v>0.01654171129</v>
      </c>
      <c r="K75" s="150" t="s">
        <v>27</v>
      </c>
      <c r="L75" s="151">
        <f>AVERAGEIFS(Sentiment!$K:$K, Sentiment!$C:$C, $A75, Sentiment!$J:$J, "YES")
</f>
        <v>0.4833333333</v>
      </c>
      <c r="M75" s="151">
        <f>AVERAGEIFS(Sentiment!$K:$K, Sentiment!$C:$C, $A75, Sentiment!$J:$J, "YES")
</f>
        <v>0.4833333333</v>
      </c>
      <c r="N75" s="157">
        <f t="shared" si="84"/>
        <v>1</v>
      </c>
      <c r="O75" s="151">
        <f>AVERAGEIFS(Sentiment!P:P, Sentiment!C:C, A75, Sentiment!J:J, "YES")
</f>
        <v>0.4333333333</v>
      </c>
      <c r="P75" s="158">
        <v>0.4333333333333333</v>
      </c>
      <c r="Q75" s="159">
        <f t="shared" si="85"/>
        <v>1</v>
      </c>
    </row>
    <row r="76">
      <c r="A76" s="130">
        <v>45366.0</v>
      </c>
      <c r="B76" s="131">
        <v>15.03</v>
      </c>
      <c r="C76" s="132">
        <f t="shared" si="86"/>
        <v>-0.004635761589</v>
      </c>
      <c r="D76" s="132">
        <f>C79</f>
        <v>0.01397205589</v>
      </c>
      <c r="E76" s="133">
        <f t="shared" si="82"/>
        <v>1</v>
      </c>
      <c r="F76" s="134">
        <v>10597.9</v>
      </c>
      <c r="G76" s="135">
        <f t="shared" si="87"/>
        <v>0.01023783423</v>
      </c>
      <c r="H76" s="135">
        <f>D76-G79</f>
        <v>0.01408528587</v>
      </c>
      <c r="I76" s="136">
        <v>85.34</v>
      </c>
      <c r="J76" s="155">
        <f t="shared" si="88"/>
        <v>-0.0009365488176</v>
      </c>
      <c r="K76" s="138" t="s">
        <v>27</v>
      </c>
      <c r="L76" s="139">
        <f>AVERAGEIFS(Sentiment!$K:$K, Sentiment!$C:$C, $A76, Sentiment!$J:$J, "YES")
</f>
        <v>0.5</v>
      </c>
      <c r="M76" s="139">
        <f>AVERAGEIFS(Sentiment!$K:$K, Sentiment!$C:$C, $A76, Sentiment!$J:$J, "YES")
</f>
        <v>0.5</v>
      </c>
      <c r="N76" s="140">
        <f t="shared" si="84"/>
        <v>1</v>
      </c>
      <c r="O76" s="139">
        <f>AVERAGEIFS(Sentiment!P:P, Sentiment!C:C, A76, Sentiment!J:J, "YES")
</f>
        <v>0.5</v>
      </c>
      <c r="P76" s="141">
        <v>0.49999999999999994</v>
      </c>
      <c r="Q76" s="142">
        <f t="shared" si="85"/>
        <v>1</v>
      </c>
    </row>
    <row r="77">
      <c r="A77" s="130">
        <v>45367.0</v>
      </c>
      <c r="B77" s="143"/>
      <c r="C77" s="144"/>
      <c r="D77" s="144"/>
      <c r="E77" s="145"/>
      <c r="F77" s="146"/>
      <c r="G77" s="147"/>
      <c r="H77" s="147"/>
      <c r="I77" s="148"/>
      <c r="J77" s="160"/>
      <c r="K77" s="150" t="s">
        <v>27</v>
      </c>
      <c r="L77" s="151">
        <f>AVERAGEIFS(Sentiment!$K:$K, Sentiment!$C:$C, $A77, Sentiment!$J:$J, "YES")
</f>
        <v>0</v>
      </c>
      <c r="M77" s="151"/>
      <c r="N77" s="157"/>
      <c r="O77" s="151">
        <f>AVERAGEIFS(Sentiment!P:P, Sentiment!C:C, A77, Sentiment!J:J, "YES")
</f>
        <v>0</v>
      </c>
      <c r="P77" s="158"/>
      <c r="Q77" s="159"/>
    </row>
    <row r="78">
      <c r="A78" s="130">
        <v>45368.0</v>
      </c>
      <c r="B78" s="131"/>
      <c r="C78" s="132"/>
      <c r="D78" s="132"/>
      <c r="E78" s="133"/>
      <c r="F78" s="134"/>
      <c r="G78" s="135"/>
      <c r="H78" s="135"/>
      <c r="I78" s="136"/>
      <c r="J78" s="137"/>
      <c r="K78" s="138" t="s">
        <v>27</v>
      </c>
      <c r="L78" s="139">
        <f>AVERAGEIFS(Sentiment!$K:$K, Sentiment!$C:$C, $A78, Sentiment!$J:$J, "YES")
</f>
        <v>0.5</v>
      </c>
      <c r="M78" s="139"/>
      <c r="N78" s="140"/>
      <c r="O78" s="139">
        <f>AVERAGEIFS(Sentiment!P:P, Sentiment!C:C, A78, Sentiment!J:J, "YES")
</f>
        <v>0.6666666667</v>
      </c>
      <c r="P78" s="141"/>
      <c r="Q78" s="142"/>
    </row>
    <row r="79">
      <c r="A79" s="130">
        <v>45369.0</v>
      </c>
      <c r="B79" s="143">
        <v>15.24</v>
      </c>
      <c r="C79" s="144">
        <f>B79/B76-1</f>
        <v>0.01397205589</v>
      </c>
      <c r="D79" s="144">
        <f t="shared" ref="D79:D82" si="89">C80</f>
        <v>0.01377952756</v>
      </c>
      <c r="E79" s="145">
        <f t="shared" ref="E79:E83" si="90">IF(D79&gt;0,1,0)</f>
        <v>1</v>
      </c>
      <c r="F79" s="146">
        <v>10596.7</v>
      </c>
      <c r="G79" s="147">
        <f>F79/F76-1</f>
        <v>-0.0001132299795</v>
      </c>
      <c r="H79" s="147">
        <f t="shared" ref="H79:H82" si="91">D79-G80</f>
        <v>0.003899093084</v>
      </c>
      <c r="I79" s="148">
        <v>86.98</v>
      </c>
      <c r="J79" s="156">
        <f>I79/I76-1</f>
        <v>0.01921724865</v>
      </c>
      <c r="K79" s="150" t="s">
        <v>27</v>
      </c>
      <c r="L79" s="151">
        <f>AVERAGEIFS(Sentiment!$K:$K, Sentiment!$C:$C, $A79, Sentiment!$J:$J, "YES")
</f>
        <v>-0.1888888889</v>
      </c>
      <c r="M79" s="152">
        <v>0.01</v>
      </c>
      <c r="N79" s="153">
        <f t="shared" ref="N79:N83" si="92">IF(M79&gt;0,1,0)</f>
        <v>1</v>
      </c>
      <c r="O79" s="151">
        <f>AVERAGEIFS(Sentiment!P:P, Sentiment!C:C, A79, Sentiment!J:J, "YES")
</f>
        <v>-0.1555555556</v>
      </c>
      <c r="P79" s="152">
        <v>0.05</v>
      </c>
      <c r="Q79" s="154">
        <f t="shared" ref="Q79:Q83" si="93">IF(P79&gt;0,1,0)</f>
        <v>1</v>
      </c>
    </row>
    <row r="80">
      <c r="A80" s="130">
        <v>45370.0</v>
      </c>
      <c r="B80" s="131">
        <v>15.45</v>
      </c>
      <c r="C80" s="132">
        <f t="shared" ref="C80:C83" si="94">B80/B79-1</f>
        <v>0.01377952756</v>
      </c>
      <c r="D80" s="132">
        <f t="shared" si="89"/>
        <v>-0.005825242718</v>
      </c>
      <c r="E80" s="133">
        <f t="shared" si="90"/>
        <v>0</v>
      </c>
      <c r="F80" s="134">
        <v>10701.4</v>
      </c>
      <c r="G80" s="135">
        <f t="shared" ref="G80:G83" si="95">F80/F79-1</f>
        <v>0.009880434475</v>
      </c>
      <c r="H80" s="135">
        <f t="shared" si="91"/>
        <v>-0.01060031888</v>
      </c>
      <c r="I80" s="136">
        <v>87.38</v>
      </c>
      <c r="J80" s="155">
        <f t="shared" ref="J80:J83" si="96">I80/I79-1</f>
        <v>0.004598758335</v>
      </c>
      <c r="K80" s="138" t="s">
        <v>27</v>
      </c>
      <c r="L80" s="139">
        <f>AVERAGEIFS(Sentiment!$K:$K, Sentiment!$C:$C, $A80, Sentiment!$J:$J, "YES")
</f>
        <v>0</v>
      </c>
      <c r="M80" s="139">
        <f>AVERAGEIFS(Sentiment!$K:$K, Sentiment!$C:$C, $A80, Sentiment!$J:$J, "YES")
</f>
        <v>0</v>
      </c>
      <c r="N80" s="140">
        <f t="shared" si="92"/>
        <v>0</v>
      </c>
      <c r="O80" s="139">
        <f>AVERAGEIFS(Sentiment!P:P, Sentiment!C:C, A80, Sentiment!J:J, "YES")
</f>
        <v>-0.275</v>
      </c>
      <c r="P80" s="141">
        <v>-0.27499999999999997</v>
      </c>
      <c r="Q80" s="142">
        <f t="shared" si="93"/>
        <v>0</v>
      </c>
    </row>
    <row r="81">
      <c r="A81" s="130">
        <v>45371.0</v>
      </c>
      <c r="B81" s="143">
        <v>15.36</v>
      </c>
      <c r="C81" s="144">
        <f t="shared" si="94"/>
        <v>-0.005825242718</v>
      </c>
      <c r="D81" s="144">
        <f t="shared" si="89"/>
        <v>-0.00390625</v>
      </c>
      <c r="E81" s="145">
        <f t="shared" si="90"/>
        <v>0</v>
      </c>
      <c r="F81" s="146">
        <v>10752.5</v>
      </c>
      <c r="G81" s="147">
        <f t="shared" si="95"/>
        <v>0.004775076158</v>
      </c>
      <c r="H81" s="147">
        <f t="shared" si="91"/>
        <v>-0.01460143717</v>
      </c>
      <c r="I81" s="148">
        <v>85.95</v>
      </c>
      <c r="J81" s="156">
        <f t="shared" si="96"/>
        <v>-0.01636530098</v>
      </c>
      <c r="K81" s="150" t="s">
        <v>27</v>
      </c>
      <c r="L81" s="151">
        <f>AVERAGEIFS(Sentiment!$K:$K, Sentiment!$C:$C, $A81, Sentiment!$J:$J, "YES")
</f>
        <v>0.2888888889</v>
      </c>
      <c r="M81" s="151">
        <f>AVERAGEIFS(Sentiment!$K:$K, Sentiment!$C:$C, $A81, Sentiment!$J:$J, "YES")
</f>
        <v>0.2888888889</v>
      </c>
      <c r="N81" s="157">
        <f t="shared" si="92"/>
        <v>1</v>
      </c>
      <c r="O81" s="151">
        <f>AVERAGEIFS(Sentiment!P:P, Sentiment!C:C, A81, Sentiment!J:J, "YES")
</f>
        <v>0.2111111111</v>
      </c>
      <c r="P81" s="158">
        <v>0.2111111111111111</v>
      </c>
      <c r="Q81" s="159">
        <f t="shared" si="93"/>
        <v>1</v>
      </c>
    </row>
    <row r="82">
      <c r="A82" s="130">
        <v>45372.0</v>
      </c>
      <c r="B82" s="131">
        <v>15.3</v>
      </c>
      <c r="C82" s="132">
        <f t="shared" si="94"/>
        <v>-0.00390625</v>
      </c>
      <c r="D82" s="132">
        <f t="shared" si="89"/>
        <v>-0.001307189542</v>
      </c>
      <c r="E82" s="133">
        <f t="shared" si="90"/>
        <v>0</v>
      </c>
      <c r="F82" s="134">
        <v>10867.5</v>
      </c>
      <c r="G82" s="135">
        <f t="shared" si="95"/>
        <v>0.01069518717</v>
      </c>
      <c r="H82" s="135">
        <f t="shared" si="91"/>
        <v>-0.00827291303</v>
      </c>
      <c r="I82" s="136">
        <v>85.78</v>
      </c>
      <c r="J82" s="155">
        <f t="shared" si="96"/>
        <v>-0.001977894124</v>
      </c>
      <c r="K82" s="138" t="s">
        <v>27</v>
      </c>
      <c r="L82" s="139">
        <f>AVERAGEIFS(Sentiment!$K:$K, Sentiment!$C:$C, $A82, Sentiment!$J:$J, "YES")
</f>
        <v>-0.2571428571</v>
      </c>
      <c r="M82" s="139">
        <f>AVERAGEIFS(Sentiment!$K:$K, Sentiment!$C:$C, $A82, Sentiment!$J:$J, "YES")
</f>
        <v>-0.2571428571</v>
      </c>
      <c r="N82" s="140">
        <f t="shared" si="92"/>
        <v>0</v>
      </c>
      <c r="O82" s="139">
        <f>AVERAGEIFS(Sentiment!P:P, Sentiment!C:C, A82, Sentiment!J:J, "YES")
</f>
        <v>-0.2285714286</v>
      </c>
      <c r="P82" s="141">
        <v>-0.2285714285714286</v>
      </c>
      <c r="Q82" s="142">
        <f t="shared" si="93"/>
        <v>0</v>
      </c>
    </row>
    <row r="83">
      <c r="A83" s="130">
        <v>45373.0</v>
      </c>
      <c r="B83" s="143">
        <v>15.28</v>
      </c>
      <c r="C83" s="144">
        <f t="shared" si="94"/>
        <v>-0.001307189542</v>
      </c>
      <c r="D83" s="144">
        <f>C86</f>
        <v>0.005235602094</v>
      </c>
      <c r="E83" s="145">
        <f t="shared" si="90"/>
        <v>1</v>
      </c>
      <c r="F83" s="146">
        <v>10943.2</v>
      </c>
      <c r="G83" s="147">
        <f t="shared" si="95"/>
        <v>0.006965723487</v>
      </c>
      <c r="H83" s="147">
        <f>D83-G86</f>
        <v>0.004413173554</v>
      </c>
      <c r="I83" s="148">
        <v>85.43</v>
      </c>
      <c r="J83" s="156">
        <f t="shared" si="96"/>
        <v>-0.004080205176</v>
      </c>
      <c r="K83" s="150" t="s">
        <v>27</v>
      </c>
      <c r="L83" s="151">
        <f>AVERAGEIFS(Sentiment!$K:$K, Sentiment!$C:$C, $A83, Sentiment!$J:$J, "YES")
</f>
        <v>0.43</v>
      </c>
      <c r="M83" s="151">
        <f>AVERAGEIFS(Sentiment!$K:$K, Sentiment!$C:$C, $A83, Sentiment!$J:$J, "YES")
</f>
        <v>0.43</v>
      </c>
      <c r="N83" s="157">
        <f t="shared" si="92"/>
        <v>1</v>
      </c>
      <c r="O83" s="151">
        <f>AVERAGEIFS(Sentiment!P:P, Sentiment!C:C, A83, Sentiment!J:J, "YES")
</f>
        <v>0.35</v>
      </c>
      <c r="P83" s="158">
        <v>0.35</v>
      </c>
      <c r="Q83" s="159">
        <f t="shared" si="93"/>
        <v>1</v>
      </c>
    </row>
    <row r="84">
      <c r="A84" s="130">
        <v>45374.0</v>
      </c>
      <c r="B84" s="131"/>
      <c r="C84" s="132"/>
      <c r="D84" s="132"/>
      <c r="E84" s="133"/>
      <c r="F84" s="134"/>
      <c r="G84" s="135"/>
      <c r="H84" s="135"/>
      <c r="I84" s="136"/>
      <c r="J84" s="137"/>
      <c r="K84" s="138" t="s">
        <v>27</v>
      </c>
      <c r="L84" s="139">
        <f>AVERAGEIFS(Sentiment!$K:$K, Sentiment!$C:$C, $A84, Sentiment!$J:$J, "YES")
</f>
        <v>-0.7</v>
      </c>
      <c r="M84" s="139"/>
      <c r="N84" s="140"/>
      <c r="O84" s="139">
        <f>AVERAGEIFS(Sentiment!P:P, Sentiment!C:C, A84, Sentiment!J:J, "YES")
</f>
        <v>-0.8</v>
      </c>
      <c r="P84" s="141"/>
      <c r="Q84" s="142"/>
    </row>
    <row r="85">
      <c r="A85" s="130">
        <v>45375.0</v>
      </c>
      <c r="B85" s="143"/>
      <c r="C85" s="144"/>
      <c r="D85" s="144"/>
      <c r="E85" s="145"/>
      <c r="F85" s="146"/>
      <c r="G85" s="147"/>
      <c r="H85" s="147"/>
      <c r="I85" s="148"/>
      <c r="J85" s="160"/>
      <c r="K85" s="150" t="s">
        <v>27</v>
      </c>
      <c r="L85" s="151">
        <f>AVERAGEIFS(Sentiment!$K:$K, Sentiment!$C:$C, $A85, Sentiment!$J:$J, "YES")
</f>
        <v>-0.34</v>
      </c>
      <c r="M85" s="151"/>
      <c r="N85" s="157"/>
      <c r="O85" s="151">
        <f>AVERAGEIFS(Sentiment!P:P, Sentiment!C:C, A85, Sentiment!J:J, "YES")
</f>
        <v>-0.46</v>
      </c>
      <c r="P85" s="158"/>
      <c r="Q85" s="159"/>
    </row>
    <row r="86">
      <c r="A86" s="130">
        <v>45376.0</v>
      </c>
      <c r="B86" s="131">
        <v>15.36</v>
      </c>
      <c r="C86" s="132">
        <f>B86/B83-1</f>
        <v>0.005235602094</v>
      </c>
      <c r="D86" s="132">
        <f t="shared" ref="D86:D88" si="97">C87</f>
        <v>0.004557291667</v>
      </c>
      <c r="E86" s="133">
        <f t="shared" ref="E86:E89" si="98">IF(D86&gt;0,1,0)</f>
        <v>1</v>
      </c>
      <c r="F86" s="134">
        <v>10952.2</v>
      </c>
      <c r="G86" s="135">
        <f>F86/F83-1</f>
        <v>0.0008224285401</v>
      </c>
      <c r="H86" s="135">
        <f t="shared" ref="H86:H89" si="99">D86-G87</f>
        <v>0.0009689715118</v>
      </c>
      <c r="I86" s="136">
        <v>86.75</v>
      </c>
      <c r="J86" s="155">
        <f>I86/I83-1</f>
        <v>0.01545124663</v>
      </c>
      <c r="K86" s="138" t="s">
        <v>27</v>
      </c>
      <c r="L86" s="139">
        <f>AVERAGEIFS(Sentiment!$K:$K, Sentiment!$C:$C, $A86, Sentiment!$J:$J, "YES")
</f>
        <v>0.325</v>
      </c>
      <c r="M86" s="152">
        <v>0.14</v>
      </c>
      <c r="N86" s="153">
        <f t="shared" ref="N86:N89" si="100">IF(M86&gt;0,1,0)</f>
        <v>1</v>
      </c>
      <c r="O86" s="139">
        <f>AVERAGEIFS(Sentiment!P:P, Sentiment!C:C, A86, Sentiment!J:J, "YES")
</f>
        <v>0.4</v>
      </c>
      <c r="P86" s="152">
        <v>0.0</v>
      </c>
      <c r="Q86" s="154">
        <f t="shared" ref="Q86:Q89" si="101">IF(P86&gt;0,1,0)</f>
        <v>0</v>
      </c>
    </row>
    <row r="87">
      <c r="A87" s="130">
        <v>45377.0</v>
      </c>
      <c r="B87" s="143">
        <v>15.43</v>
      </c>
      <c r="C87" s="144">
        <f t="shared" ref="C87:C89" si="102">B87/B86-1</f>
        <v>0.004557291667</v>
      </c>
      <c r="D87" s="144">
        <f t="shared" si="97"/>
        <v>-0.00388852884</v>
      </c>
      <c r="E87" s="145">
        <f t="shared" si="98"/>
        <v>0</v>
      </c>
      <c r="F87" s="146">
        <v>10991.5</v>
      </c>
      <c r="G87" s="147">
        <f t="shared" ref="G87:G89" si="103">F87/F86-1</f>
        <v>0.003588320155</v>
      </c>
      <c r="H87" s="147">
        <f t="shared" si="99"/>
        <v>-0.01478786014</v>
      </c>
      <c r="I87" s="148">
        <v>86.25</v>
      </c>
      <c r="J87" s="156">
        <f t="shared" ref="J87:J89" si="104">I87/I86-1</f>
        <v>-0.005763688761</v>
      </c>
      <c r="K87" s="150" t="s">
        <v>27</v>
      </c>
      <c r="L87" s="151">
        <f>AVERAGEIFS(Sentiment!$K:$K, Sentiment!$C:$C, $A87, Sentiment!$J:$J, "YES")
</f>
        <v>0.4428571429</v>
      </c>
      <c r="M87" s="151">
        <f>AVERAGEIFS(Sentiment!$K:$K, Sentiment!$C:$C, $A87, Sentiment!$J:$J, "YES")
</f>
        <v>0.4428571429</v>
      </c>
      <c r="N87" s="157">
        <f t="shared" si="100"/>
        <v>1</v>
      </c>
      <c r="O87" s="151">
        <f>AVERAGEIFS(Sentiment!P:P, Sentiment!C:C, A87, Sentiment!J:J, "YES")
</f>
        <v>0.3785714286</v>
      </c>
      <c r="P87" s="158">
        <v>0.3785714285714285</v>
      </c>
      <c r="Q87" s="159">
        <f t="shared" si="101"/>
        <v>1</v>
      </c>
    </row>
    <row r="88">
      <c r="A88" s="130">
        <v>45378.0</v>
      </c>
      <c r="B88" s="131">
        <v>15.37</v>
      </c>
      <c r="C88" s="132">
        <f t="shared" si="102"/>
        <v>-0.00388852884</v>
      </c>
      <c r="D88" s="132">
        <f t="shared" si="97"/>
        <v>0.00455432661</v>
      </c>
      <c r="E88" s="133">
        <f t="shared" si="98"/>
        <v>1</v>
      </c>
      <c r="F88" s="134">
        <v>11111.3</v>
      </c>
      <c r="G88" s="135">
        <f t="shared" si="103"/>
        <v>0.0108993313</v>
      </c>
      <c r="H88" s="135">
        <f t="shared" si="99"/>
        <v>0.00785727046</v>
      </c>
      <c r="I88" s="136">
        <v>86.09</v>
      </c>
      <c r="J88" s="155">
        <f t="shared" si="104"/>
        <v>-0.001855072464</v>
      </c>
      <c r="K88" s="138" t="s">
        <v>27</v>
      </c>
      <c r="L88" s="139">
        <f>AVERAGEIFS(Sentiment!$K:$K, Sentiment!$C:$C, $A88, Sentiment!$J:$J, "YES")
</f>
        <v>0.3666666667</v>
      </c>
      <c r="M88" s="139">
        <f>AVERAGEIFS(Sentiment!$K:$K, Sentiment!$C:$C, $A88, Sentiment!$J:$J, "YES")
</f>
        <v>0.3666666667</v>
      </c>
      <c r="N88" s="140">
        <f t="shared" si="100"/>
        <v>1</v>
      </c>
      <c r="O88" s="139">
        <f>AVERAGEIFS(Sentiment!P:P, Sentiment!C:C, A88, Sentiment!J:J, "YES")
</f>
        <v>0.1333333333</v>
      </c>
      <c r="P88" s="141">
        <v>0.13333333333333333</v>
      </c>
      <c r="Q88" s="142">
        <f t="shared" si="101"/>
        <v>1</v>
      </c>
    </row>
    <row r="89">
      <c r="A89" s="130">
        <v>45379.0</v>
      </c>
      <c r="B89" s="143">
        <v>15.44</v>
      </c>
      <c r="C89" s="144">
        <f t="shared" si="102"/>
        <v>0.00455432661</v>
      </c>
      <c r="D89" s="144">
        <f>C94</f>
        <v>0.03238341969</v>
      </c>
      <c r="E89" s="145">
        <f t="shared" si="98"/>
        <v>1</v>
      </c>
      <c r="F89" s="146">
        <v>11074.6</v>
      </c>
      <c r="G89" s="147">
        <f t="shared" si="103"/>
        <v>-0.00330294385</v>
      </c>
      <c r="H89" s="147">
        <f t="shared" si="99"/>
        <v>0.03238341969</v>
      </c>
      <c r="I89" s="148">
        <v>87.48</v>
      </c>
      <c r="J89" s="156">
        <f t="shared" si="104"/>
        <v>0.01614589383</v>
      </c>
      <c r="K89" s="150" t="s">
        <v>27</v>
      </c>
      <c r="L89" s="151">
        <f>AVERAGEIFS(Sentiment!$K:$K, Sentiment!$C:$C, $A89, Sentiment!$J:$J, "YES")
</f>
        <v>0.5</v>
      </c>
      <c r="M89" s="151">
        <f>AVERAGEIFS(Sentiment!$K:$K, Sentiment!$C:$C, $A89, Sentiment!$J:$J, "YES")
</f>
        <v>0.5</v>
      </c>
      <c r="N89" s="157">
        <f t="shared" si="100"/>
        <v>1</v>
      </c>
      <c r="O89" s="151">
        <f>AVERAGEIFS(Sentiment!P:P, Sentiment!C:C, A89, Sentiment!J:J, "YES")
</f>
        <v>0.2666666667</v>
      </c>
      <c r="P89" s="158">
        <v>0.26666666666666666</v>
      </c>
      <c r="Q89" s="159">
        <f t="shared" si="101"/>
        <v>1</v>
      </c>
    </row>
    <row r="90">
      <c r="A90" s="130">
        <v>45380.0</v>
      </c>
      <c r="B90" s="131"/>
      <c r="C90" s="132"/>
      <c r="D90" s="132" t="str">
        <f>C93</f>
        <v/>
      </c>
      <c r="E90" s="133"/>
      <c r="F90" s="134"/>
      <c r="G90" s="135"/>
      <c r="H90" s="135">
        <f>D90-G93</f>
        <v>0</v>
      </c>
      <c r="I90" s="136"/>
      <c r="J90" s="137"/>
      <c r="K90" s="138" t="s">
        <v>27</v>
      </c>
      <c r="L90" s="139">
        <v>0.0</v>
      </c>
      <c r="M90" s="139"/>
      <c r="N90" s="140"/>
      <c r="O90" s="162">
        <v>0.0</v>
      </c>
      <c r="P90" s="165"/>
      <c r="Q90" s="166"/>
    </row>
    <row r="91">
      <c r="A91" s="130">
        <v>45381.0</v>
      </c>
      <c r="B91" s="143"/>
      <c r="C91" s="144"/>
      <c r="D91" s="144"/>
      <c r="E91" s="145"/>
      <c r="F91" s="146"/>
      <c r="G91" s="147"/>
      <c r="H91" s="147"/>
      <c r="I91" s="148"/>
      <c r="J91" s="160"/>
      <c r="K91" s="150" t="s">
        <v>27</v>
      </c>
      <c r="L91" s="151">
        <v>0.0</v>
      </c>
      <c r="M91" s="151"/>
      <c r="N91" s="157"/>
      <c r="O91" s="162">
        <v>0.0</v>
      </c>
      <c r="P91" s="163"/>
      <c r="Q91" s="164"/>
    </row>
    <row r="92">
      <c r="A92" s="130">
        <v>45382.0</v>
      </c>
      <c r="B92" s="131"/>
      <c r="C92" s="132"/>
      <c r="D92" s="132"/>
      <c r="E92" s="133"/>
      <c r="F92" s="134"/>
      <c r="G92" s="135"/>
      <c r="H92" s="135"/>
      <c r="I92" s="136"/>
      <c r="J92" s="137"/>
      <c r="K92" s="138" t="s">
        <v>27</v>
      </c>
      <c r="L92" s="139">
        <f>AVERAGEIFS(Sentiment!$K:$K, Sentiment!$C:$C, $A92, Sentiment!$J:$J, "YES")
</f>
        <v>0.18</v>
      </c>
      <c r="M92" s="139"/>
      <c r="N92" s="140"/>
      <c r="O92" s="139">
        <f>AVERAGEIFS(Sentiment!P:P, Sentiment!C:C, A92, Sentiment!J:J, "YES")
</f>
        <v>0.02</v>
      </c>
      <c r="P92" s="141"/>
      <c r="Q92" s="142"/>
    </row>
    <row r="93">
      <c r="A93" s="130">
        <v>45383.0</v>
      </c>
      <c r="B93" s="143"/>
      <c r="C93" s="144"/>
      <c r="D93" s="144"/>
      <c r="E93" s="145"/>
      <c r="F93" s="146"/>
      <c r="G93" s="147"/>
      <c r="H93" s="147"/>
      <c r="I93" s="167">
        <v>87.42</v>
      </c>
      <c r="J93" s="160"/>
      <c r="K93" s="150" t="s">
        <v>27</v>
      </c>
      <c r="L93" s="151">
        <f>AVERAGEIFS(Sentiment!$K:$K, Sentiment!$C:$C, $A93, Sentiment!$J:$J, "YES")
</f>
        <v>0.375</v>
      </c>
      <c r="M93" s="151"/>
      <c r="N93" s="157"/>
      <c r="O93" s="151">
        <f>AVERAGEIFS(Sentiment!P:P, Sentiment!C:C, A93, Sentiment!J:J, "YES")
</f>
        <v>-0.025</v>
      </c>
      <c r="P93" s="158"/>
      <c r="Q93" s="159"/>
    </row>
    <row r="94">
      <c r="A94" s="130">
        <v>45384.0</v>
      </c>
      <c r="B94" s="131">
        <v>15.94</v>
      </c>
      <c r="C94" s="132">
        <f>B94/B89-1</f>
        <v>0.03238341969</v>
      </c>
      <c r="D94" s="132">
        <f t="shared" ref="D94:D96" si="105">C95</f>
        <v>-0.001882057716</v>
      </c>
      <c r="E94" s="133">
        <f t="shared" ref="E94:E97" si="106">IF(D94&gt;0,1,0)</f>
        <v>0</v>
      </c>
      <c r="F94" s="134">
        <v>10975.6</v>
      </c>
      <c r="G94" s="135">
        <f>F94/F89-1</f>
        <v>-0.008939374786</v>
      </c>
      <c r="H94" s="135">
        <f t="shared" ref="H94:H96" si="107">D94-G95</f>
        <v>-0.007048062308</v>
      </c>
      <c r="I94" s="136">
        <v>88.92</v>
      </c>
      <c r="J94" s="155">
        <f>I94/I89-1</f>
        <v>0.01646090535</v>
      </c>
      <c r="K94" s="138" t="s">
        <v>27</v>
      </c>
      <c r="L94" s="139">
        <f>AVERAGEIFS(Sentiment!$K:$K, Sentiment!$C:$C, $A94, Sentiment!$J:$J, "YES")
</f>
        <v>0.1</v>
      </c>
      <c r="M94" s="152">
        <v>0.21</v>
      </c>
      <c r="N94" s="153">
        <f t="shared" ref="N94:N97" si="108">IF(M94&gt;0,1,0)</f>
        <v>1</v>
      </c>
      <c r="O94" s="139">
        <f>AVERAGEIFS(Sentiment!P:P, Sentiment!C:C, A94, Sentiment!J:J, "YES")
</f>
        <v>-0.3</v>
      </c>
      <c r="P94" s="152">
        <v>0.11</v>
      </c>
      <c r="Q94" s="154">
        <f t="shared" ref="Q94:Q97" si="109">IF(P94&gt;0,1,0)</f>
        <v>1</v>
      </c>
    </row>
    <row r="95">
      <c r="A95" s="130">
        <v>45385.0</v>
      </c>
      <c r="B95" s="143">
        <v>15.91</v>
      </c>
      <c r="C95" s="144">
        <f t="shared" ref="C95:C97" si="110">B95/B94-1</f>
        <v>-0.001882057716</v>
      </c>
      <c r="D95" s="144">
        <f t="shared" si="105"/>
        <v>0.01131363922</v>
      </c>
      <c r="E95" s="145">
        <f t="shared" si="106"/>
        <v>1</v>
      </c>
      <c r="F95" s="146">
        <v>11032.3</v>
      </c>
      <c r="G95" s="147">
        <f t="shared" ref="G95:G97" si="111">F95/F94-1</f>
        <v>0.005166004592</v>
      </c>
      <c r="H95" s="147">
        <f t="shared" si="107"/>
        <v>0.006001963505</v>
      </c>
      <c r="I95" s="148">
        <v>89.35</v>
      </c>
      <c r="J95" s="156">
        <f t="shared" ref="J95:J97" si="112">I95/I94-1</f>
        <v>0.004835807467</v>
      </c>
      <c r="K95" s="150" t="s">
        <v>27</v>
      </c>
      <c r="L95" s="151">
        <f>AVERAGEIFS(Sentiment!$K:$K, Sentiment!$C:$C, $A95, Sentiment!$J:$J, "YES")
</f>
        <v>0.36</v>
      </c>
      <c r="M95" s="151">
        <f>AVERAGEIFS(Sentiment!$K:$K, Sentiment!$C:$C, $A95, Sentiment!$J:$J, "YES")
</f>
        <v>0.36</v>
      </c>
      <c r="N95" s="157">
        <f t="shared" si="108"/>
        <v>1</v>
      </c>
      <c r="O95" s="151">
        <f>AVERAGEIFS(Sentiment!P:P, Sentiment!C:C, A95, Sentiment!J:J, "YES")
</f>
        <v>0.27</v>
      </c>
      <c r="P95" s="158">
        <v>0.2700000000000001</v>
      </c>
      <c r="Q95" s="159">
        <f t="shared" si="109"/>
        <v>1</v>
      </c>
    </row>
    <row r="96">
      <c r="A96" s="130">
        <v>45386.0</v>
      </c>
      <c r="B96" s="131">
        <v>16.09</v>
      </c>
      <c r="C96" s="132">
        <f t="shared" si="110"/>
        <v>0.01131363922</v>
      </c>
      <c r="D96" s="132">
        <f t="shared" si="105"/>
        <v>0.005593536358</v>
      </c>
      <c r="E96" s="133">
        <f t="shared" si="106"/>
        <v>1</v>
      </c>
      <c r="F96" s="134">
        <v>11090.9</v>
      </c>
      <c r="G96" s="135">
        <f t="shared" si="111"/>
        <v>0.005311675716</v>
      </c>
      <c r="H96" s="135">
        <f t="shared" si="107"/>
        <v>0.02136322142</v>
      </c>
      <c r="I96" s="136">
        <v>90.65</v>
      </c>
      <c r="J96" s="155">
        <f t="shared" si="112"/>
        <v>0.01454952434</v>
      </c>
      <c r="K96" s="138" t="s">
        <v>27</v>
      </c>
      <c r="L96" s="139">
        <f>AVERAGEIFS(Sentiment!$K:$K, Sentiment!$C:$C, $A96, Sentiment!$J:$J, "YES")
</f>
        <v>0</v>
      </c>
      <c r="M96" s="139">
        <f>AVERAGEIFS(Sentiment!$K:$K, Sentiment!$C:$C, $A96, Sentiment!$J:$J, "YES")
</f>
        <v>0</v>
      </c>
      <c r="N96" s="140">
        <f t="shared" si="108"/>
        <v>0</v>
      </c>
      <c r="O96" s="139">
        <f>AVERAGEIFS(Sentiment!P:P, Sentiment!C:C, A96, Sentiment!J:J, "YES")
</f>
        <v>-0.2785714286</v>
      </c>
      <c r="P96" s="141">
        <v>-0.2785714285714286</v>
      </c>
      <c r="Q96" s="142">
        <f t="shared" si="109"/>
        <v>0</v>
      </c>
    </row>
    <row r="97">
      <c r="A97" s="130">
        <v>45387.0</v>
      </c>
      <c r="B97" s="143">
        <v>16.18</v>
      </c>
      <c r="C97" s="144">
        <f t="shared" si="110"/>
        <v>0.005593536358</v>
      </c>
      <c r="D97" s="144">
        <f>C100</f>
        <v>-0.004944375773</v>
      </c>
      <c r="E97" s="145">
        <f t="shared" si="106"/>
        <v>0</v>
      </c>
      <c r="F97" s="146">
        <v>10916.0</v>
      </c>
      <c r="G97" s="147">
        <f t="shared" si="111"/>
        <v>-0.01576968506</v>
      </c>
      <c r="H97" s="147">
        <f>D97-G100</f>
        <v>-0.004559619452</v>
      </c>
      <c r="I97" s="148">
        <v>91.17</v>
      </c>
      <c r="J97" s="156">
        <f t="shared" si="112"/>
        <v>0.005736348593</v>
      </c>
      <c r="K97" s="150" t="s">
        <v>27</v>
      </c>
      <c r="L97" s="151">
        <f>AVERAGEIFS(Sentiment!$K:$K, Sentiment!$C:$C, $A97, Sentiment!$J:$J, "YES")
</f>
        <v>0.1625</v>
      </c>
      <c r="M97" s="151">
        <f>AVERAGEIFS(Sentiment!$K:$K, Sentiment!$C:$C, $A97, Sentiment!$J:$J, "YES")
</f>
        <v>0.1625</v>
      </c>
      <c r="N97" s="157">
        <f t="shared" si="108"/>
        <v>1</v>
      </c>
      <c r="O97" s="151">
        <f>AVERAGEIFS(Sentiment!P:P, Sentiment!C:C, A97, Sentiment!J:J, "YES")
</f>
        <v>0.0125</v>
      </c>
      <c r="P97" s="158">
        <v>0.012500000000000011</v>
      </c>
      <c r="Q97" s="159">
        <f t="shared" si="109"/>
        <v>1</v>
      </c>
    </row>
    <row r="98">
      <c r="A98" s="130">
        <v>45388.0</v>
      </c>
      <c r="B98" s="131"/>
      <c r="C98" s="132"/>
      <c r="D98" s="132"/>
      <c r="E98" s="133"/>
      <c r="F98" s="134"/>
      <c r="G98" s="135"/>
      <c r="H98" s="135"/>
      <c r="I98" s="136"/>
      <c r="J98" s="137"/>
      <c r="K98" s="138" t="s">
        <v>27</v>
      </c>
      <c r="L98" s="139">
        <f>AVERAGEIFS(Sentiment!$K:$K, Sentiment!$C:$C, $A98, Sentiment!$J:$J, "YES")
</f>
        <v>0</v>
      </c>
      <c r="M98" s="139"/>
      <c r="N98" s="140"/>
      <c r="O98" s="139">
        <f>AVERAGEIFS(Sentiment!P:P, Sentiment!C:C, A98, Sentiment!J:J, "YES")
</f>
        <v>0</v>
      </c>
      <c r="P98" s="141"/>
      <c r="Q98" s="142"/>
    </row>
    <row r="99">
      <c r="A99" s="130">
        <v>45389.0</v>
      </c>
      <c r="B99" s="143"/>
      <c r="C99" s="144"/>
      <c r="D99" s="144"/>
      <c r="E99" s="145"/>
      <c r="F99" s="146"/>
      <c r="G99" s="147"/>
      <c r="H99" s="147"/>
      <c r="I99" s="148"/>
      <c r="J99" s="160"/>
      <c r="K99" s="150" t="s">
        <v>27</v>
      </c>
      <c r="L99" s="151">
        <f>AVERAGEIFS(Sentiment!$K:$K, Sentiment!$C:$C, $A99, Sentiment!$J:$J, "YES")
</f>
        <v>0.6</v>
      </c>
      <c r="M99" s="151"/>
      <c r="N99" s="157"/>
      <c r="O99" s="151">
        <f>AVERAGEIFS(Sentiment!P:P, Sentiment!C:C, A99, Sentiment!J:J, "YES")
</f>
        <v>0.2</v>
      </c>
      <c r="P99" s="158"/>
      <c r="Q99" s="159"/>
    </row>
    <row r="100">
      <c r="A100" s="130">
        <v>45390.0</v>
      </c>
      <c r="B100" s="131">
        <v>16.1</v>
      </c>
      <c r="C100" s="132">
        <f>B100/B97-1</f>
        <v>-0.004944375773</v>
      </c>
      <c r="D100" s="132">
        <f t="shared" ref="D100:D103" si="113">C101</f>
        <v>-0.01863354037</v>
      </c>
      <c r="E100" s="133">
        <f t="shared" ref="E100:E104" si="114">IF(D100&gt;0,1,0)</f>
        <v>0</v>
      </c>
      <c r="F100" s="134">
        <v>10911.8</v>
      </c>
      <c r="G100" s="135">
        <f>F100/F97-1</f>
        <v>-0.000384756321</v>
      </c>
      <c r="H100" s="135">
        <f t="shared" ref="H100:H103" si="115">D100-G101</f>
        <v>-0.009854053945</v>
      </c>
      <c r="I100" s="136">
        <v>90.38</v>
      </c>
      <c r="J100" s="155">
        <f>I100/I97-1</f>
        <v>-0.008665131074</v>
      </c>
      <c r="K100" s="138" t="s">
        <v>27</v>
      </c>
      <c r="L100" s="139">
        <f>AVERAGEIFS(Sentiment!$K:$K, Sentiment!$C:$C, $A100, Sentiment!$J:$J, "YES")
</f>
        <v>0.1833333333</v>
      </c>
      <c r="M100" s="152">
        <v>0.19</v>
      </c>
      <c r="N100" s="153">
        <f t="shared" ref="N100:N104" si="116">IF(M100&gt;0,1,0)</f>
        <v>1</v>
      </c>
      <c r="O100" s="139">
        <f>AVERAGEIFS(Sentiment!P:P, Sentiment!C:C, A100, Sentiment!J:J, "YES")
</f>
        <v>0.15</v>
      </c>
      <c r="P100" s="152">
        <v>0.12</v>
      </c>
      <c r="Q100" s="154">
        <f t="shared" ref="Q100:Q104" si="117">IF(P100&gt;0,1,0)</f>
        <v>1</v>
      </c>
    </row>
    <row r="101">
      <c r="A101" s="130">
        <v>45391.0</v>
      </c>
      <c r="B101" s="143">
        <v>15.8</v>
      </c>
      <c r="C101" s="144">
        <f t="shared" ref="C101:C104" si="118">B101/B100-1</f>
        <v>-0.01863354037</v>
      </c>
      <c r="D101" s="144">
        <f t="shared" si="113"/>
        <v>-0.008860759494</v>
      </c>
      <c r="E101" s="145">
        <f t="shared" si="114"/>
        <v>0</v>
      </c>
      <c r="F101" s="146">
        <v>10816.0</v>
      </c>
      <c r="G101" s="147">
        <f t="shared" ref="G101:G104" si="119">F101/F100-1</f>
        <v>-0.008779486428</v>
      </c>
      <c r="H101" s="147">
        <f t="shared" si="115"/>
        <v>-0.00507007902</v>
      </c>
      <c r="I101" s="148">
        <v>89.42</v>
      </c>
      <c r="J101" s="156">
        <f t="shared" ref="J101:J104" si="120">I101/I100-1</f>
        <v>-0.01062181899</v>
      </c>
      <c r="K101" s="150" t="s">
        <v>27</v>
      </c>
      <c r="L101" s="151">
        <f>AVERAGEIFS(Sentiment!$K:$K, Sentiment!$C:$C, $A101, Sentiment!$J:$J, "YES")
</f>
        <v>0.5666666667</v>
      </c>
      <c r="M101" s="151">
        <f>AVERAGEIFS(Sentiment!$K:$K, Sentiment!$C:$C, $A101, Sentiment!$J:$J, "YES")
</f>
        <v>0.5666666667</v>
      </c>
      <c r="N101" s="157">
        <f t="shared" si="116"/>
        <v>1</v>
      </c>
      <c r="O101" s="151">
        <f>AVERAGEIFS(Sentiment!P:P, Sentiment!C:C, A101, Sentiment!J:J, "YES")
</f>
        <v>0.3333333333</v>
      </c>
      <c r="P101" s="158">
        <v>0.3333333333333333</v>
      </c>
      <c r="Q101" s="159">
        <f t="shared" si="117"/>
        <v>1</v>
      </c>
    </row>
    <row r="102">
      <c r="A102" s="130">
        <v>45392.0</v>
      </c>
      <c r="B102" s="131">
        <v>15.66</v>
      </c>
      <c r="C102" s="132">
        <f t="shared" si="118"/>
        <v>-0.008860759494</v>
      </c>
      <c r="D102" s="132">
        <f t="shared" si="113"/>
        <v>-0.01915708812</v>
      </c>
      <c r="E102" s="133">
        <f t="shared" si="114"/>
        <v>0</v>
      </c>
      <c r="F102" s="134">
        <v>10775.0</v>
      </c>
      <c r="G102" s="135">
        <f t="shared" si="119"/>
        <v>-0.003790680473</v>
      </c>
      <c r="H102" s="135">
        <f t="shared" si="115"/>
        <v>-0.007537598563</v>
      </c>
      <c r="I102" s="136">
        <v>90.48</v>
      </c>
      <c r="J102" s="155">
        <f t="shared" si="120"/>
        <v>0.01185417133</v>
      </c>
      <c r="K102" s="138" t="s">
        <v>27</v>
      </c>
      <c r="L102" s="139">
        <f>AVERAGEIFS(Sentiment!$K:$K, Sentiment!$C:$C, $A102, Sentiment!$J:$J, "YES")
</f>
        <v>0.7</v>
      </c>
      <c r="M102" s="139">
        <f>AVERAGEIFS(Sentiment!$K:$K, Sentiment!$C:$C, $A102, Sentiment!$J:$J, "YES")
</f>
        <v>0.7</v>
      </c>
      <c r="N102" s="140">
        <f t="shared" si="116"/>
        <v>1</v>
      </c>
      <c r="O102" s="139">
        <f>AVERAGEIFS(Sentiment!P:P, Sentiment!C:C, A102, Sentiment!J:J, "YES")
</f>
        <v>0.6</v>
      </c>
      <c r="P102" s="141">
        <v>0.6000000000000001</v>
      </c>
      <c r="Q102" s="142">
        <f t="shared" si="117"/>
        <v>1</v>
      </c>
    </row>
    <row r="103">
      <c r="A103" s="130">
        <v>45393.0</v>
      </c>
      <c r="B103" s="143">
        <v>15.36</v>
      </c>
      <c r="C103" s="144">
        <f t="shared" si="118"/>
        <v>-0.01915708812</v>
      </c>
      <c r="D103" s="144">
        <f t="shared" si="113"/>
        <v>0.03385416667</v>
      </c>
      <c r="E103" s="145">
        <f t="shared" si="114"/>
        <v>1</v>
      </c>
      <c r="F103" s="146">
        <v>10649.8</v>
      </c>
      <c r="G103" s="147">
        <f t="shared" si="119"/>
        <v>-0.01161948956</v>
      </c>
      <c r="H103" s="147">
        <f t="shared" si="115"/>
        <v>0.0304550418</v>
      </c>
      <c r="I103" s="148">
        <v>89.74</v>
      </c>
      <c r="J103" s="156">
        <f t="shared" si="120"/>
        <v>-0.008178603006</v>
      </c>
      <c r="K103" s="150" t="s">
        <v>27</v>
      </c>
      <c r="L103" s="151">
        <f>AVERAGEIFS(Sentiment!$K:$K, Sentiment!$C:$C, $A103, Sentiment!$J:$J, "YES")
</f>
        <v>0.5545454545</v>
      </c>
      <c r="M103" s="151">
        <f>AVERAGEIFS(Sentiment!$K:$K, Sentiment!$C:$C, $A103, Sentiment!$J:$J, "YES")
</f>
        <v>0.5545454545</v>
      </c>
      <c r="N103" s="157">
        <f t="shared" si="116"/>
        <v>1</v>
      </c>
      <c r="O103" s="151">
        <f>AVERAGEIFS(Sentiment!P:P, Sentiment!C:C, A103, Sentiment!J:J, "YES")
</f>
        <v>0.2454545455</v>
      </c>
      <c r="P103" s="158">
        <v>0.2454545454545455</v>
      </c>
      <c r="Q103" s="159">
        <f t="shared" si="117"/>
        <v>1</v>
      </c>
    </row>
    <row r="104">
      <c r="A104" s="130">
        <v>45394.0</v>
      </c>
      <c r="B104" s="131">
        <v>15.88</v>
      </c>
      <c r="C104" s="132">
        <f t="shared" si="118"/>
        <v>0.03385416667</v>
      </c>
      <c r="D104" s="132">
        <f>C107</f>
        <v>-0.01322418136</v>
      </c>
      <c r="E104" s="133">
        <f t="shared" si="114"/>
        <v>0</v>
      </c>
      <c r="F104" s="134">
        <v>10686.0</v>
      </c>
      <c r="G104" s="135">
        <f t="shared" si="119"/>
        <v>0.003399124866</v>
      </c>
      <c r="H104" s="135">
        <f>D104-G107</f>
        <v>-0.01333647782</v>
      </c>
      <c r="I104" s="136">
        <v>90.45</v>
      </c>
      <c r="J104" s="155">
        <f t="shared" si="120"/>
        <v>0.007911745041</v>
      </c>
      <c r="K104" s="138" t="s">
        <v>27</v>
      </c>
      <c r="L104" s="139">
        <f>AVERAGEIFS(Sentiment!$K:$K, Sentiment!$C:$C, $A104, Sentiment!$J:$J, "YES")
</f>
        <v>0.2333333333</v>
      </c>
      <c r="M104" s="139">
        <f>AVERAGEIFS(Sentiment!$K:$K, Sentiment!$C:$C, $A104, Sentiment!$J:$J, "YES")
</f>
        <v>0.2333333333</v>
      </c>
      <c r="N104" s="140">
        <f t="shared" si="116"/>
        <v>1</v>
      </c>
      <c r="O104" s="139">
        <f>AVERAGEIFS(Sentiment!P:P, Sentiment!C:C, A104, Sentiment!J:J, "YES")
</f>
        <v>0.06666666667</v>
      </c>
      <c r="P104" s="141">
        <v>0.06666666666666665</v>
      </c>
      <c r="Q104" s="142">
        <f t="shared" si="117"/>
        <v>1</v>
      </c>
    </row>
    <row r="105">
      <c r="A105" s="130">
        <v>45395.0</v>
      </c>
      <c r="B105" s="143"/>
      <c r="C105" s="144"/>
      <c r="D105" s="144"/>
      <c r="E105" s="145"/>
      <c r="F105" s="146"/>
      <c r="G105" s="147"/>
      <c r="H105" s="147"/>
      <c r="I105" s="148"/>
      <c r="J105" s="160"/>
      <c r="K105" s="150" t="s">
        <v>27</v>
      </c>
      <c r="L105" s="151">
        <f>AVERAGEIFS(Sentiment!$K:$K, Sentiment!$C:$C, $A105, Sentiment!$J:$J, "YES")
</f>
        <v>0.7333333333</v>
      </c>
      <c r="M105" s="151"/>
      <c r="N105" s="157"/>
      <c r="O105" s="151">
        <f>AVERAGEIFS(Sentiment!P:P, Sentiment!C:C, A105, Sentiment!J:J, "YES")
</f>
        <v>-0.3666666667</v>
      </c>
      <c r="P105" s="158"/>
      <c r="Q105" s="159"/>
    </row>
    <row r="106">
      <c r="A106" s="130">
        <v>45396.0</v>
      </c>
      <c r="B106" s="131"/>
      <c r="C106" s="132"/>
      <c r="D106" s="132"/>
      <c r="E106" s="133"/>
      <c r="F106" s="134"/>
      <c r="G106" s="135"/>
      <c r="H106" s="135"/>
      <c r="I106" s="136"/>
      <c r="J106" s="137"/>
      <c r="K106" s="138" t="s">
        <v>27</v>
      </c>
      <c r="L106" s="139">
        <f>AVERAGEIFS(Sentiment!$K:$K, Sentiment!$C:$C, $A106, Sentiment!$J:$J, "YES")
</f>
        <v>0.6333333333</v>
      </c>
      <c r="M106" s="139"/>
      <c r="N106" s="140"/>
      <c r="O106" s="139">
        <f>AVERAGEIFS(Sentiment!P:P, Sentiment!C:C, A106, Sentiment!J:J, "YES")
</f>
        <v>0.1333333333</v>
      </c>
      <c r="P106" s="141"/>
      <c r="Q106" s="142"/>
    </row>
    <row r="107">
      <c r="A107" s="130">
        <v>45397.0</v>
      </c>
      <c r="B107" s="143">
        <v>15.67</v>
      </c>
      <c r="C107" s="144">
        <f>B107/B104-1</f>
        <v>-0.01322418136</v>
      </c>
      <c r="D107" s="144">
        <f t="shared" ref="D107:D110" si="121">C108</f>
        <v>-0.02871729419</v>
      </c>
      <c r="E107" s="145">
        <f t="shared" ref="E107:E111" si="122">IF(D107&gt;0,1,0)</f>
        <v>0</v>
      </c>
      <c r="F107" s="146">
        <v>10687.2</v>
      </c>
      <c r="G107" s="147">
        <f>F107/F104-1</f>
        <v>0.0001122964627</v>
      </c>
      <c r="H107" s="147">
        <f t="shared" ref="H107:H110" si="123">D107-G108</f>
        <v>-0.01371804275</v>
      </c>
      <c r="I107" s="148">
        <v>90.1</v>
      </c>
      <c r="J107" s="156">
        <f>I107/I104-1</f>
        <v>-0.003869541183</v>
      </c>
      <c r="K107" s="150" t="s">
        <v>27</v>
      </c>
      <c r="L107" s="151">
        <f>AVERAGEIFS(Sentiment!$K:$K, Sentiment!$C:$C, $A107, Sentiment!$J:$J, "YES")
</f>
        <v>0.08571428571</v>
      </c>
      <c r="M107" s="152">
        <v>0.36</v>
      </c>
      <c r="N107" s="153">
        <f t="shared" ref="N107:N111" si="124">IF(M107&gt;0,1,0)</f>
        <v>1</v>
      </c>
      <c r="O107" s="151">
        <f>AVERAGEIFS(Sentiment!P:P, Sentiment!C:C, A107, Sentiment!J:J, "YES")
</f>
        <v>0</v>
      </c>
      <c r="P107" s="152">
        <v>-0.05</v>
      </c>
      <c r="Q107" s="154">
        <f t="shared" ref="Q107:Q111" si="125">IF(P107&gt;0,1,0)</f>
        <v>0</v>
      </c>
    </row>
    <row r="108">
      <c r="A108" s="130">
        <v>45398.0</v>
      </c>
      <c r="B108" s="131">
        <v>15.22</v>
      </c>
      <c r="C108" s="132">
        <f t="shared" ref="C108:C111" si="126">B108/B107-1</f>
        <v>-0.02871729419</v>
      </c>
      <c r="D108" s="132">
        <f t="shared" si="121"/>
        <v>-0.001314060447</v>
      </c>
      <c r="E108" s="133">
        <f t="shared" si="122"/>
        <v>0</v>
      </c>
      <c r="F108" s="134">
        <v>10526.9</v>
      </c>
      <c r="G108" s="135">
        <f t="shared" ref="G108:G111" si="127">F108/F107-1</f>
        <v>-0.01499925144</v>
      </c>
      <c r="H108" s="135">
        <f t="shared" si="123"/>
        <v>-0.01147849632</v>
      </c>
      <c r="I108" s="136">
        <v>90.02</v>
      </c>
      <c r="J108" s="155">
        <f t="shared" ref="J108:J111" si="128">I108/I107-1</f>
        <v>-0.0008879023307</v>
      </c>
      <c r="K108" s="138" t="s">
        <v>27</v>
      </c>
      <c r="L108" s="139">
        <f>AVERAGEIFS(Sentiment!$K:$K, Sentiment!$C:$C, $A108, Sentiment!$J:$J, "YES")
</f>
        <v>-0.1230769231</v>
      </c>
      <c r="M108" s="139">
        <f>AVERAGEIFS(Sentiment!$K:$K, Sentiment!$C:$C, $A108, Sentiment!$J:$J, "YES")
</f>
        <v>-0.1230769231</v>
      </c>
      <c r="N108" s="140">
        <f t="shared" si="124"/>
        <v>0</v>
      </c>
      <c r="O108" s="139">
        <f>AVERAGEIFS(Sentiment!P:P, Sentiment!C:C, A108, Sentiment!J:J, "YES")
</f>
        <v>-0.2</v>
      </c>
      <c r="P108" s="141">
        <v>-0.20000000000000004</v>
      </c>
      <c r="Q108" s="142">
        <f t="shared" si="125"/>
        <v>0</v>
      </c>
    </row>
    <row r="109">
      <c r="A109" s="130">
        <v>45399.0</v>
      </c>
      <c r="B109" s="143">
        <v>15.2</v>
      </c>
      <c r="C109" s="144">
        <f t="shared" si="126"/>
        <v>-0.001314060447</v>
      </c>
      <c r="D109" s="144">
        <f t="shared" si="121"/>
        <v>-0.009868421053</v>
      </c>
      <c r="E109" s="145">
        <f t="shared" si="122"/>
        <v>0</v>
      </c>
      <c r="F109" s="146">
        <v>10633.9</v>
      </c>
      <c r="G109" s="147">
        <f t="shared" si="127"/>
        <v>0.01016443587</v>
      </c>
      <c r="H109" s="147">
        <f t="shared" si="123"/>
        <v>-0.02219691765</v>
      </c>
      <c r="I109" s="148">
        <v>87.29</v>
      </c>
      <c r="J109" s="156">
        <f t="shared" si="128"/>
        <v>-0.03032659409</v>
      </c>
      <c r="K109" s="150" t="s">
        <v>27</v>
      </c>
      <c r="L109" s="151">
        <f>AVERAGEIFS(Sentiment!$K:$K, Sentiment!$C:$C, $A109, Sentiment!$J:$J, "YES")
</f>
        <v>0.6333333333</v>
      </c>
      <c r="M109" s="151">
        <f>AVERAGEIFS(Sentiment!$K:$K, Sentiment!$C:$C, $A109, Sentiment!$J:$J, "YES")
</f>
        <v>0.6333333333</v>
      </c>
      <c r="N109" s="157">
        <f t="shared" si="124"/>
        <v>1</v>
      </c>
      <c r="O109" s="151">
        <f>AVERAGEIFS(Sentiment!P:P, Sentiment!C:C, A109, Sentiment!J:J, "YES")
</f>
        <v>0.08333333333</v>
      </c>
      <c r="P109" s="158">
        <v>0.08333333333333333</v>
      </c>
      <c r="Q109" s="159">
        <f t="shared" si="125"/>
        <v>1</v>
      </c>
    </row>
    <row r="110">
      <c r="A110" s="130">
        <v>45400.0</v>
      </c>
      <c r="B110" s="131">
        <v>15.05</v>
      </c>
      <c r="C110" s="132">
        <f t="shared" si="126"/>
        <v>-0.009868421053</v>
      </c>
      <c r="D110" s="132">
        <f t="shared" si="121"/>
        <v>-0.006644518272</v>
      </c>
      <c r="E110" s="133">
        <f t="shared" si="122"/>
        <v>0</v>
      </c>
      <c r="F110" s="134">
        <v>10765.0</v>
      </c>
      <c r="G110" s="135">
        <f t="shared" si="127"/>
        <v>0.0123284966</v>
      </c>
      <c r="H110" s="135">
        <f t="shared" si="123"/>
        <v>-0.003346794167</v>
      </c>
      <c r="I110" s="136">
        <v>87.11</v>
      </c>
      <c r="J110" s="155">
        <f t="shared" si="128"/>
        <v>-0.002062091878</v>
      </c>
      <c r="K110" s="138" t="s">
        <v>27</v>
      </c>
      <c r="L110" s="139">
        <f>AVERAGEIFS(Sentiment!$K:$K, Sentiment!$C:$C, $A110, Sentiment!$J:$J, "YES")
</f>
        <v>0.3142857143</v>
      </c>
      <c r="M110" s="139">
        <f>AVERAGEIFS(Sentiment!$K:$K, Sentiment!$C:$C, $A110, Sentiment!$J:$J, "YES")
</f>
        <v>0.3142857143</v>
      </c>
      <c r="N110" s="140">
        <f t="shared" si="124"/>
        <v>1</v>
      </c>
      <c r="O110" s="139">
        <f>AVERAGEIFS(Sentiment!P:P, Sentiment!C:C, A110, Sentiment!J:J, "YES")
</f>
        <v>0.2928571429</v>
      </c>
      <c r="P110" s="141">
        <v>0.2928571428571428</v>
      </c>
      <c r="Q110" s="142">
        <f t="shared" si="125"/>
        <v>1</v>
      </c>
    </row>
    <row r="111">
      <c r="A111" s="130">
        <v>45401.0</v>
      </c>
      <c r="B111" s="143">
        <v>14.95</v>
      </c>
      <c r="C111" s="144">
        <f t="shared" si="126"/>
        <v>-0.006644518272</v>
      </c>
      <c r="D111" s="144">
        <f>C114</f>
        <v>-0.004013377926</v>
      </c>
      <c r="E111" s="145">
        <f t="shared" si="122"/>
        <v>0</v>
      </c>
      <c r="F111" s="146">
        <v>10729.5</v>
      </c>
      <c r="G111" s="147">
        <f t="shared" si="127"/>
        <v>-0.003297724106</v>
      </c>
      <c r="H111" s="147">
        <f>D111-G114</f>
        <v>-0.01899077669</v>
      </c>
      <c r="I111" s="148">
        <v>87.29</v>
      </c>
      <c r="J111" s="156">
        <f t="shared" si="128"/>
        <v>0.002066352887</v>
      </c>
      <c r="K111" s="150" t="s">
        <v>27</v>
      </c>
      <c r="L111" s="151">
        <f>AVERAGEIFS(Sentiment!$K:$K, Sentiment!$C:$C, $A111, Sentiment!$J:$J, "YES")
</f>
        <v>0.6166666667</v>
      </c>
      <c r="M111" s="151">
        <f>AVERAGEIFS(Sentiment!$K:$K, Sentiment!$C:$C, $A111, Sentiment!$J:$J, "YES")
</f>
        <v>0.6166666667</v>
      </c>
      <c r="N111" s="157">
        <f t="shared" si="124"/>
        <v>1</v>
      </c>
      <c r="O111" s="151">
        <f>AVERAGEIFS(Sentiment!P:P, Sentiment!C:C, A111, Sentiment!J:J, "YES")
</f>
        <v>0.5666666667</v>
      </c>
      <c r="P111" s="158">
        <v>0.5666666666666668</v>
      </c>
      <c r="Q111" s="159">
        <f t="shared" si="125"/>
        <v>1</v>
      </c>
    </row>
    <row r="112">
      <c r="A112" s="130">
        <v>45402.0</v>
      </c>
      <c r="B112" s="131"/>
      <c r="C112" s="132"/>
      <c r="D112" s="132"/>
      <c r="E112" s="133"/>
      <c r="F112" s="134"/>
      <c r="G112" s="135"/>
      <c r="H112" s="135"/>
      <c r="I112" s="136"/>
      <c r="J112" s="137"/>
      <c r="K112" s="138" t="s">
        <v>27</v>
      </c>
      <c r="L112" s="139">
        <f>AVERAGEIFS(Sentiment!$K:$K, Sentiment!$C:$C, $A112, Sentiment!$J:$J, "YES")
</f>
        <v>0.7</v>
      </c>
      <c r="M112" s="139"/>
      <c r="N112" s="140"/>
      <c r="O112" s="139">
        <f>AVERAGEIFS(Sentiment!P:P, Sentiment!C:C, A112, Sentiment!J:J, "YES")
</f>
        <v>0.6</v>
      </c>
      <c r="P112" s="141"/>
      <c r="Q112" s="142"/>
    </row>
    <row r="113">
      <c r="A113" s="130">
        <v>45403.0</v>
      </c>
      <c r="B113" s="143"/>
      <c r="C113" s="144"/>
      <c r="D113" s="144"/>
      <c r="E113" s="145"/>
      <c r="F113" s="146"/>
      <c r="G113" s="147"/>
      <c r="H113" s="147"/>
      <c r="I113" s="148"/>
      <c r="J113" s="160"/>
      <c r="K113" s="150" t="s">
        <v>27</v>
      </c>
      <c r="L113" s="151">
        <f>AVERAGEIFS(Sentiment!$K:$K, Sentiment!$C:$C, $A113, Sentiment!$J:$J, "YES")
</f>
        <v>-0.2333333333</v>
      </c>
      <c r="M113" s="151"/>
      <c r="N113" s="157"/>
      <c r="O113" s="151">
        <f>AVERAGEIFS(Sentiment!P:P, Sentiment!C:C, A113, Sentiment!J:J, "YES")
</f>
        <v>-0.2666666667</v>
      </c>
      <c r="P113" s="158"/>
      <c r="Q113" s="159"/>
    </row>
    <row r="114">
      <c r="A114" s="130">
        <v>45404.0</v>
      </c>
      <c r="B114" s="131">
        <v>14.89</v>
      </c>
      <c r="C114" s="132">
        <f>B114/B111-1</f>
        <v>-0.004013377926</v>
      </c>
      <c r="D114" s="132">
        <f t="shared" ref="D114:D117" si="129">C115</f>
        <v>0.01074546676</v>
      </c>
      <c r="E114" s="133">
        <f t="shared" ref="E114:E118" si="130">IF(D114&gt;0,1,0)</f>
        <v>1</v>
      </c>
      <c r="F114" s="134">
        <v>10890.2</v>
      </c>
      <c r="G114" s="135">
        <f>F114/F111-1</f>
        <v>0.01497739876</v>
      </c>
      <c r="H114" s="135">
        <f t="shared" ref="H114:H117" si="131">D114-G115</f>
        <v>-0.006260648834</v>
      </c>
      <c r="I114" s="136">
        <v>87.0</v>
      </c>
      <c r="J114" s="155">
        <f>I114/I111-1</f>
        <v>-0.003322259136</v>
      </c>
      <c r="K114" s="138" t="s">
        <v>27</v>
      </c>
      <c r="L114" s="139">
        <f>AVERAGEIFS(Sentiment!$K:$K, Sentiment!$C:$C, $A114, Sentiment!$J:$J, "YES")
</f>
        <v>0.3857142857</v>
      </c>
      <c r="M114" s="152">
        <v>0.25</v>
      </c>
      <c r="N114" s="153">
        <f t="shared" ref="N114:N118" si="132">IF(M114&gt;0,1,0)</f>
        <v>1</v>
      </c>
      <c r="O114" s="139">
        <f>AVERAGEIFS(Sentiment!P:P, Sentiment!C:C, A114, Sentiment!J:J, "YES")
</f>
        <v>0.3285714286</v>
      </c>
      <c r="P114" s="152">
        <v>0.19</v>
      </c>
      <c r="Q114" s="154">
        <f t="shared" ref="Q114:Q118" si="133">IF(P114&gt;0,1,0)</f>
        <v>1</v>
      </c>
    </row>
    <row r="115">
      <c r="A115" s="130">
        <v>45405.0</v>
      </c>
      <c r="B115" s="143">
        <v>15.05</v>
      </c>
      <c r="C115" s="144">
        <f t="shared" ref="C115:C118" si="134">B115/B114-1</f>
        <v>0.01074546676</v>
      </c>
      <c r="D115" s="144">
        <f t="shared" si="129"/>
        <v>-0.002657807309</v>
      </c>
      <c r="E115" s="145">
        <f t="shared" si="130"/>
        <v>0</v>
      </c>
      <c r="F115" s="146">
        <v>11075.4</v>
      </c>
      <c r="G115" s="147">
        <f t="shared" ref="G115:G118" si="135">F115/F114-1</f>
        <v>0.01700611559</v>
      </c>
      <c r="H115" s="147">
        <f t="shared" si="131"/>
        <v>0.001640005863</v>
      </c>
      <c r="I115" s="148">
        <v>88.42</v>
      </c>
      <c r="J115" s="156">
        <f t="shared" ref="J115:J118" si="136">I115/I114-1</f>
        <v>0.01632183908</v>
      </c>
      <c r="K115" s="150" t="s">
        <v>27</v>
      </c>
      <c r="L115" s="151">
        <f>AVERAGEIFS(Sentiment!$K:$K, Sentiment!$C:$C, $A115, Sentiment!$J:$J, "YES")
</f>
        <v>0.28</v>
      </c>
      <c r="M115" s="151">
        <f>AVERAGEIFS(Sentiment!$K:$K, Sentiment!$C:$C, $A115, Sentiment!$J:$J, "YES")
</f>
        <v>0.28</v>
      </c>
      <c r="N115" s="157">
        <f t="shared" si="132"/>
        <v>1</v>
      </c>
      <c r="O115" s="151">
        <f>AVERAGEIFS(Sentiment!P:P, Sentiment!C:C, A115, Sentiment!J:J, "YES")
</f>
        <v>0.08</v>
      </c>
      <c r="P115" s="158">
        <v>0.07999999999999999</v>
      </c>
      <c r="Q115" s="159">
        <f t="shared" si="133"/>
        <v>1</v>
      </c>
    </row>
    <row r="116">
      <c r="A116" s="130">
        <v>45406.0</v>
      </c>
      <c r="B116" s="131">
        <v>15.01</v>
      </c>
      <c r="C116" s="132">
        <f t="shared" si="134"/>
        <v>-0.002657807309</v>
      </c>
      <c r="D116" s="132">
        <f t="shared" si="129"/>
        <v>0</v>
      </c>
      <c r="E116" s="133">
        <f t="shared" si="130"/>
        <v>0</v>
      </c>
      <c r="F116" s="134">
        <v>11027.8</v>
      </c>
      <c r="G116" s="135">
        <f t="shared" si="135"/>
        <v>-0.004297813172</v>
      </c>
      <c r="H116" s="135">
        <f t="shared" si="131"/>
        <v>0.003998984385</v>
      </c>
      <c r="I116" s="136">
        <v>88.02</v>
      </c>
      <c r="J116" s="155">
        <f t="shared" si="136"/>
        <v>-0.004523863379</v>
      </c>
      <c r="K116" s="138" t="s">
        <v>27</v>
      </c>
      <c r="L116" s="139">
        <f>AVERAGEIFS(Sentiment!$K:$K, Sentiment!$C:$C, $A116, Sentiment!$J:$J, "YES")
</f>
        <v>0.275</v>
      </c>
      <c r="M116" s="139">
        <f>AVERAGEIFS(Sentiment!$K:$K, Sentiment!$C:$C, $A116, Sentiment!$J:$J, "YES")
</f>
        <v>0.275</v>
      </c>
      <c r="N116" s="140">
        <f t="shared" si="132"/>
        <v>1</v>
      </c>
      <c r="O116" s="139">
        <f>AVERAGEIFS(Sentiment!P:P, Sentiment!C:C, A116, Sentiment!J:J, "YES")
</f>
        <v>0.05</v>
      </c>
      <c r="P116" s="141">
        <v>0.05</v>
      </c>
      <c r="Q116" s="142">
        <f t="shared" si="133"/>
        <v>1</v>
      </c>
    </row>
    <row r="117">
      <c r="A117" s="130">
        <v>45407.0</v>
      </c>
      <c r="B117" s="143">
        <v>15.01</v>
      </c>
      <c r="C117" s="144">
        <f t="shared" si="134"/>
        <v>0</v>
      </c>
      <c r="D117" s="144">
        <f t="shared" si="129"/>
        <v>-0.01932045303</v>
      </c>
      <c r="E117" s="145">
        <f t="shared" si="130"/>
        <v>0</v>
      </c>
      <c r="F117" s="146">
        <v>10983.7</v>
      </c>
      <c r="G117" s="147">
        <f t="shared" si="135"/>
        <v>-0.003998984385</v>
      </c>
      <c r="H117" s="147">
        <f t="shared" si="131"/>
        <v>-0.0348798729</v>
      </c>
      <c r="I117" s="148">
        <v>89.01</v>
      </c>
      <c r="J117" s="156">
        <f t="shared" si="136"/>
        <v>0.01124744376</v>
      </c>
      <c r="K117" s="150" t="s">
        <v>27</v>
      </c>
      <c r="L117" s="151">
        <f>AVERAGEIFS(Sentiment!$K:$K, Sentiment!$C:$C, $A117, Sentiment!$J:$J, "YES")
</f>
        <v>-0.2</v>
      </c>
      <c r="M117" s="151">
        <f>AVERAGEIFS(Sentiment!$K:$K, Sentiment!$C:$C, $A117, Sentiment!$J:$J, "YES")
</f>
        <v>-0.2</v>
      </c>
      <c r="N117" s="157">
        <f t="shared" si="132"/>
        <v>0</v>
      </c>
      <c r="O117" s="151">
        <f>AVERAGEIFS(Sentiment!P:P, Sentiment!C:C, A117, Sentiment!J:J, "YES")
</f>
        <v>-0.1454545455</v>
      </c>
      <c r="P117" s="158">
        <v>-0.14545454545454548</v>
      </c>
      <c r="Q117" s="159">
        <f t="shared" si="133"/>
        <v>0</v>
      </c>
    </row>
    <row r="118">
      <c r="A118" s="130">
        <v>45408.0</v>
      </c>
      <c r="B118" s="131">
        <v>14.72</v>
      </c>
      <c r="C118" s="132">
        <f t="shared" si="134"/>
        <v>-0.01932045303</v>
      </c>
      <c r="D118" s="132">
        <f>C121</f>
        <v>0.01630434783</v>
      </c>
      <c r="E118" s="133">
        <f t="shared" si="130"/>
        <v>1</v>
      </c>
      <c r="F118" s="134">
        <v>11154.6</v>
      </c>
      <c r="G118" s="135">
        <f t="shared" si="135"/>
        <v>0.01555941987</v>
      </c>
      <c r="H118" s="135">
        <f>D118-G121</f>
        <v>0.02112747013</v>
      </c>
      <c r="I118" s="136">
        <v>89.5</v>
      </c>
      <c r="J118" s="155">
        <f t="shared" si="136"/>
        <v>0.005504999438</v>
      </c>
      <c r="K118" s="138" t="s">
        <v>27</v>
      </c>
      <c r="L118" s="139">
        <f>AVERAGEIFS(Sentiment!$K:$K, Sentiment!$C:$C, $A118, Sentiment!$J:$J, "YES")
</f>
        <v>0.5142857143</v>
      </c>
      <c r="M118" s="139">
        <f>AVERAGEIFS(Sentiment!$K:$K, Sentiment!$C:$C, $A118, Sentiment!$J:$J, "YES")
</f>
        <v>0.5142857143</v>
      </c>
      <c r="N118" s="140">
        <f t="shared" si="132"/>
        <v>1</v>
      </c>
      <c r="O118" s="139">
        <f>AVERAGEIFS(Sentiment!P:P, Sentiment!C:C, A118, Sentiment!J:J, "YES")
</f>
        <v>0.4</v>
      </c>
      <c r="P118" s="141">
        <v>0.4</v>
      </c>
      <c r="Q118" s="142">
        <f t="shared" si="133"/>
        <v>1</v>
      </c>
    </row>
    <row r="119">
      <c r="A119" s="130">
        <v>45409.0</v>
      </c>
      <c r="B119" s="143"/>
      <c r="C119" s="144"/>
      <c r="D119" s="144"/>
      <c r="E119" s="145"/>
      <c r="F119" s="146"/>
      <c r="G119" s="147"/>
      <c r="H119" s="147"/>
      <c r="I119" s="148"/>
      <c r="J119" s="160"/>
      <c r="K119" s="150" t="s">
        <v>27</v>
      </c>
      <c r="L119" s="151">
        <f>AVERAGEIFS(Sentiment!$K:$K, Sentiment!$C:$C, $A119, Sentiment!$J:$J, "YES")
</f>
        <v>0.68</v>
      </c>
      <c r="M119" s="151"/>
      <c r="N119" s="157"/>
      <c r="O119" s="151">
        <f>AVERAGEIFS(Sentiment!P:P, Sentiment!C:C, A119, Sentiment!J:J, "YES")
</f>
        <v>0.32</v>
      </c>
      <c r="P119" s="158"/>
      <c r="Q119" s="159"/>
    </row>
    <row r="120">
      <c r="A120" s="130">
        <v>45410.0</v>
      </c>
      <c r="B120" s="131"/>
      <c r="C120" s="132"/>
      <c r="D120" s="132"/>
      <c r="E120" s="133"/>
      <c r="F120" s="134"/>
      <c r="G120" s="135"/>
      <c r="H120" s="135"/>
      <c r="I120" s="136"/>
      <c r="J120" s="137"/>
      <c r="K120" s="138" t="s">
        <v>27</v>
      </c>
      <c r="L120" s="139">
        <f>AVERAGEIFS(Sentiment!$K:$K, Sentiment!$C:$C, $A120, Sentiment!$J:$J, "YES")
</f>
        <v>-0.1666666667</v>
      </c>
      <c r="M120" s="139"/>
      <c r="N120" s="140"/>
      <c r="O120" s="139">
        <f>AVERAGEIFS(Sentiment!P:P, Sentiment!C:C, A120, Sentiment!J:J, "YES")
</f>
        <v>0.03333333333</v>
      </c>
      <c r="P120" s="141"/>
      <c r="Q120" s="142"/>
    </row>
    <row r="121">
      <c r="A121" s="130">
        <v>45411.0</v>
      </c>
      <c r="B121" s="143">
        <v>14.96</v>
      </c>
      <c r="C121" s="144">
        <f>B121/B118-1</f>
        <v>0.01630434783</v>
      </c>
      <c r="D121" s="144">
        <f>C122</f>
        <v>-0.01537433155</v>
      </c>
      <c r="E121" s="145">
        <f t="shared" ref="E121:E122" si="137">IF(D121&gt;0,1,0)</f>
        <v>0</v>
      </c>
      <c r="F121" s="146">
        <v>11100.8</v>
      </c>
      <c r="G121" s="147">
        <f>F121/F118-1</f>
        <v>-0.004823122299</v>
      </c>
      <c r="H121" s="147">
        <f>D121-G122</f>
        <v>0.006822266893</v>
      </c>
      <c r="I121" s="148">
        <v>88.4</v>
      </c>
      <c r="J121" s="156">
        <f>I121/I118-1</f>
        <v>-0.01229050279</v>
      </c>
      <c r="K121" s="150" t="s">
        <v>27</v>
      </c>
      <c r="L121" s="151">
        <f>AVERAGEIFS(Sentiment!$K:$K, Sentiment!$C:$C, $A121, Sentiment!$J:$J, "YES")
</f>
        <v>0.26</v>
      </c>
      <c r="M121" s="152">
        <v>0.32</v>
      </c>
      <c r="N121" s="153">
        <f t="shared" ref="N121:N122" si="138">IF(M121&gt;0,1,0)</f>
        <v>1</v>
      </c>
      <c r="O121" s="151">
        <f>AVERAGEIFS(Sentiment!P:P, Sentiment!C:C, A121, Sentiment!J:J, "YES")
</f>
        <v>0.12</v>
      </c>
      <c r="P121" s="152">
        <v>0.18</v>
      </c>
      <c r="Q121" s="154">
        <f t="shared" ref="Q121:Q122" si="139">IF(P121&gt;0,1,0)</f>
        <v>1</v>
      </c>
    </row>
    <row r="122">
      <c r="A122" s="130">
        <v>45412.0</v>
      </c>
      <c r="B122" s="131">
        <v>14.73</v>
      </c>
      <c r="C122" s="132">
        <f>B122/B121-1</f>
        <v>-0.01537433155</v>
      </c>
      <c r="D122" s="132">
        <f>C124</f>
        <v>-0.02240325866</v>
      </c>
      <c r="E122" s="133">
        <f t="shared" si="137"/>
        <v>0</v>
      </c>
      <c r="F122" s="134">
        <v>10854.4</v>
      </c>
      <c r="G122" s="135">
        <f>F122/F121-1</f>
        <v>-0.02219659844</v>
      </c>
      <c r="H122" s="135">
        <f>D122-G124</f>
        <v>-0.02402472092</v>
      </c>
      <c r="I122" s="136">
        <v>87.86</v>
      </c>
      <c r="J122" s="155">
        <f>I122/I121-1</f>
        <v>-0.006108597285</v>
      </c>
      <c r="K122" s="138" t="s">
        <v>27</v>
      </c>
      <c r="L122" s="139">
        <f>AVERAGEIFS(Sentiment!$K:$K, Sentiment!$C:$C, $A122, Sentiment!$J:$J, "YES")
</f>
        <v>0.48</v>
      </c>
      <c r="M122" s="139">
        <f>AVERAGEIFS(Sentiment!$K:$K, Sentiment!$C:$C, $A122, Sentiment!$J:$J, "YES")
</f>
        <v>0.48</v>
      </c>
      <c r="N122" s="140">
        <f t="shared" si="138"/>
        <v>1</v>
      </c>
      <c r="O122" s="139">
        <f>AVERAGEIFS(Sentiment!P:P, Sentiment!C:C, A122, Sentiment!J:J, "YES")
</f>
        <v>0.22</v>
      </c>
      <c r="P122" s="141">
        <v>0.22000000000000003</v>
      </c>
      <c r="Q122" s="142">
        <f t="shared" si="139"/>
        <v>1</v>
      </c>
    </row>
    <row r="123">
      <c r="A123" s="130">
        <v>45413.0</v>
      </c>
      <c r="B123" s="143"/>
      <c r="C123" s="144"/>
      <c r="D123" s="144"/>
      <c r="E123" s="145"/>
      <c r="F123" s="146"/>
      <c r="G123" s="147"/>
      <c r="H123" s="147"/>
      <c r="I123" s="167">
        <v>83.44</v>
      </c>
      <c r="J123" s="160"/>
      <c r="K123" s="150" t="s">
        <v>27</v>
      </c>
      <c r="L123" s="151">
        <f>AVERAGEIFS(Sentiment!$K:$K, Sentiment!$C:$C, $A123, Sentiment!$J:$J, "YES")
</f>
        <v>0.4666666667</v>
      </c>
      <c r="M123" s="151"/>
      <c r="N123" s="157"/>
      <c r="O123" s="151">
        <f>AVERAGEIFS(Sentiment!P:P, Sentiment!C:C, A123, Sentiment!J:J, "YES")
</f>
        <v>0.4666666667</v>
      </c>
      <c r="P123" s="168"/>
      <c r="Q123" s="169"/>
    </row>
    <row r="124">
      <c r="A124" s="130">
        <v>45414.0</v>
      </c>
      <c r="B124" s="131">
        <v>14.4</v>
      </c>
      <c r="C124" s="132">
        <f>B124/B122-1</f>
        <v>-0.02240325866</v>
      </c>
      <c r="D124" s="132">
        <f>C125</f>
        <v>-0.001388888889</v>
      </c>
      <c r="E124" s="133">
        <f t="shared" ref="E124:E125" si="140">IF(D124&gt;0,1,0)</f>
        <v>0</v>
      </c>
      <c r="F124" s="134">
        <v>10872.0</v>
      </c>
      <c r="G124" s="135">
        <f>F124/F122-1</f>
        <v>0.001621462264</v>
      </c>
      <c r="H124" s="135">
        <f>D124-G125</f>
        <v>0.0002023546726</v>
      </c>
      <c r="I124" s="136">
        <v>83.67</v>
      </c>
      <c r="J124" s="155">
        <f>I124/I122-1</f>
        <v>-0.04768950603</v>
      </c>
      <c r="K124" s="138" t="s">
        <v>27</v>
      </c>
      <c r="L124" s="139">
        <f>AVERAGEIFS(Sentiment!$K:$K, Sentiment!$C:$C, $A124, Sentiment!$J:$J, "YES")
</f>
        <v>-0.45</v>
      </c>
      <c r="M124" s="152">
        <v>-0.06</v>
      </c>
      <c r="N124" s="153">
        <f t="shared" ref="N124:N125" si="141">IF(M124&gt;0,1,0)</f>
        <v>0</v>
      </c>
      <c r="O124" s="139">
        <f>AVERAGEIFS(Sentiment!P:P, Sentiment!C:C, A124, Sentiment!J:J, "YES")
</f>
        <v>-0.3</v>
      </c>
      <c r="P124" s="152">
        <v>0.03</v>
      </c>
      <c r="Q124" s="154">
        <f t="shared" ref="Q124:Q125" si="142">IF(P124&gt;0,1,0)</f>
        <v>1</v>
      </c>
    </row>
    <row r="125">
      <c r="A125" s="130">
        <v>45415.0</v>
      </c>
      <c r="B125" s="143">
        <v>14.38</v>
      </c>
      <c r="C125" s="144">
        <f>B125/B124-1</f>
        <v>-0.001388888889</v>
      </c>
      <c r="D125" s="144">
        <f>C128</f>
        <v>0.008344923505</v>
      </c>
      <c r="E125" s="145">
        <f t="shared" si="140"/>
        <v>1</v>
      </c>
      <c r="F125" s="146">
        <v>10854.7</v>
      </c>
      <c r="G125" s="147">
        <f>F125/F124-1</f>
        <v>-0.001591243561</v>
      </c>
      <c r="H125" s="147">
        <f>D125-G128</f>
        <v>0.002559411238</v>
      </c>
      <c r="I125" s="148">
        <v>82.96</v>
      </c>
      <c r="J125" s="156">
        <f>I125/I124-1</f>
        <v>-0.0084857177</v>
      </c>
      <c r="K125" s="150" t="s">
        <v>27</v>
      </c>
      <c r="L125" s="151">
        <v>0.0</v>
      </c>
      <c r="M125" s="151">
        <v>0.0</v>
      </c>
      <c r="N125" s="157">
        <f t="shared" si="141"/>
        <v>0</v>
      </c>
      <c r="O125" s="170">
        <v>0.0</v>
      </c>
      <c r="P125" s="171">
        <v>0.0</v>
      </c>
      <c r="Q125" s="172">
        <f t="shared" si="142"/>
        <v>0</v>
      </c>
    </row>
    <row r="126">
      <c r="A126" s="130">
        <v>45416.0</v>
      </c>
      <c r="B126" s="131"/>
      <c r="C126" s="132"/>
      <c r="D126" s="132"/>
      <c r="E126" s="133"/>
      <c r="F126" s="134"/>
      <c r="G126" s="135"/>
      <c r="H126" s="135"/>
      <c r="I126" s="136"/>
      <c r="J126" s="137"/>
      <c r="K126" s="138" t="s">
        <v>27</v>
      </c>
      <c r="L126" s="139">
        <f>AVERAGEIFS(Sentiment!$K:$K, Sentiment!$C:$C, $A126, Sentiment!$J:$J, "YES")
</f>
        <v>0.6</v>
      </c>
      <c r="M126" s="139"/>
      <c r="N126" s="140"/>
      <c r="O126" s="139">
        <f>AVERAGEIFS(Sentiment!P:P, Sentiment!C:C, A126, Sentiment!J:J, "YES")
</f>
        <v>0.5</v>
      </c>
      <c r="P126" s="141"/>
      <c r="Q126" s="142"/>
    </row>
    <row r="127">
      <c r="A127" s="130">
        <v>45417.0</v>
      </c>
      <c r="B127" s="143"/>
      <c r="C127" s="144"/>
      <c r="D127" s="144"/>
      <c r="E127" s="145"/>
      <c r="F127" s="146"/>
      <c r="G127" s="147"/>
      <c r="H127" s="147"/>
      <c r="I127" s="148"/>
      <c r="J127" s="160"/>
      <c r="K127" s="150" t="s">
        <v>27</v>
      </c>
      <c r="L127" s="151">
        <f>AVERAGEIFS(Sentiment!$K:$K, Sentiment!$C:$C, $A127, Sentiment!$J:$J, "YES")
</f>
        <v>0.6</v>
      </c>
      <c r="M127" s="151"/>
      <c r="N127" s="157"/>
      <c r="O127" s="151">
        <f>AVERAGEIFS(Sentiment!P:P, Sentiment!C:C, A127, Sentiment!J:J, "YES")
</f>
        <v>0.6</v>
      </c>
      <c r="P127" s="158"/>
      <c r="Q127" s="159"/>
    </row>
    <row r="128">
      <c r="A128" s="130">
        <v>45418.0</v>
      </c>
      <c r="B128" s="131">
        <v>14.5</v>
      </c>
      <c r="C128" s="132">
        <f>B128/B125-1</f>
        <v>0.008344923505</v>
      </c>
      <c r="D128" s="132">
        <f t="shared" ref="D128:D131" si="143">C129</f>
        <v>-0.001379310345</v>
      </c>
      <c r="E128" s="133">
        <f t="shared" ref="E128:E132" si="144">IF(D128&gt;0,1,0)</f>
        <v>0</v>
      </c>
      <c r="F128" s="134">
        <v>10917.5</v>
      </c>
      <c r="G128" s="135">
        <f>F128/F125-1</f>
        <v>0.005785512267</v>
      </c>
      <c r="H128" s="135">
        <f t="shared" ref="H128:H131" si="145">D128-G129</f>
        <v>-0.01634610677</v>
      </c>
      <c r="I128" s="136">
        <v>83.33</v>
      </c>
      <c r="J128" s="155">
        <f>I128/I125-1</f>
        <v>0.004459980714</v>
      </c>
      <c r="K128" s="138" t="s">
        <v>27</v>
      </c>
      <c r="L128" s="139">
        <f>AVERAGEIFS(Sentiment!$K:$K, Sentiment!$C:$C, $A128, Sentiment!$J:$J, "YES")
</f>
        <v>0.4</v>
      </c>
      <c r="M128" s="152">
        <v>0.45</v>
      </c>
      <c r="N128" s="153">
        <f t="shared" ref="N128:N132" si="146">IF(M128&gt;0,1,0)</f>
        <v>1</v>
      </c>
      <c r="O128" s="139">
        <f>AVERAGEIFS(Sentiment!P:P, Sentiment!C:C, A128, Sentiment!J:J, "YES")
</f>
        <v>0.36</v>
      </c>
      <c r="P128" s="152">
        <v>0.4</v>
      </c>
      <c r="Q128" s="154">
        <f t="shared" ref="Q128:Q132" si="147">IF(P128&gt;0,1,0)</f>
        <v>1</v>
      </c>
    </row>
    <row r="129">
      <c r="A129" s="130">
        <v>45419.0</v>
      </c>
      <c r="B129" s="143">
        <v>14.48</v>
      </c>
      <c r="C129" s="144">
        <f t="shared" ref="C129:C132" si="148">B129/B128-1</f>
        <v>-0.001379310345</v>
      </c>
      <c r="D129" s="144">
        <f t="shared" si="143"/>
        <v>0.01174033149</v>
      </c>
      <c r="E129" s="145">
        <f t="shared" si="144"/>
        <v>1</v>
      </c>
      <c r="F129" s="146">
        <v>11080.9</v>
      </c>
      <c r="G129" s="147">
        <f t="shared" ref="G129:G132" si="149">F129/F128-1</f>
        <v>0.01496679643</v>
      </c>
      <c r="H129" s="147">
        <f t="shared" si="145"/>
        <v>0.005233639797</v>
      </c>
      <c r="I129" s="148">
        <v>83.16</v>
      </c>
      <c r="J129" s="156">
        <f t="shared" ref="J129:J132" si="150">I129/I128-1</f>
        <v>-0.002040081603</v>
      </c>
      <c r="K129" s="150" t="s">
        <v>27</v>
      </c>
      <c r="L129" s="151">
        <f>AVERAGEIFS(Sentiment!$K:$K, Sentiment!$C:$C, $A129, Sentiment!$J:$J, "YES")
</f>
        <v>0.43</v>
      </c>
      <c r="M129" s="151">
        <f>AVERAGEIFS(Sentiment!$K:$K, Sentiment!$C:$C, $A129, Sentiment!$J:$J, "YES")
</f>
        <v>0.43</v>
      </c>
      <c r="N129" s="157">
        <f t="shared" si="146"/>
        <v>1</v>
      </c>
      <c r="O129" s="151">
        <f>AVERAGEIFS(Sentiment!P:P, Sentiment!C:C, A129, Sentiment!J:J, "YES")
</f>
        <v>0.4</v>
      </c>
      <c r="P129" s="158">
        <v>0.4</v>
      </c>
      <c r="Q129" s="159">
        <f t="shared" si="147"/>
        <v>1</v>
      </c>
    </row>
    <row r="130">
      <c r="A130" s="130">
        <v>45420.0</v>
      </c>
      <c r="B130" s="131">
        <v>14.65</v>
      </c>
      <c r="C130" s="132">
        <f t="shared" si="148"/>
        <v>0.01174033149</v>
      </c>
      <c r="D130" s="132">
        <f t="shared" si="143"/>
        <v>0.00819112628</v>
      </c>
      <c r="E130" s="133">
        <f t="shared" si="144"/>
        <v>1</v>
      </c>
      <c r="F130" s="134">
        <v>11153.0</v>
      </c>
      <c r="G130" s="135">
        <f t="shared" si="149"/>
        <v>0.006506691695</v>
      </c>
      <c r="H130" s="135">
        <f t="shared" si="145"/>
        <v>0.01741734344</v>
      </c>
      <c r="I130" s="136">
        <v>83.58</v>
      </c>
      <c r="J130" s="155">
        <f t="shared" si="150"/>
        <v>0.005050505051</v>
      </c>
      <c r="K130" s="138" t="s">
        <v>27</v>
      </c>
      <c r="L130" s="139">
        <f>AVERAGEIFS(Sentiment!$K:$K, Sentiment!$C:$C, $A130, Sentiment!$J:$J, "YES")
</f>
        <v>0.4818181818</v>
      </c>
      <c r="M130" s="139">
        <f>AVERAGEIFS(Sentiment!$K:$K, Sentiment!$C:$C, $A130, Sentiment!$J:$J, "YES")
</f>
        <v>0.4818181818</v>
      </c>
      <c r="N130" s="140">
        <f t="shared" si="146"/>
        <v>1</v>
      </c>
      <c r="O130" s="139">
        <f>AVERAGEIFS(Sentiment!P:P, Sentiment!C:C, A130, Sentiment!J:J, "YES")
</f>
        <v>0.2727272727</v>
      </c>
      <c r="P130" s="141">
        <v>0.2727272727272727</v>
      </c>
      <c r="Q130" s="142">
        <f t="shared" si="147"/>
        <v>1</v>
      </c>
    </row>
    <row r="131">
      <c r="A131" s="130">
        <v>45421.0</v>
      </c>
      <c r="B131" s="143">
        <v>14.77</v>
      </c>
      <c r="C131" s="144">
        <f t="shared" si="148"/>
        <v>0.00819112628</v>
      </c>
      <c r="D131" s="144">
        <f t="shared" si="143"/>
        <v>0.004739336493</v>
      </c>
      <c r="E131" s="145">
        <f t="shared" si="144"/>
        <v>1</v>
      </c>
      <c r="F131" s="146">
        <v>11050.1</v>
      </c>
      <c r="G131" s="147">
        <f t="shared" si="149"/>
        <v>-0.009226217161</v>
      </c>
      <c r="H131" s="147">
        <f t="shared" si="145"/>
        <v>-0.0002741927964</v>
      </c>
      <c r="I131" s="148">
        <v>83.88</v>
      </c>
      <c r="J131" s="156">
        <f t="shared" si="150"/>
        <v>0.003589375449</v>
      </c>
      <c r="K131" s="150" t="s">
        <v>27</v>
      </c>
      <c r="L131" s="151">
        <f>AVERAGEIFS(Sentiment!$K:$K, Sentiment!$C:$C, $A131, Sentiment!$J:$J, "YES")
</f>
        <v>0.22</v>
      </c>
      <c r="M131" s="151">
        <f>AVERAGEIFS(Sentiment!$K:$K, Sentiment!$C:$C, $A131, Sentiment!$J:$J, "YES")
</f>
        <v>0.22</v>
      </c>
      <c r="N131" s="157">
        <f t="shared" si="146"/>
        <v>1</v>
      </c>
      <c r="O131" s="151">
        <f>AVERAGEIFS(Sentiment!P:P, Sentiment!C:C, A131, Sentiment!J:J, "YES")
</f>
        <v>0.02</v>
      </c>
      <c r="P131" s="158">
        <v>0.019999999999999997</v>
      </c>
      <c r="Q131" s="159">
        <f t="shared" si="147"/>
        <v>1</v>
      </c>
    </row>
    <row r="132">
      <c r="A132" s="130">
        <v>45422.0</v>
      </c>
      <c r="B132" s="131">
        <v>14.84</v>
      </c>
      <c r="C132" s="132">
        <f t="shared" si="148"/>
        <v>0.004739336493</v>
      </c>
      <c r="D132" s="132">
        <f>C135</f>
        <v>0.004043126685</v>
      </c>
      <c r="E132" s="133">
        <f t="shared" si="144"/>
        <v>1</v>
      </c>
      <c r="F132" s="134">
        <v>11105.5</v>
      </c>
      <c r="G132" s="135">
        <f t="shared" si="149"/>
        <v>0.005013529289</v>
      </c>
      <c r="H132" s="135">
        <f>D132-G135</f>
        <v>-0.0001439878082</v>
      </c>
      <c r="I132" s="136">
        <v>82.79</v>
      </c>
      <c r="J132" s="155">
        <f t="shared" si="150"/>
        <v>-0.01299475441</v>
      </c>
      <c r="K132" s="138" t="s">
        <v>27</v>
      </c>
      <c r="L132" s="139">
        <f>AVERAGEIFS(Sentiment!$K:$K, Sentiment!$C:$C, $A132, Sentiment!$J:$J, "YES")
</f>
        <v>0.01904761905</v>
      </c>
      <c r="M132" s="139">
        <f>AVERAGEIFS(Sentiment!$K:$K, Sentiment!$C:$C, $A132, Sentiment!$J:$J, "YES")
</f>
        <v>0.01904761905</v>
      </c>
      <c r="N132" s="140">
        <f t="shared" si="146"/>
        <v>1</v>
      </c>
      <c r="O132" s="139">
        <f>AVERAGEIFS(Sentiment!P:P, Sentiment!C:C, A132, Sentiment!J:J, "YES")
</f>
        <v>-0.1333333333</v>
      </c>
      <c r="P132" s="141">
        <v>-0.13333333333333333</v>
      </c>
      <c r="Q132" s="142">
        <f t="shared" si="147"/>
        <v>0</v>
      </c>
    </row>
    <row r="133">
      <c r="A133" s="130">
        <v>45423.0</v>
      </c>
      <c r="B133" s="143"/>
      <c r="C133" s="144"/>
      <c r="D133" s="144"/>
      <c r="E133" s="145"/>
      <c r="F133" s="146"/>
      <c r="G133" s="147"/>
      <c r="H133" s="147"/>
      <c r="I133" s="148"/>
      <c r="J133" s="160"/>
      <c r="K133" s="150" t="s">
        <v>27</v>
      </c>
      <c r="L133" s="151">
        <f>AVERAGEIFS(Sentiment!$K:$K, Sentiment!$C:$C, $A133, Sentiment!$J:$J, "YES")
</f>
        <v>0</v>
      </c>
      <c r="M133" s="151"/>
      <c r="N133" s="157"/>
      <c r="O133" s="151">
        <f>AVERAGEIFS(Sentiment!P:P, Sentiment!C:C, A133, Sentiment!J:J, "YES")
</f>
        <v>0</v>
      </c>
      <c r="P133" s="158"/>
      <c r="Q133" s="159"/>
    </row>
    <row r="134">
      <c r="A134" s="130">
        <v>45424.0</v>
      </c>
      <c r="B134" s="131"/>
      <c r="C134" s="132"/>
      <c r="D134" s="132"/>
      <c r="E134" s="133"/>
      <c r="F134" s="134"/>
      <c r="G134" s="135"/>
      <c r="H134" s="135"/>
      <c r="I134" s="136"/>
      <c r="J134" s="137"/>
      <c r="K134" s="138" t="s">
        <v>27</v>
      </c>
      <c r="L134" s="139">
        <f>AVERAGEIFS(Sentiment!$K:$K, Sentiment!$C:$C, $A134, Sentiment!$J:$J, "YES")
</f>
        <v>-0.65</v>
      </c>
      <c r="M134" s="139"/>
      <c r="N134" s="140"/>
      <c r="O134" s="139">
        <f>AVERAGEIFS(Sentiment!P:P, Sentiment!C:C, A134, Sentiment!J:J, "YES")
</f>
        <v>-0.4</v>
      </c>
      <c r="P134" s="141"/>
      <c r="Q134" s="142"/>
    </row>
    <row r="135">
      <c r="A135" s="130">
        <v>45425.0</v>
      </c>
      <c r="B135" s="143">
        <v>14.9</v>
      </c>
      <c r="C135" s="144">
        <f>B135/B132-1</f>
        <v>0.004043126685</v>
      </c>
      <c r="D135" s="144">
        <f t="shared" ref="D135:D138" si="151">C136</f>
        <v>-0.004697986577</v>
      </c>
      <c r="E135" s="145">
        <f t="shared" ref="E135:E139" si="152">IF(D135&gt;0,1,0)</f>
        <v>0</v>
      </c>
      <c r="F135" s="146">
        <v>11152.0</v>
      </c>
      <c r="G135" s="147">
        <f>F135/F132-1</f>
        <v>0.004187114493</v>
      </c>
      <c r="H135" s="147">
        <f t="shared" ref="H135:H138" si="153">D135-G136</f>
        <v>-0.01252617883</v>
      </c>
      <c r="I135" s="148">
        <v>83.36</v>
      </c>
      <c r="J135" s="156">
        <f>I135/I132-1</f>
        <v>0.006884889479</v>
      </c>
      <c r="K135" s="150" t="s">
        <v>27</v>
      </c>
      <c r="L135" s="151">
        <f>AVERAGEIFS(Sentiment!$K:$K, Sentiment!$C:$C, $A135, Sentiment!$J:$J, "YES")
</f>
        <v>-0.55</v>
      </c>
      <c r="M135" s="152">
        <v>-0.48</v>
      </c>
      <c r="N135" s="153">
        <f t="shared" ref="N135:N139" si="154">IF(M135&gt;0,1,0)</f>
        <v>0</v>
      </c>
      <c r="O135" s="151">
        <f>AVERAGEIFS(Sentiment!P:P, Sentiment!C:C, A135, Sentiment!J:J, "YES")
</f>
        <v>-0.8</v>
      </c>
      <c r="P135" s="152">
        <v>-0.48</v>
      </c>
      <c r="Q135" s="154">
        <f t="shared" ref="Q135:Q139" si="155">IF(P135&gt;0,1,0)</f>
        <v>0</v>
      </c>
    </row>
    <row r="136">
      <c r="A136" s="130">
        <v>45426.0</v>
      </c>
      <c r="B136" s="131">
        <v>14.83</v>
      </c>
      <c r="C136" s="132">
        <f t="shared" ref="C136:C139" si="156">B136/B135-1</f>
        <v>-0.004697986577</v>
      </c>
      <c r="D136" s="132">
        <f t="shared" si="151"/>
        <v>-0.009440323668</v>
      </c>
      <c r="E136" s="133">
        <f t="shared" si="152"/>
        <v>0</v>
      </c>
      <c r="F136" s="134">
        <v>11239.3</v>
      </c>
      <c r="G136" s="135">
        <f t="shared" ref="G136:G139" si="157">F136/F135-1</f>
        <v>0.007828192253</v>
      </c>
      <c r="H136" s="135">
        <f t="shared" si="153"/>
        <v>-0.02042855247</v>
      </c>
      <c r="I136" s="136">
        <v>82.38</v>
      </c>
      <c r="J136" s="155">
        <f t="shared" ref="J136:J139" si="158">I136/I135-1</f>
        <v>-0.011756238</v>
      </c>
      <c r="K136" s="138" t="s">
        <v>27</v>
      </c>
      <c r="L136" s="139">
        <f>AVERAGEIFS(Sentiment!$K:$K, Sentiment!$C:$C, $A136, Sentiment!$J:$J, "YES")
</f>
        <v>0.35</v>
      </c>
      <c r="M136" s="139">
        <f>AVERAGEIFS(Sentiment!$K:$K, Sentiment!$C:$C, $A136, Sentiment!$J:$J, "YES")
</f>
        <v>0.35</v>
      </c>
      <c r="N136" s="140">
        <f t="shared" si="154"/>
        <v>1</v>
      </c>
      <c r="O136" s="139">
        <f>AVERAGEIFS(Sentiment!P:P, Sentiment!C:C, A136, Sentiment!J:J, "YES")
</f>
        <v>0.075</v>
      </c>
      <c r="P136" s="141">
        <v>0.07500000000000001</v>
      </c>
      <c r="Q136" s="142">
        <f t="shared" si="155"/>
        <v>1</v>
      </c>
    </row>
    <row r="137">
      <c r="A137" s="130">
        <v>45427.0</v>
      </c>
      <c r="B137" s="143">
        <v>14.69</v>
      </c>
      <c r="C137" s="144">
        <f t="shared" si="156"/>
        <v>-0.009440323668</v>
      </c>
      <c r="D137" s="144">
        <f t="shared" si="151"/>
        <v>-0.000680735194</v>
      </c>
      <c r="E137" s="145">
        <f t="shared" si="152"/>
        <v>0</v>
      </c>
      <c r="F137" s="146">
        <v>11362.8</v>
      </c>
      <c r="G137" s="147">
        <f t="shared" si="157"/>
        <v>0.0109882288</v>
      </c>
      <c r="H137" s="147">
        <f t="shared" si="153"/>
        <v>0.004907676113</v>
      </c>
      <c r="I137" s="148">
        <v>82.75</v>
      </c>
      <c r="J137" s="156">
        <f t="shared" si="158"/>
        <v>0.004491381403</v>
      </c>
      <c r="K137" s="150" t="s">
        <v>27</v>
      </c>
      <c r="L137" s="151">
        <f>AVERAGEIFS(Sentiment!$K:$K, Sentiment!$C:$C, $A137, Sentiment!$J:$J, "YES")
</f>
        <v>0.25</v>
      </c>
      <c r="M137" s="151">
        <f>AVERAGEIFS(Sentiment!$K:$K, Sentiment!$C:$C, $A137, Sentiment!$J:$J, "YES")
</f>
        <v>0.25</v>
      </c>
      <c r="N137" s="157">
        <f t="shared" si="154"/>
        <v>1</v>
      </c>
      <c r="O137" s="151">
        <f>AVERAGEIFS(Sentiment!P:P, Sentiment!C:C, A137, Sentiment!J:J, "YES")
</f>
        <v>-0.1</v>
      </c>
      <c r="P137" s="158">
        <v>-0.1</v>
      </c>
      <c r="Q137" s="159">
        <f t="shared" si="155"/>
        <v>0</v>
      </c>
    </row>
    <row r="138">
      <c r="A138" s="130">
        <v>45428.0</v>
      </c>
      <c r="B138" s="131">
        <v>14.68</v>
      </c>
      <c r="C138" s="132">
        <f t="shared" si="156"/>
        <v>-0.000680735194</v>
      </c>
      <c r="D138" s="132">
        <f t="shared" si="151"/>
        <v>0.01294277929</v>
      </c>
      <c r="E138" s="133">
        <f t="shared" si="152"/>
        <v>1</v>
      </c>
      <c r="F138" s="134">
        <v>11299.3</v>
      </c>
      <c r="G138" s="135">
        <f t="shared" si="157"/>
        <v>-0.005588411307</v>
      </c>
      <c r="H138" s="135">
        <f t="shared" si="153"/>
        <v>0.01042934926</v>
      </c>
      <c r="I138" s="136">
        <v>83.27</v>
      </c>
      <c r="J138" s="155">
        <f t="shared" si="158"/>
        <v>0.006283987915</v>
      </c>
      <c r="K138" s="138" t="s">
        <v>27</v>
      </c>
      <c r="L138" s="139">
        <f>AVERAGEIFS(Sentiment!$K:$K, Sentiment!$C:$C, $A138, Sentiment!$J:$J, "YES")
</f>
        <v>-0.325</v>
      </c>
      <c r="M138" s="139">
        <f>AVERAGEIFS(Sentiment!$K:$K, Sentiment!$C:$C, $A138, Sentiment!$J:$J, "YES")
</f>
        <v>-0.325</v>
      </c>
      <c r="N138" s="140">
        <f t="shared" si="154"/>
        <v>0</v>
      </c>
      <c r="O138" s="139">
        <f>AVERAGEIFS(Sentiment!P:P, Sentiment!C:C, A138, Sentiment!J:J, "YES")
</f>
        <v>-0.275</v>
      </c>
      <c r="P138" s="141">
        <v>-0.275</v>
      </c>
      <c r="Q138" s="142">
        <f t="shared" si="155"/>
        <v>0</v>
      </c>
    </row>
    <row r="139">
      <c r="A139" s="130">
        <v>45429.0</v>
      </c>
      <c r="B139" s="143">
        <v>14.87</v>
      </c>
      <c r="C139" s="144">
        <f t="shared" si="156"/>
        <v>0.01294277929</v>
      </c>
      <c r="D139" s="144">
        <f>C142</f>
        <v>0.006052454607</v>
      </c>
      <c r="E139" s="145">
        <f t="shared" si="152"/>
        <v>1</v>
      </c>
      <c r="F139" s="146">
        <v>11327.7</v>
      </c>
      <c r="G139" s="147">
        <f t="shared" si="157"/>
        <v>0.002513430035</v>
      </c>
      <c r="H139" s="147">
        <f>D139-G142</f>
        <v>0.005010760353</v>
      </c>
      <c r="I139" s="148">
        <v>83.98</v>
      </c>
      <c r="J139" s="156">
        <f t="shared" si="158"/>
        <v>0.008526480125</v>
      </c>
      <c r="K139" s="150" t="s">
        <v>27</v>
      </c>
      <c r="L139" s="151">
        <f>AVERAGEIFS(Sentiment!$K:$K, Sentiment!$C:$C, $A139, Sentiment!$J:$J, "YES")
</f>
        <v>0.475</v>
      </c>
      <c r="M139" s="151">
        <f>AVERAGEIFS(Sentiment!$K:$K, Sentiment!$C:$C, $A139, Sentiment!$J:$J, "YES")
</f>
        <v>0.475</v>
      </c>
      <c r="N139" s="157">
        <f t="shared" si="154"/>
        <v>1</v>
      </c>
      <c r="O139" s="151">
        <f>AVERAGEIFS(Sentiment!P:P, Sentiment!C:C, A139, Sentiment!J:J, "YES")
</f>
        <v>0.2</v>
      </c>
      <c r="P139" s="158">
        <v>0.19999999999999998</v>
      </c>
      <c r="Q139" s="159">
        <f t="shared" si="155"/>
        <v>1</v>
      </c>
    </row>
    <row r="140">
      <c r="A140" s="130">
        <v>45430.0</v>
      </c>
      <c r="B140" s="131"/>
      <c r="C140" s="132"/>
      <c r="D140" s="132"/>
      <c r="E140" s="133"/>
      <c r="F140" s="134"/>
      <c r="G140" s="135"/>
      <c r="H140" s="135"/>
      <c r="I140" s="136"/>
      <c r="J140" s="137"/>
      <c r="K140" s="138" t="s">
        <v>27</v>
      </c>
      <c r="L140" s="139">
        <f>AVERAGEIFS(Sentiment!$K:$K, Sentiment!$C:$C, $A140, Sentiment!$J:$J, "YES")
</f>
        <v>-0.65</v>
      </c>
      <c r="M140" s="139"/>
      <c r="N140" s="140"/>
      <c r="O140" s="139">
        <f>AVERAGEIFS(Sentiment!P:P, Sentiment!C:C, A140, Sentiment!J:J, "YES")
</f>
        <v>-0.7</v>
      </c>
      <c r="P140" s="141"/>
      <c r="Q140" s="142"/>
    </row>
    <row r="141">
      <c r="A141" s="130">
        <v>45431.0</v>
      </c>
      <c r="B141" s="143"/>
      <c r="C141" s="144"/>
      <c r="D141" s="144"/>
      <c r="E141" s="145"/>
      <c r="F141" s="146"/>
      <c r="G141" s="147"/>
      <c r="H141" s="147"/>
      <c r="I141" s="148"/>
      <c r="J141" s="160"/>
      <c r="K141" s="150" t="s">
        <v>27</v>
      </c>
      <c r="L141" s="151">
        <f>AVERAGEIFS(Sentiment!$K:$K, Sentiment!$C:$C, $A141, Sentiment!$J:$J, "YES")
</f>
        <v>-0.175</v>
      </c>
      <c r="M141" s="151"/>
      <c r="N141" s="157"/>
      <c r="O141" s="151">
        <f>AVERAGEIFS(Sentiment!P:P, Sentiment!C:C, A141, Sentiment!J:J, "YES")
</f>
        <v>-0.15</v>
      </c>
      <c r="P141" s="158"/>
      <c r="Q141" s="159"/>
    </row>
    <row r="142">
      <c r="A142" s="130">
        <v>45432.0</v>
      </c>
      <c r="B142" s="131">
        <v>14.96</v>
      </c>
      <c r="C142" s="132">
        <f>B142/B139-1</f>
        <v>0.006052454607</v>
      </c>
      <c r="D142" s="132">
        <f t="shared" ref="D142:D145" si="159">C143</f>
        <v>-0.005347593583</v>
      </c>
      <c r="E142" s="133">
        <f t="shared" ref="E142:E146" si="160">IF(D142&gt;0,1,0)</f>
        <v>0</v>
      </c>
      <c r="F142" s="134">
        <v>11339.5</v>
      </c>
      <c r="G142" s="135">
        <f>F142/F139-1</f>
        <v>0.001041694254</v>
      </c>
      <c r="H142" s="135">
        <f t="shared" ref="H142:H145" si="161">D142-G143</f>
        <v>-0.004941931958</v>
      </c>
      <c r="I142" s="136">
        <v>83.71</v>
      </c>
      <c r="J142" s="155">
        <f>I142/I139-1</f>
        <v>-0.003215051203</v>
      </c>
      <c r="K142" s="138" t="s">
        <v>27</v>
      </c>
      <c r="L142" s="139">
        <f>AVERAGEIFS(Sentiment!$K:$K, Sentiment!$C:$C, $A142, Sentiment!$J:$J, "YES")
</f>
        <v>0.1</v>
      </c>
      <c r="M142" s="152">
        <v>-0.14</v>
      </c>
      <c r="N142" s="153">
        <f t="shared" ref="N142:N146" si="162">IF(M142&gt;0,1,0)</f>
        <v>0</v>
      </c>
      <c r="O142" s="139">
        <f>AVERAGEIFS(Sentiment!P:P, Sentiment!C:C, A142, Sentiment!J:J, "YES")
</f>
        <v>0.06</v>
      </c>
      <c r="P142" s="152">
        <v>-0.15</v>
      </c>
      <c r="Q142" s="154">
        <f t="shared" ref="Q142:Q146" si="163">IF(P142&gt;0,1,0)</f>
        <v>0</v>
      </c>
    </row>
    <row r="143">
      <c r="A143" s="130">
        <v>45433.0</v>
      </c>
      <c r="B143" s="143">
        <v>14.88</v>
      </c>
      <c r="C143" s="144">
        <f t="shared" ref="C143:C146" si="164">B143/B142-1</f>
        <v>-0.005347593583</v>
      </c>
      <c r="D143" s="144">
        <f t="shared" si="159"/>
        <v>-0.006720430108</v>
      </c>
      <c r="E143" s="145">
        <f t="shared" si="160"/>
        <v>0</v>
      </c>
      <c r="F143" s="146">
        <v>11334.9</v>
      </c>
      <c r="G143" s="147">
        <f t="shared" ref="G143:G146" si="165">F143/F142-1</f>
        <v>-0.0004056616253</v>
      </c>
      <c r="H143" s="147">
        <f t="shared" si="161"/>
        <v>-0.006199913826</v>
      </c>
      <c r="I143" s="148">
        <v>82.88</v>
      </c>
      <c r="J143" s="156">
        <f t="shared" ref="J143:J146" si="166">I143/I142-1</f>
        <v>-0.009915183371</v>
      </c>
      <c r="K143" s="150" t="s">
        <v>27</v>
      </c>
      <c r="L143" s="151">
        <f>AVERAGEIFS(Sentiment!$K:$K, Sentiment!$C:$C, $A143, Sentiment!$J:$J, "YES")
</f>
        <v>0.6571428571</v>
      </c>
      <c r="M143" s="151">
        <f>AVERAGEIFS(Sentiment!$K:$K, Sentiment!$C:$C, $A143, Sentiment!$J:$J, "YES")
</f>
        <v>0.6571428571</v>
      </c>
      <c r="N143" s="157">
        <f t="shared" si="162"/>
        <v>1</v>
      </c>
      <c r="O143" s="151">
        <f>AVERAGEIFS(Sentiment!P:P, Sentiment!C:C, A143, Sentiment!J:J, "YES")
</f>
        <v>0.6</v>
      </c>
      <c r="P143" s="158">
        <v>0.6</v>
      </c>
      <c r="Q143" s="159">
        <f t="shared" si="163"/>
        <v>1</v>
      </c>
    </row>
    <row r="144">
      <c r="A144" s="130">
        <v>45434.0</v>
      </c>
      <c r="B144" s="131">
        <v>14.78</v>
      </c>
      <c r="C144" s="132">
        <f t="shared" si="164"/>
        <v>-0.006720430108</v>
      </c>
      <c r="D144" s="132">
        <f t="shared" si="159"/>
        <v>0.008795669824</v>
      </c>
      <c r="E144" s="133">
        <f t="shared" si="160"/>
        <v>1</v>
      </c>
      <c r="F144" s="134">
        <v>11329.0</v>
      </c>
      <c r="G144" s="135">
        <f t="shared" si="165"/>
        <v>-0.0005205162816</v>
      </c>
      <c r="H144" s="135">
        <f t="shared" si="161"/>
        <v>0.01037568571</v>
      </c>
      <c r="I144" s="136">
        <v>81.9</v>
      </c>
      <c r="J144" s="155">
        <f t="shared" si="166"/>
        <v>-0.01182432432</v>
      </c>
      <c r="K144" s="138" t="s">
        <v>27</v>
      </c>
      <c r="L144" s="139">
        <f>AVERAGEIFS(Sentiment!$K:$K, Sentiment!$C:$C, $A144, Sentiment!$J:$J, "YES")
</f>
        <v>0.05</v>
      </c>
      <c r="M144" s="139">
        <f>AVERAGEIFS(Sentiment!$K:$K, Sentiment!$C:$C, $A144, Sentiment!$J:$J, "YES")
</f>
        <v>0.05</v>
      </c>
      <c r="N144" s="140">
        <f t="shared" si="162"/>
        <v>1</v>
      </c>
      <c r="O144" s="139">
        <f>AVERAGEIFS(Sentiment!P:P, Sentiment!C:C, A144, Sentiment!J:J, "YES")
</f>
        <v>-0.25</v>
      </c>
      <c r="P144" s="141">
        <v>-0.25</v>
      </c>
      <c r="Q144" s="142">
        <f t="shared" si="163"/>
        <v>0</v>
      </c>
    </row>
    <row r="145">
      <c r="A145" s="130">
        <v>45435.0</v>
      </c>
      <c r="B145" s="143">
        <v>14.91</v>
      </c>
      <c r="C145" s="144">
        <f t="shared" si="164"/>
        <v>0.008795669824</v>
      </c>
      <c r="D145" s="144">
        <f t="shared" si="159"/>
        <v>0</v>
      </c>
      <c r="E145" s="145">
        <f t="shared" si="160"/>
        <v>0</v>
      </c>
      <c r="F145" s="146">
        <v>11311.1</v>
      </c>
      <c r="G145" s="147">
        <f t="shared" si="165"/>
        <v>-0.001580015888</v>
      </c>
      <c r="H145" s="147">
        <f t="shared" si="161"/>
        <v>0.005755408404</v>
      </c>
      <c r="I145" s="148">
        <v>81.36</v>
      </c>
      <c r="J145" s="156">
        <f t="shared" si="166"/>
        <v>-0.006593406593</v>
      </c>
      <c r="K145" s="150" t="s">
        <v>27</v>
      </c>
      <c r="L145" s="151">
        <f>AVERAGEIFS(Sentiment!$K:$K, Sentiment!$C:$C, $A145, Sentiment!$J:$J, "YES")
</f>
        <v>0.62</v>
      </c>
      <c r="M145" s="151">
        <f>AVERAGEIFS(Sentiment!$K:$K, Sentiment!$C:$C, $A145, Sentiment!$J:$J, "YES")
</f>
        <v>0.62</v>
      </c>
      <c r="N145" s="157">
        <f t="shared" si="162"/>
        <v>1</v>
      </c>
      <c r="O145" s="151">
        <f>AVERAGEIFS(Sentiment!P:P, Sentiment!C:C, A145, Sentiment!J:J, "YES")
</f>
        <v>0.38</v>
      </c>
      <c r="P145" s="158">
        <v>0.38</v>
      </c>
      <c r="Q145" s="159">
        <f t="shared" si="163"/>
        <v>1</v>
      </c>
    </row>
    <row r="146">
      <c r="A146" s="130">
        <v>45436.0</v>
      </c>
      <c r="B146" s="131">
        <v>14.91</v>
      </c>
      <c r="C146" s="132">
        <f t="shared" si="164"/>
        <v>0</v>
      </c>
      <c r="D146" s="132">
        <f>C149</f>
        <v>0.009389671362</v>
      </c>
      <c r="E146" s="133">
        <f t="shared" si="160"/>
        <v>1</v>
      </c>
      <c r="F146" s="134">
        <v>11246.0</v>
      </c>
      <c r="G146" s="135">
        <f t="shared" si="165"/>
        <v>-0.005755408404</v>
      </c>
      <c r="H146" s="135">
        <f>D146-G149</f>
        <v>0.002320491209</v>
      </c>
      <c r="I146" s="136">
        <v>82.12</v>
      </c>
      <c r="J146" s="155">
        <f t="shared" si="166"/>
        <v>0.009341199607</v>
      </c>
      <c r="K146" s="138" t="s">
        <v>27</v>
      </c>
      <c r="L146" s="139">
        <f>AVERAGEIFS(Sentiment!$K:$K, Sentiment!$C:$C, $A146, Sentiment!$J:$J, "YES")
</f>
        <v>0.62</v>
      </c>
      <c r="M146" s="139">
        <f>AVERAGEIFS(Sentiment!$K:$K, Sentiment!$C:$C, $A146, Sentiment!$J:$J, "YES")
</f>
        <v>0.62</v>
      </c>
      <c r="N146" s="140">
        <f t="shared" si="162"/>
        <v>1</v>
      </c>
      <c r="O146" s="139">
        <f>AVERAGEIFS(Sentiment!P:P, Sentiment!C:C, A146, Sentiment!J:J, "YES")
</f>
        <v>0.46</v>
      </c>
      <c r="P146" s="141">
        <v>0.45999999999999996</v>
      </c>
      <c r="Q146" s="142">
        <f t="shared" si="163"/>
        <v>1</v>
      </c>
    </row>
    <row r="147">
      <c r="A147" s="130">
        <v>45437.0</v>
      </c>
      <c r="B147" s="143"/>
      <c r="C147" s="144"/>
      <c r="D147" s="144"/>
      <c r="E147" s="145"/>
      <c r="F147" s="146"/>
      <c r="G147" s="147"/>
      <c r="H147" s="147"/>
      <c r="I147" s="148"/>
      <c r="J147" s="160"/>
      <c r="K147" s="150" t="s">
        <v>27</v>
      </c>
      <c r="L147" s="151">
        <f>AVERAGEIFS(Sentiment!$K:$K, Sentiment!$C:$C, $A147, Sentiment!$J:$J, "YES")
</f>
        <v>0.6</v>
      </c>
      <c r="M147" s="151"/>
      <c r="N147" s="157"/>
      <c r="O147" s="151">
        <f>AVERAGEIFS(Sentiment!P:P, Sentiment!C:C, A147, Sentiment!J:J, "YES")
</f>
        <v>0.425</v>
      </c>
      <c r="P147" s="158"/>
      <c r="Q147" s="159"/>
    </row>
    <row r="148">
      <c r="A148" s="130">
        <v>45438.0</v>
      </c>
      <c r="B148" s="131"/>
      <c r="C148" s="132"/>
      <c r="D148" s="132"/>
      <c r="E148" s="133"/>
      <c r="F148" s="134"/>
      <c r="G148" s="135"/>
      <c r="H148" s="135"/>
      <c r="I148" s="136"/>
      <c r="J148" s="137"/>
      <c r="K148" s="138" t="s">
        <v>27</v>
      </c>
      <c r="L148" s="139">
        <f>AVERAGEIFS(Sentiment!$K:$K, Sentiment!$C:$C, $A148, Sentiment!$J:$J, "YES")
</f>
        <v>0</v>
      </c>
      <c r="M148" s="139"/>
      <c r="N148" s="140"/>
      <c r="O148" s="139">
        <f>AVERAGEIFS(Sentiment!P:P, Sentiment!C:C, A148, Sentiment!J:J, "YES")
</f>
        <v>0.6</v>
      </c>
      <c r="P148" s="141"/>
      <c r="Q148" s="142"/>
    </row>
    <row r="149">
      <c r="A149" s="130">
        <v>45439.0</v>
      </c>
      <c r="B149" s="143">
        <v>15.05</v>
      </c>
      <c r="C149" s="144">
        <f>B149/B146-1</f>
        <v>0.009389671362</v>
      </c>
      <c r="D149" s="144">
        <f t="shared" ref="D149:D152" si="167">C150</f>
        <v>0.006644518272</v>
      </c>
      <c r="E149" s="145">
        <f t="shared" ref="E149:E153" si="168">IF(D149&gt;0,1,0)</f>
        <v>1</v>
      </c>
      <c r="F149" s="146">
        <v>11325.5</v>
      </c>
      <c r="G149" s="147">
        <f>F149/F146-1</f>
        <v>0.007069180153</v>
      </c>
      <c r="H149" s="147">
        <f t="shared" ref="H149:H152" si="169">D149-G150</f>
        <v>0.01101518623</v>
      </c>
      <c r="I149" s="148">
        <v>83.1</v>
      </c>
      <c r="J149" s="156">
        <f>I149/I146-1</f>
        <v>0.01193375548</v>
      </c>
      <c r="K149" s="150" t="s">
        <v>27</v>
      </c>
      <c r="L149" s="151">
        <f>AVERAGEIFS(Sentiment!$K:$K, Sentiment!$C:$C, $A149, Sentiment!$J:$J, "YES")
</f>
        <v>0.35</v>
      </c>
      <c r="M149" s="152">
        <v>0.42</v>
      </c>
      <c r="N149" s="153">
        <f t="shared" ref="N149:N153" si="170">IF(M149&gt;0,1,0)</f>
        <v>1</v>
      </c>
      <c r="O149" s="151">
        <f>AVERAGEIFS(Sentiment!P:P, Sentiment!C:C, A149, Sentiment!J:J, "YES")
</f>
        <v>0.45</v>
      </c>
      <c r="P149" s="152">
        <v>0.46</v>
      </c>
      <c r="Q149" s="154">
        <f t="shared" ref="Q149:Q153" si="171">IF(P149&gt;0,1,0)</f>
        <v>1</v>
      </c>
    </row>
    <row r="150">
      <c r="A150" s="130">
        <v>45440.0</v>
      </c>
      <c r="B150" s="131">
        <v>15.15</v>
      </c>
      <c r="C150" s="132">
        <f t="shared" ref="C150:C153" si="172">B150/B149-1</f>
        <v>0.006644518272</v>
      </c>
      <c r="D150" s="132">
        <f t="shared" si="167"/>
        <v>-0.006600660066</v>
      </c>
      <c r="E150" s="133">
        <f t="shared" si="168"/>
        <v>0</v>
      </c>
      <c r="F150" s="134">
        <v>11276.0</v>
      </c>
      <c r="G150" s="135">
        <f t="shared" ref="G150:G153" si="173">F150/F149-1</f>
        <v>-0.004370667962</v>
      </c>
      <c r="H150" s="135">
        <f t="shared" si="169"/>
        <v>0.005008066433</v>
      </c>
      <c r="I150" s="136">
        <v>84.22</v>
      </c>
      <c r="J150" s="155">
        <f t="shared" ref="J150:J153" si="174">I150/I149-1</f>
        <v>0.01347773767</v>
      </c>
      <c r="K150" s="138" t="s">
        <v>27</v>
      </c>
      <c r="L150" s="139">
        <f>AVERAGEIFS(Sentiment!$K:$K, Sentiment!$C:$C, $A150, Sentiment!$J:$J, "YES")
</f>
        <v>0.5357142857</v>
      </c>
      <c r="M150" s="139">
        <f>AVERAGEIFS(Sentiment!$K:$K, Sentiment!$C:$C, $A150, Sentiment!$J:$J, "YES")
</f>
        <v>0.5357142857</v>
      </c>
      <c r="N150" s="140">
        <f t="shared" si="170"/>
        <v>1</v>
      </c>
      <c r="O150" s="139">
        <f>AVERAGEIFS(Sentiment!P:P, Sentiment!C:C, A150, Sentiment!J:J, "YES")
</f>
        <v>0.3785714286</v>
      </c>
      <c r="P150" s="141">
        <v>0.3785714285714286</v>
      </c>
      <c r="Q150" s="142">
        <f t="shared" si="171"/>
        <v>1</v>
      </c>
    </row>
    <row r="151">
      <c r="A151" s="130">
        <v>45441.0</v>
      </c>
      <c r="B151" s="143">
        <v>15.05</v>
      </c>
      <c r="C151" s="144">
        <f t="shared" si="172"/>
        <v>-0.006600660066</v>
      </c>
      <c r="D151" s="144">
        <f t="shared" si="167"/>
        <v>-0.01328903654</v>
      </c>
      <c r="E151" s="145">
        <f t="shared" si="168"/>
        <v>0</v>
      </c>
      <c r="F151" s="146">
        <v>11145.1</v>
      </c>
      <c r="G151" s="147">
        <f t="shared" si="173"/>
        <v>-0.0116087265</v>
      </c>
      <c r="H151" s="147">
        <f t="shared" si="169"/>
        <v>-0.03061503631</v>
      </c>
      <c r="I151" s="148">
        <v>83.6</v>
      </c>
      <c r="J151" s="156">
        <f t="shared" si="174"/>
        <v>-0.007361671812</v>
      </c>
      <c r="K151" s="150" t="s">
        <v>27</v>
      </c>
      <c r="L151" s="151">
        <f>AVERAGEIFS(Sentiment!$K:$K, Sentiment!$C:$C, $A151, Sentiment!$J:$J, "YES")
</f>
        <v>0.3181818182</v>
      </c>
      <c r="M151" s="151">
        <f>AVERAGEIFS(Sentiment!$K:$K, Sentiment!$C:$C, $A151, Sentiment!$J:$J, "YES")
</f>
        <v>0.3181818182</v>
      </c>
      <c r="N151" s="157">
        <f t="shared" si="170"/>
        <v>1</v>
      </c>
      <c r="O151" s="151">
        <f>AVERAGEIFS(Sentiment!P:P, Sentiment!C:C, A151, Sentiment!J:J, "YES")
</f>
        <v>0.1363636364</v>
      </c>
      <c r="P151" s="158">
        <v>0.13636363636363638</v>
      </c>
      <c r="Q151" s="159">
        <f t="shared" si="171"/>
        <v>1</v>
      </c>
    </row>
    <row r="152">
      <c r="A152" s="130">
        <v>45442.0</v>
      </c>
      <c r="B152" s="131">
        <v>14.85</v>
      </c>
      <c r="C152" s="132">
        <f t="shared" si="172"/>
        <v>-0.01328903654</v>
      </c>
      <c r="D152" s="132">
        <f t="shared" si="167"/>
        <v>0.01144781145</v>
      </c>
      <c r="E152" s="133">
        <f t="shared" si="168"/>
        <v>1</v>
      </c>
      <c r="F152" s="134">
        <v>11338.2</v>
      </c>
      <c r="G152" s="135">
        <f t="shared" si="173"/>
        <v>0.01732599977</v>
      </c>
      <c r="H152" s="135">
        <f t="shared" si="169"/>
        <v>0.01287660967</v>
      </c>
      <c r="I152" s="136">
        <v>81.86</v>
      </c>
      <c r="J152" s="155">
        <f t="shared" si="174"/>
        <v>-0.02081339713</v>
      </c>
      <c r="K152" s="138" t="s">
        <v>27</v>
      </c>
      <c r="L152" s="139">
        <f>AVERAGEIFS(Sentiment!$K:$K, Sentiment!$C:$C, $A152, Sentiment!$J:$J, "YES")
</f>
        <v>0.35</v>
      </c>
      <c r="M152" s="139">
        <f>AVERAGEIFS(Sentiment!$K:$K, Sentiment!$C:$C, $A152, Sentiment!$J:$J, "YES")
</f>
        <v>0.35</v>
      </c>
      <c r="N152" s="140">
        <f t="shared" si="170"/>
        <v>1</v>
      </c>
      <c r="O152" s="139">
        <f>AVERAGEIFS(Sentiment!P:P, Sentiment!C:C, A152, Sentiment!J:J, "YES")
</f>
        <v>0.33</v>
      </c>
      <c r="P152" s="141">
        <v>0.32999999999999996</v>
      </c>
      <c r="Q152" s="142">
        <f t="shared" si="171"/>
        <v>1</v>
      </c>
    </row>
    <row r="153">
      <c r="A153" s="130">
        <v>45443.0</v>
      </c>
      <c r="B153" s="143">
        <v>15.02</v>
      </c>
      <c r="C153" s="144">
        <f t="shared" si="172"/>
        <v>0.01144781145</v>
      </c>
      <c r="D153" s="144">
        <f>C156</f>
        <v>-0.01264980027</v>
      </c>
      <c r="E153" s="145">
        <f t="shared" si="168"/>
        <v>0</v>
      </c>
      <c r="F153" s="146">
        <v>11322.0</v>
      </c>
      <c r="G153" s="147">
        <f t="shared" si="173"/>
        <v>-0.001428798222</v>
      </c>
      <c r="H153" s="147">
        <f>D153-G156</f>
        <v>-0.01929173632</v>
      </c>
      <c r="I153" s="148">
        <v>81.62</v>
      </c>
      <c r="J153" s="156">
        <f t="shared" si="174"/>
        <v>-0.00293183484</v>
      </c>
      <c r="K153" s="150" t="s">
        <v>27</v>
      </c>
      <c r="L153" s="151">
        <f>AVERAGEIFS(Sentiment!$K:$K, Sentiment!$C:$C, $A153, Sentiment!$J:$J, "YES")
</f>
        <v>0.2714285714</v>
      </c>
      <c r="M153" s="151">
        <f>AVERAGEIFS(Sentiment!$K:$K, Sentiment!$C:$C, $A153, Sentiment!$J:$J, "YES")
</f>
        <v>0.2714285714</v>
      </c>
      <c r="N153" s="157">
        <f t="shared" si="170"/>
        <v>1</v>
      </c>
      <c r="O153" s="151">
        <f>AVERAGEIFS(Sentiment!P:P, Sentiment!C:C, A153, Sentiment!J:J, "YES")
</f>
        <v>0.05714285714</v>
      </c>
      <c r="P153" s="158">
        <v>0.05714285714285715</v>
      </c>
      <c r="Q153" s="159">
        <f t="shared" si="171"/>
        <v>1</v>
      </c>
    </row>
    <row r="154">
      <c r="A154" s="130">
        <v>45444.0</v>
      </c>
      <c r="B154" s="131"/>
      <c r="C154" s="132"/>
      <c r="D154" s="132"/>
      <c r="E154" s="133"/>
      <c r="F154" s="134"/>
      <c r="G154" s="135"/>
      <c r="H154" s="135"/>
      <c r="I154" s="136"/>
      <c r="J154" s="137"/>
      <c r="K154" s="138" t="s">
        <v>27</v>
      </c>
      <c r="L154" s="139">
        <v>0.0</v>
      </c>
      <c r="M154" s="139"/>
      <c r="N154" s="140"/>
      <c r="O154" s="162">
        <v>0.0</v>
      </c>
      <c r="P154" s="165"/>
      <c r="Q154" s="166"/>
    </row>
    <row r="155">
      <c r="A155" s="130">
        <v>45445.0</v>
      </c>
      <c r="B155" s="143"/>
      <c r="C155" s="144"/>
      <c r="D155" s="144"/>
      <c r="E155" s="145"/>
      <c r="F155" s="146"/>
      <c r="G155" s="147"/>
      <c r="H155" s="147"/>
      <c r="I155" s="148"/>
      <c r="J155" s="160"/>
      <c r="K155" s="150" t="s">
        <v>27</v>
      </c>
      <c r="L155" s="151">
        <f>AVERAGEIFS(Sentiment!$K:$K, Sentiment!$C:$C, $A155, Sentiment!$J:$J, "YES")
</f>
        <v>0.2</v>
      </c>
      <c r="M155" s="151"/>
      <c r="N155" s="157"/>
      <c r="O155" s="151">
        <f>AVERAGEIFS(Sentiment!P:P, Sentiment!C:C, A155, Sentiment!J:J, "YES")
</f>
        <v>-0.1</v>
      </c>
      <c r="P155" s="158"/>
      <c r="Q155" s="159"/>
    </row>
    <row r="156">
      <c r="A156" s="130">
        <v>45446.0</v>
      </c>
      <c r="B156" s="131">
        <v>14.83</v>
      </c>
      <c r="C156" s="132">
        <f>B156/B153-1</f>
        <v>-0.01264980027</v>
      </c>
      <c r="D156" s="132">
        <f t="shared" ref="D156:D159" si="175">C157</f>
        <v>-0.01753202967</v>
      </c>
      <c r="E156" s="133">
        <f t="shared" ref="E156:E160" si="176">IF(D156&gt;0,1,0)</f>
        <v>0</v>
      </c>
      <c r="F156" s="134">
        <v>11397.2</v>
      </c>
      <c r="G156" s="135">
        <f>F156/F153-1</f>
        <v>0.006641936054</v>
      </c>
      <c r="H156" s="135">
        <f t="shared" ref="H156:H159" si="177">D156-G157</f>
        <v>-0.007810343641</v>
      </c>
      <c r="I156" s="136">
        <v>78.36</v>
      </c>
      <c r="J156" s="155">
        <f>I156/I153-1</f>
        <v>-0.03994119088</v>
      </c>
      <c r="K156" s="138" t="s">
        <v>27</v>
      </c>
      <c r="L156" s="139">
        <f>AVERAGEIFS(Sentiment!$K:$K, Sentiment!$C:$C, $A156, Sentiment!$J:$J, "YES")
</f>
        <v>0.675</v>
      </c>
      <c r="M156" s="152">
        <v>0.41</v>
      </c>
      <c r="N156" s="153">
        <f t="shared" ref="N156:N160" si="178">IF(M156&gt;0,1,0)</f>
        <v>1</v>
      </c>
      <c r="O156" s="139">
        <f>AVERAGEIFS(Sentiment!P:P, Sentiment!C:C, A156, Sentiment!J:J, "YES")
</f>
        <v>0.275</v>
      </c>
      <c r="P156" s="152">
        <v>0.05</v>
      </c>
      <c r="Q156" s="154">
        <f t="shared" ref="Q156:Q160" si="179">IF(P156&gt;0,1,0)</f>
        <v>1</v>
      </c>
    </row>
    <row r="157">
      <c r="A157" s="130">
        <v>45447.0</v>
      </c>
      <c r="B157" s="143">
        <v>14.57</v>
      </c>
      <c r="C157" s="144">
        <f t="shared" ref="C157:C160" si="180">B157/B156-1</f>
        <v>-0.01753202967</v>
      </c>
      <c r="D157" s="144">
        <f t="shared" si="175"/>
        <v>-0.004804392588</v>
      </c>
      <c r="E157" s="145">
        <f t="shared" si="176"/>
        <v>0</v>
      </c>
      <c r="F157" s="146">
        <v>11286.4</v>
      </c>
      <c r="G157" s="147">
        <f t="shared" ref="G157:G160" si="181">F157/F156-1</f>
        <v>-0.009721686028</v>
      </c>
      <c r="H157" s="147">
        <f t="shared" si="177"/>
        <v>-0.0107141601</v>
      </c>
      <c r="I157" s="148">
        <v>77.52</v>
      </c>
      <c r="J157" s="156">
        <f t="shared" ref="J157:J160" si="182">I157/I156-1</f>
        <v>-0.01071975498</v>
      </c>
      <c r="K157" s="150" t="s">
        <v>27</v>
      </c>
      <c r="L157" s="151">
        <f>AVERAGEIFS(Sentiment!$K:$K, Sentiment!$C:$C, $A157, Sentiment!$J:$J, "YES")
</f>
        <v>0.5363636364</v>
      </c>
      <c r="M157" s="151">
        <f>AVERAGEIFS(Sentiment!$K:$K, Sentiment!$C:$C, $A157, Sentiment!$J:$J, "YES")
</f>
        <v>0.5363636364</v>
      </c>
      <c r="N157" s="157">
        <f t="shared" si="178"/>
        <v>1</v>
      </c>
      <c r="O157" s="151">
        <f>AVERAGEIFS(Sentiment!P:P, Sentiment!C:C, A157, Sentiment!J:J, "YES")
</f>
        <v>0.05454545455</v>
      </c>
      <c r="P157" s="158">
        <v>0.05454545454545456</v>
      </c>
      <c r="Q157" s="159">
        <f t="shared" si="179"/>
        <v>1</v>
      </c>
    </row>
    <row r="158">
      <c r="A158" s="130">
        <v>45448.0</v>
      </c>
      <c r="B158" s="131">
        <v>14.5</v>
      </c>
      <c r="C158" s="132">
        <f t="shared" si="180"/>
        <v>-0.004804392588</v>
      </c>
      <c r="D158" s="132">
        <f t="shared" si="175"/>
        <v>0.004827586207</v>
      </c>
      <c r="E158" s="133">
        <f t="shared" si="176"/>
        <v>1</v>
      </c>
      <c r="F158" s="134">
        <v>11353.1</v>
      </c>
      <c r="G158" s="135">
        <f t="shared" si="181"/>
        <v>0.005909767508</v>
      </c>
      <c r="H158" s="135">
        <f t="shared" si="177"/>
        <v>-0.003179037535</v>
      </c>
      <c r="I158" s="136">
        <v>78.41</v>
      </c>
      <c r="J158" s="155">
        <f t="shared" si="182"/>
        <v>0.01148090815</v>
      </c>
      <c r="K158" s="138" t="s">
        <v>27</v>
      </c>
      <c r="L158" s="139">
        <f>AVERAGEIFS(Sentiment!$K:$K, Sentiment!$C:$C, $A158, Sentiment!$J:$J, "YES")
</f>
        <v>0.06</v>
      </c>
      <c r="M158" s="139">
        <f>AVERAGEIFS(Sentiment!$K:$K, Sentiment!$C:$C, $A158, Sentiment!$J:$J, "YES")
</f>
        <v>0.06</v>
      </c>
      <c r="N158" s="140">
        <f t="shared" si="178"/>
        <v>1</v>
      </c>
      <c r="O158" s="139">
        <f>AVERAGEIFS(Sentiment!P:P, Sentiment!C:C, A158, Sentiment!J:J, "YES")
</f>
        <v>0.18</v>
      </c>
      <c r="P158" s="141">
        <v>0.17999999999999997</v>
      </c>
      <c r="Q158" s="142">
        <f t="shared" si="179"/>
        <v>1</v>
      </c>
    </row>
    <row r="159">
      <c r="A159" s="130">
        <v>45449.0</v>
      </c>
      <c r="B159" s="143">
        <v>14.57</v>
      </c>
      <c r="C159" s="144">
        <f t="shared" si="180"/>
        <v>0.004827586207</v>
      </c>
      <c r="D159" s="144">
        <f t="shared" si="175"/>
        <v>0.002059025395</v>
      </c>
      <c r="E159" s="145">
        <f t="shared" si="176"/>
        <v>1</v>
      </c>
      <c r="F159" s="146">
        <v>11444.0</v>
      </c>
      <c r="G159" s="147">
        <f t="shared" si="181"/>
        <v>0.008006623742</v>
      </c>
      <c r="H159" s="147">
        <f t="shared" si="177"/>
        <v>0.005475662934</v>
      </c>
      <c r="I159" s="148">
        <v>79.87</v>
      </c>
      <c r="J159" s="156">
        <f t="shared" si="182"/>
        <v>0.01862007397</v>
      </c>
      <c r="K159" s="150" t="s">
        <v>27</v>
      </c>
      <c r="L159" s="151">
        <f>AVERAGEIFS(Sentiment!$K:$K, Sentiment!$C:$C, $A159, Sentiment!$J:$J, "YES")
</f>
        <v>0.05</v>
      </c>
      <c r="M159" s="151">
        <f>AVERAGEIFS(Sentiment!$K:$K, Sentiment!$C:$C, $A159, Sentiment!$J:$J, "YES")
</f>
        <v>0.05</v>
      </c>
      <c r="N159" s="157">
        <f t="shared" si="178"/>
        <v>1</v>
      </c>
      <c r="O159" s="151">
        <f>AVERAGEIFS(Sentiment!P:P, Sentiment!C:C, A159, Sentiment!J:J, "YES")
</f>
        <v>0.075</v>
      </c>
      <c r="P159" s="158">
        <v>0.07499999999999998</v>
      </c>
      <c r="Q159" s="159">
        <f t="shared" si="179"/>
        <v>1</v>
      </c>
    </row>
    <row r="160">
      <c r="A160" s="130">
        <v>45450.0</v>
      </c>
      <c r="B160" s="131">
        <v>14.6</v>
      </c>
      <c r="C160" s="132">
        <f t="shared" si="180"/>
        <v>0.002059025395</v>
      </c>
      <c r="D160" s="132">
        <f>C163</f>
        <v>0.006849315068</v>
      </c>
      <c r="E160" s="133">
        <f t="shared" si="176"/>
        <v>1</v>
      </c>
      <c r="F160" s="134">
        <v>11404.9</v>
      </c>
      <c r="G160" s="135">
        <f t="shared" si="181"/>
        <v>-0.003416637539</v>
      </c>
      <c r="H160" s="135">
        <f>D160-G163</f>
        <v>0.01103172789</v>
      </c>
      <c r="I160" s="136">
        <v>79.62</v>
      </c>
      <c r="J160" s="155">
        <f t="shared" si="182"/>
        <v>-0.00313008639</v>
      </c>
      <c r="K160" s="138" t="s">
        <v>27</v>
      </c>
      <c r="L160" s="139">
        <f>AVERAGEIFS(Sentiment!$K:$K, Sentiment!$C:$C, $A160, Sentiment!$J:$J, "YES")
</f>
        <v>-0.06</v>
      </c>
      <c r="M160" s="139">
        <f>AVERAGEIFS(Sentiment!$K:$K, Sentiment!$C:$C, $A160, Sentiment!$J:$J, "YES")
</f>
        <v>-0.06</v>
      </c>
      <c r="N160" s="140">
        <f t="shared" si="178"/>
        <v>0</v>
      </c>
      <c r="O160" s="139">
        <f>AVERAGEIFS(Sentiment!P:P, Sentiment!C:C, A160, Sentiment!J:J, "YES")
</f>
        <v>-0.02</v>
      </c>
      <c r="P160" s="141">
        <v>-0.019999999999999973</v>
      </c>
      <c r="Q160" s="142">
        <f t="shared" si="179"/>
        <v>0</v>
      </c>
    </row>
    <row r="161">
      <c r="A161" s="130">
        <v>45451.0</v>
      </c>
      <c r="B161" s="143"/>
      <c r="C161" s="144"/>
      <c r="D161" s="144"/>
      <c r="E161" s="145"/>
      <c r="F161" s="146"/>
      <c r="G161" s="147"/>
      <c r="H161" s="147"/>
      <c r="I161" s="148"/>
      <c r="J161" s="160"/>
      <c r="K161" s="150" t="s">
        <v>27</v>
      </c>
      <c r="L161" s="151">
        <f>AVERAGEIFS(Sentiment!$K:$K, Sentiment!$C:$C, $A161, Sentiment!$J:$J, "YES")
</f>
        <v>0.7</v>
      </c>
      <c r="M161" s="151"/>
      <c r="N161" s="157"/>
      <c r="O161" s="151">
        <f>AVERAGEIFS(Sentiment!P:P, Sentiment!C:C, A161, Sentiment!J:J, "YES")
</f>
        <v>0.6</v>
      </c>
      <c r="P161" s="158"/>
      <c r="Q161" s="159"/>
    </row>
    <row r="162">
      <c r="A162" s="130">
        <v>45452.0</v>
      </c>
      <c r="B162" s="131"/>
      <c r="C162" s="132"/>
      <c r="D162" s="132"/>
      <c r="E162" s="133"/>
      <c r="F162" s="134"/>
      <c r="G162" s="135"/>
      <c r="H162" s="135"/>
      <c r="I162" s="136"/>
      <c r="J162" s="137"/>
      <c r="K162" s="138" t="s">
        <v>27</v>
      </c>
      <c r="L162" s="139">
        <f>AVERAGEIFS(Sentiment!$K:$K, Sentiment!$C:$C, $A162, Sentiment!$J:$J, "YES")
</f>
        <v>0.1</v>
      </c>
      <c r="M162" s="139"/>
      <c r="N162" s="140"/>
      <c r="O162" s="139">
        <f>AVERAGEIFS(Sentiment!P:P, Sentiment!C:C, A162, Sentiment!J:J, "YES")
</f>
        <v>0</v>
      </c>
      <c r="P162" s="141"/>
      <c r="Q162" s="142"/>
    </row>
    <row r="163">
      <c r="A163" s="130">
        <v>45453.0</v>
      </c>
      <c r="B163" s="143">
        <v>14.7</v>
      </c>
      <c r="C163" s="144">
        <f>B163/B160-1</f>
        <v>0.006849315068</v>
      </c>
      <c r="D163" s="144">
        <f t="shared" ref="D163:D166" si="183">C164</f>
        <v>-0.01632653061</v>
      </c>
      <c r="E163" s="145">
        <f t="shared" ref="E163:E167" si="184">IF(D163&gt;0,1,0)</f>
        <v>0</v>
      </c>
      <c r="F163" s="146">
        <v>11357.2</v>
      </c>
      <c r="G163" s="147">
        <f>F163/F160-1</f>
        <v>-0.004182412823</v>
      </c>
      <c r="H163" s="147">
        <f t="shared" ref="H163:H166" si="185">D163-G164</f>
        <v>-0.0003278689703</v>
      </c>
      <c r="I163" s="148">
        <v>81.63</v>
      </c>
      <c r="J163" s="156">
        <f>I163/I160-1</f>
        <v>0.02524491334</v>
      </c>
      <c r="K163" s="150" t="s">
        <v>27</v>
      </c>
      <c r="L163" s="151">
        <f>AVERAGEIFS(Sentiment!$K:$K, Sentiment!$C:$C, $A163, Sentiment!$J:$J, "YES")
</f>
        <v>0.34</v>
      </c>
      <c r="M163" s="152">
        <v>0.33</v>
      </c>
      <c r="N163" s="153">
        <f t="shared" ref="N163:N167" si="186">IF(M163&gt;0,1,0)</f>
        <v>1</v>
      </c>
      <c r="O163" s="151">
        <f>AVERAGEIFS(Sentiment!P:P, Sentiment!C:C, A163, Sentiment!J:J, "YES")
</f>
        <v>0.2</v>
      </c>
      <c r="P163" s="152">
        <v>0.2</v>
      </c>
      <c r="Q163" s="154">
        <f t="shared" ref="Q163:Q167" si="187">IF(P163&gt;0,1,0)</f>
        <v>1</v>
      </c>
    </row>
    <row r="164">
      <c r="A164" s="130">
        <v>45454.0</v>
      </c>
      <c r="B164" s="131">
        <v>14.46</v>
      </c>
      <c r="C164" s="132">
        <f t="shared" ref="C164:C167" si="188">B164/B163-1</f>
        <v>-0.01632653061</v>
      </c>
      <c r="D164" s="132">
        <f t="shared" si="183"/>
        <v>-0.009681881051</v>
      </c>
      <c r="E164" s="133">
        <f t="shared" si="184"/>
        <v>0</v>
      </c>
      <c r="F164" s="134">
        <v>11175.5</v>
      </c>
      <c r="G164" s="135">
        <f t="shared" ref="G164:G167" si="189">F164/F163-1</f>
        <v>-0.01599866164</v>
      </c>
      <c r="H164" s="135">
        <f t="shared" si="185"/>
        <v>-0.01593663475</v>
      </c>
      <c r="I164" s="136">
        <v>81.92</v>
      </c>
      <c r="J164" s="155">
        <f t="shared" ref="J164:J167" si="190">I164/I163-1</f>
        <v>0.00355261546</v>
      </c>
      <c r="K164" s="138" t="s">
        <v>27</v>
      </c>
      <c r="L164" s="139">
        <f>AVERAGEIFS(Sentiment!$K:$K, Sentiment!$C:$C, $A164, Sentiment!$J:$J, "YES")
</f>
        <v>0.675</v>
      </c>
      <c r="M164" s="139">
        <f>AVERAGEIFS(Sentiment!$K:$K, Sentiment!$C:$C, $A164, Sentiment!$J:$J, "YES")
</f>
        <v>0.675</v>
      </c>
      <c r="N164" s="140">
        <f t="shared" si="186"/>
        <v>1</v>
      </c>
      <c r="O164" s="139">
        <f>AVERAGEIFS(Sentiment!P:P, Sentiment!C:C, A164, Sentiment!J:J, "YES")
</f>
        <v>0.725</v>
      </c>
      <c r="P164" s="141">
        <v>0.7250000000000001</v>
      </c>
      <c r="Q164" s="142">
        <f t="shared" si="187"/>
        <v>1</v>
      </c>
    </row>
    <row r="165">
      <c r="A165" s="130">
        <v>45455.0</v>
      </c>
      <c r="B165" s="143">
        <v>14.32</v>
      </c>
      <c r="C165" s="144">
        <f t="shared" si="188"/>
        <v>-0.009681881051</v>
      </c>
      <c r="D165" s="144">
        <f t="shared" si="183"/>
        <v>-0.01117318436</v>
      </c>
      <c r="E165" s="145">
        <f t="shared" si="184"/>
        <v>0</v>
      </c>
      <c r="F165" s="146">
        <v>11245.4</v>
      </c>
      <c r="G165" s="147">
        <f t="shared" si="189"/>
        <v>0.006254753702</v>
      </c>
      <c r="H165" s="147">
        <f t="shared" si="185"/>
        <v>0.004771112866</v>
      </c>
      <c r="I165" s="148">
        <v>82.6</v>
      </c>
      <c r="J165" s="156">
        <f t="shared" si="190"/>
        <v>0.00830078125</v>
      </c>
      <c r="K165" s="150" t="s">
        <v>27</v>
      </c>
      <c r="L165" s="151">
        <f>AVERAGEIFS(Sentiment!$K:$K, Sentiment!$C:$C, $A165, Sentiment!$J:$J, "YES")
</f>
        <v>0.5</v>
      </c>
      <c r="M165" s="151">
        <f>AVERAGEIFS(Sentiment!$K:$K, Sentiment!$C:$C, $A165, Sentiment!$J:$J, "YES")
</f>
        <v>0.5</v>
      </c>
      <c r="N165" s="157">
        <f t="shared" si="186"/>
        <v>1</v>
      </c>
      <c r="O165" s="151">
        <f>AVERAGEIFS(Sentiment!P:P, Sentiment!C:C, A165, Sentiment!J:J, "YES")
</f>
        <v>0.32</v>
      </c>
      <c r="P165" s="158">
        <v>0.31999999999999995</v>
      </c>
      <c r="Q165" s="159">
        <f t="shared" si="187"/>
        <v>1</v>
      </c>
    </row>
    <row r="166">
      <c r="A166" s="130">
        <v>45456.0</v>
      </c>
      <c r="B166" s="131">
        <v>14.16</v>
      </c>
      <c r="C166" s="132">
        <f t="shared" si="188"/>
        <v>-0.01117318436</v>
      </c>
      <c r="D166" s="132">
        <f t="shared" si="183"/>
        <v>0.01059322034</v>
      </c>
      <c r="E166" s="133">
        <f t="shared" si="184"/>
        <v>1</v>
      </c>
      <c r="F166" s="134">
        <v>11066.1</v>
      </c>
      <c r="G166" s="135">
        <f t="shared" si="189"/>
        <v>-0.01594429722</v>
      </c>
      <c r="H166" s="135">
        <f t="shared" si="185"/>
        <v>0.01726223652</v>
      </c>
      <c r="I166" s="136">
        <v>82.75</v>
      </c>
      <c r="J166" s="155">
        <f t="shared" si="190"/>
        <v>0.00181598063</v>
      </c>
      <c r="K166" s="138" t="s">
        <v>27</v>
      </c>
      <c r="L166" s="139">
        <f>AVERAGEIFS(Sentiment!$K:$K, Sentiment!$C:$C, $A166, Sentiment!$J:$J, "YES")
</f>
        <v>0.1333333333</v>
      </c>
      <c r="M166" s="139">
        <f>AVERAGEIFS(Sentiment!$K:$K, Sentiment!$C:$C, $A166, Sentiment!$J:$J, "YES")
</f>
        <v>0.1333333333</v>
      </c>
      <c r="N166" s="140">
        <f t="shared" si="186"/>
        <v>1</v>
      </c>
      <c r="O166" s="139">
        <f>AVERAGEIFS(Sentiment!P:P, Sentiment!C:C, A166, Sentiment!J:J, "YES")
</f>
        <v>0.1</v>
      </c>
      <c r="P166" s="141">
        <v>0.09999999999999998</v>
      </c>
      <c r="Q166" s="142">
        <f t="shared" si="187"/>
        <v>1</v>
      </c>
    </row>
    <row r="167">
      <c r="A167" s="130">
        <v>45457.0</v>
      </c>
      <c r="B167" s="143">
        <v>14.31</v>
      </c>
      <c r="C167" s="144">
        <f t="shared" si="188"/>
        <v>0.01059322034</v>
      </c>
      <c r="D167" s="144">
        <f>C170</f>
        <v>-0.0006988120196</v>
      </c>
      <c r="E167" s="145">
        <f t="shared" si="184"/>
        <v>0</v>
      </c>
      <c r="F167" s="146">
        <v>10992.3</v>
      </c>
      <c r="G167" s="147">
        <f t="shared" si="189"/>
        <v>-0.006669016185</v>
      </c>
      <c r="H167" s="147">
        <f>D167-G170</f>
        <v>0.002285094897</v>
      </c>
      <c r="I167" s="148">
        <v>82.62</v>
      </c>
      <c r="J167" s="156">
        <f t="shared" si="190"/>
        <v>-0.001570996979</v>
      </c>
      <c r="K167" s="150" t="s">
        <v>27</v>
      </c>
      <c r="L167" s="151">
        <f>AVERAGEIFS(Sentiment!$K:$K, Sentiment!$C:$C, $A167, Sentiment!$J:$J, "YES")
</f>
        <v>0.6</v>
      </c>
      <c r="M167" s="151">
        <f>AVERAGEIFS(Sentiment!$K:$K, Sentiment!$C:$C, $A167, Sentiment!$J:$J, "YES")
</f>
        <v>0.6</v>
      </c>
      <c r="N167" s="157">
        <f t="shared" si="186"/>
        <v>1</v>
      </c>
      <c r="O167" s="151">
        <f>AVERAGEIFS(Sentiment!P:P, Sentiment!C:C, A167, Sentiment!J:J, "YES")
</f>
        <v>0.3666666667</v>
      </c>
      <c r="P167" s="158">
        <v>0.3666666666666667</v>
      </c>
      <c r="Q167" s="159">
        <f t="shared" si="187"/>
        <v>1</v>
      </c>
    </row>
    <row r="168">
      <c r="A168" s="130">
        <v>45458.0</v>
      </c>
      <c r="B168" s="131"/>
      <c r="C168" s="132"/>
      <c r="D168" s="132"/>
      <c r="E168" s="133"/>
      <c r="F168" s="134"/>
      <c r="G168" s="135"/>
      <c r="H168" s="135"/>
      <c r="I168" s="136"/>
      <c r="J168" s="137"/>
      <c r="K168" s="138" t="s">
        <v>27</v>
      </c>
      <c r="L168" s="139">
        <v>0.0</v>
      </c>
      <c r="M168" s="139"/>
      <c r="N168" s="140"/>
      <c r="O168" s="170">
        <v>0.0</v>
      </c>
      <c r="P168" s="173"/>
      <c r="Q168" s="174"/>
    </row>
    <row r="169">
      <c r="A169" s="130">
        <v>45459.0</v>
      </c>
      <c r="B169" s="143"/>
      <c r="C169" s="144"/>
      <c r="D169" s="144"/>
      <c r="E169" s="145"/>
      <c r="F169" s="146"/>
      <c r="G169" s="147"/>
      <c r="H169" s="147"/>
      <c r="I169" s="148"/>
      <c r="J169" s="160"/>
      <c r="K169" s="150" t="s">
        <v>27</v>
      </c>
      <c r="L169" s="151">
        <f>AVERAGEIFS(Sentiment!$K:$K, Sentiment!$C:$C, $A169, Sentiment!$J:$J, "YES")
</f>
        <v>-0.5</v>
      </c>
      <c r="M169" s="151"/>
      <c r="N169" s="157"/>
      <c r="O169" s="151">
        <f>AVERAGEIFS(Sentiment!P:P, Sentiment!C:C, A169, Sentiment!J:J, "YES")
</f>
        <v>-0.4</v>
      </c>
      <c r="P169" s="158"/>
      <c r="Q169" s="159"/>
    </row>
    <row r="170">
      <c r="A170" s="130">
        <v>45460.0</v>
      </c>
      <c r="B170" s="131">
        <v>14.3</v>
      </c>
      <c r="C170" s="132">
        <f>B170/B167-1</f>
        <v>-0.0006988120196</v>
      </c>
      <c r="D170" s="132">
        <f t="shared" ref="D170:D173" si="191">C171</f>
        <v>0.01398601399</v>
      </c>
      <c r="E170" s="133">
        <f t="shared" ref="E170:E174" si="192">IF(D170&gt;0,1,0)</f>
        <v>1</v>
      </c>
      <c r="F170" s="134">
        <v>10959.5</v>
      </c>
      <c r="G170" s="135">
        <f>F170/F167-1</f>
        <v>-0.002983906917</v>
      </c>
      <c r="H170" s="135">
        <f t="shared" ref="H170:H173" si="193">D170-G171</f>
        <v>0.004113300815</v>
      </c>
      <c r="I170" s="136">
        <v>84.25</v>
      </c>
      <c r="J170" s="155">
        <f>I170/I167-1</f>
        <v>0.01972887921</v>
      </c>
      <c r="K170" s="138" t="s">
        <v>27</v>
      </c>
      <c r="L170" s="139">
        <f>AVERAGEIFS(Sentiment!$K:$K, Sentiment!$C:$C, $A170, Sentiment!$J:$J, "YES")
</f>
        <v>0.6666666667</v>
      </c>
      <c r="M170" s="152">
        <v>0.38</v>
      </c>
      <c r="N170" s="153">
        <f t="shared" ref="N170:N174" si="194">IF(M170&gt;0,1,0)</f>
        <v>1</v>
      </c>
      <c r="O170" s="139">
        <f>AVERAGEIFS(Sentiment!P:P, Sentiment!C:C, A170, Sentiment!J:J, "YES")
</f>
        <v>0.2333333333</v>
      </c>
      <c r="P170" s="152">
        <v>0.08</v>
      </c>
      <c r="Q170" s="154">
        <f t="shared" ref="Q170:Q174" si="195">IF(P170&gt;0,1,0)</f>
        <v>1</v>
      </c>
    </row>
    <row r="171">
      <c r="A171" s="130">
        <v>45461.0</v>
      </c>
      <c r="B171" s="143">
        <v>14.5</v>
      </c>
      <c r="C171" s="144">
        <f t="shared" ref="C171:C174" si="196">B171/B170-1</f>
        <v>0.01398601399</v>
      </c>
      <c r="D171" s="144">
        <f t="shared" si="191"/>
        <v>0.004827586207</v>
      </c>
      <c r="E171" s="145">
        <f t="shared" si="192"/>
        <v>1</v>
      </c>
      <c r="F171" s="146">
        <v>11067.7</v>
      </c>
      <c r="G171" s="147">
        <f t="shared" ref="G171:G174" si="197">F171/F170-1</f>
        <v>0.009872713171</v>
      </c>
      <c r="H171" s="147">
        <f t="shared" si="193"/>
        <v>0.005848575211</v>
      </c>
      <c r="I171" s="148">
        <v>85.33</v>
      </c>
      <c r="J171" s="156">
        <f t="shared" ref="J171:J174" si="198">I171/I170-1</f>
        <v>0.0128189911</v>
      </c>
      <c r="K171" s="150" t="s">
        <v>27</v>
      </c>
      <c r="L171" s="151">
        <f>AVERAGEIFS(Sentiment!$K:$K, Sentiment!$C:$C, $A171, Sentiment!$J:$J, "YES")
</f>
        <v>0.55</v>
      </c>
      <c r="M171" s="151">
        <f>AVERAGEIFS(Sentiment!$K:$K, Sentiment!$C:$C, $A171, Sentiment!$J:$J, "YES")
</f>
        <v>0.55</v>
      </c>
      <c r="N171" s="157">
        <f t="shared" si="194"/>
        <v>1</v>
      </c>
      <c r="O171" s="151">
        <f>AVERAGEIFS(Sentiment!P:P, Sentiment!C:C, A171, Sentiment!J:J, "YES")
</f>
        <v>0.2</v>
      </c>
      <c r="P171" s="158">
        <v>0.2</v>
      </c>
      <c r="Q171" s="159">
        <f t="shared" si="195"/>
        <v>1</v>
      </c>
    </row>
    <row r="172">
      <c r="A172" s="130">
        <v>45462.0</v>
      </c>
      <c r="B172" s="131">
        <v>14.57</v>
      </c>
      <c r="C172" s="132">
        <f t="shared" si="196"/>
        <v>0.004827586207</v>
      </c>
      <c r="D172" s="132">
        <f t="shared" si="191"/>
        <v>0.006863417982</v>
      </c>
      <c r="E172" s="133">
        <f t="shared" si="192"/>
        <v>1</v>
      </c>
      <c r="F172" s="134">
        <v>11056.4</v>
      </c>
      <c r="G172" s="135">
        <f t="shared" si="197"/>
        <v>-0.001020989004</v>
      </c>
      <c r="H172" s="135">
        <f t="shared" si="193"/>
        <v>-0.002551943257</v>
      </c>
      <c r="I172" s="136">
        <v>85.07</v>
      </c>
      <c r="J172" s="155">
        <f t="shared" si="198"/>
        <v>-0.003046994023</v>
      </c>
      <c r="K172" s="138" t="s">
        <v>27</v>
      </c>
      <c r="L172" s="139">
        <f>AVERAGEIFS(Sentiment!$K:$K, Sentiment!$C:$C, $A172, Sentiment!$J:$J, "YES")
</f>
        <v>-0.6</v>
      </c>
      <c r="M172" s="139">
        <f>AVERAGEIFS(Sentiment!$K:$K, Sentiment!$C:$C, $A172, Sentiment!$J:$J, "YES")
</f>
        <v>-0.6</v>
      </c>
      <c r="N172" s="140">
        <f t="shared" si="194"/>
        <v>0</v>
      </c>
      <c r="O172" s="139">
        <f>AVERAGEIFS(Sentiment!P:P, Sentiment!C:C, A172, Sentiment!J:J, "YES")
</f>
        <v>0</v>
      </c>
      <c r="P172" s="141">
        <v>0.0</v>
      </c>
      <c r="Q172" s="142">
        <f t="shared" si="195"/>
        <v>0</v>
      </c>
    </row>
    <row r="173">
      <c r="A173" s="130">
        <v>45463.0</v>
      </c>
      <c r="B173" s="143">
        <v>14.67</v>
      </c>
      <c r="C173" s="144">
        <f t="shared" si="196"/>
        <v>0.006863417982</v>
      </c>
      <c r="D173" s="144">
        <f t="shared" si="191"/>
        <v>0</v>
      </c>
      <c r="E173" s="145">
        <f t="shared" si="192"/>
        <v>0</v>
      </c>
      <c r="F173" s="146">
        <v>11160.5</v>
      </c>
      <c r="G173" s="147">
        <f t="shared" si="197"/>
        <v>0.009415361239</v>
      </c>
      <c r="H173" s="147">
        <f t="shared" si="193"/>
        <v>0.01148694055</v>
      </c>
      <c r="I173" s="148">
        <v>85.71</v>
      </c>
      <c r="J173" s="156">
        <f t="shared" si="198"/>
        <v>0.007523216175</v>
      </c>
      <c r="K173" s="150" t="s">
        <v>27</v>
      </c>
      <c r="L173" s="151">
        <f>AVERAGEIFS(Sentiment!$K:$K, Sentiment!$C:$C, $A173, Sentiment!$J:$J, "YES")
</f>
        <v>0.2714285714</v>
      </c>
      <c r="M173" s="151">
        <f>AVERAGEIFS(Sentiment!$K:$K, Sentiment!$C:$C, $A173, Sentiment!$J:$J, "YES")
</f>
        <v>0.2714285714</v>
      </c>
      <c r="N173" s="157">
        <f t="shared" si="194"/>
        <v>1</v>
      </c>
      <c r="O173" s="151">
        <f>AVERAGEIFS(Sentiment!P:P, Sentiment!C:C, A173, Sentiment!J:J, "YES")
</f>
        <v>0</v>
      </c>
      <c r="P173" s="158">
        <v>0.0</v>
      </c>
      <c r="Q173" s="159">
        <f t="shared" si="195"/>
        <v>0</v>
      </c>
    </row>
    <row r="174">
      <c r="A174" s="130">
        <v>45464.0</v>
      </c>
      <c r="B174" s="131">
        <v>14.67</v>
      </c>
      <c r="C174" s="132">
        <f t="shared" si="196"/>
        <v>0</v>
      </c>
      <c r="D174" s="132">
        <f>C177</f>
        <v>0.008861622359</v>
      </c>
      <c r="E174" s="133">
        <f t="shared" si="192"/>
        <v>1</v>
      </c>
      <c r="F174" s="134">
        <v>11032.3</v>
      </c>
      <c r="G174" s="135">
        <f t="shared" si="197"/>
        <v>-0.01148694055</v>
      </c>
      <c r="H174" s="135">
        <f>D174-G177</f>
        <v>-0.003810259298</v>
      </c>
      <c r="I174" s="136">
        <v>85.24</v>
      </c>
      <c r="J174" s="155">
        <f t="shared" si="198"/>
        <v>-0.005483607514</v>
      </c>
      <c r="K174" s="138" t="s">
        <v>27</v>
      </c>
      <c r="L174" s="139">
        <f>AVERAGEIFS(Sentiment!$K:$K, Sentiment!$C:$C, $A174, Sentiment!$J:$J, "YES")
</f>
        <v>0.6166666667</v>
      </c>
      <c r="M174" s="139">
        <f>AVERAGEIFS(Sentiment!$K:$K, Sentiment!$C:$C, $A174, Sentiment!$J:$J, "YES")
</f>
        <v>0.6166666667</v>
      </c>
      <c r="N174" s="140">
        <f t="shared" si="194"/>
        <v>1</v>
      </c>
      <c r="O174" s="139">
        <f>AVERAGEIFS(Sentiment!P:P, Sentiment!C:C, A174, Sentiment!J:J, "YES")
</f>
        <v>0</v>
      </c>
      <c r="P174" s="141">
        <v>0.0</v>
      </c>
      <c r="Q174" s="142">
        <f t="shared" si="195"/>
        <v>0</v>
      </c>
    </row>
    <row r="175">
      <c r="A175" s="130">
        <v>45465.0</v>
      </c>
      <c r="B175" s="143"/>
      <c r="C175" s="144"/>
      <c r="D175" s="144"/>
      <c r="E175" s="145"/>
      <c r="F175" s="146"/>
      <c r="G175" s="147"/>
      <c r="H175" s="147"/>
      <c r="I175" s="148"/>
      <c r="J175" s="160"/>
      <c r="K175" s="150" t="s">
        <v>27</v>
      </c>
      <c r="L175" s="151">
        <f>AVERAGEIFS(Sentiment!$K:$K, Sentiment!$C:$C, $A175, Sentiment!$J:$J, "YES")
</f>
        <v>0.7</v>
      </c>
      <c r="M175" s="151"/>
      <c r="N175" s="157"/>
      <c r="O175" s="151">
        <f>AVERAGEIFS(Sentiment!P:P, Sentiment!C:C, A175, Sentiment!J:J, "YES")
</f>
        <v>0</v>
      </c>
      <c r="P175" s="158"/>
      <c r="Q175" s="159"/>
    </row>
    <row r="176">
      <c r="A176" s="130">
        <v>45466.0</v>
      </c>
      <c r="B176" s="131"/>
      <c r="C176" s="132"/>
      <c r="D176" s="132"/>
      <c r="E176" s="133"/>
      <c r="F176" s="134"/>
      <c r="G176" s="135"/>
      <c r="H176" s="135"/>
      <c r="I176" s="136"/>
      <c r="J176" s="137"/>
      <c r="K176" s="138" t="s">
        <v>27</v>
      </c>
      <c r="L176" s="139">
        <f>AVERAGEIFS(Sentiment!$K:$K, Sentiment!$C:$C, $A176, Sentiment!$J:$J, "YES")
</f>
        <v>0.6666666667</v>
      </c>
      <c r="M176" s="139"/>
      <c r="N176" s="140"/>
      <c r="O176" s="139">
        <f>AVERAGEIFS(Sentiment!P:P, Sentiment!C:C, A176, Sentiment!J:J, "YES")
</f>
        <v>0</v>
      </c>
      <c r="P176" s="141"/>
      <c r="Q176" s="142"/>
    </row>
    <row r="177">
      <c r="A177" s="130">
        <v>45467.0</v>
      </c>
      <c r="B177" s="143">
        <v>14.8</v>
      </c>
      <c r="C177" s="144">
        <f>B177/B174-1</f>
        <v>0.008861622359</v>
      </c>
      <c r="D177" s="144">
        <f t="shared" ref="D177:D180" si="199">C178</f>
        <v>-0.002702702703</v>
      </c>
      <c r="E177" s="145">
        <f t="shared" ref="E177:E181" si="200">IF(D177&gt;0,1,0)</f>
        <v>0</v>
      </c>
      <c r="F177" s="146">
        <v>11172.1</v>
      </c>
      <c r="G177" s="147">
        <f>F177/F174-1</f>
        <v>0.01267188166</v>
      </c>
      <c r="H177" s="147">
        <f t="shared" ref="H177:H180" si="201">D177-G178</f>
        <v>0.002059159436</v>
      </c>
      <c r="I177" s="148">
        <v>86.01</v>
      </c>
      <c r="J177" s="156">
        <f>I177/I174-1</f>
        <v>0.009033317691</v>
      </c>
      <c r="K177" s="150" t="s">
        <v>27</v>
      </c>
      <c r="L177" s="151">
        <f>AVERAGEIFS(Sentiment!$K:$K, Sentiment!$C:$C, $A177, Sentiment!$J:$J, "YES")
</f>
        <v>0.52</v>
      </c>
      <c r="M177" s="152">
        <v>0.59</v>
      </c>
      <c r="N177" s="153">
        <f t="shared" ref="N177:N181" si="202">IF(M177&gt;0,1,0)</f>
        <v>1</v>
      </c>
      <c r="O177" s="151">
        <f>AVERAGEIFS(Sentiment!P:P, Sentiment!C:C, A177, Sentiment!J:J, "YES")
</f>
        <v>0.02</v>
      </c>
      <c r="P177" s="152">
        <v>0.0</v>
      </c>
      <c r="Q177" s="154">
        <f t="shared" ref="Q177:Q181" si="203">IF(P177&gt;0,1,0)</f>
        <v>0</v>
      </c>
    </row>
    <row r="178">
      <c r="A178" s="130">
        <v>45468.0</v>
      </c>
      <c r="B178" s="131">
        <v>14.76</v>
      </c>
      <c r="C178" s="132">
        <f t="shared" ref="C178:C181" si="204">B178/B177-1</f>
        <v>-0.002702702703</v>
      </c>
      <c r="D178" s="132">
        <f t="shared" si="199"/>
        <v>-0.006775067751</v>
      </c>
      <c r="E178" s="133">
        <f t="shared" si="200"/>
        <v>0</v>
      </c>
      <c r="F178" s="134">
        <v>11118.9</v>
      </c>
      <c r="G178" s="135">
        <f t="shared" ref="G178:G181" si="205">F178/F177-1</f>
        <v>-0.004761862139</v>
      </c>
      <c r="H178" s="135">
        <f t="shared" si="201"/>
        <v>0.001175359</v>
      </c>
      <c r="I178" s="136">
        <v>85.01</v>
      </c>
      <c r="J178" s="155">
        <f t="shared" ref="J178:J181" si="206">I178/I177-1</f>
        <v>-0.01162655505</v>
      </c>
      <c r="K178" s="138" t="s">
        <v>27</v>
      </c>
      <c r="L178" s="139">
        <f>AVERAGEIFS(Sentiment!$K:$K, Sentiment!$C:$C, $A178, Sentiment!$J:$J, "YES")
</f>
        <v>0.6</v>
      </c>
      <c r="M178" s="139">
        <f>AVERAGEIFS(Sentiment!$K:$K, Sentiment!$C:$C, $A178, Sentiment!$J:$J, "YES")
</f>
        <v>0.6</v>
      </c>
      <c r="N178" s="140">
        <f t="shared" si="202"/>
        <v>1</v>
      </c>
      <c r="O178" s="139">
        <f>AVERAGEIFS(Sentiment!P:P, Sentiment!C:C, A178, Sentiment!J:J, "YES")
</f>
        <v>0</v>
      </c>
      <c r="P178" s="141">
        <v>0.0</v>
      </c>
      <c r="Q178" s="142">
        <f t="shared" si="203"/>
        <v>0</v>
      </c>
    </row>
    <row r="179">
      <c r="A179" s="130">
        <v>45469.0</v>
      </c>
      <c r="B179" s="143">
        <v>14.66</v>
      </c>
      <c r="C179" s="144">
        <f t="shared" si="204"/>
        <v>-0.006775067751</v>
      </c>
      <c r="D179" s="144">
        <f t="shared" si="199"/>
        <v>-0.00136425648</v>
      </c>
      <c r="E179" s="145">
        <f t="shared" si="200"/>
        <v>0</v>
      </c>
      <c r="F179" s="146">
        <v>11030.5</v>
      </c>
      <c r="G179" s="147">
        <f t="shared" si="205"/>
        <v>-0.007950426751</v>
      </c>
      <c r="H179" s="147">
        <f t="shared" si="201"/>
        <v>0.00579770354</v>
      </c>
      <c r="I179" s="148">
        <v>85.25</v>
      </c>
      <c r="J179" s="156">
        <f t="shared" si="206"/>
        <v>0.002823197271</v>
      </c>
      <c r="K179" s="150" t="s">
        <v>27</v>
      </c>
      <c r="L179" s="151">
        <f>AVERAGEIFS(Sentiment!$K:$K, Sentiment!$C:$C, $A179, Sentiment!$J:$J, "YES")
</f>
        <v>0.5888888889</v>
      </c>
      <c r="M179" s="151">
        <f>AVERAGEIFS(Sentiment!$K:$K, Sentiment!$C:$C, $A179, Sentiment!$J:$J, "YES")
</f>
        <v>0.5888888889</v>
      </c>
      <c r="N179" s="157">
        <f t="shared" si="202"/>
        <v>1</v>
      </c>
      <c r="O179" s="151">
        <f>AVERAGEIFS(Sentiment!P:P, Sentiment!C:C, A179, Sentiment!J:J, "YES")
</f>
        <v>0.3</v>
      </c>
      <c r="P179" s="158">
        <v>0.30000000000000004</v>
      </c>
      <c r="Q179" s="159">
        <f t="shared" si="203"/>
        <v>1</v>
      </c>
    </row>
    <row r="180">
      <c r="A180" s="130">
        <v>45470.0</v>
      </c>
      <c r="B180" s="131">
        <v>14.64</v>
      </c>
      <c r="C180" s="132">
        <f t="shared" si="204"/>
        <v>-0.00136425648</v>
      </c>
      <c r="D180" s="132">
        <f t="shared" si="199"/>
        <v>0.006830601093</v>
      </c>
      <c r="E180" s="133">
        <f t="shared" si="200"/>
        <v>1</v>
      </c>
      <c r="F180" s="134">
        <v>10951.5</v>
      </c>
      <c r="G180" s="135">
        <f t="shared" si="205"/>
        <v>-0.00716196002</v>
      </c>
      <c r="H180" s="135">
        <f t="shared" si="201"/>
        <v>0.007542832294</v>
      </c>
      <c r="I180" s="136">
        <v>86.39</v>
      </c>
      <c r="J180" s="155">
        <f t="shared" si="206"/>
        <v>0.01337243402</v>
      </c>
      <c r="K180" s="138" t="s">
        <v>27</v>
      </c>
      <c r="L180" s="139">
        <f>AVERAGEIFS(Sentiment!$K:$K, Sentiment!$C:$C, $A180, Sentiment!$J:$J, "YES")
</f>
        <v>0.5</v>
      </c>
      <c r="M180" s="139">
        <f>AVERAGEIFS(Sentiment!$K:$K, Sentiment!$C:$C, $A180, Sentiment!$J:$J, "YES")
</f>
        <v>0.5</v>
      </c>
      <c r="N180" s="140">
        <f t="shared" si="202"/>
        <v>1</v>
      </c>
      <c r="O180" s="139">
        <f>AVERAGEIFS(Sentiment!P:P, Sentiment!C:C, A180, Sentiment!J:J, "YES")
</f>
        <v>0.25</v>
      </c>
      <c r="P180" s="141">
        <v>0.25</v>
      </c>
      <c r="Q180" s="142">
        <f t="shared" si="203"/>
        <v>1</v>
      </c>
    </row>
    <row r="181">
      <c r="A181" s="130">
        <v>45471.0</v>
      </c>
      <c r="B181" s="143">
        <v>14.74</v>
      </c>
      <c r="C181" s="144">
        <f t="shared" si="204"/>
        <v>0.006830601093</v>
      </c>
      <c r="D181" s="144">
        <f>C184</f>
        <v>0.01017639077</v>
      </c>
      <c r="E181" s="145">
        <f t="shared" si="200"/>
        <v>1</v>
      </c>
      <c r="F181" s="146">
        <v>10943.7</v>
      </c>
      <c r="G181" s="147">
        <f t="shared" si="205"/>
        <v>-0.0007122312012</v>
      </c>
      <c r="H181" s="147">
        <f>D181-G184</f>
        <v>-0.000176597704</v>
      </c>
      <c r="I181" s="148">
        <v>86.41</v>
      </c>
      <c r="J181" s="156">
        <f t="shared" si="206"/>
        <v>0.0002315082764</v>
      </c>
      <c r="K181" s="150" t="s">
        <v>27</v>
      </c>
      <c r="L181" s="151">
        <f>AVERAGEIFS(Sentiment!$K:$K, Sentiment!$C:$C, $A181, Sentiment!$J:$J, "YES")
</f>
        <v>0.52</v>
      </c>
      <c r="M181" s="151">
        <f>AVERAGEIFS(Sentiment!$K:$K, Sentiment!$C:$C, $A181, Sentiment!$J:$J, "YES")
</f>
        <v>0.52</v>
      </c>
      <c r="N181" s="157">
        <f t="shared" si="202"/>
        <v>1</v>
      </c>
      <c r="O181" s="151">
        <f>AVERAGEIFS(Sentiment!P:P, Sentiment!C:C, A181, Sentiment!J:J, "YES")
</f>
        <v>0</v>
      </c>
      <c r="P181" s="158">
        <v>-5.551115123125783E-18</v>
      </c>
      <c r="Q181" s="159">
        <f t="shared" si="203"/>
        <v>0</v>
      </c>
    </row>
    <row r="182">
      <c r="A182" s="130">
        <v>45472.0</v>
      </c>
      <c r="B182" s="131"/>
      <c r="C182" s="132"/>
      <c r="D182" s="132"/>
      <c r="E182" s="133"/>
      <c r="F182" s="134"/>
      <c r="G182" s="135"/>
      <c r="H182" s="135"/>
      <c r="I182" s="136"/>
      <c r="J182" s="137"/>
      <c r="K182" s="138" t="s">
        <v>27</v>
      </c>
      <c r="L182" s="139">
        <f>AVERAGEIFS(Sentiment!$K:$K, Sentiment!$C:$C, $A182, Sentiment!$J:$J, "YES")
</f>
        <v>0.7</v>
      </c>
      <c r="M182" s="139"/>
      <c r="N182" s="140"/>
      <c r="O182" s="139">
        <f>AVERAGEIFS(Sentiment!P:P, Sentiment!C:C, A182, Sentiment!J:J, "YES")
</f>
        <v>0.3666666667</v>
      </c>
      <c r="P182" s="141"/>
      <c r="Q182" s="142"/>
    </row>
    <row r="183">
      <c r="A183" s="130">
        <v>45473.0</v>
      </c>
      <c r="B183" s="143"/>
      <c r="C183" s="144"/>
      <c r="D183" s="144"/>
      <c r="E183" s="145"/>
      <c r="F183" s="146"/>
      <c r="G183" s="147"/>
      <c r="H183" s="147"/>
      <c r="I183" s="148"/>
      <c r="J183" s="160"/>
      <c r="K183" s="150" t="s">
        <v>27</v>
      </c>
      <c r="L183" s="151">
        <f>AVERAGEIFS(Sentiment!$K:$K, Sentiment!$C:$C, $A183, Sentiment!$J:$J, "YES")
</f>
        <v>0.6333333333</v>
      </c>
      <c r="M183" s="151"/>
      <c r="N183" s="157"/>
      <c r="O183" s="151">
        <f>AVERAGEIFS(Sentiment!P:P, Sentiment!C:C, A183, Sentiment!J:J, "YES")
</f>
        <v>0.2666666667</v>
      </c>
      <c r="P183" s="158"/>
      <c r="Q183" s="159"/>
    </row>
    <row r="184">
      <c r="A184" s="130">
        <v>45474.0</v>
      </c>
      <c r="B184" s="131">
        <v>14.89</v>
      </c>
      <c r="C184" s="132">
        <f>B184/B181-1</f>
        <v>0.01017639077</v>
      </c>
      <c r="D184" s="132">
        <f t="shared" ref="D184:D187" si="207">C185</f>
        <v>0.01611820013</v>
      </c>
      <c r="E184" s="133">
        <f t="shared" ref="E184:E188" si="208">IF(D184&gt;0,1,0)</f>
        <v>1</v>
      </c>
      <c r="F184" s="134">
        <v>11057.0</v>
      </c>
      <c r="G184" s="135">
        <f>F184/F181-1</f>
        <v>0.01035298848</v>
      </c>
      <c r="H184" s="135">
        <f t="shared" ref="H184:H187" si="209">D184-G185</f>
        <v>0.0291597123</v>
      </c>
      <c r="I184" s="136">
        <v>86.6</v>
      </c>
      <c r="J184" s="155">
        <f>I184/I181-1</f>
        <v>0.002198819581</v>
      </c>
      <c r="K184" s="138" t="s">
        <v>27</v>
      </c>
      <c r="L184" s="139">
        <f>AVERAGEIFS(Sentiment!$K:$K, Sentiment!$C:$C, $A184, Sentiment!$J:$J, "YES")
</f>
        <v>0.7</v>
      </c>
      <c r="M184" s="152">
        <v>0.67</v>
      </c>
      <c r="N184" s="153">
        <f t="shared" ref="N184:N188" si="210">IF(M184&gt;0,1,0)</f>
        <v>1</v>
      </c>
      <c r="O184" s="139">
        <f>AVERAGEIFS(Sentiment!P:P, Sentiment!C:C, A184, Sentiment!J:J, "YES")
</f>
        <v>0.9</v>
      </c>
      <c r="P184" s="152">
        <v>0.4</v>
      </c>
      <c r="Q184" s="154">
        <f t="shared" ref="Q184:Q188" si="211">IF(P184&gt;0,1,0)</f>
        <v>1</v>
      </c>
    </row>
    <row r="185">
      <c r="A185" s="130">
        <v>45475.0</v>
      </c>
      <c r="B185" s="143">
        <v>15.13</v>
      </c>
      <c r="C185" s="144">
        <f t="shared" ref="C185:C188" si="212">B185/B184-1</f>
        <v>0.01611820013</v>
      </c>
      <c r="D185" s="144">
        <f t="shared" si="207"/>
        <v>-0.01387970919</v>
      </c>
      <c r="E185" s="145">
        <f t="shared" si="208"/>
        <v>0</v>
      </c>
      <c r="F185" s="146">
        <v>10912.8</v>
      </c>
      <c r="G185" s="147">
        <f t="shared" ref="G185:G188" si="213">F185/F184-1</f>
        <v>-0.01304151216</v>
      </c>
      <c r="H185" s="147">
        <f t="shared" si="209"/>
        <v>-0.02707522271</v>
      </c>
      <c r="I185" s="148">
        <v>86.24</v>
      </c>
      <c r="J185" s="156">
        <f t="shared" ref="J185:J188" si="214">I185/I184-1</f>
        <v>-0.00415704388</v>
      </c>
      <c r="K185" s="150" t="s">
        <v>27</v>
      </c>
      <c r="L185" s="151">
        <f>AVERAGEIFS(Sentiment!$K:$K, Sentiment!$C:$C, $A185, Sentiment!$J:$J, "YES")
</f>
        <v>0.4857142857</v>
      </c>
      <c r="M185" s="151">
        <f>AVERAGEIFS(Sentiment!$K:$K, Sentiment!$C:$C, $A185, Sentiment!$J:$J, "YES")
</f>
        <v>0.4857142857</v>
      </c>
      <c r="N185" s="157">
        <f t="shared" si="210"/>
        <v>1</v>
      </c>
      <c r="O185" s="151">
        <f>AVERAGEIFS(Sentiment!P:P, Sentiment!C:C, A185, Sentiment!J:J, "YES")
</f>
        <v>0.4714285714</v>
      </c>
      <c r="P185" s="158">
        <v>0.4714285714285714</v>
      </c>
      <c r="Q185" s="159">
        <f t="shared" si="211"/>
        <v>1</v>
      </c>
    </row>
    <row r="186">
      <c r="A186" s="130">
        <v>45476.0</v>
      </c>
      <c r="B186" s="131">
        <v>14.92</v>
      </c>
      <c r="C186" s="132">
        <f t="shared" si="212"/>
        <v>-0.01387970919</v>
      </c>
      <c r="D186" s="132">
        <f t="shared" si="207"/>
        <v>-0.01943699732</v>
      </c>
      <c r="E186" s="133">
        <f t="shared" si="208"/>
        <v>0</v>
      </c>
      <c r="F186" s="134">
        <v>11056.8</v>
      </c>
      <c r="G186" s="135">
        <f t="shared" si="213"/>
        <v>0.01319551353</v>
      </c>
      <c r="H186" s="135">
        <f t="shared" si="209"/>
        <v>-0.02029619709</v>
      </c>
      <c r="I186" s="136">
        <v>87.34</v>
      </c>
      <c r="J186" s="155">
        <f t="shared" si="214"/>
        <v>0.01275510204</v>
      </c>
      <c r="K186" s="138" t="s">
        <v>27</v>
      </c>
      <c r="L186" s="139">
        <f>AVERAGEIFS(Sentiment!$K:$K, Sentiment!$C:$C, $A186, Sentiment!$J:$J, "YES")
</f>
        <v>0.4666666667</v>
      </c>
      <c r="M186" s="139">
        <f>AVERAGEIFS(Sentiment!$K:$K, Sentiment!$C:$C, $A186, Sentiment!$J:$J, "YES")
</f>
        <v>0.4666666667</v>
      </c>
      <c r="N186" s="140">
        <f t="shared" si="210"/>
        <v>1</v>
      </c>
      <c r="O186" s="139">
        <f>AVERAGEIFS(Sentiment!P:P, Sentiment!C:C, A186, Sentiment!J:J, "YES")
</f>
        <v>0.2555555556</v>
      </c>
      <c r="P186" s="141">
        <v>0.25555555555555554</v>
      </c>
      <c r="Q186" s="142">
        <f t="shared" si="211"/>
        <v>1</v>
      </c>
    </row>
    <row r="187">
      <c r="A187" s="130">
        <v>45477.0</v>
      </c>
      <c r="B187" s="143">
        <v>14.63</v>
      </c>
      <c r="C187" s="144">
        <f t="shared" si="212"/>
        <v>-0.01943699732</v>
      </c>
      <c r="D187" s="144">
        <f t="shared" si="207"/>
        <v>-0.01777170198</v>
      </c>
      <c r="E187" s="145">
        <f t="shared" si="208"/>
        <v>0</v>
      </c>
      <c r="F187" s="146">
        <v>11066.3</v>
      </c>
      <c r="G187" s="147">
        <f t="shared" si="213"/>
        <v>0.0008591997685</v>
      </c>
      <c r="H187" s="147">
        <f t="shared" si="209"/>
        <v>-0.01390410396</v>
      </c>
      <c r="I187" s="148">
        <v>84.43</v>
      </c>
      <c r="J187" s="156">
        <f t="shared" si="214"/>
        <v>-0.03331806732</v>
      </c>
      <c r="K187" s="150" t="s">
        <v>27</v>
      </c>
      <c r="L187" s="151">
        <f>AVERAGEIFS(Sentiment!$K:$K, Sentiment!$C:$C, $A187, Sentiment!$J:$J, "YES")
</f>
        <v>0.5357142857</v>
      </c>
      <c r="M187" s="151">
        <f>AVERAGEIFS(Sentiment!$K:$K, Sentiment!$C:$C, $A187, Sentiment!$J:$J, "YES")
</f>
        <v>0.5357142857</v>
      </c>
      <c r="N187" s="157">
        <f t="shared" si="210"/>
        <v>1</v>
      </c>
      <c r="O187" s="151">
        <f>AVERAGEIFS(Sentiment!P:P, Sentiment!C:C, A187, Sentiment!J:J, "YES")
</f>
        <v>0.2071428571</v>
      </c>
      <c r="P187" s="158">
        <v>0.20714285714285716</v>
      </c>
      <c r="Q187" s="159">
        <f t="shared" si="211"/>
        <v>1</v>
      </c>
    </row>
    <row r="188">
      <c r="A188" s="130">
        <v>45478.0</v>
      </c>
      <c r="B188" s="131">
        <v>14.37</v>
      </c>
      <c r="C188" s="132">
        <f t="shared" si="212"/>
        <v>-0.01777170198</v>
      </c>
      <c r="D188" s="132">
        <f>C191</f>
        <v>-0.01809324983</v>
      </c>
      <c r="E188" s="133">
        <f t="shared" si="208"/>
        <v>0</v>
      </c>
      <c r="F188" s="134">
        <v>11023.5</v>
      </c>
      <c r="G188" s="135">
        <f t="shared" si="213"/>
        <v>-0.003867598023</v>
      </c>
      <c r="H188" s="135">
        <f>D188-G191</f>
        <v>-0.01796624842</v>
      </c>
      <c r="I188" s="136">
        <v>86.54</v>
      </c>
      <c r="J188" s="155">
        <f t="shared" si="214"/>
        <v>0.0249911169</v>
      </c>
      <c r="K188" s="138" t="s">
        <v>27</v>
      </c>
      <c r="L188" s="139">
        <f>AVERAGEIFS(Sentiment!$K:$K, Sentiment!$C:$C, $A188, Sentiment!$J:$J, "YES")
</f>
        <v>-0.1428571429</v>
      </c>
      <c r="M188" s="139">
        <f>AVERAGEIFS(Sentiment!$K:$K, Sentiment!$C:$C, $A188, Sentiment!$J:$J, "YES")
</f>
        <v>-0.1428571429</v>
      </c>
      <c r="N188" s="140">
        <f t="shared" si="210"/>
        <v>0</v>
      </c>
      <c r="O188" s="139">
        <f>AVERAGEIFS(Sentiment!P:P, Sentiment!C:C, A188, Sentiment!J:J, "YES")
</f>
        <v>0.04285714286</v>
      </c>
      <c r="P188" s="141">
        <v>0.042857142857142864</v>
      </c>
      <c r="Q188" s="142">
        <f t="shared" si="211"/>
        <v>1</v>
      </c>
    </row>
    <row r="189">
      <c r="A189" s="130">
        <v>45479.0</v>
      </c>
      <c r="B189" s="143"/>
      <c r="C189" s="144"/>
      <c r="D189" s="144"/>
      <c r="E189" s="145"/>
      <c r="F189" s="146"/>
      <c r="G189" s="147"/>
      <c r="H189" s="147"/>
      <c r="I189" s="148"/>
      <c r="J189" s="160"/>
      <c r="K189" s="150" t="s">
        <v>27</v>
      </c>
      <c r="L189" s="151">
        <f>AVERAGEIFS(Sentiment!$K:$K, Sentiment!$C:$C, $A189, Sentiment!$J:$J, "YES")
</f>
        <v>0.65</v>
      </c>
      <c r="M189" s="151"/>
      <c r="N189" s="157"/>
      <c r="O189" s="151">
        <f>AVERAGEIFS(Sentiment!P:P, Sentiment!C:C, A189, Sentiment!J:J, "YES")
</f>
        <v>0.35</v>
      </c>
      <c r="P189" s="158"/>
      <c r="Q189" s="159"/>
    </row>
    <row r="190">
      <c r="A190" s="130">
        <v>45480.0</v>
      </c>
      <c r="B190" s="131"/>
      <c r="C190" s="132"/>
      <c r="D190" s="132"/>
      <c r="E190" s="133"/>
      <c r="F190" s="134"/>
      <c r="G190" s="135"/>
      <c r="H190" s="135"/>
      <c r="I190" s="136"/>
      <c r="J190" s="137"/>
      <c r="K190" s="138" t="s">
        <v>27</v>
      </c>
      <c r="L190" s="139">
        <f>AVERAGEIFS(Sentiment!$K:$K, Sentiment!$C:$C, $A190, Sentiment!$J:$J, "YES")
</f>
        <v>0.7</v>
      </c>
      <c r="M190" s="139"/>
      <c r="N190" s="140"/>
      <c r="O190" s="139">
        <f>AVERAGEIFS(Sentiment!P:P, Sentiment!C:C, A190, Sentiment!J:J, "YES")
</f>
        <v>0.7</v>
      </c>
      <c r="P190" s="141"/>
      <c r="Q190" s="142"/>
    </row>
    <row r="191">
      <c r="A191" s="130">
        <v>45481.0</v>
      </c>
      <c r="B191" s="143">
        <v>14.11</v>
      </c>
      <c r="C191" s="144">
        <f>B191/B188-1</f>
        <v>-0.01809324983</v>
      </c>
      <c r="D191" s="144">
        <f t="shared" ref="D191:D194" si="215">C192</f>
        <v>-0.02480510276</v>
      </c>
      <c r="E191" s="145">
        <f t="shared" ref="E191:E195" si="216">IF(D191&gt;0,1,0)</f>
        <v>0</v>
      </c>
      <c r="F191" s="146">
        <v>11022.1</v>
      </c>
      <c r="G191" s="147">
        <f>F191/F188-1</f>
        <v>-0.0001270014061</v>
      </c>
      <c r="H191" s="147">
        <f t="shared" ref="H191:H194" si="217">D191-G192</f>
        <v>-0.01361848678</v>
      </c>
      <c r="I191" s="148">
        <v>85.75</v>
      </c>
      <c r="J191" s="156">
        <f>I191/I188-1</f>
        <v>-0.0091287266</v>
      </c>
      <c r="K191" s="150" t="s">
        <v>35</v>
      </c>
      <c r="L191" s="151">
        <f>AVERAGEIFS(Sentiment!$K:$K, Sentiment!$C:$C, $A191, Sentiment!$J:$J, "YES")
</f>
        <v>0.605</v>
      </c>
      <c r="M191" s="152">
        <v>0.61</v>
      </c>
      <c r="N191" s="153">
        <f t="shared" ref="N191:N195" si="218">IF(M191&gt;0,1,0)</f>
        <v>1</v>
      </c>
      <c r="O191" s="151">
        <f>AVERAGEIFS(Sentiment!P:P, Sentiment!C:C, A191, Sentiment!J:J, "YES")
</f>
        <v>0.385</v>
      </c>
      <c r="P191" s="152">
        <v>0.4</v>
      </c>
      <c r="Q191" s="154">
        <f t="shared" ref="Q191:Q195" si="219">IF(P191&gt;0,1,0)</f>
        <v>1</v>
      </c>
    </row>
    <row r="192">
      <c r="A192" s="130">
        <v>45482.0</v>
      </c>
      <c r="B192" s="131">
        <v>13.76</v>
      </c>
      <c r="C192" s="132">
        <f t="shared" ref="C192:C195" si="220">B192/B191-1</f>
        <v>-0.02480510276</v>
      </c>
      <c r="D192" s="132">
        <f t="shared" si="215"/>
        <v>0.01671511628</v>
      </c>
      <c r="E192" s="133">
        <f t="shared" si="216"/>
        <v>1</v>
      </c>
      <c r="F192" s="134">
        <v>10898.8</v>
      </c>
      <c r="G192" s="135">
        <f t="shared" ref="G192:G195" si="221">F192/F191-1</f>
        <v>-0.01118661598</v>
      </c>
      <c r="H192" s="135">
        <f t="shared" si="217"/>
        <v>0.0008601597701</v>
      </c>
      <c r="I192" s="136">
        <v>84.66</v>
      </c>
      <c r="J192" s="155">
        <f t="shared" ref="J192:J195" si="222">I192/I191-1</f>
        <v>-0.01271137026</v>
      </c>
      <c r="K192" s="138" t="s">
        <v>27</v>
      </c>
      <c r="L192" s="139">
        <f>AVERAGEIFS(Sentiment!$K:$K, Sentiment!$C:$C, $A192, Sentiment!$J:$J, "YES")
</f>
        <v>0.352</v>
      </c>
      <c r="M192" s="139">
        <f>AVERAGEIFS(Sentiment!$K:$K, Sentiment!$C:$C, $A192, Sentiment!$J:$J, "YES")
</f>
        <v>0.352</v>
      </c>
      <c r="N192" s="140">
        <f t="shared" si="218"/>
        <v>1</v>
      </c>
      <c r="O192" s="139">
        <f>AVERAGEIFS(Sentiment!P:P, Sentiment!C:C, A192, Sentiment!J:J, "YES")
</f>
        <v>0.324</v>
      </c>
      <c r="P192" s="141">
        <v>0.3239999999999999</v>
      </c>
      <c r="Q192" s="142">
        <f t="shared" si="219"/>
        <v>1</v>
      </c>
    </row>
    <row r="193">
      <c r="A193" s="130">
        <v>45483.0</v>
      </c>
      <c r="B193" s="143">
        <v>13.99</v>
      </c>
      <c r="C193" s="144">
        <f t="shared" si="220"/>
        <v>0.01671511628</v>
      </c>
      <c r="D193" s="144">
        <f t="shared" si="215"/>
        <v>-0.01858470336</v>
      </c>
      <c r="E193" s="145">
        <f t="shared" si="216"/>
        <v>0</v>
      </c>
      <c r="F193" s="146">
        <v>11071.6</v>
      </c>
      <c r="G193" s="147">
        <f t="shared" si="221"/>
        <v>0.01585495651</v>
      </c>
      <c r="H193" s="147">
        <f t="shared" si="217"/>
        <v>-0.02747230768</v>
      </c>
      <c r="I193" s="148">
        <v>85.08</v>
      </c>
      <c r="J193" s="156">
        <f t="shared" si="222"/>
        <v>0.004961020553</v>
      </c>
      <c r="K193" s="150" t="s">
        <v>27</v>
      </c>
      <c r="L193" s="151">
        <f>AVERAGEIFS(Sentiment!$K:$K, Sentiment!$C:$C, $A193, Sentiment!$J:$J, "YES")
</f>
        <v>0.3</v>
      </c>
      <c r="M193" s="151">
        <f>AVERAGEIFS(Sentiment!$K:$K, Sentiment!$C:$C, $A193, Sentiment!$J:$J, "YES")
</f>
        <v>0.3</v>
      </c>
      <c r="N193" s="157">
        <f t="shared" si="218"/>
        <v>1</v>
      </c>
      <c r="O193" s="151">
        <f>AVERAGEIFS(Sentiment!P:P, Sentiment!C:C, A193, Sentiment!J:J, "YES")
</f>
        <v>0.1625</v>
      </c>
      <c r="P193" s="158">
        <v>0.16250000000000003</v>
      </c>
      <c r="Q193" s="159">
        <f t="shared" si="219"/>
        <v>1</v>
      </c>
    </row>
    <row r="194">
      <c r="A194" s="130">
        <v>45484.0</v>
      </c>
      <c r="B194" s="131">
        <v>13.73</v>
      </c>
      <c r="C194" s="132">
        <f t="shared" si="220"/>
        <v>-0.01858470336</v>
      </c>
      <c r="D194" s="132">
        <f t="shared" si="215"/>
        <v>0.005098324836</v>
      </c>
      <c r="E194" s="133">
        <f t="shared" si="216"/>
        <v>1</v>
      </c>
      <c r="F194" s="134">
        <v>11170.0</v>
      </c>
      <c r="G194" s="135">
        <f t="shared" si="221"/>
        <v>0.008887604321</v>
      </c>
      <c r="H194" s="135">
        <f t="shared" si="217"/>
        <v>-0.002117431654</v>
      </c>
      <c r="I194" s="136">
        <v>85.4</v>
      </c>
      <c r="J194" s="155">
        <f t="shared" si="222"/>
        <v>0.003761165961</v>
      </c>
      <c r="K194" s="138" t="s">
        <v>27</v>
      </c>
      <c r="L194" s="139">
        <f>AVERAGEIFS(Sentiment!$K:$K, Sentiment!$C:$C, $A194, Sentiment!$J:$J, "YES")
</f>
        <v>0.1166666667</v>
      </c>
      <c r="M194" s="139">
        <f>AVERAGEIFS(Sentiment!$K:$K, Sentiment!$C:$C, $A194, Sentiment!$J:$J, "YES")
</f>
        <v>0.1166666667</v>
      </c>
      <c r="N194" s="140">
        <f t="shared" si="218"/>
        <v>1</v>
      </c>
      <c r="O194" s="139">
        <f>AVERAGEIFS(Sentiment!P:P, Sentiment!C:C, A194, Sentiment!J:J, "YES")
</f>
        <v>0.1583333333</v>
      </c>
      <c r="P194" s="141">
        <v>0.15833333333333333</v>
      </c>
      <c r="Q194" s="142">
        <f t="shared" si="219"/>
        <v>1</v>
      </c>
    </row>
    <row r="195">
      <c r="A195" s="130">
        <v>45485.0</v>
      </c>
      <c r="B195" s="143">
        <v>13.8</v>
      </c>
      <c r="C195" s="144">
        <f t="shared" si="220"/>
        <v>0.005098324836</v>
      </c>
      <c r="D195" s="144">
        <f>C198</f>
        <v>-0.01014492754</v>
      </c>
      <c r="E195" s="145">
        <f t="shared" si="216"/>
        <v>0</v>
      </c>
      <c r="F195" s="146">
        <v>11250.6</v>
      </c>
      <c r="G195" s="147">
        <f t="shared" si="221"/>
        <v>0.007215756491</v>
      </c>
      <c r="H195" s="147">
        <f>D195-G198</f>
        <v>-0.0005809931683</v>
      </c>
      <c r="I195" s="148">
        <v>85.3</v>
      </c>
      <c r="J195" s="156">
        <f t="shared" si="222"/>
        <v>-0.001170960187</v>
      </c>
      <c r="K195" s="150" t="s">
        <v>27</v>
      </c>
      <c r="L195" s="151">
        <f>AVERAGEIFS(Sentiment!$K:$K, Sentiment!$C:$C, $A195, Sentiment!$J:$J, "YES")
</f>
        <v>0.28</v>
      </c>
      <c r="M195" s="151">
        <f>AVERAGEIFS(Sentiment!$K:$K, Sentiment!$C:$C, $A195, Sentiment!$J:$J, "YES")
</f>
        <v>0.28</v>
      </c>
      <c r="N195" s="157">
        <f t="shared" si="218"/>
        <v>1</v>
      </c>
      <c r="O195" s="151">
        <f>AVERAGEIFS(Sentiment!P:P, Sentiment!C:C, A195, Sentiment!J:J, "YES")
</f>
        <v>0.36</v>
      </c>
      <c r="P195" s="158">
        <v>0.36</v>
      </c>
      <c r="Q195" s="159">
        <f t="shared" si="219"/>
        <v>1</v>
      </c>
    </row>
    <row r="196">
      <c r="A196" s="130">
        <v>45486.0</v>
      </c>
      <c r="B196" s="131"/>
      <c r="C196" s="132"/>
      <c r="D196" s="132"/>
      <c r="E196" s="133"/>
      <c r="F196" s="134"/>
      <c r="G196" s="135"/>
      <c r="H196" s="135"/>
      <c r="I196" s="136"/>
      <c r="J196" s="137"/>
      <c r="K196" s="138" t="s">
        <v>27</v>
      </c>
      <c r="L196" s="139">
        <f>AVERAGEIFS(Sentiment!$K:$K, Sentiment!$C:$C, $A196, Sentiment!$J:$J, "YES")
</f>
        <v>0</v>
      </c>
      <c r="M196" s="139"/>
      <c r="N196" s="140"/>
      <c r="O196" s="139">
        <f>AVERAGEIFS(Sentiment!P:P, Sentiment!C:C, A196, Sentiment!J:J, "YES")
</f>
        <v>-0.4</v>
      </c>
      <c r="P196" s="141"/>
      <c r="Q196" s="142"/>
    </row>
    <row r="197">
      <c r="A197" s="130">
        <v>45487.0</v>
      </c>
      <c r="B197" s="143"/>
      <c r="C197" s="144"/>
      <c r="D197" s="144"/>
      <c r="E197" s="145"/>
      <c r="F197" s="146"/>
      <c r="G197" s="147"/>
      <c r="H197" s="147"/>
      <c r="I197" s="148"/>
      <c r="J197" s="160"/>
      <c r="K197" s="150" t="s">
        <v>27</v>
      </c>
      <c r="L197" s="151">
        <f>AVERAGEIFS(Sentiment!$K:$K, Sentiment!$C:$C, $A197, Sentiment!$J:$J, "YES")
</f>
        <v>0.4</v>
      </c>
      <c r="M197" s="151"/>
      <c r="N197" s="157"/>
      <c r="O197" s="151">
        <f>AVERAGEIFS(Sentiment!P:P, Sentiment!C:C, A197, Sentiment!J:J, "YES")
</f>
        <v>0.06666666667</v>
      </c>
      <c r="P197" s="158"/>
      <c r="Q197" s="159"/>
    </row>
    <row r="198">
      <c r="A198" s="130">
        <v>45488.0</v>
      </c>
      <c r="B198" s="131">
        <v>13.66</v>
      </c>
      <c r="C198" s="132">
        <f>B198/B195-1</f>
        <v>-0.01014492754</v>
      </c>
      <c r="D198" s="132">
        <f t="shared" ref="D198:D201" si="223">C199</f>
        <v>-0.01244509517</v>
      </c>
      <c r="E198" s="133">
        <f t="shared" ref="E198:E202" si="224">IF(D198&gt;0,1,0)</f>
        <v>0</v>
      </c>
      <c r="F198" s="134">
        <v>11143.0</v>
      </c>
      <c r="G198" s="135">
        <f>F198/F195-1</f>
        <v>-0.009563934368</v>
      </c>
      <c r="H198" s="135">
        <f t="shared" ref="H198:H201" si="225">D198-G199</f>
        <v>-0.00773361711</v>
      </c>
      <c r="I198" s="136">
        <v>84.85</v>
      </c>
      <c r="J198" s="155">
        <f>I198/I195-1</f>
        <v>-0.005275498242</v>
      </c>
      <c r="K198" s="138" t="s">
        <v>27</v>
      </c>
      <c r="L198" s="139">
        <f>AVERAGEIFS(Sentiment!$K:$K, Sentiment!$C:$C, $A198, Sentiment!$J:$J, "YES")
</f>
        <v>0.2</v>
      </c>
      <c r="M198" s="152">
        <v>0.18</v>
      </c>
      <c r="N198" s="153">
        <f t="shared" ref="N198:N202" si="226">IF(M198&gt;0,1,0)</f>
        <v>1</v>
      </c>
      <c r="O198" s="139">
        <f>AVERAGEIFS(Sentiment!P:P, Sentiment!C:C, A198, Sentiment!J:J, "YES")
</f>
        <v>0.125</v>
      </c>
      <c r="P198" s="152">
        <v>-0.08</v>
      </c>
      <c r="Q198" s="154">
        <f t="shared" ref="Q198:Q202" si="227">IF(P198&gt;0,1,0)</f>
        <v>0</v>
      </c>
    </row>
    <row r="199">
      <c r="A199" s="130">
        <v>45489.0</v>
      </c>
      <c r="B199" s="143">
        <v>13.49</v>
      </c>
      <c r="C199" s="144">
        <f t="shared" ref="C199:C202" si="228">B199/B198-1</f>
        <v>-0.01244509517</v>
      </c>
      <c r="D199" s="144">
        <f t="shared" si="223"/>
        <v>-0.002965159377</v>
      </c>
      <c r="E199" s="145">
        <f t="shared" si="224"/>
        <v>0</v>
      </c>
      <c r="F199" s="146">
        <v>11090.5</v>
      </c>
      <c r="G199" s="147">
        <f t="shared" ref="G199:G202" si="229">F199/F198-1</f>
        <v>-0.004711478058</v>
      </c>
      <c r="H199" s="147">
        <f t="shared" si="225"/>
        <v>-0.004290618103</v>
      </c>
      <c r="I199" s="148">
        <v>83.73</v>
      </c>
      <c r="J199" s="156">
        <f t="shared" ref="J199:J202" si="230">I199/I198-1</f>
        <v>-0.01319976429</v>
      </c>
      <c r="K199" s="150" t="s">
        <v>27</v>
      </c>
      <c r="L199" s="151">
        <f>AVERAGEIFS(Sentiment!$K:$K, Sentiment!$C:$C, $A199, Sentiment!$J:$J, "YES")
</f>
        <v>-0.3285714286</v>
      </c>
      <c r="M199" s="151">
        <f>AVERAGEIFS(Sentiment!$K:$K, Sentiment!$C:$C, $A199, Sentiment!$J:$J, "YES")
</f>
        <v>-0.3285714286</v>
      </c>
      <c r="N199" s="157">
        <f t="shared" si="226"/>
        <v>0</v>
      </c>
      <c r="O199" s="151">
        <f>AVERAGEIFS(Sentiment!P:P, Sentiment!C:C, A199, Sentiment!J:J, "YES")
</f>
        <v>-0.2428571429</v>
      </c>
      <c r="P199" s="158">
        <v>-0.24285714285714285</v>
      </c>
      <c r="Q199" s="159">
        <f t="shared" si="227"/>
        <v>0</v>
      </c>
    </row>
    <row r="200">
      <c r="A200" s="130">
        <v>45490.0</v>
      </c>
      <c r="B200" s="131">
        <v>13.45</v>
      </c>
      <c r="C200" s="132">
        <f t="shared" si="228"/>
        <v>-0.002965159377</v>
      </c>
      <c r="D200" s="132">
        <f t="shared" si="223"/>
        <v>-0.00594795539</v>
      </c>
      <c r="E200" s="133">
        <f t="shared" si="224"/>
        <v>0</v>
      </c>
      <c r="F200" s="134">
        <v>11105.2</v>
      </c>
      <c r="G200" s="135">
        <f t="shared" si="229"/>
        <v>0.001325458726</v>
      </c>
      <c r="H200" s="135">
        <f t="shared" si="225"/>
        <v>-0.009756981792</v>
      </c>
      <c r="I200" s="136">
        <v>85.08</v>
      </c>
      <c r="J200" s="155">
        <f t="shared" si="230"/>
        <v>0.01612325331</v>
      </c>
      <c r="K200" s="138" t="s">
        <v>27</v>
      </c>
      <c r="L200" s="139">
        <f>AVERAGEIFS(Sentiment!$K:$K, Sentiment!$C:$C, $A200, Sentiment!$J:$J, "YES")
</f>
        <v>0.2333333333</v>
      </c>
      <c r="M200" s="139">
        <f>AVERAGEIFS(Sentiment!$K:$K, Sentiment!$C:$C, $A200, Sentiment!$J:$J, "YES")
</f>
        <v>0.2333333333</v>
      </c>
      <c r="N200" s="140">
        <f t="shared" si="226"/>
        <v>1</v>
      </c>
      <c r="O200" s="139">
        <f>AVERAGEIFS(Sentiment!P:P, Sentiment!C:C, A200, Sentiment!J:J, "YES")
</f>
        <v>0.03333333333</v>
      </c>
      <c r="P200" s="141">
        <v>0.03333333333333335</v>
      </c>
      <c r="Q200" s="142">
        <f t="shared" si="227"/>
        <v>1</v>
      </c>
    </row>
    <row r="201">
      <c r="A201" s="130">
        <v>45491.0</v>
      </c>
      <c r="B201" s="143">
        <v>13.37</v>
      </c>
      <c r="C201" s="144">
        <f t="shared" si="228"/>
        <v>-0.00594795539</v>
      </c>
      <c r="D201" s="144">
        <f t="shared" si="223"/>
        <v>-0.005983545251</v>
      </c>
      <c r="E201" s="145">
        <f t="shared" si="224"/>
        <v>0</v>
      </c>
      <c r="F201" s="146">
        <v>11147.5</v>
      </c>
      <c r="G201" s="147">
        <f t="shared" si="229"/>
        <v>0.003809026402</v>
      </c>
      <c r="H201" s="147">
        <f t="shared" si="225"/>
        <v>-0.0006011725212</v>
      </c>
      <c r="I201" s="148">
        <v>85.11</v>
      </c>
      <c r="J201" s="156">
        <f t="shared" si="230"/>
        <v>0.0003526093089</v>
      </c>
      <c r="K201" s="150" t="s">
        <v>27</v>
      </c>
      <c r="L201" s="151">
        <f>AVERAGEIFS(Sentiment!$K:$K, Sentiment!$C:$C, $A201, Sentiment!$J:$J, "YES")
</f>
        <v>0.57</v>
      </c>
      <c r="M201" s="151">
        <f>AVERAGEIFS(Sentiment!$K:$K, Sentiment!$C:$C, $A201, Sentiment!$J:$J, "YES")
</f>
        <v>0.57</v>
      </c>
      <c r="N201" s="157">
        <f t="shared" si="226"/>
        <v>1</v>
      </c>
      <c r="O201" s="151">
        <f>AVERAGEIFS(Sentiment!P:P, Sentiment!C:C, A201, Sentiment!J:J, "YES")
</f>
        <v>0.64</v>
      </c>
      <c r="P201" s="158">
        <v>0.6399999999999999</v>
      </c>
      <c r="Q201" s="159">
        <f t="shared" si="227"/>
        <v>1</v>
      </c>
    </row>
    <row r="202">
      <c r="A202" s="130">
        <v>45492.0</v>
      </c>
      <c r="B202" s="131">
        <v>13.29</v>
      </c>
      <c r="C202" s="132">
        <f t="shared" si="228"/>
        <v>-0.005983545251</v>
      </c>
      <c r="D202" s="132">
        <f>C205</f>
        <v>-0.001504890895</v>
      </c>
      <c r="E202" s="133">
        <f t="shared" si="224"/>
        <v>0</v>
      </c>
      <c r="F202" s="134">
        <v>11087.5</v>
      </c>
      <c r="G202" s="135">
        <f t="shared" si="229"/>
        <v>-0.005382372729</v>
      </c>
      <c r="H202" s="135">
        <f>D202-G205</f>
        <v>-0.0065826812</v>
      </c>
      <c r="I202" s="136">
        <v>82.63</v>
      </c>
      <c r="J202" s="155">
        <f t="shared" si="230"/>
        <v>-0.0291387616</v>
      </c>
      <c r="K202" s="138" t="s">
        <v>27</v>
      </c>
      <c r="L202" s="139">
        <f>AVERAGEIFS(Sentiment!$K:$K, Sentiment!$C:$C, $A202, Sentiment!$J:$J, "YES")
</f>
        <v>-0.025</v>
      </c>
      <c r="M202" s="139">
        <f>AVERAGEIFS(Sentiment!$K:$K, Sentiment!$C:$C, $A202, Sentiment!$J:$J, "YES")
</f>
        <v>-0.025</v>
      </c>
      <c r="N202" s="140">
        <f t="shared" si="226"/>
        <v>0</v>
      </c>
      <c r="O202" s="139">
        <f>AVERAGEIFS(Sentiment!P:P, Sentiment!C:C, A202, Sentiment!J:J, "YES")
</f>
        <v>-0.25</v>
      </c>
      <c r="P202" s="141">
        <v>-0.25</v>
      </c>
      <c r="Q202" s="142">
        <f t="shared" si="227"/>
        <v>0</v>
      </c>
    </row>
    <row r="203">
      <c r="A203" s="130">
        <v>45493.0</v>
      </c>
      <c r="B203" s="143"/>
      <c r="C203" s="144"/>
      <c r="D203" s="144"/>
      <c r="E203" s="145"/>
      <c r="F203" s="146"/>
      <c r="G203" s="147"/>
      <c r="H203" s="147"/>
      <c r="I203" s="148"/>
      <c r="J203" s="160"/>
      <c r="K203" s="150" t="s">
        <v>27</v>
      </c>
      <c r="L203" s="151">
        <f>AVERAGEIFS(Sentiment!$K:$K, Sentiment!$C:$C, $A203, Sentiment!$J:$J, "YES")
</f>
        <v>0.3</v>
      </c>
      <c r="M203" s="151"/>
      <c r="N203" s="157"/>
      <c r="O203" s="151">
        <f>AVERAGEIFS(Sentiment!P:P, Sentiment!C:C, A203, Sentiment!J:J, "YES")
</f>
        <v>0.1</v>
      </c>
      <c r="P203" s="158"/>
      <c r="Q203" s="159"/>
    </row>
    <row r="204">
      <c r="A204" s="130">
        <v>45494.0</v>
      </c>
      <c r="B204" s="131"/>
      <c r="C204" s="132"/>
      <c r="D204" s="132"/>
      <c r="E204" s="133"/>
      <c r="F204" s="134"/>
      <c r="G204" s="135"/>
      <c r="H204" s="135"/>
      <c r="I204" s="136"/>
      <c r="J204" s="137"/>
      <c r="K204" s="138" t="s">
        <v>27</v>
      </c>
      <c r="L204" s="139">
        <f>AVERAGEIFS(Sentiment!$K:$K, Sentiment!$C:$C, $A204, Sentiment!$J:$J, "YES")
</f>
        <v>0.4333333333</v>
      </c>
      <c r="M204" s="139"/>
      <c r="N204" s="140"/>
      <c r="O204" s="139">
        <f>AVERAGEIFS(Sentiment!P:P, Sentiment!C:C, A204, Sentiment!J:J, "YES")
</f>
        <v>0.2333333333</v>
      </c>
      <c r="P204" s="141"/>
      <c r="Q204" s="142"/>
    </row>
    <row r="205">
      <c r="A205" s="130">
        <v>45495.0</v>
      </c>
      <c r="B205" s="143">
        <v>13.27</v>
      </c>
      <c r="C205" s="144">
        <f>B205/B202-1</f>
        <v>-0.001504890895</v>
      </c>
      <c r="D205" s="144">
        <f t="shared" ref="D205:D208" si="231">C206</f>
        <v>0</v>
      </c>
      <c r="E205" s="145">
        <f t="shared" ref="E205:E209" si="232">IF(D205&gt;0,1,0)</f>
        <v>0</v>
      </c>
      <c r="F205" s="146">
        <v>11143.8</v>
      </c>
      <c r="G205" s="147">
        <f>F205/F202-1</f>
        <v>0.005077790304</v>
      </c>
      <c r="H205" s="147">
        <f t="shared" ref="H205:H208" si="233">D205-G206</f>
        <v>-0.006182810172</v>
      </c>
      <c r="I205" s="148">
        <v>82.4</v>
      </c>
      <c r="J205" s="156">
        <f>I205/I202-1</f>
        <v>-0.002783492678</v>
      </c>
      <c r="K205" s="150" t="s">
        <v>27</v>
      </c>
      <c r="L205" s="151">
        <f>AVERAGEIFS(Sentiment!$K:$K, Sentiment!$C:$C, $A205, Sentiment!$J:$J, "YES")
</f>
        <v>0.6</v>
      </c>
      <c r="M205" s="152">
        <v>0.44</v>
      </c>
      <c r="N205" s="153">
        <f t="shared" ref="N205:N209" si="234">IF(M205&gt;0,1,0)</f>
        <v>1</v>
      </c>
      <c r="O205" s="151">
        <f>AVERAGEIFS(Sentiment!P:P, Sentiment!C:C, A205, Sentiment!J:J, "YES")
</f>
        <v>0.3</v>
      </c>
      <c r="P205" s="152">
        <v>0.21</v>
      </c>
      <c r="Q205" s="154">
        <f t="shared" ref="Q205:Q209" si="235">IF(P205&gt;0,1,0)</f>
        <v>1</v>
      </c>
    </row>
    <row r="206">
      <c r="A206" s="130">
        <v>45496.0</v>
      </c>
      <c r="B206" s="131">
        <v>13.27</v>
      </c>
      <c r="C206" s="132">
        <f t="shared" ref="C206:C209" si="236">B206/B205-1</f>
        <v>0</v>
      </c>
      <c r="D206" s="132">
        <f t="shared" si="231"/>
        <v>-0.002260738508</v>
      </c>
      <c r="E206" s="133">
        <f t="shared" si="232"/>
        <v>0</v>
      </c>
      <c r="F206" s="134">
        <v>11212.7</v>
      </c>
      <c r="G206" s="135">
        <f t="shared" ref="G206:G209" si="237">F206/F205-1</f>
        <v>0.006182810172</v>
      </c>
      <c r="H206" s="135">
        <f t="shared" si="233"/>
        <v>-0.002028858586</v>
      </c>
      <c r="I206" s="136">
        <v>81.01</v>
      </c>
      <c r="J206" s="155">
        <f t="shared" ref="J206:J209" si="238">I206/I205-1</f>
        <v>-0.01686893204</v>
      </c>
      <c r="K206" s="138" t="s">
        <v>27</v>
      </c>
      <c r="L206" s="139">
        <f>AVERAGEIFS(Sentiment!$K:$K, Sentiment!$C:$C, $A206, Sentiment!$J:$J, "YES")
</f>
        <v>0.525</v>
      </c>
      <c r="M206" s="139">
        <f>AVERAGEIFS(Sentiment!$K:$K, Sentiment!$C:$C, $A206, Sentiment!$J:$J, "YES")
</f>
        <v>0.525</v>
      </c>
      <c r="N206" s="140">
        <f t="shared" si="234"/>
        <v>1</v>
      </c>
      <c r="O206" s="139">
        <f>AVERAGEIFS(Sentiment!P:P, Sentiment!C:C, A206, Sentiment!J:J, "YES")
</f>
        <v>0.5125</v>
      </c>
      <c r="P206" s="141">
        <v>0.5125000000000001</v>
      </c>
      <c r="Q206" s="142">
        <f t="shared" si="235"/>
        <v>1</v>
      </c>
    </row>
    <row r="207">
      <c r="A207" s="130">
        <v>45497.0</v>
      </c>
      <c r="B207" s="143">
        <v>13.24</v>
      </c>
      <c r="C207" s="144">
        <f t="shared" si="236"/>
        <v>-0.002260738508</v>
      </c>
      <c r="D207" s="144">
        <f t="shared" si="231"/>
        <v>-0.006042296073</v>
      </c>
      <c r="E207" s="145">
        <f t="shared" si="232"/>
        <v>0</v>
      </c>
      <c r="F207" s="146">
        <v>11210.1</v>
      </c>
      <c r="G207" s="147">
        <f t="shared" si="237"/>
        <v>-0.0002318799219</v>
      </c>
      <c r="H207" s="147">
        <f t="shared" si="233"/>
        <v>-0.0002885561416</v>
      </c>
      <c r="I207" s="148">
        <v>81.71</v>
      </c>
      <c r="J207" s="156">
        <f t="shared" si="238"/>
        <v>0.00864090853</v>
      </c>
      <c r="K207" s="150" t="s">
        <v>27</v>
      </c>
      <c r="L207" s="151">
        <f>AVERAGEIFS(Sentiment!$K:$K, Sentiment!$C:$C, $A207, Sentiment!$J:$J, "YES")
</f>
        <v>0.7</v>
      </c>
      <c r="M207" s="151">
        <f>AVERAGEIFS(Sentiment!$K:$K, Sentiment!$C:$C, $A207, Sentiment!$J:$J, "YES")
</f>
        <v>0.7</v>
      </c>
      <c r="N207" s="157">
        <f t="shared" si="234"/>
        <v>1</v>
      </c>
      <c r="O207" s="151">
        <f>AVERAGEIFS(Sentiment!P:P, Sentiment!C:C, A207, Sentiment!J:J, "YES")
</f>
        <v>0.6888888889</v>
      </c>
      <c r="P207" s="158">
        <v>0.6888888888888887</v>
      </c>
      <c r="Q207" s="159">
        <f t="shared" si="235"/>
        <v>1</v>
      </c>
    </row>
    <row r="208">
      <c r="A208" s="130">
        <v>45498.0</v>
      </c>
      <c r="B208" s="131">
        <v>13.16</v>
      </c>
      <c r="C208" s="132">
        <f t="shared" si="236"/>
        <v>-0.006042296073</v>
      </c>
      <c r="D208" s="132">
        <f t="shared" si="231"/>
        <v>-0.01063829787</v>
      </c>
      <c r="E208" s="133">
        <f t="shared" si="232"/>
        <v>0</v>
      </c>
      <c r="F208" s="134">
        <v>11145.6</v>
      </c>
      <c r="G208" s="135">
        <f t="shared" si="237"/>
        <v>-0.005753739931</v>
      </c>
      <c r="H208" s="135">
        <f t="shared" si="233"/>
        <v>-0.01245964441</v>
      </c>
      <c r="I208" s="136">
        <v>82.37</v>
      </c>
      <c r="J208" s="155">
        <f t="shared" si="238"/>
        <v>0.008077346714</v>
      </c>
      <c r="K208" s="138" t="s">
        <v>27</v>
      </c>
      <c r="L208" s="139">
        <f>AVERAGEIFS(Sentiment!$K:$K, Sentiment!$C:$C, $A208, Sentiment!$J:$J, "YES")
</f>
        <v>0.03333333333</v>
      </c>
      <c r="M208" s="139">
        <f>AVERAGEIFS(Sentiment!$K:$K, Sentiment!$C:$C, $A208, Sentiment!$J:$J, "YES")
</f>
        <v>0.03333333333</v>
      </c>
      <c r="N208" s="140">
        <f t="shared" si="234"/>
        <v>1</v>
      </c>
      <c r="O208" s="139">
        <f>AVERAGEIFS(Sentiment!P:P, Sentiment!C:C, A208, Sentiment!J:J, "YES")
</f>
        <v>-0.1</v>
      </c>
      <c r="P208" s="141">
        <v>-0.09999999999999999</v>
      </c>
      <c r="Q208" s="142">
        <f t="shared" si="235"/>
        <v>0</v>
      </c>
    </row>
    <row r="209">
      <c r="A209" s="130">
        <v>45499.0</v>
      </c>
      <c r="B209" s="143">
        <v>13.02</v>
      </c>
      <c r="C209" s="144">
        <f t="shared" si="236"/>
        <v>-0.01063829787</v>
      </c>
      <c r="D209" s="144">
        <f>C212</f>
        <v>0.00153609831</v>
      </c>
      <c r="E209" s="145">
        <f t="shared" si="232"/>
        <v>1</v>
      </c>
      <c r="F209" s="146">
        <v>11165.9</v>
      </c>
      <c r="G209" s="147">
        <f t="shared" si="237"/>
        <v>0.00182134654</v>
      </c>
      <c r="H209" s="147">
        <f>D209-G212</f>
        <v>0.005843856753</v>
      </c>
      <c r="I209" s="148">
        <v>81.13</v>
      </c>
      <c r="J209" s="156">
        <f t="shared" si="238"/>
        <v>-0.01505402452</v>
      </c>
      <c r="K209" s="150" t="s">
        <v>27</v>
      </c>
      <c r="L209" s="151">
        <f>AVERAGEIFS(Sentiment!$K:$K, Sentiment!$C:$C, $A209, Sentiment!$J:$J, "YES")
</f>
        <v>0.375</v>
      </c>
      <c r="M209" s="151">
        <f>AVERAGEIFS(Sentiment!$K:$K, Sentiment!$C:$C, $A209, Sentiment!$J:$J, "YES")
</f>
        <v>0.375</v>
      </c>
      <c r="N209" s="157">
        <f t="shared" si="234"/>
        <v>1</v>
      </c>
      <c r="O209" s="151">
        <f>AVERAGEIFS(Sentiment!P:P, Sentiment!C:C, A209, Sentiment!J:J, "YES")
</f>
        <v>0.3</v>
      </c>
      <c r="P209" s="158">
        <v>0.29999999999999993</v>
      </c>
      <c r="Q209" s="159">
        <f t="shared" si="235"/>
        <v>1</v>
      </c>
    </row>
    <row r="210">
      <c r="A210" s="130">
        <v>45500.0</v>
      </c>
      <c r="B210" s="131"/>
      <c r="C210" s="132"/>
      <c r="D210" s="132"/>
      <c r="E210" s="133"/>
      <c r="F210" s="134"/>
      <c r="G210" s="135"/>
      <c r="H210" s="135"/>
      <c r="I210" s="136"/>
      <c r="J210" s="137"/>
      <c r="K210" s="138" t="s">
        <v>27</v>
      </c>
      <c r="L210" s="139">
        <f>AVERAGEIFS(Sentiment!$K:$K, Sentiment!$C:$C, $A210, Sentiment!$J:$J, "YES")
</f>
        <v>0.56</v>
      </c>
      <c r="M210" s="139"/>
      <c r="N210" s="140"/>
      <c r="O210" s="139">
        <f>AVERAGEIFS(Sentiment!P:P, Sentiment!C:C, A210, Sentiment!J:J, "YES")
</f>
        <v>0.42</v>
      </c>
      <c r="P210" s="141"/>
      <c r="Q210" s="142"/>
    </row>
    <row r="211">
      <c r="A211" s="130">
        <v>45501.0</v>
      </c>
      <c r="B211" s="143"/>
      <c r="C211" s="144"/>
      <c r="D211" s="144"/>
      <c r="E211" s="145"/>
      <c r="F211" s="146"/>
      <c r="G211" s="147"/>
      <c r="H211" s="147"/>
      <c r="I211" s="148"/>
      <c r="J211" s="160"/>
      <c r="K211" s="150" t="s">
        <v>27</v>
      </c>
      <c r="L211" s="151">
        <f>AVERAGEIFS(Sentiment!$K:$K, Sentiment!$C:$C, $A211, Sentiment!$J:$J, "YES")
</f>
        <v>0.35</v>
      </c>
      <c r="M211" s="151"/>
      <c r="N211" s="157"/>
      <c r="O211" s="151">
        <f>AVERAGEIFS(Sentiment!P:P, Sentiment!C:C, A211, Sentiment!J:J, "YES")
</f>
        <v>0.3</v>
      </c>
      <c r="P211" s="158"/>
      <c r="Q211" s="159"/>
    </row>
    <row r="212">
      <c r="A212" s="130">
        <v>45502.0</v>
      </c>
      <c r="B212" s="131">
        <v>13.04</v>
      </c>
      <c r="C212" s="132">
        <f>B212/B209-1</f>
        <v>0.00153609831</v>
      </c>
      <c r="D212" s="132">
        <f t="shared" ref="D212:D215" si="239">C213</f>
        <v>0</v>
      </c>
      <c r="E212" s="133">
        <f t="shared" ref="E212:E216" si="240">IF(D212&gt;0,1,0)</f>
        <v>0</v>
      </c>
      <c r="F212" s="134">
        <v>11117.8</v>
      </c>
      <c r="G212" s="135">
        <f>F212/F209-1</f>
        <v>-0.004307758443</v>
      </c>
      <c r="H212" s="135">
        <f t="shared" ref="H212:H215" si="241">D212-G213</f>
        <v>-0.0076274083</v>
      </c>
      <c r="I212" s="136">
        <v>79.78</v>
      </c>
      <c r="J212" s="155">
        <f>I212/I209-1</f>
        <v>-0.01663996056</v>
      </c>
      <c r="K212" s="138" t="s">
        <v>27</v>
      </c>
      <c r="L212" s="139">
        <f>AVERAGEIFS(Sentiment!$K:$K, Sentiment!$C:$C, $A212, Sentiment!$J:$J, "YES")
</f>
        <v>0.4846153846</v>
      </c>
      <c r="M212" s="152">
        <v>0.49</v>
      </c>
      <c r="N212" s="153">
        <f t="shared" ref="N212:N216" si="242">IF(M212&gt;0,1,0)</f>
        <v>1</v>
      </c>
      <c r="O212" s="139">
        <f>AVERAGEIFS(Sentiment!P:P, Sentiment!C:C, A212, Sentiment!J:J, "YES")
</f>
        <v>0.5</v>
      </c>
      <c r="P212" s="152">
        <v>0.46</v>
      </c>
      <c r="Q212" s="154">
        <f t="shared" ref="Q212:Q216" si="243">IF(P212&gt;0,1,0)</f>
        <v>1</v>
      </c>
    </row>
    <row r="213">
      <c r="A213" s="130">
        <v>45503.0</v>
      </c>
      <c r="B213" s="143">
        <v>13.04</v>
      </c>
      <c r="C213" s="144">
        <f t="shared" ref="C213:C216" si="244">B213/B212-1</f>
        <v>0</v>
      </c>
      <c r="D213" s="144">
        <f t="shared" si="239"/>
        <v>0.01073619632</v>
      </c>
      <c r="E213" s="145">
        <f t="shared" si="240"/>
        <v>1</v>
      </c>
      <c r="F213" s="146">
        <v>11202.6</v>
      </c>
      <c r="G213" s="147">
        <f t="shared" ref="G213:G216" si="245">F213/F212-1</f>
        <v>0.0076274083</v>
      </c>
      <c r="H213" s="147">
        <f t="shared" si="241"/>
        <v>0.02301905923</v>
      </c>
      <c r="I213" s="148">
        <v>78.63</v>
      </c>
      <c r="J213" s="156">
        <f t="shared" ref="J213:J216" si="246">I213/I212-1</f>
        <v>-0.01441464026</v>
      </c>
      <c r="K213" s="150" t="s">
        <v>27</v>
      </c>
      <c r="L213" s="151">
        <f>AVERAGEIFS(Sentiment!$K:$K, Sentiment!$C:$C, $A213, Sentiment!$J:$J, "YES")
</f>
        <v>0.7</v>
      </c>
      <c r="M213" s="151">
        <f>AVERAGEIFS(Sentiment!$K:$K, Sentiment!$C:$C, $A213, Sentiment!$J:$J, "YES")
</f>
        <v>0.7</v>
      </c>
      <c r="N213" s="157">
        <f t="shared" si="242"/>
        <v>1</v>
      </c>
      <c r="O213" s="151">
        <f>AVERAGEIFS(Sentiment!P:P, Sentiment!C:C, A213, Sentiment!J:J, "YES")
</f>
        <v>0.3333333333</v>
      </c>
      <c r="P213" s="158">
        <v>0.3333333333333333</v>
      </c>
      <c r="Q213" s="159">
        <f t="shared" si="243"/>
        <v>1</v>
      </c>
    </row>
    <row r="214">
      <c r="A214" s="130">
        <v>45504.0</v>
      </c>
      <c r="B214" s="131">
        <v>13.18</v>
      </c>
      <c r="C214" s="132">
        <f t="shared" si="244"/>
        <v>0.01073619632</v>
      </c>
      <c r="D214" s="132">
        <f t="shared" si="239"/>
        <v>-0.006069802731</v>
      </c>
      <c r="E214" s="133">
        <f t="shared" si="240"/>
        <v>0</v>
      </c>
      <c r="F214" s="134">
        <v>11065.0</v>
      </c>
      <c r="G214" s="135">
        <f t="shared" si="245"/>
        <v>-0.01228286291</v>
      </c>
      <c r="H214" s="135">
        <f t="shared" si="241"/>
        <v>0.01297222167</v>
      </c>
      <c r="I214" s="136">
        <v>80.72</v>
      </c>
      <c r="J214" s="155">
        <f t="shared" si="246"/>
        <v>0.02658018568</v>
      </c>
      <c r="K214" s="138" t="s">
        <v>27</v>
      </c>
      <c r="L214" s="139">
        <f>AVERAGEIFS(Sentiment!$K:$K, Sentiment!$C:$C, $A214, Sentiment!$J:$J, "YES")
</f>
        <v>0.5</v>
      </c>
      <c r="M214" s="139">
        <f>AVERAGEIFS(Sentiment!$K:$K, Sentiment!$C:$C, $A214, Sentiment!$J:$J, "YES")
</f>
        <v>0.5</v>
      </c>
      <c r="N214" s="140">
        <f t="shared" si="242"/>
        <v>1</v>
      </c>
      <c r="O214" s="139">
        <f>AVERAGEIFS(Sentiment!P:P, Sentiment!C:C, A214, Sentiment!J:J, "YES")
</f>
        <v>0.3</v>
      </c>
      <c r="P214" s="141">
        <v>0.30000000000000004</v>
      </c>
      <c r="Q214" s="142">
        <f t="shared" si="243"/>
        <v>1</v>
      </c>
    </row>
    <row r="215">
      <c r="A215" s="130">
        <v>45505.0</v>
      </c>
      <c r="B215" s="143">
        <v>13.1</v>
      </c>
      <c r="C215" s="144">
        <f t="shared" si="244"/>
        <v>-0.006069802731</v>
      </c>
      <c r="D215" s="144">
        <f t="shared" si="239"/>
        <v>-0.02366412214</v>
      </c>
      <c r="E215" s="145">
        <f t="shared" si="240"/>
        <v>0</v>
      </c>
      <c r="F215" s="146">
        <v>10854.3</v>
      </c>
      <c r="G215" s="147">
        <f t="shared" si="245"/>
        <v>-0.0190420244</v>
      </c>
      <c r="H215" s="147">
        <f t="shared" si="241"/>
        <v>-0.006951851424</v>
      </c>
      <c r="I215" s="148">
        <v>79.52</v>
      </c>
      <c r="J215" s="156">
        <f t="shared" si="246"/>
        <v>-0.01486620416</v>
      </c>
      <c r="K215" s="150" t="s">
        <v>27</v>
      </c>
      <c r="L215" s="151">
        <f>AVERAGEIFS(Sentiment!$K:$K, Sentiment!$C:$C, $A215, Sentiment!$J:$J, "YES")
</f>
        <v>0.3</v>
      </c>
      <c r="M215" s="151">
        <f>AVERAGEIFS(Sentiment!$K:$K, Sentiment!$C:$C, $A215, Sentiment!$J:$J, "YES")
</f>
        <v>0.3</v>
      </c>
      <c r="N215" s="157">
        <f t="shared" si="242"/>
        <v>1</v>
      </c>
      <c r="O215" s="151">
        <f>AVERAGEIFS(Sentiment!P:P, Sentiment!C:C, A215, Sentiment!J:J, "YES")
</f>
        <v>0.5</v>
      </c>
      <c r="P215" s="158">
        <v>0.5</v>
      </c>
      <c r="Q215" s="159">
        <f t="shared" si="243"/>
        <v>1</v>
      </c>
    </row>
    <row r="216">
      <c r="A216" s="130">
        <v>45506.0</v>
      </c>
      <c r="B216" s="131">
        <v>12.79</v>
      </c>
      <c r="C216" s="132">
        <f t="shared" si="244"/>
        <v>-0.02366412214</v>
      </c>
      <c r="D216" s="132">
        <f>C219</f>
        <v>-0.03362001564</v>
      </c>
      <c r="E216" s="133">
        <f t="shared" si="240"/>
        <v>0</v>
      </c>
      <c r="F216" s="134">
        <v>10672.9</v>
      </c>
      <c r="G216" s="135">
        <f t="shared" si="245"/>
        <v>-0.01671227071</v>
      </c>
      <c r="H216" s="135">
        <f>D216-G219</f>
        <v>-0.01024305155</v>
      </c>
      <c r="I216" s="136">
        <v>76.81</v>
      </c>
      <c r="J216" s="155">
        <f t="shared" si="246"/>
        <v>-0.03407947686</v>
      </c>
      <c r="K216" s="138" t="s">
        <v>27</v>
      </c>
      <c r="L216" s="139">
        <f>AVERAGEIFS(Sentiment!$K:$K, Sentiment!$C:$C, $A216, Sentiment!$J:$J, "YES")
</f>
        <v>0.18</v>
      </c>
      <c r="M216" s="139">
        <f>AVERAGEIFS(Sentiment!$K:$K, Sentiment!$C:$C, $A216, Sentiment!$J:$J, "YES")
</f>
        <v>0.18</v>
      </c>
      <c r="N216" s="140">
        <f t="shared" si="242"/>
        <v>1</v>
      </c>
      <c r="O216" s="139">
        <f>AVERAGEIFS(Sentiment!P:P, Sentiment!C:C, A216, Sentiment!J:J, "YES")
</f>
        <v>0.16</v>
      </c>
      <c r="P216" s="141">
        <v>0.16</v>
      </c>
      <c r="Q216" s="142">
        <f t="shared" si="243"/>
        <v>1</v>
      </c>
    </row>
    <row r="217">
      <c r="A217" s="130">
        <v>45507.0</v>
      </c>
      <c r="B217" s="143"/>
      <c r="C217" s="144"/>
      <c r="D217" s="144"/>
      <c r="E217" s="145"/>
      <c r="F217" s="146"/>
      <c r="G217" s="147"/>
      <c r="H217" s="147"/>
      <c r="I217" s="148"/>
      <c r="J217" s="160"/>
      <c r="K217" s="150" t="s">
        <v>27</v>
      </c>
      <c r="L217" s="151">
        <f>AVERAGEIFS(Sentiment!$K:$K, Sentiment!$C:$C, $A217, Sentiment!$J:$J, "YES")
</f>
        <v>-0.1</v>
      </c>
      <c r="M217" s="151"/>
      <c r="N217" s="157"/>
      <c r="O217" s="151">
        <f>AVERAGEIFS(Sentiment!P:P, Sentiment!C:C, A217, Sentiment!J:J, "YES")
</f>
        <v>0.4</v>
      </c>
      <c r="P217" s="158"/>
      <c r="Q217" s="159"/>
    </row>
    <row r="218">
      <c r="A218" s="130">
        <v>45508.0</v>
      </c>
      <c r="B218" s="131"/>
      <c r="C218" s="132"/>
      <c r="D218" s="132"/>
      <c r="E218" s="133"/>
      <c r="F218" s="134"/>
      <c r="G218" s="135"/>
      <c r="H218" s="135"/>
      <c r="I218" s="136"/>
      <c r="J218" s="137"/>
      <c r="K218" s="138" t="s">
        <v>27</v>
      </c>
      <c r="L218" s="139">
        <f>AVERAGEIFS(Sentiment!$K:$K, Sentiment!$C:$C, $A218, Sentiment!$J:$J, "YES")
</f>
        <v>-0.5</v>
      </c>
      <c r="M218" s="139"/>
      <c r="N218" s="140"/>
      <c r="O218" s="139">
        <f>AVERAGEIFS(Sentiment!P:P, Sentiment!C:C, A218, Sentiment!J:J, "YES")
</f>
        <v>-0.5</v>
      </c>
      <c r="P218" s="141"/>
      <c r="Q218" s="142"/>
    </row>
    <row r="219">
      <c r="A219" s="130">
        <v>45509.0</v>
      </c>
      <c r="B219" s="143">
        <v>12.36</v>
      </c>
      <c r="C219" s="144">
        <f>B219/B216-1</f>
        <v>-0.03362001564</v>
      </c>
      <c r="D219" s="144">
        <f t="shared" ref="D219:D222" si="247">C220</f>
        <v>0.002427184466</v>
      </c>
      <c r="E219" s="145">
        <f t="shared" ref="E219:E223" si="248">IF(D219&gt;0,1,0)</f>
        <v>1</v>
      </c>
      <c r="F219" s="146">
        <v>10423.4</v>
      </c>
      <c r="G219" s="147">
        <f>F219/F216-1</f>
        <v>-0.02337696409</v>
      </c>
      <c r="H219" s="147">
        <f t="shared" ref="H219:H222" si="249">D219-G220</f>
        <v>0.005583544195</v>
      </c>
      <c r="I219" s="148">
        <v>76.3</v>
      </c>
      <c r="J219" s="156">
        <f>I219/I216-1</f>
        <v>-0.006639760448</v>
      </c>
      <c r="K219" s="150" t="s">
        <v>27</v>
      </c>
      <c r="L219" s="151">
        <f>AVERAGEIFS(Sentiment!$K:$K, Sentiment!$C:$C, $A219, Sentiment!$J:$J, "YES")
</f>
        <v>0.05</v>
      </c>
      <c r="M219" s="152">
        <v>-0.08</v>
      </c>
      <c r="N219" s="153">
        <f t="shared" ref="N219:N223" si="250">IF(M219&gt;0,1,0)</f>
        <v>0</v>
      </c>
      <c r="O219" s="151">
        <f>AVERAGEIFS(Sentiment!P:P, Sentiment!C:C, A219, Sentiment!J:J, "YES")
</f>
        <v>0</v>
      </c>
      <c r="P219" s="152">
        <v>0.09</v>
      </c>
      <c r="Q219" s="154">
        <f t="shared" ref="Q219:Q223" si="251">IF(P219&gt;0,1,0)</f>
        <v>1</v>
      </c>
    </row>
    <row r="220">
      <c r="A220" s="130">
        <v>45510.0</v>
      </c>
      <c r="B220" s="131">
        <v>12.39</v>
      </c>
      <c r="C220" s="132">
        <f t="shared" ref="C220:C223" si="252">B220/B219-1</f>
        <v>0.002427184466</v>
      </c>
      <c r="D220" s="132">
        <f t="shared" si="247"/>
        <v>0.01775625504</v>
      </c>
      <c r="E220" s="133">
        <f t="shared" si="248"/>
        <v>1</v>
      </c>
      <c r="F220" s="134">
        <v>10390.5</v>
      </c>
      <c r="G220" s="135">
        <f t="shared" ref="G220:G223" si="253">F220/F219-1</f>
        <v>-0.003156359729</v>
      </c>
      <c r="H220" s="135">
        <f t="shared" si="249"/>
        <v>-0.00231015177</v>
      </c>
      <c r="I220" s="136">
        <v>76.48</v>
      </c>
      <c r="J220" s="155">
        <f t="shared" ref="J220:J223" si="254">I220/I219-1</f>
        <v>0.002359108781</v>
      </c>
      <c r="K220" s="138" t="s">
        <v>27</v>
      </c>
      <c r="L220" s="139">
        <f>AVERAGEIFS(Sentiment!$K:$K, Sentiment!$C:$C, $A220, Sentiment!$J:$J, "YES")
</f>
        <v>0.3666666667</v>
      </c>
      <c r="M220" s="139">
        <f>AVERAGEIFS(Sentiment!$K:$K, Sentiment!$C:$C, $A220, Sentiment!$J:$J, "YES")
</f>
        <v>0.3666666667</v>
      </c>
      <c r="N220" s="140">
        <f t="shared" si="250"/>
        <v>1</v>
      </c>
      <c r="O220" s="139">
        <f>AVERAGEIFS(Sentiment!P:P, Sentiment!C:C, A220, Sentiment!J:J, "YES")
</f>
        <v>0.1777777778</v>
      </c>
      <c r="P220" s="141">
        <v>0.17777777777777776</v>
      </c>
      <c r="Q220" s="142">
        <f t="shared" si="251"/>
        <v>1</v>
      </c>
    </row>
    <row r="221">
      <c r="A221" s="130">
        <v>45511.0</v>
      </c>
      <c r="B221" s="143">
        <v>12.61</v>
      </c>
      <c r="C221" s="144">
        <f t="shared" si="252"/>
        <v>0.01775625504</v>
      </c>
      <c r="D221" s="144">
        <f t="shared" si="247"/>
        <v>-0.001586042823</v>
      </c>
      <c r="E221" s="145">
        <f t="shared" si="248"/>
        <v>0</v>
      </c>
      <c r="F221" s="146">
        <v>10599.0</v>
      </c>
      <c r="G221" s="147">
        <f t="shared" si="253"/>
        <v>0.02006640681</v>
      </c>
      <c r="H221" s="147">
        <f t="shared" si="249"/>
        <v>0.002282246638</v>
      </c>
      <c r="I221" s="148">
        <v>78.33</v>
      </c>
      <c r="J221" s="156">
        <f t="shared" si="254"/>
        <v>0.02418933054</v>
      </c>
      <c r="K221" s="150" t="s">
        <v>27</v>
      </c>
      <c r="L221" s="151">
        <f>AVERAGEIFS(Sentiment!$K:$K, Sentiment!$C:$C, $A221, Sentiment!$J:$J, "YES")
</f>
        <v>0.44</v>
      </c>
      <c r="M221" s="151">
        <f>AVERAGEIFS(Sentiment!$K:$K, Sentiment!$C:$C, $A221, Sentiment!$J:$J, "YES")
</f>
        <v>0.44</v>
      </c>
      <c r="N221" s="157">
        <f t="shared" si="250"/>
        <v>1</v>
      </c>
      <c r="O221" s="151">
        <f>AVERAGEIFS(Sentiment!P:P, Sentiment!C:C, A221, Sentiment!J:J, "YES")
</f>
        <v>0.36</v>
      </c>
      <c r="P221" s="158">
        <v>0.36</v>
      </c>
      <c r="Q221" s="159">
        <f t="shared" si="251"/>
        <v>1</v>
      </c>
    </row>
    <row r="222">
      <c r="A222" s="130">
        <v>45512.0</v>
      </c>
      <c r="B222" s="131">
        <v>12.59</v>
      </c>
      <c r="C222" s="132">
        <f t="shared" si="252"/>
        <v>-0.001586042823</v>
      </c>
      <c r="D222" s="132">
        <f t="shared" si="247"/>
        <v>0.00714853058</v>
      </c>
      <c r="E222" s="133">
        <f t="shared" si="248"/>
        <v>1</v>
      </c>
      <c r="F222" s="134">
        <v>10558.0</v>
      </c>
      <c r="G222" s="135">
        <f t="shared" si="253"/>
        <v>-0.003868289461</v>
      </c>
      <c r="H222" s="135">
        <f t="shared" si="249"/>
        <v>-0.0004760195244</v>
      </c>
      <c r="I222" s="136">
        <v>79.16</v>
      </c>
      <c r="J222" s="155">
        <f t="shared" si="254"/>
        <v>0.01059619558</v>
      </c>
      <c r="K222" s="138" t="s">
        <v>27</v>
      </c>
      <c r="L222" s="139">
        <f>AVERAGEIFS(Sentiment!$K:$K, Sentiment!$C:$C, $A222, Sentiment!$J:$J, "YES")
</f>
        <v>0.03333333333</v>
      </c>
      <c r="M222" s="139">
        <f>AVERAGEIFS(Sentiment!$K:$K, Sentiment!$C:$C, $A222, Sentiment!$J:$J, "YES")
</f>
        <v>0.03333333333</v>
      </c>
      <c r="N222" s="140">
        <f t="shared" si="250"/>
        <v>1</v>
      </c>
      <c r="O222" s="139">
        <f>AVERAGEIFS(Sentiment!P:P, Sentiment!C:C, A222, Sentiment!J:J, "YES")
</f>
        <v>0.1666666667</v>
      </c>
      <c r="P222" s="141">
        <v>0.16666666666666666</v>
      </c>
      <c r="Q222" s="142">
        <f t="shared" si="251"/>
        <v>1</v>
      </c>
    </row>
    <row r="223">
      <c r="A223" s="130">
        <v>45513.0</v>
      </c>
      <c r="B223" s="143">
        <v>12.68</v>
      </c>
      <c r="C223" s="144">
        <f t="shared" si="252"/>
        <v>0.00714853058</v>
      </c>
      <c r="D223" s="144">
        <f>C226</f>
        <v>0.007097791798</v>
      </c>
      <c r="E223" s="145">
        <f t="shared" si="248"/>
        <v>1</v>
      </c>
      <c r="F223" s="146">
        <v>10638.5</v>
      </c>
      <c r="G223" s="147">
        <f t="shared" si="253"/>
        <v>0.007624550104</v>
      </c>
      <c r="H223" s="147">
        <f>D223-G226</f>
        <v>0.00637400555</v>
      </c>
      <c r="I223" s="148">
        <v>79.66</v>
      </c>
      <c r="J223" s="156">
        <f t="shared" si="254"/>
        <v>0.006316321374</v>
      </c>
      <c r="K223" s="150" t="s">
        <v>27</v>
      </c>
      <c r="L223" s="151">
        <f>AVERAGEIFS(Sentiment!$K:$K, Sentiment!$C:$C, $A223, Sentiment!$J:$J, "YES")
</f>
        <v>-0.5</v>
      </c>
      <c r="M223" s="151">
        <f>AVERAGEIFS(Sentiment!$K:$K, Sentiment!$C:$C, $A223, Sentiment!$J:$J, "YES")
</f>
        <v>-0.5</v>
      </c>
      <c r="N223" s="157">
        <f t="shared" si="250"/>
        <v>0</v>
      </c>
      <c r="O223" s="151">
        <f>AVERAGEIFS(Sentiment!P:P, Sentiment!C:C, A223, Sentiment!J:J, "YES")
</f>
        <v>-0.5666666667</v>
      </c>
      <c r="P223" s="158">
        <v>-0.5666666666666668</v>
      </c>
      <c r="Q223" s="159">
        <f t="shared" si="251"/>
        <v>0</v>
      </c>
    </row>
    <row r="224">
      <c r="A224" s="130">
        <v>45514.0</v>
      </c>
      <c r="B224" s="131"/>
      <c r="C224" s="132"/>
      <c r="D224" s="132"/>
      <c r="E224" s="133"/>
      <c r="F224" s="134"/>
      <c r="G224" s="135"/>
      <c r="H224" s="135"/>
      <c r="I224" s="136"/>
      <c r="J224" s="137"/>
      <c r="K224" s="138" t="s">
        <v>27</v>
      </c>
      <c r="L224" s="139">
        <f>AVERAGEIFS(Sentiment!$K:$K, Sentiment!$C:$C, $A224, Sentiment!$J:$J, "YES")
</f>
        <v>-0.1666666667</v>
      </c>
      <c r="M224" s="139"/>
      <c r="N224" s="140"/>
      <c r="O224" s="139">
        <f>AVERAGEIFS(Sentiment!P:P, Sentiment!C:C, A224, Sentiment!J:J, "YES")
</f>
        <v>0</v>
      </c>
      <c r="P224" s="141"/>
      <c r="Q224" s="142"/>
    </row>
    <row r="225">
      <c r="A225" s="130">
        <v>45515.0</v>
      </c>
      <c r="B225" s="143"/>
      <c r="C225" s="144"/>
      <c r="D225" s="144"/>
      <c r="E225" s="145"/>
      <c r="F225" s="146"/>
      <c r="G225" s="147"/>
      <c r="H225" s="147"/>
      <c r="I225" s="148"/>
      <c r="J225" s="160"/>
      <c r="K225" s="150" t="s">
        <v>27</v>
      </c>
      <c r="L225" s="151">
        <f>AVERAGEIFS(Sentiment!$K:$K, Sentiment!$C:$C, $A225, Sentiment!$J:$J, "YES")
</f>
        <v>0.35</v>
      </c>
      <c r="M225" s="151"/>
      <c r="N225" s="157"/>
      <c r="O225" s="151">
        <f>AVERAGEIFS(Sentiment!P:P, Sentiment!C:C, A225, Sentiment!J:J, "YES")
</f>
        <v>0.4</v>
      </c>
      <c r="P225" s="158"/>
      <c r="Q225" s="159"/>
    </row>
    <row r="226">
      <c r="A226" s="130">
        <v>45516.0</v>
      </c>
      <c r="B226" s="131">
        <v>12.77</v>
      </c>
      <c r="C226" s="132">
        <f>B226/B223-1</f>
        <v>0.007097791798</v>
      </c>
      <c r="D226" s="132">
        <f t="shared" ref="D226:D229" si="255">C227</f>
        <v>-0.0007830853563</v>
      </c>
      <c r="E226" s="133">
        <f t="shared" ref="E226:E230" si="256">IF(D226&gt;0,1,0)</f>
        <v>0</v>
      </c>
      <c r="F226" s="134">
        <v>10646.2</v>
      </c>
      <c r="G226" s="135">
        <f>F226/F223-1</f>
        <v>0.0007237862481</v>
      </c>
      <c r="H226" s="135">
        <f t="shared" ref="H226:H229" si="257">D226-G227</f>
        <v>-0.008072071098</v>
      </c>
      <c r="I226" s="136">
        <v>82.3</v>
      </c>
      <c r="J226" s="155">
        <f>I226/I223-1</f>
        <v>0.03314084861</v>
      </c>
      <c r="K226" s="138" t="s">
        <v>27</v>
      </c>
      <c r="L226" s="139">
        <f>AVERAGEIFS(Sentiment!$K:$K, Sentiment!$C:$C, $A226, Sentiment!$J:$J, "YES")
</f>
        <v>0.4333333333</v>
      </c>
      <c r="M226" s="152">
        <v>0.19</v>
      </c>
      <c r="N226" s="153">
        <f t="shared" ref="N226:N230" si="258">IF(M226&gt;0,1,0)</f>
        <v>1</v>
      </c>
      <c r="O226" s="139">
        <f>AVERAGEIFS(Sentiment!P:P, Sentiment!C:C, A226, Sentiment!J:J, "YES")
</f>
        <v>0.1</v>
      </c>
      <c r="P226" s="152">
        <v>0.14</v>
      </c>
      <c r="Q226" s="154">
        <f t="shared" ref="Q226:Q230" si="259">IF(P226&gt;0,1,0)</f>
        <v>1</v>
      </c>
    </row>
    <row r="227">
      <c r="A227" s="130">
        <v>45517.0</v>
      </c>
      <c r="B227" s="143">
        <v>12.76</v>
      </c>
      <c r="C227" s="144">
        <f t="shared" ref="C227:C230" si="260">B227/B226-1</f>
        <v>-0.0007830853563</v>
      </c>
      <c r="D227" s="144">
        <f t="shared" si="255"/>
        <v>-0.006269592476</v>
      </c>
      <c r="E227" s="145">
        <f t="shared" si="256"/>
        <v>0</v>
      </c>
      <c r="F227" s="146">
        <v>10723.8</v>
      </c>
      <c r="G227" s="147">
        <f t="shared" ref="G227:G230" si="261">F227/F226-1</f>
        <v>0.007288985741</v>
      </c>
      <c r="H227" s="147">
        <f t="shared" si="257"/>
        <v>-0.006269592476</v>
      </c>
      <c r="I227" s="148">
        <v>80.69</v>
      </c>
      <c r="J227" s="156">
        <f t="shared" ref="J227:J230" si="262">I227/I226-1</f>
        <v>-0.01956257594</v>
      </c>
      <c r="K227" s="150" t="s">
        <v>27</v>
      </c>
      <c r="L227" s="151">
        <f>AVERAGEIFS(Sentiment!$K:$K, Sentiment!$C:$C, $A227, Sentiment!$J:$J, "YES")
</f>
        <v>-0.12</v>
      </c>
      <c r="M227" s="151">
        <f>AVERAGEIFS(Sentiment!$K:$K, Sentiment!$C:$C, $A227, Sentiment!$J:$J, "YES")
</f>
        <v>-0.12</v>
      </c>
      <c r="N227" s="157">
        <f t="shared" si="258"/>
        <v>0</v>
      </c>
      <c r="O227" s="151">
        <f>AVERAGEIFS(Sentiment!P:P, Sentiment!C:C, A227, Sentiment!J:J, "YES")
</f>
        <v>-0.3</v>
      </c>
      <c r="P227" s="158">
        <v>-0.3</v>
      </c>
      <c r="Q227" s="159">
        <f t="shared" si="259"/>
        <v>0</v>
      </c>
    </row>
    <row r="228">
      <c r="A228" s="130">
        <v>45518.0</v>
      </c>
      <c r="B228" s="131">
        <v>12.68</v>
      </c>
      <c r="C228" s="132">
        <f t="shared" si="260"/>
        <v>-0.006269592476</v>
      </c>
      <c r="D228" s="132">
        <f t="shared" si="255"/>
        <v>0.01104100946</v>
      </c>
      <c r="E228" s="133">
        <f t="shared" si="256"/>
        <v>1</v>
      </c>
      <c r="F228" s="134">
        <v>10723.8</v>
      </c>
      <c r="G228" s="135">
        <f t="shared" si="261"/>
        <v>0</v>
      </c>
      <c r="H228" s="135">
        <f t="shared" si="257"/>
        <v>-0.004046925783</v>
      </c>
      <c r="I228" s="136">
        <v>79.76</v>
      </c>
      <c r="J228" s="155">
        <f t="shared" si="262"/>
        <v>-0.01152559177</v>
      </c>
      <c r="K228" s="138" t="s">
        <v>27</v>
      </c>
      <c r="L228" s="139">
        <f>AVERAGEIFS(Sentiment!$K:$K, Sentiment!$C:$C, $A228, Sentiment!$J:$J, "YES")
</f>
        <v>-0.1625</v>
      </c>
      <c r="M228" s="139">
        <f>AVERAGEIFS(Sentiment!$K:$K, Sentiment!$C:$C, $A228, Sentiment!$J:$J, "YES")
</f>
        <v>-0.1625</v>
      </c>
      <c r="N228" s="140">
        <f t="shared" si="258"/>
        <v>0</v>
      </c>
      <c r="O228" s="139">
        <f>AVERAGEIFS(Sentiment!P:P, Sentiment!C:C, A228, Sentiment!J:J, "YES")
</f>
        <v>-0.2875</v>
      </c>
      <c r="P228" s="141">
        <v>-0.28750000000000003</v>
      </c>
      <c r="Q228" s="142">
        <f t="shared" si="259"/>
        <v>0</v>
      </c>
    </row>
    <row r="229">
      <c r="A229" s="130">
        <v>45519.0</v>
      </c>
      <c r="B229" s="143">
        <v>12.82</v>
      </c>
      <c r="C229" s="144">
        <f t="shared" si="260"/>
        <v>0.01104100946</v>
      </c>
      <c r="D229" s="144">
        <f t="shared" si="255"/>
        <v>-0.002340093604</v>
      </c>
      <c r="E229" s="145">
        <f t="shared" si="256"/>
        <v>0</v>
      </c>
      <c r="F229" s="146">
        <v>10885.6</v>
      </c>
      <c r="G229" s="147">
        <f t="shared" si="261"/>
        <v>0.01508793525</v>
      </c>
      <c r="H229" s="147">
        <f t="shared" si="257"/>
        <v>-0.008228606869</v>
      </c>
      <c r="I229" s="148">
        <v>81.04</v>
      </c>
      <c r="J229" s="156">
        <f t="shared" si="262"/>
        <v>0.01604814443</v>
      </c>
      <c r="K229" s="150" t="s">
        <v>27</v>
      </c>
      <c r="L229" s="151">
        <f>AVERAGEIFS(Sentiment!$K:$K, Sentiment!$C:$C, $A229, Sentiment!$J:$J, "YES")
</f>
        <v>-0.3</v>
      </c>
      <c r="M229" s="151">
        <f>AVERAGEIFS(Sentiment!$K:$K, Sentiment!$C:$C, $A229, Sentiment!$J:$J, "YES")
</f>
        <v>-0.3</v>
      </c>
      <c r="N229" s="157">
        <f t="shared" si="258"/>
        <v>0</v>
      </c>
      <c r="O229" s="151">
        <f>AVERAGEIFS(Sentiment!P:P, Sentiment!C:C, A229, Sentiment!J:J, "YES")
</f>
        <v>0</v>
      </c>
      <c r="P229" s="158">
        <v>0.0</v>
      </c>
      <c r="Q229" s="159">
        <f t="shared" si="259"/>
        <v>0</v>
      </c>
    </row>
    <row r="230">
      <c r="A230" s="130">
        <v>45520.0</v>
      </c>
      <c r="B230" s="131">
        <v>12.79</v>
      </c>
      <c r="C230" s="132">
        <f t="shared" si="260"/>
        <v>-0.002340093604</v>
      </c>
      <c r="D230" s="132">
        <f>C233</f>
        <v>0.003909304144</v>
      </c>
      <c r="E230" s="133">
        <f t="shared" si="256"/>
        <v>1</v>
      </c>
      <c r="F230" s="134">
        <v>10949.7</v>
      </c>
      <c r="G230" s="135">
        <f t="shared" si="261"/>
        <v>0.005888513265</v>
      </c>
      <c r="H230" s="135">
        <f>D230-G233</f>
        <v>-0.01004541608</v>
      </c>
      <c r="I230" s="136">
        <v>79.68</v>
      </c>
      <c r="J230" s="155">
        <f t="shared" si="262"/>
        <v>-0.01678183613</v>
      </c>
      <c r="K230" s="138" t="s">
        <v>27</v>
      </c>
      <c r="L230" s="139">
        <f>AVERAGEIFS(Sentiment!$K:$K, Sentiment!$C:$C, $A230, Sentiment!$J:$J, "YES")
</f>
        <v>0.3</v>
      </c>
      <c r="M230" s="139">
        <f>AVERAGEIFS(Sentiment!$K:$K, Sentiment!$C:$C, $A230, Sentiment!$J:$J, "YES")
</f>
        <v>0.3</v>
      </c>
      <c r="N230" s="140">
        <f t="shared" si="258"/>
        <v>1</v>
      </c>
      <c r="O230" s="139">
        <f>AVERAGEIFS(Sentiment!P:P, Sentiment!C:C, A230, Sentiment!J:J, "YES")
</f>
        <v>-0.45</v>
      </c>
      <c r="P230" s="141">
        <v>-0.45</v>
      </c>
      <c r="Q230" s="142">
        <f t="shared" si="259"/>
        <v>0</v>
      </c>
    </row>
    <row r="231">
      <c r="A231" s="130">
        <v>45521.0</v>
      </c>
      <c r="B231" s="143"/>
      <c r="C231" s="144"/>
      <c r="D231" s="144"/>
      <c r="E231" s="145"/>
      <c r="F231" s="146"/>
      <c r="G231" s="147"/>
      <c r="H231" s="147"/>
      <c r="I231" s="148"/>
      <c r="J231" s="160"/>
      <c r="K231" s="150" t="s">
        <v>27</v>
      </c>
      <c r="L231" s="151">
        <f>AVERAGEIFS(Sentiment!$K:$K, Sentiment!$C:$C, $A231, Sentiment!$J:$J, "YES")
</f>
        <v>0.6</v>
      </c>
      <c r="M231" s="151"/>
      <c r="N231" s="157"/>
      <c r="O231" s="151">
        <f>AVERAGEIFS(Sentiment!P:P, Sentiment!C:C, A231, Sentiment!J:J, "YES")
</f>
        <v>0</v>
      </c>
      <c r="P231" s="158"/>
      <c r="Q231" s="159"/>
    </row>
    <row r="232">
      <c r="A232" s="130">
        <v>45522.0</v>
      </c>
      <c r="B232" s="131"/>
      <c r="C232" s="132"/>
      <c r="D232" s="132"/>
      <c r="E232" s="133"/>
      <c r="F232" s="134"/>
      <c r="G232" s="135"/>
      <c r="H232" s="135"/>
      <c r="I232" s="136"/>
      <c r="J232" s="137"/>
      <c r="K232" s="138" t="s">
        <v>27</v>
      </c>
      <c r="L232" s="139">
        <f>AVERAGEIFS(Sentiment!$K:$K, Sentiment!$C:$C, $A232, Sentiment!$J:$J, "YES")
</f>
        <v>0.6</v>
      </c>
      <c r="M232" s="139"/>
      <c r="N232" s="140"/>
      <c r="O232" s="139">
        <f>AVERAGEIFS(Sentiment!P:P, Sentiment!C:C, A232, Sentiment!J:J, "YES")
</f>
        <v>0</v>
      </c>
      <c r="P232" s="141"/>
      <c r="Q232" s="142"/>
    </row>
    <row r="233">
      <c r="A233" s="130">
        <v>45523.0</v>
      </c>
      <c r="B233" s="143">
        <v>12.84</v>
      </c>
      <c r="C233" s="144">
        <f>B233/B230-1</f>
        <v>0.003909304144</v>
      </c>
      <c r="D233" s="144">
        <f t="shared" ref="D233:D236" si="263">C234</f>
        <v>-0.01168224299</v>
      </c>
      <c r="E233" s="145">
        <f t="shared" ref="E233:E237" si="264">IF(D233&gt;0,1,0)</f>
        <v>0</v>
      </c>
      <c r="F233" s="146">
        <v>11102.5</v>
      </c>
      <c r="G233" s="147">
        <f>F233/F230-1</f>
        <v>0.01395472022</v>
      </c>
      <c r="H233" s="147">
        <f t="shared" ref="H233:H236" si="265">D233-G234</f>
        <v>-0.01035821687</v>
      </c>
      <c r="I233" s="148">
        <v>77.66</v>
      </c>
      <c r="J233" s="156">
        <f>I233/I230-1</f>
        <v>-0.02535140562</v>
      </c>
      <c r="K233" s="150" t="s">
        <v>27</v>
      </c>
      <c r="L233" s="151">
        <f>AVERAGEIFS(Sentiment!$K:$K, Sentiment!$C:$C, $A233, Sentiment!$J:$J, "YES")
</f>
        <v>-0.6</v>
      </c>
      <c r="M233" s="152">
        <v>0.3</v>
      </c>
      <c r="N233" s="153">
        <f t="shared" ref="N233:N237" si="266">IF(M233&gt;0,1,0)</f>
        <v>1</v>
      </c>
      <c r="O233" s="151">
        <f>AVERAGEIFS(Sentiment!P:P, Sentiment!C:C, A233, Sentiment!J:J, "YES")
</f>
        <v>-0.8</v>
      </c>
      <c r="P233" s="152">
        <v>-0.2</v>
      </c>
      <c r="Q233" s="154">
        <f t="shared" ref="Q233:Q237" si="267">IF(P233&gt;0,1,0)</f>
        <v>0</v>
      </c>
    </row>
    <row r="234">
      <c r="A234" s="130">
        <v>45524.0</v>
      </c>
      <c r="B234" s="131">
        <v>12.69</v>
      </c>
      <c r="C234" s="132">
        <f t="shared" ref="C234:C237" si="268">B234/B233-1</f>
        <v>-0.01168224299</v>
      </c>
      <c r="D234" s="132">
        <f t="shared" si="263"/>
        <v>-0.007880220646</v>
      </c>
      <c r="E234" s="133">
        <f t="shared" si="264"/>
        <v>0</v>
      </c>
      <c r="F234" s="134">
        <v>11087.8</v>
      </c>
      <c r="G234" s="135">
        <f t="shared" ref="G234:G237" si="269">F234/F233-1</f>
        <v>-0.00132402612</v>
      </c>
      <c r="H234" s="135">
        <f t="shared" si="265"/>
        <v>-0.007880220646</v>
      </c>
      <c r="I234" s="136">
        <v>77.2</v>
      </c>
      <c r="J234" s="155">
        <f t="shared" ref="J234:J237" si="270">I234/I233-1</f>
        <v>-0.005923255215</v>
      </c>
      <c r="K234" s="138" t="s">
        <v>27</v>
      </c>
      <c r="L234" s="139">
        <f>AVERAGEIFS(Sentiment!$K:$K, Sentiment!$C:$C, $A234, Sentiment!$J:$J, "YES")
</f>
        <v>0.04</v>
      </c>
      <c r="M234" s="139">
        <f>AVERAGEIFS(Sentiment!$K:$K, Sentiment!$C:$C, $A234, Sentiment!$J:$J, "YES")
</f>
        <v>0.04</v>
      </c>
      <c r="N234" s="140">
        <f t="shared" si="266"/>
        <v>1</v>
      </c>
      <c r="O234" s="139">
        <f>AVERAGEIFS(Sentiment!P:P, Sentiment!C:C, A234, Sentiment!J:J, "YES")
</f>
        <v>0</v>
      </c>
      <c r="P234" s="141">
        <v>-1.1102230246251566E-17</v>
      </c>
      <c r="Q234" s="142">
        <f t="shared" si="267"/>
        <v>0</v>
      </c>
    </row>
    <row r="235">
      <c r="A235" s="130">
        <v>45525.0</v>
      </c>
      <c r="B235" s="143">
        <v>12.59</v>
      </c>
      <c r="C235" s="144">
        <f t="shared" si="268"/>
        <v>-0.007880220646</v>
      </c>
      <c r="D235" s="144">
        <f t="shared" si="263"/>
        <v>-0.003177124702</v>
      </c>
      <c r="E235" s="145">
        <f t="shared" si="264"/>
        <v>0</v>
      </c>
      <c r="F235" s="146">
        <v>11087.8</v>
      </c>
      <c r="G235" s="147">
        <f t="shared" si="269"/>
        <v>0</v>
      </c>
      <c r="H235" s="147">
        <f t="shared" si="265"/>
        <v>-0.009355086065</v>
      </c>
      <c r="I235" s="148">
        <v>76.05</v>
      </c>
      <c r="J235" s="156">
        <f t="shared" si="270"/>
        <v>-0.01489637306</v>
      </c>
      <c r="K235" s="150" t="s">
        <v>27</v>
      </c>
      <c r="L235" s="151">
        <f>AVERAGEIFS(Sentiment!$K:$K, Sentiment!$C:$C, $A235, Sentiment!$J:$J, "YES")
</f>
        <v>0.3</v>
      </c>
      <c r="M235" s="151">
        <f>AVERAGEIFS(Sentiment!$K:$K, Sentiment!$C:$C, $A235, Sentiment!$J:$J, "YES")
</f>
        <v>0.3</v>
      </c>
      <c r="N235" s="157">
        <f t="shared" si="266"/>
        <v>1</v>
      </c>
      <c r="O235" s="151">
        <f>AVERAGEIFS(Sentiment!P:P, Sentiment!C:C, A235, Sentiment!J:J, "YES")
</f>
        <v>0.1</v>
      </c>
      <c r="P235" s="158">
        <v>0.1</v>
      </c>
      <c r="Q235" s="159">
        <f t="shared" si="267"/>
        <v>1</v>
      </c>
    </row>
    <row r="236">
      <c r="A236" s="130">
        <v>45526.0</v>
      </c>
      <c r="B236" s="131">
        <v>12.55</v>
      </c>
      <c r="C236" s="132">
        <f t="shared" si="268"/>
        <v>-0.003177124702</v>
      </c>
      <c r="D236" s="132">
        <f t="shared" si="263"/>
        <v>0.006374501992</v>
      </c>
      <c r="E236" s="133">
        <f t="shared" si="264"/>
        <v>1</v>
      </c>
      <c r="F236" s="134">
        <v>11156.3</v>
      </c>
      <c r="G236" s="135">
        <f t="shared" si="269"/>
        <v>0.006177961363</v>
      </c>
      <c r="H236" s="135">
        <f t="shared" si="265"/>
        <v>-0.004543096136</v>
      </c>
      <c r="I236" s="136">
        <v>77.22</v>
      </c>
      <c r="J236" s="155">
        <f t="shared" si="270"/>
        <v>0.01538461538</v>
      </c>
      <c r="K236" s="138" t="s">
        <v>27</v>
      </c>
      <c r="L236" s="139">
        <f>AVERAGEIFS(Sentiment!$K:$K, Sentiment!$C:$C, $A236, Sentiment!$J:$J, "YES")
</f>
        <v>0.7</v>
      </c>
      <c r="M236" s="139">
        <f>AVERAGEIFS(Sentiment!$K:$K, Sentiment!$C:$C, $A236, Sentiment!$J:$J, "YES")
</f>
        <v>0.7</v>
      </c>
      <c r="N236" s="140">
        <f t="shared" si="266"/>
        <v>1</v>
      </c>
      <c r="O236" s="139">
        <f>AVERAGEIFS(Sentiment!P:P, Sentiment!C:C, A236, Sentiment!J:J, "YES")
</f>
        <v>0.3</v>
      </c>
      <c r="P236" s="141">
        <v>0.3</v>
      </c>
      <c r="Q236" s="142">
        <f t="shared" si="267"/>
        <v>1</v>
      </c>
    </row>
    <row r="237">
      <c r="A237" s="130">
        <v>45527.0</v>
      </c>
      <c r="B237" s="143">
        <v>12.63</v>
      </c>
      <c r="C237" s="144">
        <f t="shared" si="268"/>
        <v>0.006374501992</v>
      </c>
      <c r="D237" s="144">
        <f>C240</f>
        <v>0.003167062549</v>
      </c>
      <c r="E237" s="145">
        <f t="shared" si="264"/>
        <v>1</v>
      </c>
      <c r="F237" s="146">
        <v>11278.1</v>
      </c>
      <c r="G237" s="147">
        <f t="shared" si="269"/>
        <v>0.01091759813</v>
      </c>
      <c r="H237" s="147">
        <f>D237-G240</f>
        <v>0.004284272009</v>
      </c>
      <c r="I237" s="148">
        <v>79.02</v>
      </c>
      <c r="J237" s="156">
        <f t="shared" si="270"/>
        <v>0.02331002331</v>
      </c>
      <c r="K237" s="150" t="s">
        <v>27</v>
      </c>
      <c r="L237" s="151">
        <f>AVERAGEIFS(Sentiment!$K:$K, Sentiment!$C:$C, $A237, Sentiment!$J:$J, "YES")
</f>
        <v>0.35</v>
      </c>
      <c r="M237" s="151">
        <f>AVERAGEIFS(Sentiment!$K:$K, Sentiment!$C:$C, $A237, Sentiment!$J:$J, "YES")
</f>
        <v>0.35</v>
      </c>
      <c r="N237" s="157">
        <f t="shared" si="266"/>
        <v>1</v>
      </c>
      <c r="O237" s="151">
        <f>AVERAGEIFS(Sentiment!P:P, Sentiment!C:C, A237, Sentiment!J:J, "YES")
</f>
        <v>0</v>
      </c>
      <c r="P237" s="158">
        <v>0.0</v>
      </c>
      <c r="Q237" s="159">
        <f t="shared" si="267"/>
        <v>0</v>
      </c>
    </row>
    <row r="238">
      <c r="A238" s="130">
        <v>45528.0</v>
      </c>
      <c r="B238" s="131"/>
      <c r="C238" s="132"/>
      <c r="D238" s="132"/>
      <c r="E238" s="133"/>
      <c r="F238" s="134"/>
      <c r="G238" s="135"/>
      <c r="H238" s="135"/>
      <c r="I238" s="136"/>
      <c r="J238" s="137"/>
      <c r="K238" s="138" t="s">
        <v>27</v>
      </c>
      <c r="L238" s="139">
        <v>0.0</v>
      </c>
      <c r="M238" s="139"/>
      <c r="N238" s="140"/>
      <c r="O238" s="170">
        <v>0.0</v>
      </c>
      <c r="P238" s="173"/>
      <c r="Q238" s="174"/>
    </row>
    <row r="239">
      <c r="A239" s="130">
        <v>45529.0</v>
      </c>
      <c r="B239" s="143"/>
      <c r="C239" s="144"/>
      <c r="D239" s="144"/>
      <c r="E239" s="145"/>
      <c r="F239" s="146"/>
      <c r="G239" s="147"/>
      <c r="H239" s="147"/>
      <c r="I239" s="148"/>
      <c r="J239" s="160"/>
      <c r="K239" s="150" t="s">
        <v>27</v>
      </c>
      <c r="L239" s="151">
        <f>AVERAGEIFS(Sentiment!$K:$K, Sentiment!$C:$C, $A239, Sentiment!$J:$J, "YES")
</f>
        <v>0.6</v>
      </c>
      <c r="M239" s="151"/>
      <c r="N239" s="157"/>
      <c r="O239" s="151">
        <f>AVERAGEIFS(Sentiment!P:P, Sentiment!C:C, A239, Sentiment!J:J, "YES")
</f>
        <v>0.3</v>
      </c>
      <c r="P239" s="158"/>
      <c r="Q239" s="159"/>
    </row>
    <row r="240">
      <c r="A240" s="130">
        <v>45530.0</v>
      </c>
      <c r="B240" s="131">
        <v>12.67</v>
      </c>
      <c r="C240" s="132">
        <f>B240/B237-1</f>
        <v>0.003167062549</v>
      </c>
      <c r="D240" s="132">
        <f t="shared" ref="D240:D243" si="271">C241</f>
        <v>-0.002367797948</v>
      </c>
      <c r="E240" s="133">
        <f t="shared" ref="E240:E244" si="272">IF(D240&gt;0,1,0)</f>
        <v>0</v>
      </c>
      <c r="F240" s="134">
        <v>11265.5</v>
      </c>
      <c r="G240" s="135">
        <f>F240/F237-1</f>
        <v>-0.001117209459</v>
      </c>
      <c r="H240" s="135">
        <f t="shared" ref="H240:H243" si="273">D240-G241</f>
        <v>-0.007818066467</v>
      </c>
      <c r="I240" s="136">
        <v>81.43</v>
      </c>
      <c r="J240" s="155">
        <f>I240/I237-1</f>
        <v>0.03049860795</v>
      </c>
      <c r="K240" s="138" t="s">
        <v>27</v>
      </c>
      <c r="L240" s="139">
        <f>AVERAGEIFS(Sentiment!$K:$K, Sentiment!$C:$C, $A240, Sentiment!$J:$J, "YES")
</f>
        <v>0.5636363636</v>
      </c>
      <c r="M240" s="152">
        <v>0.57</v>
      </c>
      <c r="N240" s="153">
        <f t="shared" ref="N240:N244" si="274">IF(M240&gt;0,1,0)</f>
        <v>1</v>
      </c>
      <c r="O240" s="139">
        <f>AVERAGEIFS(Sentiment!P:P, Sentiment!C:C, A240, Sentiment!J:J, "YES")
</f>
        <v>0.4636363636</v>
      </c>
      <c r="P240" s="152">
        <v>0.45</v>
      </c>
      <c r="Q240" s="154">
        <f t="shared" ref="Q240:Q244" si="275">IF(P240&gt;0,1,0)</f>
        <v>1</v>
      </c>
    </row>
    <row r="241">
      <c r="A241" s="130">
        <v>45531.0</v>
      </c>
      <c r="B241" s="143">
        <v>12.64</v>
      </c>
      <c r="C241" s="144">
        <f t="shared" ref="C241:C244" si="276">B241/B240-1</f>
        <v>-0.002367797948</v>
      </c>
      <c r="D241" s="144">
        <f t="shared" si="271"/>
        <v>-0.01503164557</v>
      </c>
      <c r="E241" s="145">
        <f t="shared" si="272"/>
        <v>0</v>
      </c>
      <c r="F241" s="146">
        <v>11326.9</v>
      </c>
      <c r="G241" s="147">
        <f t="shared" ref="G241:G244" si="277">F241/F240-1</f>
        <v>0.005450268519</v>
      </c>
      <c r="H241" s="147">
        <f t="shared" si="273"/>
        <v>-0.01548190116</v>
      </c>
      <c r="I241" s="148">
        <v>79.55</v>
      </c>
      <c r="J241" s="156">
        <f t="shared" ref="J241:J244" si="278">I241/I240-1</f>
        <v>-0.02308731426</v>
      </c>
      <c r="K241" s="150" t="s">
        <v>27</v>
      </c>
      <c r="L241" s="151">
        <f>AVERAGEIFS(Sentiment!$K:$K, Sentiment!$C:$C, $A241, Sentiment!$J:$J, "YES")
</f>
        <v>0.3</v>
      </c>
      <c r="M241" s="151">
        <f>AVERAGEIFS(Sentiment!$K:$K, Sentiment!$C:$C, $A241, Sentiment!$J:$J, "YES")
</f>
        <v>0.3</v>
      </c>
      <c r="N241" s="157">
        <f t="shared" si="274"/>
        <v>1</v>
      </c>
      <c r="O241" s="151">
        <f>AVERAGEIFS(Sentiment!P:P, Sentiment!C:C, A241, Sentiment!J:J, "YES")
</f>
        <v>0.2</v>
      </c>
      <c r="P241" s="158">
        <v>0.20000000000000004</v>
      </c>
      <c r="Q241" s="159">
        <f t="shared" si="275"/>
        <v>1</v>
      </c>
    </row>
    <row r="242">
      <c r="A242" s="130">
        <v>45532.0</v>
      </c>
      <c r="B242" s="131">
        <v>12.45</v>
      </c>
      <c r="C242" s="132">
        <f t="shared" si="276"/>
        <v>-0.01503164557</v>
      </c>
      <c r="D242" s="132">
        <f t="shared" si="271"/>
        <v>-0.0008032128514</v>
      </c>
      <c r="E242" s="133">
        <f t="shared" si="272"/>
        <v>0</v>
      </c>
      <c r="F242" s="134">
        <v>11332.0</v>
      </c>
      <c r="G242" s="135">
        <f t="shared" si="277"/>
        <v>0.0004502555863</v>
      </c>
      <c r="H242" s="135">
        <f t="shared" si="273"/>
        <v>-0.003150547832</v>
      </c>
      <c r="I242" s="136">
        <v>78.65</v>
      </c>
      <c r="J242" s="155">
        <f t="shared" si="278"/>
        <v>-0.01131363922</v>
      </c>
      <c r="K242" s="138" t="s">
        <v>27</v>
      </c>
      <c r="L242" s="139">
        <f>AVERAGEIFS(Sentiment!$K:$K, Sentiment!$C:$C, $A242, Sentiment!$J:$J, "YES")
</f>
        <v>0.4166666667</v>
      </c>
      <c r="M242" s="139">
        <f>AVERAGEIFS(Sentiment!$K:$K, Sentiment!$C:$C, $A242, Sentiment!$J:$J, "YES")
</f>
        <v>0.4166666667</v>
      </c>
      <c r="N242" s="140">
        <f t="shared" si="274"/>
        <v>1</v>
      </c>
      <c r="O242" s="139">
        <f>AVERAGEIFS(Sentiment!P:P, Sentiment!C:C, A242, Sentiment!J:J, "YES")
</f>
        <v>-0.2166666667</v>
      </c>
      <c r="P242" s="141">
        <v>-0.21666666666666667</v>
      </c>
      <c r="Q242" s="142">
        <f t="shared" si="275"/>
        <v>0</v>
      </c>
    </row>
    <row r="243">
      <c r="A243" s="130">
        <v>45533.0</v>
      </c>
      <c r="B243" s="143">
        <v>12.44</v>
      </c>
      <c r="C243" s="144">
        <f t="shared" si="276"/>
        <v>-0.0008032128514</v>
      </c>
      <c r="D243" s="144">
        <f t="shared" si="271"/>
        <v>0.001607717042</v>
      </c>
      <c r="E243" s="145">
        <f t="shared" si="272"/>
        <v>1</v>
      </c>
      <c r="F243" s="146">
        <v>11358.6</v>
      </c>
      <c r="G243" s="147">
        <f t="shared" si="277"/>
        <v>0.002347334981</v>
      </c>
      <c r="H243" s="147">
        <f t="shared" si="273"/>
        <v>-0.002204372476</v>
      </c>
      <c r="I243" s="148">
        <v>79.94</v>
      </c>
      <c r="J243" s="156">
        <f t="shared" si="278"/>
        <v>0.01640178004</v>
      </c>
      <c r="K243" s="150" t="s">
        <v>27</v>
      </c>
      <c r="L243" s="151">
        <f>AVERAGEIFS(Sentiment!$K:$K, Sentiment!$C:$C, $A243, Sentiment!$J:$J, "YES")
</f>
        <v>0.03333333333</v>
      </c>
      <c r="M243" s="151">
        <f>AVERAGEIFS(Sentiment!$K:$K, Sentiment!$C:$C, $A243, Sentiment!$J:$J, "YES")
</f>
        <v>0.03333333333</v>
      </c>
      <c r="N243" s="157">
        <f t="shared" si="274"/>
        <v>1</v>
      </c>
      <c r="O243" s="151">
        <f>AVERAGEIFS(Sentiment!P:P, Sentiment!C:C, A243, Sentiment!J:J, "YES")
</f>
        <v>-0.1166666667</v>
      </c>
      <c r="P243" s="158">
        <v>-0.11666666666666668</v>
      </c>
      <c r="Q243" s="159">
        <f t="shared" si="275"/>
        <v>0</v>
      </c>
    </row>
    <row r="244">
      <c r="A244" s="130">
        <v>45534.0</v>
      </c>
      <c r="B244" s="131">
        <v>12.46</v>
      </c>
      <c r="C244" s="132">
        <f t="shared" si="276"/>
        <v>0.001607717042</v>
      </c>
      <c r="D244" s="132">
        <f>C247</f>
        <v>-0.004012841091</v>
      </c>
      <c r="E244" s="133">
        <f t="shared" si="272"/>
        <v>0</v>
      </c>
      <c r="F244" s="134">
        <v>11401.9</v>
      </c>
      <c r="G244" s="135">
        <f t="shared" si="277"/>
        <v>0.003812089518</v>
      </c>
      <c r="H244" s="135">
        <f>D244-G247</f>
        <v>-0.003433990198</v>
      </c>
      <c r="I244" s="136">
        <v>78.8</v>
      </c>
      <c r="J244" s="155">
        <f t="shared" si="278"/>
        <v>-0.01426069552</v>
      </c>
      <c r="K244" s="138" t="s">
        <v>27</v>
      </c>
      <c r="L244" s="139">
        <f>AVERAGEIFS(Sentiment!$K:$K, Sentiment!$C:$C, $A244, Sentiment!$J:$J, "YES")
</f>
        <v>0.35</v>
      </c>
      <c r="M244" s="139">
        <f>AVERAGEIFS(Sentiment!$K:$K, Sentiment!$C:$C, $A244, Sentiment!$J:$J, "YES")
</f>
        <v>0.35</v>
      </c>
      <c r="N244" s="140">
        <f t="shared" si="274"/>
        <v>1</v>
      </c>
      <c r="O244" s="139">
        <f>AVERAGEIFS(Sentiment!P:P, Sentiment!C:C, A244, Sentiment!J:J, "YES")
</f>
        <v>0</v>
      </c>
      <c r="P244" s="141">
        <v>0.0</v>
      </c>
      <c r="Q244" s="142">
        <f t="shared" si="275"/>
        <v>0</v>
      </c>
    </row>
    <row r="245">
      <c r="A245" s="130">
        <v>45535.0</v>
      </c>
      <c r="B245" s="143"/>
      <c r="C245" s="144"/>
      <c r="D245" s="144"/>
      <c r="E245" s="145"/>
      <c r="F245" s="146"/>
      <c r="G245" s="147"/>
      <c r="H245" s="147"/>
      <c r="I245" s="148"/>
      <c r="J245" s="160"/>
      <c r="K245" s="150" t="s">
        <v>27</v>
      </c>
      <c r="L245" s="151">
        <f>AVERAGEIFS(Sentiment!$K:$K, Sentiment!$C:$C, $A245, Sentiment!$J:$J, "YES")
</f>
        <v>0.1666666667</v>
      </c>
      <c r="M245" s="151"/>
      <c r="N245" s="157"/>
      <c r="O245" s="151">
        <f>AVERAGEIFS(Sentiment!P:P, Sentiment!C:C, A245, Sentiment!J:J, "YES")
</f>
        <v>0.1</v>
      </c>
      <c r="P245" s="158"/>
      <c r="Q245" s="159"/>
    </row>
    <row r="246">
      <c r="A246" s="130">
        <v>45536.0</v>
      </c>
      <c r="B246" s="131"/>
      <c r="C246" s="132"/>
      <c r="D246" s="132"/>
      <c r="E246" s="133"/>
      <c r="F246" s="134"/>
      <c r="G246" s="135"/>
      <c r="H246" s="135"/>
      <c r="I246" s="136"/>
      <c r="J246" s="137"/>
      <c r="K246" s="138" t="s">
        <v>27</v>
      </c>
      <c r="L246" s="139">
        <f>AVERAGEIFS(Sentiment!$K:$K, Sentiment!$C:$C, $A246, Sentiment!$J:$J, "YES")
</f>
        <v>0.65</v>
      </c>
      <c r="M246" s="139"/>
      <c r="N246" s="140"/>
      <c r="O246" s="139">
        <f>AVERAGEIFS(Sentiment!P:P, Sentiment!C:C, A246, Sentiment!J:J, "YES")
</f>
        <v>0.325</v>
      </c>
      <c r="P246" s="141"/>
      <c r="Q246" s="142"/>
    </row>
    <row r="247">
      <c r="A247" s="130">
        <v>45537.0</v>
      </c>
      <c r="B247" s="143">
        <v>12.41</v>
      </c>
      <c r="C247" s="144">
        <f>B247/B244-1</f>
        <v>-0.004012841091</v>
      </c>
      <c r="D247" s="144">
        <f t="shared" ref="D247:D250" si="279">C248</f>
        <v>-0.02739726027</v>
      </c>
      <c r="E247" s="145">
        <f t="shared" ref="E247:E251" si="280">IF(D247&gt;0,1,0)</f>
        <v>0</v>
      </c>
      <c r="F247" s="146">
        <v>11395.3</v>
      </c>
      <c r="G247" s="147">
        <f>F247/F244-1</f>
        <v>-0.0005788508933</v>
      </c>
      <c r="H247" s="147">
        <f t="shared" ref="H247:H250" si="281">D247-G248</f>
        <v>-0.01720884926</v>
      </c>
      <c r="I247" s="148">
        <v>77.52</v>
      </c>
      <c r="J247" s="156">
        <f>I247/I244-1</f>
        <v>-0.01624365482</v>
      </c>
      <c r="K247" s="150" t="s">
        <v>27</v>
      </c>
      <c r="L247" s="151">
        <f>AVERAGEIFS(Sentiment!$K:$K, Sentiment!$C:$C, $A247, Sentiment!$J:$J, "YES")
</f>
        <v>0.2</v>
      </c>
      <c r="M247" s="152">
        <v>0.34</v>
      </c>
      <c r="N247" s="153">
        <f t="shared" ref="N247:N251" si="282">IF(M247&gt;0,1,0)</f>
        <v>1</v>
      </c>
      <c r="O247" s="151">
        <f>AVERAGEIFS(Sentiment!P:P, Sentiment!C:C, A247, Sentiment!J:J, "YES")
</f>
        <v>0.28</v>
      </c>
      <c r="P247" s="152">
        <v>0.25</v>
      </c>
      <c r="Q247" s="154">
        <f t="shared" ref="Q247:Q251" si="283">IF(P247&gt;0,1,0)</f>
        <v>1</v>
      </c>
    </row>
    <row r="248">
      <c r="A248" s="130">
        <v>45538.0</v>
      </c>
      <c r="B248" s="131">
        <v>12.07</v>
      </c>
      <c r="C248" s="132">
        <f t="shared" ref="C248:C251" si="284">B248/B247-1</f>
        <v>-0.02739726027</v>
      </c>
      <c r="D248" s="132">
        <f t="shared" si="279"/>
        <v>-0.009942004971</v>
      </c>
      <c r="E248" s="133">
        <f t="shared" si="280"/>
        <v>0</v>
      </c>
      <c r="F248" s="134">
        <v>11279.2</v>
      </c>
      <c r="G248" s="135">
        <f t="shared" ref="G248:G251" si="285">F248/F247-1</f>
        <v>-0.01018841101</v>
      </c>
      <c r="H248" s="135">
        <f t="shared" si="281"/>
        <v>-0.004152587282</v>
      </c>
      <c r="I248" s="136">
        <v>79.75</v>
      </c>
      <c r="J248" s="155">
        <f t="shared" ref="J248:J251" si="286">I248/I247-1</f>
        <v>0.02876676987</v>
      </c>
      <c r="K248" s="138" t="s">
        <v>27</v>
      </c>
      <c r="L248" s="139">
        <f>AVERAGEIFS(Sentiment!$K:$K, Sentiment!$C:$C, $A248, Sentiment!$J:$J, "YES")
</f>
        <v>0.2</v>
      </c>
      <c r="M248" s="139">
        <f>AVERAGEIFS(Sentiment!$K:$K, Sentiment!$C:$C, $A248, Sentiment!$J:$J, "YES")
</f>
        <v>0.2</v>
      </c>
      <c r="N248" s="140">
        <f t="shared" si="282"/>
        <v>1</v>
      </c>
      <c r="O248" s="139">
        <f>AVERAGEIFS(Sentiment!P:P, Sentiment!C:C, A248, Sentiment!J:J, "YES")
</f>
        <v>0.04</v>
      </c>
      <c r="P248" s="141">
        <v>0.04</v>
      </c>
      <c r="Q248" s="142">
        <f t="shared" si="283"/>
        <v>1</v>
      </c>
    </row>
    <row r="249">
      <c r="A249" s="130">
        <v>45539.0</v>
      </c>
      <c r="B249" s="143">
        <v>11.95</v>
      </c>
      <c r="C249" s="144">
        <f t="shared" si="284"/>
        <v>-0.009942004971</v>
      </c>
      <c r="D249" s="144">
        <f t="shared" si="279"/>
        <v>0</v>
      </c>
      <c r="E249" s="145">
        <f t="shared" si="280"/>
        <v>0</v>
      </c>
      <c r="F249" s="146">
        <v>11213.9</v>
      </c>
      <c r="G249" s="147">
        <f t="shared" si="285"/>
        <v>-0.005789417689</v>
      </c>
      <c r="H249" s="147">
        <f t="shared" si="281"/>
        <v>-0.005314832485</v>
      </c>
      <c r="I249" s="148">
        <v>72.7</v>
      </c>
      <c r="J249" s="156">
        <f t="shared" si="286"/>
        <v>-0.08840125392</v>
      </c>
      <c r="K249" s="150" t="s">
        <v>27</v>
      </c>
      <c r="L249" s="151">
        <f>AVERAGEIFS(Sentiment!$K:$K, Sentiment!$C:$C, $A249, Sentiment!$J:$J, "YES")
</f>
        <v>-0.275</v>
      </c>
      <c r="M249" s="151">
        <f>AVERAGEIFS(Sentiment!$K:$K, Sentiment!$C:$C, $A249, Sentiment!$J:$J, "YES")
</f>
        <v>-0.275</v>
      </c>
      <c r="N249" s="157">
        <f t="shared" si="282"/>
        <v>0</v>
      </c>
      <c r="O249" s="151">
        <f>AVERAGEIFS(Sentiment!P:P, Sentiment!C:C, A249, Sentiment!J:J, "YES")
</f>
        <v>-0.4</v>
      </c>
      <c r="P249" s="158">
        <v>-0.4</v>
      </c>
      <c r="Q249" s="159">
        <f t="shared" si="283"/>
        <v>0</v>
      </c>
    </row>
    <row r="250">
      <c r="A250" s="130">
        <v>45540.0</v>
      </c>
      <c r="B250" s="131">
        <v>11.95</v>
      </c>
      <c r="C250" s="132">
        <f t="shared" si="284"/>
        <v>0</v>
      </c>
      <c r="D250" s="132">
        <f t="shared" si="279"/>
        <v>-0.01841004184</v>
      </c>
      <c r="E250" s="133">
        <f t="shared" si="280"/>
        <v>0</v>
      </c>
      <c r="F250" s="134">
        <v>11273.5</v>
      </c>
      <c r="G250" s="135">
        <f t="shared" si="285"/>
        <v>0.005314832485</v>
      </c>
      <c r="H250" s="135">
        <f t="shared" si="281"/>
        <v>-0.009495330349</v>
      </c>
      <c r="I250" s="136">
        <v>72.69</v>
      </c>
      <c r="J250" s="155">
        <f t="shared" si="286"/>
        <v>-0.0001375515818</v>
      </c>
      <c r="K250" s="138" t="s">
        <v>27</v>
      </c>
      <c r="L250" s="139">
        <f>AVERAGEIFS(Sentiment!$K:$K, Sentiment!$C:$C, $A250, Sentiment!$J:$J, "YES")
</f>
        <v>-0.2166666667</v>
      </c>
      <c r="M250" s="139">
        <f>AVERAGEIFS(Sentiment!$K:$K, Sentiment!$C:$C, $A250, Sentiment!$J:$J, "YES")
</f>
        <v>-0.2166666667</v>
      </c>
      <c r="N250" s="140">
        <f t="shared" si="282"/>
        <v>0</v>
      </c>
      <c r="O250" s="139">
        <f>AVERAGEIFS(Sentiment!P:P, Sentiment!C:C, A250, Sentiment!J:J, "YES")
</f>
        <v>-0.1166666667</v>
      </c>
      <c r="P250" s="141">
        <v>-0.11666666666666665</v>
      </c>
      <c r="Q250" s="142">
        <f t="shared" si="283"/>
        <v>0</v>
      </c>
    </row>
    <row r="251">
      <c r="A251" s="130">
        <v>45541.0</v>
      </c>
      <c r="B251" s="143">
        <v>11.73</v>
      </c>
      <c r="C251" s="144">
        <f t="shared" si="284"/>
        <v>-0.01841004184</v>
      </c>
      <c r="D251" s="144">
        <f>C254</f>
        <v>0.006820119352</v>
      </c>
      <c r="E251" s="145">
        <f t="shared" si="280"/>
        <v>1</v>
      </c>
      <c r="F251" s="146">
        <v>11173.0</v>
      </c>
      <c r="G251" s="147">
        <f t="shared" si="285"/>
        <v>-0.008914711492</v>
      </c>
      <c r="H251" s="147">
        <f>D251-G254</f>
        <v>-0.00211212803</v>
      </c>
      <c r="I251" s="148">
        <v>71.06</v>
      </c>
      <c r="J251" s="156">
        <f t="shared" si="286"/>
        <v>-0.0224239923</v>
      </c>
      <c r="K251" s="150" t="s">
        <v>27</v>
      </c>
      <c r="L251" s="151">
        <f>AVERAGEIFS(Sentiment!$K:$K, Sentiment!$C:$C, $A251, Sentiment!$J:$J, "YES")
</f>
        <v>0.1777777778</v>
      </c>
      <c r="M251" s="151">
        <f>AVERAGEIFS(Sentiment!$K:$K, Sentiment!$C:$C, $A251, Sentiment!$J:$J, "YES")
</f>
        <v>0.1777777778</v>
      </c>
      <c r="N251" s="157">
        <f t="shared" si="282"/>
        <v>1</v>
      </c>
      <c r="O251" s="151">
        <f>AVERAGEIFS(Sentiment!P:P, Sentiment!C:C, A251, Sentiment!J:J, "YES")
</f>
        <v>0.08888888889</v>
      </c>
      <c r="P251" s="158">
        <v>0.08888888888888889</v>
      </c>
      <c r="Q251" s="159">
        <f t="shared" si="283"/>
        <v>1</v>
      </c>
    </row>
    <row r="252">
      <c r="A252" s="130">
        <v>45542.0</v>
      </c>
      <c r="B252" s="131"/>
      <c r="C252" s="132"/>
      <c r="D252" s="132"/>
      <c r="E252" s="133"/>
      <c r="F252" s="134"/>
      <c r="G252" s="135"/>
      <c r="H252" s="135"/>
      <c r="I252" s="136"/>
      <c r="J252" s="137"/>
      <c r="K252" s="138" t="s">
        <v>27</v>
      </c>
      <c r="L252" s="139">
        <f>AVERAGEIFS(Sentiment!$K:$K, Sentiment!$C:$C, $A252, Sentiment!$J:$J, "YES")
</f>
        <v>0.7</v>
      </c>
      <c r="M252" s="139"/>
      <c r="N252" s="140"/>
      <c r="O252" s="139">
        <f>AVERAGEIFS(Sentiment!P:P, Sentiment!C:C, A252, Sentiment!J:J, "YES")
</f>
        <v>0.6</v>
      </c>
      <c r="P252" s="141"/>
      <c r="Q252" s="142"/>
    </row>
    <row r="253">
      <c r="A253" s="130">
        <v>45543.0</v>
      </c>
      <c r="B253" s="143"/>
      <c r="C253" s="144"/>
      <c r="D253" s="144"/>
      <c r="E253" s="145"/>
      <c r="F253" s="146"/>
      <c r="G253" s="147"/>
      <c r="H253" s="147"/>
      <c r="I253" s="148"/>
      <c r="J253" s="160"/>
      <c r="K253" s="150" t="s">
        <v>27</v>
      </c>
      <c r="L253" s="151">
        <f>AVERAGEIFS(Sentiment!$K:$K, Sentiment!$C:$C, $A253, Sentiment!$J:$J, "YES")
</f>
        <v>-0.5653846154</v>
      </c>
      <c r="M253" s="151"/>
      <c r="N253" s="157"/>
      <c r="O253" s="151">
        <f>AVERAGEIFS(Sentiment!P:P, Sentiment!C:C, A253, Sentiment!J:J, "YES")
</f>
        <v>-0.5153846154</v>
      </c>
      <c r="P253" s="158"/>
      <c r="Q253" s="159"/>
    </row>
    <row r="254">
      <c r="A254" s="130">
        <v>45544.0</v>
      </c>
      <c r="B254" s="131">
        <v>11.81</v>
      </c>
      <c r="C254" s="132">
        <f>B254/B251-1</f>
        <v>0.006820119352</v>
      </c>
      <c r="D254" s="132">
        <f t="shared" ref="D254:D257" si="287">C255</f>
        <v>-0.01608806097</v>
      </c>
      <c r="E254" s="133">
        <f t="shared" ref="E254:E258" si="288">IF(D254&gt;0,1,0)</f>
        <v>0</v>
      </c>
      <c r="F254" s="134">
        <v>11272.8</v>
      </c>
      <c r="G254" s="135">
        <f>F254/F251-1</f>
        <v>0.008932247382</v>
      </c>
      <c r="H254" s="135">
        <f t="shared" ref="H254:H257" si="289">D254-G255</f>
        <v>-0.009940519982</v>
      </c>
      <c r="I254" s="136">
        <v>71.84</v>
      </c>
      <c r="J254" s="155">
        <f>I254/I251-1</f>
        <v>0.01097663946</v>
      </c>
      <c r="K254" s="138" t="s">
        <v>27</v>
      </c>
      <c r="L254" s="139">
        <f>AVERAGEIFS(Sentiment!$K:$K, Sentiment!$C:$C, $A254, Sentiment!$J:$J, "YES")
</f>
        <v>-0.47</v>
      </c>
      <c r="M254" s="152">
        <v>-0.51</v>
      </c>
      <c r="N254" s="153">
        <f t="shared" ref="N254:N258" si="290">IF(M254&gt;0,1,0)</f>
        <v>0</v>
      </c>
      <c r="O254" s="139">
        <f>AVERAGEIFS(Sentiment!P:P, Sentiment!C:C, A254, Sentiment!J:J, "YES")
</f>
        <v>-0.42</v>
      </c>
      <c r="P254" s="152">
        <v>-0.46</v>
      </c>
      <c r="Q254" s="154">
        <f t="shared" ref="Q254:Q258" si="291">IF(P254&gt;0,1,0)</f>
        <v>0</v>
      </c>
    </row>
    <row r="255">
      <c r="A255" s="130">
        <v>45545.0</v>
      </c>
      <c r="B255" s="143">
        <v>11.62</v>
      </c>
      <c r="C255" s="144">
        <f t="shared" ref="C255:C258" si="292">B255/B254-1</f>
        <v>-0.01608806097</v>
      </c>
      <c r="D255" s="144">
        <f t="shared" si="287"/>
        <v>0.0008605851979</v>
      </c>
      <c r="E255" s="145">
        <f t="shared" si="288"/>
        <v>1</v>
      </c>
      <c r="F255" s="146">
        <v>11203.5</v>
      </c>
      <c r="G255" s="147">
        <f t="shared" ref="G255:G258" si="293">F255/F254-1</f>
        <v>-0.006147540984</v>
      </c>
      <c r="H255" s="147">
        <f t="shared" si="289"/>
        <v>-0.005869454522</v>
      </c>
      <c r="I255" s="148">
        <v>69.19</v>
      </c>
      <c r="J255" s="156">
        <f t="shared" ref="J255:J258" si="294">I255/I254-1</f>
        <v>-0.03688752784</v>
      </c>
      <c r="K255" s="150" t="s">
        <v>27</v>
      </c>
      <c r="L255" s="151">
        <f>AVERAGEIFS(Sentiment!$K:$K, Sentiment!$C:$C, $A255, Sentiment!$J:$J, "YES")
</f>
        <v>-0.4166666667</v>
      </c>
      <c r="M255" s="151">
        <f>AVERAGEIFS(Sentiment!$K:$K, Sentiment!$C:$C, $A255, Sentiment!$J:$J, "YES")
</f>
        <v>-0.4166666667</v>
      </c>
      <c r="N255" s="157">
        <f t="shared" si="290"/>
        <v>0</v>
      </c>
      <c r="O255" s="151">
        <f>AVERAGEIFS(Sentiment!P:P, Sentiment!C:C, A255, Sentiment!J:J, "YES")
</f>
        <v>-0.4</v>
      </c>
      <c r="P255" s="158">
        <v>-0.39999999999999997</v>
      </c>
      <c r="Q255" s="159">
        <f t="shared" si="291"/>
        <v>0</v>
      </c>
    </row>
    <row r="256">
      <c r="A256" s="130">
        <v>45546.0</v>
      </c>
      <c r="B256" s="131">
        <v>11.63</v>
      </c>
      <c r="C256" s="132">
        <f t="shared" si="292"/>
        <v>0.0008605851979</v>
      </c>
      <c r="D256" s="132">
        <f t="shared" si="287"/>
        <v>0.01461736887</v>
      </c>
      <c r="E256" s="133">
        <f t="shared" si="288"/>
        <v>1</v>
      </c>
      <c r="F256" s="134">
        <v>11278.9</v>
      </c>
      <c r="G256" s="135">
        <f t="shared" si="293"/>
        <v>0.00673003972</v>
      </c>
      <c r="H256" s="135">
        <f t="shared" si="289"/>
        <v>0.003862774011</v>
      </c>
      <c r="I256" s="136">
        <v>70.61</v>
      </c>
      <c r="J256" s="155">
        <f t="shared" si="294"/>
        <v>0.02052319699</v>
      </c>
      <c r="K256" s="138" t="s">
        <v>27</v>
      </c>
      <c r="L256" s="139">
        <f>AVERAGEIFS(Sentiment!$K:$K, Sentiment!$C:$C, $A256, Sentiment!$J:$J, "YES")
</f>
        <v>-0.6</v>
      </c>
      <c r="M256" s="139">
        <f>AVERAGEIFS(Sentiment!$K:$K, Sentiment!$C:$C, $A256, Sentiment!$J:$J, "YES")
</f>
        <v>-0.6</v>
      </c>
      <c r="N256" s="140">
        <f t="shared" si="290"/>
        <v>0</v>
      </c>
      <c r="O256" s="139">
        <f>AVERAGEIFS(Sentiment!P:P, Sentiment!C:C, A256, Sentiment!J:J, "YES")
</f>
        <v>-0.65</v>
      </c>
      <c r="P256" s="141">
        <v>-0.6499999999999999</v>
      </c>
      <c r="Q256" s="142">
        <f t="shared" si="291"/>
        <v>0</v>
      </c>
    </row>
    <row r="257">
      <c r="A257" s="130">
        <v>45547.0</v>
      </c>
      <c r="B257" s="143">
        <v>11.8</v>
      </c>
      <c r="C257" s="144">
        <f t="shared" si="292"/>
        <v>0.01461736887</v>
      </c>
      <c r="D257" s="144">
        <f t="shared" si="287"/>
        <v>0.005084745763</v>
      </c>
      <c r="E257" s="145">
        <f t="shared" si="288"/>
        <v>1</v>
      </c>
      <c r="F257" s="146">
        <v>11400.2</v>
      </c>
      <c r="G257" s="147">
        <f t="shared" si="293"/>
        <v>0.01075459486</v>
      </c>
      <c r="H257" s="147">
        <f t="shared" si="289"/>
        <v>-0.007195740545</v>
      </c>
      <c r="I257" s="148">
        <v>71.97</v>
      </c>
      <c r="J257" s="156">
        <f t="shared" si="294"/>
        <v>0.01926072794</v>
      </c>
      <c r="K257" s="150" t="s">
        <v>27</v>
      </c>
      <c r="L257" s="151">
        <f>AVERAGEIFS(Sentiment!$K:$K, Sentiment!$C:$C, $A257, Sentiment!$J:$J, "YES")
</f>
        <v>-0.5666666667</v>
      </c>
      <c r="M257" s="151">
        <f>AVERAGEIFS(Sentiment!$K:$K, Sentiment!$C:$C, $A257, Sentiment!$J:$J, "YES")
</f>
        <v>-0.5666666667</v>
      </c>
      <c r="N257" s="157">
        <f t="shared" si="290"/>
        <v>0</v>
      </c>
      <c r="O257" s="151">
        <f>AVERAGEIFS(Sentiment!P:P, Sentiment!C:C, A257, Sentiment!J:J, "YES")
</f>
        <v>-0.3333333333</v>
      </c>
      <c r="P257" s="158">
        <v>-0.3333333333333333</v>
      </c>
      <c r="Q257" s="159">
        <f t="shared" si="291"/>
        <v>0</v>
      </c>
    </row>
    <row r="258">
      <c r="A258" s="130">
        <v>45548.0</v>
      </c>
      <c r="B258" s="131">
        <v>11.86</v>
      </c>
      <c r="C258" s="132">
        <f t="shared" si="292"/>
        <v>0.005084745763</v>
      </c>
      <c r="D258" s="132">
        <f>C261</f>
        <v>-0.01011804384</v>
      </c>
      <c r="E258" s="133">
        <f t="shared" si="288"/>
        <v>0</v>
      </c>
      <c r="F258" s="134">
        <v>11540.2</v>
      </c>
      <c r="G258" s="135">
        <f t="shared" si="293"/>
        <v>0.01228048631</v>
      </c>
      <c r="H258" s="135">
        <f>D258-G261</f>
        <v>-0.01365351117</v>
      </c>
      <c r="I258" s="136">
        <v>71.61</v>
      </c>
      <c r="J258" s="155">
        <f t="shared" si="294"/>
        <v>-0.005002084202</v>
      </c>
      <c r="K258" s="138" t="s">
        <v>27</v>
      </c>
      <c r="L258" s="139">
        <f>AVERAGEIFS(Sentiment!$K:$K, Sentiment!$C:$C, $A258, Sentiment!$J:$J, "YES")
</f>
        <v>0.09375</v>
      </c>
      <c r="M258" s="139">
        <f>AVERAGEIFS(Sentiment!$K:$K, Sentiment!$C:$C, $A258, Sentiment!$J:$J, "YES")
</f>
        <v>0.09375</v>
      </c>
      <c r="N258" s="140">
        <f t="shared" si="290"/>
        <v>1</v>
      </c>
      <c r="O258" s="139">
        <f>AVERAGEIFS(Sentiment!P:P, Sentiment!C:C, A258, Sentiment!J:J, "YES")
</f>
        <v>0.04375</v>
      </c>
      <c r="P258" s="141">
        <v>0.043750000000000004</v>
      </c>
      <c r="Q258" s="142">
        <f t="shared" si="291"/>
        <v>1</v>
      </c>
    </row>
    <row r="259">
      <c r="A259" s="130">
        <v>45549.0</v>
      </c>
      <c r="B259" s="143"/>
      <c r="C259" s="144"/>
      <c r="D259" s="144"/>
      <c r="E259" s="145"/>
      <c r="F259" s="146"/>
      <c r="G259" s="147"/>
      <c r="H259" s="147"/>
      <c r="I259" s="148"/>
      <c r="J259" s="160"/>
      <c r="K259" s="150" t="s">
        <v>27</v>
      </c>
      <c r="L259" s="151">
        <f>AVERAGEIFS(Sentiment!$K:$K, Sentiment!$C:$C, $A259, Sentiment!$J:$J, "YES")
</f>
        <v>0.38125</v>
      </c>
      <c r="M259" s="151"/>
      <c r="N259" s="157"/>
      <c r="O259" s="151">
        <f>AVERAGEIFS(Sentiment!P:P, Sentiment!C:C, A259, Sentiment!J:J, "YES")
</f>
        <v>0.04375</v>
      </c>
      <c r="P259" s="158"/>
      <c r="Q259" s="159"/>
    </row>
    <row r="260">
      <c r="A260" s="130">
        <v>45550.0</v>
      </c>
      <c r="B260" s="131"/>
      <c r="C260" s="132"/>
      <c r="D260" s="132"/>
      <c r="E260" s="133"/>
      <c r="F260" s="134"/>
      <c r="G260" s="135"/>
      <c r="H260" s="135"/>
      <c r="I260" s="136"/>
      <c r="J260" s="137"/>
      <c r="K260" s="138" t="s">
        <v>27</v>
      </c>
      <c r="L260" s="139">
        <f>AVERAGEIFS(Sentiment!$K:$K, Sentiment!$C:$C, $A260, Sentiment!$J:$J, "YES")
</f>
        <v>0.34</v>
      </c>
      <c r="M260" s="139"/>
      <c r="N260" s="140"/>
      <c r="O260" s="139">
        <f>AVERAGEIFS(Sentiment!P:P, Sentiment!C:C, A260, Sentiment!J:J, "YES")
</f>
        <v>-0.06</v>
      </c>
      <c r="P260" s="141"/>
      <c r="Q260" s="142"/>
    </row>
    <row r="261">
      <c r="A261" s="130">
        <v>45551.0</v>
      </c>
      <c r="B261" s="143">
        <v>11.74</v>
      </c>
      <c r="C261" s="144">
        <f>B261/B258-1</f>
        <v>-0.01011804384</v>
      </c>
      <c r="D261" s="144">
        <f t="shared" ref="D261:D264" si="295">C262</f>
        <v>-0.001703577513</v>
      </c>
      <c r="E261" s="145">
        <f t="shared" ref="E261:E265" si="296">IF(D261&gt;0,1,0)</f>
        <v>0</v>
      </c>
      <c r="F261" s="146">
        <v>11581.0</v>
      </c>
      <c r="G261" s="147">
        <f>F261/F258-1</f>
        <v>0.003535467323</v>
      </c>
      <c r="H261" s="147">
        <f t="shared" ref="H261:H264" si="297">D261-G262</f>
        <v>-0.012272613</v>
      </c>
      <c r="I261" s="148">
        <v>72.75</v>
      </c>
      <c r="J261" s="156">
        <f>I261/I258-1</f>
        <v>0.01591956431</v>
      </c>
      <c r="K261" s="150" t="s">
        <v>27</v>
      </c>
      <c r="L261" s="151">
        <f>AVERAGEIFS(Sentiment!$K:$K, Sentiment!$C:$C, $A261, Sentiment!$J:$J, "YES")
</f>
        <v>0.2615384615</v>
      </c>
      <c r="M261" s="152">
        <v>0.33</v>
      </c>
      <c r="N261" s="153">
        <f t="shared" ref="N261:N265" si="298">IF(M261&gt;0,1,0)</f>
        <v>1</v>
      </c>
      <c r="O261" s="151">
        <f>AVERAGEIFS(Sentiment!P:P, Sentiment!C:C, A261, Sentiment!J:J, "YES")
</f>
        <v>0.08461538462</v>
      </c>
      <c r="P261" s="152">
        <v>0.04</v>
      </c>
      <c r="Q261" s="154">
        <f t="shared" ref="Q261:Q265" si="299">IF(P261&gt;0,1,0)</f>
        <v>1</v>
      </c>
    </row>
    <row r="262">
      <c r="A262" s="130">
        <v>45552.0</v>
      </c>
      <c r="B262" s="131">
        <v>11.72</v>
      </c>
      <c r="C262" s="132">
        <f t="shared" ref="C262:C265" si="300">B262/B261-1</f>
        <v>-0.001703577513</v>
      </c>
      <c r="D262" s="132">
        <f t="shared" si="295"/>
        <v>0.001706484642</v>
      </c>
      <c r="E262" s="133">
        <f t="shared" si="296"/>
        <v>1</v>
      </c>
      <c r="F262" s="134">
        <v>11703.4</v>
      </c>
      <c r="G262" s="135">
        <f t="shared" ref="G262:G265" si="301">F262/F261-1</f>
        <v>0.01056903549</v>
      </c>
      <c r="H262" s="135">
        <f t="shared" si="297"/>
        <v>0.003304310914</v>
      </c>
      <c r="I262" s="136">
        <v>73.4</v>
      </c>
      <c r="J262" s="155">
        <f t="shared" ref="J262:J265" si="302">I262/I261-1</f>
        <v>0.008934707904</v>
      </c>
      <c r="K262" s="138" t="s">
        <v>27</v>
      </c>
      <c r="L262" s="139">
        <f>AVERAGEIFS(Sentiment!$K:$K, Sentiment!$C:$C, $A262, Sentiment!$J:$J, "YES")
</f>
        <v>-0.05714285714</v>
      </c>
      <c r="M262" s="139">
        <f>AVERAGEIFS(Sentiment!$K:$K, Sentiment!$C:$C, $A262, Sentiment!$J:$J, "YES")
</f>
        <v>-0.05714285714</v>
      </c>
      <c r="N262" s="140">
        <f t="shared" si="298"/>
        <v>0</v>
      </c>
      <c r="O262" s="139">
        <f>AVERAGEIFS(Sentiment!P:P, Sentiment!C:C, A262, Sentiment!J:J, "YES")
</f>
        <v>-0.1071428571</v>
      </c>
      <c r="P262" s="141">
        <v>-0.10714285714285712</v>
      </c>
      <c r="Q262" s="142">
        <f t="shared" si="299"/>
        <v>0</v>
      </c>
    </row>
    <row r="263">
      <c r="A263" s="130">
        <v>45553.0</v>
      </c>
      <c r="B263" s="143">
        <v>11.74</v>
      </c>
      <c r="C263" s="144">
        <f t="shared" si="300"/>
        <v>0.001706484642</v>
      </c>
      <c r="D263" s="144">
        <f t="shared" si="295"/>
        <v>0.00936967632</v>
      </c>
      <c r="E263" s="145">
        <f t="shared" si="296"/>
        <v>1</v>
      </c>
      <c r="F263" s="146">
        <v>11684.7</v>
      </c>
      <c r="G263" s="147">
        <f t="shared" si="301"/>
        <v>-0.001597826273</v>
      </c>
      <c r="H263" s="147">
        <f t="shared" si="297"/>
        <v>0.001376317484</v>
      </c>
      <c r="I263" s="148">
        <v>73.65</v>
      </c>
      <c r="J263" s="156">
        <f t="shared" si="302"/>
        <v>0.00340599455</v>
      </c>
      <c r="K263" s="150" t="s">
        <v>27</v>
      </c>
      <c r="L263" s="151">
        <f>AVERAGEIFS(Sentiment!$K:$K, Sentiment!$C:$C, $A263, Sentiment!$J:$J, "YES")
</f>
        <v>0.43</v>
      </c>
      <c r="M263" s="151">
        <f>AVERAGEIFS(Sentiment!$K:$K, Sentiment!$C:$C, $A263, Sentiment!$J:$J, "YES")
</f>
        <v>0.43</v>
      </c>
      <c r="N263" s="157">
        <f t="shared" si="298"/>
        <v>1</v>
      </c>
      <c r="O263" s="151">
        <f>AVERAGEIFS(Sentiment!P:P, Sentiment!C:C, A263, Sentiment!J:J, "YES")
</f>
        <v>0.26</v>
      </c>
      <c r="P263" s="158">
        <v>0.26</v>
      </c>
      <c r="Q263" s="159">
        <f t="shared" si="299"/>
        <v>1</v>
      </c>
    </row>
    <row r="264">
      <c r="A264" s="130">
        <v>45554.0</v>
      </c>
      <c r="B264" s="131">
        <v>11.85</v>
      </c>
      <c r="C264" s="132">
        <f t="shared" si="300"/>
        <v>0.00936967632</v>
      </c>
      <c r="D264" s="132">
        <f t="shared" si="295"/>
        <v>-0.01434599156</v>
      </c>
      <c r="E264" s="133">
        <f t="shared" si="296"/>
        <v>0</v>
      </c>
      <c r="F264" s="134">
        <v>11778.1</v>
      </c>
      <c r="G264" s="135">
        <f t="shared" si="301"/>
        <v>0.007993358837</v>
      </c>
      <c r="H264" s="135">
        <f t="shared" si="297"/>
        <v>-0.01224038879</v>
      </c>
      <c r="I264" s="136">
        <v>74.88</v>
      </c>
      <c r="J264" s="155">
        <f t="shared" si="302"/>
        <v>0.016700611</v>
      </c>
      <c r="K264" s="138" t="s">
        <v>27</v>
      </c>
      <c r="L264" s="139">
        <f>AVERAGEIFS(Sentiment!$K:$K, Sentiment!$C:$C, $A264, Sentiment!$J:$J, "YES")
</f>
        <v>-0.2333333333</v>
      </c>
      <c r="M264" s="139">
        <f>AVERAGEIFS(Sentiment!$K:$K, Sentiment!$C:$C, $A264, Sentiment!$J:$J, "YES")
</f>
        <v>-0.2333333333</v>
      </c>
      <c r="N264" s="140">
        <f t="shared" si="298"/>
        <v>0</v>
      </c>
      <c r="O264" s="139">
        <f>AVERAGEIFS(Sentiment!P:P, Sentiment!C:C, A264, Sentiment!J:J, "YES")
</f>
        <v>-0.2</v>
      </c>
      <c r="P264" s="141">
        <v>-0.19999999999999998</v>
      </c>
      <c r="Q264" s="142">
        <f t="shared" si="299"/>
        <v>0</v>
      </c>
    </row>
    <row r="265">
      <c r="A265" s="130">
        <v>45555.0</v>
      </c>
      <c r="B265" s="143">
        <v>11.68</v>
      </c>
      <c r="C265" s="144">
        <f t="shared" si="300"/>
        <v>-0.01434599156</v>
      </c>
      <c r="D265" s="144">
        <f>C268</f>
        <v>0.007705479452</v>
      </c>
      <c r="E265" s="145">
        <f t="shared" si="296"/>
        <v>1</v>
      </c>
      <c r="F265" s="146">
        <v>11753.3</v>
      </c>
      <c r="G265" s="147">
        <f t="shared" si="301"/>
        <v>-0.002105602771</v>
      </c>
      <c r="H265" s="147">
        <f>D265-G268</f>
        <v>0.003910800511</v>
      </c>
      <c r="I265" s="148">
        <v>74.49</v>
      </c>
      <c r="J265" s="156">
        <f t="shared" si="302"/>
        <v>-0.005208333333</v>
      </c>
      <c r="K265" s="150" t="s">
        <v>27</v>
      </c>
      <c r="L265" s="151">
        <f>AVERAGEIFS(Sentiment!$K:$K, Sentiment!$C:$C, $A265, Sentiment!$J:$J, "YES")
</f>
        <v>0.09230769231</v>
      </c>
      <c r="M265" s="151">
        <f>AVERAGEIFS(Sentiment!$K:$K, Sentiment!$C:$C, $A265, Sentiment!$J:$J, "YES")
</f>
        <v>0.09230769231</v>
      </c>
      <c r="N265" s="157">
        <f t="shared" si="298"/>
        <v>1</v>
      </c>
      <c r="O265" s="151">
        <f>AVERAGEIFS(Sentiment!P:P, Sentiment!C:C, A265, Sentiment!J:J, "YES")
</f>
        <v>-0.01538461538</v>
      </c>
      <c r="P265" s="158">
        <v>-0.015384615384615382</v>
      </c>
      <c r="Q265" s="159">
        <f t="shared" si="299"/>
        <v>0</v>
      </c>
    </row>
    <row r="266">
      <c r="A266" s="130">
        <v>45556.0</v>
      </c>
      <c r="B266" s="131"/>
      <c r="C266" s="132"/>
      <c r="D266" s="132"/>
      <c r="E266" s="133"/>
      <c r="F266" s="134"/>
      <c r="G266" s="135"/>
      <c r="H266" s="135"/>
      <c r="I266" s="136"/>
      <c r="J266" s="137"/>
      <c r="K266" s="138" t="s">
        <v>27</v>
      </c>
      <c r="L266" s="139">
        <f>AVERAGEIFS(Sentiment!$K:$K, Sentiment!$C:$C, $A266, Sentiment!$J:$J, "YES")
</f>
        <v>-0.2333333333</v>
      </c>
      <c r="M266" s="139"/>
      <c r="N266" s="140"/>
      <c r="O266" s="139">
        <f>AVERAGEIFS(Sentiment!P:P, Sentiment!C:C, A266, Sentiment!J:J, "YES")
</f>
        <v>-0.3333333333</v>
      </c>
      <c r="P266" s="141"/>
      <c r="Q266" s="142"/>
    </row>
    <row r="267">
      <c r="A267" s="130">
        <v>45557.0</v>
      </c>
      <c r="B267" s="143"/>
      <c r="C267" s="144"/>
      <c r="D267" s="144"/>
      <c r="E267" s="145"/>
      <c r="F267" s="146"/>
      <c r="G267" s="147"/>
      <c r="H267" s="147"/>
      <c r="I267" s="148"/>
      <c r="J267" s="160"/>
      <c r="K267" s="150" t="s">
        <v>27</v>
      </c>
      <c r="L267" s="151">
        <f>AVERAGEIFS(Sentiment!$K:$K, Sentiment!$C:$C, $A267, Sentiment!$J:$J, "YES")
</f>
        <v>0.5166666667</v>
      </c>
      <c r="M267" s="151"/>
      <c r="N267" s="157"/>
      <c r="O267" s="151">
        <f>AVERAGEIFS(Sentiment!P:P, Sentiment!C:C, A267, Sentiment!J:J, "YES")
</f>
        <v>0.2</v>
      </c>
      <c r="P267" s="158"/>
      <c r="Q267" s="159"/>
    </row>
    <row r="268">
      <c r="A268" s="130">
        <v>45558.0</v>
      </c>
      <c r="B268" s="131">
        <v>11.77</v>
      </c>
      <c r="C268" s="132">
        <f>B268/B265-1</f>
        <v>0.007705479452</v>
      </c>
      <c r="D268" s="132">
        <f t="shared" ref="D268:D271" si="303">C269</f>
        <v>0.000849617672</v>
      </c>
      <c r="E268" s="133">
        <f t="shared" ref="E268:E272" si="304">IF(D268&gt;0,1,0)</f>
        <v>1</v>
      </c>
      <c r="F268" s="134">
        <v>11797.9</v>
      </c>
      <c r="G268" s="135">
        <f>F268/F265-1</f>
        <v>0.003794678941</v>
      </c>
      <c r="H268" s="135">
        <f t="shared" ref="H268:H271" si="305">D268-G269</f>
        <v>-0.002464531456</v>
      </c>
      <c r="I268" s="136">
        <v>73.9</v>
      </c>
      <c r="J268" s="155">
        <f>I268/I265-1</f>
        <v>-0.007920526245</v>
      </c>
      <c r="K268" s="138" t="s">
        <v>27</v>
      </c>
      <c r="L268" s="139">
        <f>AVERAGEIFS(Sentiment!$K:$K, Sentiment!$C:$C, $A268, Sentiment!$J:$J, "YES")
</f>
        <v>0.4357142857</v>
      </c>
      <c r="M268" s="152">
        <v>0.39</v>
      </c>
      <c r="N268" s="153">
        <f t="shared" ref="N268:N272" si="306">IF(M268&gt;0,1,0)</f>
        <v>1</v>
      </c>
      <c r="O268" s="139">
        <f>AVERAGEIFS(Sentiment!P:P, Sentiment!C:C, A268, Sentiment!J:J, "YES")
</f>
        <v>0.2928571429</v>
      </c>
      <c r="P268" s="152">
        <v>0.23</v>
      </c>
      <c r="Q268" s="154">
        <f t="shared" ref="Q268:Q272" si="307">IF(P268&gt;0,1,0)</f>
        <v>1</v>
      </c>
    </row>
    <row r="269">
      <c r="A269" s="130">
        <v>45559.0</v>
      </c>
      <c r="B269" s="143">
        <v>11.78</v>
      </c>
      <c r="C269" s="144">
        <f t="shared" ref="C269:C272" si="308">B269/B268-1</f>
        <v>0.000849617672</v>
      </c>
      <c r="D269" s="144">
        <f t="shared" si="303"/>
        <v>-0.005942275042</v>
      </c>
      <c r="E269" s="145">
        <f t="shared" si="304"/>
        <v>0</v>
      </c>
      <c r="F269" s="146">
        <v>11837.0</v>
      </c>
      <c r="G269" s="147">
        <f t="shared" ref="G269:G272" si="309">F269/F268-1</f>
        <v>0.003314149128</v>
      </c>
      <c r="H269" s="147">
        <f t="shared" si="305"/>
        <v>-0.002191324633</v>
      </c>
      <c r="I269" s="148">
        <v>75.17</v>
      </c>
      <c r="J269" s="156">
        <f t="shared" ref="J269:J272" si="310">I269/I268-1</f>
        <v>0.01718538566</v>
      </c>
      <c r="K269" s="150" t="s">
        <v>27</v>
      </c>
      <c r="L269" s="151">
        <f>AVERAGEIFS(Sentiment!$K:$K, Sentiment!$C:$C, $A269, Sentiment!$J:$J, "YES")
</f>
        <v>0.006666666667</v>
      </c>
      <c r="M269" s="151">
        <f>AVERAGEIFS(Sentiment!$K:$K, Sentiment!$C:$C, $A269, Sentiment!$J:$J, "YES")
</f>
        <v>0.006666666667</v>
      </c>
      <c r="N269" s="157">
        <f t="shared" si="306"/>
        <v>1</v>
      </c>
      <c r="O269" s="151">
        <f>AVERAGEIFS(Sentiment!P:P, Sentiment!C:C, A269, Sentiment!J:J, "YES")
</f>
        <v>-0.2133333333</v>
      </c>
      <c r="P269" s="158">
        <v>-0.2133333333333333</v>
      </c>
      <c r="Q269" s="159">
        <f t="shared" si="307"/>
        <v>0</v>
      </c>
    </row>
    <row r="270">
      <c r="A270" s="130">
        <v>45560.0</v>
      </c>
      <c r="B270" s="131">
        <v>11.71</v>
      </c>
      <c r="C270" s="132">
        <f t="shared" si="308"/>
        <v>-0.005942275042</v>
      </c>
      <c r="D270" s="132">
        <f t="shared" si="303"/>
        <v>-0.009393680615</v>
      </c>
      <c r="E270" s="133">
        <f t="shared" si="304"/>
        <v>0</v>
      </c>
      <c r="F270" s="134">
        <v>11792.6</v>
      </c>
      <c r="G270" s="135">
        <f t="shared" si="309"/>
        <v>-0.00375095041</v>
      </c>
      <c r="H270" s="135">
        <f t="shared" si="305"/>
        <v>-0.02301239065</v>
      </c>
      <c r="I270" s="136">
        <v>73.46</v>
      </c>
      <c r="J270" s="155">
        <f t="shared" si="310"/>
        <v>-0.02274843688</v>
      </c>
      <c r="K270" s="138" t="s">
        <v>27</v>
      </c>
      <c r="L270" s="139">
        <f>AVERAGEIFS(Sentiment!$K:$K, Sentiment!$C:$C, $A270, Sentiment!$J:$J, "YES")
</f>
        <v>0.5</v>
      </c>
      <c r="M270" s="139">
        <f>AVERAGEIFS(Sentiment!$K:$K, Sentiment!$C:$C, $A270, Sentiment!$J:$J, "YES")
</f>
        <v>0.5</v>
      </c>
      <c r="N270" s="140">
        <f t="shared" si="306"/>
        <v>1</v>
      </c>
      <c r="O270" s="139">
        <f>AVERAGEIFS(Sentiment!P:P, Sentiment!C:C, A270, Sentiment!J:J, "YES")
</f>
        <v>0</v>
      </c>
      <c r="P270" s="141">
        <v>0.0</v>
      </c>
      <c r="Q270" s="142">
        <f t="shared" si="307"/>
        <v>0</v>
      </c>
    </row>
    <row r="271">
      <c r="A271" s="130">
        <v>45561.0</v>
      </c>
      <c r="B271" s="143">
        <v>11.6</v>
      </c>
      <c r="C271" s="144">
        <f t="shared" si="308"/>
        <v>-0.009393680615</v>
      </c>
      <c r="D271" s="144">
        <f t="shared" si="303"/>
        <v>0.01379310345</v>
      </c>
      <c r="E271" s="145">
        <f t="shared" si="304"/>
        <v>1</v>
      </c>
      <c r="F271" s="146">
        <v>11953.2</v>
      </c>
      <c r="G271" s="147">
        <f t="shared" si="309"/>
        <v>0.01361871004</v>
      </c>
      <c r="H271" s="147">
        <f t="shared" si="305"/>
        <v>0.01256330724</v>
      </c>
      <c r="I271" s="148">
        <v>71.6</v>
      </c>
      <c r="J271" s="156">
        <f t="shared" si="310"/>
        <v>-0.02531990199</v>
      </c>
      <c r="K271" s="150" t="s">
        <v>27</v>
      </c>
      <c r="L271" s="151">
        <f>AVERAGEIFS(Sentiment!$K:$K, Sentiment!$C:$C, $A271, Sentiment!$J:$J, "YES")
</f>
        <v>0.2666666667</v>
      </c>
      <c r="M271" s="151">
        <f>AVERAGEIFS(Sentiment!$K:$K, Sentiment!$C:$C, $A271, Sentiment!$J:$J, "YES")
</f>
        <v>0.2666666667</v>
      </c>
      <c r="N271" s="157">
        <f t="shared" si="306"/>
        <v>1</v>
      </c>
      <c r="O271" s="151">
        <f>AVERAGEIFS(Sentiment!P:P, Sentiment!C:C, A271, Sentiment!J:J, "YES")
</f>
        <v>0.1666666667</v>
      </c>
      <c r="P271" s="158">
        <v>0.16666666666666666</v>
      </c>
      <c r="Q271" s="159">
        <f t="shared" si="307"/>
        <v>1</v>
      </c>
    </row>
    <row r="272">
      <c r="A272" s="130">
        <v>45562.0</v>
      </c>
      <c r="B272" s="131">
        <v>11.76</v>
      </c>
      <c r="C272" s="132">
        <f t="shared" si="308"/>
        <v>0.01379310345</v>
      </c>
      <c r="D272" s="132">
        <f>C275</f>
        <v>0.007653061224</v>
      </c>
      <c r="E272" s="133">
        <f t="shared" si="304"/>
        <v>1</v>
      </c>
      <c r="F272" s="134">
        <v>11967.9</v>
      </c>
      <c r="G272" s="135">
        <f t="shared" si="309"/>
        <v>0.001229796205</v>
      </c>
      <c r="H272" s="135">
        <f>D272-G275</f>
        <v>0.01522331164</v>
      </c>
      <c r="I272" s="136">
        <v>71.98</v>
      </c>
      <c r="J272" s="155">
        <f t="shared" si="310"/>
        <v>0.00530726257</v>
      </c>
      <c r="K272" s="138" t="s">
        <v>27</v>
      </c>
      <c r="L272" s="139">
        <f>AVERAGEIFS(Sentiment!$K:$K, Sentiment!$C:$C, $A272, Sentiment!$J:$J, "YES")
</f>
        <v>0.4466666667</v>
      </c>
      <c r="M272" s="139">
        <f>AVERAGEIFS(Sentiment!$K:$K, Sentiment!$C:$C, $A272, Sentiment!$J:$J, "YES")
</f>
        <v>0.4466666667</v>
      </c>
      <c r="N272" s="140">
        <f t="shared" si="306"/>
        <v>1</v>
      </c>
      <c r="O272" s="139">
        <f>AVERAGEIFS(Sentiment!P:P, Sentiment!C:C, A272, Sentiment!J:J, "YES")
</f>
        <v>0.2066666667</v>
      </c>
      <c r="P272" s="141">
        <v>0.20666666666666667</v>
      </c>
      <c r="Q272" s="142">
        <f t="shared" si="307"/>
        <v>1</v>
      </c>
    </row>
    <row r="273">
      <c r="A273" s="130">
        <v>45563.0</v>
      </c>
      <c r="B273" s="143"/>
      <c r="C273" s="144"/>
      <c r="D273" s="144"/>
      <c r="E273" s="145"/>
      <c r="F273" s="146"/>
      <c r="G273" s="147"/>
      <c r="H273" s="147"/>
      <c r="I273" s="148"/>
      <c r="J273" s="160"/>
      <c r="K273" s="150" t="s">
        <v>27</v>
      </c>
      <c r="L273" s="151">
        <f>AVERAGEIFS(Sentiment!$K:$K, Sentiment!$C:$C, $A273, Sentiment!$J:$J, "YES")
</f>
        <v>-0.5</v>
      </c>
      <c r="M273" s="151"/>
      <c r="N273" s="157"/>
      <c r="O273" s="151">
        <f>AVERAGEIFS(Sentiment!P:P, Sentiment!C:C, A273, Sentiment!J:J, "YES")
</f>
        <v>-0.2</v>
      </c>
      <c r="P273" s="158"/>
      <c r="Q273" s="159"/>
    </row>
    <row r="274">
      <c r="A274" s="130">
        <v>45564.0</v>
      </c>
      <c r="B274" s="131"/>
      <c r="C274" s="132"/>
      <c r="D274" s="132"/>
      <c r="E274" s="133"/>
      <c r="F274" s="134"/>
      <c r="G274" s="135"/>
      <c r="H274" s="135"/>
      <c r="I274" s="136"/>
      <c r="J274" s="137"/>
      <c r="K274" s="138" t="s">
        <v>27</v>
      </c>
      <c r="L274" s="139">
        <f>AVERAGEIFS(Sentiment!$K:$K, Sentiment!$C:$C, $A274, Sentiment!$J:$J, "YES")
</f>
        <v>-0.2333333333</v>
      </c>
      <c r="M274" s="139"/>
      <c r="N274" s="140"/>
      <c r="O274" s="139">
        <f>AVERAGEIFS(Sentiment!P:P, Sentiment!C:C, A274, Sentiment!J:J, "YES")
</f>
        <v>-0.2333333333</v>
      </c>
      <c r="P274" s="141"/>
      <c r="Q274" s="142"/>
    </row>
    <row r="275">
      <c r="A275" s="130">
        <v>45565.0</v>
      </c>
      <c r="B275" s="143">
        <v>11.85</v>
      </c>
      <c r="C275" s="144">
        <f>B275/B272-1</f>
        <v>0.007653061224</v>
      </c>
      <c r="D275" s="144">
        <f t="shared" ref="D275:D278" si="311">C276</f>
        <v>0.007594936709</v>
      </c>
      <c r="E275" s="145">
        <f t="shared" ref="E275:E279" si="312">IF(D275&gt;0,1,0)</f>
        <v>1</v>
      </c>
      <c r="F275" s="146">
        <v>11877.3</v>
      </c>
      <c r="G275" s="147">
        <f>F275/F272-1</f>
        <v>-0.00757025042</v>
      </c>
      <c r="H275" s="147">
        <f t="shared" ref="H275:H278" si="313">D275-G276</f>
        <v>0.02475371859</v>
      </c>
      <c r="I275" s="148">
        <v>71.77</v>
      </c>
      <c r="J275" s="156">
        <f>I275/I272-1</f>
        <v>-0.002917477077</v>
      </c>
      <c r="K275" s="150" t="s">
        <v>27</v>
      </c>
      <c r="L275" s="151">
        <f>AVERAGEIFS(Sentiment!$K:$K, Sentiment!$C:$C, $A275, Sentiment!$J:$J, "YES")
</f>
        <v>0.05</v>
      </c>
      <c r="M275" s="152">
        <v>-0.13</v>
      </c>
      <c r="N275" s="153">
        <f t="shared" ref="N275:N279" si="314">IF(M275&gt;0,1,0)</f>
        <v>0</v>
      </c>
      <c r="O275" s="151">
        <f>AVERAGEIFS(Sentiment!P:P, Sentiment!C:C, A275, Sentiment!J:J, "YES")
</f>
        <v>0.01666666667</v>
      </c>
      <c r="P275" s="152">
        <v>-0.09</v>
      </c>
      <c r="Q275" s="154">
        <f t="shared" ref="Q275:Q279" si="315">IF(P275&gt;0,1,0)</f>
        <v>0</v>
      </c>
    </row>
    <row r="276">
      <c r="A276" s="130">
        <v>45566.0</v>
      </c>
      <c r="B276" s="131">
        <v>11.94</v>
      </c>
      <c r="C276" s="132">
        <f t="shared" ref="C276:C279" si="316">B276/B275-1</f>
        <v>0.007594936709</v>
      </c>
      <c r="D276" s="132">
        <f t="shared" si="311"/>
        <v>0.003350083752</v>
      </c>
      <c r="E276" s="133">
        <f t="shared" si="312"/>
        <v>1</v>
      </c>
      <c r="F276" s="134">
        <v>11673.5</v>
      </c>
      <c r="G276" s="135">
        <f t="shared" ref="G276:G279" si="317">F276/F275-1</f>
        <v>-0.01715878188</v>
      </c>
      <c r="H276" s="135">
        <f t="shared" si="313"/>
        <v>0.008806887624</v>
      </c>
      <c r="I276" s="136">
        <v>73.56</v>
      </c>
      <c r="J276" s="155">
        <f t="shared" ref="J276:J279" si="318">I276/I275-1</f>
        <v>0.02494078306</v>
      </c>
      <c r="K276" s="138" t="s">
        <v>27</v>
      </c>
      <c r="L276" s="139">
        <f>AVERAGEIFS(Sentiment!$K:$K, Sentiment!$C:$C, $A276, Sentiment!$J:$J, "YES")
</f>
        <v>0.2833333333</v>
      </c>
      <c r="M276" s="139">
        <f>AVERAGEIFS(Sentiment!$K:$K, Sentiment!$C:$C, $A276, Sentiment!$J:$J, "YES")
</f>
        <v>0.2833333333</v>
      </c>
      <c r="N276" s="140">
        <f t="shared" si="314"/>
        <v>1</v>
      </c>
      <c r="O276" s="139">
        <f>AVERAGEIFS(Sentiment!P:P, Sentiment!C:C, A276, Sentiment!J:J, "YES")
</f>
        <v>0.3</v>
      </c>
      <c r="P276" s="141">
        <v>0.3</v>
      </c>
      <c r="Q276" s="142">
        <f t="shared" si="315"/>
        <v>1</v>
      </c>
    </row>
    <row r="277">
      <c r="A277" s="130">
        <v>45567.0</v>
      </c>
      <c r="B277" s="143">
        <v>11.98</v>
      </c>
      <c r="C277" s="144">
        <f t="shared" si="316"/>
        <v>0.003350083752</v>
      </c>
      <c r="D277" s="144">
        <f t="shared" si="311"/>
        <v>0.01252086811</v>
      </c>
      <c r="E277" s="145">
        <f t="shared" si="312"/>
        <v>1</v>
      </c>
      <c r="F277" s="146">
        <v>11609.8</v>
      </c>
      <c r="G277" s="147">
        <f t="shared" si="317"/>
        <v>-0.005456803872</v>
      </c>
      <c r="H277" s="147">
        <f t="shared" si="313"/>
        <v>0.01181456826</v>
      </c>
      <c r="I277" s="148">
        <v>73.9</v>
      </c>
      <c r="J277" s="156">
        <f t="shared" si="318"/>
        <v>0.004622077216</v>
      </c>
      <c r="K277" s="150" t="s">
        <v>27</v>
      </c>
      <c r="L277" s="151">
        <f>AVERAGEIFS(Sentiment!$K:$K, Sentiment!$C:$C, $A277, Sentiment!$J:$J, "YES")
</f>
        <v>0.05833333333</v>
      </c>
      <c r="M277" s="151">
        <f>AVERAGEIFS(Sentiment!$K:$K, Sentiment!$C:$C, $A277, Sentiment!$J:$J, "YES")
</f>
        <v>0.05833333333</v>
      </c>
      <c r="N277" s="157">
        <f t="shared" si="314"/>
        <v>1</v>
      </c>
      <c r="O277" s="151">
        <f>AVERAGEIFS(Sentiment!P:P, Sentiment!C:C, A277, Sentiment!J:J, "YES")
</f>
        <v>-0.025</v>
      </c>
      <c r="P277" s="158">
        <v>-0.024999999999999994</v>
      </c>
      <c r="Q277" s="159">
        <f t="shared" si="315"/>
        <v>0</v>
      </c>
    </row>
    <row r="278">
      <c r="A278" s="130">
        <v>45568.0</v>
      </c>
      <c r="B278" s="131">
        <v>12.13</v>
      </c>
      <c r="C278" s="132">
        <f t="shared" si="316"/>
        <v>0.01252086811</v>
      </c>
      <c r="D278" s="132">
        <f t="shared" si="311"/>
        <v>0.01483924155</v>
      </c>
      <c r="E278" s="133">
        <f t="shared" si="312"/>
        <v>1</v>
      </c>
      <c r="F278" s="134">
        <v>11618.0</v>
      </c>
      <c r="G278" s="135">
        <f t="shared" si="317"/>
        <v>0.0007062998501</v>
      </c>
      <c r="H278" s="135">
        <f t="shared" si="313"/>
        <v>0.01129302017</v>
      </c>
      <c r="I278" s="136">
        <v>77.62</v>
      </c>
      <c r="J278" s="155">
        <f t="shared" si="318"/>
        <v>0.05033829499</v>
      </c>
      <c r="K278" s="138" t="s">
        <v>27</v>
      </c>
      <c r="L278" s="139">
        <f>AVERAGEIFS(Sentiment!$K:$K, Sentiment!$C:$C, $A278, Sentiment!$J:$J, "YES")
</f>
        <v>0.3222222222</v>
      </c>
      <c r="M278" s="139">
        <f>AVERAGEIFS(Sentiment!$K:$K, Sentiment!$C:$C, $A278, Sentiment!$J:$J, "YES")
</f>
        <v>0.3222222222</v>
      </c>
      <c r="N278" s="140">
        <f t="shared" si="314"/>
        <v>1</v>
      </c>
      <c r="O278" s="139">
        <f>AVERAGEIFS(Sentiment!P:P, Sentiment!C:C, A278, Sentiment!J:J, "YES")
</f>
        <v>0.3111111111</v>
      </c>
      <c r="P278" s="141">
        <v>0.3111111111111111</v>
      </c>
      <c r="Q278" s="142">
        <f t="shared" si="315"/>
        <v>1</v>
      </c>
    </row>
    <row r="279">
      <c r="A279" s="130">
        <v>45569.0</v>
      </c>
      <c r="B279" s="143">
        <v>12.31</v>
      </c>
      <c r="C279" s="144">
        <f t="shared" si="316"/>
        <v>0.01483924155</v>
      </c>
      <c r="D279" s="144">
        <f>C282</f>
        <v>0.008935824533</v>
      </c>
      <c r="E279" s="145">
        <f t="shared" si="312"/>
        <v>1</v>
      </c>
      <c r="F279" s="146">
        <v>11659.2</v>
      </c>
      <c r="G279" s="147">
        <f t="shared" si="317"/>
        <v>0.003546221381</v>
      </c>
      <c r="H279" s="147">
        <f>D279-G282</f>
        <v>0.003935481456</v>
      </c>
      <c r="I279" s="148">
        <v>78.05</v>
      </c>
      <c r="J279" s="156">
        <f t="shared" si="318"/>
        <v>0.005539809327</v>
      </c>
      <c r="K279" s="150" t="s">
        <v>27</v>
      </c>
      <c r="L279" s="151">
        <f>AVERAGEIFS(Sentiment!$K:$K, Sentiment!$C:$C, $A279, Sentiment!$J:$J, "YES")
</f>
        <v>0.52</v>
      </c>
      <c r="M279" s="151">
        <f>AVERAGEIFS(Sentiment!$K:$K, Sentiment!$C:$C, $A279, Sentiment!$J:$J, "YES")
</f>
        <v>0.52</v>
      </c>
      <c r="N279" s="157">
        <f t="shared" si="314"/>
        <v>1</v>
      </c>
      <c r="O279" s="151">
        <f>AVERAGEIFS(Sentiment!P:P, Sentiment!C:C, A279, Sentiment!J:J, "YES")
</f>
        <v>0.4</v>
      </c>
      <c r="P279" s="158">
        <v>0.4</v>
      </c>
      <c r="Q279" s="159">
        <f t="shared" si="315"/>
        <v>1</v>
      </c>
    </row>
    <row r="280">
      <c r="A280" s="130">
        <v>45570.0</v>
      </c>
      <c r="B280" s="131"/>
      <c r="C280" s="132"/>
      <c r="D280" s="132"/>
      <c r="E280" s="133"/>
      <c r="F280" s="134"/>
      <c r="G280" s="135"/>
      <c r="H280" s="135"/>
      <c r="I280" s="136"/>
      <c r="J280" s="137"/>
      <c r="K280" s="138" t="s">
        <v>27</v>
      </c>
      <c r="L280" s="139">
        <f>AVERAGEIFS(Sentiment!$K:$K, Sentiment!$C:$C, $A280, Sentiment!$J:$J, "YES")
</f>
        <v>0.225</v>
      </c>
      <c r="M280" s="139"/>
      <c r="N280" s="140"/>
      <c r="O280" s="139">
        <f>AVERAGEIFS(Sentiment!P:P, Sentiment!C:C, A280, Sentiment!J:J, "YES")
</f>
        <v>0.1125</v>
      </c>
      <c r="P280" s="141"/>
      <c r="Q280" s="142"/>
    </row>
    <row r="281">
      <c r="A281" s="130">
        <v>45571.0</v>
      </c>
      <c r="B281" s="143"/>
      <c r="C281" s="144"/>
      <c r="D281" s="144"/>
      <c r="E281" s="145"/>
      <c r="F281" s="146"/>
      <c r="G281" s="147"/>
      <c r="H281" s="147"/>
      <c r="I281" s="148"/>
      <c r="J281" s="160"/>
      <c r="K281" s="150" t="s">
        <v>27</v>
      </c>
      <c r="L281" s="151">
        <f>AVERAGEIFS(Sentiment!$K:$K, Sentiment!$C:$C, $A281, Sentiment!$J:$J, "YES")
</f>
        <v>-0.1</v>
      </c>
      <c r="M281" s="151"/>
      <c r="N281" s="157"/>
      <c r="O281" s="151">
        <f>AVERAGEIFS(Sentiment!P:P, Sentiment!C:C, A281, Sentiment!J:J, "YES")
</f>
        <v>-0.15</v>
      </c>
      <c r="P281" s="158"/>
      <c r="Q281" s="159"/>
    </row>
    <row r="282">
      <c r="A282" s="130">
        <v>45572.0</v>
      </c>
      <c r="B282" s="131">
        <v>12.42</v>
      </c>
      <c r="C282" s="132">
        <f>B282/B279-1</f>
        <v>0.008935824533</v>
      </c>
      <c r="D282" s="132">
        <f t="shared" ref="D282:D285" si="319">C283</f>
        <v>-0.02898550725</v>
      </c>
      <c r="E282" s="133">
        <f t="shared" ref="E282:E286" si="320">IF(D282&gt;0,1,0)</f>
        <v>0</v>
      </c>
      <c r="F282" s="134">
        <v>11717.5</v>
      </c>
      <c r="G282" s="135">
        <f>F282/F279-1</f>
        <v>0.005000343077</v>
      </c>
      <c r="H282" s="135">
        <f t="shared" ref="H282:H285" si="321">D282-G283</f>
        <v>-0.03045339715</v>
      </c>
      <c r="I282" s="136">
        <v>80.93</v>
      </c>
      <c r="J282" s="155">
        <f>I282/I279-1</f>
        <v>0.03689942345</v>
      </c>
      <c r="K282" s="138" t="s">
        <v>27</v>
      </c>
      <c r="L282" s="139">
        <f>AVERAGEIFS(Sentiment!$K:$K, Sentiment!$C:$C, $A282, Sentiment!$J:$J, "YES")
</f>
        <v>-0.01666666667</v>
      </c>
      <c r="M282" s="152">
        <v>0.05</v>
      </c>
      <c r="N282" s="153">
        <f t="shared" ref="N282:N286" si="322">IF(M282&gt;0,1,0)</f>
        <v>1</v>
      </c>
      <c r="O282" s="139">
        <f>AVERAGEIFS(Sentiment!P:P, Sentiment!C:C, A282, Sentiment!J:J, "YES")
</f>
        <v>-0.2166666667</v>
      </c>
      <c r="P282" s="152">
        <v>-0.1</v>
      </c>
      <c r="Q282" s="154">
        <f t="shared" ref="Q282:Q286" si="323">IF(P282&gt;0,1,0)</f>
        <v>0</v>
      </c>
    </row>
    <row r="283">
      <c r="A283" s="130">
        <v>45573.0</v>
      </c>
      <c r="B283" s="143">
        <v>12.06</v>
      </c>
      <c r="C283" s="144">
        <f t="shared" ref="C283:C286" si="324">B283/B282-1</f>
        <v>-0.02898550725</v>
      </c>
      <c r="D283" s="144">
        <f t="shared" si="319"/>
        <v>-0.001658374793</v>
      </c>
      <c r="E283" s="145">
        <f t="shared" si="320"/>
        <v>0</v>
      </c>
      <c r="F283" s="146">
        <v>11734.7</v>
      </c>
      <c r="G283" s="147">
        <f t="shared" ref="G283:G286" si="325">F283/F282-1</f>
        <v>0.001467889908</v>
      </c>
      <c r="H283" s="147">
        <f t="shared" si="321"/>
        <v>-0.002237852751</v>
      </c>
      <c r="I283" s="148">
        <v>77.18</v>
      </c>
      <c r="J283" s="156">
        <f t="shared" ref="J283:J286" si="326">I283/I282-1</f>
        <v>-0.04633634005</v>
      </c>
      <c r="K283" s="150" t="s">
        <v>27</v>
      </c>
      <c r="L283" s="151">
        <f>AVERAGEIFS(Sentiment!$K:$K, Sentiment!$C:$C, $A283, Sentiment!$J:$J, "YES")
</f>
        <v>0.01428571429</v>
      </c>
      <c r="M283" s="151">
        <f>AVERAGEIFS(Sentiment!$K:$K, Sentiment!$C:$C, $A283, Sentiment!$J:$J, "YES")
</f>
        <v>0.01428571429</v>
      </c>
      <c r="N283" s="157">
        <f t="shared" si="322"/>
        <v>1</v>
      </c>
      <c r="O283" s="151">
        <f>AVERAGEIFS(Sentiment!P:P, Sentiment!C:C, A283, Sentiment!J:J, "YES")
</f>
        <v>-0.1</v>
      </c>
      <c r="P283" s="158">
        <v>-0.09999999999999999</v>
      </c>
      <c r="Q283" s="159">
        <f t="shared" si="323"/>
        <v>0</v>
      </c>
    </row>
    <row r="284">
      <c r="A284" s="130">
        <v>45574.0</v>
      </c>
      <c r="B284" s="131">
        <v>12.04</v>
      </c>
      <c r="C284" s="132">
        <f t="shared" si="324"/>
        <v>-0.001658374793</v>
      </c>
      <c r="D284" s="132">
        <f t="shared" si="319"/>
        <v>0.0008305647841</v>
      </c>
      <c r="E284" s="133">
        <f t="shared" si="320"/>
        <v>1</v>
      </c>
      <c r="F284" s="134">
        <v>11741.5</v>
      </c>
      <c r="G284" s="135">
        <f t="shared" si="325"/>
        <v>0.0005794779585</v>
      </c>
      <c r="H284" s="135">
        <f t="shared" si="321"/>
        <v>0.008052810664</v>
      </c>
      <c r="I284" s="136">
        <v>76.58</v>
      </c>
      <c r="J284" s="155">
        <f t="shared" si="326"/>
        <v>-0.007774034724</v>
      </c>
      <c r="K284" s="138" t="s">
        <v>27</v>
      </c>
      <c r="L284" s="139">
        <f>AVERAGEIFS(Sentiment!$K:$K, Sentiment!$C:$C, $A284, Sentiment!$J:$J, "YES")
</f>
        <v>-0.2071428571</v>
      </c>
      <c r="M284" s="139">
        <f>AVERAGEIFS(Sentiment!$K:$K, Sentiment!$C:$C, $A284, Sentiment!$J:$J, "YES")
</f>
        <v>-0.2071428571</v>
      </c>
      <c r="N284" s="140">
        <f t="shared" si="322"/>
        <v>0</v>
      </c>
      <c r="O284" s="139">
        <f>AVERAGEIFS(Sentiment!P:P, Sentiment!C:C, A284, Sentiment!J:J, "YES")
</f>
        <v>-0.1214285714</v>
      </c>
      <c r="P284" s="141">
        <v>-0.12142857142857143</v>
      </c>
      <c r="Q284" s="142">
        <f t="shared" si="323"/>
        <v>0</v>
      </c>
    </row>
    <row r="285">
      <c r="A285" s="130">
        <v>45575.0</v>
      </c>
      <c r="B285" s="143">
        <v>12.05</v>
      </c>
      <c r="C285" s="144">
        <f t="shared" si="324"/>
        <v>0.0008305647841</v>
      </c>
      <c r="D285" s="144">
        <f t="shared" si="319"/>
        <v>-0.002489626556</v>
      </c>
      <c r="E285" s="145">
        <f t="shared" si="320"/>
        <v>0</v>
      </c>
      <c r="F285" s="146">
        <v>11656.7</v>
      </c>
      <c r="G285" s="147">
        <f t="shared" si="325"/>
        <v>-0.00722224588</v>
      </c>
      <c r="H285" s="147">
        <f t="shared" si="321"/>
        <v>-0.007919979915</v>
      </c>
      <c r="I285" s="148">
        <v>79.4</v>
      </c>
      <c r="J285" s="156">
        <f t="shared" si="326"/>
        <v>0.03682423609</v>
      </c>
      <c r="K285" s="150" t="s">
        <v>27</v>
      </c>
      <c r="L285" s="151">
        <f>AVERAGEIFS(Sentiment!$K:$K, Sentiment!$C:$C, $A285, Sentiment!$J:$J, "YES")
</f>
        <v>-0.2</v>
      </c>
      <c r="M285" s="151">
        <f>AVERAGEIFS(Sentiment!$K:$K, Sentiment!$C:$C, $A285, Sentiment!$J:$J, "YES")
</f>
        <v>-0.2</v>
      </c>
      <c r="N285" s="157">
        <f t="shared" si="322"/>
        <v>0</v>
      </c>
      <c r="O285" s="151">
        <f>AVERAGEIFS(Sentiment!P:P, Sentiment!C:C, A285, Sentiment!J:J, "YES")
</f>
        <v>-0.2285714286</v>
      </c>
      <c r="P285" s="158">
        <v>-0.22857142857142856</v>
      </c>
      <c r="Q285" s="159">
        <f t="shared" si="323"/>
        <v>0</v>
      </c>
    </row>
    <row r="286">
      <c r="A286" s="130">
        <v>45576.0</v>
      </c>
      <c r="B286" s="131">
        <v>12.02</v>
      </c>
      <c r="C286" s="132">
        <f t="shared" si="324"/>
        <v>-0.002489626556</v>
      </c>
      <c r="D286" s="132">
        <f>C289</f>
        <v>-0.007487520799</v>
      </c>
      <c r="E286" s="133">
        <f t="shared" si="320"/>
        <v>0</v>
      </c>
      <c r="F286" s="134">
        <v>11720.0</v>
      </c>
      <c r="G286" s="135">
        <f t="shared" si="325"/>
        <v>0.005430353359</v>
      </c>
      <c r="H286" s="135">
        <f>D286-G289</f>
        <v>-0.01865646278</v>
      </c>
      <c r="I286" s="136">
        <v>79.04</v>
      </c>
      <c r="J286" s="155">
        <f t="shared" si="326"/>
        <v>-0.004534005038</v>
      </c>
      <c r="K286" s="138" t="s">
        <v>27</v>
      </c>
      <c r="L286" s="139">
        <f>AVERAGEIFS(Sentiment!$K:$K, Sentiment!$C:$C, $A286, Sentiment!$J:$J, "YES")
</f>
        <v>-0.04</v>
      </c>
      <c r="M286" s="139">
        <f>AVERAGEIFS(Sentiment!$K:$K, Sentiment!$C:$C, $A286, Sentiment!$J:$J, "YES")
</f>
        <v>-0.04</v>
      </c>
      <c r="N286" s="140">
        <f t="shared" si="322"/>
        <v>0</v>
      </c>
      <c r="O286" s="139">
        <f>AVERAGEIFS(Sentiment!P:P, Sentiment!C:C, A286, Sentiment!J:J, "YES")
</f>
        <v>0.04</v>
      </c>
      <c r="P286" s="141">
        <v>0.039999999999999994</v>
      </c>
      <c r="Q286" s="142">
        <f t="shared" si="323"/>
        <v>1</v>
      </c>
    </row>
    <row r="287">
      <c r="A287" s="130">
        <v>45577.0</v>
      </c>
      <c r="B287" s="143"/>
      <c r="C287" s="144"/>
      <c r="D287" s="144"/>
      <c r="E287" s="145"/>
      <c r="F287" s="146"/>
      <c r="G287" s="147"/>
      <c r="H287" s="147"/>
      <c r="I287" s="148"/>
      <c r="J287" s="160"/>
      <c r="K287" s="150" t="s">
        <v>27</v>
      </c>
      <c r="L287" s="151">
        <f>AVERAGEIFS(Sentiment!$K:$K, Sentiment!$C:$C, $A287, Sentiment!$J:$J, "YES")
</f>
        <v>0.325</v>
      </c>
      <c r="M287" s="151"/>
      <c r="N287" s="157"/>
      <c r="O287" s="151">
        <f>AVERAGEIFS(Sentiment!P:P, Sentiment!C:C, A287, Sentiment!J:J, "YES")
</f>
        <v>0.375</v>
      </c>
      <c r="P287" s="158"/>
      <c r="Q287" s="159"/>
    </row>
    <row r="288">
      <c r="A288" s="130">
        <v>45578.0</v>
      </c>
      <c r="B288" s="131"/>
      <c r="C288" s="132"/>
      <c r="D288" s="132"/>
      <c r="E288" s="133"/>
      <c r="F288" s="134"/>
      <c r="G288" s="135"/>
      <c r="H288" s="135"/>
      <c r="I288" s="136"/>
      <c r="J288" s="137"/>
      <c r="K288" s="138" t="s">
        <v>27</v>
      </c>
      <c r="L288" s="139">
        <f>AVERAGEIFS(Sentiment!$K:$K, Sentiment!$C:$C, $A288, Sentiment!$J:$J, "YES")
</f>
        <v>0.4</v>
      </c>
      <c r="M288" s="139"/>
      <c r="N288" s="140"/>
      <c r="O288" s="139">
        <f>AVERAGEIFS(Sentiment!P:P, Sentiment!C:C, A288, Sentiment!J:J, "YES")
</f>
        <v>0.3428571429</v>
      </c>
      <c r="P288" s="141"/>
      <c r="Q288" s="142"/>
    </row>
    <row r="289">
      <c r="A289" s="130">
        <v>45579.0</v>
      </c>
      <c r="B289" s="143">
        <v>11.93</v>
      </c>
      <c r="C289" s="144">
        <f>B289/B286-1</f>
        <v>-0.007487520799</v>
      </c>
      <c r="D289" s="144">
        <f t="shared" ref="D289:D292" si="327">C290</f>
        <v>-0.02011735122</v>
      </c>
      <c r="E289" s="145">
        <f t="shared" ref="E289:E293" si="328">IF(D289&gt;0,1,0)</f>
        <v>0</v>
      </c>
      <c r="F289" s="146">
        <v>11850.9</v>
      </c>
      <c r="G289" s="147">
        <f>F289/F286-1</f>
        <v>0.01116894198</v>
      </c>
      <c r="H289" s="147">
        <f t="shared" ref="H289:H292" si="329">D289-G290</f>
        <v>-0.02680882612</v>
      </c>
      <c r="I289" s="148">
        <v>77.46</v>
      </c>
      <c r="J289" s="156">
        <f>I289/I286-1</f>
        <v>-0.01998987854</v>
      </c>
      <c r="K289" s="150" t="s">
        <v>27</v>
      </c>
      <c r="L289" s="151">
        <f>AVERAGEIFS(Sentiment!$K:$K, Sentiment!$C:$C, $A289, Sentiment!$J:$J, "YES")
</f>
        <v>0.3428571429</v>
      </c>
      <c r="M289" s="152">
        <v>0.36</v>
      </c>
      <c r="N289" s="153">
        <f t="shared" ref="N289:N293" si="330">IF(M289&gt;0,1,0)</f>
        <v>1</v>
      </c>
      <c r="O289" s="151">
        <f>AVERAGEIFS(Sentiment!P:P, Sentiment!C:C, A289, Sentiment!J:J, "YES")
</f>
        <v>0.2428571429</v>
      </c>
      <c r="P289" s="152">
        <v>0.31</v>
      </c>
      <c r="Q289" s="154">
        <f t="shared" ref="Q289:Q293" si="331">IF(P289&gt;0,1,0)</f>
        <v>1</v>
      </c>
    </row>
    <row r="290">
      <c r="A290" s="130">
        <v>45580.0</v>
      </c>
      <c r="B290" s="131">
        <v>11.69</v>
      </c>
      <c r="C290" s="132">
        <f t="shared" ref="C290:C293" si="332">B290/B289-1</f>
        <v>-0.02011735122</v>
      </c>
      <c r="D290" s="132">
        <f t="shared" si="327"/>
        <v>0.001710863986</v>
      </c>
      <c r="E290" s="133">
        <f t="shared" si="328"/>
        <v>1</v>
      </c>
      <c r="F290" s="134">
        <v>11930.2</v>
      </c>
      <c r="G290" s="135">
        <f t="shared" ref="G290:G293" si="333">F290/F289-1</f>
        <v>0.006691474909</v>
      </c>
      <c r="H290" s="135">
        <f t="shared" si="329"/>
        <v>-0.0038632253</v>
      </c>
      <c r="I290" s="136">
        <v>74.25</v>
      </c>
      <c r="J290" s="155">
        <f t="shared" ref="J290:J293" si="334">I290/I289-1</f>
        <v>-0.04144074361</v>
      </c>
      <c r="K290" s="138" t="s">
        <v>27</v>
      </c>
      <c r="L290" s="139">
        <f>AVERAGEIFS(Sentiment!$K:$K, Sentiment!$C:$C, $A290, Sentiment!$J:$J, "YES")
</f>
        <v>0.1</v>
      </c>
      <c r="M290" s="139">
        <f>AVERAGEIFS(Sentiment!$K:$K, Sentiment!$C:$C, $A290, Sentiment!$J:$J, "YES")
</f>
        <v>0.1</v>
      </c>
      <c r="N290" s="140">
        <f t="shared" si="330"/>
        <v>1</v>
      </c>
      <c r="O290" s="139">
        <f>AVERAGEIFS(Sentiment!P:P, Sentiment!C:C, A290, Sentiment!J:J, "YES")
</f>
        <v>0.03333333333</v>
      </c>
      <c r="P290" s="141">
        <v>0.033333333333333354</v>
      </c>
      <c r="Q290" s="142">
        <f t="shared" si="331"/>
        <v>1</v>
      </c>
    </row>
    <row r="291">
      <c r="A291" s="130">
        <v>45581.0</v>
      </c>
      <c r="B291" s="143">
        <v>11.71</v>
      </c>
      <c r="C291" s="144">
        <f t="shared" si="332"/>
        <v>0.001710863986</v>
      </c>
      <c r="D291" s="144">
        <f t="shared" si="327"/>
        <v>0.00170794193</v>
      </c>
      <c r="E291" s="145">
        <f t="shared" si="328"/>
        <v>1</v>
      </c>
      <c r="F291" s="146">
        <v>11996.7</v>
      </c>
      <c r="G291" s="147">
        <f t="shared" si="333"/>
        <v>0.005574089286</v>
      </c>
      <c r="H291" s="147">
        <f t="shared" si="329"/>
        <v>0.009393388761</v>
      </c>
      <c r="I291" s="148">
        <v>74.22</v>
      </c>
      <c r="J291" s="156">
        <f t="shared" si="334"/>
        <v>-0.000404040404</v>
      </c>
      <c r="K291" s="150" t="s">
        <v>27</v>
      </c>
      <c r="L291" s="151">
        <f>AVERAGEIFS(Sentiment!$K:$K, Sentiment!$C:$C, $A291, Sentiment!$J:$J, "YES")
</f>
        <v>-0.1444444444</v>
      </c>
      <c r="M291" s="151">
        <f>AVERAGEIFS(Sentiment!$K:$K, Sentiment!$C:$C, $A291, Sentiment!$J:$J, "YES")
</f>
        <v>-0.1444444444</v>
      </c>
      <c r="N291" s="157">
        <f t="shared" si="330"/>
        <v>0</v>
      </c>
      <c r="O291" s="151">
        <f>AVERAGEIFS(Sentiment!P:P, Sentiment!C:C, A291, Sentiment!J:J, "YES")
</f>
        <v>-0.03333333333</v>
      </c>
      <c r="P291" s="158">
        <v>-0.03333333333333336</v>
      </c>
      <c r="Q291" s="159">
        <f t="shared" si="331"/>
        <v>0</v>
      </c>
    </row>
    <row r="292">
      <c r="A292" s="130">
        <v>45582.0</v>
      </c>
      <c r="B292" s="131">
        <v>11.73</v>
      </c>
      <c r="C292" s="132">
        <f t="shared" si="332"/>
        <v>0.00170794193</v>
      </c>
      <c r="D292" s="132">
        <f t="shared" si="327"/>
        <v>-0.000852514919</v>
      </c>
      <c r="E292" s="133">
        <f t="shared" si="328"/>
        <v>0</v>
      </c>
      <c r="F292" s="134">
        <v>11904.5</v>
      </c>
      <c r="G292" s="135">
        <f t="shared" si="333"/>
        <v>-0.007685446831</v>
      </c>
      <c r="H292" s="135">
        <f t="shared" si="329"/>
        <v>-0.002591353173</v>
      </c>
      <c r="I292" s="136">
        <v>74.45</v>
      </c>
      <c r="J292" s="155">
        <f t="shared" si="334"/>
        <v>0.003098895177</v>
      </c>
      <c r="K292" s="138" t="s">
        <v>27</v>
      </c>
      <c r="L292" s="139">
        <f>AVERAGEIFS(Sentiment!$K:$K, Sentiment!$C:$C, $A292, Sentiment!$J:$J, "YES")
</f>
        <v>-0.45</v>
      </c>
      <c r="M292" s="139">
        <f>AVERAGEIFS(Sentiment!$K:$K, Sentiment!$C:$C, $A292, Sentiment!$J:$J, "YES")
</f>
        <v>-0.45</v>
      </c>
      <c r="N292" s="140">
        <f t="shared" si="330"/>
        <v>0</v>
      </c>
      <c r="O292" s="139">
        <f>AVERAGEIFS(Sentiment!P:P, Sentiment!C:C, A292, Sentiment!J:J, "YES")
</f>
        <v>-0.35</v>
      </c>
      <c r="P292" s="141">
        <v>-0.35</v>
      </c>
      <c r="Q292" s="142">
        <f t="shared" si="331"/>
        <v>0</v>
      </c>
    </row>
    <row r="293">
      <c r="A293" s="130">
        <v>45583.0</v>
      </c>
      <c r="B293" s="143">
        <v>11.72</v>
      </c>
      <c r="C293" s="144">
        <f t="shared" si="332"/>
        <v>-0.000852514919</v>
      </c>
      <c r="D293" s="144">
        <f>C296</f>
        <v>0.008532423208</v>
      </c>
      <c r="E293" s="145">
        <f t="shared" si="328"/>
        <v>1</v>
      </c>
      <c r="F293" s="146">
        <v>11925.2</v>
      </c>
      <c r="G293" s="147">
        <f t="shared" si="333"/>
        <v>0.001738838254</v>
      </c>
      <c r="H293" s="147">
        <f>D293-G296</f>
        <v>0.01558471583</v>
      </c>
      <c r="I293" s="148">
        <v>73.06</v>
      </c>
      <c r="J293" s="156">
        <f t="shared" si="334"/>
        <v>-0.01867024849</v>
      </c>
      <c r="K293" s="150" t="s">
        <v>27</v>
      </c>
      <c r="L293" s="151">
        <f>AVERAGEIFS(Sentiment!$K:$K, Sentiment!$C:$C, $A293, Sentiment!$J:$J, "YES")
</f>
        <v>0.2</v>
      </c>
      <c r="M293" s="151">
        <f>AVERAGEIFS(Sentiment!$K:$K, Sentiment!$C:$C, $A293, Sentiment!$J:$J, "YES")
</f>
        <v>0.2</v>
      </c>
      <c r="N293" s="157">
        <f t="shared" si="330"/>
        <v>1</v>
      </c>
      <c r="O293" s="151">
        <f>AVERAGEIFS(Sentiment!P:P, Sentiment!C:C, A293, Sentiment!J:J, "YES")
</f>
        <v>0.08571428571</v>
      </c>
      <c r="P293" s="158">
        <v>0.08571428571428572</v>
      </c>
      <c r="Q293" s="159">
        <f t="shared" si="331"/>
        <v>1</v>
      </c>
    </row>
    <row r="294">
      <c r="A294" s="130">
        <v>45584.0</v>
      </c>
      <c r="B294" s="131"/>
      <c r="C294" s="132"/>
      <c r="D294" s="132"/>
      <c r="E294" s="133"/>
      <c r="F294" s="134"/>
      <c r="G294" s="135"/>
      <c r="H294" s="135"/>
      <c r="I294" s="136"/>
      <c r="J294" s="137"/>
      <c r="K294" s="138" t="s">
        <v>27</v>
      </c>
      <c r="L294" s="139">
        <f>AVERAGEIFS(Sentiment!$K:$K, Sentiment!$C:$C, $A294, Sentiment!$J:$J, "YES")
</f>
        <v>0.4</v>
      </c>
      <c r="M294" s="139"/>
      <c r="N294" s="140"/>
      <c r="O294" s="139">
        <f>AVERAGEIFS(Sentiment!P:P, Sentiment!C:C, A294, Sentiment!J:J, "YES")
</f>
        <v>0.42</v>
      </c>
      <c r="P294" s="141"/>
      <c r="Q294" s="142"/>
    </row>
    <row r="295">
      <c r="A295" s="130">
        <v>45585.0</v>
      </c>
      <c r="B295" s="143"/>
      <c r="C295" s="144"/>
      <c r="D295" s="144"/>
      <c r="E295" s="145"/>
      <c r="F295" s="146"/>
      <c r="G295" s="147"/>
      <c r="H295" s="147"/>
      <c r="I295" s="148"/>
      <c r="J295" s="160"/>
      <c r="K295" s="150" t="s">
        <v>27</v>
      </c>
      <c r="L295" s="151">
        <f>AVERAGEIFS(Sentiment!$K:$K, Sentiment!$C:$C, $A295, Sentiment!$J:$J, "YES")
</f>
        <v>-0.55</v>
      </c>
      <c r="M295" s="151"/>
      <c r="N295" s="157"/>
      <c r="O295" s="151">
        <f>AVERAGEIFS(Sentiment!P:P, Sentiment!C:C, A295, Sentiment!J:J, "YES")
</f>
        <v>-0.65</v>
      </c>
      <c r="P295" s="158"/>
      <c r="Q295" s="159"/>
    </row>
    <row r="296">
      <c r="A296" s="130">
        <v>45586.0</v>
      </c>
      <c r="B296" s="131">
        <v>11.82</v>
      </c>
      <c r="C296" s="132">
        <f>B296/B293-1</f>
        <v>0.008532423208</v>
      </c>
      <c r="D296" s="132">
        <f t="shared" ref="D296:D299" si="335">C297</f>
        <v>0.01099830795</v>
      </c>
      <c r="E296" s="133">
        <f t="shared" ref="E296:E300" si="336">IF(D296&gt;0,1,0)</f>
        <v>1</v>
      </c>
      <c r="F296" s="134">
        <v>11841.1</v>
      </c>
      <c r="G296" s="135">
        <f>F296/F293-1</f>
        <v>-0.007052292624</v>
      </c>
      <c r="H296" s="135">
        <f t="shared" ref="H296:H299" si="337">D296-G297</f>
        <v>0.01170770151</v>
      </c>
      <c r="I296" s="136">
        <v>74.29</v>
      </c>
      <c r="J296" s="155">
        <f>I296/I293-1</f>
        <v>0.01683547769</v>
      </c>
      <c r="K296" s="138" t="s">
        <v>27</v>
      </c>
      <c r="L296" s="139">
        <f>AVERAGEIFS(Sentiment!$K:$K, Sentiment!$C:$C, $A296, Sentiment!$J:$J, "YES")
</f>
        <v>-0.4148148148</v>
      </c>
      <c r="M296" s="152">
        <v>-0.29</v>
      </c>
      <c r="N296" s="153">
        <f t="shared" ref="N296:N300" si="338">IF(M296&gt;0,1,0)</f>
        <v>0</v>
      </c>
      <c r="O296" s="139">
        <f>AVERAGEIFS(Sentiment!P:P, Sentiment!C:C, A296, Sentiment!J:J, "YES")
</f>
        <v>-0.3888888889</v>
      </c>
      <c r="P296" s="152">
        <v>-0.29</v>
      </c>
      <c r="Q296" s="154">
        <f t="shared" ref="Q296:Q300" si="339">IF(P296&gt;0,1,0)</f>
        <v>0</v>
      </c>
    </row>
    <row r="297">
      <c r="A297" s="130">
        <v>45587.0</v>
      </c>
      <c r="B297" s="143">
        <v>11.95</v>
      </c>
      <c r="C297" s="144">
        <f t="shared" ref="C297:C300" si="340">B297/B296-1</f>
        <v>0.01099830795</v>
      </c>
      <c r="D297" s="144">
        <f t="shared" si="335"/>
        <v>-0.006694560669</v>
      </c>
      <c r="E297" s="145">
        <f t="shared" si="336"/>
        <v>0</v>
      </c>
      <c r="F297" s="146">
        <v>11832.7</v>
      </c>
      <c r="G297" s="147">
        <f t="shared" ref="G297:G300" si="341">F297/F296-1</f>
        <v>-0.000709393553</v>
      </c>
      <c r="H297" s="147">
        <f t="shared" si="337"/>
        <v>-0.009441186545</v>
      </c>
      <c r="I297" s="148">
        <v>76.04</v>
      </c>
      <c r="J297" s="156">
        <f t="shared" ref="J297:J300" si="342">I297/I296-1</f>
        <v>0.02355633329</v>
      </c>
      <c r="K297" s="150" t="s">
        <v>27</v>
      </c>
      <c r="L297" s="151">
        <f>AVERAGEIFS(Sentiment!$K:$K, Sentiment!$C:$C, $A297, Sentiment!$J:$J, "YES")
</f>
        <v>-0.5196428571</v>
      </c>
      <c r="M297" s="151">
        <f>AVERAGEIFS(Sentiment!$K:$K, Sentiment!$C:$C, $A297, Sentiment!$J:$J, "YES")
</f>
        <v>-0.5196428571</v>
      </c>
      <c r="N297" s="157">
        <f t="shared" si="338"/>
        <v>0</v>
      </c>
      <c r="O297" s="151">
        <f>AVERAGEIFS(Sentiment!P:P, Sentiment!C:C, A297, Sentiment!J:J, "YES")
</f>
        <v>-0.3732142857</v>
      </c>
      <c r="P297" s="158">
        <v>-0.37321428571428567</v>
      </c>
      <c r="Q297" s="159">
        <f t="shared" si="339"/>
        <v>0</v>
      </c>
    </row>
    <row r="298">
      <c r="A298" s="130">
        <v>45588.0</v>
      </c>
      <c r="B298" s="131">
        <v>11.87</v>
      </c>
      <c r="C298" s="132">
        <f t="shared" si="340"/>
        <v>-0.006694560669</v>
      </c>
      <c r="D298" s="132">
        <f t="shared" si="335"/>
        <v>0</v>
      </c>
      <c r="E298" s="133">
        <f t="shared" si="336"/>
        <v>0</v>
      </c>
      <c r="F298" s="134">
        <v>11865.2</v>
      </c>
      <c r="G298" s="135">
        <f t="shared" si="341"/>
        <v>0.002746625876</v>
      </c>
      <c r="H298" s="135">
        <f t="shared" si="337"/>
        <v>0.002140714021</v>
      </c>
      <c r="I298" s="136">
        <v>74.96</v>
      </c>
      <c r="J298" s="155">
        <f t="shared" si="342"/>
        <v>-0.01420305103</v>
      </c>
      <c r="K298" s="138" t="s">
        <v>27</v>
      </c>
      <c r="L298" s="139">
        <f>AVERAGEIFS(Sentiment!$K:$K, Sentiment!$C:$C, $A298, Sentiment!$J:$J, "YES")
</f>
        <v>-0.3321428571</v>
      </c>
      <c r="M298" s="139">
        <f>AVERAGEIFS(Sentiment!$K:$K, Sentiment!$C:$C, $A298, Sentiment!$J:$J, "YES")
</f>
        <v>-0.3321428571</v>
      </c>
      <c r="N298" s="140">
        <f t="shared" si="338"/>
        <v>0</v>
      </c>
      <c r="O298" s="139">
        <f>AVERAGEIFS(Sentiment!P:P, Sentiment!C:C, A298, Sentiment!J:J, "YES")
</f>
        <v>-0.07857142857</v>
      </c>
      <c r="P298" s="141">
        <v>-0.07857142857142854</v>
      </c>
      <c r="Q298" s="142">
        <f t="shared" si="339"/>
        <v>0</v>
      </c>
    </row>
    <row r="299">
      <c r="A299" s="130">
        <v>45589.0</v>
      </c>
      <c r="B299" s="143">
        <v>11.87</v>
      </c>
      <c r="C299" s="144">
        <f t="shared" si="340"/>
        <v>0</v>
      </c>
      <c r="D299" s="144">
        <f t="shared" si="335"/>
        <v>0.008424599832</v>
      </c>
      <c r="E299" s="145">
        <f t="shared" si="336"/>
        <v>1</v>
      </c>
      <c r="F299" s="146">
        <v>11839.8</v>
      </c>
      <c r="G299" s="147">
        <f t="shared" si="341"/>
        <v>-0.002140714021</v>
      </c>
      <c r="H299" s="147">
        <f t="shared" si="337"/>
        <v>0.01073038202</v>
      </c>
      <c r="I299" s="148">
        <v>74.38</v>
      </c>
      <c r="J299" s="156">
        <f t="shared" si="342"/>
        <v>-0.007737459979</v>
      </c>
      <c r="K299" s="150" t="s">
        <v>27</v>
      </c>
      <c r="L299" s="151">
        <f>AVERAGEIFS(Sentiment!$K:$K, Sentiment!$C:$C, $A299, Sentiment!$J:$J, "YES")
</f>
        <v>-0.4818181818</v>
      </c>
      <c r="M299" s="151">
        <f>AVERAGEIFS(Sentiment!$K:$K, Sentiment!$C:$C, $A299, Sentiment!$J:$J, "YES")
</f>
        <v>-0.4818181818</v>
      </c>
      <c r="N299" s="157">
        <f t="shared" si="338"/>
        <v>0</v>
      </c>
      <c r="O299" s="151">
        <f>AVERAGEIFS(Sentiment!P:P, Sentiment!C:C, A299, Sentiment!J:J, "YES")
</f>
        <v>-0.3227272727</v>
      </c>
      <c r="P299" s="158">
        <v>-0.3227272727272727</v>
      </c>
      <c r="Q299" s="159">
        <f t="shared" si="339"/>
        <v>0</v>
      </c>
    </row>
    <row r="300">
      <c r="A300" s="130">
        <v>45590.0</v>
      </c>
      <c r="B300" s="131">
        <v>11.97</v>
      </c>
      <c r="C300" s="132">
        <f t="shared" si="340"/>
        <v>0.008424599832</v>
      </c>
      <c r="D300" s="132">
        <f>C303</f>
        <v>-0.01336675021</v>
      </c>
      <c r="E300" s="133">
        <f t="shared" si="336"/>
        <v>0</v>
      </c>
      <c r="F300" s="134">
        <v>11812.5</v>
      </c>
      <c r="G300" s="135">
        <f t="shared" si="341"/>
        <v>-0.002305782192</v>
      </c>
      <c r="H300" s="135">
        <f>D300-G303</f>
        <v>-0.02111278195</v>
      </c>
      <c r="I300" s="136">
        <v>76.05</v>
      </c>
      <c r="J300" s="155">
        <f t="shared" si="342"/>
        <v>0.02245227212</v>
      </c>
      <c r="K300" s="138" t="s">
        <v>27</v>
      </c>
      <c r="L300" s="139">
        <f>AVERAGEIFS(Sentiment!$K:$K, Sentiment!$C:$C, $A300, Sentiment!$J:$J, "YES")
</f>
        <v>-0.56</v>
      </c>
      <c r="M300" s="139">
        <f>AVERAGEIFS(Sentiment!$K:$K, Sentiment!$C:$C, $A300, Sentiment!$J:$J, "YES")
</f>
        <v>-0.56</v>
      </c>
      <c r="N300" s="140">
        <f t="shared" si="338"/>
        <v>0</v>
      </c>
      <c r="O300" s="139">
        <f>AVERAGEIFS(Sentiment!P:P, Sentiment!C:C, A300, Sentiment!J:J, "YES")
</f>
        <v>-0.39</v>
      </c>
      <c r="P300" s="141">
        <v>-0.39</v>
      </c>
      <c r="Q300" s="142">
        <f t="shared" si="339"/>
        <v>0</v>
      </c>
    </row>
    <row r="301">
      <c r="A301" s="130">
        <v>45591.0</v>
      </c>
      <c r="B301" s="143"/>
      <c r="C301" s="144"/>
      <c r="D301" s="144"/>
      <c r="E301" s="145"/>
      <c r="F301" s="146"/>
      <c r="G301" s="147"/>
      <c r="H301" s="147"/>
      <c r="I301" s="148"/>
      <c r="J301" s="160"/>
      <c r="K301" s="150" t="s">
        <v>27</v>
      </c>
      <c r="L301" s="151">
        <f>AVERAGEIFS(Sentiment!$K:$K, Sentiment!$C:$C, $A301, Sentiment!$J:$J, "YES")
</f>
        <v>0</v>
      </c>
      <c r="M301" s="151"/>
      <c r="N301" s="157"/>
      <c r="O301" s="151">
        <f>AVERAGEIFS(Sentiment!P:P, Sentiment!C:C, A301, Sentiment!J:J, "YES")
</f>
        <v>0.03333333333</v>
      </c>
      <c r="P301" s="158"/>
      <c r="Q301" s="159"/>
    </row>
    <row r="302">
      <c r="A302" s="130">
        <v>45592.0</v>
      </c>
      <c r="B302" s="131"/>
      <c r="C302" s="132"/>
      <c r="D302" s="132"/>
      <c r="E302" s="133"/>
      <c r="F302" s="134"/>
      <c r="G302" s="135"/>
      <c r="H302" s="135"/>
      <c r="I302" s="136"/>
      <c r="J302" s="137"/>
      <c r="K302" s="138" t="s">
        <v>27</v>
      </c>
      <c r="L302" s="139">
        <f>AVERAGEIFS(Sentiment!$K:$K, Sentiment!$C:$C, $A302, Sentiment!$J:$J, "YES")
</f>
        <v>-0.4625</v>
      </c>
      <c r="M302" s="139"/>
      <c r="N302" s="140"/>
      <c r="O302" s="139">
        <f>AVERAGEIFS(Sentiment!P:P, Sentiment!C:C, A302, Sentiment!J:J, "YES")
</f>
        <v>-0.0875</v>
      </c>
      <c r="P302" s="141"/>
      <c r="Q302" s="142"/>
    </row>
    <row r="303">
      <c r="A303" s="130">
        <v>45593.0</v>
      </c>
      <c r="B303" s="143">
        <v>11.81</v>
      </c>
      <c r="C303" s="144">
        <f>B303/B300-1</f>
        <v>-0.01336675021</v>
      </c>
      <c r="D303" s="144">
        <f t="shared" ref="D303:D306" si="343">C304</f>
        <v>-0.01439458086</v>
      </c>
      <c r="E303" s="145">
        <f t="shared" ref="E303:E307" si="344">IF(D303&gt;0,1,0)</f>
        <v>0</v>
      </c>
      <c r="F303" s="146">
        <v>11904.0</v>
      </c>
      <c r="G303" s="147">
        <f>F303/F300-1</f>
        <v>0.007746031746</v>
      </c>
      <c r="H303" s="147">
        <f t="shared" ref="H303:H306" si="345">D303-G304</f>
        <v>-0.005263196455</v>
      </c>
      <c r="I303" s="148">
        <v>71.12</v>
      </c>
      <c r="J303" s="156">
        <f>I303/I300-1</f>
        <v>-0.06482577252</v>
      </c>
      <c r="K303" s="150" t="s">
        <v>27</v>
      </c>
      <c r="L303" s="151">
        <f>AVERAGEIFS(Sentiment!$K:$K, Sentiment!$C:$C, $A303, Sentiment!$J:$J, "YES")
</f>
        <v>-0.425</v>
      </c>
      <c r="M303" s="152">
        <v>-0.38</v>
      </c>
      <c r="N303" s="153">
        <f t="shared" ref="N303:N307" si="346">IF(M303&gt;0,1,0)</f>
        <v>0</v>
      </c>
      <c r="O303" s="151">
        <f>AVERAGEIFS(Sentiment!P:P, Sentiment!C:C, A303, Sentiment!J:J, "YES")
</f>
        <v>-0.3833333333</v>
      </c>
      <c r="P303" s="152">
        <v>-0.23</v>
      </c>
      <c r="Q303" s="154">
        <f t="shared" ref="Q303:Q307" si="347">IF(P303&gt;0,1,0)</f>
        <v>0</v>
      </c>
    </row>
    <row r="304">
      <c r="A304" s="130">
        <v>45594.0</v>
      </c>
      <c r="B304" s="131">
        <v>11.64</v>
      </c>
      <c r="C304" s="132">
        <f t="shared" ref="C304:C307" si="348">B304/B303-1</f>
        <v>-0.01439458086</v>
      </c>
      <c r="D304" s="132">
        <f t="shared" si="343"/>
        <v>0.004295532646</v>
      </c>
      <c r="E304" s="133">
        <f t="shared" si="344"/>
        <v>1</v>
      </c>
      <c r="F304" s="134">
        <v>11795.3</v>
      </c>
      <c r="G304" s="135">
        <f t="shared" ref="G304:G307" si="349">F304/F303-1</f>
        <v>-0.009131384409</v>
      </c>
      <c r="H304" s="135">
        <f t="shared" si="345"/>
        <v>0.01110332897</v>
      </c>
      <c r="I304" s="136">
        <v>72.55</v>
      </c>
      <c r="J304" s="155">
        <f t="shared" ref="J304:J307" si="350">I304/I303-1</f>
        <v>0.02010686164</v>
      </c>
      <c r="K304" s="138" t="s">
        <v>27</v>
      </c>
      <c r="L304" s="139">
        <f>AVERAGEIFS(Sentiment!$K:$K, Sentiment!$C:$C, $A304, Sentiment!$J:$J, "YES")
</f>
        <v>0.1083333333</v>
      </c>
      <c r="M304" s="139">
        <f>AVERAGEIFS(Sentiment!$K:$K, Sentiment!$C:$C, $A304, Sentiment!$J:$J, "YES")
</f>
        <v>0.1083333333</v>
      </c>
      <c r="N304" s="140">
        <f t="shared" si="346"/>
        <v>1</v>
      </c>
      <c r="O304" s="139">
        <f>AVERAGEIFS(Sentiment!P:P, Sentiment!C:C, A304, Sentiment!J:J, "YES")
</f>
        <v>0.06666666667</v>
      </c>
      <c r="P304" s="141">
        <v>0.06666666666666668</v>
      </c>
      <c r="Q304" s="142">
        <f t="shared" si="347"/>
        <v>1</v>
      </c>
    </row>
    <row r="305">
      <c r="A305" s="130">
        <v>45595.0</v>
      </c>
      <c r="B305" s="143">
        <v>11.69</v>
      </c>
      <c r="C305" s="144">
        <f t="shared" si="348"/>
        <v>0.004295532646</v>
      </c>
      <c r="D305" s="144">
        <f t="shared" si="343"/>
        <v>-0.02053036784</v>
      </c>
      <c r="E305" s="145">
        <f t="shared" si="344"/>
        <v>0</v>
      </c>
      <c r="F305" s="146">
        <v>11715.0</v>
      </c>
      <c r="G305" s="147">
        <f t="shared" si="349"/>
        <v>-0.006807796326</v>
      </c>
      <c r="H305" s="147">
        <f t="shared" si="345"/>
        <v>-0.01691107633</v>
      </c>
      <c r="I305" s="148">
        <v>73.16</v>
      </c>
      <c r="J305" s="156">
        <f t="shared" si="350"/>
        <v>0.008407994487</v>
      </c>
      <c r="K305" s="150" t="s">
        <v>27</v>
      </c>
      <c r="L305" s="151">
        <f>AVERAGEIFS(Sentiment!$K:$K, Sentiment!$C:$C, $A305, Sentiment!$J:$J, "YES")
</f>
        <v>-0.1666666667</v>
      </c>
      <c r="M305" s="151">
        <f>AVERAGEIFS(Sentiment!$K:$K, Sentiment!$C:$C, $A305, Sentiment!$J:$J, "YES")
</f>
        <v>-0.1666666667</v>
      </c>
      <c r="N305" s="157">
        <f t="shared" si="346"/>
        <v>0</v>
      </c>
      <c r="O305" s="151">
        <f>AVERAGEIFS(Sentiment!P:P, Sentiment!C:C, A305, Sentiment!J:J, "YES")
</f>
        <v>-0.06666666667</v>
      </c>
      <c r="P305" s="158">
        <v>-0.06666666666666667</v>
      </c>
      <c r="Q305" s="159">
        <f t="shared" si="347"/>
        <v>0</v>
      </c>
    </row>
    <row r="306">
      <c r="A306" s="130">
        <v>45596.0</v>
      </c>
      <c r="B306" s="131">
        <v>11.45</v>
      </c>
      <c r="C306" s="132">
        <f t="shared" si="348"/>
        <v>-0.02053036784</v>
      </c>
      <c r="D306" s="132">
        <f t="shared" si="343"/>
        <v>0.01310043668</v>
      </c>
      <c r="E306" s="133">
        <f t="shared" si="344"/>
        <v>1</v>
      </c>
      <c r="F306" s="134">
        <v>11672.6</v>
      </c>
      <c r="G306" s="135">
        <f t="shared" si="349"/>
        <v>-0.003619291507</v>
      </c>
      <c r="H306" s="135">
        <f t="shared" si="345"/>
        <v>-0.001497853331</v>
      </c>
      <c r="I306" s="136">
        <v>73.1</v>
      </c>
      <c r="J306" s="155">
        <f t="shared" si="350"/>
        <v>-0.0008201202843</v>
      </c>
      <c r="K306" s="138" t="s">
        <v>27</v>
      </c>
      <c r="L306" s="139">
        <f>AVERAGEIFS(Sentiment!$K:$K, Sentiment!$C:$C, $A306, Sentiment!$J:$J, "YES")
</f>
        <v>0.08604651163</v>
      </c>
      <c r="M306" s="139">
        <f>AVERAGEIFS(Sentiment!$K:$K, Sentiment!$C:$C, $A306, Sentiment!$J:$J, "YES")
</f>
        <v>0.08604651163</v>
      </c>
      <c r="N306" s="140">
        <f t="shared" si="346"/>
        <v>1</v>
      </c>
      <c r="O306" s="139">
        <f>AVERAGEIFS(Sentiment!P:P, Sentiment!C:C, A306, Sentiment!J:J, "YES")
</f>
        <v>0.1674418605</v>
      </c>
      <c r="P306" s="141">
        <v>0.16744186046511625</v>
      </c>
      <c r="Q306" s="142">
        <f t="shared" si="347"/>
        <v>1</v>
      </c>
    </row>
    <row r="307">
      <c r="A307" s="130">
        <v>45597.0</v>
      </c>
      <c r="B307" s="143">
        <v>11.6</v>
      </c>
      <c r="C307" s="144">
        <f t="shared" si="348"/>
        <v>0.01310043668</v>
      </c>
      <c r="D307" s="144">
        <f>C310</f>
        <v>0.01206896552</v>
      </c>
      <c r="E307" s="145">
        <f t="shared" si="344"/>
        <v>1</v>
      </c>
      <c r="F307" s="146">
        <v>11843.0</v>
      </c>
      <c r="G307" s="147">
        <f t="shared" si="349"/>
        <v>0.01459829001</v>
      </c>
      <c r="H307" s="147">
        <f>D307-G310</f>
        <v>0.01526916817</v>
      </c>
      <c r="I307" s="148">
        <v>75.08</v>
      </c>
      <c r="J307" s="156">
        <f t="shared" si="350"/>
        <v>0.02708618331</v>
      </c>
      <c r="K307" s="150" t="s">
        <v>27</v>
      </c>
      <c r="L307" s="151">
        <f>AVERAGEIFS(Sentiment!$K:$K, Sentiment!$C:$C, $A307, Sentiment!$J:$J, "YES")
</f>
        <v>0.1842105263</v>
      </c>
      <c r="M307" s="151">
        <f>AVERAGEIFS(Sentiment!$K:$K, Sentiment!$C:$C, $A307, Sentiment!$J:$J, "YES")
</f>
        <v>0.1842105263</v>
      </c>
      <c r="N307" s="157">
        <f t="shared" si="346"/>
        <v>1</v>
      </c>
      <c r="O307" s="151">
        <f>AVERAGEIFS(Sentiment!P:P, Sentiment!C:C, A307, Sentiment!J:J, "YES")
</f>
        <v>0.2157894737</v>
      </c>
      <c r="P307" s="158">
        <v>0.2157894736842105</v>
      </c>
      <c r="Q307" s="159">
        <f t="shared" si="347"/>
        <v>1</v>
      </c>
    </row>
    <row r="308">
      <c r="A308" s="130">
        <v>45598.0</v>
      </c>
      <c r="B308" s="131"/>
      <c r="C308" s="132"/>
      <c r="D308" s="132"/>
      <c r="E308" s="133"/>
      <c r="F308" s="134"/>
      <c r="G308" s="135"/>
      <c r="H308" s="135"/>
      <c r="I308" s="136"/>
      <c r="J308" s="137"/>
      <c r="K308" s="138" t="s">
        <v>27</v>
      </c>
      <c r="L308" s="139">
        <f>AVERAGEIFS(Sentiment!$K:$K, Sentiment!$C:$C, $A308, Sentiment!$J:$J, "YES")
</f>
        <v>0</v>
      </c>
      <c r="M308" s="139"/>
      <c r="N308" s="140"/>
      <c r="O308" s="139">
        <f>AVERAGEIFS(Sentiment!P:P, Sentiment!C:C, A308, Sentiment!J:J, "YES")
</f>
        <v>-0.15</v>
      </c>
      <c r="P308" s="141"/>
      <c r="Q308" s="142"/>
    </row>
    <row r="309">
      <c r="A309" s="130">
        <v>45599.0</v>
      </c>
      <c r="B309" s="143"/>
      <c r="C309" s="144"/>
      <c r="D309" s="144"/>
      <c r="E309" s="145"/>
      <c r="F309" s="146"/>
      <c r="G309" s="147"/>
      <c r="H309" s="147"/>
      <c r="I309" s="148"/>
      <c r="J309" s="160"/>
      <c r="K309" s="150" t="s">
        <v>27</v>
      </c>
      <c r="L309" s="151">
        <f>AVERAGEIFS(Sentiment!$K:$K, Sentiment!$C:$C, $A309, Sentiment!$J:$J, "YES")
</f>
        <v>0</v>
      </c>
      <c r="M309" s="151"/>
      <c r="N309" s="157"/>
      <c r="O309" s="151">
        <f>AVERAGEIFS(Sentiment!P:P, Sentiment!C:C, A309, Sentiment!J:J, "YES")
</f>
        <v>0</v>
      </c>
      <c r="P309" s="158"/>
      <c r="Q309" s="159"/>
    </row>
    <row r="310">
      <c r="A310" s="130">
        <v>45600.0</v>
      </c>
      <c r="B310" s="131">
        <v>11.74</v>
      </c>
      <c r="C310" s="132">
        <f>B310/B307-1</f>
        <v>0.01206896552</v>
      </c>
      <c r="D310" s="132">
        <f t="shared" ref="D310:D313" si="351">C311</f>
        <v>0.01703577513</v>
      </c>
      <c r="E310" s="133">
        <f t="shared" ref="E310:E314" si="352">IF(D310&gt;0,1,0)</f>
        <v>1</v>
      </c>
      <c r="F310" s="134">
        <v>11805.1</v>
      </c>
      <c r="G310" s="135">
        <f>F310/F307-1</f>
        <v>-0.003200202651</v>
      </c>
      <c r="H310" s="135">
        <f t="shared" ref="H310:H313" si="353">D310-G311</f>
        <v>0.01414719307</v>
      </c>
      <c r="I310" s="136">
        <v>75.08</v>
      </c>
      <c r="J310" s="155">
        <f>I310/I307-1</f>
        <v>0</v>
      </c>
      <c r="K310" s="138" t="s">
        <v>27</v>
      </c>
      <c r="L310" s="139">
        <f>AVERAGEIFS(Sentiment!$K:$K, Sentiment!$C:$C, $A310, Sentiment!$J:$J, "YES")
</f>
        <v>-0.11</v>
      </c>
      <c r="M310" s="152">
        <v>-0.08</v>
      </c>
      <c r="N310" s="153">
        <f t="shared" ref="N310:N314" si="354">IF(M310&gt;0,1,0)</f>
        <v>0</v>
      </c>
      <c r="O310" s="139">
        <f>AVERAGEIFS(Sentiment!P:P, Sentiment!C:C, A310, Sentiment!J:J, "YES")
</f>
        <v>-0.18</v>
      </c>
      <c r="P310" s="152">
        <v>-0.16</v>
      </c>
      <c r="Q310" s="154">
        <f t="shared" ref="Q310:Q314" si="355">IF(P310&gt;0,1,0)</f>
        <v>0</v>
      </c>
    </row>
    <row r="311">
      <c r="A311" s="130">
        <v>45601.0</v>
      </c>
      <c r="B311" s="143">
        <v>11.94</v>
      </c>
      <c r="C311" s="144">
        <f t="shared" ref="C311:C314" si="356">B311/B310-1</f>
        <v>0.01703577513</v>
      </c>
      <c r="D311" s="144">
        <f t="shared" si="351"/>
        <v>-0.01340033501</v>
      </c>
      <c r="E311" s="145">
        <f t="shared" si="352"/>
        <v>0</v>
      </c>
      <c r="F311" s="146">
        <v>11839.2</v>
      </c>
      <c r="G311" s="147">
        <f t="shared" ref="G311:G314" si="357">F311/F310-1</f>
        <v>0.002888582054</v>
      </c>
      <c r="H311" s="147">
        <f t="shared" si="353"/>
        <v>0.01564723577</v>
      </c>
      <c r="I311" s="148">
        <v>75.53</v>
      </c>
      <c r="J311" s="156">
        <f t="shared" ref="J311:J314" si="358">I311/I310-1</f>
        <v>0.005993606819</v>
      </c>
      <c r="K311" s="150" t="s">
        <v>27</v>
      </c>
      <c r="L311" s="151">
        <f>AVERAGEIFS(Sentiment!$K:$K, Sentiment!$C:$C, $A311, Sentiment!$J:$J, "YES")
</f>
        <v>0.2625</v>
      </c>
      <c r="M311" s="151">
        <f>AVERAGEIFS(Sentiment!$K:$K, Sentiment!$C:$C, $A311, Sentiment!$J:$J, "YES")
</f>
        <v>0.2625</v>
      </c>
      <c r="N311" s="157">
        <f t="shared" si="354"/>
        <v>1</v>
      </c>
      <c r="O311" s="151">
        <f>AVERAGEIFS(Sentiment!P:P, Sentiment!C:C, A311, Sentiment!J:J, "YES")
</f>
        <v>0.25</v>
      </c>
      <c r="P311" s="158">
        <v>0.25</v>
      </c>
      <c r="Q311" s="159">
        <f t="shared" si="355"/>
        <v>1</v>
      </c>
    </row>
    <row r="312">
      <c r="A312" s="130">
        <v>45602.0</v>
      </c>
      <c r="B312" s="131">
        <v>11.78</v>
      </c>
      <c r="C312" s="132">
        <f t="shared" si="356"/>
        <v>-0.01340033501</v>
      </c>
      <c r="D312" s="132">
        <f t="shared" si="351"/>
        <v>0.003395585739</v>
      </c>
      <c r="E312" s="133">
        <f t="shared" si="352"/>
        <v>1</v>
      </c>
      <c r="F312" s="134">
        <v>11495.3</v>
      </c>
      <c r="G312" s="135">
        <f t="shared" si="357"/>
        <v>-0.02904757078</v>
      </c>
      <c r="H312" s="135">
        <f t="shared" si="353"/>
        <v>-0.003111421473</v>
      </c>
      <c r="I312" s="136">
        <v>74.92</v>
      </c>
      <c r="J312" s="155">
        <f t="shared" si="358"/>
        <v>-0.008076261088</v>
      </c>
      <c r="K312" s="138" t="s">
        <v>27</v>
      </c>
      <c r="L312" s="139">
        <f>AVERAGEIFS(Sentiment!$K:$K, Sentiment!$C:$C, $A312, Sentiment!$J:$J, "YES")
</f>
        <v>0.3571428571</v>
      </c>
      <c r="M312" s="139">
        <f>AVERAGEIFS(Sentiment!$K:$K, Sentiment!$C:$C, $A312, Sentiment!$J:$J, "YES")
</f>
        <v>0.3571428571</v>
      </c>
      <c r="N312" s="140">
        <f t="shared" si="354"/>
        <v>1</v>
      </c>
      <c r="O312" s="139">
        <f>AVERAGEIFS(Sentiment!P:P, Sentiment!C:C, A312, Sentiment!J:J, "YES")
</f>
        <v>0.4857142857</v>
      </c>
      <c r="P312" s="141">
        <v>0.48571428571428577</v>
      </c>
      <c r="Q312" s="142">
        <f t="shared" si="355"/>
        <v>1</v>
      </c>
    </row>
    <row r="313">
      <c r="A313" s="130">
        <v>45603.0</v>
      </c>
      <c r="B313" s="143">
        <v>11.82</v>
      </c>
      <c r="C313" s="144">
        <f t="shared" si="356"/>
        <v>0.003395585739</v>
      </c>
      <c r="D313" s="144">
        <f t="shared" si="351"/>
        <v>-0.02791878173</v>
      </c>
      <c r="E313" s="145">
        <f t="shared" si="352"/>
        <v>0</v>
      </c>
      <c r="F313" s="146">
        <v>11570.1</v>
      </c>
      <c r="G313" s="147">
        <f t="shared" si="357"/>
        <v>0.006507007212</v>
      </c>
      <c r="H313" s="147">
        <f t="shared" si="353"/>
        <v>-0.02631983271</v>
      </c>
      <c r="I313" s="148">
        <v>75.63</v>
      </c>
      <c r="J313" s="156">
        <f t="shared" si="358"/>
        <v>0.009476775227</v>
      </c>
      <c r="K313" s="150" t="s">
        <v>27</v>
      </c>
      <c r="L313" s="151">
        <f>AVERAGEIFS(Sentiment!$K:$K, Sentiment!$C:$C, $A313, Sentiment!$J:$J, "YES")
</f>
        <v>-0.1571428571</v>
      </c>
      <c r="M313" s="151">
        <f>AVERAGEIFS(Sentiment!$K:$K, Sentiment!$C:$C, $A313, Sentiment!$J:$J, "YES")
</f>
        <v>-0.1571428571</v>
      </c>
      <c r="N313" s="157">
        <f t="shared" si="354"/>
        <v>0</v>
      </c>
      <c r="O313" s="151">
        <f>AVERAGEIFS(Sentiment!P:P, Sentiment!C:C, A313, Sentiment!J:J, "YES")
</f>
        <v>-0.2142857143</v>
      </c>
      <c r="P313" s="158">
        <v>-0.21428571428571427</v>
      </c>
      <c r="Q313" s="159">
        <f t="shared" si="355"/>
        <v>0</v>
      </c>
    </row>
    <row r="314">
      <c r="A314" s="130">
        <v>45604.0</v>
      </c>
      <c r="B314" s="131">
        <v>11.49</v>
      </c>
      <c r="C314" s="132">
        <f t="shared" si="356"/>
        <v>-0.02791878173</v>
      </c>
      <c r="D314" s="132">
        <f>C317</f>
        <v>0.002610966057</v>
      </c>
      <c r="E314" s="133">
        <f t="shared" si="352"/>
        <v>1</v>
      </c>
      <c r="F314" s="134">
        <v>11551.6</v>
      </c>
      <c r="G314" s="135">
        <f t="shared" si="357"/>
        <v>-0.001598949015</v>
      </c>
      <c r="H314" s="135">
        <f>D314-G317</f>
        <v>-0.00134519586</v>
      </c>
      <c r="I314" s="136">
        <v>73.87</v>
      </c>
      <c r="J314" s="155">
        <f t="shared" si="358"/>
        <v>-0.02327118868</v>
      </c>
      <c r="K314" s="138" t="s">
        <v>27</v>
      </c>
      <c r="L314" s="139">
        <f>AVERAGEIFS(Sentiment!$K:$K, Sentiment!$C:$C, $A314, Sentiment!$J:$J, "YES")
</f>
        <v>0.02222222222</v>
      </c>
      <c r="M314" s="139">
        <f>AVERAGEIFS(Sentiment!$K:$K, Sentiment!$C:$C, $A314, Sentiment!$J:$J, "YES")
</f>
        <v>0.02222222222</v>
      </c>
      <c r="N314" s="140">
        <f t="shared" si="354"/>
        <v>1</v>
      </c>
      <c r="O314" s="139">
        <f>AVERAGEIFS(Sentiment!P:P, Sentiment!C:C, A314, Sentiment!J:J, "YES")
</f>
        <v>-0.07777777778</v>
      </c>
      <c r="P314" s="141">
        <v>-0.07777777777777778</v>
      </c>
      <c r="Q314" s="142">
        <f t="shared" si="355"/>
        <v>0</v>
      </c>
    </row>
    <row r="315">
      <c r="A315" s="130">
        <v>45605.0</v>
      </c>
      <c r="B315" s="143"/>
      <c r="C315" s="144"/>
      <c r="D315" s="144"/>
      <c r="E315" s="145"/>
      <c r="F315" s="146"/>
      <c r="G315" s="147"/>
      <c r="H315" s="147"/>
      <c r="I315" s="148"/>
      <c r="J315" s="160"/>
      <c r="K315" s="150" t="s">
        <v>27</v>
      </c>
      <c r="L315" s="151">
        <f>AVERAGEIFS(Sentiment!$K:$K, Sentiment!$C:$C, $A315, Sentiment!$J:$J, "YES")
</f>
        <v>0.5</v>
      </c>
      <c r="M315" s="151"/>
      <c r="N315" s="157"/>
      <c r="O315" s="151">
        <f>AVERAGEIFS(Sentiment!P:P, Sentiment!C:C, A315, Sentiment!J:J, "YES")
</f>
        <v>0.4</v>
      </c>
      <c r="P315" s="158"/>
      <c r="Q315" s="159"/>
    </row>
    <row r="316">
      <c r="A316" s="130">
        <v>45606.0</v>
      </c>
      <c r="B316" s="131"/>
      <c r="C316" s="132"/>
      <c r="D316" s="132"/>
      <c r="E316" s="133"/>
      <c r="F316" s="134"/>
      <c r="G316" s="135"/>
      <c r="H316" s="135"/>
      <c r="I316" s="136"/>
      <c r="J316" s="137"/>
      <c r="K316" s="138" t="s">
        <v>27</v>
      </c>
      <c r="L316" s="139">
        <f>AVERAGEIFS(Sentiment!$K:$K, Sentiment!$C:$C, $A316, Sentiment!$J:$J, "YES")
</f>
        <v>-0.5</v>
      </c>
      <c r="M316" s="139"/>
      <c r="N316" s="140"/>
      <c r="O316" s="139">
        <f>AVERAGEIFS(Sentiment!P:P, Sentiment!C:C, A316, Sentiment!J:J, "YES")
</f>
        <v>-0.3</v>
      </c>
      <c r="P316" s="141"/>
      <c r="Q316" s="142"/>
    </row>
    <row r="317">
      <c r="A317" s="130">
        <v>45607.0</v>
      </c>
      <c r="B317" s="143">
        <v>11.52</v>
      </c>
      <c r="C317" s="144">
        <f>B317/B314-1</f>
        <v>0.002610966057</v>
      </c>
      <c r="D317" s="144">
        <f t="shared" ref="D317:D320" si="359">C318</f>
        <v>-0.009548611111</v>
      </c>
      <c r="E317" s="145">
        <f t="shared" ref="E317:E321" si="360">IF(D317&gt;0,1,0)</f>
        <v>0</v>
      </c>
      <c r="F317" s="146">
        <v>11597.3</v>
      </c>
      <c r="G317" s="147">
        <f>F317/F314-1</f>
        <v>0.003956161917</v>
      </c>
      <c r="H317" s="147">
        <f t="shared" ref="H317:H320" si="361">D317-G318</f>
        <v>0.008964318623</v>
      </c>
      <c r="I317" s="148">
        <v>71.83</v>
      </c>
      <c r="J317" s="156">
        <f>I317/I314-1</f>
        <v>-0.02761608231</v>
      </c>
      <c r="K317" s="150" t="s">
        <v>27</v>
      </c>
      <c r="L317" s="151">
        <f>AVERAGEIFS(Sentiment!$K:$K, Sentiment!$C:$C, $A317, Sentiment!$J:$J, "YES")
</f>
        <v>-0.06</v>
      </c>
      <c r="M317" s="152">
        <v>-0.04</v>
      </c>
      <c r="N317" s="153">
        <f t="shared" ref="N317:N321" si="362">IF(M317&gt;0,1,0)</f>
        <v>0</v>
      </c>
      <c r="O317" s="151">
        <f>AVERAGEIFS(Sentiment!P:P, Sentiment!C:C, A317, Sentiment!J:J, "YES")
</f>
        <v>0.02</v>
      </c>
      <c r="P317" s="152">
        <v>0.03</v>
      </c>
      <c r="Q317" s="154">
        <f t="shared" ref="Q317:Q321" si="363">IF(P317&gt;0,1,0)</f>
        <v>1</v>
      </c>
    </row>
    <row r="318">
      <c r="A318" s="130">
        <v>45608.0</v>
      </c>
      <c r="B318" s="131">
        <v>11.41</v>
      </c>
      <c r="C318" s="132">
        <f t="shared" ref="C318:C321" si="364">B318/B317-1</f>
        <v>-0.009548611111</v>
      </c>
      <c r="D318" s="132">
        <f t="shared" si="359"/>
        <v>-0.003505696757</v>
      </c>
      <c r="E318" s="133">
        <f t="shared" si="360"/>
        <v>0</v>
      </c>
      <c r="F318" s="134">
        <v>11382.6</v>
      </c>
      <c r="G318" s="135">
        <f t="shared" ref="G318:G321" si="365">F318/F317-1</f>
        <v>-0.01851292973</v>
      </c>
      <c r="H318" s="135">
        <f t="shared" si="361"/>
        <v>-0.003022503111</v>
      </c>
      <c r="I318" s="136">
        <v>71.89</v>
      </c>
      <c r="J318" s="155">
        <f t="shared" ref="J318:J321" si="366">I318/I317-1</f>
        <v>0.0008353055826</v>
      </c>
      <c r="K318" s="138" t="s">
        <v>27</v>
      </c>
      <c r="L318" s="139">
        <f>AVERAGEIFS(Sentiment!$K:$K, Sentiment!$C:$C, $A318, Sentiment!$J:$J, "YES")
</f>
        <v>0.7</v>
      </c>
      <c r="M318" s="139">
        <f>AVERAGEIFS(Sentiment!$K:$K, Sentiment!$C:$C, $A318, Sentiment!$J:$J, "YES")
</f>
        <v>0.7</v>
      </c>
      <c r="N318" s="140">
        <f t="shared" si="362"/>
        <v>1</v>
      </c>
      <c r="O318" s="139">
        <f>AVERAGEIFS(Sentiment!P:P, Sentiment!C:C, A318, Sentiment!J:J, "YES")
</f>
        <v>0.7666666667</v>
      </c>
      <c r="P318" s="141">
        <v>0.7666666666666666</v>
      </c>
      <c r="Q318" s="142">
        <f t="shared" si="363"/>
        <v>1</v>
      </c>
    </row>
    <row r="319">
      <c r="A319" s="130">
        <v>45609.0</v>
      </c>
      <c r="B319" s="143">
        <v>11.37</v>
      </c>
      <c r="C319" s="144">
        <f t="shared" si="364"/>
        <v>-0.003505696757</v>
      </c>
      <c r="D319" s="144">
        <f t="shared" si="359"/>
        <v>0.01671064204</v>
      </c>
      <c r="E319" s="145">
        <f t="shared" si="360"/>
        <v>1</v>
      </c>
      <c r="F319" s="146">
        <v>11377.1</v>
      </c>
      <c r="G319" s="147">
        <f t="shared" si="365"/>
        <v>-0.0004831936464</v>
      </c>
      <c r="H319" s="147">
        <f t="shared" si="361"/>
        <v>0.003772371304</v>
      </c>
      <c r="I319" s="148">
        <v>72.28</v>
      </c>
      <c r="J319" s="156">
        <f t="shared" si="366"/>
        <v>0.005424954792</v>
      </c>
      <c r="K319" s="150" t="s">
        <v>27</v>
      </c>
      <c r="L319" s="151">
        <f>AVERAGEIFS(Sentiment!$K:$K, Sentiment!$C:$C, $A319, Sentiment!$J:$J, "YES")
</f>
        <v>-0.175</v>
      </c>
      <c r="M319" s="151">
        <f>AVERAGEIFS(Sentiment!$K:$K, Sentiment!$C:$C, $A319, Sentiment!$J:$J, "YES")
</f>
        <v>-0.175</v>
      </c>
      <c r="N319" s="157">
        <f t="shared" si="362"/>
        <v>0</v>
      </c>
      <c r="O319" s="151">
        <f>AVERAGEIFS(Sentiment!P:P, Sentiment!C:C, A319, Sentiment!J:J, "YES")
</f>
        <v>-0.125</v>
      </c>
      <c r="P319" s="158">
        <v>-0.125</v>
      </c>
      <c r="Q319" s="159">
        <f t="shared" si="363"/>
        <v>0</v>
      </c>
    </row>
    <row r="320">
      <c r="A320" s="130">
        <v>45610.0</v>
      </c>
      <c r="B320" s="131">
        <v>11.56</v>
      </c>
      <c r="C320" s="132">
        <f t="shared" si="364"/>
        <v>0.01671064204</v>
      </c>
      <c r="D320" s="132">
        <f t="shared" si="359"/>
        <v>0.01038062284</v>
      </c>
      <c r="E320" s="133">
        <f t="shared" si="360"/>
        <v>1</v>
      </c>
      <c r="F320" s="134">
        <v>11524.3</v>
      </c>
      <c r="G320" s="135">
        <f t="shared" si="365"/>
        <v>0.01293827074</v>
      </c>
      <c r="H320" s="135">
        <f t="shared" si="361"/>
        <v>0.0006967374821</v>
      </c>
      <c r="I320" s="136">
        <v>72.56</v>
      </c>
      <c r="J320" s="155">
        <f t="shared" si="366"/>
        <v>0.003873824018</v>
      </c>
      <c r="K320" s="138" t="s">
        <v>27</v>
      </c>
      <c r="L320" s="139">
        <f>AVERAGEIFS(Sentiment!$K:$K, Sentiment!$C:$C, $A320, Sentiment!$J:$J, "YES")
</f>
        <v>0.1</v>
      </c>
      <c r="M320" s="139">
        <f>AVERAGEIFS(Sentiment!$K:$K, Sentiment!$C:$C, $A320, Sentiment!$J:$J, "YES")
</f>
        <v>0.1</v>
      </c>
      <c r="N320" s="140">
        <f t="shared" si="362"/>
        <v>1</v>
      </c>
      <c r="O320" s="139">
        <f>AVERAGEIFS(Sentiment!P:P, Sentiment!C:C, A320, Sentiment!J:J, "YES")
</f>
        <v>0.25</v>
      </c>
      <c r="P320" s="141">
        <v>0.25</v>
      </c>
      <c r="Q320" s="142">
        <f t="shared" si="363"/>
        <v>1</v>
      </c>
    </row>
    <row r="321">
      <c r="A321" s="130">
        <v>45611.0</v>
      </c>
      <c r="B321" s="143">
        <v>11.68</v>
      </c>
      <c r="C321" s="144">
        <f t="shared" si="364"/>
        <v>0.01038062284</v>
      </c>
      <c r="D321" s="144">
        <f>C324</f>
        <v>0.02226027397</v>
      </c>
      <c r="E321" s="145">
        <f t="shared" si="360"/>
        <v>1</v>
      </c>
      <c r="F321" s="146">
        <v>11635.9</v>
      </c>
      <c r="G321" s="147">
        <f t="shared" si="365"/>
        <v>0.009683885355</v>
      </c>
      <c r="H321" s="147">
        <f>D321-G324</f>
        <v>0.01891717202</v>
      </c>
      <c r="I321" s="148">
        <v>71.04</v>
      </c>
      <c r="J321" s="156">
        <f t="shared" si="366"/>
        <v>-0.02094818082</v>
      </c>
      <c r="K321" s="150" t="s">
        <v>27</v>
      </c>
      <c r="L321" s="151">
        <f>AVERAGEIFS(Sentiment!$K:$K, Sentiment!$C:$C, $A321, Sentiment!$J:$J, "YES")
</f>
        <v>-0.15</v>
      </c>
      <c r="M321" s="151">
        <f>AVERAGEIFS(Sentiment!$K:$K, Sentiment!$C:$C, $A321, Sentiment!$J:$J, "YES")
</f>
        <v>-0.15</v>
      </c>
      <c r="N321" s="157">
        <f t="shared" si="362"/>
        <v>0</v>
      </c>
      <c r="O321" s="151">
        <f>AVERAGEIFS(Sentiment!P:P, Sentiment!C:C, A321, Sentiment!J:J, "YES")
</f>
        <v>0.2875</v>
      </c>
      <c r="P321" s="158">
        <v>0.2875</v>
      </c>
      <c r="Q321" s="159">
        <f t="shared" si="363"/>
        <v>1</v>
      </c>
    </row>
    <row r="322">
      <c r="A322" s="130">
        <v>45612.0</v>
      </c>
      <c r="B322" s="131"/>
      <c r="C322" s="132"/>
      <c r="D322" s="132"/>
      <c r="E322" s="133"/>
      <c r="F322" s="134"/>
      <c r="G322" s="135"/>
      <c r="H322" s="135"/>
      <c r="I322" s="136"/>
      <c r="J322" s="137"/>
      <c r="K322" s="138" t="s">
        <v>27</v>
      </c>
      <c r="L322" s="139">
        <f>AVERAGEIFS(Sentiment!$K:$K, Sentiment!$C:$C, $A322, Sentiment!$J:$J, "YES")
</f>
        <v>0.7</v>
      </c>
      <c r="M322" s="139"/>
      <c r="N322" s="140"/>
      <c r="O322" s="139">
        <f>AVERAGEIFS(Sentiment!P:P, Sentiment!C:C, A322, Sentiment!J:J, "YES")
</f>
        <v>0.2</v>
      </c>
      <c r="P322" s="141"/>
      <c r="Q322" s="142"/>
    </row>
    <row r="323">
      <c r="A323" s="130">
        <v>45613.0</v>
      </c>
      <c r="B323" s="143"/>
      <c r="C323" s="144"/>
      <c r="D323" s="144"/>
      <c r="E323" s="145"/>
      <c r="F323" s="146"/>
      <c r="G323" s="147"/>
      <c r="H323" s="147"/>
      <c r="I323" s="148"/>
      <c r="J323" s="160"/>
      <c r="K323" s="150" t="s">
        <v>27</v>
      </c>
      <c r="L323" s="151">
        <f>AVERAGEIFS(Sentiment!$K:$K, Sentiment!$C:$C, $A323, Sentiment!$J:$J, "YES")
</f>
        <v>-0.5666666667</v>
      </c>
      <c r="M323" s="151"/>
      <c r="N323" s="157"/>
      <c r="O323" s="151">
        <f>AVERAGEIFS(Sentiment!P:P, Sentiment!C:C, A323, Sentiment!J:J, "YES")
</f>
        <v>-0.3666666667</v>
      </c>
      <c r="P323" s="158"/>
      <c r="Q323" s="159"/>
    </row>
    <row r="324">
      <c r="A324" s="130">
        <v>45614.0</v>
      </c>
      <c r="B324" s="131">
        <v>11.94</v>
      </c>
      <c r="C324" s="132">
        <f>B324/B321-1</f>
        <v>0.02226027397</v>
      </c>
      <c r="D324" s="132">
        <f t="shared" ref="D324:D327" si="367">C325</f>
        <v>-0.01256281407</v>
      </c>
      <c r="E324" s="133">
        <f t="shared" ref="E324:E328" si="368">IF(D324&gt;0,1,0)</f>
        <v>0</v>
      </c>
      <c r="F324" s="134">
        <v>11674.8</v>
      </c>
      <c r="G324" s="135">
        <f>F324/F321-1</f>
        <v>0.003343101952</v>
      </c>
      <c r="H324" s="135">
        <f t="shared" ref="H324:H327" si="369">D324-G325</f>
        <v>-0.005162259029</v>
      </c>
      <c r="I324" s="136">
        <v>73.3</v>
      </c>
      <c r="J324" s="155">
        <f>I324/I321-1</f>
        <v>0.03181306306</v>
      </c>
      <c r="K324" s="138" t="s">
        <v>27</v>
      </c>
      <c r="L324" s="139">
        <f>AVERAGEIFS(Sentiment!$K:$K, Sentiment!$C:$C, $A324, Sentiment!$J:$J, "YES")
</f>
        <v>-0.1285714286</v>
      </c>
      <c r="M324" s="152">
        <v>-0.11</v>
      </c>
      <c r="N324" s="153">
        <f t="shared" ref="N324:N328" si="370">IF(M324&gt;0,1,0)</f>
        <v>0</v>
      </c>
      <c r="O324" s="139">
        <f>AVERAGEIFS(Sentiment!P:P, Sentiment!C:C, A324, Sentiment!J:J, "YES")
</f>
        <v>-0.1642857143</v>
      </c>
      <c r="P324" s="152">
        <v>-0.16</v>
      </c>
      <c r="Q324" s="154">
        <f t="shared" ref="Q324:Q328" si="371">IF(P324&gt;0,1,0)</f>
        <v>0</v>
      </c>
    </row>
    <row r="325">
      <c r="A325" s="130">
        <v>45615.0</v>
      </c>
      <c r="B325" s="143">
        <v>11.79</v>
      </c>
      <c r="C325" s="144">
        <f t="shared" ref="C325:C328" si="372">B325/B324-1</f>
        <v>-0.01256281407</v>
      </c>
      <c r="D325" s="144">
        <f t="shared" si="367"/>
        <v>0.003392705683</v>
      </c>
      <c r="E325" s="145">
        <f t="shared" si="368"/>
        <v>1</v>
      </c>
      <c r="F325" s="146">
        <v>11588.4</v>
      </c>
      <c r="G325" s="147">
        <f t="shared" ref="G325:G328" si="373">F325/F324-1</f>
        <v>-0.007400555042</v>
      </c>
      <c r="H325" s="147">
        <f t="shared" si="369"/>
        <v>0.003297783174</v>
      </c>
      <c r="I325" s="148">
        <v>73.31</v>
      </c>
      <c r="J325" s="156">
        <f t="shared" ref="J325:J328" si="374">I325/I324-1</f>
        <v>0.000136425648</v>
      </c>
      <c r="K325" s="150" t="s">
        <v>27</v>
      </c>
      <c r="L325" s="151">
        <f>AVERAGEIFS(Sentiment!$K:$K, Sentiment!$C:$C, $A325, Sentiment!$J:$J, "YES")
</f>
        <v>0.2176470588</v>
      </c>
      <c r="M325" s="151">
        <f>AVERAGEIFS(Sentiment!$K:$K, Sentiment!$C:$C, $A325, Sentiment!$J:$J, "YES")
</f>
        <v>0.2176470588</v>
      </c>
      <c r="N325" s="157">
        <f t="shared" si="370"/>
        <v>1</v>
      </c>
      <c r="O325" s="151">
        <f>AVERAGEIFS(Sentiment!P:P, Sentiment!C:C, A325, Sentiment!J:J, "YES")
</f>
        <v>0.2</v>
      </c>
      <c r="P325" s="158">
        <v>0.19999999999999998</v>
      </c>
      <c r="Q325" s="159">
        <f t="shared" si="371"/>
        <v>1</v>
      </c>
    </row>
    <row r="326">
      <c r="A326" s="130">
        <v>45616.0</v>
      </c>
      <c r="B326" s="131">
        <v>11.83</v>
      </c>
      <c r="C326" s="132">
        <f t="shared" si="372"/>
        <v>0.003392705683</v>
      </c>
      <c r="D326" s="132">
        <f t="shared" si="367"/>
        <v>0.004226542688</v>
      </c>
      <c r="E326" s="133">
        <f t="shared" si="368"/>
        <v>1</v>
      </c>
      <c r="F326" s="134">
        <v>11589.5</v>
      </c>
      <c r="G326" s="135">
        <f t="shared" si="373"/>
        <v>0.00009492250872</v>
      </c>
      <c r="H326" s="135">
        <f t="shared" si="369"/>
        <v>0.002311015702</v>
      </c>
      <c r="I326" s="136">
        <v>72.81</v>
      </c>
      <c r="J326" s="155">
        <f t="shared" si="374"/>
        <v>-0.00682035193</v>
      </c>
      <c r="K326" s="138" t="s">
        <v>27</v>
      </c>
      <c r="L326" s="139">
        <f>AVERAGEIFS(Sentiment!$K:$K, Sentiment!$C:$C, $A326, Sentiment!$J:$J, "YES")
</f>
        <v>-0.4</v>
      </c>
      <c r="M326" s="139">
        <f>AVERAGEIFS(Sentiment!$K:$K, Sentiment!$C:$C, $A326, Sentiment!$J:$J, "YES")
</f>
        <v>-0.4</v>
      </c>
      <c r="N326" s="140">
        <f t="shared" si="370"/>
        <v>0</v>
      </c>
      <c r="O326" s="139">
        <f>AVERAGEIFS(Sentiment!P:P, Sentiment!C:C, A326, Sentiment!J:J, "YES")
</f>
        <v>-0.3461538462</v>
      </c>
      <c r="P326" s="141">
        <v>-0.34615384615384615</v>
      </c>
      <c r="Q326" s="142">
        <f t="shared" si="371"/>
        <v>0</v>
      </c>
    </row>
    <row r="327">
      <c r="A327" s="130">
        <v>45617.0</v>
      </c>
      <c r="B327" s="143">
        <v>11.88</v>
      </c>
      <c r="C327" s="144">
        <f t="shared" si="372"/>
        <v>0.004226542688</v>
      </c>
      <c r="D327" s="144">
        <f t="shared" si="367"/>
        <v>-0.001683501684</v>
      </c>
      <c r="E327" s="145">
        <f t="shared" si="368"/>
        <v>0</v>
      </c>
      <c r="F327" s="146">
        <v>11611.7</v>
      </c>
      <c r="G327" s="147">
        <f t="shared" si="373"/>
        <v>0.001915526986</v>
      </c>
      <c r="H327" s="147">
        <f t="shared" si="369"/>
        <v>-0.005550291215</v>
      </c>
      <c r="I327" s="148">
        <v>74.23</v>
      </c>
      <c r="J327" s="156">
        <f t="shared" si="374"/>
        <v>0.01950281555</v>
      </c>
      <c r="K327" s="150" t="s">
        <v>27</v>
      </c>
      <c r="L327" s="151">
        <f>AVERAGEIFS(Sentiment!$K:$K, Sentiment!$C:$C, $A327, Sentiment!$J:$J, "YES")
</f>
        <v>-0.4137931034</v>
      </c>
      <c r="M327" s="151">
        <f>AVERAGEIFS(Sentiment!$K:$K, Sentiment!$C:$C, $A327, Sentiment!$J:$J, "YES")
</f>
        <v>-0.4137931034</v>
      </c>
      <c r="N327" s="157">
        <f t="shared" si="370"/>
        <v>0</v>
      </c>
      <c r="O327" s="151">
        <f>AVERAGEIFS(Sentiment!P:P, Sentiment!C:C, A327, Sentiment!J:J, "YES")
</f>
        <v>-0.4482758621</v>
      </c>
      <c r="P327" s="158">
        <v>-0.4482758620689654</v>
      </c>
      <c r="Q327" s="159">
        <f t="shared" si="371"/>
        <v>0</v>
      </c>
    </row>
    <row r="328">
      <c r="A328" s="130">
        <v>45618.0</v>
      </c>
      <c r="B328" s="131">
        <v>11.86</v>
      </c>
      <c r="C328" s="132">
        <f t="shared" si="372"/>
        <v>-0.001683501684</v>
      </c>
      <c r="D328" s="132">
        <f>C331</f>
        <v>0.002529510961</v>
      </c>
      <c r="E328" s="133">
        <f t="shared" si="368"/>
        <v>1</v>
      </c>
      <c r="F328" s="134">
        <v>11656.6</v>
      </c>
      <c r="G328" s="135">
        <f t="shared" si="373"/>
        <v>0.003866789531</v>
      </c>
      <c r="H328" s="135">
        <f>D328-G331</f>
        <v>-0.002206003683</v>
      </c>
      <c r="I328" s="136">
        <v>75.17</v>
      </c>
      <c r="J328" s="155">
        <f t="shared" si="374"/>
        <v>0.01266334366</v>
      </c>
      <c r="K328" s="138" t="s">
        <v>27</v>
      </c>
      <c r="L328" s="139">
        <f>AVERAGEIFS(Sentiment!$K:$K, Sentiment!$C:$C, $A328, Sentiment!$J:$J, "YES")
</f>
        <v>-0.72</v>
      </c>
      <c r="M328" s="139">
        <f>AVERAGEIFS(Sentiment!$K:$K, Sentiment!$C:$C, $A328, Sentiment!$J:$J, "YES")
</f>
        <v>-0.72</v>
      </c>
      <c r="N328" s="140">
        <f t="shared" si="370"/>
        <v>0</v>
      </c>
      <c r="O328" s="139">
        <f>AVERAGEIFS(Sentiment!P:P, Sentiment!C:C, A328, Sentiment!J:J, "YES")
</f>
        <v>-0.6</v>
      </c>
      <c r="P328" s="141">
        <v>-0.6</v>
      </c>
      <c r="Q328" s="142">
        <f t="shared" si="371"/>
        <v>0</v>
      </c>
    </row>
    <row r="329">
      <c r="A329" s="130">
        <v>45619.0</v>
      </c>
      <c r="B329" s="143"/>
      <c r="C329" s="144"/>
      <c r="D329" s="144"/>
      <c r="E329" s="145"/>
      <c r="F329" s="146"/>
      <c r="G329" s="147"/>
      <c r="H329" s="147"/>
      <c r="I329" s="148"/>
      <c r="J329" s="160"/>
      <c r="K329" s="150" t="s">
        <v>27</v>
      </c>
      <c r="L329" s="151">
        <f>AVERAGEIFS(Sentiment!$K:$K, Sentiment!$C:$C, $A329, Sentiment!$J:$J, "YES")
</f>
        <v>0.8</v>
      </c>
      <c r="M329" s="151"/>
      <c r="N329" s="157"/>
      <c r="O329" s="151">
        <f>AVERAGEIFS(Sentiment!P:P, Sentiment!C:C, A329, Sentiment!J:J, "YES")
</f>
        <v>0.8</v>
      </c>
      <c r="P329" s="158"/>
      <c r="Q329" s="159"/>
    </row>
    <row r="330">
      <c r="A330" s="130">
        <v>45620.0</v>
      </c>
      <c r="B330" s="131"/>
      <c r="C330" s="132"/>
      <c r="D330" s="132"/>
      <c r="E330" s="133"/>
      <c r="F330" s="134"/>
      <c r="G330" s="135"/>
      <c r="H330" s="135"/>
      <c r="I330" s="136"/>
      <c r="J330" s="137"/>
      <c r="K330" s="138" t="s">
        <v>27</v>
      </c>
      <c r="L330" s="139">
        <f>AVERAGEIFS(Sentiment!$K:$K, Sentiment!$C:$C, $A330, Sentiment!$J:$J, "YES")
</f>
        <v>0.2333333333</v>
      </c>
      <c r="M330" s="139"/>
      <c r="N330" s="140"/>
      <c r="O330" s="139">
        <f>AVERAGEIFS(Sentiment!P:P, Sentiment!C:C, A330, Sentiment!J:J, "YES")
</f>
        <v>0.06666666667</v>
      </c>
      <c r="P330" s="141"/>
      <c r="Q330" s="142"/>
    </row>
    <row r="331">
      <c r="A331" s="130">
        <v>45621.0</v>
      </c>
      <c r="B331" s="143">
        <v>11.89</v>
      </c>
      <c r="C331" s="144">
        <f>B331/B328-1</f>
        <v>0.002529510961</v>
      </c>
      <c r="D331" s="144">
        <f t="shared" ref="D331:D334" si="375">C332</f>
        <v>-0.003364171573</v>
      </c>
      <c r="E331" s="145">
        <f t="shared" ref="E331:E335" si="376">IF(D331&gt;0,1,0)</f>
        <v>0</v>
      </c>
      <c r="F331" s="146">
        <v>11711.8</v>
      </c>
      <c r="G331" s="147">
        <f>F331/F328-1</f>
        <v>0.004735514644</v>
      </c>
      <c r="H331" s="147">
        <f t="shared" ref="H331:H334" si="377">D331-G332</f>
        <v>0.004653383372</v>
      </c>
      <c r="I331" s="148">
        <v>73.01</v>
      </c>
      <c r="J331" s="156">
        <f>I331/I328-1</f>
        <v>-0.02873486763</v>
      </c>
      <c r="K331" s="150" t="s">
        <v>27</v>
      </c>
      <c r="L331" s="151">
        <f>AVERAGEIFS(Sentiment!$K:$K, Sentiment!$C:$C, $A331, Sentiment!$J:$J, "YES")
</f>
        <v>-0.5818181818</v>
      </c>
      <c r="M331" s="152">
        <v>-0.33</v>
      </c>
      <c r="N331" s="153">
        <f t="shared" ref="N331:N335" si="378">IF(M331&gt;0,1,0)</f>
        <v>0</v>
      </c>
      <c r="O331" s="151">
        <f>AVERAGEIFS(Sentiment!P:P, Sentiment!C:C, A331, Sentiment!J:J, "YES")
</f>
        <v>-0.5909090909</v>
      </c>
      <c r="P331" s="152">
        <v>-0.37</v>
      </c>
      <c r="Q331" s="154">
        <f t="shared" ref="Q331:Q335" si="379">IF(P331&gt;0,1,0)</f>
        <v>0</v>
      </c>
    </row>
    <row r="332">
      <c r="A332" s="130">
        <v>45622.0</v>
      </c>
      <c r="B332" s="131">
        <v>11.85</v>
      </c>
      <c r="C332" s="132">
        <f t="shared" ref="C332:C335" si="380">B332/B331-1</f>
        <v>-0.003364171573</v>
      </c>
      <c r="D332" s="132">
        <f t="shared" si="375"/>
        <v>-0.01181434599</v>
      </c>
      <c r="E332" s="133">
        <f t="shared" si="376"/>
        <v>0</v>
      </c>
      <c r="F332" s="134">
        <v>11617.9</v>
      </c>
      <c r="G332" s="135">
        <f t="shared" ref="G332:G335" si="381">F332/F331-1</f>
        <v>-0.008017554945</v>
      </c>
      <c r="H332" s="135">
        <f t="shared" si="377"/>
        <v>-0.008509101498</v>
      </c>
      <c r="I332" s="136">
        <v>72.81</v>
      </c>
      <c r="J332" s="155">
        <f t="shared" ref="J332:J335" si="382">I332/I331-1</f>
        <v>-0.002739350774</v>
      </c>
      <c r="K332" s="138" t="s">
        <v>27</v>
      </c>
      <c r="L332" s="139">
        <f>AVERAGEIFS(Sentiment!$K:$K, Sentiment!$C:$C, $A332, Sentiment!$J:$J, "YES")
</f>
        <v>0.5076923077</v>
      </c>
      <c r="M332" s="139">
        <f>AVERAGEIFS(Sentiment!$K:$K, Sentiment!$C:$C, $A332, Sentiment!$J:$J, "YES")
</f>
        <v>0.5076923077</v>
      </c>
      <c r="N332" s="140">
        <f t="shared" si="378"/>
        <v>1</v>
      </c>
      <c r="O332" s="139">
        <f>AVERAGEIFS(Sentiment!P:P, Sentiment!C:C, A332, Sentiment!J:J, "YES")
</f>
        <v>0.4923076923</v>
      </c>
      <c r="P332" s="141">
        <v>0.49230769230769234</v>
      </c>
      <c r="Q332" s="142">
        <f t="shared" si="379"/>
        <v>1</v>
      </c>
    </row>
    <row r="333">
      <c r="A333" s="130">
        <v>45623.0</v>
      </c>
      <c r="B333" s="143">
        <v>11.71</v>
      </c>
      <c r="C333" s="144">
        <f t="shared" si="380"/>
        <v>-0.01181434599</v>
      </c>
      <c r="D333" s="144">
        <f t="shared" si="375"/>
        <v>0.00170794193</v>
      </c>
      <c r="E333" s="145">
        <f t="shared" si="376"/>
        <v>1</v>
      </c>
      <c r="F333" s="146">
        <v>11579.5</v>
      </c>
      <c r="G333" s="147">
        <f t="shared" si="381"/>
        <v>-0.003305244493</v>
      </c>
      <c r="H333" s="147">
        <f t="shared" si="377"/>
        <v>-0.0009951108789</v>
      </c>
      <c r="I333" s="148">
        <v>72.83</v>
      </c>
      <c r="J333" s="156">
        <f t="shared" si="382"/>
        <v>0.0002746875429</v>
      </c>
      <c r="K333" s="150" t="s">
        <v>27</v>
      </c>
      <c r="L333" s="151">
        <f>AVERAGEIFS(Sentiment!$K:$K, Sentiment!$C:$C, $A333, Sentiment!$J:$J, "YES")
</f>
        <v>0.65</v>
      </c>
      <c r="M333" s="151">
        <f>AVERAGEIFS(Sentiment!$K:$K, Sentiment!$C:$C, $A333, Sentiment!$J:$J, "YES")
</f>
        <v>0.65</v>
      </c>
      <c r="N333" s="157">
        <f t="shared" si="378"/>
        <v>1</v>
      </c>
      <c r="O333" s="151">
        <f>AVERAGEIFS(Sentiment!P:P, Sentiment!C:C, A333, Sentiment!J:J, "YES")
</f>
        <v>0.5</v>
      </c>
      <c r="P333" s="158">
        <v>0.5</v>
      </c>
      <c r="Q333" s="159">
        <f t="shared" si="379"/>
        <v>1</v>
      </c>
    </row>
    <row r="334">
      <c r="A334" s="130">
        <v>45624.0</v>
      </c>
      <c r="B334" s="131">
        <v>11.73</v>
      </c>
      <c r="C334" s="132">
        <f t="shared" si="380"/>
        <v>0.00170794193</v>
      </c>
      <c r="D334" s="132">
        <f t="shared" si="375"/>
        <v>0.00852514919</v>
      </c>
      <c r="E334" s="133">
        <f t="shared" si="376"/>
        <v>1</v>
      </c>
      <c r="F334" s="134">
        <v>11610.8</v>
      </c>
      <c r="G334" s="135">
        <f t="shared" si="381"/>
        <v>0.002703052809</v>
      </c>
      <c r="H334" s="135">
        <f t="shared" si="377"/>
        <v>0.005898284547</v>
      </c>
      <c r="I334" s="136">
        <v>73.28</v>
      </c>
      <c r="J334" s="155">
        <f t="shared" si="382"/>
        <v>0.006178772484</v>
      </c>
      <c r="K334" s="138" t="s">
        <v>27</v>
      </c>
      <c r="L334" s="139">
        <f>AVERAGEIFS(Sentiment!$K:$K, Sentiment!$C:$C, $A334, Sentiment!$J:$J, "YES")
</f>
        <v>0.4272727273</v>
      </c>
      <c r="M334" s="139">
        <f>AVERAGEIFS(Sentiment!$K:$K, Sentiment!$C:$C, $A334, Sentiment!$J:$J, "YES")
</f>
        <v>0.4272727273</v>
      </c>
      <c r="N334" s="140">
        <f t="shared" si="378"/>
        <v>1</v>
      </c>
      <c r="O334" s="139">
        <f>AVERAGEIFS(Sentiment!P:P, Sentiment!C:C, A334, Sentiment!J:J, "YES")
</f>
        <v>0.2</v>
      </c>
      <c r="P334" s="141">
        <v>0.20000000000000007</v>
      </c>
      <c r="Q334" s="142">
        <f t="shared" si="379"/>
        <v>1</v>
      </c>
    </row>
    <row r="335">
      <c r="A335" s="130">
        <v>45625.0</v>
      </c>
      <c r="B335" s="143">
        <v>11.83</v>
      </c>
      <c r="C335" s="144">
        <f t="shared" si="380"/>
        <v>0.00852514919</v>
      </c>
      <c r="D335" s="144">
        <f>C338</f>
        <v>-0.0135249366</v>
      </c>
      <c r="E335" s="145">
        <f t="shared" si="376"/>
        <v>0</v>
      </c>
      <c r="F335" s="146">
        <v>11641.3</v>
      </c>
      <c r="G335" s="147">
        <f t="shared" si="381"/>
        <v>0.002626864643</v>
      </c>
      <c r="H335" s="147">
        <f>D335-G338</f>
        <v>-0.02159963616</v>
      </c>
      <c r="I335" s="148">
        <v>72.94</v>
      </c>
      <c r="J335" s="156">
        <f t="shared" si="382"/>
        <v>-0.004639737991</v>
      </c>
      <c r="K335" s="150" t="s">
        <v>27</v>
      </c>
      <c r="L335" s="151">
        <f>AVERAGEIFS(Sentiment!$K:$K, Sentiment!$C:$C, $A335, Sentiment!$J:$J, "YES")
</f>
        <v>0.428</v>
      </c>
      <c r="M335" s="151">
        <f>AVERAGEIFS(Sentiment!$K:$K, Sentiment!$C:$C, $A335, Sentiment!$J:$J, "YES")
</f>
        <v>0.428</v>
      </c>
      <c r="N335" s="157">
        <f t="shared" si="378"/>
        <v>1</v>
      </c>
      <c r="O335" s="151">
        <f>AVERAGEIFS(Sentiment!P:P, Sentiment!C:C, A335, Sentiment!J:J, "YES")
</f>
        <v>0</v>
      </c>
      <c r="P335" s="158">
        <v>7.771561172376097E-18</v>
      </c>
      <c r="Q335" s="159">
        <f t="shared" si="379"/>
        <v>1</v>
      </c>
    </row>
    <row r="336">
      <c r="A336" s="130">
        <v>45626.0</v>
      </c>
      <c r="B336" s="131"/>
      <c r="C336" s="132"/>
      <c r="D336" s="132"/>
      <c r="E336" s="133"/>
      <c r="F336" s="134"/>
      <c r="G336" s="135"/>
      <c r="H336" s="135"/>
      <c r="I336" s="136"/>
      <c r="J336" s="137"/>
      <c r="K336" s="138" t="s">
        <v>27</v>
      </c>
      <c r="L336" s="139">
        <f>AVERAGEIFS(Sentiment!$K:$K, Sentiment!$C:$C, $A336, Sentiment!$J:$J, "YES")
</f>
        <v>-0.1666666667</v>
      </c>
      <c r="M336" s="139"/>
      <c r="N336" s="140"/>
      <c r="O336" s="139">
        <f>AVERAGEIFS(Sentiment!P:P, Sentiment!C:C, A336, Sentiment!J:J, "YES")
</f>
        <v>-0.3</v>
      </c>
      <c r="P336" s="141"/>
      <c r="Q336" s="142"/>
    </row>
    <row r="337">
      <c r="A337" s="130">
        <v>45627.0</v>
      </c>
      <c r="B337" s="143"/>
      <c r="C337" s="144"/>
      <c r="D337" s="144"/>
      <c r="E337" s="145"/>
      <c r="F337" s="146"/>
      <c r="G337" s="147"/>
      <c r="H337" s="147"/>
      <c r="I337" s="148"/>
      <c r="J337" s="160"/>
      <c r="K337" s="150" t="s">
        <v>27</v>
      </c>
      <c r="L337" s="151">
        <f>AVERAGEIFS(Sentiment!$K:$K, Sentiment!$C:$C, $A337, Sentiment!$J:$J, "YES")
</f>
        <v>-0.7</v>
      </c>
      <c r="M337" s="151"/>
      <c r="N337" s="157"/>
      <c r="O337" s="151">
        <f>AVERAGEIFS(Sentiment!P:P, Sentiment!C:C, A337, Sentiment!J:J, "YES")
</f>
        <v>-0.7</v>
      </c>
      <c r="P337" s="158"/>
      <c r="Q337" s="159"/>
    </row>
    <row r="338">
      <c r="A338" s="130">
        <v>45628.0</v>
      </c>
      <c r="B338" s="131">
        <v>11.67</v>
      </c>
      <c r="C338" s="132">
        <f>B338/B335-1</f>
        <v>-0.0135249366</v>
      </c>
      <c r="D338" s="132">
        <f t="shared" ref="D338:D341" si="383">C339</f>
        <v>-0.01028277635</v>
      </c>
      <c r="E338" s="133">
        <f t="shared" ref="E338:E342" si="384">IF(D338&gt;0,1,0)</f>
        <v>0</v>
      </c>
      <c r="F338" s="134">
        <v>11735.3</v>
      </c>
      <c r="G338" s="135">
        <f>F338/F335-1</f>
        <v>0.008074699561</v>
      </c>
      <c r="H338" s="135">
        <f t="shared" ref="H338:H341" si="385">D338-G339</f>
        <v>-0.02206773285</v>
      </c>
      <c r="I338" s="136">
        <v>71.83</v>
      </c>
      <c r="J338" s="155">
        <f>I338/I335-1</f>
        <v>-0.01521798739</v>
      </c>
      <c r="K338" s="138" t="s">
        <v>27</v>
      </c>
      <c r="L338" s="139">
        <f>AVERAGEIFS(Sentiment!$K:$K, Sentiment!$C:$C, $A338, Sentiment!$J:$J, "YES")
</f>
        <v>-0.1166666667</v>
      </c>
      <c r="M338" s="152">
        <v>-0.19</v>
      </c>
      <c r="N338" s="153">
        <f t="shared" ref="N338:N342" si="386">IF(M338&gt;0,1,0)</f>
        <v>0</v>
      </c>
      <c r="O338" s="139">
        <f>AVERAGEIFS(Sentiment!P:P, Sentiment!C:C, A338, Sentiment!J:J, "YES")
</f>
        <v>0.03333333333</v>
      </c>
      <c r="P338" s="152">
        <v>-0.14</v>
      </c>
      <c r="Q338" s="154">
        <f t="shared" ref="Q338:Q342" si="387">IF(P338&gt;0,1,0)</f>
        <v>0</v>
      </c>
    </row>
    <row r="339">
      <c r="A339" s="130">
        <v>45629.0</v>
      </c>
      <c r="B339" s="143">
        <v>11.55</v>
      </c>
      <c r="C339" s="144">
        <f t="shared" ref="C339:C342" si="388">B339/B338-1</f>
        <v>-0.01028277635</v>
      </c>
      <c r="D339" s="144">
        <f t="shared" si="383"/>
        <v>-0.008658008658</v>
      </c>
      <c r="E339" s="145">
        <f t="shared" si="384"/>
        <v>0</v>
      </c>
      <c r="F339" s="146">
        <v>11873.6</v>
      </c>
      <c r="G339" s="147">
        <f t="shared" ref="G339:G342" si="389">F339/F338-1</f>
        <v>0.0117849565</v>
      </c>
      <c r="H339" s="147">
        <f t="shared" si="385"/>
        <v>-0.01354279507</v>
      </c>
      <c r="I339" s="148">
        <v>73.62</v>
      </c>
      <c r="J339" s="156">
        <f t="shared" ref="J339:J342" si="390">I339/I338-1</f>
        <v>0.02491994988</v>
      </c>
      <c r="K339" s="150" t="s">
        <v>27</v>
      </c>
      <c r="L339" s="151">
        <f>AVERAGEIFS(Sentiment!$K:$K, Sentiment!$C:$C, $A339, Sentiment!$J:$J, "YES")
</f>
        <v>0.3625</v>
      </c>
      <c r="M339" s="151">
        <f>AVERAGEIFS(Sentiment!$K:$K, Sentiment!$C:$C, $A339, Sentiment!$J:$J, "YES")
</f>
        <v>0.3625</v>
      </c>
      <c r="N339" s="157">
        <f t="shared" si="386"/>
        <v>1</v>
      </c>
      <c r="O339" s="151">
        <f>AVERAGEIFS(Sentiment!P:P, Sentiment!C:C, A339, Sentiment!J:J, "YES")
</f>
        <v>0.3625</v>
      </c>
      <c r="P339" s="158">
        <v>0.3625</v>
      </c>
      <c r="Q339" s="159">
        <f t="shared" si="387"/>
        <v>1</v>
      </c>
    </row>
    <row r="340">
      <c r="A340" s="130">
        <v>45630.0</v>
      </c>
      <c r="B340" s="131">
        <v>11.45</v>
      </c>
      <c r="C340" s="132">
        <f t="shared" si="388"/>
        <v>-0.008658008658</v>
      </c>
      <c r="D340" s="132">
        <f t="shared" si="383"/>
        <v>-0.0096069869</v>
      </c>
      <c r="E340" s="133">
        <f t="shared" si="384"/>
        <v>0</v>
      </c>
      <c r="F340" s="134">
        <v>11931.6</v>
      </c>
      <c r="G340" s="135">
        <f t="shared" si="389"/>
        <v>0.004884786417</v>
      </c>
      <c r="H340" s="135">
        <f t="shared" si="385"/>
        <v>-0.02528803554</v>
      </c>
      <c r="I340" s="136">
        <v>72.31</v>
      </c>
      <c r="J340" s="155">
        <f t="shared" si="390"/>
        <v>-0.0177940777</v>
      </c>
      <c r="K340" s="138" t="s">
        <v>27</v>
      </c>
      <c r="L340" s="139">
        <f>AVERAGEIFS(Sentiment!$K:$K, Sentiment!$C:$C, $A340, Sentiment!$J:$J, "YES")
</f>
        <v>0.1071428571</v>
      </c>
      <c r="M340" s="139">
        <f>AVERAGEIFS(Sentiment!$K:$K, Sentiment!$C:$C, $A340, Sentiment!$J:$J, "YES")
</f>
        <v>0.1071428571</v>
      </c>
      <c r="N340" s="140">
        <f t="shared" si="386"/>
        <v>1</v>
      </c>
      <c r="O340" s="139">
        <f>AVERAGEIFS(Sentiment!P:P, Sentiment!C:C, A340, Sentiment!J:J, "YES")
</f>
        <v>-0.01428571429</v>
      </c>
      <c r="P340" s="141">
        <v>-0.014285714285714285</v>
      </c>
      <c r="Q340" s="142">
        <f t="shared" si="387"/>
        <v>0</v>
      </c>
    </row>
    <row r="341">
      <c r="A341" s="130">
        <v>45631.0</v>
      </c>
      <c r="B341" s="143">
        <v>11.34</v>
      </c>
      <c r="C341" s="144">
        <f t="shared" si="388"/>
        <v>-0.0096069869</v>
      </c>
      <c r="D341" s="144">
        <f t="shared" si="383"/>
        <v>-0.004409171076</v>
      </c>
      <c r="E341" s="145">
        <f t="shared" si="384"/>
        <v>0</v>
      </c>
      <c r="F341" s="146">
        <v>12118.7</v>
      </c>
      <c r="G341" s="147">
        <f t="shared" si="389"/>
        <v>0.01568104864</v>
      </c>
      <c r="H341" s="147">
        <f t="shared" si="385"/>
        <v>-0.0005556224279</v>
      </c>
      <c r="I341" s="148">
        <v>72.09</v>
      </c>
      <c r="J341" s="156">
        <f t="shared" si="390"/>
        <v>-0.003042456092</v>
      </c>
      <c r="K341" s="150" t="s">
        <v>27</v>
      </c>
      <c r="L341" s="151">
        <f>AVERAGEIFS(Sentiment!$K:$K, Sentiment!$C:$C, $A341, Sentiment!$J:$J, "YES")
</f>
        <v>0.325</v>
      </c>
      <c r="M341" s="151">
        <f>AVERAGEIFS(Sentiment!$K:$K, Sentiment!$C:$C, $A341, Sentiment!$J:$J, "YES")
</f>
        <v>0.325</v>
      </c>
      <c r="N341" s="157">
        <f t="shared" si="386"/>
        <v>1</v>
      </c>
      <c r="O341" s="151">
        <f>AVERAGEIFS(Sentiment!P:P, Sentiment!C:C, A341, Sentiment!J:J, "YES")
</f>
        <v>0.0375</v>
      </c>
      <c r="P341" s="158">
        <v>0.0375</v>
      </c>
      <c r="Q341" s="159">
        <f t="shared" si="387"/>
        <v>1</v>
      </c>
    </row>
    <row r="342">
      <c r="A342" s="130">
        <v>45632.0</v>
      </c>
      <c r="B342" s="131">
        <v>11.29</v>
      </c>
      <c r="C342" s="132">
        <f t="shared" si="388"/>
        <v>-0.004409171076</v>
      </c>
      <c r="D342" s="132">
        <f>C345</f>
        <v>0.006200177148</v>
      </c>
      <c r="E342" s="133">
        <f t="shared" si="384"/>
        <v>1</v>
      </c>
      <c r="F342" s="134">
        <v>12072.0</v>
      </c>
      <c r="G342" s="135">
        <f t="shared" si="389"/>
        <v>-0.003853548648</v>
      </c>
      <c r="H342" s="135">
        <f>D342-G345</f>
        <v>0.01121177423</v>
      </c>
      <c r="I342" s="136">
        <v>71.12</v>
      </c>
      <c r="J342" s="155">
        <f t="shared" si="390"/>
        <v>-0.01345540297</v>
      </c>
      <c r="K342" s="138" t="s">
        <v>27</v>
      </c>
      <c r="L342" s="139">
        <f>AVERAGEIFS(Sentiment!$K:$K, Sentiment!$C:$C, $A342, Sentiment!$J:$J, "YES")
</f>
        <v>-0.05</v>
      </c>
      <c r="M342" s="139">
        <f>AVERAGEIFS(Sentiment!$K:$K, Sentiment!$C:$C, $A342, Sentiment!$J:$J, "YES")
</f>
        <v>-0.05</v>
      </c>
      <c r="N342" s="140">
        <f t="shared" si="386"/>
        <v>0</v>
      </c>
      <c r="O342" s="139">
        <f>AVERAGEIFS(Sentiment!P:P, Sentiment!C:C, A342, Sentiment!J:J, "YES")
</f>
        <v>-0.18</v>
      </c>
      <c r="P342" s="141">
        <v>-0.17999999999999997</v>
      </c>
      <c r="Q342" s="142">
        <f t="shared" si="387"/>
        <v>0</v>
      </c>
    </row>
    <row r="343">
      <c r="A343" s="130">
        <v>45633.0</v>
      </c>
      <c r="B343" s="143"/>
      <c r="C343" s="144"/>
      <c r="D343" s="144"/>
      <c r="E343" s="145"/>
      <c r="F343" s="146"/>
      <c r="G343" s="147"/>
      <c r="H343" s="147"/>
      <c r="I343" s="148"/>
      <c r="J343" s="160"/>
      <c r="K343" s="150" t="s">
        <v>27</v>
      </c>
      <c r="L343" s="151">
        <f>AVERAGEIFS(Sentiment!$K:$K, Sentiment!$C:$C, $A343, Sentiment!$J:$J, "YES")
</f>
        <v>0.05</v>
      </c>
      <c r="M343" s="151"/>
      <c r="N343" s="157"/>
      <c r="O343" s="151">
        <f>AVERAGEIFS(Sentiment!P:P, Sentiment!C:C, A343, Sentiment!J:J, "YES")
</f>
        <v>-0.15</v>
      </c>
      <c r="P343" s="158"/>
      <c r="Q343" s="159"/>
    </row>
    <row r="344">
      <c r="A344" s="130">
        <v>45634.0</v>
      </c>
      <c r="B344" s="131"/>
      <c r="C344" s="132"/>
      <c r="D344" s="132"/>
      <c r="E344" s="133"/>
      <c r="F344" s="134"/>
      <c r="G344" s="135"/>
      <c r="H344" s="135"/>
      <c r="I344" s="136"/>
      <c r="J344" s="137"/>
      <c r="K344" s="138" t="s">
        <v>27</v>
      </c>
      <c r="L344" s="139">
        <f>AVERAGEIFS(Sentiment!$K:$K, Sentiment!$C:$C, $A344, Sentiment!$J:$J, "YES")
</f>
        <v>0.35</v>
      </c>
      <c r="M344" s="139"/>
      <c r="N344" s="140"/>
      <c r="O344" s="139">
        <f>AVERAGEIFS(Sentiment!P:P, Sentiment!C:C, A344, Sentiment!J:J, "YES")
</f>
        <v>0</v>
      </c>
      <c r="P344" s="141"/>
      <c r="Q344" s="142"/>
    </row>
    <row r="345">
      <c r="A345" s="130">
        <v>45635.0</v>
      </c>
      <c r="B345" s="143">
        <v>11.36</v>
      </c>
      <c r="C345" s="144">
        <f>B345/B342-1</f>
        <v>0.006200177148</v>
      </c>
      <c r="D345" s="144">
        <f t="shared" ref="D345:D348" si="391">C346</f>
        <v>0.006161971831</v>
      </c>
      <c r="E345" s="145">
        <f t="shared" ref="E345:E349" si="392">IF(D345&gt;0,1,0)</f>
        <v>1</v>
      </c>
      <c r="F345" s="146">
        <v>12011.5</v>
      </c>
      <c r="G345" s="147">
        <f>F345/F342-1</f>
        <v>-0.005011597084</v>
      </c>
      <c r="H345" s="147">
        <f t="shared" ref="H345:H348" si="393">D345-G346</f>
        <v>0.00999163507</v>
      </c>
      <c r="I345" s="148">
        <v>72.14</v>
      </c>
      <c r="J345" s="156">
        <f>I345/I342-1</f>
        <v>0.01434195726</v>
      </c>
      <c r="K345" s="150" t="s">
        <v>27</v>
      </c>
      <c r="L345" s="151">
        <f>AVERAGEIFS(Sentiment!$K:$K, Sentiment!$C:$C, $A345, Sentiment!$J:$J, "YES")
</f>
        <v>0.0125</v>
      </c>
      <c r="M345" s="152">
        <v>0.11</v>
      </c>
      <c r="N345" s="153">
        <f t="shared" ref="N345:N349" si="394">IF(M345&gt;0,1,0)</f>
        <v>1</v>
      </c>
      <c r="O345" s="151">
        <f>AVERAGEIFS(Sentiment!P:P, Sentiment!C:C, A345, Sentiment!J:J, "YES")
</f>
        <v>-0.075</v>
      </c>
      <c r="P345" s="152">
        <v>-0.06</v>
      </c>
      <c r="Q345" s="154">
        <f t="shared" ref="Q345:Q349" si="395">IF(P345&gt;0,1,0)</f>
        <v>0</v>
      </c>
    </row>
    <row r="346">
      <c r="A346" s="130">
        <v>45636.0</v>
      </c>
      <c r="B346" s="131">
        <v>11.43</v>
      </c>
      <c r="C346" s="132">
        <f t="shared" ref="C346:C349" si="396">B346/B345-1</f>
        <v>0.006161971831</v>
      </c>
      <c r="D346" s="132">
        <f t="shared" si="391"/>
        <v>-0.006999125109</v>
      </c>
      <c r="E346" s="133">
        <f t="shared" si="392"/>
        <v>0</v>
      </c>
      <c r="F346" s="134">
        <v>11965.5</v>
      </c>
      <c r="G346" s="135">
        <f t="shared" ref="G346:G349" si="397">F346/F345-1</f>
        <v>-0.003829663239</v>
      </c>
      <c r="H346" s="135">
        <f t="shared" si="393"/>
        <v>0.007726544524</v>
      </c>
      <c r="I346" s="136">
        <v>72.19</v>
      </c>
      <c r="J346" s="155">
        <f t="shared" ref="J346:J349" si="398">I346/I345-1</f>
        <v>0.0006930967563</v>
      </c>
      <c r="K346" s="138" t="s">
        <v>27</v>
      </c>
      <c r="L346" s="139">
        <f>AVERAGEIFS(Sentiment!$K:$K, Sentiment!$C:$C, $A346, Sentiment!$J:$J, "YES")
</f>
        <v>0.65</v>
      </c>
      <c r="M346" s="139">
        <f>AVERAGEIFS(Sentiment!$K:$K, Sentiment!$C:$C, $A346, Sentiment!$J:$J, "YES")
</f>
        <v>0.65</v>
      </c>
      <c r="N346" s="140">
        <f t="shared" si="394"/>
        <v>1</v>
      </c>
      <c r="O346" s="139">
        <f>AVERAGEIFS(Sentiment!P:P, Sentiment!C:C, A346, Sentiment!J:J, "YES")
</f>
        <v>0.075</v>
      </c>
      <c r="P346" s="141">
        <v>0.075</v>
      </c>
      <c r="Q346" s="142">
        <f t="shared" si="395"/>
        <v>1</v>
      </c>
    </row>
    <row r="347">
      <c r="A347" s="130">
        <v>45637.0</v>
      </c>
      <c r="B347" s="143">
        <v>11.35</v>
      </c>
      <c r="C347" s="144">
        <f t="shared" si="396"/>
        <v>-0.006999125109</v>
      </c>
      <c r="D347" s="144">
        <f t="shared" si="391"/>
        <v>0.001762114537</v>
      </c>
      <c r="E347" s="145">
        <f t="shared" si="392"/>
        <v>1</v>
      </c>
      <c r="F347" s="146">
        <v>11789.3</v>
      </c>
      <c r="G347" s="147">
        <f t="shared" si="397"/>
        <v>-0.01472566963</v>
      </c>
      <c r="H347" s="147">
        <f t="shared" si="393"/>
        <v>0.003840270153</v>
      </c>
      <c r="I347" s="148">
        <v>73.52</v>
      </c>
      <c r="J347" s="156">
        <f t="shared" si="398"/>
        <v>0.01842360438</v>
      </c>
      <c r="K347" s="150" t="s">
        <v>27</v>
      </c>
      <c r="L347" s="151">
        <f>AVERAGEIFS(Sentiment!$K:$K, Sentiment!$C:$C, $A347, Sentiment!$J:$J, "YES")
</f>
        <v>-0.075</v>
      </c>
      <c r="M347" s="151">
        <f>AVERAGEIFS(Sentiment!$K:$K, Sentiment!$C:$C, $A347, Sentiment!$J:$J, "YES")
</f>
        <v>-0.075</v>
      </c>
      <c r="N347" s="157">
        <f t="shared" si="394"/>
        <v>0</v>
      </c>
      <c r="O347" s="151">
        <f>AVERAGEIFS(Sentiment!P:P, Sentiment!C:C, A347, Sentiment!J:J, "YES")
</f>
        <v>-0.01666666667</v>
      </c>
      <c r="P347" s="158">
        <v>-0.016666666666666673</v>
      </c>
      <c r="Q347" s="159">
        <f t="shared" si="395"/>
        <v>0</v>
      </c>
    </row>
    <row r="348">
      <c r="A348" s="130">
        <v>45638.0</v>
      </c>
      <c r="B348" s="131">
        <v>11.37</v>
      </c>
      <c r="C348" s="132">
        <f t="shared" si="396"/>
        <v>0.001762114537</v>
      </c>
      <c r="D348" s="132">
        <f t="shared" si="391"/>
        <v>-0.004397537379</v>
      </c>
      <c r="E348" s="133">
        <f t="shared" si="392"/>
        <v>0</v>
      </c>
      <c r="F348" s="134">
        <v>11764.8</v>
      </c>
      <c r="G348" s="135">
        <f t="shared" si="397"/>
        <v>-0.002078155616</v>
      </c>
      <c r="H348" s="135">
        <f t="shared" si="393"/>
        <v>-0.003318046015</v>
      </c>
      <c r="I348" s="136">
        <v>73.41</v>
      </c>
      <c r="J348" s="155">
        <f t="shared" si="398"/>
        <v>-0.001496191513</v>
      </c>
      <c r="K348" s="138" t="s">
        <v>27</v>
      </c>
      <c r="L348" s="139">
        <f>AVERAGEIFS(Sentiment!$K:$K, Sentiment!$C:$C, $A348, Sentiment!$J:$J, "YES")
</f>
        <v>0.3625</v>
      </c>
      <c r="M348" s="139">
        <f>AVERAGEIFS(Sentiment!$K:$K, Sentiment!$C:$C, $A348, Sentiment!$J:$J, "YES")
</f>
        <v>0.3625</v>
      </c>
      <c r="N348" s="140">
        <f t="shared" si="394"/>
        <v>1</v>
      </c>
      <c r="O348" s="139">
        <f>AVERAGEIFS(Sentiment!P:P, Sentiment!C:C, A348, Sentiment!J:J, "YES")
</f>
        <v>0.175</v>
      </c>
      <c r="P348" s="141">
        <v>0.17500000000000002</v>
      </c>
      <c r="Q348" s="142">
        <f t="shared" si="395"/>
        <v>1</v>
      </c>
    </row>
    <row r="349">
      <c r="A349" s="130">
        <v>45639.0</v>
      </c>
      <c r="B349" s="143">
        <v>11.32</v>
      </c>
      <c r="C349" s="144">
        <f t="shared" si="396"/>
        <v>-0.004397537379</v>
      </c>
      <c r="D349" s="144">
        <f>C352</f>
        <v>-0.005300353357</v>
      </c>
      <c r="E349" s="145">
        <f t="shared" si="392"/>
        <v>0</v>
      </c>
      <c r="F349" s="146">
        <v>11752.1</v>
      </c>
      <c r="G349" s="147">
        <f t="shared" si="397"/>
        <v>-0.001079491364</v>
      </c>
      <c r="H349" s="147">
        <f>D349-G352</f>
        <v>-0.0075552695</v>
      </c>
      <c r="I349" s="148">
        <v>74.49</v>
      </c>
      <c r="J349" s="156">
        <f t="shared" si="398"/>
        <v>0.01471189211</v>
      </c>
      <c r="K349" s="150" t="s">
        <v>27</v>
      </c>
      <c r="L349" s="151">
        <f>AVERAGEIFS(Sentiment!$K:$K, Sentiment!$C:$C, $A349, Sentiment!$J:$J, "YES")
</f>
        <v>0.2666666667</v>
      </c>
      <c r="M349" s="151">
        <f>AVERAGEIFS(Sentiment!$K:$K, Sentiment!$C:$C, $A349, Sentiment!$J:$J, "YES")
</f>
        <v>0.2666666667</v>
      </c>
      <c r="N349" s="157">
        <f t="shared" si="394"/>
        <v>1</v>
      </c>
      <c r="O349" s="151">
        <f>AVERAGEIFS(Sentiment!P:P, Sentiment!C:C, A349, Sentiment!J:J, "YES")
</f>
        <v>0.03333333333</v>
      </c>
      <c r="P349" s="158">
        <v>0.033333333333333354</v>
      </c>
      <c r="Q349" s="159">
        <f t="shared" si="395"/>
        <v>1</v>
      </c>
    </row>
    <row r="350">
      <c r="A350" s="130">
        <v>45640.0</v>
      </c>
      <c r="B350" s="131"/>
      <c r="C350" s="132"/>
      <c r="D350" s="132"/>
      <c r="E350" s="133"/>
      <c r="F350" s="134"/>
      <c r="G350" s="135"/>
      <c r="H350" s="135"/>
      <c r="I350" s="136"/>
      <c r="J350" s="137"/>
      <c r="K350" s="138" t="s">
        <v>27</v>
      </c>
      <c r="L350" s="139">
        <f>AVERAGEIFS(Sentiment!$K:$K, Sentiment!$C:$C, $A350, Sentiment!$J:$J, "YES")
</f>
        <v>0.3666666667</v>
      </c>
      <c r="M350" s="139"/>
      <c r="N350" s="140"/>
      <c r="O350" s="139">
        <f>AVERAGEIFS(Sentiment!P:P, Sentiment!C:C, A350, Sentiment!J:J, "YES")
</f>
        <v>0.1666666667</v>
      </c>
      <c r="P350" s="141"/>
      <c r="Q350" s="142"/>
    </row>
    <row r="351">
      <c r="A351" s="130">
        <v>45641.0</v>
      </c>
      <c r="B351" s="143"/>
      <c r="C351" s="144"/>
      <c r="D351" s="144"/>
      <c r="E351" s="145"/>
      <c r="F351" s="146"/>
      <c r="G351" s="147"/>
      <c r="H351" s="147"/>
      <c r="I351" s="148"/>
      <c r="J351" s="160"/>
      <c r="K351" s="150" t="s">
        <v>27</v>
      </c>
      <c r="L351" s="151">
        <f>AVERAGEIFS(Sentiment!$K:$K, Sentiment!$C:$C, $A351, Sentiment!$J:$J, "YES")
</f>
        <v>-0.225</v>
      </c>
      <c r="M351" s="151"/>
      <c r="N351" s="157"/>
      <c r="O351" s="151">
        <f>AVERAGEIFS(Sentiment!P:P, Sentiment!C:C, A351, Sentiment!J:J, "YES")
</f>
        <v>-0.1</v>
      </c>
      <c r="P351" s="158"/>
      <c r="Q351" s="159"/>
    </row>
    <row r="352">
      <c r="A352" s="130">
        <v>45642.0</v>
      </c>
      <c r="B352" s="131">
        <v>11.26</v>
      </c>
      <c r="C352" s="132">
        <f>B352/B349-1</f>
        <v>-0.005300353357</v>
      </c>
      <c r="D352" s="132">
        <f t="shared" ref="D352:D355" si="399">C353</f>
        <v>-0.02042628774</v>
      </c>
      <c r="E352" s="133">
        <f t="shared" ref="E352:E356" si="400">IF(D352&gt;0,1,0)</f>
        <v>0</v>
      </c>
      <c r="F352" s="134">
        <v>11778.6</v>
      </c>
      <c r="G352" s="135">
        <f>F352/F349-1</f>
        <v>0.002254916143</v>
      </c>
      <c r="H352" s="135">
        <f t="shared" ref="H352:H355" si="401">D352-G353</f>
        <v>-0.004252888529</v>
      </c>
      <c r="I352" s="136">
        <v>73.91</v>
      </c>
      <c r="J352" s="155">
        <f>I352/I349-1</f>
        <v>-0.007786280038</v>
      </c>
      <c r="K352" s="138" t="s">
        <v>27</v>
      </c>
      <c r="L352" s="139">
        <f>AVERAGEIFS(Sentiment!$K:$K, Sentiment!$C:$C, $A352, Sentiment!$J:$J, "YES")
</f>
        <v>0.27</v>
      </c>
      <c r="M352" s="152">
        <v>0.17</v>
      </c>
      <c r="N352" s="153">
        <f t="shared" ref="N352:N356" si="402">IF(M352&gt;0,1,0)</f>
        <v>1</v>
      </c>
      <c r="O352" s="139">
        <f>AVERAGEIFS(Sentiment!P:P, Sentiment!C:C, A352, Sentiment!J:J, "YES")
</f>
        <v>0.22</v>
      </c>
      <c r="P352" s="152">
        <v>0.14</v>
      </c>
      <c r="Q352" s="154">
        <f t="shared" ref="Q352:Q356" si="403">IF(P352&gt;0,1,0)</f>
        <v>1</v>
      </c>
    </row>
    <row r="353">
      <c r="A353" s="130">
        <v>45643.0</v>
      </c>
      <c r="B353" s="143">
        <v>11.03</v>
      </c>
      <c r="C353" s="144">
        <f t="shared" ref="C353:C356" si="404">B353/B352-1</f>
        <v>-0.02042628774</v>
      </c>
      <c r="D353" s="144">
        <f t="shared" si="399"/>
        <v>0.009972801451</v>
      </c>
      <c r="E353" s="145">
        <f t="shared" si="400"/>
        <v>1</v>
      </c>
      <c r="F353" s="146">
        <v>11588.1</v>
      </c>
      <c r="G353" s="147">
        <f t="shared" ref="G353:G356" si="405">F353/F352-1</f>
        <v>-0.01617339922</v>
      </c>
      <c r="H353" s="147">
        <f t="shared" si="401"/>
        <v>0.007401197823</v>
      </c>
      <c r="I353" s="148">
        <v>73.19</v>
      </c>
      <c r="J353" s="156">
        <f t="shared" ref="J353:J356" si="406">I353/I352-1</f>
        <v>-0.009741577594</v>
      </c>
      <c r="K353" s="150" t="s">
        <v>27</v>
      </c>
      <c r="L353" s="151">
        <f>AVERAGEIFS(Sentiment!$K:$K, Sentiment!$C:$C, $A353, Sentiment!$J:$J, "YES")
</f>
        <v>-0.16</v>
      </c>
      <c r="M353" s="151">
        <f>AVERAGEIFS(Sentiment!$K:$K, Sentiment!$C:$C, $A353, Sentiment!$J:$J, "YES")
</f>
        <v>-0.16</v>
      </c>
      <c r="N353" s="157">
        <f t="shared" si="402"/>
        <v>0</v>
      </c>
      <c r="O353" s="151">
        <f>AVERAGEIFS(Sentiment!P:P, Sentiment!C:C, A353, Sentiment!J:J, "YES")
</f>
        <v>-0.24</v>
      </c>
      <c r="P353" s="158">
        <v>-0.24000000000000005</v>
      </c>
      <c r="Q353" s="159">
        <f t="shared" si="403"/>
        <v>0</v>
      </c>
    </row>
    <row r="354">
      <c r="A354" s="130">
        <v>45644.0</v>
      </c>
      <c r="B354" s="131">
        <v>11.14</v>
      </c>
      <c r="C354" s="132">
        <f t="shared" si="404"/>
        <v>0.009972801451</v>
      </c>
      <c r="D354" s="132">
        <f t="shared" si="399"/>
        <v>-0.01077199282</v>
      </c>
      <c r="E354" s="133">
        <f t="shared" si="400"/>
        <v>0</v>
      </c>
      <c r="F354" s="134">
        <v>11617.9</v>
      </c>
      <c r="G354" s="135">
        <f t="shared" si="405"/>
        <v>0.002571603628</v>
      </c>
      <c r="H354" s="135">
        <f t="shared" si="401"/>
        <v>0.004549192593</v>
      </c>
      <c r="I354" s="136">
        <v>73.39</v>
      </c>
      <c r="J354" s="155">
        <f t="shared" si="406"/>
        <v>0.002732613745</v>
      </c>
      <c r="K354" s="138" t="s">
        <v>27</v>
      </c>
      <c r="L354" s="139">
        <f>AVERAGEIFS(Sentiment!$K:$K, Sentiment!$C:$C, $A354, Sentiment!$J:$J, "YES")
</f>
        <v>0.07142857143</v>
      </c>
      <c r="M354" s="139">
        <f>AVERAGEIFS(Sentiment!$K:$K, Sentiment!$C:$C, $A354, Sentiment!$J:$J, "YES")
</f>
        <v>0.07142857143</v>
      </c>
      <c r="N354" s="140">
        <f t="shared" si="402"/>
        <v>1</v>
      </c>
      <c r="O354" s="139">
        <f>AVERAGEIFS(Sentiment!P:P, Sentiment!C:C, A354, Sentiment!J:J, "YES")
</f>
        <v>0.1285714286</v>
      </c>
      <c r="P354" s="141">
        <v>0.1285714285714286</v>
      </c>
      <c r="Q354" s="142">
        <f t="shared" si="403"/>
        <v>1</v>
      </c>
    </row>
    <row r="355">
      <c r="A355" s="130">
        <v>45645.0</v>
      </c>
      <c r="B355" s="143">
        <v>11.02</v>
      </c>
      <c r="C355" s="144">
        <f t="shared" si="404"/>
        <v>-0.01077199282</v>
      </c>
      <c r="D355" s="144">
        <f t="shared" si="399"/>
        <v>0</v>
      </c>
      <c r="E355" s="145">
        <f t="shared" si="400"/>
        <v>0</v>
      </c>
      <c r="F355" s="146">
        <v>11439.9</v>
      </c>
      <c r="G355" s="147">
        <f t="shared" si="405"/>
        <v>-0.01532118541</v>
      </c>
      <c r="H355" s="147">
        <f t="shared" si="401"/>
        <v>-0.002395125832</v>
      </c>
      <c r="I355" s="148">
        <v>72.88</v>
      </c>
      <c r="J355" s="156">
        <f t="shared" si="406"/>
        <v>-0.006949175637</v>
      </c>
      <c r="K355" s="150" t="s">
        <v>27</v>
      </c>
      <c r="L355" s="151">
        <f>AVERAGEIFS(Sentiment!$K:$K, Sentiment!$C:$C, $A355, Sentiment!$J:$J, "YES")
</f>
        <v>0.316</v>
      </c>
      <c r="M355" s="151">
        <f>AVERAGEIFS(Sentiment!$K:$K, Sentiment!$C:$C, $A355, Sentiment!$J:$J, "YES")
</f>
        <v>0.316</v>
      </c>
      <c r="N355" s="157">
        <f t="shared" si="402"/>
        <v>1</v>
      </c>
      <c r="O355" s="151">
        <f>AVERAGEIFS(Sentiment!P:P, Sentiment!C:C, A355, Sentiment!J:J, "YES")
</f>
        <v>0.276</v>
      </c>
      <c r="P355" s="158">
        <v>0.27599999999999997</v>
      </c>
      <c r="Q355" s="159">
        <f t="shared" si="403"/>
        <v>1</v>
      </c>
    </row>
    <row r="356">
      <c r="A356" s="130">
        <v>45646.0</v>
      </c>
      <c r="B356" s="131">
        <v>11.02</v>
      </c>
      <c r="C356" s="132">
        <f t="shared" si="404"/>
        <v>0</v>
      </c>
      <c r="D356" s="132">
        <f>C359</f>
        <v>0.009074410163</v>
      </c>
      <c r="E356" s="133">
        <f t="shared" si="400"/>
        <v>1</v>
      </c>
      <c r="F356" s="134">
        <v>11467.3</v>
      </c>
      <c r="G356" s="135">
        <f t="shared" si="405"/>
        <v>0.002395125832</v>
      </c>
      <c r="H356" s="135">
        <f>D356-G359</f>
        <v>0.01183007191</v>
      </c>
      <c r="I356" s="136">
        <v>72.94</v>
      </c>
      <c r="J356" s="155">
        <f t="shared" si="406"/>
        <v>0.0008232711306</v>
      </c>
      <c r="K356" s="138" t="s">
        <v>27</v>
      </c>
      <c r="L356" s="139">
        <f>AVERAGEIFS(Sentiment!$K:$K, Sentiment!$C:$C, $A356, Sentiment!$J:$J, "YES")
</f>
        <v>0.2846153846</v>
      </c>
      <c r="M356" s="139">
        <f>AVERAGEIFS(Sentiment!$K:$K, Sentiment!$C:$C, $A356, Sentiment!$J:$J, "YES")
</f>
        <v>0.2846153846</v>
      </c>
      <c r="N356" s="140">
        <f t="shared" si="402"/>
        <v>1</v>
      </c>
      <c r="O356" s="139">
        <f>AVERAGEIFS(Sentiment!P:P, Sentiment!C:C, A356, Sentiment!J:J, "YES")
</f>
        <v>0.03076923077</v>
      </c>
      <c r="P356" s="141">
        <v>0.030769230769230747</v>
      </c>
      <c r="Q356" s="142">
        <f t="shared" si="403"/>
        <v>1</v>
      </c>
    </row>
    <row r="357">
      <c r="A357" s="130">
        <v>45647.0</v>
      </c>
      <c r="B357" s="143"/>
      <c r="C357" s="144"/>
      <c r="D357" s="144"/>
      <c r="E357" s="145"/>
      <c r="F357" s="146"/>
      <c r="G357" s="147"/>
      <c r="H357" s="147"/>
      <c r="I357" s="148"/>
      <c r="J357" s="160"/>
      <c r="K357" s="150" t="s">
        <v>27</v>
      </c>
      <c r="L357" s="151">
        <f>AVERAGEIFS(Sentiment!$K:$K, Sentiment!$C:$C, $A357, Sentiment!$J:$J, "YES")
</f>
        <v>0.3285714286</v>
      </c>
      <c r="M357" s="151"/>
      <c r="N357" s="157"/>
      <c r="O357" s="151">
        <f>AVERAGEIFS(Sentiment!P:P, Sentiment!C:C, A357, Sentiment!J:J, "YES")
</f>
        <v>-0.1714285714</v>
      </c>
      <c r="P357" s="158"/>
      <c r="Q357" s="159"/>
    </row>
    <row r="358">
      <c r="A358" s="130">
        <v>45648.0</v>
      </c>
      <c r="B358" s="131"/>
      <c r="C358" s="132"/>
      <c r="D358" s="132"/>
      <c r="E358" s="133"/>
      <c r="F358" s="134"/>
      <c r="G358" s="135"/>
      <c r="H358" s="135"/>
      <c r="I358" s="136"/>
      <c r="J358" s="137"/>
      <c r="K358" s="138" t="s">
        <v>27</v>
      </c>
      <c r="L358" s="139">
        <f>AVERAGEIFS(Sentiment!$K:$K, Sentiment!$C:$C, $A358, Sentiment!$J:$J, "YES")
</f>
        <v>0.05</v>
      </c>
      <c r="M358" s="139"/>
      <c r="N358" s="140"/>
      <c r="O358" s="139">
        <f>AVERAGEIFS(Sentiment!P:P, Sentiment!C:C, A358, Sentiment!J:J, "YES")
</f>
        <v>-0.375</v>
      </c>
      <c r="P358" s="141"/>
      <c r="Q358" s="142"/>
    </row>
    <row r="359">
      <c r="A359" s="130">
        <v>45649.0</v>
      </c>
      <c r="B359" s="143">
        <v>11.12</v>
      </c>
      <c r="C359" s="144">
        <f>B359/B356-1</f>
        <v>0.009074410163</v>
      </c>
      <c r="D359" s="144">
        <f>C360</f>
        <v>0.007194244604</v>
      </c>
      <c r="E359" s="145">
        <f t="shared" ref="E359:E360" si="407">IF(D359&gt;0,1,0)</f>
        <v>1</v>
      </c>
      <c r="F359" s="146">
        <v>11435.7</v>
      </c>
      <c r="G359" s="147">
        <f>F359/F356-1</f>
        <v>-0.002755661751</v>
      </c>
      <c r="H359" s="147">
        <f>D359-G360</f>
        <v>0.003853828189</v>
      </c>
      <c r="I359" s="148">
        <v>72.63</v>
      </c>
      <c r="J359" s="156">
        <f>I359/I356-1</f>
        <v>-0.004250068549</v>
      </c>
      <c r="K359" s="150" t="s">
        <v>27</v>
      </c>
      <c r="L359" s="151">
        <f>AVERAGEIFS(Sentiment!$K:$K, Sentiment!$C:$C, $A359, Sentiment!$J:$J, "YES")
</f>
        <v>0</v>
      </c>
      <c r="M359" s="152">
        <v>0.1</v>
      </c>
      <c r="N359" s="153">
        <f t="shared" ref="N359:N360" si="408">IF(M359&gt;0,1,0)</f>
        <v>1</v>
      </c>
      <c r="O359" s="151">
        <f>AVERAGEIFS(Sentiment!P:P, Sentiment!C:C, A359, Sentiment!J:J, "YES")
</f>
        <v>-0.25</v>
      </c>
      <c r="P359" s="152">
        <v>-0.25</v>
      </c>
      <c r="Q359" s="154">
        <f t="shared" ref="Q359:Q360" si="409">IF(P359&gt;0,1,0)</f>
        <v>0</v>
      </c>
    </row>
    <row r="360">
      <c r="A360" s="175">
        <v>45650.0</v>
      </c>
      <c r="B360" s="131">
        <v>11.2</v>
      </c>
      <c r="C360" s="132">
        <f>B360/B359-1</f>
        <v>0.007194244604</v>
      </c>
      <c r="D360" s="132">
        <f>C363</f>
        <v>0.008035714286</v>
      </c>
      <c r="E360" s="133">
        <f t="shared" si="407"/>
        <v>1</v>
      </c>
      <c r="F360" s="134">
        <v>11473.9</v>
      </c>
      <c r="G360" s="135">
        <f>F360/F359-1</f>
        <v>0.003340416415</v>
      </c>
      <c r="H360" s="135">
        <f>D360-G363</f>
        <v>0.003006909782</v>
      </c>
      <c r="I360" s="136">
        <v>73.58</v>
      </c>
      <c r="J360" s="155">
        <f>I360/I359-1</f>
        <v>0.01307999449</v>
      </c>
      <c r="K360" s="138" t="s">
        <v>27</v>
      </c>
      <c r="L360" s="139">
        <f>AVERAGEIFS(Sentiment!$K:$K, Sentiment!$C:$C, $A360, Sentiment!$J:$J, "YES")
</f>
        <v>-0.2857142857</v>
      </c>
      <c r="M360" s="139">
        <f>AVERAGEIFS(Sentiment!$K:$K, Sentiment!$C:$C, $A360, Sentiment!$J:$J, "YES")
</f>
        <v>-0.2857142857</v>
      </c>
      <c r="N360" s="140">
        <f t="shared" si="408"/>
        <v>0</v>
      </c>
      <c r="O360" s="139">
        <f>AVERAGEIFS(Sentiment!P:P, Sentiment!C:C, A360, Sentiment!J:J, "YES")
</f>
        <v>-0.1571428571</v>
      </c>
      <c r="P360" s="141">
        <v>-0.15714285714285717</v>
      </c>
      <c r="Q360" s="142">
        <f t="shared" si="409"/>
        <v>0</v>
      </c>
    </row>
    <row r="361">
      <c r="A361" s="175">
        <v>45651.0</v>
      </c>
      <c r="B361" s="143"/>
      <c r="C361" s="144"/>
      <c r="D361" s="144"/>
      <c r="E361" s="145"/>
      <c r="F361" s="146"/>
      <c r="G361" s="147"/>
      <c r="H361" s="147"/>
      <c r="I361" s="148"/>
      <c r="J361" s="160"/>
      <c r="K361" s="150" t="s">
        <v>27</v>
      </c>
      <c r="L361" s="151">
        <f>AVERAGEIFS(Sentiment!$K:$K, Sentiment!$C:$C, $A361, Sentiment!$J:$J, "YES")
</f>
        <v>0</v>
      </c>
      <c r="M361" s="151"/>
      <c r="N361" s="157"/>
      <c r="O361" s="151">
        <f>AVERAGEIFS(Sentiment!P:P, Sentiment!C:C, A361, Sentiment!J:J, "YES")
</f>
        <v>-0.2</v>
      </c>
      <c r="P361" s="158"/>
      <c r="Q361" s="159"/>
    </row>
    <row r="362">
      <c r="A362" s="175">
        <v>45652.0</v>
      </c>
      <c r="B362" s="131"/>
      <c r="C362" s="132"/>
      <c r="D362" s="132"/>
      <c r="E362" s="133"/>
      <c r="F362" s="134"/>
      <c r="G362" s="135"/>
      <c r="H362" s="135"/>
      <c r="I362" s="167">
        <v>73.26</v>
      </c>
      <c r="J362" s="137"/>
      <c r="K362" s="138" t="s">
        <v>27</v>
      </c>
      <c r="L362" s="139">
        <f>AVERAGEIFS(Sentiment!$K:$K, Sentiment!$C:$C, $A362, Sentiment!$J:$J, "YES")
</f>
        <v>0.2666666667</v>
      </c>
      <c r="M362" s="139"/>
      <c r="N362" s="140"/>
      <c r="O362" s="139">
        <f>AVERAGEIFS(Sentiment!P:P, Sentiment!C:C, A362, Sentiment!J:J, "YES")
</f>
        <v>0.1</v>
      </c>
      <c r="P362" s="141"/>
      <c r="Q362" s="142"/>
    </row>
    <row r="363">
      <c r="A363" s="176">
        <v>45653.0</v>
      </c>
      <c r="B363" s="177">
        <v>11.29</v>
      </c>
      <c r="C363" s="144">
        <f>B363/B360-1</f>
        <v>0.008035714286</v>
      </c>
      <c r="D363" s="144">
        <f t="shared" ref="D363:D364" si="410">C364</f>
        <v>0.01771479185</v>
      </c>
      <c r="E363" s="145">
        <f t="shared" ref="E363:E365" si="411">IF(D363&gt;0,1,0)</f>
        <v>1</v>
      </c>
      <c r="F363" s="146">
        <v>11531.6</v>
      </c>
      <c r="G363" s="147">
        <f>F363/F360-1</f>
        <v>0.005028804504</v>
      </c>
      <c r="H363" s="147">
        <f t="shared" ref="H363:H364" si="412">D363-G364</f>
        <v>0.01726385703</v>
      </c>
      <c r="I363" s="148">
        <v>74.17</v>
      </c>
      <c r="J363" s="156">
        <f>I363/I360-1</f>
        <v>0.008018483284</v>
      </c>
      <c r="K363" s="150" t="s">
        <v>27</v>
      </c>
      <c r="L363" s="151">
        <f>AVERAGEIFS(Sentiment!$K:$K, Sentiment!$C:$C, $A363, Sentiment!$J:$J, "YES")
</f>
        <v>0.2</v>
      </c>
      <c r="M363" s="152">
        <v>0.18</v>
      </c>
      <c r="N363" s="153">
        <f t="shared" ref="N363:N365" si="413">IF(M363&gt;0,1,0)</f>
        <v>1</v>
      </c>
      <c r="O363" s="151">
        <f>AVERAGEIFS(Sentiment!P:P, Sentiment!C:C, A363, Sentiment!J:J, "YES")
</f>
        <v>0.04</v>
      </c>
      <c r="P363" s="152">
        <v>0.01</v>
      </c>
      <c r="Q363" s="154">
        <f t="shared" ref="Q363:Q365" si="414">IF(P363&gt;0,1,0)</f>
        <v>1</v>
      </c>
    </row>
    <row r="364">
      <c r="A364" s="176">
        <v>45656.0</v>
      </c>
      <c r="B364" s="178">
        <v>11.49</v>
      </c>
      <c r="C364" s="179">
        <f t="shared" ref="C364:C365" si="415">B364/B363-1</f>
        <v>0.01771479185</v>
      </c>
      <c r="D364" s="179">
        <f t="shared" si="410"/>
        <v>0.01740644038</v>
      </c>
      <c r="E364" s="180">
        <f t="shared" si="411"/>
        <v>1</v>
      </c>
      <c r="F364" s="134">
        <v>11536.8</v>
      </c>
      <c r="G364" s="181">
        <f t="shared" ref="G364:G365" si="416">F364/F363-1</f>
        <v>0.0004509348226</v>
      </c>
      <c r="H364" s="135">
        <f t="shared" si="412"/>
        <v>0.01236171394</v>
      </c>
      <c r="I364" s="136">
        <v>47.39</v>
      </c>
      <c r="J364" s="155">
        <f t="shared" ref="J364:J365" si="417">I364/I363-1</f>
        <v>-0.3610624242</v>
      </c>
      <c r="K364" s="138" t="s">
        <v>27</v>
      </c>
      <c r="L364" s="139">
        <f>AVERAGEIFS(Sentiment!$K:$K, Sentiment!$C:$C, $A364, Sentiment!$J:$J, "YES")
</f>
        <v>0.3722222222</v>
      </c>
      <c r="M364" s="139">
        <f>AVERAGEIFS(Sentiment!$K:$K, Sentiment!$C:$C, $A364, Sentiment!$J:$J, "YES")
</f>
        <v>0.3722222222</v>
      </c>
      <c r="N364" s="140">
        <f t="shared" si="413"/>
        <v>1</v>
      </c>
      <c r="O364" s="139">
        <f>AVERAGEIFS(Sentiment!P:P, Sentiment!C:C, A364, Sentiment!J:J, "YES")
</f>
        <v>-0.2777777778</v>
      </c>
      <c r="P364" s="141">
        <v>-0.27777777777777773</v>
      </c>
      <c r="Q364" s="142">
        <f t="shared" si="414"/>
        <v>0</v>
      </c>
    </row>
    <row r="365">
      <c r="A365" s="182">
        <v>45657.0</v>
      </c>
      <c r="B365" s="183">
        <v>11.69</v>
      </c>
      <c r="C365" s="184">
        <f t="shared" si="415"/>
        <v>0.01740644038</v>
      </c>
      <c r="D365" s="184"/>
      <c r="E365" s="185">
        <f t="shared" si="411"/>
        <v>0</v>
      </c>
      <c r="F365" s="186">
        <v>11595.0</v>
      </c>
      <c r="G365" s="187">
        <f t="shared" si="416"/>
        <v>0.005044726441</v>
      </c>
      <c r="H365" s="147"/>
      <c r="I365" s="188">
        <v>74.64</v>
      </c>
      <c r="J365" s="189">
        <f t="shared" si="417"/>
        <v>0.5750158261</v>
      </c>
      <c r="K365" s="190" t="s">
        <v>27</v>
      </c>
      <c r="L365" s="151">
        <f>AVERAGEIFS(Sentiment!$K:$K, Sentiment!$C:$C, $A365, Sentiment!$J:$J, "YES")
</f>
        <v>-0.06666666667</v>
      </c>
      <c r="M365" s="151">
        <f>AVERAGEIFS(Sentiment!$K:$K, Sentiment!$C:$C, $A365, Sentiment!$J:$J, "YES")
</f>
        <v>-0.06666666667</v>
      </c>
      <c r="N365" s="191">
        <f t="shared" si="413"/>
        <v>0</v>
      </c>
      <c r="O365" s="192">
        <f>AVERAGEIFS(Sentiment!P:P, Sentiment!C:C, A365, Sentiment!J:J, "YES")
</f>
        <v>-0.2</v>
      </c>
      <c r="P365" s="193">
        <v>-0.2</v>
      </c>
      <c r="Q365" s="194">
        <f t="shared" si="414"/>
        <v>0</v>
      </c>
    </row>
  </sheetData>
  <dataValidations>
    <dataValidation type="custom" allowBlank="1" showDropDown="1" sqref="A2:A365">
      <formula1>OR(NOT(ISERROR(DATEVALUE(A2))), AND(ISNUMBER(A2), LEFT(CELL("format", A2))="D"))</formula1>
    </dataValidation>
    <dataValidation type="custom" allowBlank="1" showDropDown="1" sqref="B2:I365 L2:L365 N2:O365 Q2:Q365">
      <formula1>AND(ISNUMBER(B2),(NOT(OR(NOT(ISERROR(DATEVALUE(B2))), AND(ISNUMBER(B2), LEFT(CELL("format", B2))="D")))))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4" width="25.5"/>
    <col customWidth="1" min="5" max="5" width="26.88"/>
    <col customWidth="1" min="6" max="6" width="18.88"/>
    <col customWidth="1" min="7" max="8" width="25.5"/>
    <col customWidth="1" min="9" max="9" width="17.75"/>
    <col customWidth="1" min="10" max="10" width="24.38"/>
    <col customWidth="1" min="11" max="11" width="23.75"/>
    <col customWidth="1" min="12" max="12" width="30.13"/>
    <col customWidth="1" min="13" max="14" width="23.75"/>
    <col customWidth="1" min="15" max="15" width="14.75"/>
  </cols>
  <sheetData>
    <row r="1">
      <c r="A1" s="195" t="s">
        <v>37227</v>
      </c>
      <c r="B1" s="126" t="s">
        <v>37228</v>
      </c>
      <c r="C1" s="126" t="s">
        <v>37229</v>
      </c>
      <c r="D1" s="126" t="s">
        <v>37230</v>
      </c>
      <c r="E1" s="126" t="s">
        <v>37231</v>
      </c>
      <c r="F1" s="126" t="s">
        <v>37232</v>
      </c>
      <c r="G1" s="126" t="s">
        <v>37233</v>
      </c>
      <c r="H1" s="126" t="s">
        <v>37217</v>
      </c>
      <c r="I1" s="126" t="s">
        <v>37234</v>
      </c>
      <c r="J1" s="127" t="s">
        <v>37235</v>
      </c>
      <c r="K1" s="128" t="s">
        <v>37236</v>
      </c>
      <c r="L1" s="126" t="s">
        <v>37223</v>
      </c>
      <c r="M1" s="126" t="s">
        <v>37237</v>
      </c>
      <c r="N1" s="126" t="s">
        <v>37238</v>
      </c>
      <c r="O1" s="196" t="s">
        <v>37239</v>
      </c>
    </row>
    <row r="2">
      <c r="A2" s="197">
        <v>1.0</v>
      </c>
      <c r="B2" s="198">
        <f>AVERAGE('Daily analysis'!B2:B6)</f>
        <v>13.65</v>
      </c>
      <c r="C2" s="199"/>
      <c r="D2" s="199">
        <f t="shared" ref="D2:D54" si="1">C3</f>
        <v>-0.0380952381</v>
      </c>
      <c r="E2" s="200">
        <f t="shared" ref="E2:E54" si="2">IF(D2&gt;0,1,0)</f>
        <v>0</v>
      </c>
      <c r="F2" s="198">
        <v>10145.6</v>
      </c>
      <c r="G2" s="199"/>
      <c r="H2" s="156">
        <f t="shared" ref="H2:H53" si="3">D2-G3</f>
        <v>-0.03234101952</v>
      </c>
      <c r="I2" s="201">
        <v>77.6225</v>
      </c>
      <c r="J2" s="202"/>
      <c r="K2" s="141">
        <v>0.18193877551020404</v>
      </c>
      <c r="L2" s="200">
        <f t="shared" ref="L2:L54" si="4">IF(K2&gt;0,1,0)</f>
        <v>1</v>
      </c>
      <c r="M2" s="141">
        <v>0.09476190476190477</v>
      </c>
      <c r="N2" s="200">
        <f t="shared" ref="N2:N54" si="5">IF(M2&gt;0,1,0)</f>
        <v>1</v>
      </c>
      <c r="O2" s="203" t="s">
        <v>27</v>
      </c>
    </row>
    <row r="3">
      <c r="A3" s="197">
        <v>2.0</v>
      </c>
      <c r="B3" s="204">
        <f>AVERAGE('Daily analysis'!B9:B13)</f>
        <v>13.13</v>
      </c>
      <c r="C3" s="205">
        <f t="shared" ref="C3:C54" si="6">(B3-B2)/B2</f>
        <v>-0.0380952381</v>
      </c>
      <c r="D3" s="205">
        <f t="shared" si="1"/>
        <v>0.002437166794</v>
      </c>
      <c r="E3" s="206">
        <f t="shared" si="2"/>
        <v>1</v>
      </c>
      <c r="F3" s="204">
        <v>10087.220000000001</v>
      </c>
      <c r="G3" s="205">
        <v>-0.00575421857751135</v>
      </c>
      <c r="H3" s="156">
        <f t="shared" si="3"/>
        <v>0.01747996352</v>
      </c>
      <c r="I3" s="207">
        <v>77.24199999999999</v>
      </c>
      <c r="J3" s="208">
        <v>-0.004901929208670275</v>
      </c>
      <c r="K3" s="158">
        <v>0.08769841269841264</v>
      </c>
      <c r="L3" s="206">
        <f t="shared" si="4"/>
        <v>1</v>
      </c>
      <c r="M3" s="158">
        <v>0.22916666666666666</v>
      </c>
      <c r="N3" s="206">
        <f t="shared" si="5"/>
        <v>1</v>
      </c>
      <c r="O3" s="209" t="s">
        <v>35</v>
      </c>
    </row>
    <row r="4">
      <c r="A4" s="197">
        <v>3.0</v>
      </c>
      <c r="B4" s="198">
        <f>AVERAGE('Daily analysis'!B16:B20)</f>
        <v>13.162</v>
      </c>
      <c r="C4" s="199">
        <f t="shared" si="6"/>
        <v>0.002437166794</v>
      </c>
      <c r="D4" s="199">
        <f t="shared" si="1"/>
        <v>-0.001367573317</v>
      </c>
      <c r="E4" s="200">
        <f t="shared" si="2"/>
        <v>0</v>
      </c>
      <c r="F4" s="198">
        <v>9935.48</v>
      </c>
      <c r="G4" s="199">
        <v>-0.01504279672694775</v>
      </c>
      <c r="H4" s="156">
        <f t="shared" si="3"/>
        <v>-0.0009065991116</v>
      </c>
      <c r="I4" s="201">
        <v>78.39599999999999</v>
      </c>
      <c r="J4" s="210">
        <v>0.01494005851738689</v>
      </c>
      <c r="K4" s="141">
        <v>0.04691266405552119</v>
      </c>
      <c r="L4" s="200">
        <f t="shared" si="4"/>
        <v>1</v>
      </c>
      <c r="M4" s="141">
        <v>0.033756613756613686</v>
      </c>
      <c r="N4" s="200">
        <f t="shared" si="5"/>
        <v>1</v>
      </c>
      <c r="O4" s="203" t="s">
        <v>27</v>
      </c>
    </row>
    <row r="5">
      <c r="A5" s="197">
        <v>4.0</v>
      </c>
      <c r="B5" s="204">
        <f>AVERAGE('Daily analysis'!B23:B27)</f>
        <v>13.144</v>
      </c>
      <c r="C5" s="205">
        <f t="shared" si="6"/>
        <v>-0.001367573317</v>
      </c>
      <c r="D5" s="205">
        <f t="shared" si="1"/>
        <v>0.04199634814</v>
      </c>
      <c r="E5" s="206">
        <f t="shared" si="2"/>
        <v>1</v>
      </c>
      <c r="F5" s="204">
        <v>9930.9</v>
      </c>
      <c r="G5" s="205">
        <v>-4.609742055743382E-4</v>
      </c>
      <c r="H5" s="156">
        <f t="shared" si="3"/>
        <v>0.03335060607</v>
      </c>
      <c r="I5" s="207">
        <v>81.126</v>
      </c>
      <c r="J5" s="208">
        <v>0.03482320526557503</v>
      </c>
      <c r="K5" s="158">
        <v>0.32913832199546483</v>
      </c>
      <c r="L5" s="206">
        <f t="shared" si="4"/>
        <v>1</v>
      </c>
      <c r="M5" s="158">
        <v>0.36375850340136057</v>
      </c>
      <c r="N5" s="206">
        <f t="shared" si="5"/>
        <v>1</v>
      </c>
      <c r="O5" s="209" t="s">
        <v>27</v>
      </c>
    </row>
    <row r="6">
      <c r="A6" s="197">
        <v>5.0</v>
      </c>
      <c r="B6" s="198">
        <f>AVERAGE('Daily analysis'!B30:B34)</f>
        <v>13.696</v>
      </c>
      <c r="C6" s="199">
        <f t="shared" si="6"/>
        <v>0.04199634814</v>
      </c>
      <c r="D6" s="199">
        <f t="shared" si="1"/>
        <v>-0.008323598131</v>
      </c>
      <c r="E6" s="200">
        <f t="shared" si="2"/>
        <v>0</v>
      </c>
      <c r="F6" s="198">
        <v>10016.76</v>
      </c>
      <c r="G6" s="199">
        <v>0.008645742077757257</v>
      </c>
      <c r="H6" s="156">
        <f t="shared" si="3"/>
        <v>0.0006473665324</v>
      </c>
      <c r="I6" s="201">
        <v>80.602</v>
      </c>
      <c r="J6" s="210">
        <v>-0.006459088331730922</v>
      </c>
      <c r="K6" s="141">
        <v>0.2846165739022882</v>
      </c>
      <c r="L6" s="200">
        <f t="shared" si="4"/>
        <v>1</v>
      </c>
      <c r="M6" s="141">
        <v>0.27538651824366106</v>
      </c>
      <c r="N6" s="200">
        <f t="shared" si="5"/>
        <v>1</v>
      </c>
      <c r="O6" s="203" t="s">
        <v>27</v>
      </c>
    </row>
    <row r="7">
      <c r="A7" s="197">
        <v>6.0</v>
      </c>
      <c r="B7" s="146">
        <f>AVERAGE('Daily analysis'!B37:B41)</f>
        <v>13.582</v>
      </c>
      <c r="C7" s="205">
        <f t="shared" si="6"/>
        <v>-0.008323598131</v>
      </c>
      <c r="D7" s="205">
        <f t="shared" si="1"/>
        <v>0.01958474451</v>
      </c>
      <c r="E7" s="206">
        <f t="shared" si="2"/>
        <v>1</v>
      </c>
      <c r="F7" s="204">
        <v>9926.9</v>
      </c>
      <c r="G7" s="205">
        <v>-0.008970964663224446</v>
      </c>
      <c r="H7" s="156">
        <f t="shared" si="3"/>
        <v>0.01946587558</v>
      </c>
      <c r="I7" s="207">
        <v>79.922</v>
      </c>
      <c r="J7" s="208">
        <v>-0.008436515222947416</v>
      </c>
      <c r="K7" s="158">
        <v>0.5249278499278499</v>
      </c>
      <c r="L7" s="206">
        <f t="shared" si="4"/>
        <v>1</v>
      </c>
      <c r="M7" s="158">
        <v>0.5008658008658008</v>
      </c>
      <c r="N7" s="206">
        <f t="shared" si="5"/>
        <v>1</v>
      </c>
      <c r="O7" s="209" t="s">
        <v>27</v>
      </c>
    </row>
    <row r="8">
      <c r="A8" s="197">
        <v>7.0</v>
      </c>
      <c r="B8" s="198">
        <f>AVERAGE('Daily analysis'!B44:B48)</f>
        <v>13.848</v>
      </c>
      <c r="C8" s="199">
        <f t="shared" si="6"/>
        <v>0.01958474451</v>
      </c>
      <c r="D8" s="199">
        <f t="shared" si="1"/>
        <v>0.01285384171</v>
      </c>
      <c r="E8" s="200">
        <f t="shared" si="2"/>
        <v>1</v>
      </c>
      <c r="F8" s="198">
        <v>9928.08</v>
      </c>
      <c r="G8" s="199">
        <v>1.1886893189205772E-4</v>
      </c>
      <c r="H8" s="156">
        <f t="shared" si="3"/>
        <v>-0.001636371906</v>
      </c>
      <c r="I8" s="201">
        <v>82.53999999999999</v>
      </c>
      <c r="J8" s="210">
        <v>0.03275693801456403</v>
      </c>
      <c r="K8" s="141">
        <v>0.07621768707482991</v>
      </c>
      <c r="L8" s="200">
        <f t="shared" si="4"/>
        <v>1</v>
      </c>
      <c r="M8" s="141">
        <v>0.1756394557823129</v>
      </c>
      <c r="N8" s="200">
        <f t="shared" si="5"/>
        <v>1</v>
      </c>
      <c r="O8" s="203" t="s">
        <v>27</v>
      </c>
    </row>
    <row r="9">
      <c r="A9" s="197">
        <v>8.0</v>
      </c>
      <c r="B9" s="204">
        <f>AVERAGE('Daily analysis'!B51:B55)</f>
        <v>14.026</v>
      </c>
      <c r="C9" s="205">
        <f t="shared" si="6"/>
        <v>0.01285384171</v>
      </c>
      <c r="D9" s="205">
        <f t="shared" si="1"/>
        <v>0.04634250677</v>
      </c>
      <c r="E9" s="206">
        <f t="shared" si="2"/>
        <v>1</v>
      </c>
      <c r="F9" s="204">
        <v>10071.939999999999</v>
      </c>
      <c r="G9" s="205">
        <v>0.014490213616328518</v>
      </c>
      <c r="H9" s="156">
        <f t="shared" si="3"/>
        <v>0.04581033522</v>
      </c>
      <c r="I9" s="207">
        <v>82.84400000000001</v>
      </c>
      <c r="J9" s="208">
        <v>0.0036830627574511166</v>
      </c>
      <c r="K9" s="158">
        <v>0.41422902494331065</v>
      </c>
      <c r="L9" s="206">
        <f t="shared" si="4"/>
        <v>1</v>
      </c>
      <c r="M9" s="158">
        <v>0.1970238095238095</v>
      </c>
      <c r="N9" s="206">
        <f t="shared" si="5"/>
        <v>1</v>
      </c>
      <c r="O9" s="209" t="s">
        <v>27</v>
      </c>
    </row>
    <row r="10">
      <c r="A10" s="197">
        <v>9.0</v>
      </c>
      <c r="B10" s="134">
        <f>AVERAGE('Daily analysis'!B58:B62)</f>
        <v>14.676</v>
      </c>
      <c r="C10" s="199">
        <f t="shared" si="6"/>
        <v>0.04634250677</v>
      </c>
      <c r="D10" s="199">
        <f t="shared" si="1"/>
        <v>-0.01403652221</v>
      </c>
      <c r="E10" s="200">
        <f t="shared" si="2"/>
        <v>0</v>
      </c>
      <c r="F10" s="198">
        <v>10077.3</v>
      </c>
      <c r="G10" s="199">
        <v>5.321715578130437E-4</v>
      </c>
      <c r="H10" s="156">
        <f t="shared" si="3"/>
        <v>-0.02639896056</v>
      </c>
      <c r="I10" s="201">
        <v>83.406</v>
      </c>
      <c r="J10" s="210">
        <v>0.006783834677224654</v>
      </c>
      <c r="K10" s="141">
        <v>0.39702380952380956</v>
      </c>
      <c r="L10" s="200">
        <f t="shared" si="4"/>
        <v>1</v>
      </c>
      <c r="M10" s="141">
        <v>0.3932142857142857</v>
      </c>
      <c r="N10" s="200">
        <f t="shared" si="5"/>
        <v>1</v>
      </c>
      <c r="O10" s="203" t="s">
        <v>27</v>
      </c>
    </row>
    <row r="11">
      <c r="A11" s="197">
        <v>10.0</v>
      </c>
      <c r="B11" s="204">
        <f>AVERAGE('Daily analysis'!B65:B69)</f>
        <v>14.47</v>
      </c>
      <c r="C11" s="205">
        <f t="shared" si="6"/>
        <v>-0.01403652221</v>
      </c>
      <c r="D11" s="205">
        <f t="shared" si="1"/>
        <v>0.02750518314</v>
      </c>
      <c r="E11" s="206">
        <f t="shared" si="2"/>
        <v>1</v>
      </c>
      <c r="F11" s="204">
        <v>10201.880000000001</v>
      </c>
      <c r="G11" s="205">
        <v>0.012362438351542826</v>
      </c>
      <c r="H11" s="156">
        <f t="shared" si="3"/>
        <v>0.0009590955537</v>
      </c>
      <c r="I11" s="207">
        <v>82.568</v>
      </c>
      <c r="J11" s="208">
        <v>-0.010047238807759706</v>
      </c>
      <c r="K11" s="158">
        <v>0.5173809523809523</v>
      </c>
      <c r="L11" s="206">
        <f t="shared" si="4"/>
        <v>1</v>
      </c>
      <c r="M11" s="158">
        <v>0.5302380952380952</v>
      </c>
      <c r="N11" s="206">
        <f t="shared" si="5"/>
        <v>1</v>
      </c>
      <c r="O11" s="209" t="s">
        <v>27</v>
      </c>
    </row>
    <row r="12">
      <c r="A12" s="197">
        <v>11.0</v>
      </c>
      <c r="B12" s="198">
        <f>AVERAGE('Daily analysis'!B72:B76)</f>
        <v>14.868</v>
      </c>
      <c r="C12" s="199">
        <f t="shared" si="6"/>
        <v>0.02750518314</v>
      </c>
      <c r="D12" s="199">
        <f t="shared" si="1"/>
        <v>0.03080441216</v>
      </c>
      <c r="E12" s="200">
        <f t="shared" si="2"/>
        <v>1</v>
      </c>
      <c r="F12" s="198">
        <v>10472.7</v>
      </c>
      <c r="G12" s="199">
        <v>0.026546087583857014</v>
      </c>
      <c r="H12" s="156">
        <f t="shared" si="3"/>
        <v>0.002200518227</v>
      </c>
      <c r="I12" s="201">
        <v>83.78399999999999</v>
      </c>
      <c r="J12" s="210">
        <v>0.014727255110938753</v>
      </c>
      <c r="K12" s="141">
        <v>0.3125850340136055</v>
      </c>
      <c r="L12" s="200">
        <f t="shared" si="4"/>
        <v>1</v>
      </c>
      <c r="M12" s="141">
        <v>0.37551020408163266</v>
      </c>
      <c r="N12" s="200">
        <f t="shared" si="5"/>
        <v>1</v>
      </c>
      <c r="O12" s="203" t="s">
        <v>27</v>
      </c>
    </row>
    <row r="13">
      <c r="A13" s="197">
        <v>12.0</v>
      </c>
      <c r="B13" s="204">
        <f>AVERAGE('Daily analysis'!B79:B83)</f>
        <v>15.326</v>
      </c>
      <c r="C13" s="205">
        <f t="shared" si="6"/>
        <v>0.03080441216</v>
      </c>
      <c r="D13" s="205">
        <f t="shared" si="1"/>
        <v>0.004828396189</v>
      </c>
      <c r="E13" s="206">
        <f t="shared" si="2"/>
        <v>1</v>
      </c>
      <c r="F13" s="204">
        <v>10772.26</v>
      </c>
      <c r="G13" s="205">
        <v>0.028603893933751623</v>
      </c>
      <c r="H13" s="156">
        <f t="shared" si="3"/>
        <v>-0.01932066817</v>
      </c>
      <c r="I13" s="207">
        <v>86.304</v>
      </c>
      <c r="J13" s="208">
        <v>0.030077341735892382</v>
      </c>
      <c r="K13" s="158">
        <v>-0.10959183673469387</v>
      </c>
      <c r="L13" s="206">
        <f t="shared" si="4"/>
        <v>0</v>
      </c>
      <c r="M13" s="158">
        <v>-0.19400226757369615</v>
      </c>
      <c r="N13" s="206">
        <f t="shared" si="5"/>
        <v>0</v>
      </c>
      <c r="O13" s="209" t="s">
        <v>27</v>
      </c>
    </row>
    <row r="14">
      <c r="A14" s="197">
        <v>13.0</v>
      </c>
      <c r="B14" s="198">
        <f>AVERAGE('Daily analysis'!B86:B89)</f>
        <v>15.4</v>
      </c>
      <c r="C14" s="199">
        <f t="shared" si="6"/>
        <v>0.004828396189</v>
      </c>
      <c r="D14" s="199">
        <f t="shared" si="1"/>
        <v>0.04090909091</v>
      </c>
      <c r="E14" s="200">
        <f t="shared" si="2"/>
        <v>1</v>
      </c>
      <c r="F14" s="198">
        <v>11032.4</v>
      </c>
      <c r="G14" s="199">
        <v>0.024149064356040473</v>
      </c>
      <c r="H14" s="156">
        <f t="shared" si="3"/>
        <v>0.04351051943</v>
      </c>
      <c r="I14" s="201">
        <v>86.64250000000001</v>
      </c>
      <c r="J14" s="210">
        <v>0.0039221820541344155</v>
      </c>
      <c r="K14" s="141">
        <v>0.2592176870748299</v>
      </c>
      <c r="L14" s="200">
        <f t="shared" si="4"/>
        <v>1</v>
      </c>
      <c r="M14" s="141">
        <v>0.17122448979591834</v>
      </c>
      <c r="N14" s="200">
        <f t="shared" si="5"/>
        <v>1</v>
      </c>
      <c r="O14" s="203" t="s">
        <v>27</v>
      </c>
    </row>
    <row r="15">
      <c r="A15" s="197">
        <v>14.0</v>
      </c>
      <c r="B15" s="204">
        <f>AVERAGE('Daily analysis'!B94:B97)</f>
        <v>16.03</v>
      </c>
      <c r="C15" s="205">
        <f t="shared" si="6"/>
        <v>0.04090909091</v>
      </c>
      <c r="D15" s="205">
        <f t="shared" si="1"/>
        <v>-0.01684341859</v>
      </c>
      <c r="E15" s="206">
        <f t="shared" si="2"/>
        <v>0</v>
      </c>
      <c r="F15" s="204">
        <v>11003.7</v>
      </c>
      <c r="G15" s="205">
        <v>-0.0026014285196329645</v>
      </c>
      <c r="H15" s="156">
        <f t="shared" si="3"/>
        <v>0.004602095192</v>
      </c>
      <c r="I15" s="207">
        <v>90.0225</v>
      </c>
      <c r="J15" s="210">
        <v>0.039010878033297613</v>
      </c>
      <c r="K15" s="158">
        <v>0.20083333333333334</v>
      </c>
      <c r="L15" s="206">
        <f t="shared" si="4"/>
        <v>1</v>
      </c>
      <c r="M15" s="158">
        <v>0.007704081632653075</v>
      </c>
      <c r="N15" s="206">
        <f t="shared" si="5"/>
        <v>1</v>
      </c>
      <c r="O15" s="209" t="s">
        <v>27</v>
      </c>
    </row>
    <row r="16">
      <c r="A16" s="197">
        <v>15.0</v>
      </c>
      <c r="B16" s="198">
        <f>AVERAGE('Daily analysis'!B100:B104)</f>
        <v>15.76</v>
      </c>
      <c r="C16" s="199">
        <f t="shared" si="6"/>
        <v>-0.01684341859</v>
      </c>
      <c r="D16" s="199">
        <f t="shared" si="1"/>
        <v>-0.03439086294</v>
      </c>
      <c r="E16" s="200">
        <f t="shared" si="2"/>
        <v>0</v>
      </c>
      <c r="F16" s="198">
        <v>10767.72</v>
      </c>
      <c r="G16" s="199">
        <v>-0.0214455137817281</v>
      </c>
      <c r="H16" s="156">
        <f t="shared" si="3"/>
        <v>-0.02517628456</v>
      </c>
      <c r="I16" s="201">
        <v>90.09400000000001</v>
      </c>
      <c r="J16" s="210">
        <v>7.942458829739429E-4</v>
      </c>
      <c r="K16" s="141">
        <v>0.514935064935065</v>
      </c>
      <c r="L16" s="200">
        <f t="shared" si="4"/>
        <v>1</v>
      </c>
      <c r="M16" s="141">
        <v>0.16601731601731604</v>
      </c>
      <c r="N16" s="200">
        <f t="shared" si="5"/>
        <v>1</v>
      </c>
      <c r="O16" s="203" t="s">
        <v>27</v>
      </c>
    </row>
    <row r="17">
      <c r="A17" s="197">
        <v>16.0</v>
      </c>
      <c r="B17" s="204">
        <f>AVERAGE('Daily analysis'!B107:B111)</f>
        <v>15.218</v>
      </c>
      <c r="C17" s="205">
        <f t="shared" si="6"/>
        <v>-0.03439086294</v>
      </c>
      <c r="D17" s="205">
        <f t="shared" si="1"/>
        <v>-0.01853068734</v>
      </c>
      <c r="E17" s="206">
        <f t="shared" si="2"/>
        <v>0</v>
      </c>
      <c r="F17" s="204">
        <v>10668.5</v>
      </c>
      <c r="G17" s="205">
        <v>-0.009214578387996664</v>
      </c>
      <c r="H17" s="156">
        <f t="shared" si="3"/>
        <v>-0.05207242236</v>
      </c>
      <c r="I17" s="207">
        <v>88.36200000000001</v>
      </c>
      <c r="J17" s="208">
        <v>-0.019224365662530274</v>
      </c>
      <c r="K17" s="158">
        <v>0.2847985347985348</v>
      </c>
      <c r="L17" s="206">
        <f t="shared" si="4"/>
        <v>1</v>
      </c>
      <c r="M17" s="158">
        <v>0.15374149659863948</v>
      </c>
      <c r="N17" s="206">
        <f t="shared" si="5"/>
        <v>1</v>
      </c>
      <c r="O17" s="209" t="s">
        <v>27</v>
      </c>
    </row>
    <row r="18">
      <c r="A18" s="197">
        <v>17.0</v>
      </c>
      <c r="B18" s="198">
        <f>AVERAGE('Daily analysis'!B114:B118)</f>
        <v>14.936</v>
      </c>
      <c r="C18" s="199">
        <f t="shared" si="6"/>
        <v>-0.01853068734</v>
      </c>
      <c r="D18" s="199">
        <f t="shared" si="1"/>
        <v>-0.02132431709</v>
      </c>
      <c r="E18" s="200">
        <f t="shared" si="2"/>
        <v>0</v>
      </c>
      <c r="F18" s="198">
        <v>11026.339999999998</v>
      </c>
      <c r="G18" s="199">
        <v>0.03354173501429436</v>
      </c>
      <c r="H18" s="156">
        <f t="shared" si="3"/>
        <v>-0.01172321645</v>
      </c>
      <c r="I18" s="201">
        <v>88.39</v>
      </c>
      <c r="J18" s="210">
        <v>3.168782961000538E-4</v>
      </c>
      <c r="K18" s="141">
        <v>0.2526190476190476</v>
      </c>
      <c r="L18" s="200">
        <f t="shared" si="4"/>
        <v>1</v>
      </c>
      <c r="M18" s="141">
        <v>0.15235003092145952</v>
      </c>
      <c r="N18" s="200">
        <f t="shared" si="5"/>
        <v>1</v>
      </c>
      <c r="O18" s="203" t="s">
        <v>27</v>
      </c>
    </row>
    <row r="19">
      <c r="A19" s="197">
        <v>18.0</v>
      </c>
      <c r="B19" s="204">
        <f>AVERAGE('Daily analysis'!B121:B125)</f>
        <v>14.6175</v>
      </c>
      <c r="C19" s="205">
        <f t="shared" si="6"/>
        <v>-0.02132431709</v>
      </c>
      <c r="D19" s="205">
        <f t="shared" si="1"/>
        <v>0.002086540106</v>
      </c>
      <c r="E19" s="206">
        <f t="shared" si="2"/>
        <v>1</v>
      </c>
      <c r="F19" s="204">
        <v>10920.474999999999</v>
      </c>
      <c r="G19" s="205">
        <v>-0.009601100637201432</v>
      </c>
      <c r="H19" s="156">
        <f t="shared" si="3"/>
        <v>-0.01081811835</v>
      </c>
      <c r="I19" s="207">
        <v>85.26599999999999</v>
      </c>
      <c r="J19" s="208">
        <v>-0.035343364634008445</v>
      </c>
      <c r="K19" s="158">
        <v>0.2795238095238095</v>
      </c>
      <c r="L19" s="206">
        <f t="shared" si="4"/>
        <v>1</v>
      </c>
      <c r="M19" s="158">
        <v>0.2295238095238095</v>
      </c>
      <c r="N19" s="206">
        <f t="shared" si="5"/>
        <v>1</v>
      </c>
      <c r="O19" s="209" t="s">
        <v>27</v>
      </c>
    </row>
    <row r="20">
      <c r="A20" s="197">
        <v>19.0</v>
      </c>
      <c r="B20" s="198">
        <f>AVERAGE('Daily analysis'!B128:B132)</f>
        <v>14.648</v>
      </c>
      <c r="C20" s="199">
        <f t="shared" si="6"/>
        <v>0.002086540106</v>
      </c>
      <c r="D20" s="199">
        <f t="shared" si="1"/>
        <v>0.009967231021</v>
      </c>
      <c r="E20" s="200">
        <f t="shared" si="2"/>
        <v>1</v>
      </c>
      <c r="F20" s="198">
        <v>11061.4</v>
      </c>
      <c r="G20" s="199">
        <v>0.012904658451212248</v>
      </c>
      <c r="H20" s="156">
        <f t="shared" si="3"/>
        <v>-0.009453457138</v>
      </c>
      <c r="I20" s="201">
        <v>83.348</v>
      </c>
      <c r="J20" s="210">
        <v>-0.022494311917997667</v>
      </c>
      <c r="K20" s="141">
        <v>0.1286951144094001</v>
      </c>
      <c r="L20" s="200">
        <f t="shared" si="4"/>
        <v>1</v>
      </c>
      <c r="M20" s="141">
        <v>0.0741991341991342</v>
      </c>
      <c r="N20" s="200">
        <f t="shared" si="5"/>
        <v>1</v>
      </c>
      <c r="O20" s="203" t="s">
        <v>27</v>
      </c>
    </row>
    <row r="21">
      <c r="A21" s="197">
        <v>20.0</v>
      </c>
      <c r="B21" s="204">
        <f>AVERAGE('Daily analysis'!B135:B139)</f>
        <v>14.794</v>
      </c>
      <c r="C21" s="205">
        <f t="shared" si="6"/>
        <v>0.009967231021</v>
      </c>
      <c r="D21" s="205">
        <f t="shared" si="1"/>
        <v>0.006353927268</v>
      </c>
      <c r="E21" s="206">
        <f t="shared" si="2"/>
        <v>1</v>
      </c>
      <c r="F21" s="204">
        <v>11276.219999999998</v>
      </c>
      <c r="G21" s="205">
        <v>0.019420688158822363</v>
      </c>
      <c r="H21" s="156">
        <f t="shared" si="3"/>
        <v>0.003172009923</v>
      </c>
      <c r="I21" s="207">
        <v>83.148</v>
      </c>
      <c r="J21" s="208">
        <v>-0.0023995776743293007</v>
      </c>
      <c r="K21" s="158">
        <v>-0.08928571428571427</v>
      </c>
      <c r="L21" s="206">
        <f t="shared" si="4"/>
        <v>0</v>
      </c>
      <c r="M21" s="158">
        <v>-0.25</v>
      </c>
      <c r="N21" s="206">
        <f t="shared" si="5"/>
        <v>0</v>
      </c>
      <c r="O21" s="209" t="s">
        <v>27</v>
      </c>
    </row>
    <row r="22">
      <c r="A22" s="197">
        <v>21.0</v>
      </c>
      <c r="B22" s="198">
        <f>AVERAGE('Daily analysis'!B142:B146)</f>
        <v>14.888</v>
      </c>
      <c r="C22" s="199">
        <f t="shared" si="6"/>
        <v>0.006353927268</v>
      </c>
      <c r="D22" s="199">
        <f t="shared" si="1"/>
        <v>0.009134873724</v>
      </c>
      <c r="E22" s="200">
        <f t="shared" si="2"/>
        <v>1</v>
      </c>
      <c r="F22" s="198">
        <v>11312.1</v>
      </c>
      <c r="G22" s="199">
        <v>0.0031819173446423488</v>
      </c>
      <c r="H22" s="156">
        <f t="shared" si="3"/>
        <v>0.01185231788</v>
      </c>
      <c r="I22" s="201">
        <v>82.39399999999999</v>
      </c>
      <c r="J22" s="210">
        <v>-0.009068167604753041</v>
      </c>
      <c r="K22" s="141">
        <v>0.3781632653061225</v>
      </c>
      <c r="L22" s="200">
        <f t="shared" si="4"/>
        <v>1</v>
      </c>
      <c r="M22" s="141">
        <v>0.325</v>
      </c>
      <c r="N22" s="200">
        <f t="shared" si="5"/>
        <v>1</v>
      </c>
      <c r="O22" s="203" t="s">
        <v>27</v>
      </c>
    </row>
    <row r="23">
      <c r="A23" s="197">
        <v>22.0</v>
      </c>
      <c r="B23" s="204">
        <f>AVERAGE('Daily analysis'!B149:B153)</f>
        <v>15.024</v>
      </c>
      <c r="C23" s="205">
        <f t="shared" si="6"/>
        <v>0.009134873724</v>
      </c>
      <c r="D23" s="205">
        <f t="shared" si="1"/>
        <v>-0.02728966986</v>
      </c>
      <c r="E23" s="206">
        <f t="shared" si="2"/>
        <v>0</v>
      </c>
      <c r="F23" s="204">
        <v>11281.36</v>
      </c>
      <c r="G23" s="205">
        <v>-0.002717444152721349</v>
      </c>
      <c r="H23" s="156">
        <f t="shared" si="3"/>
        <v>-0.03577800815</v>
      </c>
      <c r="I23" s="207">
        <v>82.88</v>
      </c>
      <c r="J23" s="208">
        <v>0.005898487753962733</v>
      </c>
      <c r="K23" s="158">
        <v>0.28933209647495356</v>
      </c>
      <c r="L23" s="206">
        <f t="shared" si="4"/>
        <v>1</v>
      </c>
      <c r="M23" s="158">
        <v>0.1788682745825603</v>
      </c>
      <c r="N23" s="206">
        <f t="shared" si="5"/>
        <v>1</v>
      </c>
      <c r="O23" s="209" t="s">
        <v>27</v>
      </c>
    </row>
    <row r="24">
      <c r="A24" s="197">
        <v>23.0</v>
      </c>
      <c r="B24" s="198">
        <f>AVERAGE('Daily analysis'!B156:B160)</f>
        <v>14.614</v>
      </c>
      <c r="C24" s="199">
        <f t="shared" si="6"/>
        <v>-0.02728966986</v>
      </c>
      <c r="D24" s="199">
        <f t="shared" si="1"/>
        <v>-0.01532776789</v>
      </c>
      <c r="E24" s="200">
        <f t="shared" si="2"/>
        <v>0</v>
      </c>
      <c r="F24" s="198">
        <v>11377.119999999999</v>
      </c>
      <c r="G24" s="199">
        <v>0.00848833828545481</v>
      </c>
      <c r="H24" s="156">
        <f t="shared" si="3"/>
        <v>0.003114509238</v>
      </c>
      <c r="I24" s="201">
        <v>78.756</v>
      </c>
      <c r="J24" s="210">
        <v>-0.04975868725868715</v>
      </c>
      <c r="K24" s="141">
        <v>0.2944805194805195</v>
      </c>
      <c r="L24" s="200">
        <f t="shared" si="4"/>
        <v>1</v>
      </c>
      <c r="M24" s="141">
        <v>0.16636363636363635</v>
      </c>
      <c r="N24" s="200">
        <f t="shared" si="5"/>
        <v>1</v>
      </c>
      <c r="O24" s="203" t="s">
        <v>27</v>
      </c>
    </row>
    <row r="25">
      <c r="A25" s="197">
        <v>24.0</v>
      </c>
      <c r="B25" s="204">
        <f>AVERAGE('Daily analysis'!B163:B167)</f>
        <v>14.39</v>
      </c>
      <c r="C25" s="205">
        <f t="shared" si="6"/>
        <v>-0.01532776789</v>
      </c>
      <c r="D25" s="205">
        <f t="shared" si="1"/>
        <v>0.0105628909</v>
      </c>
      <c r="E25" s="206">
        <f t="shared" si="2"/>
        <v>1</v>
      </c>
      <c r="F25" s="204">
        <v>11167.3</v>
      </c>
      <c r="G25" s="205">
        <v>-0.0184422771316467</v>
      </c>
      <c r="H25" s="156">
        <f t="shared" si="3"/>
        <v>0.02059396376</v>
      </c>
      <c r="I25" s="207">
        <v>82.304</v>
      </c>
      <c r="J25" s="208">
        <v>0.04505053583219065</v>
      </c>
      <c r="K25" s="158">
        <v>0.2497619047619047</v>
      </c>
      <c r="L25" s="206">
        <f t="shared" si="4"/>
        <v>1</v>
      </c>
      <c r="M25" s="158">
        <v>0.18738095238095243</v>
      </c>
      <c r="N25" s="206">
        <f t="shared" si="5"/>
        <v>1</v>
      </c>
      <c r="O25" s="209" t="s">
        <v>27</v>
      </c>
    </row>
    <row r="26">
      <c r="A26" s="197">
        <v>25.0</v>
      </c>
      <c r="B26" s="198">
        <f>AVERAGE('Daily analysis'!B170:B174)</f>
        <v>14.542</v>
      </c>
      <c r="C26" s="199">
        <f t="shared" si="6"/>
        <v>0.0105628909</v>
      </c>
      <c r="D26" s="199">
        <f t="shared" si="1"/>
        <v>0.0122404071</v>
      </c>
      <c r="E26" s="200">
        <f t="shared" si="2"/>
        <v>1</v>
      </c>
      <c r="F26" s="198">
        <v>11055.279999999999</v>
      </c>
      <c r="G26" s="199">
        <v>-0.010031072864524093</v>
      </c>
      <c r="H26" s="156">
        <f t="shared" si="3"/>
        <v>0.01332043402</v>
      </c>
      <c r="I26" s="201">
        <v>85.11999999999999</v>
      </c>
      <c r="J26" s="210">
        <v>0.03421461897356126</v>
      </c>
      <c r="K26" s="141">
        <v>0.41020408163265304</v>
      </c>
      <c r="L26" s="200">
        <f t="shared" si="4"/>
        <v>1</v>
      </c>
      <c r="M26" s="141">
        <v>0.06190476190476191</v>
      </c>
      <c r="N26" s="200">
        <f t="shared" si="5"/>
        <v>1</v>
      </c>
      <c r="O26" s="203" t="s">
        <v>27</v>
      </c>
    </row>
    <row r="27">
      <c r="A27" s="197">
        <v>26.0</v>
      </c>
      <c r="B27" s="204">
        <f>AVERAGE('Daily analysis'!B177:B181)</f>
        <v>14.72</v>
      </c>
      <c r="C27" s="205">
        <f t="shared" si="6"/>
        <v>0.0122404071</v>
      </c>
      <c r="D27" s="205">
        <f t="shared" si="1"/>
        <v>0.004619565217</v>
      </c>
      <c r="E27" s="206">
        <f t="shared" si="2"/>
        <v>1</v>
      </c>
      <c r="F27" s="204">
        <v>11043.34</v>
      </c>
      <c r="G27" s="205">
        <v>-0.001080026919263788</v>
      </c>
      <c r="H27" s="156">
        <f t="shared" si="3"/>
        <v>0.006436044652</v>
      </c>
      <c r="I27" s="207">
        <v>85.814</v>
      </c>
      <c r="J27" s="208">
        <v>0.008153195488721732</v>
      </c>
      <c r="K27" s="158">
        <v>0.5803174603174602</v>
      </c>
      <c r="L27" s="206">
        <f t="shared" si="4"/>
        <v>1</v>
      </c>
      <c r="M27" s="158">
        <v>0.17190476190476192</v>
      </c>
      <c r="N27" s="206">
        <f t="shared" si="5"/>
        <v>1</v>
      </c>
      <c r="O27" s="209" t="s">
        <v>27</v>
      </c>
    </row>
    <row r="28">
      <c r="A28" s="197">
        <v>27.0</v>
      </c>
      <c r="B28" s="198">
        <f>AVERAGE('Daily analysis'!B184:B188)</f>
        <v>14.788</v>
      </c>
      <c r="C28" s="199">
        <f t="shared" si="6"/>
        <v>0.004619565217</v>
      </c>
      <c r="D28" s="199">
        <f t="shared" si="1"/>
        <v>-0.06153638085</v>
      </c>
      <c r="E28" s="200">
        <f t="shared" si="2"/>
        <v>0</v>
      </c>
      <c r="F28" s="198">
        <v>11023.279999999999</v>
      </c>
      <c r="G28" s="199">
        <v>-0.001816479434663898</v>
      </c>
      <c r="H28" s="156">
        <f t="shared" si="3"/>
        <v>-0.0669195336</v>
      </c>
      <c r="I28" s="201">
        <v>86.22999999999999</v>
      </c>
      <c r="J28" s="210">
        <v>0.004847693849488355</v>
      </c>
      <c r="K28" s="141">
        <v>0.4850340136054421</v>
      </c>
      <c r="L28" s="200">
        <f t="shared" si="4"/>
        <v>1</v>
      </c>
      <c r="M28" s="141">
        <v>0.41814058956916106</v>
      </c>
      <c r="N28" s="200">
        <f t="shared" si="5"/>
        <v>1</v>
      </c>
      <c r="O28" s="203" t="s">
        <v>27</v>
      </c>
    </row>
    <row r="29">
      <c r="A29" s="197">
        <v>28.0</v>
      </c>
      <c r="B29" s="204">
        <f>AVERAGE('Daily analysis'!B191:B195)</f>
        <v>13.878</v>
      </c>
      <c r="C29" s="205">
        <f t="shared" si="6"/>
        <v>-0.06153638085</v>
      </c>
      <c r="D29" s="205">
        <f t="shared" si="1"/>
        <v>-0.03069606572</v>
      </c>
      <c r="E29" s="206">
        <f t="shared" si="2"/>
        <v>0</v>
      </c>
      <c r="F29" s="204">
        <v>11082.619999999999</v>
      </c>
      <c r="G29" s="205">
        <v>0.005383152745825237</v>
      </c>
      <c r="H29" s="156">
        <f t="shared" si="3"/>
        <v>-0.03359429736</v>
      </c>
      <c r="I29" s="207">
        <v>85.238</v>
      </c>
      <c r="J29" s="208">
        <v>-0.011504116896671635</v>
      </c>
      <c r="K29" s="158">
        <v>0.29338095238095235</v>
      </c>
      <c r="L29" s="206">
        <f t="shared" si="4"/>
        <v>1</v>
      </c>
      <c r="M29" s="158">
        <v>0.15092857142857144</v>
      </c>
      <c r="N29" s="206">
        <f t="shared" si="5"/>
        <v>1</v>
      </c>
      <c r="O29" s="209" t="s">
        <v>35</v>
      </c>
    </row>
    <row r="30">
      <c r="A30" s="197">
        <v>29.0</v>
      </c>
      <c r="B30" s="198">
        <f>AVERAGE('Daily analysis'!B198:B202)</f>
        <v>13.452</v>
      </c>
      <c r="C30" s="199">
        <f t="shared" si="6"/>
        <v>-0.03069606572</v>
      </c>
      <c r="D30" s="199">
        <f t="shared" si="1"/>
        <v>-0.01932798097</v>
      </c>
      <c r="E30" s="200">
        <f t="shared" si="2"/>
        <v>0</v>
      </c>
      <c r="F30" s="198">
        <v>11114.74</v>
      </c>
      <c r="G30" s="199">
        <v>0.0028982316455856694</v>
      </c>
      <c r="H30" s="156">
        <f t="shared" si="3"/>
        <v>-0.02480539205</v>
      </c>
      <c r="I30" s="201">
        <v>84.28</v>
      </c>
      <c r="J30" s="210">
        <v>-0.011239118702925932</v>
      </c>
      <c r="K30" s="141">
        <v>0.19758503401360544</v>
      </c>
      <c r="L30" s="200">
        <f t="shared" si="4"/>
        <v>1</v>
      </c>
      <c r="M30" s="141">
        <v>0.09125850340136053</v>
      </c>
      <c r="N30" s="200">
        <f t="shared" si="5"/>
        <v>1</v>
      </c>
      <c r="O30" s="203" t="s">
        <v>27</v>
      </c>
    </row>
    <row r="31">
      <c r="A31" s="197">
        <v>30.0</v>
      </c>
      <c r="B31" s="204">
        <f>AVERAGE('Daily analysis'!B205:B209)</f>
        <v>13.192</v>
      </c>
      <c r="C31" s="205">
        <f t="shared" si="6"/>
        <v>-0.01932798097</v>
      </c>
      <c r="D31" s="205">
        <f t="shared" si="1"/>
        <v>-0.0122801698</v>
      </c>
      <c r="E31" s="206">
        <f t="shared" si="2"/>
        <v>0</v>
      </c>
      <c r="F31" s="204">
        <v>11175.619999999999</v>
      </c>
      <c r="G31" s="205">
        <v>0.0054774110775419604</v>
      </c>
      <c r="H31" s="156">
        <f t="shared" si="3"/>
        <v>0.00499851362</v>
      </c>
      <c r="I31" s="207">
        <v>81.724</v>
      </c>
      <c r="J31" s="208">
        <v>-0.03032747982914097</v>
      </c>
      <c r="K31" s="158">
        <v>0.44904761904761903</v>
      </c>
      <c r="L31" s="206">
        <f t="shared" si="4"/>
        <v>1</v>
      </c>
      <c r="M31" s="158">
        <v>0.3459126984126983</v>
      </c>
      <c r="N31" s="206">
        <f t="shared" si="5"/>
        <v>1</v>
      </c>
      <c r="O31" s="209" t="s">
        <v>27</v>
      </c>
    </row>
    <row r="32">
      <c r="A32" s="197">
        <v>31.0</v>
      </c>
      <c r="B32" s="198">
        <f>AVERAGE('Daily analysis'!B212:B216)</f>
        <v>13.03</v>
      </c>
      <c r="C32" s="199">
        <f t="shared" si="6"/>
        <v>-0.0122801698</v>
      </c>
      <c r="D32" s="199">
        <f t="shared" si="1"/>
        <v>-0.0386799693</v>
      </c>
      <c r="E32" s="200">
        <f t="shared" si="2"/>
        <v>0</v>
      </c>
      <c r="F32" s="198">
        <v>10982.52</v>
      </c>
      <c r="G32" s="199">
        <v>-0.01727868341980121</v>
      </c>
      <c r="H32" s="156">
        <f t="shared" si="3"/>
        <v>0.003263045598</v>
      </c>
      <c r="I32" s="201">
        <v>79.092</v>
      </c>
      <c r="J32" s="210">
        <v>-0.03220596152904909</v>
      </c>
      <c r="K32" s="141">
        <v>0.22351648351648348</v>
      </c>
      <c r="L32" s="200">
        <f t="shared" si="4"/>
        <v>1</v>
      </c>
      <c r="M32" s="141">
        <v>0.2419047619047619</v>
      </c>
      <c r="N32" s="200">
        <f t="shared" si="5"/>
        <v>1</v>
      </c>
      <c r="O32" s="203" t="s">
        <v>27</v>
      </c>
    </row>
    <row r="33">
      <c r="A33" s="197">
        <v>32.0</v>
      </c>
      <c r="B33" s="204">
        <f>AVERAGE('Daily analysis'!B219:B223)</f>
        <v>12.526</v>
      </c>
      <c r="C33" s="205">
        <f t="shared" si="6"/>
        <v>-0.0386799693</v>
      </c>
      <c r="D33" s="205">
        <f t="shared" si="1"/>
        <v>0.019000479</v>
      </c>
      <c r="E33" s="206">
        <f t="shared" si="2"/>
        <v>1</v>
      </c>
      <c r="F33" s="204">
        <v>10521.880000000001</v>
      </c>
      <c r="G33" s="205">
        <v>-0.04194301490004115</v>
      </c>
      <c r="H33" s="156">
        <f t="shared" si="3"/>
        <v>-0.006084391761</v>
      </c>
      <c r="I33" s="207">
        <v>77.98599999999999</v>
      </c>
      <c r="J33" s="208">
        <v>-0.013983715167147248</v>
      </c>
      <c r="K33" s="158">
        <v>0.08190476190476192</v>
      </c>
      <c r="L33" s="206">
        <f t="shared" si="4"/>
        <v>1</v>
      </c>
      <c r="M33" s="158">
        <v>0.0768253968253968</v>
      </c>
      <c r="N33" s="206">
        <f t="shared" si="5"/>
        <v>1</v>
      </c>
      <c r="O33" s="209" t="s">
        <v>27</v>
      </c>
    </row>
    <row r="34">
      <c r="A34" s="197">
        <v>33.0</v>
      </c>
      <c r="B34" s="198">
        <f>AVERAGE('Daily analysis'!B226:B230)</f>
        <v>12.764</v>
      </c>
      <c r="C34" s="199">
        <f t="shared" si="6"/>
        <v>0.019000479</v>
      </c>
      <c r="D34" s="199">
        <f t="shared" si="1"/>
        <v>-0.008147916014</v>
      </c>
      <c r="E34" s="200">
        <f t="shared" si="2"/>
        <v>0</v>
      </c>
      <c r="F34" s="198">
        <v>10785.820000000002</v>
      </c>
      <c r="G34" s="199">
        <v>0.025084870764540135</v>
      </c>
      <c r="H34" s="156">
        <f t="shared" si="3"/>
        <v>-0.04121726076</v>
      </c>
      <c r="I34" s="201">
        <v>80.694</v>
      </c>
      <c r="J34" s="210">
        <v>0.0347241812633039</v>
      </c>
      <c r="K34" s="141">
        <v>0.19297619047619044</v>
      </c>
      <c r="L34" s="200">
        <f t="shared" si="4"/>
        <v>1</v>
      </c>
      <c r="M34" s="141">
        <v>-0.13392857142857142</v>
      </c>
      <c r="N34" s="200">
        <f t="shared" si="5"/>
        <v>0</v>
      </c>
      <c r="O34" s="203" t="s">
        <v>27</v>
      </c>
    </row>
    <row r="35">
      <c r="A35" s="197">
        <v>34.0</v>
      </c>
      <c r="B35" s="204">
        <f>AVERAGE('Daily analysis'!B233:B237)</f>
        <v>12.66</v>
      </c>
      <c r="C35" s="205">
        <f t="shared" si="6"/>
        <v>-0.008147916014</v>
      </c>
      <c r="D35" s="205">
        <f t="shared" si="1"/>
        <v>-0.01011058452</v>
      </c>
      <c r="E35" s="206">
        <f t="shared" si="2"/>
        <v>0</v>
      </c>
      <c r="F35" s="204">
        <v>11142.499999999998</v>
      </c>
      <c r="G35" s="205">
        <v>0.03306934475079282</v>
      </c>
      <c r="H35" s="156">
        <f t="shared" si="3"/>
        <v>-0.02756447727</v>
      </c>
      <c r="I35" s="207">
        <v>77.42999999999999</v>
      </c>
      <c r="J35" s="208">
        <v>-0.04044910402260404</v>
      </c>
      <c r="K35" s="158">
        <v>0.1985714285714286</v>
      </c>
      <c r="L35" s="206">
        <f t="shared" si="4"/>
        <v>1</v>
      </c>
      <c r="M35" s="158">
        <v>-0.0142857142857143</v>
      </c>
      <c r="N35" s="206">
        <f t="shared" si="5"/>
        <v>0</v>
      </c>
      <c r="O35" s="209" t="s">
        <v>27</v>
      </c>
    </row>
    <row r="36">
      <c r="A36" s="197">
        <v>35.0</v>
      </c>
      <c r="B36" s="198">
        <f>AVERAGE('Daily analysis'!B240:B244)</f>
        <v>12.532</v>
      </c>
      <c r="C36" s="199">
        <f t="shared" si="6"/>
        <v>-0.01011058452</v>
      </c>
      <c r="D36" s="199">
        <f t="shared" si="1"/>
        <v>-0.0406958187</v>
      </c>
      <c r="E36" s="200">
        <f t="shared" si="2"/>
        <v>0</v>
      </c>
      <c r="F36" s="198">
        <v>11336.98</v>
      </c>
      <c r="G36" s="199">
        <v>0.017453892752973044</v>
      </c>
      <c r="H36" s="156">
        <f t="shared" si="3"/>
        <v>-0.03452133485</v>
      </c>
      <c r="I36" s="201">
        <v>79.674</v>
      </c>
      <c r="J36" s="210">
        <v>0.028981015110422392</v>
      </c>
      <c r="K36" s="141">
        <v>0.3543290043290043</v>
      </c>
      <c r="L36" s="200">
        <f t="shared" si="4"/>
        <v>1</v>
      </c>
      <c r="M36" s="141">
        <v>0.10790043290043291</v>
      </c>
      <c r="N36" s="200">
        <f t="shared" si="5"/>
        <v>1</v>
      </c>
      <c r="O36" s="203" t="s">
        <v>27</v>
      </c>
    </row>
    <row r="37">
      <c r="A37" s="197">
        <v>36.0</v>
      </c>
      <c r="B37" s="204">
        <f>AVERAGE('Daily analysis'!B247:B251)</f>
        <v>12.022</v>
      </c>
      <c r="C37" s="205">
        <f t="shared" si="6"/>
        <v>-0.0406958187</v>
      </c>
      <c r="D37" s="205">
        <f t="shared" si="1"/>
        <v>-0.02312427217</v>
      </c>
      <c r="E37" s="206">
        <f t="shared" si="2"/>
        <v>0</v>
      </c>
      <c r="F37" s="204">
        <v>11266.98</v>
      </c>
      <c r="G37" s="205">
        <v>-0.006174483857252944</v>
      </c>
      <c r="H37" s="156">
        <f t="shared" si="3"/>
        <v>-0.02952705268</v>
      </c>
      <c r="I37" s="207">
        <v>74.744</v>
      </c>
      <c r="J37" s="208">
        <v>-0.06187714938373878</v>
      </c>
      <c r="K37" s="158">
        <v>0.03153235653235653</v>
      </c>
      <c r="L37" s="206">
        <f t="shared" si="4"/>
        <v>1</v>
      </c>
      <c r="M37" s="158">
        <v>-0.003308913308913316</v>
      </c>
      <c r="N37" s="206">
        <f t="shared" si="5"/>
        <v>0</v>
      </c>
      <c r="O37" s="209" t="s">
        <v>27</v>
      </c>
    </row>
    <row r="38">
      <c r="A38" s="197">
        <v>37.0</v>
      </c>
      <c r="B38" s="198">
        <f>AVERAGE('Daily analysis'!B254:B258)</f>
        <v>11.744</v>
      </c>
      <c r="C38" s="199">
        <f t="shared" si="6"/>
        <v>-0.02312427217</v>
      </c>
      <c r="D38" s="199">
        <f t="shared" si="1"/>
        <v>0.0001702997275</v>
      </c>
      <c r="E38" s="200">
        <f t="shared" si="2"/>
        <v>1</v>
      </c>
      <c r="F38" s="198">
        <v>11339.119999999999</v>
      </c>
      <c r="G38" s="199">
        <v>0.006402780514388029</v>
      </c>
      <c r="H38" s="156">
        <f t="shared" si="3"/>
        <v>-0.03166462221</v>
      </c>
      <c r="I38" s="201">
        <v>71.04400000000001</v>
      </c>
      <c r="J38" s="210">
        <v>-0.0495023011880551</v>
      </c>
      <c r="K38" s="141">
        <v>-0.1769047619047619</v>
      </c>
      <c r="L38" s="200">
        <f t="shared" si="4"/>
        <v>0</v>
      </c>
      <c r="M38" s="141">
        <v>-0.2536904761904762</v>
      </c>
      <c r="N38" s="200">
        <f t="shared" si="5"/>
        <v>0</v>
      </c>
      <c r="O38" s="203" t="s">
        <v>27</v>
      </c>
    </row>
    <row r="39">
      <c r="A39" s="197">
        <v>38.0</v>
      </c>
      <c r="B39" s="204">
        <f>AVERAGE('Daily analysis'!B261:B265)</f>
        <v>11.746</v>
      </c>
      <c r="C39" s="205">
        <f t="shared" si="6"/>
        <v>0.0001702997275</v>
      </c>
      <c r="D39" s="205">
        <f t="shared" si="1"/>
        <v>-0.001872978035</v>
      </c>
      <c r="E39" s="206">
        <f t="shared" si="2"/>
        <v>0</v>
      </c>
      <c r="F39" s="204">
        <v>11700.1</v>
      </c>
      <c r="G39" s="205">
        <v>0.0318349219339773</v>
      </c>
      <c r="H39" s="156">
        <f t="shared" si="3"/>
        <v>-0.01637029002</v>
      </c>
      <c r="I39" s="207">
        <v>73.834</v>
      </c>
      <c r="J39" s="208">
        <v>0.03927143741906414</v>
      </c>
      <c r="K39" s="158">
        <v>0.11095761381475669</v>
      </c>
      <c r="L39" s="206">
        <f t="shared" si="4"/>
        <v>1</v>
      </c>
      <c r="M39" s="158">
        <v>-0.01589220303506016</v>
      </c>
      <c r="N39" s="206">
        <f t="shared" si="5"/>
        <v>0</v>
      </c>
      <c r="O39" s="209" t="s">
        <v>27</v>
      </c>
    </row>
    <row r="40">
      <c r="A40" s="197">
        <v>39.0</v>
      </c>
      <c r="B40" s="198">
        <f>AVERAGE('Daily analysis'!B268:B272)</f>
        <v>11.724</v>
      </c>
      <c r="C40" s="199">
        <f t="shared" si="6"/>
        <v>-0.001872978035</v>
      </c>
      <c r="D40" s="199">
        <f t="shared" si="1"/>
        <v>0.02712384852</v>
      </c>
      <c r="E40" s="200">
        <f t="shared" si="2"/>
        <v>1</v>
      </c>
      <c r="F40" s="198">
        <v>11869.72</v>
      </c>
      <c r="G40" s="199">
        <v>0.014497311988786343</v>
      </c>
      <c r="H40" s="156">
        <f t="shared" si="3"/>
        <v>0.04247046158</v>
      </c>
      <c r="I40" s="201">
        <v>73.22200000000001</v>
      </c>
      <c r="J40" s="210">
        <v>-0.008288864208900959</v>
      </c>
      <c r="K40" s="141">
        <v>0.13176870748299316</v>
      </c>
      <c r="L40" s="200">
        <f t="shared" si="4"/>
        <v>1</v>
      </c>
      <c r="M40" s="141">
        <v>0.0027891156462585037</v>
      </c>
      <c r="N40" s="200">
        <f t="shared" si="5"/>
        <v>1</v>
      </c>
      <c r="O40" s="203" t="s">
        <v>27</v>
      </c>
    </row>
    <row r="41">
      <c r="A41" s="197">
        <v>40.0</v>
      </c>
      <c r="B41" s="204">
        <f>AVERAGE('Daily analysis'!B275:B279)</f>
        <v>12.042</v>
      </c>
      <c r="C41" s="205">
        <f t="shared" si="6"/>
        <v>0.02712384852</v>
      </c>
      <c r="D41" s="205">
        <f t="shared" si="1"/>
        <v>0.006311243979</v>
      </c>
      <c r="E41" s="206">
        <f t="shared" si="2"/>
        <v>1</v>
      </c>
      <c r="F41" s="204">
        <v>11687.560000000001</v>
      </c>
      <c r="G41" s="205">
        <v>-0.015346613062481529</v>
      </c>
      <c r="H41" s="156">
        <f t="shared" si="3"/>
        <v>0.004042164719</v>
      </c>
      <c r="I41" s="207">
        <v>74.98</v>
      </c>
      <c r="J41" s="208">
        <v>0.024009177569582763</v>
      </c>
      <c r="K41" s="158">
        <v>0.1941269841269841</v>
      </c>
      <c r="L41" s="206">
        <f t="shared" si="4"/>
        <v>1</v>
      </c>
      <c r="M41" s="158">
        <v>0.1378968253968254</v>
      </c>
      <c r="N41" s="206">
        <f t="shared" si="5"/>
        <v>1</v>
      </c>
      <c r="O41" s="209" t="s">
        <v>27</v>
      </c>
    </row>
    <row r="42">
      <c r="A42" s="197">
        <v>41.0</v>
      </c>
      <c r="B42" s="198">
        <f>AVERAGE('Daily analysis'!B282:B286)</f>
        <v>12.118</v>
      </c>
      <c r="C42" s="199">
        <f t="shared" si="6"/>
        <v>0.006311243979</v>
      </c>
      <c r="D42" s="199">
        <f t="shared" si="1"/>
        <v>-0.02987291632</v>
      </c>
      <c r="E42" s="200">
        <f t="shared" si="2"/>
        <v>0</v>
      </c>
      <c r="F42" s="198">
        <v>11714.079999999998</v>
      </c>
      <c r="G42" s="199">
        <v>0.0022690792603414778</v>
      </c>
      <c r="H42" s="156">
        <f t="shared" si="3"/>
        <v>-0.04757981264</v>
      </c>
      <c r="I42" s="201">
        <v>78.626</v>
      </c>
      <c r="J42" s="210">
        <v>0.04862630034675908</v>
      </c>
      <c r="K42" s="141">
        <v>0.03935374149659864</v>
      </c>
      <c r="L42" s="200">
        <f t="shared" si="4"/>
        <v>1</v>
      </c>
      <c r="M42" s="141">
        <v>0.013027210884353753</v>
      </c>
      <c r="N42" s="200">
        <f t="shared" si="5"/>
        <v>1</v>
      </c>
      <c r="O42" s="203" t="s">
        <v>27</v>
      </c>
    </row>
    <row r="43">
      <c r="A43" s="197">
        <v>42.0</v>
      </c>
      <c r="B43" s="204">
        <f>AVERAGE('Daily analysis'!B289:B293)</f>
        <v>11.756</v>
      </c>
      <c r="C43" s="205">
        <f t="shared" si="6"/>
        <v>-0.02987291632</v>
      </c>
      <c r="D43" s="205">
        <f t="shared" si="1"/>
        <v>0.01190881252</v>
      </c>
      <c r="E43" s="206">
        <f t="shared" si="2"/>
        <v>1</v>
      </c>
      <c r="F43" s="204">
        <v>11921.5</v>
      </c>
      <c r="G43" s="205">
        <v>0.017706896316228127</v>
      </c>
      <c r="H43" s="156">
        <f t="shared" si="3"/>
        <v>0.01889115535</v>
      </c>
      <c r="I43" s="207">
        <v>74.688</v>
      </c>
      <c r="J43" s="208">
        <v>-0.0500852135425941</v>
      </c>
      <c r="K43" s="158">
        <v>-0.01451247165532881</v>
      </c>
      <c r="L43" s="206">
        <f t="shared" si="4"/>
        <v>0</v>
      </c>
      <c r="M43" s="158">
        <v>-0.035918367346938755</v>
      </c>
      <c r="N43" s="206">
        <f t="shared" si="5"/>
        <v>0</v>
      </c>
      <c r="O43" s="209" t="s">
        <v>27</v>
      </c>
    </row>
    <row r="44">
      <c r="A44" s="197">
        <v>43.0</v>
      </c>
      <c r="B44" s="198">
        <f>AVERAGE('Daily analysis'!B296:B300)</f>
        <v>11.896</v>
      </c>
      <c r="C44" s="199">
        <f t="shared" si="6"/>
        <v>0.01190881252</v>
      </c>
      <c r="D44" s="199">
        <f t="shared" si="1"/>
        <v>-0.02168796234</v>
      </c>
      <c r="E44" s="200">
        <f t="shared" si="2"/>
        <v>0</v>
      </c>
      <c r="F44" s="198">
        <v>11838.26</v>
      </c>
      <c r="G44" s="199">
        <v>-0.006982342825986643</v>
      </c>
      <c r="H44" s="156">
        <f t="shared" si="3"/>
        <v>-0.0172717728</v>
      </c>
      <c r="I44" s="201">
        <v>75.144</v>
      </c>
      <c r="J44" s="210">
        <v>0.006105398457583622</v>
      </c>
      <c r="K44" s="141">
        <v>-0.3958455301312444</v>
      </c>
      <c r="L44" s="200">
        <f t="shared" si="4"/>
        <v>0</v>
      </c>
      <c r="M44" s="141">
        <v>-0.22965264893836324</v>
      </c>
      <c r="N44" s="200">
        <f t="shared" si="5"/>
        <v>0</v>
      </c>
      <c r="O44" s="203" t="s">
        <v>27</v>
      </c>
    </row>
    <row r="45">
      <c r="A45" s="197">
        <v>44.0</v>
      </c>
      <c r="B45" s="204">
        <f>AVERAGE('Daily analysis'!B303:B307)</f>
        <v>11.638</v>
      </c>
      <c r="C45" s="205">
        <f t="shared" si="6"/>
        <v>-0.02168796234</v>
      </c>
      <c r="D45" s="205">
        <f t="shared" si="1"/>
        <v>0.009967348342</v>
      </c>
      <c r="E45" s="206">
        <f t="shared" si="2"/>
        <v>1</v>
      </c>
      <c r="F45" s="204">
        <v>11785.98</v>
      </c>
      <c r="G45" s="205">
        <v>-0.004416189541368465</v>
      </c>
      <c r="H45" s="156">
        <f t="shared" si="3"/>
        <v>0.02131303194</v>
      </c>
      <c r="I45" s="207">
        <v>73.002</v>
      </c>
      <c r="J45" s="208">
        <v>-0.028505269881827</v>
      </c>
      <c r="K45" s="158">
        <v>-0.0304394707699481</v>
      </c>
      <c r="L45" s="206">
        <f t="shared" si="4"/>
        <v>0</v>
      </c>
      <c r="M45" s="158">
        <v>-0.021443142740572362</v>
      </c>
      <c r="N45" s="206">
        <f t="shared" si="5"/>
        <v>0</v>
      </c>
      <c r="O45" s="209" t="s">
        <v>27</v>
      </c>
    </row>
    <row r="46">
      <c r="A46" s="197">
        <v>45.0</v>
      </c>
      <c r="B46" s="198">
        <f>AVERAGE('Daily analysis'!B310:B314)</f>
        <v>11.754</v>
      </c>
      <c r="C46" s="199">
        <f t="shared" si="6"/>
        <v>0.009967348342</v>
      </c>
      <c r="D46" s="199">
        <f t="shared" si="1"/>
        <v>-0.02092904543</v>
      </c>
      <c r="E46" s="200">
        <f t="shared" si="2"/>
        <v>0</v>
      </c>
      <c r="F46" s="198">
        <v>11652.26</v>
      </c>
      <c r="G46" s="199">
        <v>-0.01134568360034549</v>
      </c>
      <c r="H46" s="156">
        <f t="shared" si="3"/>
        <v>-0.008157274118</v>
      </c>
      <c r="I46" s="201">
        <v>75.006</v>
      </c>
      <c r="J46" s="210">
        <v>0.027451302704035507</v>
      </c>
      <c r="K46" s="141">
        <v>0.05353174603174603</v>
      </c>
      <c r="L46" s="200">
        <f t="shared" si="4"/>
        <v>1</v>
      </c>
      <c r="M46" s="141">
        <v>0.051950113378684805</v>
      </c>
      <c r="N46" s="200">
        <f t="shared" si="5"/>
        <v>1</v>
      </c>
      <c r="O46" s="203" t="s">
        <v>27</v>
      </c>
    </row>
    <row r="47">
      <c r="A47" s="197">
        <v>46.0</v>
      </c>
      <c r="B47" s="204">
        <f>AVERAGE('Daily analysis'!B317:B321)</f>
        <v>11.508</v>
      </c>
      <c r="C47" s="205">
        <f t="shared" si="6"/>
        <v>-0.02092904543</v>
      </c>
      <c r="D47" s="205">
        <f t="shared" si="1"/>
        <v>0.03058741745</v>
      </c>
      <c r="E47" s="206">
        <f t="shared" si="2"/>
        <v>1</v>
      </c>
      <c r="F47" s="204">
        <v>11503.44</v>
      </c>
      <c r="G47" s="205">
        <v>-0.012771771313032865</v>
      </c>
      <c r="H47" s="156">
        <f t="shared" si="3"/>
        <v>0.02008968807</v>
      </c>
      <c r="I47" s="207">
        <v>71.92</v>
      </c>
      <c r="J47" s="208">
        <v>-0.0411433751966509</v>
      </c>
      <c r="K47" s="158">
        <v>0.07833333333333328</v>
      </c>
      <c r="L47" s="206">
        <f t="shared" si="4"/>
        <v>1</v>
      </c>
      <c r="M47" s="158">
        <v>0.1475</v>
      </c>
      <c r="N47" s="206">
        <f t="shared" si="5"/>
        <v>1</v>
      </c>
      <c r="O47" s="209" t="s">
        <v>27</v>
      </c>
    </row>
    <row r="48">
      <c r="A48" s="197">
        <v>47.0</v>
      </c>
      <c r="B48" s="198">
        <f>AVERAGE('Daily analysis'!B324:B328)</f>
        <v>11.86</v>
      </c>
      <c r="C48" s="199">
        <f t="shared" si="6"/>
        <v>0.03058741745</v>
      </c>
      <c r="D48" s="199">
        <f t="shared" si="1"/>
        <v>-0.004890387858</v>
      </c>
      <c r="E48" s="200">
        <f t="shared" si="2"/>
        <v>0</v>
      </c>
      <c r="F48" s="198">
        <v>11624.199999999999</v>
      </c>
      <c r="G48" s="199">
        <v>0.01049772937486515</v>
      </c>
      <c r="H48" s="156">
        <f t="shared" si="3"/>
        <v>-0.005583768908</v>
      </c>
      <c r="I48" s="201">
        <v>73.76400000000001</v>
      </c>
      <c r="J48" s="210">
        <v>0.025639599555061343</v>
      </c>
      <c r="K48" s="141">
        <v>-0.0587691628375488</v>
      </c>
      <c r="L48" s="200">
        <f t="shared" si="4"/>
        <v>0</v>
      </c>
      <c r="M48" s="141">
        <v>-0.07029267940597987</v>
      </c>
      <c r="N48" s="200">
        <f t="shared" si="5"/>
        <v>0</v>
      </c>
      <c r="O48" s="203" t="s">
        <v>27</v>
      </c>
    </row>
    <row r="49">
      <c r="A49" s="197">
        <v>48.0</v>
      </c>
      <c r="B49" s="204">
        <f>AVERAGE('Daily analysis'!B331:B335)</f>
        <v>11.802</v>
      </c>
      <c r="C49" s="205">
        <f t="shared" si="6"/>
        <v>-0.004890387858</v>
      </c>
      <c r="D49" s="205">
        <f t="shared" si="1"/>
        <v>-0.0289781393</v>
      </c>
      <c r="E49" s="206">
        <f t="shared" si="2"/>
        <v>0</v>
      </c>
      <c r="F49" s="204">
        <v>11632.26</v>
      </c>
      <c r="G49" s="205">
        <v>6.933810498788162E-4</v>
      </c>
      <c r="H49" s="156">
        <f t="shared" si="3"/>
        <v>-0.05597031451</v>
      </c>
      <c r="I49" s="207">
        <v>72.97399999999999</v>
      </c>
      <c r="J49" s="208">
        <v>-0.01070983135404835</v>
      </c>
      <c r="K49" s="158">
        <v>0.08064002664002665</v>
      </c>
      <c r="L49" s="206">
        <f t="shared" si="4"/>
        <v>1</v>
      </c>
      <c r="M49" s="158">
        <v>-0.05694305694305692</v>
      </c>
      <c r="N49" s="206">
        <f t="shared" si="5"/>
        <v>0</v>
      </c>
      <c r="O49" s="209" t="s">
        <v>27</v>
      </c>
    </row>
    <row r="50">
      <c r="A50" s="197">
        <v>49.0</v>
      </c>
      <c r="B50" s="198">
        <f>AVERAGE('Daily analysis'!B338:B342)</f>
        <v>11.46</v>
      </c>
      <c r="C50" s="199">
        <f t="shared" si="6"/>
        <v>-0.0289781393</v>
      </c>
      <c r="D50" s="199">
        <f t="shared" si="1"/>
        <v>-0.008202443281</v>
      </c>
      <c r="E50" s="200">
        <f t="shared" si="2"/>
        <v>0</v>
      </c>
      <c r="F50" s="198">
        <v>11946.24</v>
      </c>
      <c r="G50" s="199">
        <v>0.026992175209288538</v>
      </c>
      <c r="H50" s="156">
        <f t="shared" si="3"/>
        <v>-0.0007021754143</v>
      </c>
      <c r="I50" s="201">
        <v>72.194</v>
      </c>
      <c r="J50" s="210">
        <v>-0.010688738454791902</v>
      </c>
      <c r="K50" s="141">
        <v>0.14685374149659866</v>
      </c>
      <c r="L50" s="200">
        <f t="shared" si="4"/>
        <v>1</v>
      </c>
      <c r="M50" s="141">
        <v>0.012721088435374145</v>
      </c>
      <c r="N50" s="200">
        <f t="shared" si="5"/>
        <v>1</v>
      </c>
      <c r="O50" s="203" t="s">
        <v>27</v>
      </c>
    </row>
    <row r="51">
      <c r="A51" s="197">
        <v>50.0</v>
      </c>
      <c r="B51" s="204">
        <f>AVERAGE('Daily analysis'!B345:B349)</f>
        <v>11.366</v>
      </c>
      <c r="C51" s="205">
        <f t="shared" si="6"/>
        <v>-0.008202443281</v>
      </c>
      <c r="D51" s="205">
        <f t="shared" si="1"/>
        <v>-0.02393102235</v>
      </c>
      <c r="E51" s="206">
        <f t="shared" si="2"/>
        <v>0</v>
      </c>
      <c r="F51" s="204">
        <v>11856.640000000001</v>
      </c>
      <c r="G51" s="205">
        <v>-0.007500267866709431</v>
      </c>
      <c r="H51" s="156">
        <f t="shared" si="3"/>
        <v>-0.0004606293861</v>
      </c>
      <c r="I51" s="207">
        <v>73.15</v>
      </c>
      <c r="J51" s="208">
        <v>0.013242097681247733</v>
      </c>
      <c r="K51" s="158">
        <v>0.19404761904761905</v>
      </c>
      <c r="L51" s="206">
        <f t="shared" si="4"/>
        <v>1</v>
      </c>
      <c r="M51" s="158">
        <v>0.0369047619047619</v>
      </c>
      <c r="N51" s="206">
        <f t="shared" si="5"/>
        <v>1</v>
      </c>
      <c r="O51" s="209" t="s">
        <v>27</v>
      </c>
    </row>
    <row r="52">
      <c r="A52" s="197">
        <v>51.0</v>
      </c>
      <c r="B52" s="198">
        <f>AVERAGE('Daily analysis'!B352:B356)</f>
        <v>11.094</v>
      </c>
      <c r="C52" s="199">
        <f t="shared" si="6"/>
        <v>-0.02393102235</v>
      </c>
      <c r="D52" s="199">
        <f t="shared" si="1"/>
        <v>0.005949161709</v>
      </c>
      <c r="E52" s="200">
        <f t="shared" si="2"/>
        <v>1</v>
      </c>
      <c r="F52" s="198">
        <v>11578.36</v>
      </c>
      <c r="G52" s="199">
        <v>-0.023470392961243758</v>
      </c>
      <c r="H52" s="156">
        <f t="shared" si="3"/>
        <v>0.01440977271</v>
      </c>
      <c r="I52" s="201">
        <v>73.262</v>
      </c>
      <c r="J52" s="210">
        <v>0.0015311004784688276</v>
      </c>
      <c r="K52" s="141">
        <v>0.1658021978021978</v>
      </c>
      <c r="L52" s="200">
        <f t="shared" si="4"/>
        <v>1</v>
      </c>
      <c r="M52" s="141">
        <v>-0.01872684458398746</v>
      </c>
      <c r="N52" s="200">
        <f t="shared" si="5"/>
        <v>0</v>
      </c>
      <c r="O52" s="203" t="s">
        <v>27</v>
      </c>
    </row>
    <row r="53">
      <c r="A53" s="197">
        <v>52.0</v>
      </c>
      <c r="B53" s="204">
        <f>AVERAGE('Daily analysis'!B359:B360)</f>
        <v>11.16</v>
      </c>
      <c r="C53" s="205">
        <f t="shared" si="6"/>
        <v>0.005949161709</v>
      </c>
      <c r="D53" s="205">
        <f t="shared" si="1"/>
        <v>0.02956989247</v>
      </c>
      <c r="E53" s="206">
        <f t="shared" si="2"/>
        <v>1</v>
      </c>
      <c r="F53" s="204">
        <v>11480.4</v>
      </c>
      <c r="G53" s="205">
        <v>-0.00846061100190365</v>
      </c>
      <c r="H53" s="156">
        <f t="shared" si="3"/>
        <v>0.02212241678</v>
      </c>
      <c r="I53" s="207">
        <v>73.41</v>
      </c>
      <c r="J53" s="208">
        <v>0.002020146870137296</v>
      </c>
      <c r="K53" s="158">
        <v>0.06950113378684808</v>
      </c>
      <c r="L53" s="206">
        <f t="shared" si="4"/>
        <v>1</v>
      </c>
      <c r="M53" s="158">
        <v>-0.13498866213151928</v>
      </c>
      <c r="N53" s="206">
        <f t="shared" si="5"/>
        <v>0</v>
      </c>
      <c r="O53" s="209" t="s">
        <v>27</v>
      </c>
    </row>
    <row r="54">
      <c r="A54" s="211">
        <v>53.0</v>
      </c>
      <c r="B54" s="198">
        <f>AVERAGE('Daily analysis'!B363:B365)</f>
        <v>11.49</v>
      </c>
      <c r="C54" s="199">
        <f t="shared" si="6"/>
        <v>0.02956989247</v>
      </c>
      <c r="D54" s="199" t="str">
        <f t="shared" si="1"/>
        <v/>
      </c>
      <c r="E54" s="200">
        <f t="shared" si="2"/>
        <v>0</v>
      </c>
      <c r="F54" s="198">
        <v>11565.9</v>
      </c>
      <c r="G54" s="199">
        <v>0.007447475697710981</v>
      </c>
      <c r="H54" s="156"/>
      <c r="I54" s="201">
        <v>61.015</v>
      </c>
      <c r="J54" s="210">
        <v>-0.16884620623893198</v>
      </c>
      <c r="K54" s="141">
        <v>0.1527777777777778</v>
      </c>
      <c r="L54" s="200">
        <f t="shared" si="4"/>
        <v>1</v>
      </c>
      <c r="M54" s="141">
        <v>-0.23888888888888887</v>
      </c>
      <c r="N54" s="200">
        <f t="shared" si="5"/>
        <v>0</v>
      </c>
      <c r="O54" s="203" t="s">
        <v>27</v>
      </c>
    </row>
  </sheetData>
  <dataValidations>
    <dataValidation type="custom" allowBlank="1" showDropDown="1" sqref="A2:G54 I2:J54 L2:L54">
      <formula1>AND(ISNUMBER(A2),(NOT(OR(NOT(ISERROR(DATEVALUE(A2))), AND(ISNUMBER(A2), LEFT(CELL("format", A2))="D")))))</formula1>
    </dataValidation>
  </dataValidations>
  <drawing r:id="rId1"/>
  <tableParts count="1">
    <tablePart r:id="rId3"/>
  </tableParts>
</worksheet>
</file>